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mc:AlternateContent xmlns:mc="http://schemas.openxmlformats.org/markup-compatibility/2006">
    <mc:Choice Requires="x15">
      <x15ac:absPath xmlns:x15ac="http://schemas.microsoft.com/office/spreadsheetml/2010/11/ac" url="G:\"/>
    </mc:Choice>
  </mc:AlternateContent>
  <bookViews>
    <workbookView xWindow="0" yWindow="0" windowWidth="38400" windowHeight="16120"/>
  </bookViews>
  <sheets>
    <sheet name="About" sheetId="26" r:id="rId1"/>
    <sheet name="1. Simulator Input" sheetId="2" r:id="rId2"/>
    <sheet name="Results re-formatted" sheetId="24" state="hidden" r:id="rId3"/>
    <sheet name="2. Results" sheetId="14" r:id="rId4"/>
    <sheet name="Idaho Data" sheetId="1" r:id="rId5"/>
    <sheet name="Notes" sheetId="27" r:id="rId6"/>
    <sheet name="PPT Slide 27" sheetId="19" state="hidden" r:id="rId7"/>
    <sheet name="In District Charter Adjust" sheetId="18" state="hidden" r:id="rId8"/>
    <sheet name="Results SBB Funding" sheetId="10" state="hidden" r:id="rId9"/>
    <sheet name="Graph Data all $" sheetId="15" state="hidden" r:id="rId10"/>
    <sheet name="Graphics for PPT" sheetId="17" state="hidden" r:id="rId11"/>
    <sheet name="PPT Slide 21" sheetId="23" state="hidden" r:id="rId12"/>
    <sheet name="Graph Data SBB $ only" sheetId="13" state="hidden" r:id="rId13"/>
    <sheet name="Student Achievement 15-16" sheetId="7" r:id="rId14"/>
    <sheet name="Levy Data 15-16" sheetId="9" r:id="rId15"/>
    <sheet name="Grade Enroll 15-16" sheetId="3" r:id="rId16"/>
    <sheet name="Title I Enroll 15-16" sheetId="4" r:id="rId17"/>
    <sheet name="Title I Enroll 16-17" sheetId="25" r:id="rId18"/>
    <sheet name="ELL Enroll 15-16" sheetId="5" r:id="rId19"/>
    <sheet name="SPED enroll 2015-16" sheetId="6" r:id="rId20"/>
    <sheet name="G&amp;T 15-16" sheetId="8" r:id="rId21"/>
    <sheet name="Sources" sheetId="16" r:id="rId22"/>
  </sheets>
  <definedNames>
    <definedName name="_xlnm._FilterDatabase" localSheetId="3" hidden="1">'2. Results'!$B$96:$AJ$250</definedName>
    <definedName name="_xlnm._FilterDatabase" localSheetId="18" hidden="1">'ELL Enroll 15-16'!$B$2:$N$894</definedName>
    <definedName name="_xlnm._FilterDatabase" localSheetId="20" hidden="1">'G&amp;T 15-16'!$C$5:$S$74</definedName>
    <definedName name="_xlnm._FilterDatabase" localSheetId="15" hidden="1">'Grade Enroll 15-16'!$U$6:$AC$163</definedName>
    <definedName name="_xlnm._FilterDatabase" localSheetId="9" hidden="1">'Graph Data all $'!$B$2:$G$156</definedName>
    <definedName name="_xlnm._FilterDatabase" localSheetId="12" hidden="1">'Graph Data SBB $ only'!$B$2:$J$156</definedName>
    <definedName name="_xlnm._FilterDatabase" localSheetId="10" hidden="1">'Graphics for PPT'!$N$2:$X$156</definedName>
    <definedName name="_xlnm._FilterDatabase" localSheetId="4" hidden="1">'Idaho Data'!$A$8:$YJ$166</definedName>
    <definedName name="_xlnm._FilterDatabase" localSheetId="14" hidden="1">'Levy Data 15-16'!$B$3:$O$161</definedName>
    <definedName name="_xlnm._FilterDatabase" localSheetId="8" hidden="1">'Results SBB Funding'!$B$84:$M$238</definedName>
    <definedName name="_xlnm._FilterDatabase" localSheetId="19" hidden="1">'SPED enroll 2015-16'!$B$6:$BP$6</definedName>
    <definedName name="_xlnm._FilterDatabase" localSheetId="13" hidden="1">'Student Achievement 15-16'!$A$3:$AI$313</definedName>
    <definedName name="_xlnm._FilterDatabase" localSheetId="16" hidden="1">'Title I Enroll 15-16'!$R$3:$T$147</definedName>
    <definedName name="_xlnm.Print_Area" localSheetId="2">'Results re-formatted'!$O$3:$T$56</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F5" i="1" l="1"/>
  <c r="WF11" i="1" l="1"/>
  <c r="WF12" i="1"/>
  <c r="WF13" i="1"/>
  <c r="WF14" i="1"/>
  <c r="WF15" i="1"/>
  <c r="WF16" i="1"/>
  <c r="WF17" i="1"/>
  <c r="WF18" i="1"/>
  <c r="WF19" i="1"/>
  <c r="WF20" i="1"/>
  <c r="WF21" i="1"/>
  <c r="WF22" i="1"/>
  <c r="WF23" i="1"/>
  <c r="WF24" i="1"/>
  <c r="WF25" i="1"/>
  <c r="WF26" i="1"/>
  <c r="WF27" i="1"/>
  <c r="WF28" i="1"/>
  <c r="WF29" i="1"/>
  <c r="WF30" i="1"/>
  <c r="WF31" i="1"/>
  <c r="WF32" i="1"/>
  <c r="WF33" i="1"/>
  <c r="WF34" i="1"/>
  <c r="WF35" i="1"/>
  <c r="WF36" i="1"/>
  <c r="WF37" i="1"/>
  <c r="WF38" i="1"/>
  <c r="WF39" i="1"/>
  <c r="WF40" i="1"/>
  <c r="WF41" i="1"/>
  <c r="WF42" i="1"/>
  <c r="WF43" i="1"/>
  <c r="WF44" i="1"/>
  <c r="WF45" i="1"/>
  <c r="WF46" i="1"/>
  <c r="WF47" i="1"/>
  <c r="WF48" i="1"/>
  <c r="WF49" i="1"/>
  <c r="WF50" i="1"/>
  <c r="WF51" i="1"/>
  <c r="WF52" i="1"/>
  <c r="WF53" i="1"/>
  <c r="WF54" i="1"/>
  <c r="WF55" i="1"/>
  <c r="WF56" i="1"/>
  <c r="WF57" i="1"/>
  <c r="WF58" i="1"/>
  <c r="WF59" i="1"/>
  <c r="WF60" i="1"/>
  <c r="WF61" i="1"/>
  <c r="WF62" i="1"/>
  <c r="WF63" i="1"/>
  <c r="WF64" i="1"/>
  <c r="WF65" i="1"/>
  <c r="WF66" i="1"/>
  <c r="WF67" i="1"/>
  <c r="WF68" i="1"/>
  <c r="WF69" i="1"/>
  <c r="WF70" i="1"/>
  <c r="WF71" i="1"/>
  <c r="WF72" i="1"/>
  <c r="WF73" i="1"/>
  <c r="WF74" i="1"/>
  <c r="WF75" i="1"/>
  <c r="WF76" i="1"/>
  <c r="WF77" i="1"/>
  <c r="WF78" i="1"/>
  <c r="WF79" i="1"/>
  <c r="WF80" i="1"/>
  <c r="WF81" i="1"/>
  <c r="WF82" i="1"/>
  <c r="WF83" i="1"/>
  <c r="WF84" i="1"/>
  <c r="WF85" i="1"/>
  <c r="WF86" i="1"/>
  <c r="WF87" i="1"/>
  <c r="WF88" i="1"/>
  <c r="WF89" i="1"/>
  <c r="WF90" i="1"/>
  <c r="WF91" i="1"/>
  <c r="WF92" i="1"/>
  <c r="WF93" i="1"/>
  <c r="WF94" i="1"/>
  <c r="WF95" i="1"/>
  <c r="WF96" i="1"/>
  <c r="WF97" i="1"/>
  <c r="WF98" i="1"/>
  <c r="WF99" i="1"/>
  <c r="WF100" i="1"/>
  <c r="WF101" i="1"/>
  <c r="WF102" i="1"/>
  <c r="WF103" i="1"/>
  <c r="WF104" i="1"/>
  <c r="WF105" i="1"/>
  <c r="WF106" i="1"/>
  <c r="WF107" i="1"/>
  <c r="WF108" i="1"/>
  <c r="WF109" i="1"/>
  <c r="WF110" i="1"/>
  <c r="WF111" i="1"/>
  <c r="WF112" i="1"/>
  <c r="WF113" i="1"/>
  <c r="WF114" i="1"/>
  <c r="WF115" i="1"/>
  <c r="WF116" i="1"/>
  <c r="WF117" i="1"/>
  <c r="WF118" i="1"/>
  <c r="WF119" i="1"/>
  <c r="WF120" i="1"/>
  <c r="WF121" i="1"/>
  <c r="WF122" i="1"/>
  <c r="WF123" i="1"/>
  <c r="WF124" i="1"/>
  <c r="WF125" i="1"/>
  <c r="WF126" i="1"/>
  <c r="WF127" i="1"/>
  <c r="WF128" i="1"/>
  <c r="WF129" i="1"/>
  <c r="WF130" i="1"/>
  <c r="WF131" i="1"/>
  <c r="WF132" i="1"/>
  <c r="WF133" i="1"/>
  <c r="WF134" i="1"/>
  <c r="WF135" i="1"/>
  <c r="WF136" i="1"/>
  <c r="WF137" i="1"/>
  <c r="WF138" i="1"/>
  <c r="WF139" i="1"/>
  <c r="WF140" i="1"/>
  <c r="WF141" i="1"/>
  <c r="WF142" i="1"/>
  <c r="WF143" i="1"/>
  <c r="WF144" i="1"/>
  <c r="WF145" i="1"/>
  <c r="WF146" i="1"/>
  <c r="WF147" i="1"/>
  <c r="WF148" i="1"/>
  <c r="WF149" i="1"/>
  <c r="WF150" i="1"/>
  <c r="WF151" i="1"/>
  <c r="WF152" i="1"/>
  <c r="WF153" i="1"/>
  <c r="WF154" i="1"/>
  <c r="WF155" i="1"/>
  <c r="WF156" i="1"/>
  <c r="WF157" i="1"/>
  <c r="WF158" i="1"/>
  <c r="WF159" i="1"/>
  <c r="WF160" i="1"/>
  <c r="WF161" i="1"/>
  <c r="WF162" i="1"/>
  <c r="WF163" i="1"/>
  <c r="WF10" i="1"/>
  <c r="TN11" i="1" l="1"/>
  <c r="TN12" i="1"/>
  <c r="TN13" i="1"/>
  <c r="TN14" i="1"/>
  <c r="TN15" i="1"/>
  <c r="TN16" i="1"/>
  <c r="TN17" i="1"/>
  <c r="TN18" i="1"/>
  <c r="TN19" i="1"/>
  <c r="TN20" i="1"/>
  <c r="TN21" i="1"/>
  <c r="TN22" i="1"/>
  <c r="TN23" i="1"/>
  <c r="TN24" i="1"/>
  <c r="TN25" i="1"/>
  <c r="TN26" i="1"/>
  <c r="TN27" i="1"/>
  <c r="TN28" i="1"/>
  <c r="TN29" i="1"/>
  <c r="TN30" i="1"/>
  <c r="TN31" i="1"/>
  <c r="TN32" i="1"/>
  <c r="TN33" i="1"/>
  <c r="TN34" i="1"/>
  <c r="TN35" i="1"/>
  <c r="TN36" i="1"/>
  <c r="TN37" i="1"/>
  <c r="TN38" i="1"/>
  <c r="TN39" i="1"/>
  <c r="TN40" i="1"/>
  <c r="TN41" i="1"/>
  <c r="TN42" i="1"/>
  <c r="TN43" i="1"/>
  <c r="TN44" i="1"/>
  <c r="TN45" i="1"/>
  <c r="TN46" i="1"/>
  <c r="TN47" i="1"/>
  <c r="TN48" i="1"/>
  <c r="TN49" i="1"/>
  <c r="TN50" i="1"/>
  <c r="TN51" i="1"/>
  <c r="TN52" i="1"/>
  <c r="TN53" i="1"/>
  <c r="TN54" i="1"/>
  <c r="TN55" i="1"/>
  <c r="TN56" i="1"/>
  <c r="TN57" i="1"/>
  <c r="TN58" i="1"/>
  <c r="TN59" i="1"/>
  <c r="TN60" i="1"/>
  <c r="TN61" i="1"/>
  <c r="TN62" i="1"/>
  <c r="TN63" i="1"/>
  <c r="TN64" i="1"/>
  <c r="TN65" i="1"/>
  <c r="TN66" i="1"/>
  <c r="TN67" i="1"/>
  <c r="TN68" i="1"/>
  <c r="TN69" i="1"/>
  <c r="TN70" i="1"/>
  <c r="TN71" i="1"/>
  <c r="TN72" i="1"/>
  <c r="TN73" i="1"/>
  <c r="TN74" i="1"/>
  <c r="TN75" i="1"/>
  <c r="TN76" i="1"/>
  <c r="TN77" i="1"/>
  <c r="TN78" i="1"/>
  <c r="TN79" i="1"/>
  <c r="TN80" i="1"/>
  <c r="TN81" i="1"/>
  <c r="TN82" i="1"/>
  <c r="TN83" i="1"/>
  <c r="TN84" i="1"/>
  <c r="TN85" i="1"/>
  <c r="TN86" i="1"/>
  <c r="TN87" i="1"/>
  <c r="TN88" i="1"/>
  <c r="TN89" i="1"/>
  <c r="TN90" i="1"/>
  <c r="TN91" i="1"/>
  <c r="TN92" i="1"/>
  <c r="TN93" i="1"/>
  <c r="TN94" i="1"/>
  <c r="TN95" i="1"/>
  <c r="TN96" i="1"/>
  <c r="TN97" i="1"/>
  <c r="TN98" i="1"/>
  <c r="TN99" i="1"/>
  <c r="TN100" i="1"/>
  <c r="TN101" i="1"/>
  <c r="TN102" i="1"/>
  <c r="TN103" i="1"/>
  <c r="TN104" i="1"/>
  <c r="TN105" i="1"/>
  <c r="TN106" i="1"/>
  <c r="TN107" i="1"/>
  <c r="TN108" i="1"/>
  <c r="TN109" i="1"/>
  <c r="TN110" i="1"/>
  <c r="TN111" i="1"/>
  <c r="TN112" i="1"/>
  <c r="TN113" i="1"/>
  <c r="TN114" i="1"/>
  <c r="TN115" i="1"/>
  <c r="TN116" i="1"/>
  <c r="TN117" i="1"/>
  <c r="TN118" i="1"/>
  <c r="TN119" i="1"/>
  <c r="TN120" i="1"/>
  <c r="TN121" i="1"/>
  <c r="TN122" i="1"/>
  <c r="TN123" i="1"/>
  <c r="TN124" i="1"/>
  <c r="TN125" i="1"/>
  <c r="TN126" i="1"/>
  <c r="TN127" i="1"/>
  <c r="TN128" i="1"/>
  <c r="TN129" i="1"/>
  <c r="TN130" i="1"/>
  <c r="TN131" i="1"/>
  <c r="TN132" i="1"/>
  <c r="TN133" i="1"/>
  <c r="TN134" i="1"/>
  <c r="TN135" i="1"/>
  <c r="TN136" i="1"/>
  <c r="TN137" i="1"/>
  <c r="TN138" i="1"/>
  <c r="TN139" i="1"/>
  <c r="TN140" i="1"/>
  <c r="TN141" i="1"/>
  <c r="TN142" i="1"/>
  <c r="TN143" i="1"/>
  <c r="TN144" i="1"/>
  <c r="TN145" i="1"/>
  <c r="TN146" i="1"/>
  <c r="TN147" i="1"/>
  <c r="TN148" i="1"/>
  <c r="TN149" i="1"/>
  <c r="TN150" i="1"/>
  <c r="TN151" i="1"/>
  <c r="TN152" i="1"/>
  <c r="TN153" i="1"/>
  <c r="TN154" i="1"/>
  <c r="TN155" i="1"/>
  <c r="TN156" i="1"/>
  <c r="TN157" i="1"/>
  <c r="TN158" i="1"/>
  <c r="TN159" i="1"/>
  <c r="TN160" i="1"/>
  <c r="TN161" i="1"/>
  <c r="TN162" i="1"/>
  <c r="TN163" i="1"/>
  <c r="UE5" i="1"/>
  <c r="SG6" i="1" l="1"/>
  <c r="SH6" i="1"/>
  <c r="RX13" i="1" l="1"/>
  <c r="VQ13" i="1" s="1"/>
  <c r="K100" i="14" l="1"/>
  <c r="SV11" i="1"/>
  <c r="SV12" i="1"/>
  <c r="E99" i="14" s="1"/>
  <c r="E87" i="10" s="1"/>
  <c r="SV13" i="1"/>
  <c r="E100" i="14" s="1"/>
  <c r="E88" i="10" s="1"/>
  <c r="SV14" i="1"/>
  <c r="SV15" i="1"/>
  <c r="SV16" i="1"/>
  <c r="E103" i="14" s="1"/>
  <c r="E91" i="10" s="1"/>
  <c r="SV17" i="1"/>
  <c r="SV18" i="1"/>
  <c r="C101" i="13" s="1"/>
  <c r="SV19" i="1"/>
  <c r="SV20" i="1"/>
  <c r="SV21" i="1"/>
  <c r="E108" i="14" s="1"/>
  <c r="E96" i="10" s="1"/>
  <c r="SV22" i="1"/>
  <c r="C93" i="13" s="1"/>
  <c r="SV23" i="1"/>
  <c r="SV24" i="1"/>
  <c r="SV25" i="1"/>
  <c r="E112" i="14" s="1"/>
  <c r="E100" i="10" s="1"/>
  <c r="SV26" i="1"/>
  <c r="C34" i="13" s="1"/>
  <c r="SV27" i="1"/>
  <c r="SV28" i="1"/>
  <c r="E115" i="14" s="1"/>
  <c r="E103" i="10" s="1"/>
  <c r="SV29" i="1"/>
  <c r="SV30" i="1"/>
  <c r="C134" i="13" s="1"/>
  <c r="SV31" i="1"/>
  <c r="SV32" i="1"/>
  <c r="SV33" i="1"/>
  <c r="SV34" i="1"/>
  <c r="C117" i="13" s="1"/>
  <c r="SV35" i="1"/>
  <c r="E122" i="14" s="1"/>
  <c r="E110" i="10" s="1"/>
  <c r="SV36" i="1"/>
  <c r="SV37" i="1"/>
  <c r="E124" i="14" s="1"/>
  <c r="E112" i="10" s="1"/>
  <c r="SV38" i="1"/>
  <c r="C147" i="13" s="1"/>
  <c r="SV39" i="1"/>
  <c r="SV40" i="1"/>
  <c r="E127" i="14" s="1"/>
  <c r="E115" i="10" s="1"/>
  <c r="SV41" i="1"/>
  <c r="E128" i="14" s="1"/>
  <c r="E116" i="10" s="1"/>
  <c r="SV42" i="1"/>
  <c r="C97" i="13" s="1"/>
  <c r="SV43" i="1"/>
  <c r="E130" i="14" s="1"/>
  <c r="E118" i="10" s="1"/>
  <c r="SV44" i="1"/>
  <c r="E131" i="14" s="1"/>
  <c r="E119" i="10" s="1"/>
  <c r="SV45" i="1"/>
  <c r="SV46" i="1"/>
  <c r="C32" i="13" s="1"/>
  <c r="SV47" i="1"/>
  <c r="SV48" i="1"/>
  <c r="E135" i="14" s="1"/>
  <c r="E123" i="10" s="1"/>
  <c r="SV49" i="1"/>
  <c r="E136" i="14" s="1"/>
  <c r="E124" i="10" s="1"/>
  <c r="SV50" i="1"/>
  <c r="C107" i="13" s="1"/>
  <c r="SV51" i="1"/>
  <c r="E138" i="14" s="1"/>
  <c r="E126" i="10" s="1"/>
  <c r="SV52" i="1"/>
  <c r="SV53" i="1"/>
  <c r="E140" i="14" s="1"/>
  <c r="E128" i="10" s="1"/>
  <c r="SV54" i="1"/>
  <c r="C73" i="13" s="1"/>
  <c r="SV55" i="1"/>
  <c r="E142" i="14" s="1"/>
  <c r="E130" i="10" s="1"/>
  <c r="SV56" i="1"/>
  <c r="E143" i="14" s="1"/>
  <c r="E131" i="10" s="1"/>
  <c r="SV57" i="1"/>
  <c r="E144" i="14" s="1"/>
  <c r="E132" i="10" s="1"/>
  <c r="SV58" i="1"/>
  <c r="C128" i="13" s="1"/>
  <c r="SV59" i="1"/>
  <c r="E146" i="14" s="1"/>
  <c r="E134" i="10" s="1"/>
  <c r="SV60" i="1"/>
  <c r="SV61" i="1"/>
  <c r="E148" i="14" s="1"/>
  <c r="E136" i="10" s="1"/>
  <c r="SV62" i="1"/>
  <c r="C62" i="13" s="1"/>
  <c r="SV63" i="1"/>
  <c r="E150" i="14" s="1"/>
  <c r="E138" i="10" s="1"/>
  <c r="SV64" i="1"/>
  <c r="SV65" i="1"/>
  <c r="E152" i="14" s="1"/>
  <c r="E140" i="10" s="1"/>
  <c r="SV66" i="1"/>
  <c r="C112" i="13" s="1"/>
  <c r="SV67" i="1"/>
  <c r="E154" i="14" s="1"/>
  <c r="E142" i="10" s="1"/>
  <c r="SV68" i="1"/>
  <c r="E155" i="14" s="1"/>
  <c r="E143" i="10" s="1"/>
  <c r="SV69" i="1"/>
  <c r="E156" i="14" s="1"/>
  <c r="E144" i="10" s="1"/>
  <c r="SV70" i="1"/>
  <c r="C135" i="13" s="1"/>
  <c r="SV71" i="1"/>
  <c r="E158" i="14" s="1"/>
  <c r="E146" i="10" s="1"/>
  <c r="SV72" i="1"/>
  <c r="E159" i="14" s="1"/>
  <c r="E147" i="10" s="1"/>
  <c r="SV73" i="1"/>
  <c r="E160" i="14" s="1"/>
  <c r="E148" i="10" s="1"/>
  <c r="SV74" i="1"/>
  <c r="SV75" i="1"/>
  <c r="E162" i="14" s="1"/>
  <c r="E150" i="10" s="1"/>
  <c r="SV76" i="1"/>
  <c r="SV77" i="1"/>
  <c r="SV78" i="1"/>
  <c r="C39" i="13" s="1"/>
  <c r="SV79" i="1"/>
  <c r="E166" i="14" s="1"/>
  <c r="E154" i="10" s="1"/>
  <c r="SV80" i="1"/>
  <c r="SV81" i="1"/>
  <c r="E168" i="14" s="1"/>
  <c r="E156" i="10" s="1"/>
  <c r="SV82" i="1"/>
  <c r="C95" i="13" s="1"/>
  <c r="SV83" i="1"/>
  <c r="E170" i="14" s="1"/>
  <c r="E158" i="10" s="1"/>
  <c r="SV84" i="1"/>
  <c r="E171" i="14" s="1"/>
  <c r="E159" i="10" s="1"/>
  <c r="SV85" i="1"/>
  <c r="E172" i="14" s="1"/>
  <c r="E160" i="10" s="1"/>
  <c r="SV86" i="1"/>
  <c r="C29" i="13" s="1"/>
  <c r="SV87" i="1"/>
  <c r="E174" i="14" s="1"/>
  <c r="E162" i="10" s="1"/>
  <c r="SV88" i="1"/>
  <c r="E175" i="14" s="1"/>
  <c r="E163" i="10" s="1"/>
  <c r="SV89" i="1"/>
  <c r="E176" i="14" s="1"/>
  <c r="E164" i="10" s="1"/>
  <c r="SV90" i="1"/>
  <c r="C142" i="13" s="1"/>
  <c r="SV91" i="1"/>
  <c r="E178" i="14" s="1"/>
  <c r="E166" i="10" s="1"/>
  <c r="SV92" i="1"/>
  <c r="SV93" i="1"/>
  <c r="E180" i="14" s="1"/>
  <c r="E168" i="10" s="1"/>
  <c r="SV94" i="1"/>
  <c r="C81" i="13" s="1"/>
  <c r="SV95" i="1"/>
  <c r="E182" i="14" s="1"/>
  <c r="E170" i="10" s="1"/>
  <c r="SV96" i="1"/>
  <c r="SV97" i="1"/>
  <c r="SV98" i="1"/>
  <c r="C4" i="13" s="1"/>
  <c r="SV99" i="1"/>
  <c r="E186" i="14" s="1"/>
  <c r="E174" i="10" s="1"/>
  <c r="SV100" i="1"/>
  <c r="E187" i="14" s="1"/>
  <c r="E175" i="10" s="1"/>
  <c r="SV101" i="1"/>
  <c r="E188" i="14" s="1"/>
  <c r="E176" i="10" s="1"/>
  <c r="SV102" i="1"/>
  <c r="C102" i="13" s="1"/>
  <c r="SV103" i="1"/>
  <c r="E190" i="14" s="1"/>
  <c r="E178" i="10" s="1"/>
  <c r="SV104" i="1"/>
  <c r="E191" i="14" s="1"/>
  <c r="E179" i="10" s="1"/>
  <c r="SV105" i="1"/>
  <c r="E192" i="14" s="1"/>
  <c r="E180" i="10" s="1"/>
  <c r="SV106" i="1"/>
  <c r="SV107" i="1"/>
  <c r="E194" i="14" s="1"/>
  <c r="E182" i="10" s="1"/>
  <c r="SV108" i="1"/>
  <c r="SV109" i="1"/>
  <c r="E196" i="14" s="1"/>
  <c r="E184" i="10" s="1"/>
  <c r="SV110" i="1"/>
  <c r="C6" i="13" s="1"/>
  <c r="SV111" i="1"/>
  <c r="E198" i="14" s="1"/>
  <c r="E186" i="10" s="1"/>
  <c r="SV112" i="1"/>
  <c r="SV113" i="1"/>
  <c r="SV114" i="1"/>
  <c r="SV115" i="1"/>
  <c r="SV116" i="1"/>
  <c r="E203" i="14" s="1"/>
  <c r="E191" i="10" s="1"/>
  <c r="SV117" i="1"/>
  <c r="E204" i="14" s="1"/>
  <c r="E192" i="10" s="1"/>
  <c r="SV118" i="1"/>
  <c r="C57" i="13" s="1"/>
  <c r="SV119" i="1"/>
  <c r="SV120" i="1"/>
  <c r="E207" i="14" s="1"/>
  <c r="E195" i="10" s="1"/>
  <c r="SV121" i="1"/>
  <c r="E208" i="14" s="1"/>
  <c r="E196" i="10" s="1"/>
  <c r="SV122" i="1"/>
  <c r="C119" i="13" s="1"/>
  <c r="SV123" i="1"/>
  <c r="SV124" i="1"/>
  <c r="SV125" i="1"/>
  <c r="E212" i="14" s="1"/>
  <c r="E200" i="10" s="1"/>
  <c r="SV126" i="1"/>
  <c r="C87" i="13" s="1"/>
  <c r="SV127" i="1"/>
  <c r="E214" i="14" s="1"/>
  <c r="E202" i="10" s="1"/>
  <c r="SV128" i="1"/>
  <c r="SV129" i="1"/>
  <c r="SV130" i="1"/>
  <c r="C52" i="13" s="1"/>
  <c r="SV131" i="1"/>
  <c r="SV132" i="1"/>
  <c r="E219" i="14" s="1"/>
  <c r="E207" i="10" s="1"/>
  <c r="SV133" i="1"/>
  <c r="SV134" i="1"/>
  <c r="C28" i="13" s="1"/>
  <c r="SV135" i="1"/>
  <c r="E222" i="14" s="1"/>
  <c r="E210" i="10" s="1"/>
  <c r="SV136" i="1"/>
  <c r="E223" i="14" s="1"/>
  <c r="E211" i="10" s="1"/>
  <c r="SV137" i="1"/>
  <c r="E224" i="14" s="1"/>
  <c r="E212" i="10" s="1"/>
  <c r="SV138" i="1"/>
  <c r="C65" i="13" s="1"/>
  <c r="SV139" i="1"/>
  <c r="SV140" i="1"/>
  <c r="E227" i="14" s="1"/>
  <c r="E215" i="10" s="1"/>
  <c r="SV141" i="1"/>
  <c r="E228" i="14" s="1"/>
  <c r="E216" i="10" s="1"/>
  <c r="SV142" i="1"/>
  <c r="C68" i="13" s="1"/>
  <c r="SV143" i="1"/>
  <c r="E230" i="14" s="1"/>
  <c r="E218" i="10" s="1"/>
  <c r="SV144" i="1"/>
  <c r="E231" i="14" s="1"/>
  <c r="E219" i="10" s="1"/>
  <c r="SV145" i="1"/>
  <c r="SV146" i="1"/>
  <c r="C10" i="13" s="1"/>
  <c r="SV147" i="1"/>
  <c r="SV148" i="1"/>
  <c r="E235" i="14" s="1"/>
  <c r="E223" i="10" s="1"/>
  <c r="SV149" i="1"/>
  <c r="SV150" i="1"/>
  <c r="C8" i="13" s="1"/>
  <c r="SV151" i="1"/>
  <c r="E238" i="14" s="1"/>
  <c r="E226" i="10" s="1"/>
  <c r="SV152" i="1"/>
  <c r="E239" i="14" s="1"/>
  <c r="E227" i="10" s="1"/>
  <c r="SV153" i="1"/>
  <c r="E240" i="14" s="1"/>
  <c r="E228" i="10" s="1"/>
  <c r="SV154" i="1"/>
  <c r="C18" i="13" s="1"/>
  <c r="SV155" i="1"/>
  <c r="E242" i="14" s="1"/>
  <c r="E230" i="10" s="1"/>
  <c r="SV156" i="1"/>
  <c r="SV157" i="1"/>
  <c r="SV158" i="1"/>
  <c r="SV159" i="1"/>
  <c r="E246" i="14" s="1"/>
  <c r="E234" i="10" s="1"/>
  <c r="SV160" i="1"/>
  <c r="E247" i="14" s="1"/>
  <c r="E235" i="10" s="1"/>
  <c r="SV161" i="1"/>
  <c r="SV162" i="1"/>
  <c r="SV163" i="1"/>
  <c r="SV10" i="1"/>
  <c r="E97" i="14" s="1"/>
  <c r="E85" i="10" s="1"/>
  <c r="V6" i="25"/>
  <c r="V7" i="25"/>
  <c r="V8" i="25"/>
  <c r="V9" i="25"/>
  <c r="V10" i="25"/>
  <c r="V11" i="25"/>
  <c r="V12" i="25"/>
  <c r="V13" i="25"/>
  <c r="V14" i="25"/>
  <c r="V15" i="25"/>
  <c r="V16" i="25"/>
  <c r="V17" i="25"/>
  <c r="V18" i="25"/>
  <c r="V19" i="25"/>
  <c r="V20" i="25"/>
  <c r="V21" i="25"/>
  <c r="V22" i="25"/>
  <c r="V23" i="25"/>
  <c r="V24" i="25"/>
  <c r="V25" i="25"/>
  <c r="V26" i="25"/>
  <c r="V27" i="25"/>
  <c r="V28" i="25"/>
  <c r="V29" i="25"/>
  <c r="V30" i="25"/>
  <c r="V31" i="25"/>
  <c r="V32" i="25"/>
  <c r="V33" i="25"/>
  <c r="V34" i="25"/>
  <c r="V35" i="25"/>
  <c r="V36" i="25"/>
  <c r="V37" i="25"/>
  <c r="V38" i="25"/>
  <c r="V39" i="25"/>
  <c r="V40" i="25"/>
  <c r="V41" i="25"/>
  <c r="V42" i="25"/>
  <c r="V43" i="25"/>
  <c r="V44" i="25"/>
  <c r="V45" i="25"/>
  <c r="V46" i="25"/>
  <c r="V47" i="25"/>
  <c r="V48" i="25"/>
  <c r="V49" i="25"/>
  <c r="V50" i="25"/>
  <c r="V51" i="25"/>
  <c r="V52" i="25"/>
  <c r="V53" i="25"/>
  <c r="V54" i="25"/>
  <c r="V55" i="25"/>
  <c r="V56" i="25"/>
  <c r="V57" i="25"/>
  <c r="V58" i="25"/>
  <c r="V59" i="25"/>
  <c r="V60" i="25"/>
  <c r="V61" i="25"/>
  <c r="V62" i="25"/>
  <c r="V63" i="25"/>
  <c r="V64" i="25"/>
  <c r="V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V109" i="25"/>
  <c r="V110" i="25"/>
  <c r="V111" i="25"/>
  <c r="V112" i="25"/>
  <c r="V113" i="25"/>
  <c r="V114" i="25"/>
  <c r="V115" i="25"/>
  <c r="V116" i="25"/>
  <c r="V117" i="25"/>
  <c r="V118" i="25"/>
  <c r="V119" i="25"/>
  <c r="V120" i="25"/>
  <c r="V121" i="25"/>
  <c r="V122" i="25"/>
  <c r="V123" i="25"/>
  <c r="V124" i="25"/>
  <c r="V125" i="25"/>
  <c r="V126" i="25"/>
  <c r="V127" i="25"/>
  <c r="V128" i="25"/>
  <c r="V129" i="25"/>
  <c r="V130" i="25"/>
  <c r="V131" i="25"/>
  <c r="V132" i="25"/>
  <c r="V133" i="25"/>
  <c r="V134" i="25"/>
  <c r="V135" i="25"/>
  <c r="V136" i="25"/>
  <c r="V137" i="25"/>
  <c r="V138" i="25"/>
  <c r="V139" i="25"/>
  <c r="V140" i="25"/>
  <c r="V141" i="25"/>
  <c r="V142" i="25"/>
  <c r="V143" i="25"/>
  <c r="V144" i="25"/>
  <c r="V145" i="25"/>
  <c r="V146" i="25"/>
  <c r="V147" i="25"/>
  <c r="V5" i="25"/>
  <c r="T6" i="25"/>
  <c r="U6" i="25"/>
  <c r="T7" i="25"/>
  <c r="U7" i="25"/>
  <c r="T8" i="25"/>
  <c r="U8" i="25"/>
  <c r="T9" i="25"/>
  <c r="U9" i="25"/>
  <c r="T10" i="25"/>
  <c r="U10" i="25"/>
  <c r="T11" i="25"/>
  <c r="U11" i="25"/>
  <c r="T12" i="25"/>
  <c r="U12" i="25"/>
  <c r="T13" i="25"/>
  <c r="U13" i="25"/>
  <c r="T14" i="25"/>
  <c r="U14" i="25"/>
  <c r="T15" i="25"/>
  <c r="U15" i="25"/>
  <c r="T16" i="25"/>
  <c r="U16" i="25"/>
  <c r="T17" i="25"/>
  <c r="U17" i="25"/>
  <c r="T18" i="25"/>
  <c r="U18" i="25"/>
  <c r="T19" i="25"/>
  <c r="U19" i="25"/>
  <c r="T20" i="25"/>
  <c r="U20" i="25"/>
  <c r="T21" i="25"/>
  <c r="U21" i="25"/>
  <c r="T22" i="25"/>
  <c r="U22" i="25"/>
  <c r="T23" i="25"/>
  <c r="U23" i="25"/>
  <c r="T24" i="25"/>
  <c r="U24" i="25"/>
  <c r="T25" i="25"/>
  <c r="U25" i="25"/>
  <c r="T26" i="25"/>
  <c r="U26" i="25"/>
  <c r="T27" i="25"/>
  <c r="U27" i="25"/>
  <c r="T28" i="25"/>
  <c r="U28" i="25"/>
  <c r="T29" i="25"/>
  <c r="U29" i="25"/>
  <c r="T30" i="25"/>
  <c r="U30" i="25"/>
  <c r="T31" i="25"/>
  <c r="U31" i="25"/>
  <c r="T32" i="25"/>
  <c r="U32" i="25"/>
  <c r="T33" i="25"/>
  <c r="U33" i="25"/>
  <c r="T34" i="25"/>
  <c r="U34" i="25"/>
  <c r="T35" i="25"/>
  <c r="U35" i="25"/>
  <c r="T36" i="25"/>
  <c r="U36" i="25"/>
  <c r="T37" i="25"/>
  <c r="U37" i="25"/>
  <c r="T38" i="25"/>
  <c r="U38" i="25"/>
  <c r="T39" i="25"/>
  <c r="U39" i="25"/>
  <c r="T40" i="25"/>
  <c r="U40" i="25"/>
  <c r="T41" i="25"/>
  <c r="U41" i="25"/>
  <c r="T42" i="25"/>
  <c r="U42" i="25"/>
  <c r="T43" i="25"/>
  <c r="U43" i="25"/>
  <c r="T44" i="25"/>
  <c r="U44" i="25"/>
  <c r="T45" i="25"/>
  <c r="U45" i="25"/>
  <c r="T46" i="25"/>
  <c r="U46" i="25"/>
  <c r="T47" i="25"/>
  <c r="U47" i="25"/>
  <c r="T48" i="25"/>
  <c r="U48" i="25"/>
  <c r="T49" i="25"/>
  <c r="U49" i="25"/>
  <c r="T50" i="25"/>
  <c r="U50" i="25"/>
  <c r="T51" i="25"/>
  <c r="U51" i="25"/>
  <c r="T52" i="25"/>
  <c r="U52" i="25"/>
  <c r="T53" i="25"/>
  <c r="U53" i="25"/>
  <c r="T54" i="25"/>
  <c r="U54" i="25"/>
  <c r="T55" i="25"/>
  <c r="U55" i="25"/>
  <c r="T56" i="25"/>
  <c r="U56" i="25"/>
  <c r="T57" i="25"/>
  <c r="U57" i="25"/>
  <c r="T58" i="25"/>
  <c r="U58" i="25"/>
  <c r="T59" i="25"/>
  <c r="U59" i="25"/>
  <c r="T60" i="25"/>
  <c r="U60" i="25"/>
  <c r="T61" i="25"/>
  <c r="U61" i="25"/>
  <c r="T62" i="25"/>
  <c r="U62" i="25"/>
  <c r="T63" i="25"/>
  <c r="U63" i="25"/>
  <c r="T64" i="25"/>
  <c r="U64" i="25"/>
  <c r="T65" i="25"/>
  <c r="U65" i="25"/>
  <c r="T66" i="25"/>
  <c r="U66" i="25"/>
  <c r="T67" i="25"/>
  <c r="U67" i="25"/>
  <c r="T68" i="25"/>
  <c r="U68" i="25"/>
  <c r="T69" i="25"/>
  <c r="U69" i="25"/>
  <c r="T70" i="25"/>
  <c r="U70" i="25"/>
  <c r="T71" i="25"/>
  <c r="U71" i="25"/>
  <c r="T72" i="25"/>
  <c r="U72" i="25"/>
  <c r="T73" i="25"/>
  <c r="U73" i="25"/>
  <c r="T74" i="25"/>
  <c r="U74" i="25"/>
  <c r="T75" i="25"/>
  <c r="U75" i="25"/>
  <c r="T76" i="25"/>
  <c r="U76" i="25"/>
  <c r="T77" i="25"/>
  <c r="U77" i="25"/>
  <c r="T78" i="25"/>
  <c r="U78" i="25"/>
  <c r="T79" i="25"/>
  <c r="U79" i="25"/>
  <c r="T80" i="25"/>
  <c r="U80" i="25"/>
  <c r="T81" i="25"/>
  <c r="U81" i="25"/>
  <c r="T82" i="25"/>
  <c r="U82" i="25"/>
  <c r="T83" i="25"/>
  <c r="U83" i="25"/>
  <c r="T84" i="25"/>
  <c r="U84" i="25"/>
  <c r="T85" i="25"/>
  <c r="U85" i="25"/>
  <c r="T86" i="25"/>
  <c r="U86" i="25"/>
  <c r="T87" i="25"/>
  <c r="U87" i="25"/>
  <c r="T88" i="25"/>
  <c r="U88" i="25"/>
  <c r="T89" i="25"/>
  <c r="U89" i="25"/>
  <c r="T90" i="25"/>
  <c r="U90" i="25"/>
  <c r="T91" i="25"/>
  <c r="U91" i="25"/>
  <c r="T92" i="25"/>
  <c r="U92" i="25"/>
  <c r="T93" i="25"/>
  <c r="U93" i="25"/>
  <c r="T94" i="25"/>
  <c r="U94" i="25"/>
  <c r="T95" i="25"/>
  <c r="U95" i="25"/>
  <c r="T96" i="25"/>
  <c r="U96" i="25"/>
  <c r="T97" i="25"/>
  <c r="U97" i="25"/>
  <c r="T98" i="25"/>
  <c r="U98" i="25"/>
  <c r="T99" i="25"/>
  <c r="U99" i="25"/>
  <c r="T100" i="25"/>
  <c r="U100" i="25"/>
  <c r="T101" i="25"/>
  <c r="U101" i="25"/>
  <c r="T102" i="25"/>
  <c r="U102" i="25"/>
  <c r="T103" i="25"/>
  <c r="U103" i="25"/>
  <c r="T104" i="25"/>
  <c r="U104" i="25"/>
  <c r="T105" i="25"/>
  <c r="U105" i="25"/>
  <c r="T106" i="25"/>
  <c r="U106" i="25"/>
  <c r="T107" i="25"/>
  <c r="U107" i="25"/>
  <c r="T108" i="25"/>
  <c r="U108" i="25"/>
  <c r="T109" i="25"/>
  <c r="U109" i="25"/>
  <c r="T110" i="25"/>
  <c r="U110" i="25"/>
  <c r="T111" i="25"/>
  <c r="U111" i="25"/>
  <c r="T112" i="25"/>
  <c r="U112" i="25"/>
  <c r="T113" i="25"/>
  <c r="U113" i="25"/>
  <c r="T114" i="25"/>
  <c r="U114" i="25"/>
  <c r="T115" i="25"/>
  <c r="U115" i="25"/>
  <c r="T116" i="25"/>
  <c r="U116" i="25"/>
  <c r="T117" i="25"/>
  <c r="U117" i="25"/>
  <c r="T118" i="25"/>
  <c r="U118" i="25"/>
  <c r="T119" i="25"/>
  <c r="U119" i="25"/>
  <c r="T120" i="25"/>
  <c r="U120" i="25"/>
  <c r="T121" i="25"/>
  <c r="U121" i="25"/>
  <c r="T122" i="25"/>
  <c r="U122" i="25"/>
  <c r="T123" i="25"/>
  <c r="U123" i="25"/>
  <c r="T124" i="25"/>
  <c r="U124" i="25"/>
  <c r="T125" i="25"/>
  <c r="U125" i="25"/>
  <c r="T126" i="25"/>
  <c r="U126" i="25"/>
  <c r="T127" i="25"/>
  <c r="U127" i="25"/>
  <c r="T128" i="25"/>
  <c r="U128" i="25"/>
  <c r="T129" i="25"/>
  <c r="U129" i="25"/>
  <c r="T130" i="25"/>
  <c r="U130" i="25"/>
  <c r="T131" i="25"/>
  <c r="U131" i="25"/>
  <c r="T132" i="25"/>
  <c r="U132" i="25"/>
  <c r="T133" i="25"/>
  <c r="U133" i="25"/>
  <c r="T134" i="25"/>
  <c r="U134" i="25"/>
  <c r="T135" i="25"/>
  <c r="U135" i="25"/>
  <c r="T136" i="25"/>
  <c r="U136" i="25"/>
  <c r="T137" i="25"/>
  <c r="U137" i="25"/>
  <c r="T138" i="25"/>
  <c r="U138" i="25"/>
  <c r="T139" i="25"/>
  <c r="U139" i="25"/>
  <c r="T140" i="25"/>
  <c r="U140" i="25"/>
  <c r="T141" i="25"/>
  <c r="U141" i="25"/>
  <c r="T142" i="25"/>
  <c r="U142" i="25"/>
  <c r="T143" i="25"/>
  <c r="U143" i="25"/>
  <c r="T144" i="25"/>
  <c r="U144" i="25"/>
  <c r="T145" i="25"/>
  <c r="U145" i="25"/>
  <c r="T146" i="25"/>
  <c r="U146" i="25"/>
  <c r="T147" i="25"/>
  <c r="U147" i="25"/>
  <c r="U5" i="25"/>
  <c r="T5" i="25"/>
  <c r="B98" i="14"/>
  <c r="B86" i="10" s="1"/>
  <c r="E98" i="14"/>
  <c r="E86" i="10" s="1"/>
  <c r="B99" i="14"/>
  <c r="B87" i="10" s="1"/>
  <c r="B100" i="14"/>
  <c r="B88" i="10" s="1"/>
  <c r="B101" i="14"/>
  <c r="B89" i="10" s="1"/>
  <c r="B102" i="14"/>
  <c r="B90" i="10" s="1"/>
  <c r="B103" i="14"/>
  <c r="B91" i="10" s="1"/>
  <c r="B104" i="14"/>
  <c r="B92" i="10" s="1"/>
  <c r="B105" i="14"/>
  <c r="B93" i="10" s="1"/>
  <c r="B106" i="14"/>
  <c r="B94" i="10" s="1"/>
  <c r="E106" i="14"/>
  <c r="E94" i="10" s="1"/>
  <c r="B107" i="14"/>
  <c r="B95" i="10" s="1"/>
  <c r="B108" i="14"/>
  <c r="B96" i="10" s="1"/>
  <c r="B109" i="14"/>
  <c r="B97" i="10" s="1"/>
  <c r="B110" i="14"/>
  <c r="B98" i="10" s="1"/>
  <c r="B111" i="14"/>
  <c r="B99" i="10" s="1"/>
  <c r="B112" i="14"/>
  <c r="B100" i="10" s="1"/>
  <c r="B113" i="14"/>
  <c r="B101" i="10" s="1"/>
  <c r="B114" i="14"/>
  <c r="B102" i="10" s="1"/>
  <c r="B115" i="14"/>
  <c r="B103" i="10" s="1"/>
  <c r="B116" i="14"/>
  <c r="B104" i="10" s="1"/>
  <c r="B117" i="14"/>
  <c r="B105" i="10" s="1"/>
  <c r="B118" i="14"/>
  <c r="B106" i="10" s="1"/>
  <c r="B119" i="14"/>
  <c r="B107" i="10" s="1"/>
  <c r="B120" i="14"/>
  <c r="B108" i="10" s="1"/>
  <c r="B121" i="14"/>
  <c r="B109" i="10" s="1"/>
  <c r="B122" i="14"/>
  <c r="B110" i="10" s="1"/>
  <c r="B123" i="14"/>
  <c r="B111" i="10" s="1"/>
  <c r="B124" i="14"/>
  <c r="B112" i="10" s="1"/>
  <c r="B125" i="14"/>
  <c r="B113" i="10" s="1"/>
  <c r="B126" i="14"/>
  <c r="B114" i="10" s="1"/>
  <c r="B127" i="14"/>
  <c r="B115" i="10" s="1"/>
  <c r="B128" i="14"/>
  <c r="B116" i="10" s="1"/>
  <c r="B129" i="14"/>
  <c r="B117" i="10" s="1"/>
  <c r="B130" i="14"/>
  <c r="B118" i="10" s="1"/>
  <c r="B131" i="14"/>
  <c r="B119" i="10" s="1"/>
  <c r="B132" i="14"/>
  <c r="B120" i="10" s="1"/>
  <c r="B133" i="14"/>
  <c r="B121" i="10" s="1"/>
  <c r="B134" i="14"/>
  <c r="B122" i="10" s="1"/>
  <c r="B135" i="14"/>
  <c r="B123" i="10" s="1"/>
  <c r="B136" i="14"/>
  <c r="B124" i="10" s="1"/>
  <c r="B137" i="14"/>
  <c r="B125" i="10" s="1"/>
  <c r="B138" i="14"/>
  <c r="B126" i="10" s="1"/>
  <c r="B139" i="14"/>
  <c r="B127" i="10" s="1"/>
  <c r="B140" i="14"/>
  <c r="B128" i="10" s="1"/>
  <c r="B141" i="14"/>
  <c r="B129" i="10" s="1"/>
  <c r="B142" i="14"/>
  <c r="B130" i="10" s="1"/>
  <c r="B143" i="14"/>
  <c r="B131" i="10" s="1"/>
  <c r="B144" i="14"/>
  <c r="B132" i="10" s="1"/>
  <c r="B145" i="14"/>
  <c r="B133" i="10" s="1"/>
  <c r="B146" i="14"/>
  <c r="B134" i="10" s="1"/>
  <c r="B147" i="14"/>
  <c r="B135" i="10" s="1"/>
  <c r="B148" i="14"/>
  <c r="B136" i="10" s="1"/>
  <c r="B149" i="14"/>
  <c r="B137" i="10" s="1"/>
  <c r="B150" i="14"/>
  <c r="B138" i="10" s="1"/>
  <c r="B151" i="14"/>
  <c r="B139" i="10" s="1"/>
  <c r="B152" i="14"/>
  <c r="B140" i="10" s="1"/>
  <c r="B153" i="14"/>
  <c r="B141" i="10" s="1"/>
  <c r="B154" i="14"/>
  <c r="B142" i="10" s="1"/>
  <c r="B155" i="14"/>
  <c r="B143" i="10" s="1"/>
  <c r="B156" i="14"/>
  <c r="B144" i="10" s="1"/>
  <c r="B157" i="14"/>
  <c r="B145" i="10" s="1"/>
  <c r="B158" i="14"/>
  <c r="B146" i="10" s="1"/>
  <c r="B159" i="14"/>
  <c r="B147" i="10" s="1"/>
  <c r="B160" i="14"/>
  <c r="B148" i="10" s="1"/>
  <c r="B161" i="14"/>
  <c r="B149" i="10" s="1"/>
  <c r="B162" i="14"/>
  <c r="B150" i="10" s="1"/>
  <c r="B163" i="14"/>
  <c r="B151" i="10" s="1"/>
  <c r="B164" i="14"/>
  <c r="B152" i="10" s="1"/>
  <c r="B165" i="14"/>
  <c r="B153" i="10" s="1"/>
  <c r="B166" i="14"/>
  <c r="B154" i="10" s="1"/>
  <c r="B167" i="14"/>
  <c r="B155" i="10" s="1"/>
  <c r="B168" i="14"/>
  <c r="B156" i="10" s="1"/>
  <c r="B169" i="14"/>
  <c r="B157" i="10" s="1"/>
  <c r="B170" i="14"/>
  <c r="B158" i="10" s="1"/>
  <c r="B171" i="14"/>
  <c r="B159" i="10" s="1"/>
  <c r="B172" i="14"/>
  <c r="B160" i="10" s="1"/>
  <c r="B173" i="14"/>
  <c r="B161" i="10" s="1"/>
  <c r="B174" i="14"/>
  <c r="B162" i="10" s="1"/>
  <c r="B175" i="14"/>
  <c r="B163" i="10" s="1"/>
  <c r="B176" i="14"/>
  <c r="B164" i="10" s="1"/>
  <c r="B177" i="14"/>
  <c r="B165" i="10" s="1"/>
  <c r="B178" i="14"/>
  <c r="B166" i="10" s="1"/>
  <c r="B179" i="14"/>
  <c r="B167" i="10" s="1"/>
  <c r="B180" i="14"/>
  <c r="B168" i="10" s="1"/>
  <c r="B181" i="14"/>
  <c r="B169" i="10" s="1"/>
  <c r="B182" i="14"/>
  <c r="B170" i="10" s="1"/>
  <c r="B183" i="14"/>
  <c r="B171" i="10" s="1"/>
  <c r="B184" i="14"/>
  <c r="B172" i="10" s="1"/>
  <c r="B185" i="14"/>
  <c r="B173" i="10" s="1"/>
  <c r="B186" i="14"/>
  <c r="B174" i="10" s="1"/>
  <c r="B187" i="14"/>
  <c r="B175" i="10" s="1"/>
  <c r="B188" i="14"/>
  <c r="B176" i="10" s="1"/>
  <c r="B189" i="14"/>
  <c r="B177" i="10" s="1"/>
  <c r="B190" i="14"/>
  <c r="B178" i="10" s="1"/>
  <c r="B191" i="14"/>
  <c r="B179" i="10" s="1"/>
  <c r="B192" i="14"/>
  <c r="B180" i="10" s="1"/>
  <c r="B193" i="14"/>
  <c r="B181" i="10" s="1"/>
  <c r="B194" i="14"/>
  <c r="B182" i="10" s="1"/>
  <c r="B195" i="14"/>
  <c r="B183" i="10" s="1"/>
  <c r="B196" i="14"/>
  <c r="B184" i="10" s="1"/>
  <c r="B197" i="14"/>
  <c r="B185" i="10" s="1"/>
  <c r="B198" i="14"/>
  <c r="B186" i="10" s="1"/>
  <c r="B199" i="14"/>
  <c r="B187" i="10" s="1"/>
  <c r="B200" i="14"/>
  <c r="B188" i="10" s="1"/>
  <c r="B201" i="14"/>
  <c r="B189" i="10" s="1"/>
  <c r="B202" i="14"/>
  <c r="B190" i="10" s="1"/>
  <c r="B203" i="14"/>
  <c r="B191" i="10" s="1"/>
  <c r="B204" i="14"/>
  <c r="B192" i="10" s="1"/>
  <c r="B205" i="14"/>
  <c r="B193" i="10" s="1"/>
  <c r="B206" i="14"/>
  <c r="B194" i="10" s="1"/>
  <c r="B207" i="14"/>
  <c r="B195" i="10" s="1"/>
  <c r="B208" i="14"/>
  <c r="B196" i="10" s="1"/>
  <c r="B209" i="14"/>
  <c r="B197" i="10" s="1"/>
  <c r="B210" i="14"/>
  <c r="B198" i="10" s="1"/>
  <c r="B211" i="14"/>
  <c r="B199" i="10" s="1"/>
  <c r="B212" i="14"/>
  <c r="B200" i="10" s="1"/>
  <c r="B213" i="14"/>
  <c r="B201" i="10" s="1"/>
  <c r="B214" i="14"/>
  <c r="B202" i="10" s="1"/>
  <c r="B215" i="14"/>
  <c r="B203" i="10" s="1"/>
  <c r="B216" i="14"/>
  <c r="B204" i="10" s="1"/>
  <c r="B217" i="14"/>
  <c r="B205" i="10" s="1"/>
  <c r="B218" i="14"/>
  <c r="B206" i="10" s="1"/>
  <c r="B219" i="14"/>
  <c r="B207" i="10" s="1"/>
  <c r="B220" i="14"/>
  <c r="B208" i="10" s="1"/>
  <c r="B221" i="14"/>
  <c r="B209" i="10" s="1"/>
  <c r="B222" i="14"/>
  <c r="B210" i="10" s="1"/>
  <c r="B223" i="14"/>
  <c r="B211" i="10" s="1"/>
  <c r="B224" i="14"/>
  <c r="B212" i="10" s="1"/>
  <c r="B225" i="14"/>
  <c r="B213" i="10" s="1"/>
  <c r="B226" i="14"/>
  <c r="B214" i="10" s="1"/>
  <c r="B227" i="14"/>
  <c r="B215" i="10" s="1"/>
  <c r="B228" i="14"/>
  <c r="B216" i="10" s="1"/>
  <c r="B229" i="14"/>
  <c r="B217" i="10" s="1"/>
  <c r="B230" i="14"/>
  <c r="B218" i="10" s="1"/>
  <c r="B231" i="14"/>
  <c r="B219" i="10" s="1"/>
  <c r="B232" i="14"/>
  <c r="B220" i="10" s="1"/>
  <c r="B233" i="14"/>
  <c r="B221" i="10" s="1"/>
  <c r="B234" i="14"/>
  <c r="B222" i="10" s="1"/>
  <c r="B235" i="14"/>
  <c r="B223" i="10" s="1"/>
  <c r="B236" i="14"/>
  <c r="B224" i="10" s="1"/>
  <c r="B237" i="14"/>
  <c r="B225" i="10" s="1"/>
  <c r="B238" i="14"/>
  <c r="B226" i="10" s="1"/>
  <c r="B239" i="14"/>
  <c r="B227" i="10" s="1"/>
  <c r="B240" i="14"/>
  <c r="B228" i="10" s="1"/>
  <c r="B241" i="14"/>
  <c r="B229" i="10" s="1"/>
  <c r="B242" i="14"/>
  <c r="B230" i="10" s="1"/>
  <c r="B243" i="14"/>
  <c r="B231" i="10" s="1"/>
  <c r="B244" i="14"/>
  <c r="B232" i="10" s="1"/>
  <c r="B245" i="14"/>
  <c r="B233" i="10" s="1"/>
  <c r="B246" i="14"/>
  <c r="B234" i="10" s="1"/>
  <c r="B247" i="14"/>
  <c r="B235" i="10" s="1"/>
  <c r="B248" i="14"/>
  <c r="B236" i="10" s="1"/>
  <c r="B249" i="14"/>
  <c r="B237" i="10" s="1"/>
  <c r="B250" i="14"/>
  <c r="B238" i="10" s="1"/>
  <c r="B97" i="14"/>
  <c r="TL148" i="1"/>
  <c r="S147" i="5"/>
  <c r="SW148" i="1"/>
  <c r="UR148" i="1" s="1"/>
  <c r="K142" i="6"/>
  <c r="O142" i="6"/>
  <c r="SY148" i="1"/>
  <c r="TD148" i="1" s="1"/>
  <c r="UV148" i="1" s="1"/>
  <c r="R136" i="4"/>
  <c r="S136" i="4"/>
  <c r="T136" i="4"/>
  <c r="TL11" i="1"/>
  <c r="S4" i="5"/>
  <c r="SW11" i="1"/>
  <c r="UR11" i="1" s="1"/>
  <c r="K5" i="6"/>
  <c r="K165" i="6"/>
  <c r="K167" i="6"/>
  <c r="O5" i="6"/>
  <c r="SY11" i="1"/>
  <c r="R5" i="4"/>
  <c r="S5" i="4"/>
  <c r="T5" i="4"/>
  <c r="TL12" i="1"/>
  <c r="S5" i="5"/>
  <c r="SW12" i="1"/>
  <c r="UR12" i="1" s="1"/>
  <c r="K6" i="6"/>
  <c r="O6" i="6"/>
  <c r="SY12" i="1"/>
  <c r="R6" i="4"/>
  <c r="S6" i="4"/>
  <c r="T6" i="4"/>
  <c r="TL13" i="1"/>
  <c r="S6" i="5"/>
  <c r="SW13" i="1"/>
  <c r="UR13" i="1" s="1"/>
  <c r="K7" i="6"/>
  <c r="O7" i="6"/>
  <c r="SY13" i="1"/>
  <c r="TA13" i="1" s="1"/>
  <c r="US13" i="1" s="1"/>
  <c r="R7" i="4"/>
  <c r="S7" i="4"/>
  <c r="T7" i="4"/>
  <c r="TL14" i="1"/>
  <c r="S7" i="5"/>
  <c r="SW14" i="1"/>
  <c r="UR14" i="1" s="1"/>
  <c r="K8" i="6"/>
  <c r="O8" i="6"/>
  <c r="SY14" i="1"/>
  <c r="TA14" i="1" s="1"/>
  <c r="US14" i="1" s="1"/>
  <c r="R8" i="4"/>
  <c r="S8" i="4"/>
  <c r="T8" i="4"/>
  <c r="TL15" i="1"/>
  <c r="S8" i="5"/>
  <c r="SW15" i="1"/>
  <c r="UR15" i="1" s="1"/>
  <c r="K9" i="6"/>
  <c r="O9" i="6"/>
  <c r="SY15" i="1"/>
  <c r="TC15" i="1" s="1"/>
  <c r="UU15" i="1" s="1"/>
  <c r="R9" i="4"/>
  <c r="S9" i="4"/>
  <c r="T9" i="4"/>
  <c r="TL16" i="1"/>
  <c r="S9" i="5"/>
  <c r="SW16" i="1"/>
  <c r="UR16" i="1" s="1"/>
  <c r="K10" i="6"/>
  <c r="O10" i="6"/>
  <c r="SY16" i="1"/>
  <c r="TC16" i="1" s="1"/>
  <c r="UU16" i="1" s="1"/>
  <c r="R10" i="4"/>
  <c r="S10" i="4"/>
  <c r="T10" i="4"/>
  <c r="TL17" i="1"/>
  <c r="S10" i="5"/>
  <c r="SW17" i="1"/>
  <c r="UR17" i="1" s="1"/>
  <c r="K11" i="6"/>
  <c r="O11" i="6"/>
  <c r="SY17" i="1"/>
  <c r="TC17" i="1" s="1"/>
  <c r="UU17" i="1" s="1"/>
  <c r="R11" i="4"/>
  <c r="S11" i="4"/>
  <c r="T11" i="4"/>
  <c r="TL18" i="1"/>
  <c r="S11" i="5"/>
  <c r="SW18" i="1"/>
  <c r="UR18" i="1" s="1"/>
  <c r="K12" i="6"/>
  <c r="O12" i="6"/>
  <c r="SY18" i="1"/>
  <c r="R12" i="4"/>
  <c r="S12" i="4"/>
  <c r="T12" i="4"/>
  <c r="TL19" i="1"/>
  <c r="S12" i="5"/>
  <c r="SW19" i="1"/>
  <c r="UR19" i="1" s="1"/>
  <c r="K13" i="6"/>
  <c r="O13" i="6"/>
  <c r="SY19" i="1"/>
  <c r="R13" i="4"/>
  <c r="S13" i="4"/>
  <c r="T13" i="4"/>
  <c r="TL20" i="1"/>
  <c r="S13" i="5"/>
  <c r="SW20" i="1"/>
  <c r="UR20" i="1" s="1"/>
  <c r="K14" i="6"/>
  <c r="O14" i="6"/>
  <c r="SY20" i="1"/>
  <c r="TC20" i="1" s="1"/>
  <c r="UU20" i="1" s="1"/>
  <c r="R14" i="4"/>
  <c r="S14" i="4"/>
  <c r="T14" i="4"/>
  <c r="TL21" i="1"/>
  <c r="S14" i="5"/>
  <c r="SW21" i="1"/>
  <c r="UR21" i="1" s="1"/>
  <c r="K15" i="6"/>
  <c r="O15" i="6"/>
  <c r="SY21" i="1"/>
  <c r="R15" i="4"/>
  <c r="S15" i="4"/>
  <c r="T15" i="4"/>
  <c r="TL22" i="1"/>
  <c r="S15" i="5"/>
  <c r="SW22" i="1"/>
  <c r="UR22" i="1" s="1"/>
  <c r="K16" i="6"/>
  <c r="O16" i="6"/>
  <c r="SY22" i="1"/>
  <c r="R16" i="4"/>
  <c r="S16" i="4"/>
  <c r="T16" i="4"/>
  <c r="TL23" i="1"/>
  <c r="S16" i="5"/>
  <c r="SW23" i="1"/>
  <c r="UR23" i="1" s="1"/>
  <c r="K17" i="6"/>
  <c r="O17" i="6"/>
  <c r="SY23" i="1"/>
  <c r="R17" i="4"/>
  <c r="S17" i="4"/>
  <c r="T17" i="4"/>
  <c r="TL24" i="1"/>
  <c r="S17" i="5"/>
  <c r="SW24" i="1"/>
  <c r="UR24" i="1" s="1"/>
  <c r="K18" i="6"/>
  <c r="O18" i="6"/>
  <c r="SY24" i="1"/>
  <c r="TC24" i="1" s="1"/>
  <c r="UU24" i="1" s="1"/>
  <c r="R18" i="4"/>
  <c r="S18" i="4"/>
  <c r="T18" i="4"/>
  <c r="TL25" i="1"/>
  <c r="S18" i="5"/>
  <c r="SW25" i="1"/>
  <c r="UR25" i="1" s="1"/>
  <c r="K19" i="6"/>
  <c r="O19" i="6"/>
  <c r="SY25" i="1"/>
  <c r="R19" i="4"/>
  <c r="S19" i="4"/>
  <c r="T19" i="4"/>
  <c r="TL26" i="1"/>
  <c r="S19" i="5"/>
  <c r="SW26" i="1"/>
  <c r="UR26" i="1" s="1"/>
  <c r="K20" i="6"/>
  <c r="O20" i="6"/>
  <c r="SY26" i="1"/>
  <c r="TA26" i="1" s="1"/>
  <c r="US26" i="1" s="1"/>
  <c r="R20" i="4"/>
  <c r="S20" i="4"/>
  <c r="T20" i="4"/>
  <c r="TL27" i="1"/>
  <c r="S20" i="5"/>
  <c r="SW27" i="1"/>
  <c r="UR27" i="1" s="1"/>
  <c r="K21" i="6"/>
  <c r="O21" i="6"/>
  <c r="SY27" i="1"/>
  <c r="TC27" i="1" s="1"/>
  <c r="UU27" i="1" s="1"/>
  <c r="R21" i="4"/>
  <c r="S21" i="4"/>
  <c r="T21" i="4"/>
  <c r="TL28" i="1"/>
  <c r="S21" i="5"/>
  <c r="SW28" i="1"/>
  <c r="UR28" i="1" s="1"/>
  <c r="K22" i="6"/>
  <c r="O22" i="6"/>
  <c r="SY28" i="1"/>
  <c r="R22" i="4"/>
  <c r="S22" i="4"/>
  <c r="T22" i="4"/>
  <c r="TL29" i="1"/>
  <c r="S22" i="5"/>
  <c r="SW29" i="1"/>
  <c r="UR29" i="1" s="1"/>
  <c r="K23" i="6"/>
  <c r="O23" i="6"/>
  <c r="SY29" i="1"/>
  <c r="R23" i="4"/>
  <c r="S23" i="4"/>
  <c r="T23" i="4"/>
  <c r="TL30" i="1"/>
  <c r="S23" i="5"/>
  <c r="SW30" i="1"/>
  <c r="UR30" i="1" s="1"/>
  <c r="K24" i="6"/>
  <c r="O24" i="6"/>
  <c r="SY30" i="1"/>
  <c r="R24" i="4"/>
  <c r="S24" i="4"/>
  <c r="T24" i="4"/>
  <c r="TL31" i="1"/>
  <c r="S24" i="5"/>
  <c r="SW31" i="1"/>
  <c r="UR31" i="1" s="1"/>
  <c r="K25" i="6"/>
  <c r="O25" i="6"/>
  <c r="SY31" i="1"/>
  <c r="R25" i="4"/>
  <c r="S25" i="4"/>
  <c r="T25" i="4"/>
  <c r="TL32" i="1"/>
  <c r="S25" i="5"/>
  <c r="SW32" i="1"/>
  <c r="UR32" i="1" s="1"/>
  <c r="K26" i="6"/>
  <c r="O26" i="6"/>
  <c r="SY32" i="1"/>
  <c r="R26" i="4"/>
  <c r="S26" i="4"/>
  <c r="T26" i="4"/>
  <c r="TL33" i="1"/>
  <c r="S26" i="5"/>
  <c r="SW33" i="1"/>
  <c r="UR33" i="1" s="1"/>
  <c r="K27" i="6"/>
  <c r="O27" i="6"/>
  <c r="SY33" i="1"/>
  <c r="R27" i="4"/>
  <c r="S27" i="4"/>
  <c r="T27" i="4"/>
  <c r="TL34" i="1"/>
  <c r="S27" i="5"/>
  <c r="SW34" i="1"/>
  <c r="UR34" i="1" s="1"/>
  <c r="K28" i="6"/>
  <c r="O28" i="6"/>
  <c r="SY34" i="1"/>
  <c r="R28" i="4"/>
  <c r="S28" i="4"/>
  <c r="T28" i="4"/>
  <c r="TL35" i="1"/>
  <c r="S28" i="5"/>
  <c r="SW35" i="1"/>
  <c r="UR35" i="1" s="1"/>
  <c r="K29" i="6"/>
  <c r="O29" i="6"/>
  <c r="SY35" i="1"/>
  <c r="TC35" i="1" s="1"/>
  <c r="UU35" i="1" s="1"/>
  <c r="R29" i="4"/>
  <c r="S29" i="4"/>
  <c r="T29" i="4"/>
  <c r="TL36" i="1"/>
  <c r="S29" i="5"/>
  <c r="SW36" i="1"/>
  <c r="UR36" i="1" s="1"/>
  <c r="K30" i="6"/>
  <c r="O30" i="6"/>
  <c r="SY36" i="1"/>
  <c r="R30" i="4"/>
  <c r="S30" i="4"/>
  <c r="T30" i="4"/>
  <c r="TL37" i="1"/>
  <c r="S30" i="5"/>
  <c r="SW37" i="1"/>
  <c r="UR37" i="1" s="1"/>
  <c r="K31" i="6"/>
  <c r="K170" i="6"/>
  <c r="O31" i="6"/>
  <c r="SY37" i="1"/>
  <c r="TB37" i="1" s="1"/>
  <c r="UT37" i="1" s="1"/>
  <c r="R31" i="4"/>
  <c r="S31" i="4"/>
  <c r="T31" i="4"/>
  <c r="TL38" i="1"/>
  <c r="S31" i="5"/>
  <c r="SW38" i="1"/>
  <c r="UR38" i="1" s="1"/>
  <c r="K32" i="6"/>
  <c r="O32" i="6"/>
  <c r="SY38" i="1"/>
  <c r="R32" i="4"/>
  <c r="S32" i="4"/>
  <c r="T32" i="4"/>
  <c r="TL39" i="1"/>
  <c r="S32" i="5"/>
  <c r="SW39" i="1"/>
  <c r="UR39" i="1" s="1"/>
  <c r="K33" i="6"/>
  <c r="O33" i="6"/>
  <c r="SY39" i="1"/>
  <c r="R33" i="4"/>
  <c r="S33" i="4"/>
  <c r="T33" i="4"/>
  <c r="TL40" i="1"/>
  <c r="S33" i="5"/>
  <c r="SW40" i="1"/>
  <c r="UR40" i="1" s="1"/>
  <c r="K34" i="6"/>
  <c r="O34" i="6"/>
  <c r="SY40" i="1"/>
  <c r="R34" i="4"/>
  <c r="S34" i="4"/>
  <c r="T34" i="4"/>
  <c r="TL41" i="1"/>
  <c r="S34" i="5"/>
  <c r="SW41" i="1"/>
  <c r="UR41" i="1" s="1"/>
  <c r="K35" i="6"/>
  <c r="O35" i="6"/>
  <c r="SY41" i="1"/>
  <c r="R35" i="4"/>
  <c r="S35" i="4"/>
  <c r="T35" i="4"/>
  <c r="TL42" i="1"/>
  <c r="S35" i="5"/>
  <c r="SW42" i="1"/>
  <c r="UR42" i="1" s="1"/>
  <c r="K36" i="6"/>
  <c r="O36" i="6"/>
  <c r="SY42" i="1"/>
  <c r="R36" i="4"/>
  <c r="S36" i="4"/>
  <c r="T36" i="4"/>
  <c r="TL43" i="1"/>
  <c r="S36" i="5"/>
  <c r="SW43" i="1"/>
  <c r="UR43" i="1" s="1"/>
  <c r="K37" i="6"/>
  <c r="O37" i="6"/>
  <c r="SY43" i="1"/>
  <c r="R37" i="4"/>
  <c r="S37" i="4"/>
  <c r="T37" i="4"/>
  <c r="TL44" i="1"/>
  <c r="S37" i="5"/>
  <c r="SW44" i="1"/>
  <c r="UR44" i="1" s="1"/>
  <c r="K38" i="6"/>
  <c r="K160" i="6"/>
  <c r="O38" i="6"/>
  <c r="SY44" i="1"/>
  <c r="R38" i="4"/>
  <c r="S38" i="4"/>
  <c r="T38" i="4"/>
  <c r="TL45" i="1"/>
  <c r="S38" i="5"/>
  <c r="SW45" i="1"/>
  <c r="UR45" i="1" s="1"/>
  <c r="K39" i="6"/>
  <c r="O39" i="6"/>
  <c r="SY45" i="1"/>
  <c r="TD45" i="1" s="1"/>
  <c r="UV45" i="1" s="1"/>
  <c r="R39" i="4"/>
  <c r="S39" i="4"/>
  <c r="T39" i="4"/>
  <c r="TL46" i="1"/>
  <c r="S39" i="5"/>
  <c r="SW46" i="1"/>
  <c r="UR46" i="1" s="1"/>
  <c r="K40" i="6"/>
  <c r="O40" i="6"/>
  <c r="SY46" i="1"/>
  <c r="TB46" i="1" s="1"/>
  <c r="UT46" i="1" s="1"/>
  <c r="R40" i="4"/>
  <c r="S40" i="4"/>
  <c r="T40" i="4"/>
  <c r="TL47" i="1"/>
  <c r="S40" i="5"/>
  <c r="SW47" i="1"/>
  <c r="UR47" i="1" s="1"/>
  <c r="K41" i="6"/>
  <c r="O41" i="6"/>
  <c r="SY47" i="1"/>
  <c r="TC47" i="1" s="1"/>
  <c r="UU47" i="1" s="1"/>
  <c r="R41" i="4"/>
  <c r="S41" i="4"/>
  <c r="T41" i="4"/>
  <c r="TL48" i="1"/>
  <c r="S41" i="5"/>
  <c r="SW48" i="1"/>
  <c r="UR48" i="1" s="1"/>
  <c r="K42" i="6"/>
  <c r="O42" i="6"/>
  <c r="SY48" i="1"/>
  <c r="R42" i="4"/>
  <c r="S42" i="4"/>
  <c r="T42" i="4"/>
  <c r="TL49" i="1"/>
  <c r="S42" i="5"/>
  <c r="SW49" i="1"/>
  <c r="UR49" i="1" s="1"/>
  <c r="K43" i="6"/>
  <c r="O43" i="6"/>
  <c r="SY49" i="1"/>
  <c r="TB49" i="1" s="1"/>
  <c r="UT49" i="1" s="1"/>
  <c r="R43" i="4"/>
  <c r="S43" i="4"/>
  <c r="T43" i="4"/>
  <c r="TL50" i="1"/>
  <c r="S43" i="5"/>
  <c r="SW50" i="1"/>
  <c r="UR50" i="1" s="1"/>
  <c r="K44" i="6"/>
  <c r="O44" i="6"/>
  <c r="SY50" i="1"/>
  <c r="TD50" i="1" s="1"/>
  <c r="UV50" i="1" s="1"/>
  <c r="R44" i="4"/>
  <c r="S44" i="4"/>
  <c r="T44" i="4"/>
  <c r="TL51" i="1"/>
  <c r="S44" i="5"/>
  <c r="SW51" i="1"/>
  <c r="UR51" i="1" s="1"/>
  <c r="K45" i="6"/>
  <c r="O45" i="6"/>
  <c r="SY51" i="1"/>
  <c r="R45" i="4"/>
  <c r="S45" i="4"/>
  <c r="T45" i="4"/>
  <c r="TL52" i="1"/>
  <c r="S45" i="5"/>
  <c r="SW52" i="1"/>
  <c r="UR52" i="1" s="1"/>
  <c r="K46" i="6"/>
  <c r="O46" i="6"/>
  <c r="SY52" i="1"/>
  <c r="TC52" i="1" s="1"/>
  <c r="UU52" i="1" s="1"/>
  <c r="R46" i="4"/>
  <c r="S46" i="4"/>
  <c r="T46" i="4"/>
  <c r="TL53" i="1"/>
  <c r="S46" i="5"/>
  <c r="SW53" i="1"/>
  <c r="UR53" i="1" s="1"/>
  <c r="K47" i="6"/>
  <c r="O47" i="6"/>
  <c r="SY53" i="1"/>
  <c r="TL54" i="1"/>
  <c r="S47" i="5"/>
  <c r="SW54" i="1"/>
  <c r="UR54" i="1" s="1"/>
  <c r="K48" i="6"/>
  <c r="O48" i="6"/>
  <c r="SY54" i="1"/>
  <c r="R47" i="4"/>
  <c r="S47" i="4"/>
  <c r="T47" i="4"/>
  <c r="TL55" i="1"/>
  <c r="S48" i="5"/>
  <c r="SW55" i="1"/>
  <c r="UR55" i="1" s="1"/>
  <c r="K49" i="6"/>
  <c r="O49" i="6"/>
  <c r="SY55" i="1"/>
  <c r="R48" i="4"/>
  <c r="S48" i="4"/>
  <c r="T48" i="4"/>
  <c r="TL56" i="1"/>
  <c r="S49" i="5"/>
  <c r="SW56" i="1"/>
  <c r="UR56" i="1" s="1"/>
  <c r="K50" i="6"/>
  <c r="K164" i="6"/>
  <c r="O50" i="6"/>
  <c r="SY56" i="1"/>
  <c r="R49" i="4"/>
  <c r="S49" i="4"/>
  <c r="T49" i="4"/>
  <c r="TL57" i="1"/>
  <c r="S50" i="5"/>
  <c r="SW57" i="1"/>
  <c r="UR57" i="1" s="1"/>
  <c r="K51" i="6"/>
  <c r="O51" i="6"/>
  <c r="SY57" i="1"/>
  <c r="TC57" i="1" s="1"/>
  <c r="UU57" i="1" s="1"/>
  <c r="R50" i="4"/>
  <c r="S50" i="4"/>
  <c r="T50" i="4"/>
  <c r="TL58" i="1"/>
  <c r="S51" i="5"/>
  <c r="SW58" i="1"/>
  <c r="UR58" i="1" s="1"/>
  <c r="K52" i="6"/>
  <c r="O52" i="6"/>
  <c r="SY58" i="1"/>
  <c r="TC58" i="1" s="1"/>
  <c r="UU58" i="1" s="1"/>
  <c r="R51" i="4"/>
  <c r="S51" i="4"/>
  <c r="T51" i="4"/>
  <c r="TL59" i="1"/>
  <c r="S52" i="5"/>
  <c r="SW59" i="1"/>
  <c r="UR59" i="1" s="1"/>
  <c r="K53" i="6"/>
  <c r="K169" i="6"/>
  <c r="O53" i="6"/>
  <c r="SY59" i="1"/>
  <c r="R52" i="4"/>
  <c r="S52" i="4"/>
  <c r="T52" i="4"/>
  <c r="TL60" i="1"/>
  <c r="S53" i="5"/>
  <c r="SW60" i="1"/>
  <c r="UR60" i="1" s="1"/>
  <c r="K54" i="6"/>
  <c r="O54" i="6"/>
  <c r="SY60" i="1"/>
  <c r="R53" i="4"/>
  <c r="S53" i="4"/>
  <c r="T53" i="4"/>
  <c r="TL61" i="1"/>
  <c r="S54" i="5"/>
  <c r="SW61" i="1"/>
  <c r="UR61" i="1" s="1"/>
  <c r="K55" i="6"/>
  <c r="O55" i="6"/>
  <c r="SY61" i="1"/>
  <c r="R54" i="4"/>
  <c r="S54" i="4"/>
  <c r="T54" i="4"/>
  <c r="TL62" i="1"/>
  <c r="S55" i="5"/>
  <c r="SW62" i="1"/>
  <c r="UR62" i="1" s="1"/>
  <c r="K56" i="6"/>
  <c r="O56" i="6"/>
  <c r="SY62" i="1"/>
  <c r="R55" i="4"/>
  <c r="S55" i="4"/>
  <c r="T55" i="4"/>
  <c r="TL63" i="1"/>
  <c r="S56" i="5"/>
  <c r="SW63" i="1"/>
  <c r="UR63" i="1" s="1"/>
  <c r="K57" i="6"/>
  <c r="O57" i="6"/>
  <c r="SY63" i="1"/>
  <c r="R56" i="4"/>
  <c r="S56" i="4"/>
  <c r="T56" i="4"/>
  <c r="TL64" i="1"/>
  <c r="S57" i="5"/>
  <c r="SW64" i="1"/>
  <c r="UR64" i="1" s="1"/>
  <c r="K58" i="6"/>
  <c r="O58" i="6"/>
  <c r="SY64" i="1"/>
  <c r="R57" i="4"/>
  <c r="S57" i="4"/>
  <c r="T57" i="4"/>
  <c r="TL65" i="1"/>
  <c r="S58" i="5"/>
  <c r="SW65" i="1"/>
  <c r="UR65" i="1" s="1"/>
  <c r="K59" i="6"/>
  <c r="O59" i="6"/>
  <c r="SY65" i="1"/>
  <c r="R58" i="4"/>
  <c r="S58" i="4"/>
  <c r="T58" i="4"/>
  <c r="TL66" i="1"/>
  <c r="S59" i="5"/>
  <c r="SW66" i="1"/>
  <c r="UR66" i="1" s="1"/>
  <c r="K60" i="6"/>
  <c r="O60" i="6"/>
  <c r="SY66" i="1"/>
  <c r="R59" i="4"/>
  <c r="S59" i="4"/>
  <c r="T59" i="4"/>
  <c r="TL67" i="1"/>
  <c r="S60" i="5"/>
  <c r="SW67" i="1"/>
  <c r="UR67" i="1" s="1"/>
  <c r="K61" i="6"/>
  <c r="O61" i="6"/>
  <c r="SY67" i="1"/>
  <c r="R60" i="4"/>
  <c r="S60" i="4"/>
  <c r="T60" i="4"/>
  <c r="TL68" i="1"/>
  <c r="S61" i="5"/>
  <c r="SW68" i="1"/>
  <c r="UR68" i="1" s="1"/>
  <c r="K62" i="6"/>
  <c r="O62" i="6"/>
  <c r="SY68" i="1"/>
  <c r="R61" i="4"/>
  <c r="S61" i="4"/>
  <c r="T61" i="4"/>
  <c r="TL69" i="1"/>
  <c r="S62" i="5"/>
  <c r="SW69" i="1"/>
  <c r="UR69" i="1" s="1"/>
  <c r="K63" i="6"/>
  <c r="O63" i="6"/>
  <c r="SY69" i="1"/>
  <c r="R62" i="4"/>
  <c r="S62" i="4"/>
  <c r="T62" i="4"/>
  <c r="TL70" i="1"/>
  <c r="S63" i="5"/>
  <c r="SW70" i="1"/>
  <c r="UR70" i="1" s="1"/>
  <c r="K64" i="6"/>
  <c r="O64" i="6"/>
  <c r="SY70" i="1"/>
  <c r="R63" i="4"/>
  <c r="S63" i="4"/>
  <c r="T63" i="4"/>
  <c r="TL71" i="1"/>
  <c r="S64" i="5"/>
  <c r="SW71" i="1"/>
  <c r="UR71" i="1" s="1"/>
  <c r="K65" i="6"/>
  <c r="O65" i="6"/>
  <c r="SY71" i="1"/>
  <c r="R64" i="4"/>
  <c r="S64" i="4"/>
  <c r="T64" i="4"/>
  <c r="TL72" i="1"/>
  <c r="S65" i="5"/>
  <c r="SW72" i="1"/>
  <c r="UR72" i="1" s="1"/>
  <c r="K66" i="6"/>
  <c r="O66" i="6"/>
  <c r="SY72" i="1"/>
  <c r="R65" i="4"/>
  <c r="S65" i="4"/>
  <c r="T65" i="4"/>
  <c r="TL73" i="1"/>
  <c r="S66" i="5"/>
  <c r="SW73" i="1"/>
  <c r="UR73" i="1" s="1"/>
  <c r="K67" i="6"/>
  <c r="O67" i="6"/>
  <c r="SY73" i="1"/>
  <c r="R66" i="4"/>
  <c r="S66" i="4"/>
  <c r="T66" i="4"/>
  <c r="TL74" i="1"/>
  <c r="S67" i="5"/>
  <c r="SW74" i="1"/>
  <c r="UR74" i="1" s="1"/>
  <c r="K68" i="6"/>
  <c r="O68" i="6"/>
  <c r="SY74" i="1"/>
  <c r="R67" i="4"/>
  <c r="S67" i="4"/>
  <c r="T67" i="4"/>
  <c r="TL75" i="1"/>
  <c r="S68" i="5"/>
  <c r="SW75" i="1"/>
  <c r="UR75" i="1" s="1"/>
  <c r="K69" i="6"/>
  <c r="O69" i="6"/>
  <c r="SY75" i="1"/>
  <c r="R68" i="4"/>
  <c r="S68" i="4"/>
  <c r="T68" i="4"/>
  <c r="TL76" i="1"/>
  <c r="S69" i="5"/>
  <c r="SW76" i="1"/>
  <c r="UR76" i="1" s="1"/>
  <c r="K70" i="6"/>
  <c r="K171" i="6"/>
  <c r="O70" i="6"/>
  <c r="SY76" i="1"/>
  <c r="R69" i="4"/>
  <c r="S69" i="4"/>
  <c r="T69" i="4"/>
  <c r="TL77" i="1"/>
  <c r="S70" i="5"/>
  <c r="SW77" i="1"/>
  <c r="UR77" i="1" s="1"/>
  <c r="K71" i="6"/>
  <c r="O71" i="6"/>
  <c r="SY77" i="1"/>
  <c r="R70" i="4"/>
  <c r="S70" i="4"/>
  <c r="T70" i="4"/>
  <c r="TL78" i="1"/>
  <c r="S71" i="5"/>
  <c r="SW78" i="1"/>
  <c r="UR78" i="1" s="1"/>
  <c r="K72" i="6"/>
  <c r="O72" i="6"/>
  <c r="SY78" i="1"/>
  <c r="TA78" i="1" s="1"/>
  <c r="US78" i="1" s="1"/>
  <c r="R71" i="4"/>
  <c r="S71" i="4"/>
  <c r="T71" i="4"/>
  <c r="TL79" i="1"/>
  <c r="S72" i="5"/>
  <c r="SW79" i="1"/>
  <c r="UR79" i="1" s="1"/>
  <c r="K73" i="6"/>
  <c r="O73" i="6"/>
  <c r="SY79" i="1"/>
  <c r="R72" i="4"/>
  <c r="S72" i="4"/>
  <c r="T72" i="4"/>
  <c r="TL80" i="1"/>
  <c r="S73" i="5"/>
  <c r="SW80" i="1"/>
  <c r="UR80" i="1" s="1"/>
  <c r="K74" i="6"/>
  <c r="O74" i="6"/>
  <c r="SY80" i="1"/>
  <c r="TB80" i="1" s="1"/>
  <c r="UT80" i="1" s="1"/>
  <c r="R73" i="4"/>
  <c r="S73" i="4"/>
  <c r="T73" i="4"/>
  <c r="TL81" i="1"/>
  <c r="S74" i="5"/>
  <c r="SW81" i="1"/>
  <c r="UR81" i="1" s="1"/>
  <c r="K75" i="6"/>
  <c r="O75" i="6"/>
  <c r="SY81" i="1"/>
  <c r="TD81" i="1" s="1"/>
  <c r="UV81" i="1" s="1"/>
  <c r="R74" i="4"/>
  <c r="S74" i="4"/>
  <c r="T74" i="4"/>
  <c r="TL82" i="1"/>
  <c r="S75" i="5"/>
  <c r="SW82" i="1"/>
  <c r="UR82" i="1" s="1"/>
  <c r="K76" i="6"/>
  <c r="O76" i="6"/>
  <c r="SY82" i="1"/>
  <c r="TC82" i="1" s="1"/>
  <c r="UU82" i="1" s="1"/>
  <c r="R75" i="4"/>
  <c r="S75" i="4"/>
  <c r="T75" i="4"/>
  <c r="TL83" i="1"/>
  <c r="S76" i="5"/>
  <c r="SW83" i="1"/>
  <c r="UR83" i="1" s="1"/>
  <c r="K77" i="6"/>
  <c r="O77" i="6"/>
  <c r="SY83" i="1"/>
  <c r="TC83" i="1" s="1"/>
  <c r="UU83" i="1" s="1"/>
  <c r="R76" i="4"/>
  <c r="S76" i="4"/>
  <c r="T76" i="4"/>
  <c r="TL84" i="1"/>
  <c r="S77" i="5"/>
  <c r="SW84" i="1"/>
  <c r="UR84" i="1" s="1"/>
  <c r="K78" i="6"/>
  <c r="O78" i="6"/>
  <c r="SY84" i="1"/>
  <c r="R77" i="4"/>
  <c r="S77" i="4"/>
  <c r="T77" i="4"/>
  <c r="TL85" i="1"/>
  <c r="S78" i="5"/>
  <c r="SW85" i="1"/>
  <c r="UR85" i="1" s="1"/>
  <c r="K79" i="6"/>
  <c r="O79" i="6"/>
  <c r="SY85" i="1"/>
  <c r="TB85" i="1" s="1"/>
  <c r="UT85" i="1" s="1"/>
  <c r="R78" i="4"/>
  <c r="S78" i="4"/>
  <c r="T78" i="4"/>
  <c r="TL86" i="1"/>
  <c r="S79" i="5"/>
  <c r="SW86" i="1"/>
  <c r="UR86" i="1" s="1"/>
  <c r="K80" i="6"/>
  <c r="O80" i="6"/>
  <c r="SY86" i="1"/>
  <c r="TC86" i="1" s="1"/>
  <c r="UU86" i="1" s="1"/>
  <c r="R79" i="4"/>
  <c r="S79" i="4"/>
  <c r="T79" i="4"/>
  <c r="TL87" i="1"/>
  <c r="S80" i="5"/>
  <c r="SW87" i="1"/>
  <c r="UR87" i="1" s="1"/>
  <c r="K81" i="6"/>
  <c r="O81" i="6"/>
  <c r="SY87" i="1"/>
  <c r="TB87" i="1" s="1"/>
  <c r="UT87" i="1" s="1"/>
  <c r="R80" i="4"/>
  <c r="S80" i="4"/>
  <c r="T80" i="4"/>
  <c r="TL88" i="1"/>
  <c r="S81" i="5"/>
  <c r="SW88" i="1"/>
  <c r="UR88" i="1" s="1"/>
  <c r="K82" i="6"/>
  <c r="O82" i="6"/>
  <c r="SY88" i="1"/>
  <c r="R81" i="4"/>
  <c r="S81" i="4"/>
  <c r="T81" i="4"/>
  <c r="TL89" i="1"/>
  <c r="S82" i="5"/>
  <c r="SW89" i="1"/>
  <c r="UR89" i="1" s="1"/>
  <c r="K83" i="6"/>
  <c r="O83" i="6"/>
  <c r="SY89" i="1"/>
  <c r="R82" i="4"/>
  <c r="S82" i="4"/>
  <c r="T82" i="4"/>
  <c r="TL90" i="1"/>
  <c r="S83" i="5"/>
  <c r="SW90" i="1"/>
  <c r="UR90" i="1" s="1"/>
  <c r="K84" i="6"/>
  <c r="O84" i="6"/>
  <c r="SY90" i="1"/>
  <c r="R83" i="4"/>
  <c r="S83" i="4"/>
  <c r="T83" i="4"/>
  <c r="TL91" i="1"/>
  <c r="S84" i="5"/>
  <c r="SW91" i="1"/>
  <c r="UR91" i="1" s="1"/>
  <c r="K85" i="6"/>
  <c r="O85" i="6"/>
  <c r="SY91" i="1"/>
  <c r="R84" i="4"/>
  <c r="S84" i="4"/>
  <c r="T84" i="4"/>
  <c r="TL92" i="1"/>
  <c r="S85" i="5"/>
  <c r="SW92" i="1"/>
  <c r="UR92" i="1" s="1"/>
  <c r="K86" i="6"/>
  <c r="O86" i="6"/>
  <c r="SY92" i="1"/>
  <c r="R85" i="4"/>
  <c r="S85" i="4"/>
  <c r="T85" i="4"/>
  <c r="TL93" i="1"/>
  <c r="S86" i="5"/>
  <c r="SW93" i="1"/>
  <c r="UR93" i="1" s="1"/>
  <c r="K87" i="6"/>
  <c r="O87" i="6"/>
  <c r="SY93" i="1"/>
  <c r="TC93" i="1" s="1"/>
  <c r="UU93" i="1" s="1"/>
  <c r="R86" i="4"/>
  <c r="S86" i="4"/>
  <c r="T86" i="4"/>
  <c r="TL94" i="1"/>
  <c r="S87" i="5"/>
  <c r="SW94" i="1"/>
  <c r="UR94" i="1" s="1"/>
  <c r="K88" i="6"/>
  <c r="O88" i="6"/>
  <c r="SY94" i="1"/>
  <c r="R87" i="4"/>
  <c r="S87" i="4"/>
  <c r="T87" i="4"/>
  <c r="TL95" i="1"/>
  <c r="S88" i="5"/>
  <c r="SW95" i="1"/>
  <c r="UR95" i="1" s="1"/>
  <c r="K89" i="6"/>
  <c r="O89" i="6"/>
  <c r="SY95" i="1"/>
  <c r="TC95" i="1" s="1"/>
  <c r="UU95" i="1" s="1"/>
  <c r="R88" i="4"/>
  <c r="S88" i="4"/>
  <c r="T88" i="4"/>
  <c r="TL96" i="1"/>
  <c r="S89" i="5"/>
  <c r="SW96" i="1"/>
  <c r="UR96" i="1" s="1"/>
  <c r="K90" i="6"/>
  <c r="O90" i="6"/>
  <c r="SY96" i="1"/>
  <c r="TA96" i="1" s="1"/>
  <c r="US96" i="1" s="1"/>
  <c r="R89" i="4"/>
  <c r="S89" i="4"/>
  <c r="T89" i="4"/>
  <c r="TL97" i="1"/>
  <c r="S90" i="5"/>
  <c r="SW97" i="1"/>
  <c r="UR97" i="1" s="1"/>
  <c r="K91" i="6"/>
  <c r="O91" i="6"/>
  <c r="SY97" i="1"/>
  <c r="TD97" i="1" s="1"/>
  <c r="UV97" i="1" s="1"/>
  <c r="R90" i="4"/>
  <c r="S90" i="4"/>
  <c r="T90" i="4"/>
  <c r="TL98" i="1"/>
  <c r="S91" i="5"/>
  <c r="SW98" i="1"/>
  <c r="UR98" i="1" s="1"/>
  <c r="K92" i="6"/>
  <c r="O92" i="6"/>
  <c r="SY98" i="1"/>
  <c r="TL99" i="1"/>
  <c r="S92" i="5"/>
  <c r="SW99" i="1"/>
  <c r="UR99" i="1" s="1"/>
  <c r="K93" i="6"/>
  <c r="O93" i="6"/>
  <c r="SY99" i="1"/>
  <c r="TB99" i="1" s="1"/>
  <c r="UT99" i="1" s="1"/>
  <c r="R91" i="4"/>
  <c r="S91" i="4"/>
  <c r="T91" i="4"/>
  <c r="TL100" i="1"/>
  <c r="S93" i="5"/>
  <c r="SW100" i="1"/>
  <c r="UR100" i="1" s="1"/>
  <c r="K94" i="6"/>
  <c r="O94" i="6"/>
  <c r="SY100" i="1"/>
  <c r="R92" i="4"/>
  <c r="S92" i="4"/>
  <c r="T92" i="4"/>
  <c r="TL101" i="1"/>
  <c r="S94" i="5"/>
  <c r="SW101" i="1"/>
  <c r="UR101" i="1" s="1"/>
  <c r="K95" i="6"/>
  <c r="O95" i="6"/>
  <c r="SY101" i="1"/>
  <c r="TB101" i="1" s="1"/>
  <c r="UT101" i="1" s="1"/>
  <c r="R93" i="4"/>
  <c r="S93" i="4"/>
  <c r="T93" i="4"/>
  <c r="TL102" i="1"/>
  <c r="S95" i="5"/>
  <c r="SW102" i="1"/>
  <c r="UR102" i="1" s="1"/>
  <c r="K96" i="6"/>
  <c r="O96" i="6"/>
  <c r="SY102" i="1"/>
  <c r="R94" i="4"/>
  <c r="S94" i="4"/>
  <c r="T94" i="4"/>
  <c r="TL103" i="1"/>
  <c r="S96" i="5"/>
  <c r="SW103" i="1"/>
  <c r="UR103" i="1" s="1"/>
  <c r="K97" i="6"/>
  <c r="O97" i="6"/>
  <c r="SY103" i="1"/>
  <c r="R95" i="4"/>
  <c r="S95" i="4"/>
  <c r="T95" i="4"/>
  <c r="TL104" i="1"/>
  <c r="S97" i="5"/>
  <c r="SW104" i="1"/>
  <c r="UR104" i="1" s="1"/>
  <c r="K98" i="6"/>
  <c r="O98" i="6"/>
  <c r="SY104" i="1"/>
  <c r="R96" i="4"/>
  <c r="S96" i="4"/>
  <c r="T96" i="4"/>
  <c r="TL105" i="1"/>
  <c r="S98" i="5"/>
  <c r="SW105" i="1"/>
  <c r="UR105" i="1" s="1"/>
  <c r="K99" i="6"/>
  <c r="O99" i="6"/>
  <c r="SY105" i="1"/>
  <c r="R97" i="4"/>
  <c r="S97" i="4"/>
  <c r="T97" i="4"/>
  <c r="TL106" i="1"/>
  <c r="S99" i="5"/>
  <c r="SW106" i="1"/>
  <c r="UR106" i="1" s="1"/>
  <c r="K100" i="6"/>
  <c r="O100" i="6"/>
  <c r="SY106" i="1"/>
  <c r="TL107" i="1"/>
  <c r="S100" i="5"/>
  <c r="SW107" i="1"/>
  <c r="UR107" i="1" s="1"/>
  <c r="K101" i="6"/>
  <c r="O101" i="6"/>
  <c r="SY107" i="1"/>
  <c r="R98" i="4"/>
  <c r="S98" i="4"/>
  <c r="T98" i="4"/>
  <c r="TL108" i="1"/>
  <c r="S101" i="5"/>
  <c r="SW108" i="1"/>
  <c r="UR108" i="1" s="1"/>
  <c r="K102" i="6"/>
  <c r="O102" i="6"/>
  <c r="SY108" i="1"/>
  <c r="R99" i="4"/>
  <c r="S99" i="4"/>
  <c r="T99" i="4"/>
  <c r="TL109" i="1"/>
  <c r="S102" i="5"/>
  <c r="SW109" i="1"/>
  <c r="UR109" i="1" s="1"/>
  <c r="K103" i="6"/>
  <c r="O103" i="6"/>
  <c r="SY109" i="1"/>
  <c r="R100" i="4"/>
  <c r="S100" i="4"/>
  <c r="T100" i="4"/>
  <c r="TL110" i="1"/>
  <c r="S103" i="5"/>
  <c r="SW110" i="1"/>
  <c r="UR110" i="1" s="1"/>
  <c r="K104" i="6"/>
  <c r="O104" i="6"/>
  <c r="SY110" i="1"/>
  <c r="R101" i="4"/>
  <c r="S101" i="4"/>
  <c r="T101" i="4"/>
  <c r="TL111" i="1"/>
  <c r="S104" i="5"/>
  <c r="SW111" i="1"/>
  <c r="UR111" i="1" s="1"/>
  <c r="K105" i="6"/>
  <c r="O105" i="6"/>
  <c r="SY111" i="1"/>
  <c r="R102" i="4"/>
  <c r="S102" i="4"/>
  <c r="T102" i="4"/>
  <c r="TL112" i="1"/>
  <c r="S105" i="5"/>
  <c r="SW112" i="1"/>
  <c r="UR112" i="1" s="1"/>
  <c r="K106" i="6"/>
  <c r="O106" i="6"/>
  <c r="SY112" i="1"/>
  <c r="TB112" i="1" s="1"/>
  <c r="UT112" i="1" s="1"/>
  <c r="R103" i="4"/>
  <c r="S103" i="4"/>
  <c r="T103" i="4"/>
  <c r="TL113" i="1"/>
  <c r="S106" i="5"/>
  <c r="SW113" i="1"/>
  <c r="UR113" i="1" s="1"/>
  <c r="K107" i="6"/>
  <c r="O107" i="6"/>
  <c r="SY113" i="1"/>
  <c r="R104" i="4"/>
  <c r="S104" i="4"/>
  <c r="T104" i="4"/>
  <c r="TL114" i="1"/>
  <c r="S107" i="5"/>
  <c r="SW114" i="1"/>
  <c r="UR114" i="1" s="1"/>
  <c r="K108" i="6"/>
  <c r="O108" i="6"/>
  <c r="SY114" i="1"/>
  <c r="R105" i="4"/>
  <c r="S105" i="4"/>
  <c r="T105" i="4"/>
  <c r="TL115" i="1"/>
  <c r="S108" i="5"/>
  <c r="SW115" i="1"/>
  <c r="UR115" i="1" s="1"/>
  <c r="K109" i="6"/>
  <c r="O109" i="6"/>
  <c r="SY115" i="1"/>
  <c r="R106" i="4"/>
  <c r="S106" i="4"/>
  <c r="T106" i="4"/>
  <c r="TL116" i="1"/>
  <c r="S109" i="5"/>
  <c r="SW116" i="1"/>
  <c r="UR116" i="1" s="1"/>
  <c r="K110" i="6"/>
  <c r="O110" i="6"/>
  <c r="SY116" i="1"/>
  <c r="R107" i="4"/>
  <c r="S107" i="4"/>
  <c r="T107" i="4"/>
  <c r="TL117" i="1"/>
  <c r="S110" i="5"/>
  <c r="SW117" i="1"/>
  <c r="UR117" i="1" s="1"/>
  <c r="K111" i="6"/>
  <c r="O111" i="6"/>
  <c r="SY117" i="1"/>
  <c r="TB117" i="1" s="1"/>
  <c r="UT117" i="1" s="1"/>
  <c r="TL118" i="1"/>
  <c r="S111" i="5"/>
  <c r="SW118" i="1"/>
  <c r="UR118" i="1" s="1"/>
  <c r="K112" i="6"/>
  <c r="O112" i="6"/>
  <c r="SY118" i="1"/>
  <c r="R108" i="4"/>
  <c r="S108" i="4"/>
  <c r="T108" i="4"/>
  <c r="TL119" i="1"/>
  <c r="S112" i="5"/>
  <c r="SW119" i="1"/>
  <c r="UR119" i="1" s="1"/>
  <c r="K113" i="6"/>
  <c r="O113" i="6"/>
  <c r="SY119" i="1"/>
  <c r="R109" i="4"/>
  <c r="S109" i="4"/>
  <c r="T109" i="4"/>
  <c r="TL120" i="1"/>
  <c r="S113" i="5"/>
  <c r="SW120" i="1"/>
  <c r="UR120" i="1" s="1"/>
  <c r="K114" i="6"/>
  <c r="O114" i="6"/>
  <c r="SY120" i="1"/>
  <c r="R110" i="4"/>
  <c r="S110" i="4"/>
  <c r="T110" i="4"/>
  <c r="TL121" i="1"/>
  <c r="S114" i="5"/>
  <c r="SW121" i="1"/>
  <c r="UR121" i="1" s="1"/>
  <c r="K115" i="6"/>
  <c r="O115" i="6"/>
  <c r="SY121" i="1"/>
  <c r="R111" i="4"/>
  <c r="S111" i="4"/>
  <c r="T111" i="4"/>
  <c r="TL122" i="1"/>
  <c r="S115" i="5"/>
  <c r="SW122" i="1"/>
  <c r="UR122" i="1" s="1"/>
  <c r="K116" i="6"/>
  <c r="O116" i="6"/>
  <c r="SY122" i="1"/>
  <c r="R112" i="4"/>
  <c r="S112" i="4"/>
  <c r="T112" i="4"/>
  <c r="TL123" i="1"/>
  <c r="S116" i="5"/>
  <c r="SW123" i="1"/>
  <c r="UR123" i="1" s="1"/>
  <c r="K117" i="6"/>
  <c r="O117" i="6"/>
  <c r="SY123" i="1"/>
  <c r="R113" i="4"/>
  <c r="S113" i="4"/>
  <c r="T113" i="4"/>
  <c r="TL124" i="1"/>
  <c r="S117" i="5"/>
  <c r="SW124" i="1"/>
  <c r="UR124" i="1" s="1"/>
  <c r="K118" i="6"/>
  <c r="O118" i="6"/>
  <c r="SY124" i="1"/>
  <c r="R114" i="4"/>
  <c r="S114" i="4"/>
  <c r="T114" i="4"/>
  <c r="TL125" i="1"/>
  <c r="S120" i="5"/>
  <c r="SW125" i="1"/>
  <c r="UR125" i="1" s="1"/>
  <c r="K119" i="6"/>
  <c r="O119" i="6"/>
  <c r="SY125" i="1"/>
  <c r="R115" i="4"/>
  <c r="S115" i="4"/>
  <c r="T115" i="4"/>
  <c r="TL126" i="1"/>
  <c r="S121" i="5"/>
  <c r="SW126" i="1"/>
  <c r="UR126" i="1" s="1"/>
  <c r="K120" i="6"/>
  <c r="O120" i="6"/>
  <c r="SY126" i="1"/>
  <c r="R116" i="4"/>
  <c r="S116" i="4"/>
  <c r="T116" i="4"/>
  <c r="TL127" i="1"/>
  <c r="S123" i="5"/>
  <c r="SW127" i="1"/>
  <c r="UR127" i="1" s="1"/>
  <c r="K121" i="6"/>
  <c r="O121" i="6"/>
  <c r="SY127" i="1"/>
  <c r="TL128" i="1"/>
  <c r="S125" i="5"/>
  <c r="SW128" i="1"/>
  <c r="UR128" i="1" s="1"/>
  <c r="K122" i="6"/>
  <c r="O122" i="6"/>
  <c r="SY128" i="1"/>
  <c r="TB128" i="1" s="1"/>
  <c r="UT128" i="1" s="1"/>
  <c r="R117" i="4"/>
  <c r="S117" i="4"/>
  <c r="T117" i="4"/>
  <c r="TL129" i="1"/>
  <c r="S126" i="5"/>
  <c r="SW129" i="1"/>
  <c r="UR129" i="1" s="1"/>
  <c r="K123" i="6"/>
  <c r="O123" i="6"/>
  <c r="SY129" i="1"/>
  <c r="TA129" i="1" s="1"/>
  <c r="US129" i="1" s="1"/>
  <c r="R118" i="4"/>
  <c r="S118" i="4"/>
  <c r="T118" i="4"/>
  <c r="TL130" i="1"/>
  <c r="S128" i="5"/>
  <c r="SW130" i="1"/>
  <c r="UR130" i="1" s="1"/>
  <c r="K124" i="6"/>
  <c r="O124" i="6"/>
  <c r="SY130" i="1"/>
  <c r="R119" i="4"/>
  <c r="S119" i="4"/>
  <c r="T119" i="4"/>
  <c r="TL131" i="1"/>
  <c r="S129" i="5"/>
  <c r="SW131" i="1"/>
  <c r="UR131" i="1" s="1"/>
  <c r="K125" i="6"/>
  <c r="O125" i="6"/>
  <c r="SY131" i="1"/>
  <c r="R120" i="4"/>
  <c r="S120" i="4"/>
  <c r="T120" i="4"/>
  <c r="TL132" i="1"/>
  <c r="S130" i="5"/>
  <c r="SW132" i="1"/>
  <c r="UR132" i="1" s="1"/>
  <c r="K126" i="6"/>
  <c r="O126" i="6"/>
  <c r="SY132" i="1"/>
  <c r="R121" i="4"/>
  <c r="S121" i="4"/>
  <c r="T121" i="4"/>
  <c r="TL133" i="1"/>
  <c r="S131" i="5"/>
  <c r="SW133" i="1"/>
  <c r="UR133" i="1" s="1"/>
  <c r="K127" i="6"/>
  <c r="O127" i="6"/>
  <c r="SY133" i="1"/>
  <c r="TB133" i="1" s="1"/>
  <c r="UT133" i="1" s="1"/>
  <c r="R122" i="4"/>
  <c r="S122" i="4"/>
  <c r="T122" i="4"/>
  <c r="TL134" i="1"/>
  <c r="S132" i="5"/>
  <c r="SW134" i="1"/>
  <c r="UR134" i="1" s="1"/>
  <c r="K128" i="6"/>
  <c r="O128" i="6"/>
  <c r="SY134" i="1"/>
  <c r="TB134" i="1" s="1"/>
  <c r="UT134" i="1" s="1"/>
  <c r="R123" i="4"/>
  <c r="S123" i="4"/>
  <c r="T123" i="4"/>
  <c r="TL135" i="1"/>
  <c r="S133" i="5"/>
  <c r="SW135" i="1"/>
  <c r="UR135" i="1" s="1"/>
  <c r="K129" i="6"/>
  <c r="O129" i="6"/>
  <c r="SY135" i="1"/>
  <c r="R124" i="4"/>
  <c r="S124" i="4"/>
  <c r="T124" i="4"/>
  <c r="TL136" i="1"/>
  <c r="S134" i="5"/>
  <c r="SW136" i="1"/>
  <c r="UR136" i="1" s="1"/>
  <c r="K130" i="6"/>
  <c r="O130" i="6"/>
  <c r="SY136" i="1"/>
  <c r="TC136" i="1" s="1"/>
  <c r="UU136" i="1" s="1"/>
  <c r="R125" i="4"/>
  <c r="S125" i="4"/>
  <c r="T125" i="4"/>
  <c r="TL137" i="1"/>
  <c r="S135" i="5"/>
  <c r="SW137" i="1"/>
  <c r="UR137" i="1" s="1"/>
  <c r="K131" i="6"/>
  <c r="O131" i="6"/>
  <c r="SY137" i="1"/>
  <c r="TB137" i="1" s="1"/>
  <c r="UT137" i="1" s="1"/>
  <c r="R126" i="4"/>
  <c r="S126" i="4"/>
  <c r="T126" i="4"/>
  <c r="TL138" i="1"/>
  <c r="S136" i="5"/>
  <c r="SW138" i="1"/>
  <c r="UR138" i="1" s="1"/>
  <c r="K132" i="6"/>
  <c r="O132" i="6"/>
  <c r="SY138" i="1"/>
  <c r="R127" i="4"/>
  <c r="S127" i="4"/>
  <c r="T127" i="4"/>
  <c r="TL139" i="1"/>
  <c r="S137" i="5"/>
  <c r="SW139" i="1"/>
  <c r="UR139" i="1" s="1"/>
  <c r="K133" i="6"/>
  <c r="O133" i="6"/>
  <c r="SY139" i="1"/>
  <c r="TA139" i="1" s="1"/>
  <c r="US139" i="1" s="1"/>
  <c r="R128" i="4"/>
  <c r="S128" i="4"/>
  <c r="T128" i="4"/>
  <c r="TL140" i="1"/>
  <c r="S138" i="5"/>
  <c r="SW140" i="1"/>
  <c r="UR140" i="1" s="1"/>
  <c r="K134" i="6"/>
  <c r="O134" i="6"/>
  <c r="SY140" i="1"/>
  <c r="R129" i="4"/>
  <c r="S129" i="4"/>
  <c r="T129" i="4"/>
  <c r="TL141" i="1"/>
  <c r="S139" i="5"/>
  <c r="SW141" i="1"/>
  <c r="UR141" i="1" s="1"/>
  <c r="K135" i="6"/>
  <c r="O135" i="6"/>
  <c r="SY141" i="1"/>
  <c r="TD141" i="1" s="1"/>
  <c r="UV141" i="1" s="1"/>
  <c r="TL142" i="1"/>
  <c r="S141" i="5"/>
  <c r="SW142" i="1"/>
  <c r="UR142" i="1" s="1"/>
  <c r="K136" i="6"/>
  <c r="O136" i="6"/>
  <c r="SY142" i="1"/>
  <c r="R130" i="4"/>
  <c r="S130" i="4"/>
  <c r="T130" i="4"/>
  <c r="TL143" i="1"/>
  <c r="S142" i="5"/>
  <c r="SW143" i="1"/>
  <c r="K137" i="6"/>
  <c r="O137" i="6"/>
  <c r="SY143" i="1"/>
  <c r="TA143" i="1" s="1"/>
  <c r="US143" i="1" s="1"/>
  <c r="R131" i="4"/>
  <c r="S131" i="4"/>
  <c r="T131" i="4"/>
  <c r="TL144" i="1"/>
  <c r="S143" i="5"/>
  <c r="SW144" i="1"/>
  <c r="UR144" i="1" s="1"/>
  <c r="K138" i="6"/>
  <c r="O138" i="6"/>
  <c r="SY144" i="1"/>
  <c r="TA144" i="1" s="1"/>
  <c r="US144" i="1" s="1"/>
  <c r="R132" i="4"/>
  <c r="S132" i="4"/>
  <c r="T132" i="4"/>
  <c r="TL145" i="1"/>
  <c r="S144" i="5"/>
  <c r="SW145" i="1"/>
  <c r="UR145" i="1" s="1"/>
  <c r="K139" i="6"/>
  <c r="O139" i="6"/>
  <c r="SY145" i="1"/>
  <c r="R133" i="4"/>
  <c r="S133" i="4"/>
  <c r="T133" i="4"/>
  <c r="TL146" i="1"/>
  <c r="S145" i="5"/>
  <c r="SW146" i="1"/>
  <c r="UR146" i="1" s="1"/>
  <c r="K140" i="6"/>
  <c r="O140" i="6"/>
  <c r="SY146" i="1"/>
  <c r="TB146" i="1" s="1"/>
  <c r="UT146" i="1" s="1"/>
  <c r="R134" i="4"/>
  <c r="S134" i="4"/>
  <c r="T134" i="4"/>
  <c r="TL147" i="1"/>
  <c r="S146" i="5"/>
  <c r="SW147" i="1"/>
  <c r="UR147" i="1" s="1"/>
  <c r="K141" i="6"/>
  <c r="O141" i="6"/>
  <c r="SY147" i="1"/>
  <c r="TA147" i="1" s="1"/>
  <c r="US147" i="1" s="1"/>
  <c r="R135" i="4"/>
  <c r="S135" i="4"/>
  <c r="T135" i="4"/>
  <c r="TL149" i="1"/>
  <c r="S118" i="5"/>
  <c r="SW149" i="1"/>
  <c r="UR149" i="1" s="1"/>
  <c r="K143" i="6"/>
  <c r="O143" i="6"/>
  <c r="SY149" i="1"/>
  <c r="R137" i="4"/>
  <c r="S137" i="4"/>
  <c r="T137" i="4"/>
  <c r="TL150" i="1"/>
  <c r="S149" i="5"/>
  <c r="SW150" i="1"/>
  <c r="UR150" i="1" s="1"/>
  <c r="K144" i="6"/>
  <c r="O144" i="6"/>
  <c r="SY150" i="1"/>
  <c r="R138" i="4"/>
  <c r="S138" i="4"/>
  <c r="T138" i="4"/>
  <c r="TL151" i="1"/>
  <c r="S150" i="5"/>
  <c r="SW151" i="1"/>
  <c r="UR151" i="1" s="1"/>
  <c r="K145" i="6"/>
  <c r="O145" i="6"/>
  <c r="SY151" i="1"/>
  <c r="R139" i="4"/>
  <c r="S139" i="4"/>
  <c r="T139" i="4"/>
  <c r="TL152" i="1"/>
  <c r="S151" i="5"/>
  <c r="SW152" i="1"/>
  <c r="UR152" i="1" s="1"/>
  <c r="K146" i="6"/>
  <c r="O146" i="6"/>
  <c r="SY152" i="1"/>
  <c r="TC152" i="1" s="1"/>
  <c r="UU152" i="1" s="1"/>
  <c r="R140" i="4"/>
  <c r="S140" i="4"/>
  <c r="T140" i="4"/>
  <c r="TL153" i="1"/>
  <c r="S152" i="5"/>
  <c r="SW153" i="1"/>
  <c r="UR153" i="1" s="1"/>
  <c r="K147" i="6"/>
  <c r="O147" i="6"/>
  <c r="SY153" i="1"/>
  <c r="TA153" i="1" s="1"/>
  <c r="US153" i="1" s="1"/>
  <c r="R141" i="4"/>
  <c r="S141" i="4"/>
  <c r="T141" i="4"/>
  <c r="TL154" i="1"/>
  <c r="S153" i="5"/>
  <c r="SW154" i="1"/>
  <c r="UR154" i="1" s="1"/>
  <c r="K148" i="6"/>
  <c r="O148" i="6"/>
  <c r="SY154" i="1"/>
  <c r="TA154" i="1" s="1"/>
  <c r="US154" i="1" s="1"/>
  <c r="R142" i="4"/>
  <c r="S142" i="4"/>
  <c r="T142" i="4"/>
  <c r="TL155" i="1"/>
  <c r="S154" i="5"/>
  <c r="SW155" i="1"/>
  <c r="K149" i="6"/>
  <c r="O149" i="6"/>
  <c r="SY155" i="1"/>
  <c r="TC155" i="1" s="1"/>
  <c r="UU155" i="1" s="1"/>
  <c r="R143" i="4"/>
  <c r="S143" i="4"/>
  <c r="T143" i="4"/>
  <c r="TL156" i="1"/>
  <c r="S155" i="5"/>
  <c r="SW156" i="1"/>
  <c r="UR156" i="1" s="1"/>
  <c r="K150" i="6"/>
  <c r="O150" i="6"/>
  <c r="SY156" i="1"/>
  <c r="TC156" i="1" s="1"/>
  <c r="UU156" i="1" s="1"/>
  <c r="TL157" i="1"/>
  <c r="S157" i="5"/>
  <c r="SW157" i="1"/>
  <c r="UR157" i="1" s="1"/>
  <c r="K151" i="6"/>
  <c r="O151" i="6"/>
  <c r="SY157" i="1"/>
  <c r="R144" i="4"/>
  <c r="S144" i="4"/>
  <c r="T144" i="4"/>
  <c r="TL158" i="1"/>
  <c r="S158" i="5"/>
  <c r="SW158" i="1"/>
  <c r="UR158" i="1" s="1"/>
  <c r="K152" i="6"/>
  <c r="O152" i="6"/>
  <c r="SY158" i="1"/>
  <c r="R145" i="4"/>
  <c r="S145" i="4"/>
  <c r="T145" i="4"/>
  <c r="TL159" i="1"/>
  <c r="S159" i="5"/>
  <c r="SW159" i="1"/>
  <c r="UR159" i="1" s="1"/>
  <c r="K153" i="6"/>
  <c r="O153" i="6"/>
  <c r="SY159" i="1"/>
  <c r="R146" i="4"/>
  <c r="S146" i="4"/>
  <c r="T146" i="4"/>
  <c r="TL160" i="1"/>
  <c r="S160" i="5"/>
  <c r="SW160" i="1"/>
  <c r="UR160" i="1" s="1"/>
  <c r="K154" i="6"/>
  <c r="O154" i="6"/>
  <c r="SY160" i="1"/>
  <c r="R147" i="4"/>
  <c r="S147" i="4"/>
  <c r="T147" i="4"/>
  <c r="TL161" i="1"/>
  <c r="S162" i="5"/>
  <c r="SW161" i="1"/>
  <c r="UR161" i="1" s="1"/>
  <c r="K155" i="6"/>
  <c r="O155" i="6"/>
  <c r="SY161" i="1"/>
  <c r="TL162" i="1"/>
  <c r="S164" i="5"/>
  <c r="SW162" i="1"/>
  <c r="UR162" i="1" s="1"/>
  <c r="K157" i="6"/>
  <c r="O157" i="6"/>
  <c r="SY162" i="1"/>
  <c r="TL163" i="1"/>
  <c r="S166" i="5"/>
  <c r="SW163" i="1"/>
  <c r="UR163" i="1" s="1"/>
  <c r="K159" i="6"/>
  <c r="O159" i="6"/>
  <c r="SY163" i="1"/>
  <c r="TC163" i="1" s="1"/>
  <c r="UU163" i="1" s="1"/>
  <c r="OS165" i="1"/>
  <c r="OT165" i="1"/>
  <c r="OU165" i="1"/>
  <c r="OV165" i="1"/>
  <c r="OW165" i="1"/>
  <c r="OX165" i="1"/>
  <c r="OY165" i="1"/>
  <c r="OZ165" i="1"/>
  <c r="PA165" i="1"/>
  <c r="PB165" i="1"/>
  <c r="PC165" i="1"/>
  <c r="PD165" i="1"/>
  <c r="PE165" i="1"/>
  <c r="PF165" i="1"/>
  <c r="PG165" i="1"/>
  <c r="PH165" i="1"/>
  <c r="PI165" i="1"/>
  <c r="PJ165" i="1"/>
  <c r="PK165" i="1"/>
  <c r="PL165" i="1"/>
  <c r="PM165" i="1"/>
  <c r="PN165" i="1"/>
  <c r="PO165" i="1"/>
  <c r="PP165" i="1"/>
  <c r="PQ165" i="1"/>
  <c r="PR165" i="1"/>
  <c r="PS165" i="1"/>
  <c r="PT165" i="1"/>
  <c r="PU165" i="1"/>
  <c r="PV165" i="1"/>
  <c r="PW165" i="1"/>
  <c r="PX165" i="1"/>
  <c r="PY165" i="1"/>
  <c r="PZ165" i="1"/>
  <c r="QA165" i="1"/>
  <c r="QB165" i="1"/>
  <c r="QC165" i="1"/>
  <c r="QD165" i="1"/>
  <c r="QE165" i="1"/>
  <c r="QF165" i="1"/>
  <c r="QG165" i="1"/>
  <c r="QH165" i="1"/>
  <c r="QI165" i="1"/>
  <c r="QJ165" i="1"/>
  <c r="QK165" i="1"/>
  <c r="QL165" i="1"/>
  <c r="QM165" i="1"/>
  <c r="QN165" i="1"/>
  <c r="QO165" i="1"/>
  <c r="QP165" i="1"/>
  <c r="QQ165" i="1"/>
  <c r="QR165" i="1"/>
  <c r="QS165" i="1"/>
  <c r="QT165" i="1"/>
  <c r="QU165" i="1"/>
  <c r="QV165" i="1"/>
  <c r="QW165" i="1"/>
  <c r="QX165" i="1"/>
  <c r="QY165" i="1"/>
  <c r="QZ165" i="1"/>
  <c r="RA165" i="1"/>
  <c r="RB165" i="1"/>
  <c r="OR165" i="1"/>
  <c r="E15" i="3"/>
  <c r="F15" i="3"/>
  <c r="F164" i="3"/>
  <c r="ST11" i="1"/>
  <c r="ST12" i="1"/>
  <c r="ST13" i="1"/>
  <c r="ST14" i="1"/>
  <c r="ST15" i="1"/>
  <c r="ST16" i="1"/>
  <c r="ST17" i="1"/>
  <c r="ST18" i="1"/>
  <c r="ST19" i="1"/>
  <c r="ST20" i="1"/>
  <c r="ST21" i="1"/>
  <c r="ST22" i="1"/>
  <c r="ST23" i="1"/>
  <c r="ST24" i="1"/>
  <c r="ST25" i="1"/>
  <c r="ST26" i="1"/>
  <c r="ST27" i="1"/>
  <c r="ST28" i="1"/>
  <c r="ST29" i="1"/>
  <c r="ST30" i="1"/>
  <c r="ST31" i="1"/>
  <c r="ST32" i="1"/>
  <c r="ST33" i="1"/>
  <c r="ST34" i="1"/>
  <c r="ST35" i="1"/>
  <c r="ST36" i="1"/>
  <c r="ST37" i="1"/>
  <c r="ST38" i="1"/>
  <c r="ST39" i="1"/>
  <c r="ST40" i="1"/>
  <c r="ST41" i="1"/>
  <c r="ST42" i="1"/>
  <c r="ST43" i="1"/>
  <c r="ST44" i="1"/>
  <c r="ST45" i="1"/>
  <c r="ST46" i="1"/>
  <c r="ST47" i="1"/>
  <c r="ST48" i="1"/>
  <c r="ST49" i="1"/>
  <c r="ST50" i="1"/>
  <c r="ST51" i="1"/>
  <c r="ST52" i="1"/>
  <c r="ST53" i="1"/>
  <c r="ST54" i="1"/>
  <c r="ST55" i="1"/>
  <c r="ST56" i="1"/>
  <c r="ST57" i="1"/>
  <c r="ST58" i="1"/>
  <c r="ST59" i="1"/>
  <c r="ST60" i="1"/>
  <c r="ST61" i="1"/>
  <c r="ST62" i="1"/>
  <c r="ST63" i="1"/>
  <c r="ST64" i="1"/>
  <c r="ST65" i="1"/>
  <c r="ST66" i="1"/>
  <c r="ST67" i="1"/>
  <c r="ST68" i="1"/>
  <c r="ST69" i="1"/>
  <c r="ST70" i="1"/>
  <c r="ST71" i="1"/>
  <c r="ST72" i="1"/>
  <c r="ST73" i="1"/>
  <c r="ST74" i="1"/>
  <c r="ST75" i="1"/>
  <c r="ST76" i="1"/>
  <c r="ST77" i="1"/>
  <c r="ST78" i="1"/>
  <c r="ST79" i="1"/>
  <c r="ST80" i="1"/>
  <c r="ST81" i="1"/>
  <c r="ST82" i="1"/>
  <c r="ST83" i="1"/>
  <c r="ST84" i="1"/>
  <c r="ST85" i="1"/>
  <c r="ST86" i="1"/>
  <c r="ST87" i="1"/>
  <c r="ST88" i="1"/>
  <c r="ST89" i="1"/>
  <c r="ST90" i="1"/>
  <c r="ST91" i="1"/>
  <c r="ST92" i="1"/>
  <c r="ST93" i="1"/>
  <c r="ST94" i="1"/>
  <c r="ST95" i="1"/>
  <c r="ST96" i="1"/>
  <c r="ST97" i="1"/>
  <c r="ST98" i="1"/>
  <c r="ST99" i="1"/>
  <c r="ST100" i="1"/>
  <c r="ST101" i="1"/>
  <c r="ST102" i="1"/>
  <c r="ST103" i="1"/>
  <c r="ST104" i="1"/>
  <c r="ST105" i="1"/>
  <c r="ST106" i="1"/>
  <c r="ST107" i="1"/>
  <c r="ST108" i="1"/>
  <c r="ST109" i="1"/>
  <c r="ST110" i="1"/>
  <c r="ST111" i="1"/>
  <c r="ST112" i="1"/>
  <c r="ST113" i="1"/>
  <c r="ST114" i="1"/>
  <c r="ST115" i="1"/>
  <c r="ST116" i="1"/>
  <c r="ST117" i="1"/>
  <c r="ST118" i="1"/>
  <c r="ST119" i="1"/>
  <c r="ST120" i="1"/>
  <c r="ST121" i="1"/>
  <c r="ST122" i="1"/>
  <c r="ST123" i="1"/>
  <c r="ST124" i="1"/>
  <c r="ST125" i="1"/>
  <c r="ST126" i="1"/>
  <c r="ST127" i="1"/>
  <c r="ST128" i="1"/>
  <c r="ST129" i="1"/>
  <c r="ST130" i="1"/>
  <c r="ST131" i="1"/>
  <c r="ST132" i="1"/>
  <c r="ST133" i="1"/>
  <c r="ST134" i="1"/>
  <c r="ST135" i="1"/>
  <c r="ST136" i="1"/>
  <c r="ST137" i="1"/>
  <c r="ST138" i="1"/>
  <c r="ST139" i="1"/>
  <c r="ST140" i="1"/>
  <c r="ST141" i="1"/>
  <c r="ST142" i="1"/>
  <c r="ST143" i="1"/>
  <c r="ST144" i="1"/>
  <c r="ST145" i="1"/>
  <c r="ST146" i="1"/>
  <c r="ST147" i="1"/>
  <c r="ST148" i="1"/>
  <c r="ST149" i="1"/>
  <c r="ST150" i="1"/>
  <c r="ST151" i="1"/>
  <c r="ST152" i="1"/>
  <c r="ST153" i="1"/>
  <c r="ST154" i="1"/>
  <c r="ST155" i="1"/>
  <c r="ST156" i="1"/>
  <c r="ST157" i="1"/>
  <c r="ST158" i="1"/>
  <c r="ST159" i="1"/>
  <c r="ST160" i="1"/>
  <c r="ST161" i="1"/>
  <c r="ST162" i="1"/>
  <c r="ST163" i="1"/>
  <c r="TN10" i="1"/>
  <c r="TL10" i="1"/>
  <c r="ST10" i="1"/>
  <c r="TP11" i="1"/>
  <c r="TP12" i="1"/>
  <c r="TP13" i="1"/>
  <c r="TP14" i="1"/>
  <c r="TP15" i="1"/>
  <c r="TP16" i="1"/>
  <c r="TP17" i="1"/>
  <c r="TP18" i="1"/>
  <c r="TP19" i="1"/>
  <c r="TP20" i="1"/>
  <c r="TP21" i="1"/>
  <c r="TP22" i="1"/>
  <c r="TP23" i="1"/>
  <c r="TP24" i="1"/>
  <c r="TP25" i="1"/>
  <c r="TP26" i="1"/>
  <c r="TP27" i="1"/>
  <c r="TP28" i="1"/>
  <c r="TP29" i="1"/>
  <c r="TP30" i="1"/>
  <c r="TP31" i="1"/>
  <c r="TP32" i="1"/>
  <c r="TP33" i="1"/>
  <c r="TP34" i="1"/>
  <c r="TP35" i="1"/>
  <c r="TP36" i="1"/>
  <c r="TP37" i="1"/>
  <c r="TP38" i="1"/>
  <c r="TP39" i="1"/>
  <c r="TP40" i="1"/>
  <c r="TP41" i="1"/>
  <c r="TP42" i="1"/>
  <c r="TP43" i="1"/>
  <c r="TP44" i="1"/>
  <c r="TP45" i="1"/>
  <c r="TP46" i="1"/>
  <c r="TP47" i="1"/>
  <c r="TP48" i="1"/>
  <c r="TP49" i="1"/>
  <c r="TP50" i="1"/>
  <c r="TP51" i="1"/>
  <c r="TP52" i="1"/>
  <c r="TP53" i="1"/>
  <c r="TP54" i="1"/>
  <c r="TP55" i="1"/>
  <c r="TP56" i="1"/>
  <c r="TP57" i="1"/>
  <c r="TP58" i="1"/>
  <c r="TP59" i="1"/>
  <c r="TP60" i="1"/>
  <c r="TP61" i="1"/>
  <c r="TP62" i="1"/>
  <c r="TP63" i="1"/>
  <c r="TP64" i="1"/>
  <c r="TP65" i="1"/>
  <c r="TP66" i="1"/>
  <c r="TP67" i="1"/>
  <c r="TP68" i="1"/>
  <c r="TP69" i="1"/>
  <c r="TP70" i="1"/>
  <c r="TP71" i="1"/>
  <c r="TP72" i="1"/>
  <c r="TP73" i="1"/>
  <c r="TP74" i="1"/>
  <c r="TP75" i="1"/>
  <c r="TP76" i="1"/>
  <c r="TP77" i="1"/>
  <c r="TP78" i="1"/>
  <c r="TP79" i="1"/>
  <c r="TP80" i="1"/>
  <c r="TP81" i="1"/>
  <c r="TP82" i="1"/>
  <c r="TP83" i="1"/>
  <c r="TP84" i="1"/>
  <c r="TP85" i="1"/>
  <c r="TP86" i="1"/>
  <c r="TP87" i="1"/>
  <c r="TP88" i="1"/>
  <c r="TP89" i="1"/>
  <c r="TP90" i="1"/>
  <c r="TP91" i="1"/>
  <c r="TP92" i="1"/>
  <c r="TP93" i="1"/>
  <c r="TP94" i="1"/>
  <c r="TP95" i="1"/>
  <c r="TP96" i="1"/>
  <c r="TP97" i="1"/>
  <c r="TP98" i="1"/>
  <c r="TP99" i="1"/>
  <c r="TP100" i="1"/>
  <c r="TP101" i="1"/>
  <c r="TP102" i="1"/>
  <c r="TP103" i="1"/>
  <c r="TP104" i="1"/>
  <c r="TP105" i="1"/>
  <c r="TP106" i="1"/>
  <c r="TP107" i="1"/>
  <c r="TP108" i="1"/>
  <c r="TP109" i="1"/>
  <c r="TP110" i="1"/>
  <c r="TP111" i="1"/>
  <c r="TP112" i="1"/>
  <c r="TP113" i="1"/>
  <c r="TP114" i="1"/>
  <c r="TP115" i="1"/>
  <c r="TP116" i="1"/>
  <c r="TP117" i="1"/>
  <c r="TP118" i="1"/>
  <c r="TP119" i="1"/>
  <c r="TP120" i="1"/>
  <c r="TP121" i="1"/>
  <c r="TP122" i="1"/>
  <c r="TP123" i="1"/>
  <c r="TP124" i="1"/>
  <c r="TP125" i="1"/>
  <c r="TP126" i="1"/>
  <c r="TP127" i="1"/>
  <c r="TP128" i="1"/>
  <c r="TP129" i="1"/>
  <c r="TP130" i="1"/>
  <c r="TP131" i="1"/>
  <c r="TP132" i="1"/>
  <c r="TP133" i="1"/>
  <c r="TP134" i="1"/>
  <c r="TP135" i="1"/>
  <c r="TP136" i="1"/>
  <c r="TP137" i="1"/>
  <c r="TP138" i="1"/>
  <c r="TP139" i="1"/>
  <c r="TP140" i="1"/>
  <c r="TP141" i="1"/>
  <c r="TP142" i="1"/>
  <c r="TP143" i="1"/>
  <c r="TP144" i="1"/>
  <c r="TP145" i="1"/>
  <c r="TP146" i="1"/>
  <c r="TP147" i="1"/>
  <c r="TP148" i="1"/>
  <c r="TP149" i="1"/>
  <c r="TP150" i="1"/>
  <c r="TP151" i="1"/>
  <c r="TP152" i="1"/>
  <c r="TP153" i="1"/>
  <c r="TP154" i="1"/>
  <c r="TP155" i="1"/>
  <c r="TP156" i="1"/>
  <c r="TP157" i="1"/>
  <c r="TP158" i="1"/>
  <c r="TP159" i="1"/>
  <c r="TP160" i="1"/>
  <c r="TP161" i="1"/>
  <c r="TP162" i="1"/>
  <c r="TP163" i="1"/>
  <c r="TP10" i="1"/>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6" i="8"/>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4" i="7"/>
  <c r="K4" i="6"/>
  <c r="K156" i="6"/>
  <c r="O4" i="6"/>
  <c r="SY10" i="1"/>
  <c r="TC10" i="1" s="1"/>
  <c r="O171" i="6"/>
  <c r="O156" i="6"/>
  <c r="K158" i="6"/>
  <c r="O158" i="6"/>
  <c r="O160" i="6"/>
  <c r="K161" i="6"/>
  <c r="O161" i="6"/>
  <c r="K162" i="6"/>
  <c r="O162" i="6"/>
  <c r="K163" i="6"/>
  <c r="O163" i="6"/>
  <c r="O164" i="6"/>
  <c r="O165" i="6"/>
  <c r="K166" i="6"/>
  <c r="O166" i="6"/>
  <c r="O167" i="6"/>
  <c r="K168" i="6"/>
  <c r="O168" i="6"/>
  <c r="O169" i="6"/>
  <c r="O170" i="6"/>
  <c r="V15" i="3"/>
  <c r="S3" i="5"/>
  <c r="SW10" i="1"/>
  <c r="R4" i="4"/>
  <c r="S4" i="4"/>
  <c r="T4" i="4"/>
  <c r="S119" i="5"/>
  <c r="S122" i="5"/>
  <c r="S124" i="5"/>
  <c r="S127" i="5"/>
  <c r="S140" i="5"/>
  <c r="S148" i="5"/>
  <c r="S156" i="5"/>
  <c r="S161" i="5"/>
  <c r="S163" i="5"/>
  <c r="S165"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RG10" i="1"/>
  <c r="RH10" i="1"/>
  <c r="RI10" i="1"/>
  <c r="RJ10" i="1"/>
  <c r="RK10" i="1"/>
  <c r="RL10" i="1"/>
  <c r="RM10" i="1"/>
  <c r="RN10" i="1"/>
  <c r="RO10" i="1"/>
  <c r="RP10" i="1"/>
  <c r="RQ10" i="1"/>
  <c r="RR10" i="1"/>
  <c r="SD10" i="1"/>
  <c r="SG10" i="1" s="1"/>
  <c r="RX10" i="1"/>
  <c r="RY165" i="7"/>
  <c r="RY10" i="1"/>
  <c r="YH10" i="1" s="1"/>
  <c r="RY11" i="1"/>
  <c r="YH11" i="1" s="1"/>
  <c r="RY12" i="1"/>
  <c r="YH12" i="1" s="1"/>
  <c r="RY13" i="1"/>
  <c r="YH13" i="1" s="1"/>
  <c r="RY14" i="1"/>
  <c r="YH14" i="1" s="1"/>
  <c r="RY15" i="1"/>
  <c r="YH15" i="1" s="1"/>
  <c r="RY16" i="1"/>
  <c r="YH16" i="1" s="1"/>
  <c r="RY17" i="1"/>
  <c r="YH17" i="1" s="1"/>
  <c r="RY18" i="1"/>
  <c r="YH18" i="1" s="1"/>
  <c r="RY19" i="1"/>
  <c r="YH19" i="1" s="1"/>
  <c r="RY20" i="1"/>
  <c r="YH20" i="1" s="1"/>
  <c r="RY21" i="1"/>
  <c r="YH21" i="1" s="1"/>
  <c r="RY22" i="1"/>
  <c r="YH22" i="1" s="1"/>
  <c r="RY23" i="1"/>
  <c r="YH23" i="1" s="1"/>
  <c r="RY24" i="1"/>
  <c r="YH24" i="1" s="1"/>
  <c r="RY25" i="1"/>
  <c r="YH25" i="1" s="1"/>
  <c r="RY26" i="1"/>
  <c r="YH26" i="1" s="1"/>
  <c r="RY27" i="1"/>
  <c r="YH27" i="1" s="1"/>
  <c r="RY28" i="1"/>
  <c r="YH28" i="1" s="1"/>
  <c r="RY29" i="1"/>
  <c r="YH29" i="1" s="1"/>
  <c r="RY30" i="1"/>
  <c r="YH30" i="1" s="1"/>
  <c r="RY31" i="1"/>
  <c r="YH31" i="1" s="1"/>
  <c r="RY32" i="1"/>
  <c r="YH32" i="1" s="1"/>
  <c r="RY33" i="1"/>
  <c r="YH33" i="1" s="1"/>
  <c r="RY34" i="1"/>
  <c r="YH34" i="1" s="1"/>
  <c r="RY35" i="1"/>
  <c r="YH35" i="1" s="1"/>
  <c r="RY36" i="1"/>
  <c r="YH36" i="1" s="1"/>
  <c r="RY37" i="1"/>
  <c r="YH37" i="1" s="1"/>
  <c r="RY38" i="1"/>
  <c r="YH38" i="1" s="1"/>
  <c r="RY39" i="1"/>
  <c r="YH39" i="1" s="1"/>
  <c r="RY40" i="1"/>
  <c r="YH40" i="1" s="1"/>
  <c r="RY41" i="1"/>
  <c r="YH41" i="1" s="1"/>
  <c r="RY42" i="1"/>
  <c r="YH42" i="1" s="1"/>
  <c r="RY43" i="1"/>
  <c r="YH43" i="1" s="1"/>
  <c r="RY44" i="1"/>
  <c r="YH44" i="1" s="1"/>
  <c r="RY45" i="1"/>
  <c r="YH45" i="1" s="1"/>
  <c r="RY46" i="1"/>
  <c r="YH46" i="1" s="1"/>
  <c r="RY47" i="1"/>
  <c r="YH47" i="1" s="1"/>
  <c r="RY48" i="1"/>
  <c r="YH48" i="1" s="1"/>
  <c r="RY49" i="1"/>
  <c r="YH49" i="1" s="1"/>
  <c r="RY50" i="1"/>
  <c r="YH50" i="1" s="1"/>
  <c r="RY51" i="1"/>
  <c r="YH51" i="1" s="1"/>
  <c r="RY52" i="1"/>
  <c r="YH52" i="1" s="1"/>
  <c r="RY53" i="1"/>
  <c r="YH53" i="1" s="1"/>
  <c r="RY54" i="1"/>
  <c r="YH54" i="1" s="1"/>
  <c r="RY55" i="1"/>
  <c r="YH55" i="1" s="1"/>
  <c r="RY56" i="1"/>
  <c r="YH56" i="1" s="1"/>
  <c r="RY57" i="1"/>
  <c r="YH57" i="1" s="1"/>
  <c r="RY58" i="1"/>
  <c r="YH58" i="1" s="1"/>
  <c r="RY59" i="1"/>
  <c r="YH59" i="1" s="1"/>
  <c r="RY60" i="1"/>
  <c r="YH60" i="1" s="1"/>
  <c r="RY61" i="1"/>
  <c r="YH61" i="1" s="1"/>
  <c r="RY62" i="1"/>
  <c r="YH62" i="1" s="1"/>
  <c r="RY63" i="1"/>
  <c r="YH63" i="1" s="1"/>
  <c r="RY64" i="1"/>
  <c r="YH64" i="1" s="1"/>
  <c r="RY65" i="1"/>
  <c r="YH65" i="1" s="1"/>
  <c r="RY66" i="1"/>
  <c r="YH66" i="1" s="1"/>
  <c r="RY67" i="1"/>
  <c r="YH67" i="1" s="1"/>
  <c r="RY68" i="1"/>
  <c r="YH68" i="1" s="1"/>
  <c r="RY69" i="1"/>
  <c r="YH69" i="1" s="1"/>
  <c r="RY70" i="1"/>
  <c r="YH70" i="1" s="1"/>
  <c r="RY71" i="1"/>
  <c r="YH71" i="1" s="1"/>
  <c r="RY72" i="1"/>
  <c r="YH72" i="1" s="1"/>
  <c r="RY73" i="1"/>
  <c r="YH73" i="1" s="1"/>
  <c r="RY74" i="1"/>
  <c r="YH74" i="1" s="1"/>
  <c r="RY75" i="1"/>
  <c r="YH75" i="1" s="1"/>
  <c r="RY76" i="1"/>
  <c r="YH76" i="1" s="1"/>
  <c r="RY77" i="1"/>
  <c r="YH77" i="1" s="1"/>
  <c r="RY78" i="1"/>
  <c r="YH78" i="1" s="1"/>
  <c r="RY79" i="1"/>
  <c r="YH79" i="1" s="1"/>
  <c r="RY80" i="1"/>
  <c r="YH80" i="1" s="1"/>
  <c r="RY81" i="1"/>
  <c r="YH81" i="1" s="1"/>
  <c r="RY82" i="1"/>
  <c r="YH82" i="1" s="1"/>
  <c r="RY83" i="1"/>
  <c r="YH83" i="1" s="1"/>
  <c r="RY84" i="1"/>
  <c r="YH84" i="1" s="1"/>
  <c r="RY85" i="1"/>
  <c r="YH85" i="1" s="1"/>
  <c r="RY86" i="1"/>
  <c r="YH86" i="1" s="1"/>
  <c r="RY87" i="1"/>
  <c r="YH87" i="1" s="1"/>
  <c r="RY88" i="1"/>
  <c r="YH88" i="1" s="1"/>
  <c r="RY89" i="1"/>
  <c r="YH89" i="1" s="1"/>
  <c r="RY90" i="1"/>
  <c r="YH90" i="1" s="1"/>
  <c r="RY91" i="1"/>
  <c r="YH91" i="1" s="1"/>
  <c r="RY92" i="1"/>
  <c r="YH92" i="1" s="1"/>
  <c r="RY93" i="1"/>
  <c r="YH93" i="1" s="1"/>
  <c r="RY94" i="1"/>
  <c r="YH94" i="1" s="1"/>
  <c r="RY95" i="1"/>
  <c r="YH95" i="1" s="1"/>
  <c r="RY96" i="1"/>
  <c r="YH96" i="1" s="1"/>
  <c r="RY97" i="1"/>
  <c r="YH97" i="1" s="1"/>
  <c r="RY98" i="1"/>
  <c r="YH98" i="1" s="1"/>
  <c r="RY99" i="1"/>
  <c r="YH99" i="1" s="1"/>
  <c r="RY100" i="1"/>
  <c r="YH100" i="1" s="1"/>
  <c r="RY101" i="1"/>
  <c r="YH101" i="1" s="1"/>
  <c r="RY102" i="1"/>
  <c r="YH102" i="1" s="1"/>
  <c r="RY103" i="1"/>
  <c r="YH103" i="1" s="1"/>
  <c r="RY104" i="1"/>
  <c r="YH104" i="1" s="1"/>
  <c r="RY105" i="1"/>
  <c r="YH105" i="1" s="1"/>
  <c r="RY106" i="1"/>
  <c r="YH106" i="1" s="1"/>
  <c r="RY107" i="1"/>
  <c r="YH107" i="1" s="1"/>
  <c r="RY108" i="1"/>
  <c r="YH108" i="1" s="1"/>
  <c r="RY109" i="1"/>
  <c r="YH109" i="1" s="1"/>
  <c r="RY110" i="1"/>
  <c r="YH110" i="1" s="1"/>
  <c r="RY111" i="1"/>
  <c r="YH111" i="1" s="1"/>
  <c r="RY112" i="1"/>
  <c r="YH112" i="1" s="1"/>
  <c r="RY113" i="1"/>
  <c r="YH113" i="1" s="1"/>
  <c r="RY114" i="1"/>
  <c r="YH114" i="1" s="1"/>
  <c r="RY115" i="1"/>
  <c r="YH115" i="1" s="1"/>
  <c r="RY116" i="1"/>
  <c r="YH116" i="1" s="1"/>
  <c r="RY117" i="1"/>
  <c r="YH117" i="1" s="1"/>
  <c r="RY118" i="1"/>
  <c r="YH118" i="1" s="1"/>
  <c r="RY119" i="1"/>
  <c r="YH119" i="1" s="1"/>
  <c r="RY120" i="1"/>
  <c r="YH120" i="1" s="1"/>
  <c r="RY121" i="1"/>
  <c r="YH121" i="1" s="1"/>
  <c r="RY122" i="1"/>
  <c r="YH122" i="1" s="1"/>
  <c r="RY123" i="1"/>
  <c r="YH123" i="1" s="1"/>
  <c r="RY124" i="1"/>
  <c r="YH124" i="1" s="1"/>
  <c r="RY125" i="1"/>
  <c r="YH125" i="1" s="1"/>
  <c r="RY126" i="1"/>
  <c r="YH126" i="1" s="1"/>
  <c r="RY127" i="1"/>
  <c r="YH127" i="1" s="1"/>
  <c r="RY128" i="1"/>
  <c r="YH128" i="1" s="1"/>
  <c r="RY129" i="1"/>
  <c r="YH129" i="1" s="1"/>
  <c r="RY130" i="1"/>
  <c r="YH130" i="1" s="1"/>
  <c r="RY131" i="1"/>
  <c r="YH131" i="1" s="1"/>
  <c r="RY132" i="1"/>
  <c r="YH132" i="1" s="1"/>
  <c r="RY133" i="1"/>
  <c r="YH133" i="1" s="1"/>
  <c r="RY134" i="1"/>
  <c r="YH134" i="1" s="1"/>
  <c r="RY135" i="1"/>
  <c r="YH135" i="1" s="1"/>
  <c r="RY136" i="1"/>
  <c r="YH136" i="1" s="1"/>
  <c r="RY137" i="1"/>
  <c r="YH137" i="1" s="1"/>
  <c r="RY138" i="1"/>
  <c r="YH138" i="1" s="1"/>
  <c r="RY139" i="1"/>
  <c r="YH139" i="1" s="1"/>
  <c r="RY140" i="1"/>
  <c r="YH140" i="1" s="1"/>
  <c r="RY141" i="1"/>
  <c r="YH141" i="1" s="1"/>
  <c r="RY142" i="1"/>
  <c r="YH142" i="1" s="1"/>
  <c r="RY143" i="1"/>
  <c r="YH143" i="1" s="1"/>
  <c r="RY144" i="1"/>
  <c r="YH144" i="1" s="1"/>
  <c r="RY145" i="1"/>
  <c r="YH145" i="1" s="1"/>
  <c r="RY146" i="1"/>
  <c r="YH146" i="1" s="1"/>
  <c r="RY147" i="1"/>
  <c r="YH147" i="1" s="1"/>
  <c r="RY148" i="1"/>
  <c r="YH148" i="1" s="1"/>
  <c r="RY149" i="1"/>
  <c r="YH149" i="1" s="1"/>
  <c r="RY150" i="1"/>
  <c r="YH150" i="1" s="1"/>
  <c r="RY151" i="1"/>
  <c r="YH151" i="1" s="1"/>
  <c r="RY152" i="1"/>
  <c r="YH152" i="1" s="1"/>
  <c r="RY153" i="1"/>
  <c r="YH153" i="1" s="1"/>
  <c r="RY154" i="1"/>
  <c r="YH154" i="1" s="1"/>
  <c r="RY155" i="1"/>
  <c r="YH155" i="1" s="1"/>
  <c r="RY156" i="1"/>
  <c r="YH156" i="1" s="1"/>
  <c r="RY157" i="1"/>
  <c r="YH157" i="1" s="1"/>
  <c r="RY158" i="1"/>
  <c r="YH158" i="1" s="1"/>
  <c r="RY159" i="1"/>
  <c r="YH159" i="1" s="1"/>
  <c r="RY160" i="1"/>
  <c r="YH160" i="1" s="1"/>
  <c r="RY161" i="1"/>
  <c r="YH161" i="1" s="1"/>
  <c r="RY162" i="1"/>
  <c r="YH162" i="1" s="1"/>
  <c r="RY163" i="1"/>
  <c r="YH163" i="1" s="1"/>
  <c r="RY171" i="7"/>
  <c r="RV10" i="1"/>
  <c r="RW10" i="1"/>
  <c r="RV11" i="1"/>
  <c r="RW11" i="1"/>
  <c r="VP11" i="1" s="1"/>
  <c r="I98" i="14" s="1"/>
  <c r="RX11" i="1"/>
  <c r="RV12" i="1"/>
  <c r="RW12" i="1"/>
  <c r="RX12" i="1"/>
  <c r="VQ12" i="1" s="1"/>
  <c r="RV13" i="1"/>
  <c r="RW13" i="1"/>
  <c r="XC13" i="1"/>
  <c r="RV14" i="1"/>
  <c r="RW14" i="1"/>
  <c r="RX14" i="1"/>
  <c r="RV15" i="1"/>
  <c r="RW15" i="1"/>
  <c r="RX15" i="1"/>
  <c r="RV16" i="1"/>
  <c r="RW16" i="1"/>
  <c r="RX16" i="1"/>
  <c r="VQ16" i="1" s="1"/>
  <c r="RV17" i="1"/>
  <c r="RW17" i="1"/>
  <c r="RX17" i="1"/>
  <c r="RV18" i="1"/>
  <c r="RW18" i="1"/>
  <c r="RX18" i="1"/>
  <c r="VQ18" i="1" s="1"/>
  <c r="RV19" i="1"/>
  <c r="RW19" i="1"/>
  <c r="RX19" i="1"/>
  <c r="RV20" i="1"/>
  <c r="RW20" i="1"/>
  <c r="RX20" i="1"/>
  <c r="VQ20" i="1" s="1"/>
  <c r="RV21" i="1"/>
  <c r="RW21" i="1"/>
  <c r="VP21" i="1" s="1"/>
  <c r="I108" i="14" s="1"/>
  <c r="RX21" i="1"/>
  <c r="RV22" i="1"/>
  <c r="RW22" i="1"/>
  <c r="RX22" i="1"/>
  <c r="VQ22" i="1" s="1"/>
  <c r="RV23" i="1"/>
  <c r="RW23" i="1"/>
  <c r="RX23" i="1"/>
  <c r="RV24" i="1"/>
  <c r="RW24" i="1"/>
  <c r="RX24" i="1"/>
  <c r="VQ24" i="1" s="1"/>
  <c r="RV25" i="1"/>
  <c r="RW25" i="1"/>
  <c r="RX25" i="1"/>
  <c r="RV26" i="1"/>
  <c r="RW26" i="1"/>
  <c r="RX26" i="1"/>
  <c r="VQ26" i="1" s="1"/>
  <c r="RV27" i="1"/>
  <c r="RW27" i="1"/>
  <c r="RX27" i="1"/>
  <c r="RV28" i="1"/>
  <c r="RW28" i="1"/>
  <c r="RX28" i="1"/>
  <c r="VQ28" i="1" s="1"/>
  <c r="RV29" i="1"/>
  <c r="RW29" i="1"/>
  <c r="RX29" i="1"/>
  <c r="RV30" i="1"/>
  <c r="RW30" i="1"/>
  <c r="RX30" i="1"/>
  <c r="VQ30" i="1" s="1"/>
  <c r="RV31" i="1"/>
  <c r="RW31" i="1"/>
  <c r="RX31" i="1"/>
  <c r="RV32" i="1"/>
  <c r="RW32" i="1"/>
  <c r="RX32" i="1"/>
  <c r="VQ32" i="1" s="1"/>
  <c r="RV33" i="1"/>
  <c r="RW33" i="1"/>
  <c r="RX33" i="1"/>
  <c r="RV34" i="1"/>
  <c r="RW34" i="1"/>
  <c r="RX34" i="1"/>
  <c r="VQ34" i="1" s="1"/>
  <c r="RV35" i="1"/>
  <c r="RW35" i="1"/>
  <c r="RX35" i="1"/>
  <c r="RV36" i="1"/>
  <c r="RW36" i="1"/>
  <c r="RX36" i="1"/>
  <c r="VQ36" i="1" s="1"/>
  <c r="RV37" i="1"/>
  <c r="RW37" i="1"/>
  <c r="RX37" i="1"/>
  <c r="RV38" i="1"/>
  <c r="RW38" i="1"/>
  <c r="RX38" i="1"/>
  <c r="VQ38" i="1" s="1"/>
  <c r="RV39" i="1"/>
  <c r="RW39" i="1"/>
  <c r="RX39" i="1"/>
  <c r="RV40" i="1"/>
  <c r="RW40" i="1"/>
  <c r="RX40" i="1"/>
  <c r="VQ40" i="1" s="1"/>
  <c r="RV41" i="1"/>
  <c r="RW41" i="1"/>
  <c r="VP41" i="1" s="1"/>
  <c r="I128" i="14" s="1"/>
  <c r="RX41" i="1"/>
  <c r="RV42" i="1"/>
  <c r="RW42" i="1"/>
  <c r="RX42" i="1"/>
  <c r="VQ42" i="1" s="1"/>
  <c r="RV43" i="1"/>
  <c r="RW43" i="1"/>
  <c r="RX43" i="1"/>
  <c r="RV44" i="1"/>
  <c r="RW44" i="1"/>
  <c r="RX44" i="1"/>
  <c r="VQ44" i="1" s="1"/>
  <c r="RV45" i="1"/>
  <c r="RW45" i="1"/>
  <c r="VP45" i="1" s="1"/>
  <c r="I132" i="14" s="1"/>
  <c r="RX45" i="1"/>
  <c r="RV46" i="1"/>
  <c r="RW46" i="1"/>
  <c r="RX46" i="1"/>
  <c r="VQ46" i="1" s="1"/>
  <c r="RV47" i="1"/>
  <c r="RW47" i="1"/>
  <c r="RX47" i="1"/>
  <c r="RV48" i="1"/>
  <c r="RW48" i="1"/>
  <c r="RX48" i="1"/>
  <c r="VQ48" i="1" s="1"/>
  <c r="RV49" i="1"/>
  <c r="RW49" i="1"/>
  <c r="VP49" i="1" s="1"/>
  <c r="I136" i="14" s="1"/>
  <c r="RX49" i="1"/>
  <c r="RV50" i="1"/>
  <c r="RW50" i="1"/>
  <c r="RX50" i="1"/>
  <c r="VQ50" i="1" s="1"/>
  <c r="RV51" i="1"/>
  <c r="YE51" i="1" s="1"/>
  <c r="RW51" i="1"/>
  <c r="RX51" i="1"/>
  <c r="RV52" i="1"/>
  <c r="RW52" i="1"/>
  <c r="RX52" i="1"/>
  <c r="VQ52" i="1" s="1"/>
  <c r="RV53" i="1"/>
  <c r="RW53" i="1"/>
  <c r="VP53" i="1" s="1"/>
  <c r="I140" i="14" s="1"/>
  <c r="RX53" i="1"/>
  <c r="RV54" i="1"/>
  <c r="RW54" i="1"/>
  <c r="RX54" i="1"/>
  <c r="VQ54" i="1" s="1"/>
  <c r="RV55" i="1"/>
  <c r="RW55" i="1"/>
  <c r="RX55" i="1"/>
  <c r="RV56" i="1"/>
  <c r="RW56" i="1"/>
  <c r="RX56" i="1"/>
  <c r="VQ56" i="1" s="1"/>
  <c r="RV57" i="1"/>
  <c r="RW57" i="1"/>
  <c r="RX57" i="1"/>
  <c r="RV58" i="1"/>
  <c r="RW58" i="1"/>
  <c r="RX58" i="1"/>
  <c r="VQ58" i="1" s="1"/>
  <c r="RV59" i="1"/>
  <c r="RW59" i="1"/>
  <c r="RX59" i="1"/>
  <c r="RV60" i="1"/>
  <c r="RW60" i="1"/>
  <c r="RX60" i="1"/>
  <c r="VQ60" i="1" s="1"/>
  <c r="RV61" i="1"/>
  <c r="RW61" i="1"/>
  <c r="RX61" i="1"/>
  <c r="RV62" i="1"/>
  <c r="RW62" i="1"/>
  <c r="RX62" i="1"/>
  <c r="VQ62" i="1" s="1"/>
  <c r="RV63" i="1"/>
  <c r="RW63" i="1"/>
  <c r="RX63" i="1"/>
  <c r="RV64" i="1"/>
  <c r="RW64" i="1"/>
  <c r="RX64" i="1"/>
  <c r="VQ64" i="1" s="1"/>
  <c r="RV65" i="1"/>
  <c r="RW65" i="1"/>
  <c r="RX65" i="1"/>
  <c r="RV66" i="1"/>
  <c r="RW66" i="1"/>
  <c r="RX66" i="1"/>
  <c r="VQ66" i="1" s="1"/>
  <c r="RV67" i="1"/>
  <c r="RW67" i="1"/>
  <c r="RX67" i="1"/>
  <c r="RV68" i="1"/>
  <c r="RW68" i="1"/>
  <c r="RX68" i="1"/>
  <c r="VQ68" i="1" s="1"/>
  <c r="RV69" i="1"/>
  <c r="RW69" i="1"/>
  <c r="VP69" i="1" s="1"/>
  <c r="I156" i="14" s="1"/>
  <c r="RX69" i="1"/>
  <c r="RV70" i="1"/>
  <c r="RW70" i="1"/>
  <c r="RX70" i="1"/>
  <c r="VQ70" i="1" s="1"/>
  <c r="RV71" i="1"/>
  <c r="RW71" i="1"/>
  <c r="RX71" i="1"/>
  <c r="RV72" i="1"/>
  <c r="RW72" i="1"/>
  <c r="RX72" i="1"/>
  <c r="VQ72" i="1" s="1"/>
  <c r="RV73" i="1"/>
  <c r="RW73" i="1"/>
  <c r="VP73" i="1" s="1"/>
  <c r="I160" i="14" s="1"/>
  <c r="RX73" i="1"/>
  <c r="RV74" i="1"/>
  <c r="RW74" i="1"/>
  <c r="RX74" i="1"/>
  <c r="VQ74" i="1" s="1"/>
  <c r="RV75" i="1"/>
  <c r="RW75" i="1"/>
  <c r="RX75" i="1"/>
  <c r="RV76" i="1"/>
  <c r="RW76" i="1"/>
  <c r="RX76" i="1"/>
  <c r="VQ76" i="1" s="1"/>
  <c r="RV77" i="1"/>
  <c r="RW77" i="1"/>
  <c r="VP77" i="1" s="1"/>
  <c r="I164" i="14" s="1"/>
  <c r="RX77" i="1"/>
  <c r="RV78" i="1"/>
  <c r="RW78" i="1"/>
  <c r="RX78" i="1"/>
  <c r="VQ78" i="1" s="1"/>
  <c r="RV79" i="1"/>
  <c r="RW79" i="1"/>
  <c r="RX79" i="1"/>
  <c r="RV80" i="1"/>
  <c r="RW80" i="1"/>
  <c r="RX80" i="1"/>
  <c r="VQ80" i="1" s="1"/>
  <c r="RV81" i="1"/>
  <c r="RW81" i="1"/>
  <c r="RX81" i="1"/>
  <c r="RV82" i="1"/>
  <c r="RW82" i="1"/>
  <c r="RX82" i="1"/>
  <c r="VQ82" i="1" s="1"/>
  <c r="RV83" i="1"/>
  <c r="RW83" i="1"/>
  <c r="RX83" i="1"/>
  <c r="RV84" i="1"/>
  <c r="RW84" i="1"/>
  <c r="RX84" i="1"/>
  <c r="VQ84" i="1" s="1"/>
  <c r="RV85" i="1"/>
  <c r="RW85" i="1"/>
  <c r="VP85" i="1" s="1"/>
  <c r="I172" i="14" s="1"/>
  <c r="RX85" i="1"/>
  <c r="RV86" i="1"/>
  <c r="RW86" i="1"/>
  <c r="RX86" i="1"/>
  <c r="VQ86" i="1" s="1"/>
  <c r="RV87" i="1"/>
  <c r="RW87" i="1"/>
  <c r="RX87" i="1"/>
  <c r="RV88" i="1"/>
  <c r="RW88" i="1"/>
  <c r="RX88" i="1"/>
  <c r="VQ88" i="1" s="1"/>
  <c r="RV89" i="1"/>
  <c r="RW89" i="1"/>
  <c r="RX89" i="1"/>
  <c r="RV90" i="1"/>
  <c r="RW90" i="1"/>
  <c r="RX90" i="1"/>
  <c r="VQ90" i="1" s="1"/>
  <c r="RV91" i="1"/>
  <c r="RW91" i="1"/>
  <c r="RX91" i="1"/>
  <c r="RV92" i="1"/>
  <c r="YE92" i="1" s="1"/>
  <c r="RW92" i="1"/>
  <c r="RX92" i="1"/>
  <c r="VQ92" i="1" s="1"/>
  <c r="RV93" i="1"/>
  <c r="RW93" i="1"/>
  <c r="RX93" i="1"/>
  <c r="RV94" i="1"/>
  <c r="RW94" i="1"/>
  <c r="RX94" i="1"/>
  <c r="VQ94" i="1" s="1"/>
  <c r="RV95" i="1"/>
  <c r="RW95" i="1"/>
  <c r="RX95" i="1"/>
  <c r="RV96" i="1"/>
  <c r="RW96" i="1"/>
  <c r="RX96" i="1"/>
  <c r="VQ96" i="1" s="1"/>
  <c r="RV97" i="1"/>
  <c r="RW97" i="1"/>
  <c r="VP97" i="1" s="1"/>
  <c r="I184" i="14" s="1"/>
  <c r="RX97" i="1"/>
  <c r="RV98" i="1"/>
  <c r="RW98" i="1"/>
  <c r="RX98" i="1"/>
  <c r="VQ98" i="1" s="1"/>
  <c r="RV99" i="1"/>
  <c r="RW99" i="1"/>
  <c r="RX99" i="1"/>
  <c r="RV100" i="1"/>
  <c r="RW100" i="1"/>
  <c r="RX100" i="1"/>
  <c r="VQ100" i="1" s="1"/>
  <c r="RV101" i="1"/>
  <c r="RW101" i="1"/>
  <c r="VP101" i="1" s="1"/>
  <c r="I188" i="14" s="1"/>
  <c r="RX101" i="1"/>
  <c r="RV102" i="1"/>
  <c r="RW102" i="1"/>
  <c r="RX102" i="1"/>
  <c r="VQ102" i="1" s="1"/>
  <c r="RV103" i="1"/>
  <c r="RW103" i="1"/>
  <c r="RX103" i="1"/>
  <c r="RV104" i="1"/>
  <c r="RW104" i="1"/>
  <c r="RX104" i="1"/>
  <c r="VQ104" i="1" s="1"/>
  <c r="RV105" i="1"/>
  <c r="RW105" i="1"/>
  <c r="VP105" i="1" s="1"/>
  <c r="I192" i="14" s="1"/>
  <c r="RX105" i="1"/>
  <c r="RV106" i="1"/>
  <c r="RW106" i="1"/>
  <c r="RX106" i="1"/>
  <c r="VQ106" i="1" s="1"/>
  <c r="RV107" i="1"/>
  <c r="RW107" i="1"/>
  <c r="RX107" i="1"/>
  <c r="RV108" i="1"/>
  <c r="RW108" i="1"/>
  <c r="RX108" i="1"/>
  <c r="VQ108" i="1" s="1"/>
  <c r="RV109" i="1"/>
  <c r="RW109" i="1"/>
  <c r="VP109" i="1" s="1"/>
  <c r="I196" i="14" s="1"/>
  <c r="RX109" i="1"/>
  <c r="RV110" i="1"/>
  <c r="RW110" i="1"/>
  <c r="RX110" i="1"/>
  <c r="VQ110" i="1" s="1"/>
  <c r="RV111" i="1"/>
  <c r="RW111" i="1"/>
  <c r="RX111" i="1"/>
  <c r="RV112" i="1"/>
  <c r="RW112" i="1"/>
  <c r="RX112" i="1"/>
  <c r="VQ112" i="1" s="1"/>
  <c r="RV113" i="1"/>
  <c r="RW113" i="1"/>
  <c r="VP113" i="1" s="1"/>
  <c r="I200" i="14" s="1"/>
  <c r="RX113" i="1"/>
  <c r="RV114" i="1"/>
  <c r="RW114" i="1"/>
  <c r="RX114" i="1"/>
  <c r="VQ114" i="1" s="1"/>
  <c r="RV115" i="1"/>
  <c r="RW115" i="1"/>
  <c r="RX115" i="1"/>
  <c r="RV116" i="1"/>
  <c r="RW116" i="1"/>
  <c r="RX116" i="1"/>
  <c r="VQ116" i="1" s="1"/>
  <c r="RV117" i="1"/>
  <c r="RW117" i="1"/>
  <c r="VP117" i="1" s="1"/>
  <c r="I204" i="14" s="1"/>
  <c r="RX117" i="1"/>
  <c r="RV118" i="1"/>
  <c r="RW118" i="1"/>
  <c r="RX118" i="1"/>
  <c r="VQ118" i="1" s="1"/>
  <c r="RV119" i="1"/>
  <c r="RW119" i="1"/>
  <c r="RX119" i="1"/>
  <c r="RV120" i="1"/>
  <c r="RW120" i="1"/>
  <c r="RX120" i="1"/>
  <c r="VQ120" i="1" s="1"/>
  <c r="RV121" i="1"/>
  <c r="RW121" i="1"/>
  <c r="RX121" i="1"/>
  <c r="RV122" i="1"/>
  <c r="RW122" i="1"/>
  <c r="RX122" i="1"/>
  <c r="VQ122" i="1" s="1"/>
  <c r="RV123" i="1"/>
  <c r="RW123" i="1"/>
  <c r="RX123" i="1"/>
  <c r="RV124" i="1"/>
  <c r="RW124" i="1"/>
  <c r="RX124" i="1"/>
  <c r="VQ124" i="1" s="1"/>
  <c r="RV125" i="1"/>
  <c r="RW125" i="1"/>
  <c r="RX125" i="1"/>
  <c r="RV126" i="1"/>
  <c r="RW126" i="1"/>
  <c r="RX126" i="1"/>
  <c r="VQ126" i="1" s="1"/>
  <c r="RV127" i="1"/>
  <c r="RW127" i="1"/>
  <c r="VP127" i="1" s="1"/>
  <c r="I214" i="14" s="1"/>
  <c r="RX127" i="1"/>
  <c r="RV128" i="1"/>
  <c r="RW128" i="1"/>
  <c r="RX128" i="1"/>
  <c r="VQ128" i="1" s="1"/>
  <c r="RV129" i="1"/>
  <c r="RW129" i="1"/>
  <c r="VP129" i="1" s="1"/>
  <c r="I216" i="14" s="1"/>
  <c r="RX129" i="1"/>
  <c r="RV130" i="1"/>
  <c r="RW130" i="1"/>
  <c r="RX130" i="1"/>
  <c r="VQ130" i="1" s="1"/>
  <c r="RV131" i="1"/>
  <c r="RW131" i="1"/>
  <c r="RX131" i="1"/>
  <c r="RV132" i="1"/>
  <c r="RW132" i="1"/>
  <c r="RX132" i="1"/>
  <c r="VQ132" i="1" s="1"/>
  <c r="RV133" i="1"/>
  <c r="RW133" i="1"/>
  <c r="VP133" i="1" s="1"/>
  <c r="I220" i="14" s="1"/>
  <c r="RX133" i="1"/>
  <c r="RV134" i="1"/>
  <c r="RW134" i="1"/>
  <c r="RX134" i="1"/>
  <c r="VQ134" i="1" s="1"/>
  <c r="RV135" i="1"/>
  <c r="RW135" i="1"/>
  <c r="VP135" i="1" s="1"/>
  <c r="I222" i="14" s="1"/>
  <c r="RX135" i="1"/>
  <c r="RV136" i="1"/>
  <c r="RW136" i="1"/>
  <c r="RX136" i="1"/>
  <c r="VQ136" i="1" s="1"/>
  <c r="RV137" i="1"/>
  <c r="RW137" i="1"/>
  <c r="RX137" i="1"/>
  <c r="RV138" i="1"/>
  <c r="RW138" i="1"/>
  <c r="RX138" i="1"/>
  <c r="VQ138" i="1" s="1"/>
  <c r="RV139" i="1"/>
  <c r="RW139" i="1"/>
  <c r="RX139" i="1"/>
  <c r="RV140" i="1"/>
  <c r="RW140" i="1"/>
  <c r="RX140" i="1"/>
  <c r="VQ140" i="1" s="1"/>
  <c r="RV141" i="1"/>
  <c r="RW141" i="1"/>
  <c r="VP141" i="1" s="1"/>
  <c r="I228" i="14" s="1"/>
  <c r="RX141" i="1"/>
  <c r="RV142" i="1"/>
  <c r="RW142" i="1"/>
  <c r="RX142" i="1"/>
  <c r="VQ142" i="1" s="1"/>
  <c r="RV143" i="1"/>
  <c r="RW143" i="1"/>
  <c r="VP143" i="1" s="1"/>
  <c r="I230" i="14" s="1"/>
  <c r="RX143" i="1"/>
  <c r="RV144" i="1"/>
  <c r="RW144" i="1"/>
  <c r="RX144" i="1"/>
  <c r="VQ144" i="1" s="1"/>
  <c r="RV145" i="1"/>
  <c r="RW145" i="1"/>
  <c r="VP145" i="1" s="1"/>
  <c r="I232" i="14" s="1"/>
  <c r="RX145" i="1"/>
  <c r="RV146" i="1"/>
  <c r="RW146" i="1"/>
  <c r="RX146" i="1"/>
  <c r="VQ146" i="1" s="1"/>
  <c r="RV147" i="1"/>
  <c r="RW147" i="1"/>
  <c r="RX147" i="1"/>
  <c r="RV148" i="1"/>
  <c r="RW148" i="1"/>
  <c r="RX148" i="1"/>
  <c r="VQ148" i="1" s="1"/>
  <c r="RV149" i="1"/>
  <c r="RW149" i="1"/>
  <c r="RX149" i="1"/>
  <c r="RV150" i="1"/>
  <c r="RW150" i="1"/>
  <c r="RX150" i="1"/>
  <c r="VQ150" i="1" s="1"/>
  <c r="RV151" i="1"/>
  <c r="RW151" i="1"/>
  <c r="VP151" i="1" s="1"/>
  <c r="I238" i="14" s="1"/>
  <c r="RX151" i="1"/>
  <c r="RV152" i="1"/>
  <c r="RW152" i="1"/>
  <c r="RX152" i="1"/>
  <c r="VQ152" i="1" s="1"/>
  <c r="RV153" i="1"/>
  <c r="RW153" i="1"/>
  <c r="VP153" i="1" s="1"/>
  <c r="I240" i="14" s="1"/>
  <c r="RX153" i="1"/>
  <c r="RV154" i="1"/>
  <c r="RW154" i="1"/>
  <c r="RX154" i="1"/>
  <c r="VQ154" i="1" s="1"/>
  <c r="RV155" i="1"/>
  <c r="RW155" i="1"/>
  <c r="RX155" i="1"/>
  <c r="RV156" i="1"/>
  <c r="RW156" i="1"/>
  <c r="RX156" i="1"/>
  <c r="VQ156" i="1" s="1"/>
  <c r="RV157" i="1"/>
  <c r="RW157" i="1"/>
  <c r="RX157" i="1"/>
  <c r="RV158" i="1"/>
  <c r="RW158" i="1"/>
  <c r="RX158" i="1"/>
  <c r="VQ158" i="1" s="1"/>
  <c r="RV159" i="1"/>
  <c r="RW159" i="1"/>
  <c r="RX159" i="1"/>
  <c r="RV160" i="1"/>
  <c r="RW160" i="1"/>
  <c r="RX160" i="1"/>
  <c r="VQ160" i="1" s="1"/>
  <c r="RV161" i="1"/>
  <c r="RW161" i="1"/>
  <c r="RX161" i="1"/>
  <c r="RV162" i="1"/>
  <c r="RW162" i="1"/>
  <c r="RX162" i="1"/>
  <c r="VQ162" i="1" s="1"/>
  <c r="RV163" i="1"/>
  <c r="RW163" i="1"/>
  <c r="VP163" i="1" s="1"/>
  <c r="I250" i="14" s="1"/>
  <c r="RX163" i="1"/>
  <c r="RW165" i="7"/>
  <c r="RX165" i="7"/>
  <c r="RV165" i="7"/>
  <c r="SC10" i="7"/>
  <c r="UF3" i="7"/>
  <c r="UI3" i="7" s="1"/>
  <c r="SD11" i="1"/>
  <c r="SG11" i="1" s="1"/>
  <c r="RG11" i="1"/>
  <c r="RI11" i="1"/>
  <c r="RL11" i="1"/>
  <c r="RM11" i="1"/>
  <c r="RH11" i="1"/>
  <c r="RJ11" i="1"/>
  <c r="RK11" i="1"/>
  <c r="RN11" i="1"/>
  <c r="RO11" i="1"/>
  <c r="RP11" i="1"/>
  <c r="RQ11" i="1"/>
  <c r="RR11" i="1"/>
  <c r="SD12" i="1"/>
  <c r="SG12" i="1" s="1"/>
  <c r="RG12" i="1"/>
  <c r="RI12" i="1"/>
  <c r="RL12" i="1"/>
  <c r="RM12" i="1"/>
  <c r="RH12" i="1"/>
  <c r="RJ12" i="1"/>
  <c r="RK12" i="1"/>
  <c r="RN12" i="1"/>
  <c r="RO12" i="1"/>
  <c r="RP12" i="1"/>
  <c r="RQ12" i="1"/>
  <c r="RR12" i="1"/>
  <c r="SD13" i="1"/>
  <c r="SG13" i="1" s="1"/>
  <c r="VH13" i="1" s="1"/>
  <c r="RG13" i="1"/>
  <c r="RI13" i="1"/>
  <c r="RL13" i="1"/>
  <c r="RM13" i="1"/>
  <c r="RH13" i="1"/>
  <c r="RJ13" i="1"/>
  <c r="RK13" i="1"/>
  <c r="RN13" i="1"/>
  <c r="RO13" i="1"/>
  <c r="RP13" i="1"/>
  <c r="RQ13" i="1"/>
  <c r="RR13" i="1"/>
  <c r="SD14" i="1"/>
  <c r="SG14" i="1" s="1"/>
  <c r="RG14" i="1"/>
  <c r="RI14" i="1"/>
  <c r="RL14" i="1"/>
  <c r="RM14" i="1"/>
  <c r="RH14" i="1"/>
  <c r="RJ14" i="1"/>
  <c r="RK14" i="1"/>
  <c r="RN14" i="1"/>
  <c r="RO14" i="1"/>
  <c r="RP14" i="1"/>
  <c r="RQ14" i="1"/>
  <c r="RR14" i="1"/>
  <c r="SD15" i="1"/>
  <c r="SG15" i="1" s="1"/>
  <c r="RG15" i="1"/>
  <c r="RI15" i="1"/>
  <c r="RL15" i="1"/>
  <c r="RM15" i="1"/>
  <c r="RH15" i="1"/>
  <c r="RJ15" i="1"/>
  <c r="RK15" i="1"/>
  <c r="RN15" i="1"/>
  <c r="RO15" i="1"/>
  <c r="RP15" i="1"/>
  <c r="RQ15" i="1"/>
  <c r="RR15" i="1"/>
  <c r="SD16" i="1"/>
  <c r="SG16" i="1" s="1"/>
  <c r="RG16" i="1"/>
  <c r="RI16" i="1"/>
  <c r="RL16" i="1"/>
  <c r="RM16" i="1"/>
  <c r="RH16" i="1"/>
  <c r="RJ16" i="1"/>
  <c r="RK16" i="1"/>
  <c r="RN16" i="1"/>
  <c r="RO16" i="1"/>
  <c r="RP16" i="1"/>
  <c r="RQ16" i="1"/>
  <c r="RR16" i="1"/>
  <c r="SD17" i="1"/>
  <c r="SG17" i="1" s="1"/>
  <c r="RG17" i="1"/>
  <c r="RI17" i="1"/>
  <c r="RL17" i="1"/>
  <c r="RM17" i="1"/>
  <c r="RH17" i="1"/>
  <c r="RJ17" i="1"/>
  <c r="RK17" i="1"/>
  <c r="RN17" i="1"/>
  <c r="RO17" i="1"/>
  <c r="RP17" i="1"/>
  <c r="RQ17" i="1"/>
  <c r="RR17" i="1"/>
  <c r="SD18" i="1"/>
  <c r="SG18" i="1" s="1"/>
  <c r="RG18" i="1"/>
  <c r="RI18" i="1"/>
  <c r="RL18" i="1"/>
  <c r="RM18" i="1"/>
  <c r="RH18" i="1"/>
  <c r="RJ18" i="1"/>
  <c r="RK18" i="1"/>
  <c r="RN18" i="1"/>
  <c r="RO18" i="1"/>
  <c r="RP18" i="1"/>
  <c r="RQ18" i="1"/>
  <c r="RR18" i="1"/>
  <c r="SD19" i="1"/>
  <c r="SG19" i="1" s="1"/>
  <c r="RG19" i="1"/>
  <c r="RI19" i="1"/>
  <c r="RL19" i="1"/>
  <c r="RM19" i="1"/>
  <c r="RH19" i="1"/>
  <c r="RJ19" i="1"/>
  <c r="RK19" i="1"/>
  <c r="RN19" i="1"/>
  <c r="RO19" i="1"/>
  <c r="RP19" i="1"/>
  <c r="RQ19" i="1"/>
  <c r="RR19" i="1"/>
  <c r="SD20" i="1"/>
  <c r="SG20" i="1" s="1"/>
  <c r="RG20" i="1"/>
  <c r="RI20" i="1"/>
  <c r="RL20" i="1"/>
  <c r="RM20" i="1"/>
  <c r="RH20" i="1"/>
  <c r="RJ20" i="1"/>
  <c r="RK20" i="1"/>
  <c r="RN20" i="1"/>
  <c r="RO20" i="1"/>
  <c r="RP20" i="1"/>
  <c r="RQ20" i="1"/>
  <c r="RR20" i="1"/>
  <c r="SD21" i="1"/>
  <c r="SG21" i="1" s="1"/>
  <c r="RG21" i="1"/>
  <c r="RI21" i="1"/>
  <c r="RL21" i="1"/>
  <c r="RM21" i="1"/>
  <c r="RH21" i="1"/>
  <c r="RJ21" i="1"/>
  <c r="RK21" i="1"/>
  <c r="RN21" i="1"/>
  <c r="RO21" i="1"/>
  <c r="RP21" i="1"/>
  <c r="RQ21" i="1"/>
  <c r="RR21" i="1"/>
  <c r="SD22" i="1"/>
  <c r="SG22" i="1" s="1"/>
  <c r="RG22" i="1"/>
  <c r="RI22" i="1"/>
  <c r="RL22" i="1"/>
  <c r="RM22" i="1"/>
  <c r="RH22" i="1"/>
  <c r="RJ22" i="1"/>
  <c r="RK22" i="1"/>
  <c r="RN22" i="1"/>
  <c r="RO22" i="1"/>
  <c r="RP22" i="1"/>
  <c r="RQ22" i="1"/>
  <c r="RR22" i="1"/>
  <c r="SD23" i="1"/>
  <c r="SG23" i="1" s="1"/>
  <c r="RG23" i="1"/>
  <c r="RI23" i="1"/>
  <c r="RL23" i="1"/>
  <c r="RM23" i="1"/>
  <c r="RH23" i="1"/>
  <c r="RJ23" i="1"/>
  <c r="RK23" i="1"/>
  <c r="RN23" i="1"/>
  <c r="RO23" i="1"/>
  <c r="RP23" i="1"/>
  <c r="RQ23" i="1"/>
  <c r="RR23" i="1"/>
  <c r="SD24" i="1"/>
  <c r="SG24" i="1" s="1"/>
  <c r="RG24" i="1"/>
  <c r="RI24" i="1"/>
  <c r="RL24" i="1"/>
  <c r="RM24" i="1"/>
  <c r="RH24" i="1"/>
  <c r="RJ24" i="1"/>
  <c r="RK24" i="1"/>
  <c r="RN24" i="1"/>
  <c r="RO24" i="1"/>
  <c r="RP24" i="1"/>
  <c r="RQ24" i="1"/>
  <c r="RR24" i="1"/>
  <c r="SD25" i="1"/>
  <c r="RG25" i="1"/>
  <c r="RI25" i="1"/>
  <c r="RL25" i="1"/>
  <c r="RM25" i="1"/>
  <c r="RH25" i="1"/>
  <c r="RJ25" i="1"/>
  <c r="RK25" i="1"/>
  <c r="RN25" i="1"/>
  <c r="RO25" i="1"/>
  <c r="RP25" i="1"/>
  <c r="RQ25" i="1"/>
  <c r="RR25" i="1"/>
  <c r="SD26" i="1"/>
  <c r="SG26" i="1" s="1"/>
  <c r="RG26" i="1"/>
  <c r="RI26" i="1"/>
  <c r="RL26" i="1"/>
  <c r="RM26" i="1"/>
  <c r="RH26" i="1"/>
  <c r="RJ26" i="1"/>
  <c r="RK26" i="1"/>
  <c r="RN26" i="1"/>
  <c r="RO26" i="1"/>
  <c r="RP26" i="1"/>
  <c r="RQ26" i="1"/>
  <c r="RR26" i="1"/>
  <c r="SD27" i="1"/>
  <c r="SG27" i="1" s="1"/>
  <c r="RG27" i="1"/>
  <c r="RI27" i="1"/>
  <c r="RL27" i="1"/>
  <c r="RM27" i="1"/>
  <c r="RH27" i="1"/>
  <c r="RJ27" i="1"/>
  <c r="RK27" i="1"/>
  <c r="RN27" i="1"/>
  <c r="RO27" i="1"/>
  <c r="RP27" i="1"/>
  <c r="RQ27" i="1"/>
  <c r="RR27" i="1"/>
  <c r="SD28" i="1"/>
  <c r="SG28" i="1" s="1"/>
  <c r="RG28" i="1"/>
  <c r="RI28" i="1"/>
  <c r="RL28" i="1"/>
  <c r="RM28" i="1"/>
  <c r="RH28" i="1"/>
  <c r="RJ28" i="1"/>
  <c r="RK28" i="1"/>
  <c r="RN28" i="1"/>
  <c r="RO28" i="1"/>
  <c r="RP28" i="1"/>
  <c r="RQ28" i="1"/>
  <c r="RR28" i="1"/>
  <c r="SD29" i="1"/>
  <c r="SG29" i="1" s="1"/>
  <c r="RG29" i="1"/>
  <c r="RI29" i="1"/>
  <c r="RL29" i="1"/>
  <c r="RM29" i="1"/>
  <c r="RH29" i="1"/>
  <c r="RJ29" i="1"/>
  <c r="RK29" i="1"/>
  <c r="RN29" i="1"/>
  <c r="RO29" i="1"/>
  <c r="RP29" i="1"/>
  <c r="RQ29" i="1"/>
  <c r="RR29" i="1"/>
  <c r="SD30" i="1"/>
  <c r="SG30" i="1" s="1"/>
  <c r="RG30" i="1"/>
  <c r="RI30" i="1"/>
  <c r="RL30" i="1"/>
  <c r="RM30" i="1"/>
  <c r="RH30" i="1"/>
  <c r="RJ30" i="1"/>
  <c r="RK30" i="1"/>
  <c r="RN30" i="1"/>
  <c r="RO30" i="1"/>
  <c r="RP30" i="1"/>
  <c r="RQ30" i="1"/>
  <c r="RR30" i="1"/>
  <c r="SD31" i="1"/>
  <c r="SG31" i="1" s="1"/>
  <c r="RG31" i="1"/>
  <c r="RI31" i="1"/>
  <c r="RL31" i="1"/>
  <c r="RM31" i="1"/>
  <c r="RH31" i="1"/>
  <c r="RJ31" i="1"/>
  <c r="RK31" i="1"/>
  <c r="RN31" i="1"/>
  <c r="RO31" i="1"/>
  <c r="RP31" i="1"/>
  <c r="RQ31" i="1"/>
  <c r="RR31" i="1"/>
  <c r="SD32" i="1"/>
  <c r="SG32" i="1" s="1"/>
  <c r="RG32" i="1"/>
  <c r="RI32" i="1"/>
  <c r="RL32" i="1"/>
  <c r="RM32" i="1"/>
  <c r="RH32" i="1"/>
  <c r="RJ32" i="1"/>
  <c r="RK32" i="1"/>
  <c r="RN32" i="1"/>
  <c r="RO32" i="1"/>
  <c r="RP32" i="1"/>
  <c r="RQ32" i="1"/>
  <c r="RR32" i="1"/>
  <c r="SD33" i="1"/>
  <c r="SG33" i="1" s="1"/>
  <c r="RG33" i="1"/>
  <c r="RI33" i="1"/>
  <c r="RL33" i="1"/>
  <c r="RM33" i="1"/>
  <c r="RH33" i="1"/>
  <c r="RJ33" i="1"/>
  <c r="RK33" i="1"/>
  <c r="RN33" i="1"/>
  <c r="RO33" i="1"/>
  <c r="RP33" i="1"/>
  <c r="RQ33" i="1"/>
  <c r="RR33" i="1"/>
  <c r="SD34" i="1"/>
  <c r="SG34" i="1" s="1"/>
  <c r="RG34" i="1"/>
  <c r="RI34" i="1"/>
  <c r="RL34" i="1"/>
  <c r="RM34" i="1"/>
  <c r="RH34" i="1"/>
  <c r="RJ34" i="1"/>
  <c r="RK34" i="1"/>
  <c r="RN34" i="1"/>
  <c r="RO34" i="1"/>
  <c r="RP34" i="1"/>
  <c r="RQ34" i="1"/>
  <c r="RR34" i="1"/>
  <c r="SD35" i="1"/>
  <c r="SG35" i="1" s="1"/>
  <c r="RG35" i="1"/>
  <c r="RI35" i="1"/>
  <c r="RL35" i="1"/>
  <c r="RM35" i="1"/>
  <c r="RH35" i="1"/>
  <c r="RJ35" i="1"/>
  <c r="RK35" i="1"/>
  <c r="RN35" i="1"/>
  <c r="RO35" i="1"/>
  <c r="RP35" i="1"/>
  <c r="RQ35" i="1"/>
  <c r="RR35" i="1"/>
  <c r="SD36" i="1"/>
  <c r="SG36" i="1" s="1"/>
  <c r="RG36" i="1"/>
  <c r="RI36" i="1"/>
  <c r="RL36" i="1"/>
  <c r="RM36" i="1"/>
  <c r="RH36" i="1"/>
  <c r="RJ36" i="1"/>
  <c r="RK36" i="1"/>
  <c r="RN36" i="1"/>
  <c r="RO36" i="1"/>
  <c r="RP36" i="1"/>
  <c r="RQ36" i="1"/>
  <c r="RR36" i="1"/>
  <c r="SD37" i="1"/>
  <c r="SG37" i="1" s="1"/>
  <c r="RG37" i="1"/>
  <c r="RI37" i="1"/>
  <c r="RL37" i="1"/>
  <c r="RM37" i="1"/>
  <c r="RH37" i="1"/>
  <c r="RJ37" i="1"/>
  <c r="RK37" i="1"/>
  <c r="RN37" i="1"/>
  <c r="RO37" i="1"/>
  <c r="RP37" i="1"/>
  <c r="RQ37" i="1"/>
  <c r="RR37" i="1"/>
  <c r="SD38" i="1"/>
  <c r="SG38" i="1" s="1"/>
  <c r="RG38" i="1"/>
  <c r="RI38" i="1"/>
  <c r="RL38" i="1"/>
  <c r="RM38" i="1"/>
  <c r="RH38" i="1"/>
  <c r="RJ38" i="1"/>
  <c r="RK38" i="1"/>
  <c r="RN38" i="1"/>
  <c r="RO38" i="1"/>
  <c r="RP38" i="1"/>
  <c r="RQ38" i="1"/>
  <c r="RR38" i="1"/>
  <c r="SD39" i="1"/>
  <c r="SG39" i="1" s="1"/>
  <c r="RG39" i="1"/>
  <c r="RI39" i="1"/>
  <c r="RL39" i="1"/>
  <c r="RM39" i="1"/>
  <c r="RH39" i="1"/>
  <c r="RJ39" i="1"/>
  <c r="RK39" i="1"/>
  <c r="RN39" i="1"/>
  <c r="RO39" i="1"/>
  <c r="RP39" i="1"/>
  <c r="RQ39" i="1"/>
  <c r="RR39" i="1"/>
  <c r="SD40" i="1"/>
  <c r="SG40" i="1" s="1"/>
  <c r="RG40" i="1"/>
  <c r="RI40" i="1"/>
  <c r="RL40" i="1"/>
  <c r="RM40" i="1"/>
  <c r="RH40" i="1"/>
  <c r="RJ40" i="1"/>
  <c r="RK40" i="1"/>
  <c r="RN40" i="1"/>
  <c r="RO40" i="1"/>
  <c r="RP40" i="1"/>
  <c r="RQ40" i="1"/>
  <c r="RR40" i="1"/>
  <c r="SD41" i="1"/>
  <c r="SG41" i="1" s="1"/>
  <c r="RG41" i="1"/>
  <c r="RI41" i="1"/>
  <c r="RL41" i="1"/>
  <c r="RM41" i="1"/>
  <c r="RH41" i="1"/>
  <c r="RJ41" i="1"/>
  <c r="RK41" i="1"/>
  <c r="RN41" i="1"/>
  <c r="RO41" i="1"/>
  <c r="RP41" i="1"/>
  <c r="RQ41" i="1"/>
  <c r="RR41" i="1"/>
  <c r="SD42" i="1"/>
  <c r="SG42" i="1" s="1"/>
  <c r="RG42" i="1"/>
  <c r="RI42" i="1"/>
  <c r="RL42" i="1"/>
  <c r="RM42" i="1"/>
  <c r="RH42" i="1"/>
  <c r="RJ42" i="1"/>
  <c r="RK42" i="1"/>
  <c r="RN42" i="1"/>
  <c r="RO42" i="1"/>
  <c r="RP42" i="1"/>
  <c r="RQ42" i="1"/>
  <c r="RR42" i="1"/>
  <c r="SD43" i="1"/>
  <c r="SG43" i="1" s="1"/>
  <c r="RG43" i="1"/>
  <c r="RI43" i="1"/>
  <c r="RL43" i="1"/>
  <c r="RM43" i="1"/>
  <c r="RH43" i="1"/>
  <c r="RJ43" i="1"/>
  <c r="RK43" i="1"/>
  <c r="RN43" i="1"/>
  <c r="RO43" i="1"/>
  <c r="RP43" i="1"/>
  <c r="RQ43" i="1"/>
  <c r="RR43" i="1"/>
  <c r="SD44" i="1"/>
  <c r="SG44" i="1" s="1"/>
  <c r="RG44" i="1"/>
  <c r="RI44" i="1"/>
  <c r="RL44" i="1"/>
  <c r="RM44" i="1"/>
  <c r="RH44" i="1"/>
  <c r="RJ44" i="1"/>
  <c r="RK44" i="1"/>
  <c r="RN44" i="1"/>
  <c r="RO44" i="1"/>
  <c r="RP44" i="1"/>
  <c r="RQ44" i="1"/>
  <c r="RR44" i="1"/>
  <c r="SD45" i="1"/>
  <c r="SG45" i="1" s="1"/>
  <c r="RG45" i="1"/>
  <c r="RI45" i="1"/>
  <c r="RL45" i="1"/>
  <c r="RM45" i="1"/>
  <c r="RH45" i="1"/>
  <c r="RJ45" i="1"/>
  <c r="RK45" i="1"/>
  <c r="RN45" i="1"/>
  <c r="RO45" i="1"/>
  <c r="RP45" i="1"/>
  <c r="RQ45" i="1"/>
  <c r="RR45" i="1"/>
  <c r="SD46" i="1"/>
  <c r="SG46" i="1" s="1"/>
  <c r="RG46" i="1"/>
  <c r="RI46" i="1"/>
  <c r="RL46" i="1"/>
  <c r="RM46" i="1"/>
  <c r="RH46" i="1"/>
  <c r="RJ46" i="1"/>
  <c r="RK46" i="1"/>
  <c r="RN46" i="1"/>
  <c r="RO46" i="1"/>
  <c r="RP46" i="1"/>
  <c r="RQ46" i="1"/>
  <c r="RR46" i="1"/>
  <c r="SD47" i="1"/>
  <c r="SG47" i="1" s="1"/>
  <c r="RG47" i="1"/>
  <c r="RI47" i="1"/>
  <c r="RL47" i="1"/>
  <c r="RM47" i="1"/>
  <c r="RH47" i="1"/>
  <c r="RJ47" i="1"/>
  <c r="RK47" i="1"/>
  <c r="RN47" i="1"/>
  <c r="RO47" i="1"/>
  <c r="RP47" i="1"/>
  <c r="RQ47" i="1"/>
  <c r="RR47" i="1"/>
  <c r="SD48" i="1"/>
  <c r="SG48" i="1" s="1"/>
  <c r="RG48" i="1"/>
  <c r="RI48" i="1"/>
  <c r="RL48" i="1"/>
  <c r="RM48" i="1"/>
  <c r="RH48" i="1"/>
  <c r="RJ48" i="1"/>
  <c r="RK48" i="1"/>
  <c r="RN48" i="1"/>
  <c r="RO48" i="1"/>
  <c r="RP48" i="1"/>
  <c r="RQ48" i="1"/>
  <c r="RR48" i="1"/>
  <c r="SD49" i="1"/>
  <c r="SG49" i="1" s="1"/>
  <c r="RG49" i="1"/>
  <c r="RI49" i="1"/>
  <c r="RL49" i="1"/>
  <c r="RM49" i="1"/>
  <c r="RH49" i="1"/>
  <c r="RJ49" i="1"/>
  <c r="RK49" i="1"/>
  <c r="RN49" i="1"/>
  <c r="RO49" i="1"/>
  <c r="RP49" i="1"/>
  <c r="RQ49" i="1"/>
  <c r="RR49" i="1"/>
  <c r="SD50" i="1"/>
  <c r="SG50" i="1" s="1"/>
  <c r="RG50" i="1"/>
  <c r="RI50" i="1"/>
  <c r="RL50" i="1"/>
  <c r="RM50" i="1"/>
  <c r="RH50" i="1"/>
  <c r="RJ50" i="1"/>
  <c r="RK50" i="1"/>
  <c r="RN50" i="1"/>
  <c r="RO50" i="1"/>
  <c r="RP50" i="1"/>
  <c r="RQ50" i="1"/>
  <c r="RR50" i="1"/>
  <c r="SD51" i="1"/>
  <c r="SG51" i="1" s="1"/>
  <c r="RG51" i="1"/>
  <c r="RI51" i="1"/>
  <c r="RL51" i="1"/>
  <c r="RM51" i="1"/>
  <c r="RH51" i="1"/>
  <c r="RJ51" i="1"/>
  <c r="RK51" i="1"/>
  <c r="RN51" i="1"/>
  <c r="RO51" i="1"/>
  <c r="RP51" i="1"/>
  <c r="RQ51" i="1"/>
  <c r="RR51" i="1"/>
  <c r="SD52" i="1"/>
  <c r="SG52" i="1" s="1"/>
  <c r="RG52" i="1"/>
  <c r="RI52" i="1"/>
  <c r="RL52" i="1"/>
  <c r="RM52" i="1"/>
  <c r="RH52" i="1"/>
  <c r="RJ52" i="1"/>
  <c r="RK52" i="1"/>
  <c r="RN52" i="1"/>
  <c r="RO52" i="1"/>
  <c r="RP52" i="1"/>
  <c r="RQ52" i="1"/>
  <c r="RR52" i="1"/>
  <c r="SD53" i="1"/>
  <c r="SG53" i="1" s="1"/>
  <c r="RG53" i="1"/>
  <c r="RI53" i="1"/>
  <c r="RL53" i="1"/>
  <c r="RM53" i="1"/>
  <c r="RH53" i="1"/>
  <c r="RJ53" i="1"/>
  <c r="RK53" i="1"/>
  <c r="RN53" i="1"/>
  <c r="RO53" i="1"/>
  <c r="RP53" i="1"/>
  <c r="RQ53" i="1"/>
  <c r="RR53" i="1"/>
  <c r="SD54" i="1"/>
  <c r="SG54" i="1" s="1"/>
  <c r="RG54" i="1"/>
  <c r="RI54" i="1"/>
  <c r="RL54" i="1"/>
  <c r="RM54" i="1"/>
  <c r="RH54" i="1"/>
  <c r="RJ54" i="1"/>
  <c r="RK54" i="1"/>
  <c r="RN54" i="1"/>
  <c r="RO54" i="1"/>
  <c r="RP54" i="1"/>
  <c r="RQ54" i="1"/>
  <c r="RR54" i="1"/>
  <c r="SD55" i="1"/>
  <c r="SG55" i="1" s="1"/>
  <c r="RG55" i="1"/>
  <c r="RI55" i="1"/>
  <c r="RL55" i="1"/>
  <c r="RM55" i="1"/>
  <c r="RH55" i="1"/>
  <c r="RJ55" i="1"/>
  <c r="RK55" i="1"/>
  <c r="RN55" i="1"/>
  <c r="RO55" i="1"/>
  <c r="RP55" i="1"/>
  <c r="RQ55" i="1"/>
  <c r="RR55" i="1"/>
  <c r="SD56" i="1"/>
  <c r="SG56" i="1" s="1"/>
  <c r="RG56" i="1"/>
  <c r="RI56" i="1"/>
  <c r="RL56" i="1"/>
  <c r="RM56" i="1"/>
  <c r="RH56" i="1"/>
  <c r="RJ56" i="1"/>
  <c r="RK56" i="1"/>
  <c r="RN56" i="1"/>
  <c r="RO56" i="1"/>
  <c r="RP56" i="1"/>
  <c r="RQ56" i="1"/>
  <c r="RR56" i="1"/>
  <c r="SD57" i="1"/>
  <c r="SG57" i="1" s="1"/>
  <c r="RG57" i="1"/>
  <c r="RI57" i="1"/>
  <c r="RL57" i="1"/>
  <c r="RM57" i="1"/>
  <c r="RH57" i="1"/>
  <c r="RJ57" i="1"/>
  <c r="RK57" i="1"/>
  <c r="RN57" i="1"/>
  <c r="RO57" i="1"/>
  <c r="RP57" i="1"/>
  <c r="RQ57" i="1"/>
  <c r="RR57" i="1"/>
  <c r="SD58" i="1"/>
  <c r="SG58" i="1" s="1"/>
  <c r="RG58" i="1"/>
  <c r="RI58" i="1"/>
  <c r="RL58" i="1"/>
  <c r="RM58" i="1"/>
  <c r="RH58" i="1"/>
  <c r="RJ58" i="1"/>
  <c r="RK58" i="1"/>
  <c r="RN58" i="1"/>
  <c r="RO58" i="1"/>
  <c r="RP58" i="1"/>
  <c r="RQ58" i="1"/>
  <c r="RR58" i="1"/>
  <c r="SD59" i="1"/>
  <c r="SG59" i="1" s="1"/>
  <c r="RG59" i="1"/>
  <c r="RI59" i="1"/>
  <c r="RL59" i="1"/>
  <c r="RM59" i="1"/>
  <c r="RH59" i="1"/>
  <c r="RJ59" i="1"/>
  <c r="RK59" i="1"/>
  <c r="RN59" i="1"/>
  <c r="RO59" i="1"/>
  <c r="RP59" i="1"/>
  <c r="RQ59" i="1"/>
  <c r="RR59" i="1"/>
  <c r="SD60" i="1"/>
  <c r="SG60" i="1" s="1"/>
  <c r="RG60" i="1"/>
  <c r="RI60" i="1"/>
  <c r="RL60" i="1"/>
  <c r="RM60" i="1"/>
  <c r="RH60" i="1"/>
  <c r="RJ60" i="1"/>
  <c r="RK60" i="1"/>
  <c r="RN60" i="1"/>
  <c r="RO60" i="1"/>
  <c r="RP60" i="1"/>
  <c r="RQ60" i="1"/>
  <c r="RR60" i="1"/>
  <c r="SD61" i="1"/>
  <c r="SG61" i="1" s="1"/>
  <c r="RG61" i="1"/>
  <c r="RI61" i="1"/>
  <c r="RL61" i="1"/>
  <c r="RM61" i="1"/>
  <c r="RH61" i="1"/>
  <c r="RJ61" i="1"/>
  <c r="RK61" i="1"/>
  <c r="RN61" i="1"/>
  <c r="RO61" i="1"/>
  <c r="RP61" i="1"/>
  <c r="RQ61" i="1"/>
  <c r="RR61" i="1"/>
  <c r="SD62" i="1"/>
  <c r="SG62" i="1" s="1"/>
  <c r="RG62" i="1"/>
  <c r="RI62" i="1"/>
  <c r="RL62" i="1"/>
  <c r="RM62" i="1"/>
  <c r="RH62" i="1"/>
  <c r="RJ62" i="1"/>
  <c r="RK62" i="1"/>
  <c r="RN62" i="1"/>
  <c r="RO62" i="1"/>
  <c r="RP62" i="1"/>
  <c r="RQ62" i="1"/>
  <c r="RR62" i="1"/>
  <c r="SD63" i="1"/>
  <c r="SG63" i="1" s="1"/>
  <c r="RG63" i="1"/>
  <c r="RI63" i="1"/>
  <c r="RL63" i="1"/>
  <c r="RM63" i="1"/>
  <c r="RH63" i="1"/>
  <c r="RJ63" i="1"/>
  <c r="RK63" i="1"/>
  <c r="RN63" i="1"/>
  <c r="RO63" i="1"/>
  <c r="RP63" i="1"/>
  <c r="RQ63" i="1"/>
  <c r="RR63" i="1"/>
  <c r="SD64" i="1"/>
  <c r="SG64" i="1" s="1"/>
  <c r="RG64" i="1"/>
  <c r="RI64" i="1"/>
  <c r="RL64" i="1"/>
  <c r="RM64" i="1"/>
  <c r="RH64" i="1"/>
  <c r="RJ64" i="1"/>
  <c r="RK64" i="1"/>
  <c r="RN64" i="1"/>
  <c r="RO64" i="1"/>
  <c r="RP64" i="1"/>
  <c r="RQ64" i="1"/>
  <c r="RR64" i="1"/>
  <c r="SD65" i="1"/>
  <c r="SG65" i="1" s="1"/>
  <c r="RG65" i="1"/>
  <c r="RI65" i="1"/>
  <c r="RL65" i="1"/>
  <c r="RM65" i="1"/>
  <c r="RH65" i="1"/>
  <c r="RJ65" i="1"/>
  <c r="RK65" i="1"/>
  <c r="RN65" i="1"/>
  <c r="RO65" i="1"/>
  <c r="RP65" i="1"/>
  <c r="RQ65" i="1"/>
  <c r="RR65" i="1"/>
  <c r="SD66" i="1"/>
  <c r="SG66" i="1" s="1"/>
  <c r="RG66" i="1"/>
  <c r="RI66" i="1"/>
  <c r="RL66" i="1"/>
  <c r="RM66" i="1"/>
  <c r="RH66" i="1"/>
  <c r="RJ66" i="1"/>
  <c r="RK66" i="1"/>
  <c r="RN66" i="1"/>
  <c r="RO66" i="1"/>
  <c r="RP66" i="1"/>
  <c r="RQ66" i="1"/>
  <c r="RR66" i="1"/>
  <c r="SD67" i="1"/>
  <c r="SG67" i="1" s="1"/>
  <c r="RG67" i="1"/>
  <c r="RI67" i="1"/>
  <c r="RL67" i="1"/>
  <c r="RM67" i="1"/>
  <c r="RH67" i="1"/>
  <c r="RJ67" i="1"/>
  <c r="RK67" i="1"/>
  <c r="RN67" i="1"/>
  <c r="RO67" i="1"/>
  <c r="RP67" i="1"/>
  <c r="RQ67" i="1"/>
  <c r="RR67" i="1"/>
  <c r="SD68" i="1"/>
  <c r="SG68" i="1" s="1"/>
  <c r="RG68" i="1"/>
  <c r="RI68" i="1"/>
  <c r="RL68" i="1"/>
  <c r="RM68" i="1"/>
  <c r="RH68" i="1"/>
  <c r="RJ68" i="1"/>
  <c r="RK68" i="1"/>
  <c r="RN68" i="1"/>
  <c r="RO68" i="1"/>
  <c r="RP68" i="1"/>
  <c r="RQ68" i="1"/>
  <c r="RR68" i="1"/>
  <c r="SD69" i="1"/>
  <c r="SG69" i="1" s="1"/>
  <c r="RG69" i="1"/>
  <c r="RI69" i="1"/>
  <c r="RL69" i="1"/>
  <c r="RM69" i="1"/>
  <c r="RH69" i="1"/>
  <c r="RJ69" i="1"/>
  <c r="RK69" i="1"/>
  <c r="RN69" i="1"/>
  <c r="RO69" i="1"/>
  <c r="RP69" i="1"/>
  <c r="RQ69" i="1"/>
  <c r="RR69" i="1"/>
  <c r="SD70" i="1"/>
  <c r="SG70" i="1" s="1"/>
  <c r="RG70" i="1"/>
  <c r="RI70" i="1"/>
  <c r="RL70" i="1"/>
  <c r="RM70" i="1"/>
  <c r="RH70" i="1"/>
  <c r="RJ70" i="1"/>
  <c r="RK70" i="1"/>
  <c r="RN70" i="1"/>
  <c r="RO70" i="1"/>
  <c r="RP70" i="1"/>
  <c r="RQ70" i="1"/>
  <c r="RR70" i="1"/>
  <c r="SD71" i="1"/>
  <c r="SG71" i="1" s="1"/>
  <c r="RG71" i="1"/>
  <c r="RI71" i="1"/>
  <c r="RL71" i="1"/>
  <c r="RM71" i="1"/>
  <c r="RH71" i="1"/>
  <c r="RJ71" i="1"/>
  <c r="RK71" i="1"/>
  <c r="RN71" i="1"/>
  <c r="RO71" i="1"/>
  <c r="RP71" i="1"/>
  <c r="RQ71" i="1"/>
  <c r="RR71" i="1"/>
  <c r="SD72" i="1"/>
  <c r="SG72" i="1" s="1"/>
  <c r="RG72" i="1"/>
  <c r="RI72" i="1"/>
  <c r="RL72" i="1"/>
  <c r="RM72" i="1"/>
  <c r="RH72" i="1"/>
  <c r="RJ72" i="1"/>
  <c r="RK72" i="1"/>
  <c r="RN72" i="1"/>
  <c r="RO72" i="1"/>
  <c r="RP72" i="1"/>
  <c r="RQ72" i="1"/>
  <c r="RR72" i="1"/>
  <c r="SD73" i="1"/>
  <c r="SG73" i="1" s="1"/>
  <c r="RG73" i="1"/>
  <c r="RI73" i="1"/>
  <c r="RL73" i="1"/>
  <c r="RM73" i="1"/>
  <c r="RH73" i="1"/>
  <c r="RJ73" i="1"/>
  <c r="RK73" i="1"/>
  <c r="RN73" i="1"/>
  <c r="RO73" i="1"/>
  <c r="RP73" i="1"/>
  <c r="RQ73" i="1"/>
  <c r="RR73" i="1"/>
  <c r="SD74" i="1"/>
  <c r="SG74" i="1" s="1"/>
  <c r="RG74" i="1"/>
  <c r="RI74" i="1"/>
  <c r="RL74" i="1"/>
  <c r="RM74" i="1"/>
  <c r="RH74" i="1"/>
  <c r="RJ74" i="1"/>
  <c r="RK74" i="1"/>
  <c r="RN74" i="1"/>
  <c r="RO74" i="1"/>
  <c r="RP74" i="1"/>
  <c r="RQ74" i="1"/>
  <c r="RR74" i="1"/>
  <c r="SD75" i="1"/>
  <c r="SG75" i="1" s="1"/>
  <c r="RG75" i="1"/>
  <c r="RI75" i="1"/>
  <c r="RL75" i="1"/>
  <c r="RM75" i="1"/>
  <c r="RH75" i="1"/>
  <c r="RJ75" i="1"/>
  <c r="RK75" i="1"/>
  <c r="RN75" i="1"/>
  <c r="RO75" i="1"/>
  <c r="RP75" i="1"/>
  <c r="RQ75" i="1"/>
  <c r="RR75" i="1"/>
  <c r="SD76" i="1"/>
  <c r="SG76" i="1" s="1"/>
  <c r="RG76" i="1"/>
  <c r="RI76" i="1"/>
  <c r="RL76" i="1"/>
  <c r="RM76" i="1"/>
  <c r="RH76" i="1"/>
  <c r="RJ76" i="1"/>
  <c r="RK76" i="1"/>
  <c r="RN76" i="1"/>
  <c r="RO76" i="1"/>
  <c r="RP76" i="1"/>
  <c r="RQ76" i="1"/>
  <c r="RR76" i="1"/>
  <c r="SD77" i="1"/>
  <c r="SG77" i="1" s="1"/>
  <c r="RG77" i="1"/>
  <c r="RI77" i="1"/>
  <c r="RL77" i="1"/>
  <c r="RM77" i="1"/>
  <c r="RH77" i="1"/>
  <c r="RJ77" i="1"/>
  <c r="RK77" i="1"/>
  <c r="RN77" i="1"/>
  <c r="RO77" i="1"/>
  <c r="RP77" i="1"/>
  <c r="RQ77" i="1"/>
  <c r="RR77" i="1"/>
  <c r="SD78" i="1"/>
  <c r="SG78" i="1" s="1"/>
  <c r="RG78" i="1"/>
  <c r="RI78" i="1"/>
  <c r="RL78" i="1"/>
  <c r="RM78" i="1"/>
  <c r="RH78" i="1"/>
  <c r="RJ78" i="1"/>
  <c r="RK78" i="1"/>
  <c r="RN78" i="1"/>
  <c r="RO78" i="1"/>
  <c r="RP78" i="1"/>
  <c r="RQ78" i="1"/>
  <c r="RR78" i="1"/>
  <c r="SD79" i="1"/>
  <c r="SG79" i="1" s="1"/>
  <c r="RG79" i="1"/>
  <c r="RI79" i="1"/>
  <c r="RL79" i="1"/>
  <c r="RM79" i="1"/>
  <c r="RH79" i="1"/>
  <c r="RJ79" i="1"/>
  <c r="RK79" i="1"/>
  <c r="RN79" i="1"/>
  <c r="RO79" i="1"/>
  <c r="RP79" i="1"/>
  <c r="RQ79" i="1"/>
  <c r="RR79" i="1"/>
  <c r="SD80" i="1"/>
  <c r="SG80" i="1" s="1"/>
  <c r="RG80" i="1"/>
  <c r="RI80" i="1"/>
  <c r="RL80" i="1"/>
  <c r="RM80" i="1"/>
  <c r="RH80" i="1"/>
  <c r="RJ80" i="1"/>
  <c r="RK80" i="1"/>
  <c r="RN80" i="1"/>
  <c r="RO80" i="1"/>
  <c r="RP80" i="1"/>
  <c r="RQ80" i="1"/>
  <c r="RR80" i="1"/>
  <c r="SD81" i="1"/>
  <c r="SG81" i="1" s="1"/>
  <c r="RG81" i="1"/>
  <c r="RI81" i="1"/>
  <c r="RL81" i="1"/>
  <c r="RM81" i="1"/>
  <c r="RH81" i="1"/>
  <c r="RJ81" i="1"/>
  <c r="RK81" i="1"/>
  <c r="RN81" i="1"/>
  <c r="RO81" i="1"/>
  <c r="RP81" i="1"/>
  <c r="RQ81" i="1"/>
  <c r="RR81" i="1"/>
  <c r="SD82" i="1"/>
  <c r="SG82" i="1" s="1"/>
  <c r="RG82" i="1"/>
  <c r="RI82" i="1"/>
  <c r="RL82" i="1"/>
  <c r="RM82" i="1"/>
  <c r="RH82" i="1"/>
  <c r="RJ82" i="1"/>
  <c r="RK82" i="1"/>
  <c r="RN82" i="1"/>
  <c r="RO82" i="1"/>
  <c r="RP82" i="1"/>
  <c r="RQ82" i="1"/>
  <c r="RR82" i="1"/>
  <c r="SD83" i="1"/>
  <c r="SG83" i="1" s="1"/>
  <c r="RG83" i="1"/>
  <c r="RI83" i="1"/>
  <c r="RL83" i="1"/>
  <c r="RM83" i="1"/>
  <c r="RH83" i="1"/>
  <c r="RJ83" i="1"/>
  <c r="RK83" i="1"/>
  <c r="RN83" i="1"/>
  <c r="RO83" i="1"/>
  <c r="RP83" i="1"/>
  <c r="RQ83" i="1"/>
  <c r="RR83" i="1"/>
  <c r="SD84" i="1"/>
  <c r="SG84" i="1" s="1"/>
  <c r="RG84" i="1"/>
  <c r="RI84" i="1"/>
  <c r="RL84" i="1"/>
  <c r="RM84" i="1"/>
  <c r="RH84" i="1"/>
  <c r="RJ84" i="1"/>
  <c r="RK84" i="1"/>
  <c r="RN84" i="1"/>
  <c r="RO84" i="1"/>
  <c r="RP84" i="1"/>
  <c r="RQ84" i="1"/>
  <c r="RR84" i="1"/>
  <c r="SD85" i="1"/>
  <c r="SG85" i="1" s="1"/>
  <c r="RG85" i="1"/>
  <c r="RI85" i="1"/>
  <c r="RL85" i="1"/>
  <c r="RM85" i="1"/>
  <c r="RH85" i="1"/>
  <c r="RJ85" i="1"/>
  <c r="RK85" i="1"/>
  <c r="RN85" i="1"/>
  <c r="RO85" i="1"/>
  <c r="RP85" i="1"/>
  <c r="RQ85" i="1"/>
  <c r="RR85" i="1"/>
  <c r="SD86" i="1"/>
  <c r="SG86" i="1" s="1"/>
  <c r="RG86" i="1"/>
  <c r="RI86" i="1"/>
  <c r="RL86" i="1"/>
  <c r="RM86" i="1"/>
  <c r="RH86" i="1"/>
  <c r="RJ86" i="1"/>
  <c r="RK86" i="1"/>
  <c r="RN86" i="1"/>
  <c r="RO86" i="1"/>
  <c r="RP86" i="1"/>
  <c r="RQ86" i="1"/>
  <c r="RR86" i="1"/>
  <c r="SD87" i="1"/>
  <c r="SG87" i="1" s="1"/>
  <c r="RG87" i="1"/>
  <c r="RI87" i="1"/>
  <c r="RL87" i="1"/>
  <c r="RM87" i="1"/>
  <c r="RH87" i="1"/>
  <c r="RJ87" i="1"/>
  <c r="RK87" i="1"/>
  <c r="RN87" i="1"/>
  <c r="RO87" i="1"/>
  <c r="RP87" i="1"/>
  <c r="RQ87" i="1"/>
  <c r="RR87" i="1"/>
  <c r="SD88" i="1"/>
  <c r="SG88" i="1" s="1"/>
  <c r="RG88" i="1"/>
  <c r="RI88" i="1"/>
  <c r="RL88" i="1"/>
  <c r="RM88" i="1"/>
  <c r="RH88" i="1"/>
  <c r="RJ88" i="1"/>
  <c r="RK88" i="1"/>
  <c r="RN88" i="1"/>
  <c r="RO88" i="1"/>
  <c r="RP88" i="1"/>
  <c r="RQ88" i="1"/>
  <c r="RR88" i="1"/>
  <c r="SD89" i="1"/>
  <c r="SG89" i="1" s="1"/>
  <c r="RG89" i="1"/>
  <c r="RI89" i="1"/>
  <c r="RL89" i="1"/>
  <c r="RM89" i="1"/>
  <c r="RH89" i="1"/>
  <c r="RJ89" i="1"/>
  <c r="RK89" i="1"/>
  <c r="RN89" i="1"/>
  <c r="RO89" i="1"/>
  <c r="RP89" i="1"/>
  <c r="RQ89" i="1"/>
  <c r="RR89" i="1"/>
  <c r="SD90" i="1"/>
  <c r="SG90" i="1" s="1"/>
  <c r="RG90" i="1"/>
  <c r="RI90" i="1"/>
  <c r="RL90" i="1"/>
  <c r="RM90" i="1"/>
  <c r="RH90" i="1"/>
  <c r="RJ90" i="1"/>
  <c r="RK90" i="1"/>
  <c r="RN90" i="1"/>
  <c r="RO90" i="1"/>
  <c r="RP90" i="1"/>
  <c r="RQ90" i="1"/>
  <c r="RR90" i="1"/>
  <c r="SD91" i="1"/>
  <c r="SG91" i="1" s="1"/>
  <c r="RG91" i="1"/>
  <c r="RI91" i="1"/>
  <c r="RL91" i="1"/>
  <c r="RM91" i="1"/>
  <c r="RH91" i="1"/>
  <c r="RJ91" i="1"/>
  <c r="RK91" i="1"/>
  <c r="RN91" i="1"/>
  <c r="RO91" i="1"/>
  <c r="RP91" i="1"/>
  <c r="RQ91" i="1"/>
  <c r="RR91" i="1"/>
  <c r="SD92" i="1"/>
  <c r="SG92" i="1" s="1"/>
  <c r="RG92" i="1"/>
  <c r="RI92" i="1"/>
  <c r="RL92" i="1"/>
  <c r="RM92" i="1"/>
  <c r="RH92" i="1"/>
  <c r="RJ92" i="1"/>
  <c r="RK92" i="1"/>
  <c r="RN92" i="1"/>
  <c r="RO92" i="1"/>
  <c r="RP92" i="1"/>
  <c r="RQ92" i="1"/>
  <c r="RR92" i="1"/>
  <c r="SD93" i="1"/>
  <c r="SG93" i="1" s="1"/>
  <c r="RG93" i="1"/>
  <c r="RI93" i="1"/>
  <c r="RL93" i="1"/>
  <c r="RM93" i="1"/>
  <c r="RH93" i="1"/>
  <c r="RJ93" i="1"/>
  <c r="RK93" i="1"/>
  <c r="RN93" i="1"/>
  <c r="RO93" i="1"/>
  <c r="RP93" i="1"/>
  <c r="RQ93" i="1"/>
  <c r="RR93" i="1"/>
  <c r="SD94" i="1"/>
  <c r="SG94" i="1" s="1"/>
  <c r="RG94" i="1"/>
  <c r="RI94" i="1"/>
  <c r="RL94" i="1"/>
  <c r="RM94" i="1"/>
  <c r="RH94" i="1"/>
  <c r="RJ94" i="1"/>
  <c r="RK94" i="1"/>
  <c r="RN94" i="1"/>
  <c r="RO94" i="1"/>
  <c r="RP94" i="1"/>
  <c r="RQ94" i="1"/>
  <c r="RR94" i="1"/>
  <c r="SD95" i="1"/>
  <c r="SG95" i="1" s="1"/>
  <c r="RG95" i="1"/>
  <c r="RI95" i="1"/>
  <c r="RL95" i="1"/>
  <c r="RM95" i="1"/>
  <c r="RH95" i="1"/>
  <c r="RJ95" i="1"/>
  <c r="RK95" i="1"/>
  <c r="RN95" i="1"/>
  <c r="RO95" i="1"/>
  <c r="RP95" i="1"/>
  <c r="RQ95" i="1"/>
  <c r="RR95" i="1"/>
  <c r="SD96" i="1"/>
  <c r="SG96" i="1" s="1"/>
  <c r="RG96" i="1"/>
  <c r="RI96" i="1"/>
  <c r="RL96" i="1"/>
  <c r="RM96" i="1"/>
  <c r="RH96" i="1"/>
  <c r="RJ96" i="1"/>
  <c r="RK96" i="1"/>
  <c r="RN96" i="1"/>
  <c r="RO96" i="1"/>
  <c r="RP96" i="1"/>
  <c r="RQ96" i="1"/>
  <c r="RR96" i="1"/>
  <c r="SD97" i="1"/>
  <c r="SG97" i="1" s="1"/>
  <c r="RG97" i="1"/>
  <c r="RI97" i="1"/>
  <c r="RL97" i="1"/>
  <c r="RM97" i="1"/>
  <c r="RH97" i="1"/>
  <c r="RJ97" i="1"/>
  <c r="RK97" i="1"/>
  <c r="RN97" i="1"/>
  <c r="RO97" i="1"/>
  <c r="RP97" i="1"/>
  <c r="RQ97" i="1"/>
  <c r="RR97" i="1"/>
  <c r="SD98" i="1"/>
  <c r="SG98" i="1" s="1"/>
  <c r="RG98" i="1"/>
  <c r="RI98" i="1"/>
  <c r="RL98" i="1"/>
  <c r="RM98" i="1"/>
  <c r="RH98" i="1"/>
  <c r="RJ98" i="1"/>
  <c r="RK98" i="1"/>
  <c r="RN98" i="1"/>
  <c r="RO98" i="1"/>
  <c r="RP98" i="1"/>
  <c r="RQ98" i="1"/>
  <c r="RR98" i="1"/>
  <c r="SD99" i="1"/>
  <c r="SG99" i="1" s="1"/>
  <c r="RG99" i="1"/>
  <c r="RI99" i="1"/>
  <c r="RL99" i="1"/>
  <c r="RM99" i="1"/>
  <c r="RH99" i="1"/>
  <c r="RJ99" i="1"/>
  <c r="RK99" i="1"/>
  <c r="RN99" i="1"/>
  <c r="RO99" i="1"/>
  <c r="RP99" i="1"/>
  <c r="RQ99" i="1"/>
  <c r="RR99" i="1"/>
  <c r="SD100" i="1"/>
  <c r="SG100" i="1" s="1"/>
  <c r="RG100" i="1"/>
  <c r="RI100" i="1"/>
  <c r="RL100" i="1"/>
  <c r="RM100" i="1"/>
  <c r="RH100" i="1"/>
  <c r="RJ100" i="1"/>
  <c r="RK100" i="1"/>
  <c r="RN100" i="1"/>
  <c r="RO100" i="1"/>
  <c r="RP100" i="1"/>
  <c r="RQ100" i="1"/>
  <c r="RR100" i="1"/>
  <c r="SD101" i="1"/>
  <c r="SG101" i="1" s="1"/>
  <c r="RG101" i="1"/>
  <c r="RI101" i="1"/>
  <c r="RL101" i="1"/>
  <c r="RM101" i="1"/>
  <c r="RH101" i="1"/>
  <c r="RJ101" i="1"/>
  <c r="RK101" i="1"/>
  <c r="RN101" i="1"/>
  <c r="RO101" i="1"/>
  <c r="RP101" i="1"/>
  <c r="RQ101" i="1"/>
  <c r="RR101" i="1"/>
  <c r="SD102" i="1"/>
  <c r="SG102" i="1" s="1"/>
  <c r="RG102" i="1"/>
  <c r="RI102" i="1"/>
  <c r="RL102" i="1"/>
  <c r="RM102" i="1"/>
  <c r="RH102" i="1"/>
  <c r="RJ102" i="1"/>
  <c r="RK102" i="1"/>
  <c r="RN102" i="1"/>
  <c r="RO102" i="1"/>
  <c r="RP102" i="1"/>
  <c r="RQ102" i="1"/>
  <c r="RR102" i="1"/>
  <c r="SD103" i="1"/>
  <c r="SG103" i="1" s="1"/>
  <c r="RG103" i="1"/>
  <c r="RI103" i="1"/>
  <c r="RL103" i="1"/>
  <c r="RM103" i="1"/>
  <c r="RH103" i="1"/>
  <c r="RJ103" i="1"/>
  <c r="RK103" i="1"/>
  <c r="RN103" i="1"/>
  <c r="RO103" i="1"/>
  <c r="RP103" i="1"/>
  <c r="RQ103" i="1"/>
  <c r="RR103" i="1"/>
  <c r="SD104" i="1"/>
  <c r="SG104" i="1" s="1"/>
  <c r="RG104" i="1"/>
  <c r="RI104" i="1"/>
  <c r="RL104" i="1"/>
  <c r="RM104" i="1"/>
  <c r="RH104" i="1"/>
  <c r="RJ104" i="1"/>
  <c r="RK104" i="1"/>
  <c r="RN104" i="1"/>
  <c r="RO104" i="1"/>
  <c r="RP104" i="1"/>
  <c r="RQ104" i="1"/>
  <c r="RR104" i="1"/>
  <c r="SD105" i="1"/>
  <c r="SG105" i="1" s="1"/>
  <c r="RG105" i="1"/>
  <c r="RI105" i="1"/>
  <c r="RL105" i="1"/>
  <c r="RM105" i="1"/>
  <c r="RH105" i="1"/>
  <c r="RJ105" i="1"/>
  <c r="RK105" i="1"/>
  <c r="RN105" i="1"/>
  <c r="RO105" i="1"/>
  <c r="RP105" i="1"/>
  <c r="RQ105" i="1"/>
  <c r="RR105" i="1"/>
  <c r="SD106" i="1"/>
  <c r="SG106" i="1" s="1"/>
  <c r="RG106" i="1"/>
  <c r="RI106" i="1"/>
  <c r="RL106" i="1"/>
  <c r="RM106" i="1"/>
  <c r="RH106" i="1"/>
  <c r="RJ106" i="1"/>
  <c r="RK106" i="1"/>
  <c r="RN106" i="1"/>
  <c r="RO106" i="1"/>
  <c r="RP106" i="1"/>
  <c r="RQ106" i="1"/>
  <c r="RR106" i="1"/>
  <c r="SD107" i="1"/>
  <c r="SG107" i="1" s="1"/>
  <c r="RG107" i="1"/>
  <c r="RI107" i="1"/>
  <c r="RL107" i="1"/>
  <c r="RM107" i="1"/>
  <c r="RH107" i="1"/>
  <c r="RJ107" i="1"/>
  <c r="RK107" i="1"/>
  <c r="RN107" i="1"/>
  <c r="RO107" i="1"/>
  <c r="RP107" i="1"/>
  <c r="RQ107" i="1"/>
  <c r="RR107" i="1"/>
  <c r="SD108" i="1"/>
  <c r="SG108" i="1" s="1"/>
  <c r="RG108" i="1"/>
  <c r="RI108" i="1"/>
  <c r="RL108" i="1"/>
  <c r="RM108" i="1"/>
  <c r="RH108" i="1"/>
  <c r="RJ108" i="1"/>
  <c r="RK108" i="1"/>
  <c r="RN108" i="1"/>
  <c r="RO108" i="1"/>
  <c r="RP108" i="1"/>
  <c r="RQ108" i="1"/>
  <c r="RR108" i="1"/>
  <c r="SD109" i="1"/>
  <c r="SG109" i="1" s="1"/>
  <c r="RG109" i="1"/>
  <c r="RI109" i="1"/>
  <c r="RL109" i="1"/>
  <c r="RM109" i="1"/>
  <c r="RH109" i="1"/>
  <c r="RJ109" i="1"/>
  <c r="RK109" i="1"/>
  <c r="RN109" i="1"/>
  <c r="RO109" i="1"/>
  <c r="RP109" i="1"/>
  <c r="RQ109" i="1"/>
  <c r="RR109" i="1"/>
  <c r="SD110" i="1"/>
  <c r="SG110" i="1" s="1"/>
  <c r="RG110" i="1"/>
  <c r="RI110" i="1"/>
  <c r="RL110" i="1"/>
  <c r="RM110" i="1"/>
  <c r="RH110" i="1"/>
  <c r="RJ110" i="1"/>
  <c r="RK110" i="1"/>
  <c r="RN110" i="1"/>
  <c r="RO110" i="1"/>
  <c r="RP110" i="1"/>
  <c r="RQ110" i="1"/>
  <c r="RR110" i="1"/>
  <c r="SD111" i="1"/>
  <c r="SG111" i="1" s="1"/>
  <c r="RG111" i="1"/>
  <c r="RI111" i="1"/>
  <c r="RL111" i="1"/>
  <c r="RM111" i="1"/>
  <c r="RH111" i="1"/>
  <c r="RJ111" i="1"/>
  <c r="RK111" i="1"/>
  <c r="RN111" i="1"/>
  <c r="RO111" i="1"/>
  <c r="RP111" i="1"/>
  <c r="RQ111" i="1"/>
  <c r="RR111" i="1"/>
  <c r="SD112" i="1"/>
  <c r="SG112" i="1" s="1"/>
  <c r="RG112" i="1"/>
  <c r="RI112" i="1"/>
  <c r="RL112" i="1"/>
  <c r="RM112" i="1"/>
  <c r="RH112" i="1"/>
  <c r="RJ112" i="1"/>
  <c r="RK112" i="1"/>
  <c r="RN112" i="1"/>
  <c r="RO112" i="1"/>
  <c r="RP112" i="1"/>
  <c r="RQ112" i="1"/>
  <c r="RR112" i="1"/>
  <c r="SD113" i="1"/>
  <c r="SG113" i="1" s="1"/>
  <c r="RG113" i="1"/>
  <c r="RI113" i="1"/>
  <c r="RL113" i="1"/>
  <c r="RM113" i="1"/>
  <c r="RH113" i="1"/>
  <c r="RJ113" i="1"/>
  <c r="RK113" i="1"/>
  <c r="RN113" i="1"/>
  <c r="RO113" i="1"/>
  <c r="RP113" i="1"/>
  <c r="RQ113" i="1"/>
  <c r="RR113" i="1"/>
  <c r="SD114" i="1"/>
  <c r="SG114" i="1" s="1"/>
  <c r="RG114" i="1"/>
  <c r="RI114" i="1"/>
  <c r="RL114" i="1"/>
  <c r="RM114" i="1"/>
  <c r="RH114" i="1"/>
  <c r="RJ114" i="1"/>
  <c r="RK114" i="1"/>
  <c r="RN114" i="1"/>
  <c r="RO114" i="1"/>
  <c r="RP114" i="1"/>
  <c r="RQ114" i="1"/>
  <c r="RR114" i="1"/>
  <c r="SD115" i="1"/>
  <c r="SG115" i="1" s="1"/>
  <c r="RG115" i="1"/>
  <c r="RI115" i="1"/>
  <c r="RL115" i="1"/>
  <c r="RM115" i="1"/>
  <c r="RH115" i="1"/>
  <c r="RJ115" i="1"/>
  <c r="RK115" i="1"/>
  <c r="RN115" i="1"/>
  <c r="RO115" i="1"/>
  <c r="RP115" i="1"/>
  <c r="RQ115" i="1"/>
  <c r="RR115" i="1"/>
  <c r="SD116" i="1"/>
  <c r="SG116" i="1" s="1"/>
  <c r="RG116" i="1"/>
  <c r="RI116" i="1"/>
  <c r="RL116" i="1"/>
  <c r="RM116" i="1"/>
  <c r="RH116" i="1"/>
  <c r="RJ116" i="1"/>
  <c r="RK116" i="1"/>
  <c r="RN116" i="1"/>
  <c r="RO116" i="1"/>
  <c r="RP116" i="1"/>
  <c r="RQ116" i="1"/>
  <c r="RR116" i="1"/>
  <c r="SD117" i="1"/>
  <c r="SG117" i="1" s="1"/>
  <c r="RG117" i="1"/>
  <c r="RI117" i="1"/>
  <c r="RL117" i="1"/>
  <c r="RM117" i="1"/>
  <c r="RH117" i="1"/>
  <c r="RJ117" i="1"/>
  <c r="RK117" i="1"/>
  <c r="RN117" i="1"/>
  <c r="RO117" i="1"/>
  <c r="RP117" i="1"/>
  <c r="RQ117" i="1"/>
  <c r="RR117" i="1"/>
  <c r="SD118" i="1"/>
  <c r="SG118" i="1" s="1"/>
  <c r="RG118" i="1"/>
  <c r="RI118" i="1"/>
  <c r="RL118" i="1"/>
  <c r="RM118" i="1"/>
  <c r="RH118" i="1"/>
  <c r="RJ118" i="1"/>
  <c r="RK118" i="1"/>
  <c r="RN118" i="1"/>
  <c r="RO118" i="1"/>
  <c r="RP118" i="1"/>
  <c r="RQ118" i="1"/>
  <c r="RR118" i="1"/>
  <c r="SD119" i="1"/>
  <c r="SG119" i="1" s="1"/>
  <c r="RG119" i="1"/>
  <c r="RI119" i="1"/>
  <c r="RL119" i="1"/>
  <c r="RM119" i="1"/>
  <c r="RH119" i="1"/>
  <c r="RJ119" i="1"/>
  <c r="RK119" i="1"/>
  <c r="RN119" i="1"/>
  <c r="RO119" i="1"/>
  <c r="RP119" i="1"/>
  <c r="RQ119" i="1"/>
  <c r="RR119" i="1"/>
  <c r="SD120" i="1"/>
  <c r="SG120" i="1" s="1"/>
  <c r="RG120" i="1"/>
  <c r="RI120" i="1"/>
  <c r="RL120" i="1"/>
  <c r="RM120" i="1"/>
  <c r="RH120" i="1"/>
  <c r="RJ120" i="1"/>
  <c r="RK120" i="1"/>
  <c r="RN120" i="1"/>
  <c r="RO120" i="1"/>
  <c r="RP120" i="1"/>
  <c r="RQ120" i="1"/>
  <c r="RR120" i="1"/>
  <c r="SD121" i="1"/>
  <c r="SG121" i="1" s="1"/>
  <c r="RG121" i="1"/>
  <c r="RI121" i="1"/>
  <c r="RL121" i="1"/>
  <c r="RM121" i="1"/>
  <c r="RH121" i="1"/>
  <c r="RJ121" i="1"/>
  <c r="RK121" i="1"/>
  <c r="RN121" i="1"/>
  <c r="RO121" i="1"/>
  <c r="RP121" i="1"/>
  <c r="RQ121" i="1"/>
  <c r="RR121" i="1"/>
  <c r="SD122" i="1"/>
  <c r="SG122" i="1" s="1"/>
  <c r="RG122" i="1"/>
  <c r="RI122" i="1"/>
  <c r="RL122" i="1"/>
  <c r="RM122" i="1"/>
  <c r="RH122" i="1"/>
  <c r="RJ122" i="1"/>
  <c r="RK122" i="1"/>
  <c r="RN122" i="1"/>
  <c r="RO122" i="1"/>
  <c r="RP122" i="1"/>
  <c r="RQ122" i="1"/>
  <c r="RR122" i="1"/>
  <c r="SD123" i="1"/>
  <c r="SG123" i="1" s="1"/>
  <c r="RG123" i="1"/>
  <c r="RI123" i="1"/>
  <c r="RL123" i="1"/>
  <c r="RM123" i="1"/>
  <c r="RH123" i="1"/>
  <c r="RJ123" i="1"/>
  <c r="RK123" i="1"/>
  <c r="RN123" i="1"/>
  <c r="RO123" i="1"/>
  <c r="RP123" i="1"/>
  <c r="RQ123" i="1"/>
  <c r="RR123" i="1"/>
  <c r="SD124" i="1"/>
  <c r="SG124" i="1" s="1"/>
  <c r="RG124" i="1"/>
  <c r="RI124" i="1"/>
  <c r="RL124" i="1"/>
  <c r="RM124" i="1"/>
  <c r="RH124" i="1"/>
  <c r="RJ124" i="1"/>
  <c r="RK124" i="1"/>
  <c r="RN124" i="1"/>
  <c r="RO124" i="1"/>
  <c r="RP124" i="1"/>
  <c r="RQ124" i="1"/>
  <c r="RR124" i="1"/>
  <c r="SD125" i="1"/>
  <c r="SG125" i="1" s="1"/>
  <c r="RG125" i="1"/>
  <c r="RI125" i="1"/>
  <c r="RL125" i="1"/>
  <c r="RM125" i="1"/>
  <c r="RH125" i="1"/>
  <c r="RJ125" i="1"/>
  <c r="RK125" i="1"/>
  <c r="RN125" i="1"/>
  <c r="RO125" i="1"/>
  <c r="RP125" i="1"/>
  <c r="RQ125" i="1"/>
  <c r="RR125" i="1"/>
  <c r="SD126" i="1"/>
  <c r="SG126" i="1" s="1"/>
  <c r="RG126" i="1"/>
  <c r="RI126" i="1"/>
  <c r="RL126" i="1"/>
  <c r="RM126" i="1"/>
  <c r="RH126" i="1"/>
  <c r="RJ126" i="1"/>
  <c r="RK126" i="1"/>
  <c r="RN126" i="1"/>
  <c r="RO126" i="1"/>
  <c r="RP126" i="1"/>
  <c r="RQ126" i="1"/>
  <c r="RR126" i="1"/>
  <c r="SD127" i="1"/>
  <c r="SG127" i="1" s="1"/>
  <c r="RG127" i="1"/>
  <c r="RI127" i="1"/>
  <c r="RL127" i="1"/>
  <c r="RM127" i="1"/>
  <c r="RH127" i="1"/>
  <c r="RJ127" i="1"/>
  <c r="RK127" i="1"/>
  <c r="RN127" i="1"/>
  <c r="RO127" i="1"/>
  <c r="RP127" i="1"/>
  <c r="RQ127" i="1"/>
  <c r="RR127" i="1"/>
  <c r="SD128" i="1"/>
  <c r="SG128" i="1" s="1"/>
  <c r="RG128" i="1"/>
  <c r="RI128" i="1"/>
  <c r="RL128" i="1"/>
  <c r="RM128" i="1"/>
  <c r="RH128" i="1"/>
  <c r="RJ128" i="1"/>
  <c r="RK128" i="1"/>
  <c r="RN128" i="1"/>
  <c r="RO128" i="1"/>
  <c r="RP128" i="1"/>
  <c r="RQ128" i="1"/>
  <c r="RR128" i="1"/>
  <c r="SD129" i="1"/>
  <c r="SG129" i="1" s="1"/>
  <c r="RG129" i="1"/>
  <c r="RI129" i="1"/>
  <c r="RL129" i="1"/>
  <c r="RM129" i="1"/>
  <c r="RH129" i="1"/>
  <c r="RJ129" i="1"/>
  <c r="RK129" i="1"/>
  <c r="RN129" i="1"/>
  <c r="RO129" i="1"/>
  <c r="RP129" i="1"/>
  <c r="RQ129" i="1"/>
  <c r="RR129" i="1"/>
  <c r="SD130" i="1"/>
  <c r="SG130" i="1" s="1"/>
  <c r="RG130" i="1"/>
  <c r="RI130" i="1"/>
  <c r="RL130" i="1"/>
  <c r="RM130" i="1"/>
  <c r="RH130" i="1"/>
  <c r="RJ130" i="1"/>
  <c r="RK130" i="1"/>
  <c r="RN130" i="1"/>
  <c r="RO130" i="1"/>
  <c r="RP130" i="1"/>
  <c r="RQ130" i="1"/>
  <c r="RR130" i="1"/>
  <c r="SD131" i="1"/>
  <c r="SG131" i="1" s="1"/>
  <c r="RG131" i="1"/>
  <c r="RI131" i="1"/>
  <c r="RL131" i="1"/>
  <c r="RM131" i="1"/>
  <c r="RH131" i="1"/>
  <c r="RJ131" i="1"/>
  <c r="RK131" i="1"/>
  <c r="RN131" i="1"/>
  <c r="RO131" i="1"/>
  <c r="RP131" i="1"/>
  <c r="RQ131" i="1"/>
  <c r="RR131" i="1"/>
  <c r="SD132" i="1"/>
  <c r="SG132" i="1" s="1"/>
  <c r="RG132" i="1"/>
  <c r="RI132" i="1"/>
  <c r="RL132" i="1"/>
  <c r="RM132" i="1"/>
  <c r="RH132" i="1"/>
  <c r="RJ132" i="1"/>
  <c r="RK132" i="1"/>
  <c r="RN132" i="1"/>
  <c r="RO132" i="1"/>
  <c r="RP132" i="1"/>
  <c r="RQ132" i="1"/>
  <c r="RR132" i="1"/>
  <c r="SD133" i="1"/>
  <c r="SG133" i="1" s="1"/>
  <c r="RG133" i="1"/>
  <c r="RI133" i="1"/>
  <c r="RL133" i="1"/>
  <c r="RM133" i="1"/>
  <c r="RH133" i="1"/>
  <c r="RJ133" i="1"/>
  <c r="RK133" i="1"/>
  <c r="RN133" i="1"/>
  <c r="RO133" i="1"/>
  <c r="RP133" i="1"/>
  <c r="RQ133" i="1"/>
  <c r="RR133" i="1"/>
  <c r="SD134" i="1"/>
  <c r="SG134" i="1" s="1"/>
  <c r="RG134" i="1"/>
  <c r="RI134" i="1"/>
  <c r="RL134" i="1"/>
  <c r="RM134" i="1"/>
  <c r="RH134" i="1"/>
  <c r="RJ134" i="1"/>
  <c r="RK134" i="1"/>
  <c r="RN134" i="1"/>
  <c r="RO134" i="1"/>
  <c r="RP134" i="1"/>
  <c r="RQ134" i="1"/>
  <c r="RR134" i="1"/>
  <c r="SD135" i="1"/>
  <c r="SG135" i="1" s="1"/>
  <c r="RG135" i="1"/>
  <c r="RI135" i="1"/>
  <c r="RL135" i="1"/>
  <c r="RM135" i="1"/>
  <c r="RH135" i="1"/>
  <c r="RJ135" i="1"/>
  <c r="RK135" i="1"/>
  <c r="RN135" i="1"/>
  <c r="RO135" i="1"/>
  <c r="RP135" i="1"/>
  <c r="RQ135" i="1"/>
  <c r="RR135" i="1"/>
  <c r="SD136" i="1"/>
  <c r="SG136" i="1" s="1"/>
  <c r="RG136" i="1"/>
  <c r="RI136" i="1"/>
  <c r="RL136" i="1"/>
  <c r="RM136" i="1"/>
  <c r="RH136" i="1"/>
  <c r="RJ136" i="1"/>
  <c r="RK136" i="1"/>
  <c r="RN136" i="1"/>
  <c r="RO136" i="1"/>
  <c r="RP136" i="1"/>
  <c r="RQ136" i="1"/>
  <c r="RR136" i="1"/>
  <c r="SD137" i="1"/>
  <c r="SG137" i="1" s="1"/>
  <c r="RG137" i="1"/>
  <c r="RI137" i="1"/>
  <c r="RL137" i="1"/>
  <c r="RM137" i="1"/>
  <c r="RH137" i="1"/>
  <c r="RJ137" i="1"/>
  <c r="RK137" i="1"/>
  <c r="RN137" i="1"/>
  <c r="RO137" i="1"/>
  <c r="RP137" i="1"/>
  <c r="RQ137" i="1"/>
  <c r="RR137" i="1"/>
  <c r="SD138" i="1"/>
  <c r="SG138" i="1" s="1"/>
  <c r="RG138" i="1"/>
  <c r="RI138" i="1"/>
  <c r="RL138" i="1"/>
  <c r="RM138" i="1"/>
  <c r="RH138" i="1"/>
  <c r="RJ138" i="1"/>
  <c r="RK138" i="1"/>
  <c r="RN138" i="1"/>
  <c r="RO138" i="1"/>
  <c r="RP138" i="1"/>
  <c r="RQ138" i="1"/>
  <c r="RR138" i="1"/>
  <c r="SD139" i="1"/>
  <c r="SG139" i="1" s="1"/>
  <c r="RG139" i="1"/>
  <c r="RI139" i="1"/>
  <c r="RL139" i="1"/>
  <c r="RM139" i="1"/>
  <c r="RH139" i="1"/>
  <c r="RJ139" i="1"/>
  <c r="RK139" i="1"/>
  <c r="RN139" i="1"/>
  <c r="RO139" i="1"/>
  <c r="RP139" i="1"/>
  <c r="RQ139" i="1"/>
  <c r="RR139" i="1"/>
  <c r="SD140" i="1"/>
  <c r="SG140" i="1" s="1"/>
  <c r="RG140" i="1"/>
  <c r="RI140" i="1"/>
  <c r="RL140" i="1"/>
  <c r="RM140" i="1"/>
  <c r="RH140" i="1"/>
  <c r="RJ140" i="1"/>
  <c r="RK140" i="1"/>
  <c r="RN140" i="1"/>
  <c r="RO140" i="1"/>
  <c r="RP140" i="1"/>
  <c r="RQ140" i="1"/>
  <c r="RR140" i="1"/>
  <c r="SD141" i="1"/>
  <c r="SG141" i="1" s="1"/>
  <c r="RG141" i="1"/>
  <c r="RI141" i="1"/>
  <c r="RL141" i="1"/>
  <c r="RM141" i="1"/>
  <c r="RH141" i="1"/>
  <c r="RJ141" i="1"/>
  <c r="RK141" i="1"/>
  <c r="RN141" i="1"/>
  <c r="RO141" i="1"/>
  <c r="RP141" i="1"/>
  <c r="RQ141" i="1"/>
  <c r="RR141" i="1"/>
  <c r="SD142" i="1"/>
  <c r="SG142" i="1" s="1"/>
  <c r="RG142" i="1"/>
  <c r="RI142" i="1"/>
  <c r="RL142" i="1"/>
  <c r="RM142" i="1"/>
  <c r="RH142" i="1"/>
  <c r="RJ142" i="1"/>
  <c r="RK142" i="1"/>
  <c r="RN142" i="1"/>
  <c r="RO142" i="1"/>
  <c r="RP142" i="1"/>
  <c r="RQ142" i="1"/>
  <c r="RR142" i="1"/>
  <c r="SD143" i="1"/>
  <c r="SG143" i="1" s="1"/>
  <c r="RG143" i="1"/>
  <c r="RI143" i="1"/>
  <c r="RL143" i="1"/>
  <c r="RM143" i="1"/>
  <c r="RH143" i="1"/>
  <c r="RJ143" i="1"/>
  <c r="RK143" i="1"/>
  <c r="RN143" i="1"/>
  <c r="RO143" i="1"/>
  <c r="RP143" i="1"/>
  <c r="RQ143" i="1"/>
  <c r="RR143" i="1"/>
  <c r="SD144" i="1"/>
  <c r="SG144" i="1" s="1"/>
  <c r="RG144" i="1"/>
  <c r="RI144" i="1"/>
  <c r="RL144" i="1"/>
  <c r="RM144" i="1"/>
  <c r="RH144" i="1"/>
  <c r="RJ144" i="1"/>
  <c r="RK144" i="1"/>
  <c r="RN144" i="1"/>
  <c r="RO144" i="1"/>
  <c r="RP144" i="1"/>
  <c r="RQ144" i="1"/>
  <c r="RR144" i="1"/>
  <c r="SD145" i="1"/>
  <c r="SG145" i="1" s="1"/>
  <c r="RG145" i="1"/>
  <c r="RI145" i="1"/>
  <c r="RL145" i="1"/>
  <c r="RM145" i="1"/>
  <c r="RH145" i="1"/>
  <c r="RJ145" i="1"/>
  <c r="RK145" i="1"/>
  <c r="RN145" i="1"/>
  <c r="RO145" i="1"/>
  <c r="RP145" i="1"/>
  <c r="RQ145" i="1"/>
  <c r="RR145" i="1"/>
  <c r="SD146" i="1"/>
  <c r="SG146" i="1" s="1"/>
  <c r="RG146" i="1"/>
  <c r="RI146" i="1"/>
  <c r="RL146" i="1"/>
  <c r="RM146" i="1"/>
  <c r="RH146" i="1"/>
  <c r="RJ146" i="1"/>
  <c r="RK146" i="1"/>
  <c r="RN146" i="1"/>
  <c r="RO146" i="1"/>
  <c r="RP146" i="1"/>
  <c r="RQ146" i="1"/>
  <c r="RR146" i="1"/>
  <c r="SD147" i="1"/>
  <c r="SG147" i="1" s="1"/>
  <c r="RG147" i="1"/>
  <c r="RI147" i="1"/>
  <c r="RL147" i="1"/>
  <c r="RM147" i="1"/>
  <c r="RH147" i="1"/>
  <c r="RJ147" i="1"/>
  <c r="RK147" i="1"/>
  <c r="RN147" i="1"/>
  <c r="RO147" i="1"/>
  <c r="RP147" i="1"/>
  <c r="RQ147" i="1"/>
  <c r="RR147" i="1"/>
  <c r="SD148" i="1"/>
  <c r="SG148" i="1" s="1"/>
  <c r="RG148" i="1"/>
  <c r="RI148" i="1"/>
  <c r="RL148" i="1"/>
  <c r="RM148" i="1"/>
  <c r="RH148" i="1"/>
  <c r="RJ148" i="1"/>
  <c r="RK148" i="1"/>
  <c r="RN148" i="1"/>
  <c r="RO148" i="1"/>
  <c r="RP148" i="1"/>
  <c r="RQ148" i="1"/>
  <c r="RR148" i="1"/>
  <c r="SD149" i="1"/>
  <c r="SG149" i="1" s="1"/>
  <c r="RG149" i="1"/>
  <c r="RI149" i="1"/>
  <c r="RL149" i="1"/>
  <c r="RM149" i="1"/>
  <c r="RH149" i="1"/>
  <c r="RJ149" i="1"/>
  <c r="RK149" i="1"/>
  <c r="RN149" i="1"/>
  <c r="RO149" i="1"/>
  <c r="RP149" i="1"/>
  <c r="RQ149" i="1"/>
  <c r="RR149" i="1"/>
  <c r="SD150" i="1"/>
  <c r="SG150" i="1" s="1"/>
  <c r="RG150" i="1"/>
  <c r="RI150" i="1"/>
  <c r="RL150" i="1"/>
  <c r="RM150" i="1"/>
  <c r="RH150" i="1"/>
  <c r="RJ150" i="1"/>
  <c r="RK150" i="1"/>
  <c r="RN150" i="1"/>
  <c r="RO150" i="1"/>
  <c r="RP150" i="1"/>
  <c r="RQ150" i="1"/>
  <c r="RR150" i="1"/>
  <c r="SD151" i="1"/>
  <c r="SG151" i="1" s="1"/>
  <c r="RG151" i="1"/>
  <c r="RI151" i="1"/>
  <c r="RL151" i="1"/>
  <c r="RM151" i="1"/>
  <c r="RH151" i="1"/>
  <c r="RJ151" i="1"/>
  <c r="RK151" i="1"/>
  <c r="RN151" i="1"/>
  <c r="RO151" i="1"/>
  <c r="RP151" i="1"/>
  <c r="RQ151" i="1"/>
  <c r="RR151" i="1"/>
  <c r="SD152" i="1"/>
  <c r="SG152" i="1" s="1"/>
  <c r="RG152" i="1"/>
  <c r="RI152" i="1"/>
  <c r="RL152" i="1"/>
  <c r="RM152" i="1"/>
  <c r="RH152" i="1"/>
  <c r="RJ152" i="1"/>
  <c r="RK152" i="1"/>
  <c r="RN152" i="1"/>
  <c r="RO152" i="1"/>
  <c r="RP152" i="1"/>
  <c r="RQ152" i="1"/>
  <c r="RR152" i="1"/>
  <c r="SD153" i="1"/>
  <c r="SG153" i="1" s="1"/>
  <c r="RG153" i="1"/>
  <c r="RI153" i="1"/>
  <c r="RL153" i="1"/>
  <c r="RM153" i="1"/>
  <c r="RH153" i="1"/>
  <c r="RJ153" i="1"/>
  <c r="RK153" i="1"/>
  <c r="RN153" i="1"/>
  <c r="RO153" i="1"/>
  <c r="RP153" i="1"/>
  <c r="RQ153" i="1"/>
  <c r="RR153" i="1"/>
  <c r="SD154" i="1"/>
  <c r="SG154" i="1" s="1"/>
  <c r="RG154" i="1"/>
  <c r="RI154" i="1"/>
  <c r="RL154" i="1"/>
  <c r="RM154" i="1"/>
  <c r="RH154" i="1"/>
  <c r="RJ154" i="1"/>
  <c r="RK154" i="1"/>
  <c r="RN154" i="1"/>
  <c r="RO154" i="1"/>
  <c r="RP154" i="1"/>
  <c r="RQ154" i="1"/>
  <c r="RR154" i="1"/>
  <c r="SD155" i="1"/>
  <c r="SG155" i="1" s="1"/>
  <c r="RG155" i="1"/>
  <c r="RI155" i="1"/>
  <c r="RL155" i="1"/>
  <c r="RM155" i="1"/>
  <c r="RH155" i="1"/>
  <c r="RJ155" i="1"/>
  <c r="RK155" i="1"/>
  <c r="RN155" i="1"/>
  <c r="RO155" i="1"/>
  <c r="RP155" i="1"/>
  <c r="RQ155" i="1"/>
  <c r="RR155" i="1"/>
  <c r="SD156" i="1"/>
  <c r="SG156" i="1" s="1"/>
  <c r="RG156" i="1"/>
  <c r="RI156" i="1"/>
  <c r="RL156" i="1"/>
  <c r="RM156" i="1"/>
  <c r="RH156" i="1"/>
  <c r="RJ156" i="1"/>
  <c r="RK156" i="1"/>
  <c r="RN156" i="1"/>
  <c r="RO156" i="1"/>
  <c r="RP156" i="1"/>
  <c r="RQ156" i="1"/>
  <c r="RR156" i="1"/>
  <c r="SD157" i="1"/>
  <c r="SG157" i="1" s="1"/>
  <c r="RG157" i="1"/>
  <c r="RI157" i="1"/>
  <c r="RL157" i="1"/>
  <c r="RM157" i="1"/>
  <c r="RH157" i="1"/>
  <c r="RJ157" i="1"/>
  <c r="RK157" i="1"/>
  <c r="RN157" i="1"/>
  <c r="RO157" i="1"/>
  <c r="RP157" i="1"/>
  <c r="RQ157" i="1"/>
  <c r="RR157" i="1"/>
  <c r="SD158" i="1"/>
  <c r="SG158" i="1" s="1"/>
  <c r="RG158" i="1"/>
  <c r="RI158" i="1"/>
  <c r="RL158" i="1"/>
  <c r="RM158" i="1"/>
  <c r="RH158" i="1"/>
  <c r="RJ158" i="1"/>
  <c r="RK158" i="1"/>
  <c r="RN158" i="1"/>
  <c r="RO158" i="1"/>
  <c r="RP158" i="1"/>
  <c r="RQ158" i="1"/>
  <c r="RR158" i="1"/>
  <c r="SD159" i="1"/>
  <c r="SG159" i="1" s="1"/>
  <c r="RG159" i="1"/>
  <c r="RI159" i="1"/>
  <c r="RL159" i="1"/>
  <c r="RM159" i="1"/>
  <c r="RH159" i="1"/>
  <c r="RJ159" i="1"/>
  <c r="RK159" i="1"/>
  <c r="RN159" i="1"/>
  <c r="RO159" i="1"/>
  <c r="RP159" i="1"/>
  <c r="RQ159" i="1"/>
  <c r="RR159" i="1"/>
  <c r="SD160" i="1"/>
  <c r="SG160" i="1" s="1"/>
  <c r="RG160" i="1"/>
  <c r="RI160" i="1"/>
  <c r="RL160" i="1"/>
  <c r="RM160" i="1"/>
  <c r="RH160" i="1"/>
  <c r="RJ160" i="1"/>
  <c r="RK160" i="1"/>
  <c r="RN160" i="1"/>
  <c r="RO160" i="1"/>
  <c r="RP160" i="1"/>
  <c r="RQ160" i="1"/>
  <c r="RR160" i="1"/>
  <c r="SD161" i="1"/>
  <c r="SG161" i="1" s="1"/>
  <c r="RG161" i="1"/>
  <c r="RI161" i="1"/>
  <c r="RL161" i="1"/>
  <c r="RM161" i="1"/>
  <c r="RH161" i="1"/>
  <c r="RJ161" i="1"/>
  <c r="RK161" i="1"/>
  <c r="RN161" i="1"/>
  <c r="RO161" i="1"/>
  <c r="RP161" i="1"/>
  <c r="RQ161" i="1"/>
  <c r="RR161" i="1"/>
  <c r="SD162" i="1"/>
  <c r="SG162" i="1" s="1"/>
  <c r="RG162" i="1"/>
  <c r="RI162" i="1"/>
  <c r="RL162" i="1"/>
  <c r="RM162" i="1"/>
  <c r="RH162" i="1"/>
  <c r="RJ162" i="1"/>
  <c r="RK162" i="1"/>
  <c r="RN162" i="1"/>
  <c r="RO162" i="1"/>
  <c r="RP162" i="1"/>
  <c r="RQ162" i="1"/>
  <c r="RR162" i="1"/>
  <c r="SD163" i="1"/>
  <c r="SG163" i="1" s="1"/>
  <c r="RG163" i="1"/>
  <c r="RI163" i="1"/>
  <c r="RL163" i="1"/>
  <c r="RM163" i="1"/>
  <c r="RH163" i="1"/>
  <c r="RJ163" i="1"/>
  <c r="RK163" i="1"/>
  <c r="RN163" i="1"/>
  <c r="RO163" i="1"/>
  <c r="RP163" i="1"/>
  <c r="RQ163" i="1"/>
  <c r="RR163" i="1"/>
  <c r="VB13" i="1"/>
  <c r="VB14" i="1"/>
  <c r="TF10" i="1"/>
  <c r="UY10" i="1" s="1"/>
  <c r="TG10" i="1"/>
  <c r="UZ10" i="1" s="1"/>
  <c r="TH10" i="1"/>
  <c r="VA10" i="1" s="1"/>
  <c r="TI10" i="1"/>
  <c r="TI11" i="1"/>
  <c r="VB16" i="1" s="1"/>
  <c r="TI12" i="1"/>
  <c r="VB17" i="1" s="1"/>
  <c r="TI13" i="1"/>
  <c r="VB18" i="1" s="1"/>
  <c r="TI14" i="1"/>
  <c r="VB19" i="1" s="1"/>
  <c r="TI15" i="1"/>
  <c r="VB20" i="1" s="1"/>
  <c r="TI16" i="1"/>
  <c r="VB21" i="1" s="1"/>
  <c r="TI17" i="1"/>
  <c r="VB22" i="1" s="1"/>
  <c r="TI18" i="1"/>
  <c r="VB23" i="1" s="1"/>
  <c r="TI19" i="1"/>
  <c r="VB24" i="1" s="1"/>
  <c r="TI20" i="1"/>
  <c r="VB25" i="1" s="1"/>
  <c r="TI21" i="1"/>
  <c r="VB26" i="1" s="1"/>
  <c r="TI22" i="1"/>
  <c r="VB27" i="1" s="1"/>
  <c r="TI23" i="1"/>
  <c r="VB28" i="1" s="1"/>
  <c r="TI24" i="1"/>
  <c r="VB29" i="1" s="1"/>
  <c r="TI25" i="1"/>
  <c r="VB30" i="1" s="1"/>
  <c r="TI26" i="1"/>
  <c r="VB31" i="1" s="1"/>
  <c r="TI27" i="1"/>
  <c r="VB32" i="1" s="1"/>
  <c r="TI28" i="1"/>
  <c r="VB33" i="1" s="1"/>
  <c r="TI29" i="1"/>
  <c r="VB34" i="1" s="1"/>
  <c r="TI30" i="1"/>
  <c r="VB35" i="1" s="1"/>
  <c r="TI31" i="1"/>
  <c r="VB36" i="1" s="1"/>
  <c r="TI32" i="1"/>
  <c r="VB37" i="1" s="1"/>
  <c r="TI33" i="1"/>
  <c r="VB38" i="1" s="1"/>
  <c r="TI34" i="1"/>
  <c r="VB39" i="1" s="1"/>
  <c r="TI35" i="1"/>
  <c r="VB40" i="1" s="1"/>
  <c r="TI36" i="1"/>
  <c r="VB41" i="1" s="1"/>
  <c r="TI37" i="1"/>
  <c r="VB42" i="1" s="1"/>
  <c r="TI38" i="1"/>
  <c r="VB43" i="1" s="1"/>
  <c r="TI39" i="1"/>
  <c r="VB44" i="1" s="1"/>
  <c r="TI40" i="1"/>
  <c r="VB45" i="1" s="1"/>
  <c r="TI41" i="1"/>
  <c r="VB46" i="1" s="1"/>
  <c r="TI42" i="1"/>
  <c r="VB47" i="1" s="1"/>
  <c r="TI43" i="1"/>
  <c r="VB48" i="1" s="1"/>
  <c r="TI44" i="1"/>
  <c r="VB49" i="1" s="1"/>
  <c r="TI45" i="1"/>
  <c r="VB50" i="1" s="1"/>
  <c r="TI46" i="1"/>
  <c r="VB51" i="1" s="1"/>
  <c r="TI47" i="1"/>
  <c r="VB52" i="1" s="1"/>
  <c r="TI48" i="1"/>
  <c r="VB53" i="1" s="1"/>
  <c r="TI49" i="1"/>
  <c r="VB54" i="1" s="1"/>
  <c r="TI50" i="1"/>
  <c r="VB55" i="1" s="1"/>
  <c r="TI51" i="1"/>
  <c r="VB56" i="1" s="1"/>
  <c r="TI52" i="1"/>
  <c r="VB57" i="1" s="1"/>
  <c r="TI53" i="1"/>
  <c r="VB58" i="1" s="1"/>
  <c r="TI54" i="1"/>
  <c r="VB59" i="1" s="1"/>
  <c r="TI55" i="1"/>
  <c r="VB60" i="1" s="1"/>
  <c r="TI56" i="1"/>
  <c r="VB61" i="1" s="1"/>
  <c r="TI57" i="1"/>
  <c r="VB62" i="1" s="1"/>
  <c r="TI58" i="1"/>
  <c r="VB63" i="1" s="1"/>
  <c r="TI59" i="1"/>
  <c r="VB64" i="1" s="1"/>
  <c r="TI60" i="1"/>
  <c r="VB65" i="1" s="1"/>
  <c r="TI61" i="1"/>
  <c r="VB66" i="1" s="1"/>
  <c r="TI62" i="1"/>
  <c r="VB67" i="1" s="1"/>
  <c r="TI63" i="1"/>
  <c r="VB68" i="1" s="1"/>
  <c r="TI64" i="1"/>
  <c r="VB69" i="1" s="1"/>
  <c r="TI65" i="1"/>
  <c r="VB70" i="1" s="1"/>
  <c r="TI66" i="1"/>
  <c r="VB71" i="1" s="1"/>
  <c r="TI67" i="1"/>
  <c r="VB72" i="1" s="1"/>
  <c r="TI68" i="1"/>
  <c r="VB73" i="1" s="1"/>
  <c r="TI69" i="1"/>
  <c r="VB74" i="1" s="1"/>
  <c r="TI70" i="1"/>
  <c r="VB75" i="1" s="1"/>
  <c r="TI71" i="1"/>
  <c r="VB76" i="1" s="1"/>
  <c r="TI72" i="1"/>
  <c r="VB77" i="1" s="1"/>
  <c r="TI73" i="1"/>
  <c r="VB78" i="1" s="1"/>
  <c r="TI74" i="1"/>
  <c r="VB79" i="1" s="1"/>
  <c r="TI75" i="1"/>
  <c r="VB80" i="1" s="1"/>
  <c r="TI76" i="1"/>
  <c r="VB81" i="1" s="1"/>
  <c r="TI77" i="1"/>
  <c r="VB82" i="1" s="1"/>
  <c r="TI78" i="1"/>
  <c r="VB83" i="1" s="1"/>
  <c r="TI79" i="1"/>
  <c r="VB84" i="1" s="1"/>
  <c r="TI80" i="1"/>
  <c r="VB85" i="1" s="1"/>
  <c r="TI81" i="1"/>
  <c r="VB86" i="1" s="1"/>
  <c r="TI82" i="1"/>
  <c r="VB87" i="1" s="1"/>
  <c r="TI83" i="1"/>
  <c r="VB88" i="1" s="1"/>
  <c r="TI84" i="1"/>
  <c r="VB89" i="1" s="1"/>
  <c r="TI85" i="1"/>
  <c r="VB90" i="1" s="1"/>
  <c r="TI86" i="1"/>
  <c r="VB91" i="1" s="1"/>
  <c r="TI87" i="1"/>
  <c r="VB92" i="1" s="1"/>
  <c r="TI88" i="1"/>
  <c r="VB93" i="1" s="1"/>
  <c r="TI89" i="1"/>
  <c r="VB94" i="1" s="1"/>
  <c r="TI90" i="1"/>
  <c r="VB95" i="1" s="1"/>
  <c r="TI91" i="1"/>
  <c r="VB96" i="1" s="1"/>
  <c r="TI92" i="1"/>
  <c r="VB97" i="1" s="1"/>
  <c r="TI93" i="1"/>
  <c r="VB98" i="1" s="1"/>
  <c r="TI94" i="1"/>
  <c r="VB99" i="1" s="1"/>
  <c r="TI95" i="1"/>
  <c r="VB100" i="1" s="1"/>
  <c r="TI96" i="1"/>
  <c r="VB101" i="1" s="1"/>
  <c r="TI97" i="1"/>
  <c r="VB102" i="1" s="1"/>
  <c r="TI98" i="1"/>
  <c r="VB103" i="1" s="1"/>
  <c r="TI99" i="1"/>
  <c r="VB104" i="1" s="1"/>
  <c r="TI100" i="1"/>
  <c r="VB105" i="1" s="1"/>
  <c r="TI101" i="1"/>
  <c r="VB106" i="1" s="1"/>
  <c r="TI102" i="1"/>
  <c r="VB107" i="1" s="1"/>
  <c r="TI103" i="1"/>
  <c r="VB108" i="1" s="1"/>
  <c r="TI104" i="1"/>
  <c r="VB109" i="1" s="1"/>
  <c r="TI105" i="1"/>
  <c r="VB110" i="1" s="1"/>
  <c r="TI106" i="1"/>
  <c r="VB111" i="1" s="1"/>
  <c r="TI107" i="1"/>
  <c r="VB112" i="1" s="1"/>
  <c r="TI108" i="1"/>
  <c r="VB113" i="1" s="1"/>
  <c r="TI109" i="1"/>
  <c r="VB114" i="1" s="1"/>
  <c r="TI110" i="1"/>
  <c r="VB115" i="1" s="1"/>
  <c r="TI111" i="1"/>
  <c r="VB116" i="1" s="1"/>
  <c r="TI112" i="1"/>
  <c r="VB117" i="1" s="1"/>
  <c r="TI113" i="1"/>
  <c r="VB118" i="1" s="1"/>
  <c r="TI114" i="1"/>
  <c r="VB119" i="1" s="1"/>
  <c r="TI115" i="1"/>
  <c r="VB120" i="1" s="1"/>
  <c r="TI116" i="1"/>
  <c r="VB121" i="1" s="1"/>
  <c r="TI117" i="1"/>
  <c r="VB122" i="1" s="1"/>
  <c r="TI118" i="1"/>
  <c r="VB123" i="1" s="1"/>
  <c r="TI119" i="1"/>
  <c r="VB124" i="1" s="1"/>
  <c r="TI120" i="1"/>
  <c r="VB125" i="1" s="1"/>
  <c r="TI121" i="1"/>
  <c r="VB126" i="1" s="1"/>
  <c r="TI122" i="1"/>
  <c r="VB127" i="1" s="1"/>
  <c r="TI123" i="1"/>
  <c r="VB128" i="1" s="1"/>
  <c r="TI124" i="1"/>
  <c r="VB129" i="1" s="1"/>
  <c r="TI125" i="1"/>
  <c r="VB130" i="1" s="1"/>
  <c r="TI126" i="1"/>
  <c r="VB131" i="1" s="1"/>
  <c r="TI127" i="1"/>
  <c r="VB132" i="1" s="1"/>
  <c r="TI128" i="1"/>
  <c r="VB133" i="1" s="1"/>
  <c r="TI129" i="1"/>
  <c r="VB134" i="1" s="1"/>
  <c r="TI130" i="1"/>
  <c r="VB135" i="1" s="1"/>
  <c r="TI131" i="1"/>
  <c r="VB136" i="1" s="1"/>
  <c r="TI132" i="1"/>
  <c r="VB137" i="1" s="1"/>
  <c r="TI133" i="1"/>
  <c r="VB138" i="1" s="1"/>
  <c r="TI134" i="1"/>
  <c r="VB139" i="1" s="1"/>
  <c r="TI135" i="1"/>
  <c r="VB140" i="1" s="1"/>
  <c r="TI136" i="1"/>
  <c r="VB141" i="1" s="1"/>
  <c r="TI137" i="1"/>
  <c r="VB142" i="1" s="1"/>
  <c r="TI138" i="1"/>
  <c r="VB143" i="1" s="1"/>
  <c r="TI139" i="1"/>
  <c r="VB144" i="1" s="1"/>
  <c r="TI140" i="1"/>
  <c r="VB145" i="1" s="1"/>
  <c r="TI141" i="1"/>
  <c r="VB146" i="1" s="1"/>
  <c r="TI142" i="1"/>
  <c r="VB147" i="1" s="1"/>
  <c r="TI143" i="1"/>
  <c r="VB148" i="1" s="1"/>
  <c r="TI144" i="1"/>
  <c r="VB149" i="1" s="1"/>
  <c r="TI145" i="1"/>
  <c r="VB150" i="1" s="1"/>
  <c r="TI146" i="1"/>
  <c r="VB151" i="1" s="1"/>
  <c r="TI147" i="1"/>
  <c r="VB152" i="1" s="1"/>
  <c r="TI148" i="1"/>
  <c r="VB153" i="1" s="1"/>
  <c r="TI149" i="1"/>
  <c r="VB154" i="1" s="1"/>
  <c r="TI150" i="1"/>
  <c r="VB155" i="1" s="1"/>
  <c r="TI151" i="1"/>
  <c r="VB156" i="1" s="1"/>
  <c r="TI152" i="1"/>
  <c r="VB157" i="1" s="1"/>
  <c r="TI153" i="1"/>
  <c r="VB158" i="1" s="1"/>
  <c r="TI154" i="1"/>
  <c r="VB159" i="1" s="1"/>
  <c r="TI155" i="1"/>
  <c r="VB160" i="1" s="1"/>
  <c r="TI156" i="1"/>
  <c r="VB161" i="1" s="1"/>
  <c r="TI157" i="1"/>
  <c r="VB162" i="1" s="1"/>
  <c r="TI158" i="1"/>
  <c r="VB163" i="1" s="1"/>
  <c r="TI159" i="1"/>
  <c r="TI160" i="1"/>
  <c r="TI161" i="1"/>
  <c r="TI162" i="1"/>
  <c r="TI163" i="1"/>
  <c r="TJ10" i="1"/>
  <c r="VC10" i="1" s="1"/>
  <c r="TF11" i="1"/>
  <c r="UY11" i="1" s="1"/>
  <c r="TG11" i="1"/>
  <c r="UZ11" i="1" s="1"/>
  <c r="TH11" i="1"/>
  <c r="VA11" i="1" s="1"/>
  <c r="VB11" i="1"/>
  <c r="TJ11" i="1"/>
  <c r="VC11" i="1" s="1"/>
  <c r="TF12" i="1"/>
  <c r="UY12" i="1" s="1"/>
  <c r="TG12" i="1"/>
  <c r="UZ12" i="1" s="1"/>
  <c r="TH12" i="1"/>
  <c r="VA12" i="1" s="1"/>
  <c r="VB12" i="1"/>
  <c r="TJ12" i="1"/>
  <c r="VC12" i="1" s="1"/>
  <c r="TF13" i="1"/>
  <c r="UY13" i="1" s="1"/>
  <c r="TG13" i="1"/>
  <c r="UZ13" i="1" s="1"/>
  <c r="TH13" i="1"/>
  <c r="VA13" i="1" s="1"/>
  <c r="TJ13" i="1"/>
  <c r="VC13" i="1" s="1"/>
  <c r="TF14" i="1"/>
  <c r="UY14" i="1" s="1"/>
  <c r="TG14" i="1"/>
  <c r="UZ14" i="1" s="1"/>
  <c r="TH14" i="1"/>
  <c r="VA14" i="1" s="1"/>
  <c r="TJ14" i="1"/>
  <c r="VC14" i="1" s="1"/>
  <c r="TF15" i="1"/>
  <c r="UY15" i="1" s="1"/>
  <c r="TG15" i="1"/>
  <c r="UZ15" i="1" s="1"/>
  <c r="TH15" i="1"/>
  <c r="VA15" i="1" s="1"/>
  <c r="TJ15" i="1"/>
  <c r="VC15" i="1" s="1"/>
  <c r="TF16" i="1"/>
  <c r="UY16" i="1" s="1"/>
  <c r="TG16" i="1"/>
  <c r="UZ16" i="1" s="1"/>
  <c r="TH16" i="1"/>
  <c r="VA16" i="1" s="1"/>
  <c r="TJ16" i="1"/>
  <c r="VC16" i="1" s="1"/>
  <c r="TF17" i="1"/>
  <c r="UY17" i="1" s="1"/>
  <c r="TG17" i="1"/>
  <c r="UZ17" i="1" s="1"/>
  <c r="TH17" i="1"/>
  <c r="VA17" i="1" s="1"/>
  <c r="TJ17" i="1"/>
  <c r="VC17" i="1" s="1"/>
  <c r="TF18" i="1"/>
  <c r="UY18" i="1" s="1"/>
  <c r="TG18" i="1"/>
  <c r="UZ18" i="1" s="1"/>
  <c r="TH18" i="1"/>
  <c r="VA18" i="1" s="1"/>
  <c r="TJ18" i="1"/>
  <c r="VC18" i="1" s="1"/>
  <c r="TF19" i="1"/>
  <c r="UY19" i="1" s="1"/>
  <c r="TG19" i="1"/>
  <c r="UZ19" i="1" s="1"/>
  <c r="TH19" i="1"/>
  <c r="VA19" i="1" s="1"/>
  <c r="TJ19" i="1"/>
  <c r="VC19" i="1" s="1"/>
  <c r="TF20" i="1"/>
  <c r="UY20" i="1" s="1"/>
  <c r="TG20" i="1"/>
  <c r="UZ20" i="1" s="1"/>
  <c r="TH20" i="1"/>
  <c r="VA20" i="1" s="1"/>
  <c r="TJ20" i="1"/>
  <c r="VC20" i="1" s="1"/>
  <c r="TF21" i="1"/>
  <c r="UY21" i="1" s="1"/>
  <c r="TG21" i="1"/>
  <c r="UZ21" i="1" s="1"/>
  <c r="TH21" i="1"/>
  <c r="VA21" i="1" s="1"/>
  <c r="TJ21" i="1"/>
  <c r="VC21" i="1" s="1"/>
  <c r="TF22" i="1"/>
  <c r="UY22" i="1" s="1"/>
  <c r="TG22" i="1"/>
  <c r="UZ22" i="1" s="1"/>
  <c r="TH22" i="1"/>
  <c r="VA22" i="1" s="1"/>
  <c r="TJ22" i="1"/>
  <c r="VC22" i="1" s="1"/>
  <c r="TF23" i="1"/>
  <c r="UY23" i="1" s="1"/>
  <c r="TG23" i="1"/>
  <c r="UZ23" i="1" s="1"/>
  <c r="TH23" i="1"/>
  <c r="VA23" i="1" s="1"/>
  <c r="TJ23" i="1"/>
  <c r="VC23" i="1" s="1"/>
  <c r="TF24" i="1"/>
  <c r="UY24" i="1" s="1"/>
  <c r="TG24" i="1"/>
  <c r="UZ24" i="1" s="1"/>
  <c r="TH24" i="1"/>
  <c r="VA24" i="1" s="1"/>
  <c r="TJ24" i="1"/>
  <c r="VC24" i="1" s="1"/>
  <c r="TF25" i="1"/>
  <c r="UY25" i="1" s="1"/>
  <c r="TG25" i="1"/>
  <c r="UZ25" i="1" s="1"/>
  <c r="TH25" i="1"/>
  <c r="VA25" i="1" s="1"/>
  <c r="TJ25" i="1"/>
  <c r="VC25" i="1" s="1"/>
  <c r="TF26" i="1"/>
  <c r="UY26" i="1" s="1"/>
  <c r="TG26" i="1"/>
  <c r="UZ26" i="1" s="1"/>
  <c r="TH26" i="1"/>
  <c r="VA26" i="1" s="1"/>
  <c r="TJ26" i="1"/>
  <c r="VC26" i="1" s="1"/>
  <c r="TF27" i="1"/>
  <c r="UY27" i="1" s="1"/>
  <c r="TG27" i="1"/>
  <c r="UZ27" i="1" s="1"/>
  <c r="TH27" i="1"/>
  <c r="VA27" i="1" s="1"/>
  <c r="TJ27" i="1"/>
  <c r="VC27" i="1" s="1"/>
  <c r="TF28" i="1"/>
  <c r="UY28" i="1" s="1"/>
  <c r="TG28" i="1"/>
  <c r="UZ28" i="1" s="1"/>
  <c r="TH28" i="1"/>
  <c r="VA28" i="1" s="1"/>
  <c r="TJ28" i="1"/>
  <c r="VC28" i="1" s="1"/>
  <c r="TF29" i="1"/>
  <c r="UY29" i="1" s="1"/>
  <c r="TG29" i="1"/>
  <c r="UZ29" i="1" s="1"/>
  <c r="TH29" i="1"/>
  <c r="VA29" i="1" s="1"/>
  <c r="TJ29" i="1"/>
  <c r="VC29" i="1" s="1"/>
  <c r="TF30" i="1"/>
  <c r="UY30" i="1" s="1"/>
  <c r="TG30" i="1"/>
  <c r="UZ30" i="1" s="1"/>
  <c r="TH30" i="1"/>
  <c r="VA30" i="1" s="1"/>
  <c r="TJ30" i="1"/>
  <c r="VC30" i="1" s="1"/>
  <c r="TF31" i="1"/>
  <c r="UY31" i="1" s="1"/>
  <c r="TG31" i="1"/>
  <c r="UZ31" i="1" s="1"/>
  <c r="TH31" i="1"/>
  <c r="VA31" i="1" s="1"/>
  <c r="TJ31" i="1"/>
  <c r="VC31" i="1" s="1"/>
  <c r="TF32" i="1"/>
  <c r="UY32" i="1" s="1"/>
  <c r="TG32" i="1"/>
  <c r="UZ32" i="1" s="1"/>
  <c r="TH32" i="1"/>
  <c r="VA32" i="1" s="1"/>
  <c r="TJ32" i="1"/>
  <c r="VC32" i="1" s="1"/>
  <c r="TF33" i="1"/>
  <c r="UY33" i="1" s="1"/>
  <c r="TG33" i="1"/>
  <c r="UZ33" i="1" s="1"/>
  <c r="TH33" i="1"/>
  <c r="VA33" i="1" s="1"/>
  <c r="TJ33" i="1"/>
  <c r="VC33" i="1" s="1"/>
  <c r="TF34" i="1"/>
  <c r="UY34" i="1" s="1"/>
  <c r="TG34" i="1"/>
  <c r="UZ34" i="1" s="1"/>
  <c r="TH34" i="1"/>
  <c r="VA34" i="1" s="1"/>
  <c r="TJ34" i="1"/>
  <c r="VC34" i="1" s="1"/>
  <c r="TF35" i="1"/>
  <c r="UY35" i="1" s="1"/>
  <c r="TG35" i="1"/>
  <c r="UZ35" i="1" s="1"/>
  <c r="TH35" i="1"/>
  <c r="VA35" i="1" s="1"/>
  <c r="TJ35" i="1"/>
  <c r="VC35" i="1" s="1"/>
  <c r="TF36" i="1"/>
  <c r="UY36" i="1" s="1"/>
  <c r="TG36" i="1"/>
  <c r="UZ36" i="1" s="1"/>
  <c r="TH36" i="1"/>
  <c r="VA36" i="1" s="1"/>
  <c r="TJ36" i="1"/>
  <c r="VC36" i="1" s="1"/>
  <c r="TF37" i="1"/>
  <c r="UY37" i="1" s="1"/>
  <c r="TG37" i="1"/>
  <c r="UZ37" i="1" s="1"/>
  <c r="TH37" i="1"/>
  <c r="VA37" i="1" s="1"/>
  <c r="TJ37" i="1"/>
  <c r="VC37" i="1" s="1"/>
  <c r="TF38" i="1"/>
  <c r="UY38" i="1" s="1"/>
  <c r="TG38" i="1"/>
  <c r="UZ38" i="1" s="1"/>
  <c r="TH38" i="1"/>
  <c r="VA38" i="1" s="1"/>
  <c r="TJ38" i="1"/>
  <c r="VC38" i="1" s="1"/>
  <c r="TF39" i="1"/>
  <c r="UY39" i="1" s="1"/>
  <c r="TG39" i="1"/>
  <c r="UZ39" i="1" s="1"/>
  <c r="TH39" i="1"/>
  <c r="VA39" i="1" s="1"/>
  <c r="TJ39" i="1"/>
  <c r="VC39" i="1" s="1"/>
  <c r="TF40" i="1"/>
  <c r="UY40" i="1" s="1"/>
  <c r="TG40" i="1"/>
  <c r="UZ40" i="1" s="1"/>
  <c r="TH40" i="1"/>
  <c r="VA40" i="1" s="1"/>
  <c r="TJ40" i="1"/>
  <c r="VC40" i="1" s="1"/>
  <c r="TF41" i="1"/>
  <c r="UY41" i="1" s="1"/>
  <c r="TG41" i="1"/>
  <c r="UZ41" i="1" s="1"/>
  <c r="TH41" i="1"/>
  <c r="VA41" i="1" s="1"/>
  <c r="TJ41" i="1"/>
  <c r="VC41" i="1" s="1"/>
  <c r="TF42" i="1"/>
  <c r="UY42" i="1" s="1"/>
  <c r="TG42" i="1"/>
  <c r="UZ42" i="1" s="1"/>
  <c r="TH42" i="1"/>
  <c r="VA42" i="1" s="1"/>
  <c r="TJ42" i="1"/>
  <c r="VC42" i="1" s="1"/>
  <c r="TF43" i="1"/>
  <c r="UY43" i="1" s="1"/>
  <c r="TG43" i="1"/>
  <c r="UZ43" i="1" s="1"/>
  <c r="TH43" i="1"/>
  <c r="VA43" i="1" s="1"/>
  <c r="TJ43" i="1"/>
  <c r="VC43" i="1" s="1"/>
  <c r="TF44" i="1"/>
  <c r="UY44" i="1" s="1"/>
  <c r="TG44" i="1"/>
  <c r="UZ44" i="1" s="1"/>
  <c r="TH44" i="1"/>
  <c r="VA44" i="1" s="1"/>
  <c r="TJ44" i="1"/>
  <c r="VC44" i="1" s="1"/>
  <c r="TF45" i="1"/>
  <c r="UY45" i="1" s="1"/>
  <c r="TG45" i="1"/>
  <c r="UZ45" i="1" s="1"/>
  <c r="TH45" i="1"/>
  <c r="VA45" i="1" s="1"/>
  <c r="TJ45" i="1"/>
  <c r="VC45" i="1" s="1"/>
  <c r="TF46" i="1"/>
  <c r="UY46" i="1" s="1"/>
  <c r="TG46" i="1"/>
  <c r="UZ46" i="1" s="1"/>
  <c r="TH46" i="1"/>
  <c r="VA46" i="1" s="1"/>
  <c r="TJ46" i="1"/>
  <c r="VC46" i="1" s="1"/>
  <c r="TF47" i="1"/>
  <c r="UY47" i="1" s="1"/>
  <c r="TG47" i="1"/>
  <c r="UZ47" i="1" s="1"/>
  <c r="TH47" i="1"/>
  <c r="VA47" i="1" s="1"/>
  <c r="TJ47" i="1"/>
  <c r="VC47" i="1" s="1"/>
  <c r="TF48" i="1"/>
  <c r="UY48" i="1" s="1"/>
  <c r="TG48" i="1"/>
  <c r="UZ48" i="1" s="1"/>
  <c r="TH48" i="1"/>
  <c r="VA48" i="1" s="1"/>
  <c r="TJ48" i="1"/>
  <c r="VC48" i="1" s="1"/>
  <c r="TF49" i="1"/>
  <c r="UY49" i="1" s="1"/>
  <c r="TG49" i="1"/>
  <c r="UZ49" i="1" s="1"/>
  <c r="TH49" i="1"/>
  <c r="VA49" i="1" s="1"/>
  <c r="TJ49" i="1"/>
  <c r="VC49" i="1" s="1"/>
  <c r="TF50" i="1"/>
  <c r="UY50" i="1" s="1"/>
  <c r="TG50" i="1"/>
  <c r="UZ50" i="1" s="1"/>
  <c r="TH50" i="1"/>
  <c r="VA50" i="1" s="1"/>
  <c r="TJ50" i="1"/>
  <c r="VC50" i="1" s="1"/>
  <c r="TF51" i="1"/>
  <c r="UY51" i="1" s="1"/>
  <c r="TG51" i="1"/>
  <c r="UZ51" i="1" s="1"/>
  <c r="TH51" i="1"/>
  <c r="VA51" i="1" s="1"/>
  <c r="TJ51" i="1"/>
  <c r="VC51" i="1" s="1"/>
  <c r="TF52" i="1"/>
  <c r="UY52" i="1" s="1"/>
  <c r="TG52" i="1"/>
  <c r="UZ52" i="1" s="1"/>
  <c r="TH52" i="1"/>
  <c r="VA52" i="1" s="1"/>
  <c r="TJ52" i="1"/>
  <c r="VC52" i="1" s="1"/>
  <c r="TF53" i="1"/>
  <c r="UY53" i="1" s="1"/>
  <c r="TG53" i="1"/>
  <c r="UZ53" i="1" s="1"/>
  <c r="TH53" i="1"/>
  <c r="VA53" i="1" s="1"/>
  <c r="TJ53" i="1"/>
  <c r="VC53" i="1" s="1"/>
  <c r="TF54" i="1"/>
  <c r="UY54" i="1" s="1"/>
  <c r="TG54" i="1"/>
  <c r="UZ54" i="1" s="1"/>
  <c r="TH54" i="1"/>
  <c r="VA54" i="1" s="1"/>
  <c r="TJ54" i="1"/>
  <c r="VC54" i="1" s="1"/>
  <c r="TF55" i="1"/>
  <c r="UY55" i="1" s="1"/>
  <c r="TG55" i="1"/>
  <c r="UZ55" i="1" s="1"/>
  <c r="TH55" i="1"/>
  <c r="VA55" i="1" s="1"/>
  <c r="TJ55" i="1"/>
  <c r="VC55" i="1" s="1"/>
  <c r="TF56" i="1"/>
  <c r="UY56" i="1" s="1"/>
  <c r="TG56" i="1"/>
  <c r="UZ56" i="1" s="1"/>
  <c r="TH56" i="1"/>
  <c r="VA56" i="1" s="1"/>
  <c r="TJ56" i="1"/>
  <c r="VC56" i="1" s="1"/>
  <c r="TF57" i="1"/>
  <c r="UY57" i="1" s="1"/>
  <c r="TG57" i="1"/>
  <c r="UZ57" i="1" s="1"/>
  <c r="TH57" i="1"/>
  <c r="VA57" i="1" s="1"/>
  <c r="TJ57" i="1"/>
  <c r="VC57" i="1" s="1"/>
  <c r="TF58" i="1"/>
  <c r="UY58" i="1" s="1"/>
  <c r="TG58" i="1"/>
  <c r="UZ58" i="1" s="1"/>
  <c r="TH58" i="1"/>
  <c r="VA58" i="1" s="1"/>
  <c r="TJ58" i="1"/>
  <c r="VC58" i="1" s="1"/>
  <c r="TF59" i="1"/>
  <c r="UY59" i="1" s="1"/>
  <c r="TG59" i="1"/>
  <c r="UZ59" i="1" s="1"/>
  <c r="TH59" i="1"/>
  <c r="VA59" i="1" s="1"/>
  <c r="TJ59" i="1"/>
  <c r="VC59" i="1" s="1"/>
  <c r="TF60" i="1"/>
  <c r="UY60" i="1" s="1"/>
  <c r="TG60" i="1"/>
  <c r="UZ60" i="1" s="1"/>
  <c r="TH60" i="1"/>
  <c r="VA60" i="1" s="1"/>
  <c r="TJ60" i="1"/>
  <c r="VC60" i="1" s="1"/>
  <c r="TF61" i="1"/>
  <c r="UY61" i="1" s="1"/>
  <c r="TG61" i="1"/>
  <c r="UZ61" i="1" s="1"/>
  <c r="TH61" i="1"/>
  <c r="VA61" i="1" s="1"/>
  <c r="TJ61" i="1"/>
  <c r="VC61" i="1" s="1"/>
  <c r="TF62" i="1"/>
  <c r="UY62" i="1" s="1"/>
  <c r="TG62" i="1"/>
  <c r="UZ62" i="1" s="1"/>
  <c r="TH62" i="1"/>
  <c r="VA62" i="1" s="1"/>
  <c r="TJ62" i="1"/>
  <c r="VC62" i="1" s="1"/>
  <c r="TF63" i="1"/>
  <c r="UY63" i="1" s="1"/>
  <c r="TG63" i="1"/>
  <c r="UZ63" i="1" s="1"/>
  <c r="TH63" i="1"/>
  <c r="VA63" i="1" s="1"/>
  <c r="TJ63" i="1"/>
  <c r="VC63" i="1" s="1"/>
  <c r="TF64" i="1"/>
  <c r="UY64" i="1" s="1"/>
  <c r="TG64" i="1"/>
  <c r="UZ64" i="1" s="1"/>
  <c r="TH64" i="1"/>
  <c r="VA64" i="1" s="1"/>
  <c r="TJ64" i="1"/>
  <c r="VC64" i="1" s="1"/>
  <c r="TF65" i="1"/>
  <c r="UY65" i="1" s="1"/>
  <c r="TG65" i="1"/>
  <c r="UZ65" i="1" s="1"/>
  <c r="TH65" i="1"/>
  <c r="VA65" i="1" s="1"/>
  <c r="TJ65" i="1"/>
  <c r="VC65" i="1" s="1"/>
  <c r="TF66" i="1"/>
  <c r="UY66" i="1" s="1"/>
  <c r="TG66" i="1"/>
  <c r="UZ66" i="1" s="1"/>
  <c r="TH66" i="1"/>
  <c r="VA66" i="1" s="1"/>
  <c r="TJ66" i="1"/>
  <c r="VC66" i="1" s="1"/>
  <c r="TF67" i="1"/>
  <c r="UY67" i="1" s="1"/>
  <c r="TG67" i="1"/>
  <c r="UZ67" i="1" s="1"/>
  <c r="TH67" i="1"/>
  <c r="VA67" i="1" s="1"/>
  <c r="TJ67" i="1"/>
  <c r="VC67" i="1" s="1"/>
  <c r="TF68" i="1"/>
  <c r="UY68" i="1" s="1"/>
  <c r="TG68" i="1"/>
  <c r="UZ68" i="1" s="1"/>
  <c r="TH68" i="1"/>
  <c r="VA68" i="1" s="1"/>
  <c r="TJ68" i="1"/>
  <c r="VC68" i="1" s="1"/>
  <c r="TF69" i="1"/>
  <c r="UY69" i="1" s="1"/>
  <c r="TG69" i="1"/>
  <c r="UZ69" i="1" s="1"/>
  <c r="TH69" i="1"/>
  <c r="VA69" i="1" s="1"/>
  <c r="TJ69" i="1"/>
  <c r="VC69" i="1" s="1"/>
  <c r="TF70" i="1"/>
  <c r="UY70" i="1" s="1"/>
  <c r="TG70" i="1"/>
  <c r="UZ70" i="1" s="1"/>
  <c r="TH70" i="1"/>
  <c r="VA70" i="1" s="1"/>
  <c r="TJ70" i="1"/>
  <c r="VC70" i="1" s="1"/>
  <c r="TF71" i="1"/>
  <c r="UY71" i="1" s="1"/>
  <c r="TG71" i="1"/>
  <c r="UZ71" i="1" s="1"/>
  <c r="TH71" i="1"/>
  <c r="VA71" i="1" s="1"/>
  <c r="TJ71" i="1"/>
  <c r="VC71" i="1" s="1"/>
  <c r="TF72" i="1"/>
  <c r="UY72" i="1" s="1"/>
  <c r="TG72" i="1"/>
  <c r="UZ72" i="1" s="1"/>
  <c r="TH72" i="1"/>
  <c r="VA72" i="1" s="1"/>
  <c r="TJ72" i="1"/>
  <c r="VC72" i="1" s="1"/>
  <c r="TF73" i="1"/>
  <c r="UY73" i="1" s="1"/>
  <c r="TG73" i="1"/>
  <c r="UZ73" i="1" s="1"/>
  <c r="TH73" i="1"/>
  <c r="VA73" i="1" s="1"/>
  <c r="TJ73" i="1"/>
  <c r="VC73" i="1" s="1"/>
  <c r="TF74" i="1"/>
  <c r="UY74" i="1" s="1"/>
  <c r="TG74" i="1"/>
  <c r="UZ74" i="1" s="1"/>
  <c r="TH74" i="1"/>
  <c r="VA74" i="1" s="1"/>
  <c r="TJ74" i="1"/>
  <c r="VC74" i="1" s="1"/>
  <c r="TF75" i="1"/>
  <c r="UY75" i="1" s="1"/>
  <c r="TG75" i="1"/>
  <c r="UZ75" i="1" s="1"/>
  <c r="TH75" i="1"/>
  <c r="VA75" i="1" s="1"/>
  <c r="TJ75" i="1"/>
  <c r="VC75" i="1" s="1"/>
  <c r="TF76" i="1"/>
  <c r="UY76" i="1" s="1"/>
  <c r="TG76" i="1"/>
  <c r="UZ76" i="1" s="1"/>
  <c r="TH76" i="1"/>
  <c r="VA76" i="1" s="1"/>
  <c r="TJ76" i="1"/>
  <c r="VC76" i="1" s="1"/>
  <c r="TF77" i="1"/>
  <c r="UY77" i="1" s="1"/>
  <c r="TG77" i="1"/>
  <c r="UZ77" i="1" s="1"/>
  <c r="TH77" i="1"/>
  <c r="VA77" i="1" s="1"/>
  <c r="TJ77" i="1"/>
  <c r="VC77" i="1" s="1"/>
  <c r="TF78" i="1"/>
  <c r="UY78" i="1" s="1"/>
  <c r="TG78" i="1"/>
  <c r="UZ78" i="1" s="1"/>
  <c r="TH78" i="1"/>
  <c r="VA78" i="1" s="1"/>
  <c r="TJ78" i="1"/>
  <c r="VC78" i="1" s="1"/>
  <c r="TF79" i="1"/>
  <c r="UY79" i="1" s="1"/>
  <c r="TG79" i="1"/>
  <c r="UZ79" i="1" s="1"/>
  <c r="TH79" i="1"/>
  <c r="VA79" i="1" s="1"/>
  <c r="TJ79" i="1"/>
  <c r="VC79" i="1" s="1"/>
  <c r="TF80" i="1"/>
  <c r="UY80" i="1" s="1"/>
  <c r="TG80" i="1"/>
  <c r="UZ80" i="1" s="1"/>
  <c r="TH80" i="1"/>
  <c r="VA80" i="1" s="1"/>
  <c r="TJ80" i="1"/>
  <c r="VC80" i="1" s="1"/>
  <c r="TF81" i="1"/>
  <c r="UY81" i="1" s="1"/>
  <c r="TG81" i="1"/>
  <c r="UZ81" i="1" s="1"/>
  <c r="TH81" i="1"/>
  <c r="VA81" i="1" s="1"/>
  <c r="TJ81" i="1"/>
  <c r="VC81" i="1" s="1"/>
  <c r="TF82" i="1"/>
  <c r="UY82" i="1" s="1"/>
  <c r="TG82" i="1"/>
  <c r="UZ82" i="1" s="1"/>
  <c r="TH82" i="1"/>
  <c r="VA82" i="1" s="1"/>
  <c r="TJ82" i="1"/>
  <c r="VC82" i="1" s="1"/>
  <c r="TF83" i="1"/>
  <c r="UY83" i="1" s="1"/>
  <c r="TG83" i="1"/>
  <c r="UZ83" i="1" s="1"/>
  <c r="TH83" i="1"/>
  <c r="VA83" i="1" s="1"/>
  <c r="TJ83" i="1"/>
  <c r="VC83" i="1" s="1"/>
  <c r="TF84" i="1"/>
  <c r="UY84" i="1" s="1"/>
  <c r="TG84" i="1"/>
  <c r="UZ84" i="1" s="1"/>
  <c r="TH84" i="1"/>
  <c r="VA84" i="1" s="1"/>
  <c r="TJ84" i="1"/>
  <c r="VC84" i="1" s="1"/>
  <c r="TF85" i="1"/>
  <c r="UY85" i="1" s="1"/>
  <c r="TG85" i="1"/>
  <c r="UZ85" i="1" s="1"/>
  <c r="TH85" i="1"/>
  <c r="VA85" i="1" s="1"/>
  <c r="TJ85" i="1"/>
  <c r="VC85" i="1" s="1"/>
  <c r="TF86" i="1"/>
  <c r="UY86" i="1" s="1"/>
  <c r="TG86" i="1"/>
  <c r="UZ86" i="1" s="1"/>
  <c r="TH86" i="1"/>
  <c r="VA86" i="1" s="1"/>
  <c r="TJ86" i="1"/>
  <c r="VC86" i="1" s="1"/>
  <c r="TF87" i="1"/>
  <c r="UY87" i="1" s="1"/>
  <c r="TG87" i="1"/>
  <c r="UZ87" i="1" s="1"/>
  <c r="TH87" i="1"/>
  <c r="VA87" i="1" s="1"/>
  <c r="TJ87" i="1"/>
  <c r="VC87" i="1" s="1"/>
  <c r="TF88" i="1"/>
  <c r="UY88" i="1" s="1"/>
  <c r="TG88" i="1"/>
  <c r="UZ88" i="1" s="1"/>
  <c r="TH88" i="1"/>
  <c r="VA88" i="1" s="1"/>
  <c r="TJ88" i="1"/>
  <c r="VC88" i="1" s="1"/>
  <c r="TF89" i="1"/>
  <c r="UY89" i="1" s="1"/>
  <c r="TG89" i="1"/>
  <c r="UZ89" i="1" s="1"/>
  <c r="TH89" i="1"/>
  <c r="VA89" i="1" s="1"/>
  <c r="TJ89" i="1"/>
  <c r="VC89" i="1" s="1"/>
  <c r="TF90" i="1"/>
  <c r="UY90" i="1" s="1"/>
  <c r="TG90" i="1"/>
  <c r="UZ90" i="1" s="1"/>
  <c r="TH90" i="1"/>
  <c r="VA90" i="1" s="1"/>
  <c r="TJ90" i="1"/>
  <c r="VC90" i="1" s="1"/>
  <c r="TF91" i="1"/>
  <c r="UY91" i="1" s="1"/>
  <c r="TG91" i="1"/>
  <c r="UZ91" i="1" s="1"/>
  <c r="TH91" i="1"/>
  <c r="VA91" i="1" s="1"/>
  <c r="TJ91" i="1"/>
  <c r="VC91" i="1" s="1"/>
  <c r="TF92" i="1"/>
  <c r="UY92" i="1" s="1"/>
  <c r="TG92" i="1"/>
  <c r="UZ92" i="1" s="1"/>
  <c r="TH92" i="1"/>
  <c r="VA92" i="1" s="1"/>
  <c r="TJ92" i="1"/>
  <c r="VC92" i="1" s="1"/>
  <c r="TF93" i="1"/>
  <c r="UY93" i="1" s="1"/>
  <c r="TG93" i="1"/>
  <c r="UZ93" i="1" s="1"/>
  <c r="TH93" i="1"/>
  <c r="VA93" i="1" s="1"/>
  <c r="TJ93" i="1"/>
  <c r="VC93" i="1" s="1"/>
  <c r="TF94" i="1"/>
  <c r="UY94" i="1" s="1"/>
  <c r="TG94" i="1"/>
  <c r="UZ94" i="1" s="1"/>
  <c r="TH94" i="1"/>
  <c r="VA94" i="1" s="1"/>
  <c r="TJ94" i="1"/>
  <c r="VC94" i="1" s="1"/>
  <c r="TF95" i="1"/>
  <c r="UY95" i="1" s="1"/>
  <c r="TG95" i="1"/>
  <c r="UZ95" i="1" s="1"/>
  <c r="TH95" i="1"/>
  <c r="VA95" i="1" s="1"/>
  <c r="TJ95" i="1"/>
  <c r="VC95" i="1" s="1"/>
  <c r="TF96" i="1"/>
  <c r="UY96" i="1" s="1"/>
  <c r="TG96" i="1"/>
  <c r="UZ96" i="1" s="1"/>
  <c r="TH96" i="1"/>
  <c r="VA96" i="1" s="1"/>
  <c r="TJ96" i="1"/>
  <c r="VC96" i="1" s="1"/>
  <c r="TF97" i="1"/>
  <c r="UY97" i="1" s="1"/>
  <c r="TG97" i="1"/>
  <c r="UZ97" i="1" s="1"/>
  <c r="TH97" i="1"/>
  <c r="VA97" i="1" s="1"/>
  <c r="TJ97" i="1"/>
  <c r="VC97" i="1" s="1"/>
  <c r="TF98" i="1"/>
  <c r="UY98" i="1" s="1"/>
  <c r="TG98" i="1"/>
  <c r="UZ98" i="1" s="1"/>
  <c r="TH98" i="1"/>
  <c r="VA98" i="1" s="1"/>
  <c r="TJ98" i="1"/>
  <c r="VC98" i="1" s="1"/>
  <c r="TF99" i="1"/>
  <c r="UY99" i="1" s="1"/>
  <c r="TG99" i="1"/>
  <c r="UZ99" i="1" s="1"/>
  <c r="TH99" i="1"/>
  <c r="VA99" i="1" s="1"/>
  <c r="TJ99" i="1"/>
  <c r="VC99" i="1" s="1"/>
  <c r="TF100" i="1"/>
  <c r="UY100" i="1" s="1"/>
  <c r="TG100" i="1"/>
  <c r="UZ100" i="1" s="1"/>
  <c r="TH100" i="1"/>
  <c r="VA100" i="1" s="1"/>
  <c r="TJ100" i="1"/>
  <c r="VC100" i="1" s="1"/>
  <c r="TF101" i="1"/>
  <c r="UY101" i="1" s="1"/>
  <c r="TG101" i="1"/>
  <c r="UZ101" i="1" s="1"/>
  <c r="TH101" i="1"/>
  <c r="VA101" i="1" s="1"/>
  <c r="TJ101" i="1"/>
  <c r="VC101" i="1" s="1"/>
  <c r="TF102" i="1"/>
  <c r="UY102" i="1" s="1"/>
  <c r="TG102" i="1"/>
  <c r="UZ102" i="1" s="1"/>
  <c r="TH102" i="1"/>
  <c r="VA102" i="1" s="1"/>
  <c r="TJ102" i="1"/>
  <c r="VC102" i="1" s="1"/>
  <c r="TF103" i="1"/>
  <c r="UY103" i="1" s="1"/>
  <c r="TG103" i="1"/>
  <c r="UZ103" i="1" s="1"/>
  <c r="TH103" i="1"/>
  <c r="VA103" i="1" s="1"/>
  <c r="TJ103" i="1"/>
  <c r="VC103" i="1" s="1"/>
  <c r="TF104" i="1"/>
  <c r="UY104" i="1" s="1"/>
  <c r="TG104" i="1"/>
  <c r="UZ104" i="1" s="1"/>
  <c r="TH104" i="1"/>
  <c r="VA104" i="1" s="1"/>
  <c r="TJ104" i="1"/>
  <c r="VC104" i="1" s="1"/>
  <c r="TF105" i="1"/>
  <c r="UY105" i="1" s="1"/>
  <c r="TG105" i="1"/>
  <c r="UZ105" i="1" s="1"/>
  <c r="TH105" i="1"/>
  <c r="VA105" i="1" s="1"/>
  <c r="TJ105" i="1"/>
  <c r="VC105" i="1" s="1"/>
  <c r="TF106" i="1"/>
  <c r="UY106" i="1" s="1"/>
  <c r="TG106" i="1"/>
  <c r="UZ106" i="1" s="1"/>
  <c r="TH106" i="1"/>
  <c r="VA106" i="1" s="1"/>
  <c r="TJ106" i="1"/>
  <c r="VC106" i="1" s="1"/>
  <c r="TF107" i="1"/>
  <c r="UY107" i="1" s="1"/>
  <c r="TG107" i="1"/>
  <c r="UZ107" i="1" s="1"/>
  <c r="TH107" i="1"/>
  <c r="VA107" i="1" s="1"/>
  <c r="TJ107" i="1"/>
  <c r="VC107" i="1" s="1"/>
  <c r="TF108" i="1"/>
  <c r="UY108" i="1" s="1"/>
  <c r="TG108" i="1"/>
  <c r="UZ108" i="1" s="1"/>
  <c r="TH108" i="1"/>
  <c r="VA108" i="1" s="1"/>
  <c r="TJ108" i="1"/>
  <c r="VC108" i="1" s="1"/>
  <c r="TF109" i="1"/>
  <c r="UY109" i="1" s="1"/>
  <c r="TG109" i="1"/>
  <c r="UZ109" i="1" s="1"/>
  <c r="TH109" i="1"/>
  <c r="VA109" i="1" s="1"/>
  <c r="TJ109" i="1"/>
  <c r="VC109" i="1" s="1"/>
  <c r="TF110" i="1"/>
  <c r="UY110" i="1" s="1"/>
  <c r="TG110" i="1"/>
  <c r="UZ110" i="1" s="1"/>
  <c r="TH110" i="1"/>
  <c r="VA110" i="1" s="1"/>
  <c r="TJ110" i="1"/>
  <c r="VC110" i="1" s="1"/>
  <c r="TF111" i="1"/>
  <c r="UY111" i="1" s="1"/>
  <c r="TG111" i="1"/>
  <c r="UZ111" i="1" s="1"/>
  <c r="TH111" i="1"/>
  <c r="VA111" i="1" s="1"/>
  <c r="TJ111" i="1"/>
  <c r="VC111" i="1" s="1"/>
  <c r="TF112" i="1"/>
  <c r="UY112" i="1" s="1"/>
  <c r="TG112" i="1"/>
  <c r="UZ112" i="1" s="1"/>
  <c r="TH112" i="1"/>
  <c r="VA112" i="1" s="1"/>
  <c r="TJ112" i="1"/>
  <c r="VC112" i="1" s="1"/>
  <c r="TF113" i="1"/>
  <c r="UY113" i="1" s="1"/>
  <c r="TG113" i="1"/>
  <c r="UZ113" i="1" s="1"/>
  <c r="TH113" i="1"/>
  <c r="VA113" i="1" s="1"/>
  <c r="TJ113" i="1"/>
  <c r="VC113" i="1" s="1"/>
  <c r="TF114" i="1"/>
  <c r="UY114" i="1" s="1"/>
  <c r="TG114" i="1"/>
  <c r="UZ114" i="1" s="1"/>
  <c r="TH114" i="1"/>
  <c r="VA114" i="1" s="1"/>
  <c r="TJ114" i="1"/>
  <c r="VC114" i="1" s="1"/>
  <c r="TF115" i="1"/>
  <c r="UY115" i="1" s="1"/>
  <c r="TG115" i="1"/>
  <c r="UZ115" i="1" s="1"/>
  <c r="TH115" i="1"/>
  <c r="VA115" i="1" s="1"/>
  <c r="TJ115" i="1"/>
  <c r="VC115" i="1" s="1"/>
  <c r="TF116" i="1"/>
  <c r="UY116" i="1" s="1"/>
  <c r="TG116" i="1"/>
  <c r="UZ116" i="1" s="1"/>
  <c r="TH116" i="1"/>
  <c r="VA116" i="1" s="1"/>
  <c r="TJ116" i="1"/>
  <c r="VC116" i="1" s="1"/>
  <c r="TF117" i="1"/>
  <c r="UY117" i="1" s="1"/>
  <c r="TG117" i="1"/>
  <c r="UZ117" i="1" s="1"/>
  <c r="TH117" i="1"/>
  <c r="VA117" i="1" s="1"/>
  <c r="TJ117" i="1"/>
  <c r="VC117" i="1" s="1"/>
  <c r="TF118" i="1"/>
  <c r="UY118" i="1" s="1"/>
  <c r="TG118" i="1"/>
  <c r="UZ118" i="1" s="1"/>
  <c r="TH118" i="1"/>
  <c r="VA118" i="1" s="1"/>
  <c r="TJ118" i="1"/>
  <c r="VC118" i="1" s="1"/>
  <c r="TF119" i="1"/>
  <c r="UY119" i="1" s="1"/>
  <c r="TG119" i="1"/>
  <c r="UZ119" i="1" s="1"/>
  <c r="TH119" i="1"/>
  <c r="VA119" i="1" s="1"/>
  <c r="TJ119" i="1"/>
  <c r="VC119" i="1" s="1"/>
  <c r="TF120" i="1"/>
  <c r="UY120" i="1" s="1"/>
  <c r="TG120" i="1"/>
  <c r="UZ120" i="1" s="1"/>
  <c r="TH120" i="1"/>
  <c r="VA120" i="1" s="1"/>
  <c r="TJ120" i="1"/>
  <c r="VC120" i="1" s="1"/>
  <c r="TF121" i="1"/>
  <c r="UY121" i="1" s="1"/>
  <c r="TG121" i="1"/>
  <c r="UZ121" i="1" s="1"/>
  <c r="TH121" i="1"/>
  <c r="VA121" i="1" s="1"/>
  <c r="TJ121" i="1"/>
  <c r="VC121" i="1" s="1"/>
  <c r="TF122" i="1"/>
  <c r="UY122" i="1" s="1"/>
  <c r="TG122" i="1"/>
  <c r="UZ122" i="1" s="1"/>
  <c r="TH122" i="1"/>
  <c r="VA122" i="1" s="1"/>
  <c r="TJ122" i="1"/>
  <c r="VC122" i="1" s="1"/>
  <c r="TF123" i="1"/>
  <c r="UY123" i="1" s="1"/>
  <c r="TG123" i="1"/>
  <c r="UZ123" i="1" s="1"/>
  <c r="TH123" i="1"/>
  <c r="VA123" i="1" s="1"/>
  <c r="TJ123" i="1"/>
  <c r="VC123" i="1" s="1"/>
  <c r="TF124" i="1"/>
  <c r="UY124" i="1" s="1"/>
  <c r="TG124" i="1"/>
  <c r="UZ124" i="1" s="1"/>
  <c r="TH124" i="1"/>
  <c r="VA124" i="1" s="1"/>
  <c r="TJ124" i="1"/>
  <c r="VC124" i="1" s="1"/>
  <c r="TF125" i="1"/>
  <c r="UY125" i="1" s="1"/>
  <c r="TG125" i="1"/>
  <c r="UZ125" i="1" s="1"/>
  <c r="TH125" i="1"/>
  <c r="VA125" i="1" s="1"/>
  <c r="TJ125" i="1"/>
  <c r="VC125" i="1" s="1"/>
  <c r="TF126" i="1"/>
  <c r="UY126" i="1" s="1"/>
  <c r="TG126" i="1"/>
  <c r="UZ126" i="1" s="1"/>
  <c r="TH126" i="1"/>
  <c r="VA126" i="1" s="1"/>
  <c r="TJ126" i="1"/>
  <c r="VC126" i="1" s="1"/>
  <c r="TF127" i="1"/>
  <c r="UY127" i="1" s="1"/>
  <c r="TG127" i="1"/>
  <c r="UZ127" i="1" s="1"/>
  <c r="TH127" i="1"/>
  <c r="VA127" i="1" s="1"/>
  <c r="TJ127" i="1"/>
  <c r="VC127" i="1" s="1"/>
  <c r="TF128" i="1"/>
  <c r="UY128" i="1" s="1"/>
  <c r="TG128" i="1"/>
  <c r="UZ128" i="1" s="1"/>
  <c r="TH128" i="1"/>
  <c r="VA128" i="1" s="1"/>
  <c r="TJ128" i="1"/>
  <c r="VC128" i="1" s="1"/>
  <c r="TF129" i="1"/>
  <c r="UY129" i="1" s="1"/>
  <c r="TG129" i="1"/>
  <c r="UZ129" i="1" s="1"/>
  <c r="TH129" i="1"/>
  <c r="VA129" i="1" s="1"/>
  <c r="TJ129" i="1"/>
  <c r="VC129" i="1" s="1"/>
  <c r="TF130" i="1"/>
  <c r="UY130" i="1" s="1"/>
  <c r="TG130" i="1"/>
  <c r="UZ130" i="1" s="1"/>
  <c r="TH130" i="1"/>
  <c r="VA130" i="1" s="1"/>
  <c r="TJ130" i="1"/>
  <c r="VC130" i="1" s="1"/>
  <c r="TF131" i="1"/>
  <c r="UY131" i="1" s="1"/>
  <c r="TG131" i="1"/>
  <c r="UZ131" i="1" s="1"/>
  <c r="TH131" i="1"/>
  <c r="VA131" i="1" s="1"/>
  <c r="TJ131" i="1"/>
  <c r="VC131" i="1" s="1"/>
  <c r="TF132" i="1"/>
  <c r="UY132" i="1" s="1"/>
  <c r="TG132" i="1"/>
  <c r="UZ132" i="1" s="1"/>
  <c r="TH132" i="1"/>
  <c r="VA132" i="1" s="1"/>
  <c r="TJ132" i="1"/>
  <c r="VC132" i="1" s="1"/>
  <c r="TF133" i="1"/>
  <c r="UY133" i="1" s="1"/>
  <c r="TG133" i="1"/>
  <c r="UZ133" i="1" s="1"/>
  <c r="TH133" i="1"/>
  <c r="VA133" i="1" s="1"/>
  <c r="TJ133" i="1"/>
  <c r="VC133" i="1" s="1"/>
  <c r="TF134" i="1"/>
  <c r="UY134" i="1" s="1"/>
  <c r="TG134" i="1"/>
  <c r="UZ134" i="1" s="1"/>
  <c r="TH134" i="1"/>
  <c r="VA134" i="1" s="1"/>
  <c r="TJ134" i="1"/>
  <c r="VC134" i="1" s="1"/>
  <c r="TF135" i="1"/>
  <c r="UY135" i="1" s="1"/>
  <c r="TG135" i="1"/>
  <c r="UZ135" i="1" s="1"/>
  <c r="TH135" i="1"/>
  <c r="VA135" i="1" s="1"/>
  <c r="TJ135" i="1"/>
  <c r="VC135" i="1" s="1"/>
  <c r="TF136" i="1"/>
  <c r="UY136" i="1" s="1"/>
  <c r="TG136" i="1"/>
  <c r="UZ136" i="1" s="1"/>
  <c r="TH136" i="1"/>
  <c r="VA136" i="1" s="1"/>
  <c r="TJ136" i="1"/>
  <c r="VC136" i="1" s="1"/>
  <c r="TF137" i="1"/>
  <c r="UY137" i="1" s="1"/>
  <c r="TG137" i="1"/>
  <c r="UZ137" i="1" s="1"/>
  <c r="TH137" i="1"/>
  <c r="VA137" i="1" s="1"/>
  <c r="TJ137" i="1"/>
  <c r="VC137" i="1" s="1"/>
  <c r="TF138" i="1"/>
  <c r="UY138" i="1" s="1"/>
  <c r="TG138" i="1"/>
  <c r="UZ138" i="1" s="1"/>
  <c r="TH138" i="1"/>
  <c r="VA138" i="1" s="1"/>
  <c r="TJ138" i="1"/>
  <c r="VC138" i="1" s="1"/>
  <c r="TF139" i="1"/>
  <c r="UY139" i="1" s="1"/>
  <c r="TG139" i="1"/>
  <c r="UZ139" i="1" s="1"/>
  <c r="TH139" i="1"/>
  <c r="VA139" i="1" s="1"/>
  <c r="TJ139" i="1"/>
  <c r="VC139" i="1" s="1"/>
  <c r="TF140" i="1"/>
  <c r="UY140" i="1" s="1"/>
  <c r="TG140" i="1"/>
  <c r="UZ140" i="1" s="1"/>
  <c r="TH140" i="1"/>
  <c r="VA140" i="1" s="1"/>
  <c r="TJ140" i="1"/>
  <c r="VC140" i="1" s="1"/>
  <c r="TF141" i="1"/>
  <c r="UY141" i="1" s="1"/>
  <c r="TG141" i="1"/>
  <c r="UZ141" i="1" s="1"/>
  <c r="TH141" i="1"/>
  <c r="VA141" i="1" s="1"/>
  <c r="TJ141" i="1"/>
  <c r="VC141" i="1" s="1"/>
  <c r="TF142" i="1"/>
  <c r="UY142" i="1" s="1"/>
  <c r="TG142" i="1"/>
  <c r="UZ142" i="1" s="1"/>
  <c r="TH142" i="1"/>
  <c r="VA142" i="1" s="1"/>
  <c r="TJ142" i="1"/>
  <c r="VC142" i="1" s="1"/>
  <c r="TF143" i="1"/>
  <c r="UY143" i="1" s="1"/>
  <c r="TG143" i="1"/>
  <c r="UZ143" i="1" s="1"/>
  <c r="TH143" i="1"/>
  <c r="VA143" i="1" s="1"/>
  <c r="TJ143" i="1"/>
  <c r="VC143" i="1" s="1"/>
  <c r="TF144" i="1"/>
  <c r="UY144" i="1" s="1"/>
  <c r="TG144" i="1"/>
  <c r="UZ144" i="1" s="1"/>
  <c r="TH144" i="1"/>
  <c r="VA144" i="1" s="1"/>
  <c r="TJ144" i="1"/>
  <c r="VC144" i="1" s="1"/>
  <c r="TF145" i="1"/>
  <c r="UY145" i="1" s="1"/>
  <c r="TG145" i="1"/>
  <c r="UZ145" i="1" s="1"/>
  <c r="TH145" i="1"/>
  <c r="VA145" i="1" s="1"/>
  <c r="TJ145" i="1"/>
  <c r="VC145" i="1" s="1"/>
  <c r="TF146" i="1"/>
  <c r="UY146" i="1" s="1"/>
  <c r="TG146" i="1"/>
  <c r="UZ146" i="1" s="1"/>
  <c r="TH146" i="1"/>
  <c r="VA146" i="1" s="1"/>
  <c r="TJ146" i="1"/>
  <c r="VC146" i="1" s="1"/>
  <c r="TF147" i="1"/>
  <c r="UY147" i="1" s="1"/>
  <c r="TG147" i="1"/>
  <c r="UZ147" i="1" s="1"/>
  <c r="TH147" i="1"/>
  <c r="VA147" i="1" s="1"/>
  <c r="TJ147" i="1"/>
  <c r="VC147" i="1" s="1"/>
  <c r="TF148" i="1"/>
  <c r="UY148" i="1" s="1"/>
  <c r="TG148" i="1"/>
  <c r="UZ148" i="1" s="1"/>
  <c r="TH148" i="1"/>
  <c r="VA148" i="1" s="1"/>
  <c r="TJ148" i="1"/>
  <c r="VC148" i="1" s="1"/>
  <c r="TF149" i="1"/>
  <c r="UY149" i="1" s="1"/>
  <c r="TG149" i="1"/>
  <c r="UZ149" i="1" s="1"/>
  <c r="TH149" i="1"/>
  <c r="VA149" i="1" s="1"/>
  <c r="TJ149" i="1"/>
  <c r="VC149" i="1" s="1"/>
  <c r="TF150" i="1"/>
  <c r="UY150" i="1" s="1"/>
  <c r="TG150" i="1"/>
  <c r="UZ150" i="1" s="1"/>
  <c r="TH150" i="1"/>
  <c r="VA150" i="1" s="1"/>
  <c r="TJ150" i="1"/>
  <c r="VC150" i="1" s="1"/>
  <c r="TF151" i="1"/>
  <c r="UY151" i="1" s="1"/>
  <c r="TG151" i="1"/>
  <c r="UZ151" i="1" s="1"/>
  <c r="TH151" i="1"/>
  <c r="VA151" i="1" s="1"/>
  <c r="TJ151" i="1"/>
  <c r="VC151" i="1" s="1"/>
  <c r="TF152" i="1"/>
  <c r="UY152" i="1" s="1"/>
  <c r="TG152" i="1"/>
  <c r="UZ152" i="1" s="1"/>
  <c r="TH152" i="1"/>
  <c r="VA152" i="1" s="1"/>
  <c r="TJ152" i="1"/>
  <c r="VC152" i="1" s="1"/>
  <c r="TF153" i="1"/>
  <c r="UY153" i="1" s="1"/>
  <c r="TG153" i="1"/>
  <c r="UZ153" i="1" s="1"/>
  <c r="TH153" i="1"/>
  <c r="VA153" i="1" s="1"/>
  <c r="TJ153" i="1"/>
  <c r="VC153" i="1" s="1"/>
  <c r="TF154" i="1"/>
  <c r="UY154" i="1" s="1"/>
  <c r="TG154" i="1"/>
  <c r="UZ154" i="1" s="1"/>
  <c r="TH154" i="1"/>
  <c r="VA154" i="1" s="1"/>
  <c r="TJ154" i="1"/>
  <c r="VC154" i="1" s="1"/>
  <c r="TF155" i="1"/>
  <c r="UY155" i="1" s="1"/>
  <c r="TG155" i="1"/>
  <c r="UZ155" i="1" s="1"/>
  <c r="TH155" i="1"/>
  <c r="VA155" i="1" s="1"/>
  <c r="TJ155" i="1"/>
  <c r="VC155" i="1" s="1"/>
  <c r="TF156" i="1"/>
  <c r="UY156" i="1" s="1"/>
  <c r="TG156" i="1"/>
  <c r="UZ156" i="1" s="1"/>
  <c r="TH156" i="1"/>
  <c r="VA156" i="1" s="1"/>
  <c r="TJ156" i="1"/>
  <c r="VC156" i="1" s="1"/>
  <c r="TF157" i="1"/>
  <c r="UY157" i="1" s="1"/>
  <c r="TG157" i="1"/>
  <c r="UZ157" i="1" s="1"/>
  <c r="TH157" i="1"/>
  <c r="VA157" i="1" s="1"/>
  <c r="TJ157" i="1"/>
  <c r="VC157" i="1" s="1"/>
  <c r="TF158" i="1"/>
  <c r="UY158" i="1" s="1"/>
  <c r="TG158" i="1"/>
  <c r="UZ158" i="1" s="1"/>
  <c r="TH158" i="1"/>
  <c r="VA158" i="1" s="1"/>
  <c r="TJ158" i="1"/>
  <c r="VC158" i="1" s="1"/>
  <c r="TF159" i="1"/>
  <c r="UY159" i="1" s="1"/>
  <c r="TG159" i="1"/>
  <c r="UZ159" i="1" s="1"/>
  <c r="TH159" i="1"/>
  <c r="VA159" i="1" s="1"/>
  <c r="TJ159" i="1"/>
  <c r="VC159" i="1" s="1"/>
  <c r="TF160" i="1"/>
  <c r="UY160" i="1" s="1"/>
  <c r="TG160" i="1"/>
  <c r="UZ160" i="1" s="1"/>
  <c r="TH160" i="1"/>
  <c r="VA160" i="1" s="1"/>
  <c r="TJ160" i="1"/>
  <c r="VC160" i="1" s="1"/>
  <c r="TF161" i="1"/>
  <c r="UY161" i="1" s="1"/>
  <c r="TG161" i="1"/>
  <c r="UZ161" i="1" s="1"/>
  <c r="TH161" i="1"/>
  <c r="VA161" i="1" s="1"/>
  <c r="TJ161" i="1"/>
  <c r="VC161" i="1" s="1"/>
  <c r="TF162" i="1"/>
  <c r="UY162" i="1" s="1"/>
  <c r="TG162" i="1"/>
  <c r="UZ162" i="1" s="1"/>
  <c r="TH162" i="1"/>
  <c r="VA162" i="1" s="1"/>
  <c r="TJ162" i="1"/>
  <c r="VC162" i="1" s="1"/>
  <c r="TF163" i="1"/>
  <c r="UY163" i="1" s="1"/>
  <c r="TG163" i="1"/>
  <c r="UZ163" i="1" s="1"/>
  <c r="TH163" i="1"/>
  <c r="VA163" i="1" s="1"/>
  <c r="TJ163" i="1"/>
  <c r="VC163" i="1" s="1"/>
  <c r="UJ7" i="7"/>
  <c r="UH7" i="7"/>
  <c r="UH5" i="7"/>
  <c r="UG5" i="7"/>
  <c r="UF5" i="7"/>
  <c r="TY5" i="7"/>
  <c r="TX5" i="7"/>
  <c r="TW5" i="7"/>
  <c r="TT5" i="7"/>
  <c r="TS5" i="7"/>
  <c r="TR5" i="7"/>
  <c r="TM5" i="7"/>
  <c r="TL5" i="7"/>
  <c r="TJ5" i="7"/>
  <c r="SY5" i="7"/>
  <c r="SZ5" i="7"/>
  <c r="TA5" i="7"/>
  <c r="TB5" i="7"/>
  <c r="TC5" i="7"/>
  <c r="TD5" i="7"/>
  <c r="TE5" i="7"/>
  <c r="TF5" i="7"/>
  <c r="TG5" i="7"/>
  <c r="TH5" i="7"/>
  <c r="TE10" i="1"/>
  <c r="TE11" i="1"/>
  <c r="TE12" i="1"/>
  <c r="TE13" i="1"/>
  <c r="TE14" i="1"/>
  <c r="TE15" i="1"/>
  <c r="U15" i="3"/>
  <c r="TE16" i="1"/>
  <c r="TE17" i="1"/>
  <c r="TE18" i="1"/>
  <c r="TE19" i="1"/>
  <c r="TE20" i="1"/>
  <c r="TE21" i="1"/>
  <c r="TE22" i="1"/>
  <c r="TE23" i="1"/>
  <c r="TE24" i="1"/>
  <c r="TE25" i="1"/>
  <c r="TE26" i="1"/>
  <c r="TE27" i="1"/>
  <c r="TE28" i="1"/>
  <c r="TE29" i="1"/>
  <c r="TE30" i="1"/>
  <c r="TE31" i="1"/>
  <c r="TE32" i="1"/>
  <c r="TE33" i="1"/>
  <c r="TE34" i="1"/>
  <c r="TE35" i="1"/>
  <c r="TE36" i="1"/>
  <c r="TE37" i="1"/>
  <c r="TE38" i="1"/>
  <c r="TE39" i="1"/>
  <c r="TE40" i="1"/>
  <c r="TE41" i="1"/>
  <c r="TE42" i="1"/>
  <c r="TE43" i="1"/>
  <c r="TE44" i="1"/>
  <c r="TE45" i="1"/>
  <c r="TE46" i="1"/>
  <c r="TE47" i="1"/>
  <c r="TE48" i="1"/>
  <c r="TE49" i="1"/>
  <c r="TE50" i="1"/>
  <c r="TE51" i="1"/>
  <c r="TE52" i="1"/>
  <c r="TE53" i="1"/>
  <c r="TE54" i="1"/>
  <c r="TE55" i="1"/>
  <c r="TE56" i="1"/>
  <c r="TE57" i="1"/>
  <c r="TE58" i="1"/>
  <c r="TE59" i="1"/>
  <c r="TE60" i="1"/>
  <c r="TE61" i="1"/>
  <c r="TE62" i="1"/>
  <c r="TE63" i="1"/>
  <c r="TE64" i="1"/>
  <c r="TE65" i="1"/>
  <c r="TE66" i="1"/>
  <c r="TE67" i="1"/>
  <c r="TE68" i="1"/>
  <c r="TE69" i="1"/>
  <c r="TE70" i="1"/>
  <c r="TE71" i="1"/>
  <c r="TE72" i="1"/>
  <c r="TE73" i="1"/>
  <c r="TE74" i="1"/>
  <c r="TE75" i="1"/>
  <c r="TE76" i="1"/>
  <c r="TE77" i="1"/>
  <c r="TE78" i="1"/>
  <c r="TE79" i="1"/>
  <c r="TE80" i="1"/>
  <c r="TE81" i="1"/>
  <c r="TE82" i="1"/>
  <c r="TE83" i="1"/>
  <c r="TE84" i="1"/>
  <c r="TE85" i="1"/>
  <c r="TE86" i="1"/>
  <c r="TE87" i="1"/>
  <c r="TE88" i="1"/>
  <c r="TE89" i="1"/>
  <c r="TE90" i="1"/>
  <c r="TE91" i="1"/>
  <c r="TE92" i="1"/>
  <c r="TE93" i="1"/>
  <c r="TE94" i="1"/>
  <c r="TE95" i="1"/>
  <c r="TE96" i="1"/>
  <c r="TE97" i="1"/>
  <c r="TE98" i="1"/>
  <c r="TE99" i="1"/>
  <c r="TE100" i="1"/>
  <c r="TE101" i="1"/>
  <c r="TE102" i="1"/>
  <c r="TE103" i="1"/>
  <c r="TE104" i="1"/>
  <c r="TE105" i="1"/>
  <c r="TE106" i="1"/>
  <c r="TE107" i="1"/>
  <c r="TE108" i="1"/>
  <c r="TE109" i="1"/>
  <c r="TE110" i="1"/>
  <c r="TE111" i="1"/>
  <c r="TE112" i="1"/>
  <c r="TE113" i="1"/>
  <c r="TE114" i="1"/>
  <c r="TE115" i="1"/>
  <c r="TE116" i="1"/>
  <c r="TE117" i="1"/>
  <c r="TE118" i="1"/>
  <c r="TE119" i="1"/>
  <c r="TE120" i="1"/>
  <c r="TE121" i="1"/>
  <c r="TE122" i="1"/>
  <c r="TE123" i="1"/>
  <c r="TE124" i="1"/>
  <c r="TE125" i="1"/>
  <c r="TE126" i="1"/>
  <c r="TE127" i="1"/>
  <c r="TE128" i="1"/>
  <c r="TE129" i="1"/>
  <c r="TE130" i="1"/>
  <c r="TE131" i="1"/>
  <c r="TE132" i="1"/>
  <c r="TE133" i="1"/>
  <c r="TE134" i="1"/>
  <c r="TE135" i="1"/>
  <c r="TE136" i="1"/>
  <c r="TE137" i="1"/>
  <c r="TE138" i="1"/>
  <c r="TE139" i="1"/>
  <c r="TE140" i="1"/>
  <c r="TE141" i="1"/>
  <c r="TE142" i="1"/>
  <c r="TE143" i="1"/>
  <c r="TE144" i="1"/>
  <c r="TE145" i="1"/>
  <c r="TE146" i="1"/>
  <c r="TE147" i="1"/>
  <c r="TE148" i="1"/>
  <c r="TE149" i="1"/>
  <c r="TE150" i="1"/>
  <c r="TE151" i="1"/>
  <c r="TE152" i="1"/>
  <c r="TE153" i="1"/>
  <c r="TE154" i="1"/>
  <c r="TE155" i="1"/>
  <c r="TE156" i="1"/>
  <c r="TE157" i="1"/>
  <c r="TE158" i="1"/>
  <c r="TE159" i="1"/>
  <c r="TE160" i="1"/>
  <c r="TE161" i="1"/>
  <c r="TE162" i="1"/>
  <c r="TE163" i="1"/>
  <c r="TK10" i="1"/>
  <c r="TK11" i="1"/>
  <c r="TK12" i="1"/>
  <c r="TK13" i="1"/>
  <c r="TK14" i="1"/>
  <c r="TK15" i="1"/>
  <c r="TK16" i="1"/>
  <c r="TK17" i="1"/>
  <c r="TK18" i="1"/>
  <c r="TK19" i="1"/>
  <c r="TK20" i="1"/>
  <c r="TK21" i="1"/>
  <c r="TK22" i="1"/>
  <c r="TK23" i="1"/>
  <c r="TK24" i="1"/>
  <c r="TK25" i="1"/>
  <c r="TK26" i="1"/>
  <c r="TK27" i="1"/>
  <c r="TK28" i="1"/>
  <c r="TK29" i="1"/>
  <c r="TK30" i="1"/>
  <c r="TK31" i="1"/>
  <c r="TK32" i="1"/>
  <c r="TK33" i="1"/>
  <c r="TK34" i="1"/>
  <c r="TK35" i="1"/>
  <c r="TK36" i="1"/>
  <c r="TK37" i="1"/>
  <c r="TK38" i="1"/>
  <c r="TK39" i="1"/>
  <c r="TK40" i="1"/>
  <c r="TK41" i="1"/>
  <c r="TK42" i="1"/>
  <c r="TK43" i="1"/>
  <c r="TK44" i="1"/>
  <c r="TK45" i="1"/>
  <c r="TK46" i="1"/>
  <c r="TK47" i="1"/>
  <c r="TK48" i="1"/>
  <c r="TK49" i="1"/>
  <c r="TK50" i="1"/>
  <c r="TK51" i="1"/>
  <c r="TK52" i="1"/>
  <c r="TK53" i="1"/>
  <c r="TK54" i="1"/>
  <c r="TK55" i="1"/>
  <c r="TK56" i="1"/>
  <c r="TK57" i="1"/>
  <c r="TK58" i="1"/>
  <c r="TK59" i="1"/>
  <c r="TK60" i="1"/>
  <c r="TK61" i="1"/>
  <c r="TK62" i="1"/>
  <c r="TK63" i="1"/>
  <c r="TK64" i="1"/>
  <c r="TK65" i="1"/>
  <c r="TK66" i="1"/>
  <c r="TK67" i="1"/>
  <c r="TK68" i="1"/>
  <c r="TK69" i="1"/>
  <c r="TK70" i="1"/>
  <c r="TK71" i="1"/>
  <c r="TK72" i="1"/>
  <c r="TK73" i="1"/>
  <c r="TK74" i="1"/>
  <c r="TK75" i="1"/>
  <c r="TK76" i="1"/>
  <c r="TK77" i="1"/>
  <c r="TK78" i="1"/>
  <c r="TK79" i="1"/>
  <c r="TK80" i="1"/>
  <c r="TK81" i="1"/>
  <c r="TK82" i="1"/>
  <c r="TK83" i="1"/>
  <c r="TK84" i="1"/>
  <c r="TK85" i="1"/>
  <c r="TK86" i="1"/>
  <c r="TK87" i="1"/>
  <c r="TK88" i="1"/>
  <c r="TK89" i="1"/>
  <c r="TK90" i="1"/>
  <c r="TK91" i="1"/>
  <c r="TK92" i="1"/>
  <c r="TK93" i="1"/>
  <c r="TK94" i="1"/>
  <c r="TK95" i="1"/>
  <c r="TK96" i="1"/>
  <c r="TK97" i="1"/>
  <c r="TK98" i="1"/>
  <c r="TK99" i="1"/>
  <c r="TK100" i="1"/>
  <c r="TK101" i="1"/>
  <c r="TK102" i="1"/>
  <c r="TK103" i="1"/>
  <c r="TK104" i="1"/>
  <c r="TK105" i="1"/>
  <c r="TK106" i="1"/>
  <c r="TK107" i="1"/>
  <c r="TK108" i="1"/>
  <c r="TK109" i="1"/>
  <c r="TK110" i="1"/>
  <c r="TK111" i="1"/>
  <c r="TK112" i="1"/>
  <c r="TK113" i="1"/>
  <c r="TK114" i="1"/>
  <c r="TK115" i="1"/>
  <c r="TK116" i="1"/>
  <c r="TK117" i="1"/>
  <c r="TK118" i="1"/>
  <c r="TK119" i="1"/>
  <c r="TK120" i="1"/>
  <c r="TK121" i="1"/>
  <c r="TK122" i="1"/>
  <c r="TK123" i="1"/>
  <c r="TK124" i="1"/>
  <c r="TK125" i="1"/>
  <c r="TK126" i="1"/>
  <c r="TK127" i="1"/>
  <c r="TK128" i="1"/>
  <c r="TK129" i="1"/>
  <c r="TK130" i="1"/>
  <c r="TK131" i="1"/>
  <c r="TK132" i="1"/>
  <c r="TK133" i="1"/>
  <c r="TK134" i="1"/>
  <c r="TK135" i="1"/>
  <c r="TK136" i="1"/>
  <c r="TK137" i="1"/>
  <c r="TK138" i="1"/>
  <c r="TK139" i="1"/>
  <c r="TK140" i="1"/>
  <c r="TK141" i="1"/>
  <c r="TK142" i="1"/>
  <c r="TK143" i="1"/>
  <c r="TK144" i="1"/>
  <c r="TK145" i="1"/>
  <c r="TK146" i="1"/>
  <c r="TK147" i="1"/>
  <c r="TK148" i="1"/>
  <c r="TK149" i="1"/>
  <c r="TK150" i="1"/>
  <c r="TK151" i="1"/>
  <c r="TK152" i="1"/>
  <c r="TK153" i="1"/>
  <c r="TK154" i="1"/>
  <c r="TK155" i="1"/>
  <c r="TK156" i="1"/>
  <c r="TK157" i="1"/>
  <c r="TK158" i="1"/>
  <c r="TK159" i="1"/>
  <c r="TK160" i="1"/>
  <c r="TK161" i="1"/>
  <c r="TK162" i="1"/>
  <c r="TK163" i="1"/>
  <c r="SX5" i="7"/>
  <c r="SV5" i="7"/>
  <c r="ST5" i="7"/>
  <c r="SR5" i="7"/>
  <c r="SQ5" i="7"/>
  <c r="SS5" i="7"/>
  <c r="SK5" i="7"/>
  <c r="SL5" i="7"/>
  <c r="SM5" i="7"/>
  <c r="RW5" i="7"/>
  <c r="RX5" i="7"/>
  <c r="RY5" i="7"/>
  <c r="RV5" i="7"/>
  <c r="RH5" i="7"/>
  <c r="RI5" i="7"/>
  <c r="RJ5" i="7"/>
  <c r="RK5" i="7"/>
  <c r="RL5" i="7"/>
  <c r="RM5" i="7"/>
  <c r="RN5" i="7"/>
  <c r="RO5" i="7"/>
  <c r="RP5" i="7"/>
  <c r="RQ5" i="7"/>
  <c r="RR5" i="7"/>
  <c r="RG5" i="7"/>
  <c r="SQ175" i="7"/>
  <c r="SQ176" i="7"/>
  <c r="SQ177" i="7"/>
  <c r="RV175" i="7"/>
  <c r="RW175" i="7"/>
  <c r="RX175" i="7"/>
  <c r="RY175" i="7"/>
  <c r="SC175" i="7"/>
  <c r="SD175" i="7"/>
  <c r="RV179" i="7"/>
  <c r="RV176" i="7"/>
  <c r="RV177" i="7"/>
  <c r="RW176" i="7"/>
  <c r="RX176" i="7"/>
  <c r="RY176" i="7"/>
  <c r="HC164" i="7"/>
  <c r="HC164" i="1"/>
  <c r="C165" i="1"/>
  <c r="Y7" i="3"/>
  <c r="X7" i="3"/>
  <c r="AB7" i="3"/>
  <c r="U8" i="3"/>
  <c r="V8" i="3"/>
  <c r="W8" i="3"/>
  <c r="X8" i="3"/>
  <c r="Y8" i="3"/>
  <c r="Z8" i="3"/>
  <c r="AA8" i="3"/>
  <c r="AB8" i="3"/>
  <c r="AC8" i="3"/>
  <c r="U9" i="3"/>
  <c r="V9" i="3"/>
  <c r="W9" i="3"/>
  <c r="X9" i="3"/>
  <c r="Y9" i="3"/>
  <c r="Z9" i="3"/>
  <c r="AA9" i="3"/>
  <c r="AB9" i="3"/>
  <c r="AC9" i="3"/>
  <c r="U10" i="3"/>
  <c r="V10" i="3"/>
  <c r="W10" i="3"/>
  <c r="X10" i="3"/>
  <c r="Y10" i="3"/>
  <c r="Z10" i="3"/>
  <c r="AA10" i="3"/>
  <c r="AB10" i="3"/>
  <c r="AC10" i="3"/>
  <c r="U11" i="3"/>
  <c r="V11" i="3"/>
  <c r="W11" i="3"/>
  <c r="X11" i="3"/>
  <c r="Y11" i="3"/>
  <c r="Z11" i="3"/>
  <c r="AA11" i="3"/>
  <c r="AB11" i="3"/>
  <c r="AC11" i="3"/>
  <c r="U12" i="3"/>
  <c r="V12" i="3"/>
  <c r="W12" i="3"/>
  <c r="X12" i="3"/>
  <c r="Y12" i="3"/>
  <c r="Z12" i="3"/>
  <c r="AA12" i="3"/>
  <c r="AB12" i="3"/>
  <c r="AC12" i="3"/>
  <c r="U13" i="3"/>
  <c r="V13" i="3"/>
  <c r="W13" i="3"/>
  <c r="X13" i="3"/>
  <c r="Y13" i="3"/>
  <c r="Z13" i="3"/>
  <c r="AA13" i="3"/>
  <c r="AB13" i="3"/>
  <c r="AC13" i="3"/>
  <c r="U14" i="3"/>
  <c r="V14" i="3"/>
  <c r="W14" i="3"/>
  <c r="X14" i="3"/>
  <c r="Y14" i="3"/>
  <c r="Z14" i="3"/>
  <c r="AA14" i="3"/>
  <c r="AB14" i="3"/>
  <c r="AC14" i="3"/>
  <c r="W15" i="3"/>
  <c r="X15" i="3"/>
  <c r="Y15" i="3"/>
  <c r="Z15" i="3"/>
  <c r="AA15" i="3"/>
  <c r="AB15" i="3"/>
  <c r="AC15" i="3"/>
  <c r="AC7" i="3"/>
  <c r="W7" i="3"/>
  <c r="Z7" i="3"/>
  <c r="AA7" i="3"/>
  <c r="V7" i="3"/>
  <c r="U7" i="3"/>
  <c r="H15" i="3"/>
  <c r="I15" i="3"/>
  <c r="J15" i="3"/>
  <c r="K15" i="3"/>
  <c r="L15" i="3"/>
  <c r="M15" i="3"/>
  <c r="N15" i="3"/>
  <c r="O15" i="3"/>
  <c r="P15" i="3"/>
  <c r="Q15" i="3"/>
  <c r="R15" i="3"/>
  <c r="S15" i="3"/>
  <c r="G15" i="3"/>
  <c r="U155" i="3"/>
  <c r="U16" i="3"/>
  <c r="V16" i="3"/>
  <c r="W16" i="3"/>
  <c r="X16" i="3"/>
  <c r="Y16" i="3"/>
  <c r="Z16" i="3"/>
  <c r="AA16" i="3"/>
  <c r="U17" i="3"/>
  <c r="V17" i="3"/>
  <c r="W17" i="3"/>
  <c r="X17" i="3"/>
  <c r="Y17" i="3"/>
  <c r="Z17" i="3"/>
  <c r="AA17" i="3"/>
  <c r="U18" i="3"/>
  <c r="V18" i="3"/>
  <c r="W18" i="3"/>
  <c r="X18" i="3"/>
  <c r="Y18" i="3"/>
  <c r="Z18" i="3"/>
  <c r="AA18" i="3"/>
  <c r="U19" i="3"/>
  <c r="V19" i="3"/>
  <c r="W19" i="3"/>
  <c r="X19" i="3"/>
  <c r="Y19" i="3"/>
  <c r="Z19" i="3"/>
  <c r="AA19" i="3"/>
  <c r="U20" i="3"/>
  <c r="V20" i="3"/>
  <c r="W20" i="3"/>
  <c r="X20" i="3"/>
  <c r="Y20" i="3"/>
  <c r="Z20" i="3"/>
  <c r="AA20" i="3"/>
  <c r="U21" i="3"/>
  <c r="V21" i="3"/>
  <c r="W21" i="3"/>
  <c r="X21" i="3"/>
  <c r="Y21" i="3"/>
  <c r="Z21" i="3"/>
  <c r="AA21" i="3"/>
  <c r="U22" i="3"/>
  <c r="V22" i="3"/>
  <c r="W22" i="3"/>
  <c r="X22" i="3"/>
  <c r="Y22" i="3"/>
  <c r="Z22" i="3"/>
  <c r="AA22" i="3"/>
  <c r="U23" i="3"/>
  <c r="V23" i="3"/>
  <c r="W23" i="3"/>
  <c r="X23" i="3"/>
  <c r="Y23" i="3"/>
  <c r="Z23" i="3"/>
  <c r="AA23" i="3"/>
  <c r="U24" i="3"/>
  <c r="V24" i="3"/>
  <c r="W24" i="3"/>
  <c r="X24" i="3"/>
  <c r="Y24" i="3"/>
  <c r="Z24" i="3"/>
  <c r="AA24" i="3"/>
  <c r="U25" i="3"/>
  <c r="V25" i="3"/>
  <c r="W25" i="3"/>
  <c r="X25" i="3"/>
  <c r="Y25" i="3"/>
  <c r="Z25" i="3"/>
  <c r="AA25" i="3"/>
  <c r="U26" i="3"/>
  <c r="V26" i="3"/>
  <c r="W26" i="3"/>
  <c r="X26" i="3"/>
  <c r="Y26" i="3"/>
  <c r="Z26" i="3"/>
  <c r="AA26" i="3"/>
  <c r="U27" i="3"/>
  <c r="V27" i="3"/>
  <c r="W27" i="3"/>
  <c r="X27" i="3"/>
  <c r="Y27" i="3"/>
  <c r="Z27" i="3"/>
  <c r="AA27" i="3"/>
  <c r="U28" i="3"/>
  <c r="V28" i="3"/>
  <c r="W28" i="3"/>
  <c r="X28" i="3"/>
  <c r="Y28" i="3"/>
  <c r="Z28" i="3"/>
  <c r="AA28" i="3"/>
  <c r="U29" i="3"/>
  <c r="V29" i="3"/>
  <c r="W29" i="3"/>
  <c r="X29" i="3"/>
  <c r="Y29" i="3"/>
  <c r="Z29" i="3"/>
  <c r="AA29" i="3"/>
  <c r="U30" i="3"/>
  <c r="V30" i="3"/>
  <c r="W30" i="3"/>
  <c r="X30" i="3"/>
  <c r="Y30" i="3"/>
  <c r="Z30" i="3"/>
  <c r="AA30" i="3"/>
  <c r="U31" i="3"/>
  <c r="V31" i="3"/>
  <c r="W31" i="3"/>
  <c r="X31" i="3"/>
  <c r="Y31" i="3"/>
  <c r="Z31" i="3"/>
  <c r="AA31" i="3"/>
  <c r="U32" i="3"/>
  <c r="V32" i="3"/>
  <c r="W32" i="3"/>
  <c r="X32" i="3"/>
  <c r="Y32" i="3"/>
  <c r="Z32" i="3"/>
  <c r="AA32" i="3"/>
  <c r="U33" i="3"/>
  <c r="V33" i="3"/>
  <c r="W33" i="3"/>
  <c r="X33" i="3"/>
  <c r="Y33" i="3"/>
  <c r="Z33" i="3"/>
  <c r="AA33" i="3"/>
  <c r="U34" i="3"/>
  <c r="V34" i="3"/>
  <c r="W34" i="3"/>
  <c r="X34" i="3"/>
  <c r="Y34" i="3"/>
  <c r="Z34" i="3"/>
  <c r="AA34" i="3"/>
  <c r="U35" i="3"/>
  <c r="V35" i="3"/>
  <c r="W35" i="3"/>
  <c r="X35" i="3"/>
  <c r="Y35" i="3"/>
  <c r="Z35" i="3"/>
  <c r="AA35" i="3"/>
  <c r="U36" i="3"/>
  <c r="V36" i="3"/>
  <c r="W36" i="3"/>
  <c r="X36" i="3"/>
  <c r="Y36" i="3"/>
  <c r="Z36" i="3"/>
  <c r="AA36" i="3"/>
  <c r="U37" i="3"/>
  <c r="V37" i="3"/>
  <c r="W37" i="3"/>
  <c r="X37" i="3"/>
  <c r="Y37" i="3"/>
  <c r="Z37" i="3"/>
  <c r="AA37" i="3"/>
  <c r="U38" i="3"/>
  <c r="V38" i="3"/>
  <c r="W38" i="3"/>
  <c r="X38" i="3"/>
  <c r="Y38" i="3"/>
  <c r="Z38" i="3"/>
  <c r="AA38" i="3"/>
  <c r="U39" i="3"/>
  <c r="V39" i="3"/>
  <c r="W39" i="3"/>
  <c r="X39" i="3"/>
  <c r="Y39" i="3"/>
  <c r="Z39" i="3"/>
  <c r="AA39" i="3"/>
  <c r="U40" i="3"/>
  <c r="V40" i="3"/>
  <c r="W40" i="3"/>
  <c r="X40" i="3"/>
  <c r="Y40" i="3"/>
  <c r="Z40" i="3"/>
  <c r="AA40" i="3"/>
  <c r="U41" i="3"/>
  <c r="V41" i="3"/>
  <c r="W41" i="3"/>
  <c r="X41" i="3"/>
  <c r="Y41" i="3"/>
  <c r="Z41" i="3"/>
  <c r="AA41" i="3"/>
  <c r="U42" i="3"/>
  <c r="V42" i="3"/>
  <c r="W42" i="3"/>
  <c r="X42" i="3"/>
  <c r="Y42" i="3"/>
  <c r="Z42" i="3"/>
  <c r="AA42" i="3"/>
  <c r="U43" i="3"/>
  <c r="V43" i="3"/>
  <c r="W43" i="3"/>
  <c r="X43" i="3"/>
  <c r="Y43" i="3"/>
  <c r="Z43" i="3"/>
  <c r="AA43" i="3"/>
  <c r="U44" i="3"/>
  <c r="V44" i="3"/>
  <c r="W44" i="3"/>
  <c r="X44" i="3"/>
  <c r="Y44" i="3"/>
  <c r="Z44" i="3"/>
  <c r="AA44" i="3"/>
  <c r="U45" i="3"/>
  <c r="V45" i="3"/>
  <c r="W45" i="3"/>
  <c r="X45" i="3"/>
  <c r="Y45" i="3"/>
  <c r="Z45" i="3"/>
  <c r="AA45" i="3"/>
  <c r="U46" i="3"/>
  <c r="V46" i="3"/>
  <c r="W46" i="3"/>
  <c r="X46" i="3"/>
  <c r="Y46" i="3"/>
  <c r="Z46" i="3"/>
  <c r="AA46" i="3"/>
  <c r="U47" i="3"/>
  <c r="V47" i="3"/>
  <c r="W47" i="3"/>
  <c r="X47" i="3"/>
  <c r="Y47" i="3"/>
  <c r="Z47" i="3"/>
  <c r="AA47" i="3"/>
  <c r="U48" i="3"/>
  <c r="V48" i="3"/>
  <c r="W48" i="3"/>
  <c r="X48" i="3"/>
  <c r="Y48" i="3"/>
  <c r="Z48" i="3"/>
  <c r="AA48" i="3"/>
  <c r="U49" i="3"/>
  <c r="V49" i="3"/>
  <c r="W49" i="3"/>
  <c r="X49" i="3"/>
  <c r="Y49" i="3"/>
  <c r="Z49" i="3"/>
  <c r="AA49" i="3"/>
  <c r="U50" i="3"/>
  <c r="V50" i="3"/>
  <c r="W50" i="3"/>
  <c r="X50" i="3"/>
  <c r="Y50" i="3"/>
  <c r="Z50" i="3"/>
  <c r="AA50" i="3"/>
  <c r="U51" i="3"/>
  <c r="V51" i="3"/>
  <c r="W51" i="3"/>
  <c r="X51" i="3"/>
  <c r="Y51" i="3"/>
  <c r="Z51" i="3"/>
  <c r="AA51" i="3"/>
  <c r="U52" i="3"/>
  <c r="V52" i="3"/>
  <c r="W52" i="3"/>
  <c r="X52" i="3"/>
  <c r="Y52" i="3"/>
  <c r="Z52" i="3"/>
  <c r="AA52" i="3"/>
  <c r="U53" i="3"/>
  <c r="V53" i="3"/>
  <c r="W53" i="3"/>
  <c r="X53" i="3"/>
  <c r="Y53" i="3"/>
  <c r="Z53" i="3"/>
  <c r="AA53" i="3"/>
  <c r="U54" i="3"/>
  <c r="V54" i="3"/>
  <c r="W54" i="3"/>
  <c r="X54" i="3"/>
  <c r="Y54" i="3"/>
  <c r="Z54" i="3"/>
  <c r="AA54" i="3"/>
  <c r="U55" i="3"/>
  <c r="V55" i="3"/>
  <c r="W55" i="3"/>
  <c r="X55" i="3"/>
  <c r="Y55" i="3"/>
  <c r="Z55" i="3"/>
  <c r="AA55" i="3"/>
  <c r="U56" i="3"/>
  <c r="V56" i="3"/>
  <c r="W56" i="3"/>
  <c r="X56" i="3"/>
  <c r="Y56" i="3"/>
  <c r="Z56" i="3"/>
  <c r="AA56" i="3"/>
  <c r="U57" i="3"/>
  <c r="V57" i="3"/>
  <c r="W57" i="3"/>
  <c r="X57" i="3"/>
  <c r="Y57" i="3"/>
  <c r="Z57" i="3"/>
  <c r="AA57" i="3"/>
  <c r="U58" i="3"/>
  <c r="V58" i="3"/>
  <c r="W58" i="3"/>
  <c r="X58" i="3"/>
  <c r="Y58" i="3"/>
  <c r="Z58" i="3"/>
  <c r="AA58" i="3"/>
  <c r="U59" i="3"/>
  <c r="V59" i="3"/>
  <c r="W59" i="3"/>
  <c r="X59" i="3"/>
  <c r="Y59" i="3"/>
  <c r="Z59" i="3"/>
  <c r="AA59" i="3"/>
  <c r="U60" i="3"/>
  <c r="V60" i="3"/>
  <c r="W60" i="3"/>
  <c r="X60" i="3"/>
  <c r="Y60" i="3"/>
  <c r="Z60" i="3"/>
  <c r="AA60" i="3"/>
  <c r="U61" i="3"/>
  <c r="V61" i="3"/>
  <c r="W61" i="3"/>
  <c r="X61" i="3"/>
  <c r="Y61" i="3"/>
  <c r="Z61" i="3"/>
  <c r="AA61" i="3"/>
  <c r="U62" i="3"/>
  <c r="V62" i="3"/>
  <c r="W62" i="3"/>
  <c r="X62" i="3"/>
  <c r="Y62" i="3"/>
  <c r="Z62" i="3"/>
  <c r="AA62" i="3"/>
  <c r="U63" i="3"/>
  <c r="V63" i="3"/>
  <c r="W63" i="3"/>
  <c r="X63" i="3"/>
  <c r="Y63" i="3"/>
  <c r="Z63" i="3"/>
  <c r="AA63" i="3"/>
  <c r="U64" i="3"/>
  <c r="V64" i="3"/>
  <c r="W64" i="3"/>
  <c r="X64" i="3"/>
  <c r="Y64" i="3"/>
  <c r="Z64" i="3"/>
  <c r="AA64" i="3"/>
  <c r="U65" i="3"/>
  <c r="V65" i="3"/>
  <c r="W65" i="3"/>
  <c r="X65" i="3"/>
  <c r="Y65" i="3"/>
  <c r="Z65" i="3"/>
  <c r="AA65" i="3"/>
  <c r="U66" i="3"/>
  <c r="V66" i="3"/>
  <c r="W66" i="3"/>
  <c r="X66" i="3"/>
  <c r="Y66" i="3"/>
  <c r="Z66" i="3"/>
  <c r="AA66" i="3"/>
  <c r="U67" i="3"/>
  <c r="V67" i="3"/>
  <c r="W67" i="3"/>
  <c r="X67" i="3"/>
  <c r="Y67" i="3"/>
  <c r="Z67" i="3"/>
  <c r="AA67" i="3"/>
  <c r="U68" i="3"/>
  <c r="V68" i="3"/>
  <c r="W68" i="3"/>
  <c r="X68" i="3"/>
  <c r="Y68" i="3"/>
  <c r="Z68" i="3"/>
  <c r="AA68" i="3"/>
  <c r="U69" i="3"/>
  <c r="V69" i="3"/>
  <c r="W69" i="3"/>
  <c r="X69" i="3"/>
  <c r="Y69" i="3"/>
  <c r="Z69" i="3"/>
  <c r="AA69" i="3"/>
  <c r="U70" i="3"/>
  <c r="V70" i="3"/>
  <c r="W70" i="3"/>
  <c r="X70" i="3"/>
  <c r="Y70" i="3"/>
  <c r="Z70" i="3"/>
  <c r="AA70" i="3"/>
  <c r="U71" i="3"/>
  <c r="V71" i="3"/>
  <c r="W71" i="3"/>
  <c r="X71" i="3"/>
  <c r="Y71" i="3"/>
  <c r="Z71" i="3"/>
  <c r="AA71" i="3"/>
  <c r="U72" i="3"/>
  <c r="V72" i="3"/>
  <c r="W72" i="3"/>
  <c r="X72" i="3"/>
  <c r="Y72" i="3"/>
  <c r="Z72" i="3"/>
  <c r="AA72" i="3"/>
  <c r="U73" i="3"/>
  <c r="V73" i="3"/>
  <c r="W73" i="3"/>
  <c r="X73" i="3"/>
  <c r="Y73" i="3"/>
  <c r="Z73" i="3"/>
  <c r="AA73" i="3"/>
  <c r="U138" i="3"/>
  <c r="V138" i="3"/>
  <c r="W138" i="3"/>
  <c r="X138" i="3"/>
  <c r="Y138" i="3"/>
  <c r="Z138" i="3"/>
  <c r="AA138" i="3"/>
  <c r="U139" i="3"/>
  <c r="V139" i="3"/>
  <c r="W139" i="3"/>
  <c r="X139" i="3"/>
  <c r="Y139" i="3"/>
  <c r="Z139" i="3"/>
  <c r="AA139" i="3"/>
  <c r="U140" i="3"/>
  <c r="V140" i="3"/>
  <c r="W140" i="3"/>
  <c r="X140" i="3"/>
  <c r="Y140" i="3"/>
  <c r="Z140" i="3"/>
  <c r="AA140" i="3"/>
  <c r="U141" i="3"/>
  <c r="V141" i="3"/>
  <c r="W141" i="3"/>
  <c r="X141" i="3"/>
  <c r="Y141" i="3"/>
  <c r="Z141" i="3"/>
  <c r="AA141" i="3"/>
  <c r="U142" i="3"/>
  <c r="V142" i="3"/>
  <c r="W142" i="3"/>
  <c r="X142" i="3"/>
  <c r="Y142" i="3"/>
  <c r="Z142" i="3"/>
  <c r="AA142" i="3"/>
  <c r="U143" i="3"/>
  <c r="V143" i="3"/>
  <c r="W143" i="3"/>
  <c r="X143" i="3"/>
  <c r="Y143" i="3"/>
  <c r="Z143" i="3"/>
  <c r="AA143" i="3"/>
  <c r="U144" i="3"/>
  <c r="V144" i="3"/>
  <c r="W144" i="3"/>
  <c r="X144" i="3"/>
  <c r="Y144" i="3"/>
  <c r="Z144" i="3"/>
  <c r="AA144" i="3"/>
  <c r="U145" i="3"/>
  <c r="V145" i="3"/>
  <c r="W145" i="3"/>
  <c r="X145" i="3"/>
  <c r="Y145" i="3"/>
  <c r="Z145" i="3"/>
  <c r="AA145" i="3"/>
  <c r="U146" i="3"/>
  <c r="V146" i="3"/>
  <c r="W146" i="3"/>
  <c r="X146" i="3"/>
  <c r="Y146" i="3"/>
  <c r="Z146" i="3"/>
  <c r="AA146" i="3"/>
  <c r="U147" i="3"/>
  <c r="V147" i="3"/>
  <c r="W147" i="3"/>
  <c r="X147" i="3"/>
  <c r="Y147" i="3"/>
  <c r="Z147" i="3"/>
  <c r="AA147" i="3"/>
  <c r="U148" i="3"/>
  <c r="V148" i="3"/>
  <c r="W148" i="3"/>
  <c r="X148" i="3"/>
  <c r="Y148" i="3"/>
  <c r="Z148" i="3"/>
  <c r="AA148" i="3"/>
  <c r="U149" i="3"/>
  <c r="V149" i="3"/>
  <c r="W149" i="3"/>
  <c r="X149" i="3"/>
  <c r="Y149" i="3"/>
  <c r="Z149" i="3"/>
  <c r="AA149" i="3"/>
  <c r="U150" i="3"/>
  <c r="V150" i="3"/>
  <c r="W150" i="3"/>
  <c r="X150" i="3"/>
  <c r="Y150" i="3"/>
  <c r="Z150" i="3"/>
  <c r="AA150" i="3"/>
  <c r="U151" i="3"/>
  <c r="V151" i="3"/>
  <c r="W151" i="3"/>
  <c r="X151" i="3"/>
  <c r="Y151" i="3"/>
  <c r="Z151" i="3"/>
  <c r="AA151" i="3"/>
  <c r="U152" i="3"/>
  <c r="V152" i="3"/>
  <c r="W152" i="3"/>
  <c r="X152" i="3"/>
  <c r="Y152" i="3"/>
  <c r="Z152" i="3"/>
  <c r="AA152" i="3"/>
  <c r="U153" i="3"/>
  <c r="V153" i="3"/>
  <c r="W153" i="3"/>
  <c r="X153" i="3"/>
  <c r="Y153" i="3"/>
  <c r="Z153" i="3"/>
  <c r="AA153" i="3"/>
  <c r="U154" i="3"/>
  <c r="V154" i="3"/>
  <c r="W154" i="3"/>
  <c r="X154" i="3"/>
  <c r="Y154" i="3"/>
  <c r="Z154" i="3"/>
  <c r="AA154" i="3"/>
  <c r="V155" i="3"/>
  <c r="W155" i="3"/>
  <c r="X155" i="3"/>
  <c r="Y155" i="3"/>
  <c r="Z155" i="3"/>
  <c r="AA155" i="3"/>
  <c r="U156" i="3"/>
  <c r="V156" i="3"/>
  <c r="W156" i="3"/>
  <c r="X156" i="3"/>
  <c r="Y156" i="3"/>
  <c r="Z156" i="3"/>
  <c r="AA156" i="3"/>
  <c r="U157" i="3"/>
  <c r="V157" i="3"/>
  <c r="W157" i="3"/>
  <c r="X157" i="3"/>
  <c r="Y157" i="3"/>
  <c r="Z157" i="3"/>
  <c r="AA157" i="3"/>
  <c r="U158" i="3"/>
  <c r="V158" i="3"/>
  <c r="W158" i="3"/>
  <c r="X158" i="3"/>
  <c r="Y158" i="3"/>
  <c r="Z158" i="3"/>
  <c r="AA158" i="3"/>
  <c r="U159" i="3"/>
  <c r="V159" i="3"/>
  <c r="W159" i="3"/>
  <c r="X159" i="3"/>
  <c r="Y159" i="3"/>
  <c r="Z159" i="3"/>
  <c r="AA159" i="3"/>
  <c r="U160" i="3"/>
  <c r="V160" i="3"/>
  <c r="W160" i="3"/>
  <c r="X160" i="3"/>
  <c r="Y160" i="3"/>
  <c r="Z160" i="3"/>
  <c r="AA160" i="3"/>
  <c r="U161" i="3"/>
  <c r="V161" i="3"/>
  <c r="W161" i="3"/>
  <c r="X161" i="3"/>
  <c r="Y161" i="3"/>
  <c r="Z161" i="3"/>
  <c r="AA161" i="3"/>
  <c r="U163" i="3"/>
  <c r="V163" i="3"/>
  <c r="W163" i="3"/>
  <c r="X163" i="3"/>
  <c r="Y163" i="3"/>
  <c r="Z163" i="3"/>
  <c r="AA163" i="3"/>
  <c r="AB151" i="3"/>
  <c r="G116" i="5"/>
  <c r="AB154" i="3"/>
  <c r="SF155" i="1"/>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138" i="3"/>
  <c r="AB139" i="3"/>
  <c r="AB140" i="3"/>
  <c r="AB141" i="3"/>
  <c r="AB142" i="3"/>
  <c r="AB143" i="3"/>
  <c r="AB144" i="3"/>
  <c r="AB145" i="3"/>
  <c r="AB146" i="3"/>
  <c r="AB147" i="3"/>
  <c r="AB148" i="3"/>
  <c r="AB149" i="3"/>
  <c r="AB150" i="3"/>
  <c r="AB152" i="3"/>
  <c r="AB153" i="3"/>
  <c r="AB155" i="3"/>
  <c r="SF156" i="1"/>
  <c r="AB156" i="3"/>
  <c r="SF157" i="1"/>
  <c r="AB157" i="3"/>
  <c r="SF158" i="1"/>
  <c r="AB158" i="3"/>
  <c r="SF159" i="1"/>
  <c r="AB159" i="3"/>
  <c r="SF160" i="1"/>
  <c r="AB160" i="3"/>
  <c r="SF161" i="1"/>
  <c r="AB161" i="3"/>
  <c r="SF162" i="1"/>
  <c r="SF163" i="1"/>
  <c r="AB163"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U74" i="3"/>
  <c r="V74" i="3"/>
  <c r="W74" i="3"/>
  <c r="X74" i="3"/>
  <c r="Y74" i="3"/>
  <c r="Z74" i="3"/>
  <c r="AA74" i="3"/>
  <c r="AB74" i="3"/>
  <c r="AC74" i="3"/>
  <c r="U75" i="3"/>
  <c r="V75" i="3"/>
  <c r="W75" i="3"/>
  <c r="X75" i="3"/>
  <c r="Y75" i="3"/>
  <c r="Z75" i="3"/>
  <c r="AA75" i="3"/>
  <c r="AB75" i="3"/>
  <c r="AC75" i="3"/>
  <c r="U76" i="3"/>
  <c r="V76" i="3"/>
  <c r="W76" i="3"/>
  <c r="X76" i="3"/>
  <c r="Y76" i="3"/>
  <c r="Z76" i="3"/>
  <c r="AA76" i="3"/>
  <c r="AB76" i="3"/>
  <c r="AC76" i="3"/>
  <c r="U77" i="3"/>
  <c r="V77" i="3"/>
  <c r="W77" i="3"/>
  <c r="X77" i="3"/>
  <c r="Y77" i="3"/>
  <c r="Z77" i="3"/>
  <c r="AA77" i="3"/>
  <c r="AB77" i="3"/>
  <c r="AC77" i="3"/>
  <c r="U78" i="3"/>
  <c r="V78" i="3"/>
  <c r="W78" i="3"/>
  <c r="X78" i="3"/>
  <c r="Y78" i="3"/>
  <c r="Z78" i="3"/>
  <c r="AA78" i="3"/>
  <c r="AB78" i="3"/>
  <c r="AC78" i="3"/>
  <c r="U79" i="3"/>
  <c r="V79" i="3"/>
  <c r="W79" i="3"/>
  <c r="X79" i="3"/>
  <c r="Y79" i="3"/>
  <c r="Z79" i="3"/>
  <c r="AA79" i="3"/>
  <c r="AB79" i="3"/>
  <c r="AC79" i="3"/>
  <c r="U80" i="3"/>
  <c r="V80" i="3"/>
  <c r="W80" i="3"/>
  <c r="X80" i="3"/>
  <c r="Y80" i="3"/>
  <c r="Z80" i="3"/>
  <c r="AA80" i="3"/>
  <c r="AB80" i="3"/>
  <c r="AC80" i="3"/>
  <c r="U81" i="3"/>
  <c r="V81" i="3"/>
  <c r="W81" i="3"/>
  <c r="X81" i="3"/>
  <c r="Y81" i="3"/>
  <c r="Z81" i="3"/>
  <c r="AA81" i="3"/>
  <c r="AB81" i="3"/>
  <c r="AC81" i="3"/>
  <c r="U82" i="3"/>
  <c r="V82" i="3"/>
  <c r="W82" i="3"/>
  <c r="X82" i="3"/>
  <c r="Y82" i="3"/>
  <c r="Z82" i="3"/>
  <c r="AA82" i="3"/>
  <c r="AB82" i="3"/>
  <c r="AC82" i="3"/>
  <c r="U83" i="3"/>
  <c r="V83" i="3"/>
  <c r="W83" i="3"/>
  <c r="X83" i="3"/>
  <c r="Y83" i="3"/>
  <c r="Z83" i="3"/>
  <c r="AA83" i="3"/>
  <c r="AB83" i="3"/>
  <c r="AC83" i="3"/>
  <c r="U84" i="3"/>
  <c r="V84" i="3"/>
  <c r="W84" i="3"/>
  <c r="X84" i="3"/>
  <c r="Y84" i="3"/>
  <c r="Z84" i="3"/>
  <c r="AA84" i="3"/>
  <c r="AB84" i="3"/>
  <c r="AC84" i="3"/>
  <c r="U85" i="3"/>
  <c r="V85" i="3"/>
  <c r="W85" i="3"/>
  <c r="X85" i="3"/>
  <c r="Y85" i="3"/>
  <c r="Z85" i="3"/>
  <c r="AA85" i="3"/>
  <c r="AB85" i="3"/>
  <c r="AC85" i="3"/>
  <c r="U86" i="3"/>
  <c r="V86" i="3"/>
  <c r="W86" i="3"/>
  <c r="X86" i="3"/>
  <c r="Y86" i="3"/>
  <c r="Z86" i="3"/>
  <c r="AA86" i="3"/>
  <c r="AB86" i="3"/>
  <c r="AC86" i="3"/>
  <c r="U87" i="3"/>
  <c r="V87" i="3"/>
  <c r="W87" i="3"/>
  <c r="X87" i="3"/>
  <c r="Y87" i="3"/>
  <c r="Z87" i="3"/>
  <c r="AA87" i="3"/>
  <c r="AB87" i="3"/>
  <c r="AC87" i="3"/>
  <c r="U88" i="3"/>
  <c r="V88" i="3"/>
  <c r="W88" i="3"/>
  <c r="X88" i="3"/>
  <c r="Y88" i="3"/>
  <c r="Z88" i="3"/>
  <c r="AA88" i="3"/>
  <c r="AB88" i="3"/>
  <c r="AC88" i="3"/>
  <c r="U89" i="3"/>
  <c r="V89" i="3"/>
  <c r="W89" i="3"/>
  <c r="X89" i="3"/>
  <c r="Y89" i="3"/>
  <c r="Z89" i="3"/>
  <c r="AA89" i="3"/>
  <c r="AB89" i="3"/>
  <c r="AC89" i="3"/>
  <c r="U90" i="3"/>
  <c r="V90" i="3"/>
  <c r="W90" i="3"/>
  <c r="X90" i="3"/>
  <c r="Y90" i="3"/>
  <c r="Z90" i="3"/>
  <c r="AA90" i="3"/>
  <c r="AB90" i="3"/>
  <c r="AC90" i="3"/>
  <c r="U91" i="3"/>
  <c r="V91" i="3"/>
  <c r="W91" i="3"/>
  <c r="X91" i="3"/>
  <c r="Y91" i="3"/>
  <c r="Z91" i="3"/>
  <c r="AA91" i="3"/>
  <c r="AB91" i="3"/>
  <c r="AC91" i="3"/>
  <c r="U92" i="3"/>
  <c r="V92" i="3"/>
  <c r="W92" i="3"/>
  <c r="X92" i="3"/>
  <c r="Y92" i="3"/>
  <c r="Z92" i="3"/>
  <c r="AA92" i="3"/>
  <c r="AB92" i="3"/>
  <c r="AC92" i="3"/>
  <c r="U93" i="3"/>
  <c r="V93" i="3"/>
  <c r="W93" i="3"/>
  <c r="X93" i="3"/>
  <c r="Y93" i="3"/>
  <c r="Z93" i="3"/>
  <c r="AA93" i="3"/>
  <c r="AB93" i="3"/>
  <c r="AC93" i="3"/>
  <c r="U94" i="3"/>
  <c r="V94" i="3"/>
  <c r="W94" i="3"/>
  <c r="X94" i="3"/>
  <c r="Y94" i="3"/>
  <c r="Z94" i="3"/>
  <c r="AA94" i="3"/>
  <c r="AB94" i="3"/>
  <c r="AC94" i="3"/>
  <c r="U95" i="3"/>
  <c r="V95" i="3"/>
  <c r="W95" i="3"/>
  <c r="X95" i="3"/>
  <c r="Y95" i="3"/>
  <c r="Z95" i="3"/>
  <c r="AA95" i="3"/>
  <c r="AB95" i="3"/>
  <c r="AC95" i="3"/>
  <c r="U96" i="3"/>
  <c r="V96" i="3"/>
  <c r="W96" i="3"/>
  <c r="X96" i="3"/>
  <c r="Y96" i="3"/>
  <c r="Z96" i="3"/>
  <c r="AA96" i="3"/>
  <c r="AB96" i="3"/>
  <c r="AC96" i="3"/>
  <c r="U97" i="3"/>
  <c r="V97" i="3"/>
  <c r="W97" i="3"/>
  <c r="X97" i="3"/>
  <c r="Y97" i="3"/>
  <c r="Z97" i="3"/>
  <c r="AA97" i="3"/>
  <c r="AB97" i="3"/>
  <c r="AC97" i="3"/>
  <c r="U98" i="3"/>
  <c r="V98" i="3"/>
  <c r="W98" i="3"/>
  <c r="X98" i="3"/>
  <c r="Y98" i="3"/>
  <c r="Z98" i="3"/>
  <c r="AA98" i="3"/>
  <c r="AB98" i="3"/>
  <c r="AC98" i="3"/>
  <c r="U99" i="3"/>
  <c r="V99" i="3"/>
  <c r="W99" i="3"/>
  <c r="X99" i="3"/>
  <c r="Y99" i="3"/>
  <c r="Z99" i="3"/>
  <c r="AA99" i="3"/>
  <c r="AB99" i="3"/>
  <c r="AC99" i="3"/>
  <c r="U100" i="3"/>
  <c r="V100" i="3"/>
  <c r="W100" i="3"/>
  <c r="X100" i="3"/>
  <c r="Y100" i="3"/>
  <c r="Z100" i="3"/>
  <c r="AA100" i="3"/>
  <c r="AB100" i="3"/>
  <c r="AC100" i="3"/>
  <c r="U101" i="3"/>
  <c r="V101" i="3"/>
  <c r="W101" i="3"/>
  <c r="X101" i="3"/>
  <c r="Y101" i="3"/>
  <c r="Z101" i="3"/>
  <c r="AA101" i="3"/>
  <c r="AB101" i="3"/>
  <c r="AC101" i="3"/>
  <c r="U102" i="3"/>
  <c r="V102" i="3"/>
  <c r="W102" i="3"/>
  <c r="X102" i="3"/>
  <c r="Y102" i="3"/>
  <c r="Z102" i="3"/>
  <c r="AA102" i="3"/>
  <c r="AB102" i="3"/>
  <c r="AC102" i="3"/>
  <c r="U103" i="3"/>
  <c r="V103" i="3"/>
  <c r="W103" i="3"/>
  <c r="X103" i="3"/>
  <c r="Y103" i="3"/>
  <c r="Z103" i="3"/>
  <c r="AA103" i="3"/>
  <c r="AB103" i="3"/>
  <c r="AC103" i="3"/>
  <c r="U104" i="3"/>
  <c r="V104" i="3"/>
  <c r="W104" i="3"/>
  <c r="X104" i="3"/>
  <c r="Y104" i="3"/>
  <c r="Z104" i="3"/>
  <c r="AA104" i="3"/>
  <c r="AB104" i="3"/>
  <c r="AC104" i="3"/>
  <c r="U105" i="3"/>
  <c r="V105" i="3"/>
  <c r="W105" i="3"/>
  <c r="X105" i="3"/>
  <c r="Y105" i="3"/>
  <c r="Z105" i="3"/>
  <c r="AA105" i="3"/>
  <c r="AB105" i="3"/>
  <c r="AC105" i="3"/>
  <c r="U106" i="3"/>
  <c r="V106" i="3"/>
  <c r="W106" i="3"/>
  <c r="X106" i="3"/>
  <c r="Y106" i="3"/>
  <c r="Z106" i="3"/>
  <c r="AA106" i="3"/>
  <c r="AB106" i="3"/>
  <c r="AC106" i="3"/>
  <c r="U107" i="3"/>
  <c r="V107" i="3"/>
  <c r="W107" i="3"/>
  <c r="X107" i="3"/>
  <c r="Y107" i="3"/>
  <c r="Z107" i="3"/>
  <c r="AA107" i="3"/>
  <c r="AB107" i="3"/>
  <c r="AC107" i="3"/>
  <c r="U108" i="3"/>
  <c r="V108" i="3"/>
  <c r="W108" i="3"/>
  <c r="X108" i="3"/>
  <c r="Y108" i="3"/>
  <c r="Z108" i="3"/>
  <c r="AA108" i="3"/>
  <c r="AB108" i="3"/>
  <c r="AC108" i="3"/>
  <c r="U109" i="3"/>
  <c r="V109" i="3"/>
  <c r="W109" i="3"/>
  <c r="X109" i="3"/>
  <c r="Y109" i="3"/>
  <c r="Z109" i="3"/>
  <c r="AA109" i="3"/>
  <c r="AB109" i="3"/>
  <c r="AC109" i="3"/>
  <c r="U110" i="3"/>
  <c r="V110" i="3"/>
  <c r="W110" i="3"/>
  <c r="X110" i="3"/>
  <c r="Y110" i="3"/>
  <c r="Z110" i="3"/>
  <c r="AA110" i="3"/>
  <c r="AB110" i="3"/>
  <c r="AC110" i="3"/>
  <c r="U111" i="3"/>
  <c r="V111" i="3"/>
  <c r="W111" i="3"/>
  <c r="X111" i="3"/>
  <c r="Y111" i="3"/>
  <c r="Z111" i="3"/>
  <c r="AA111" i="3"/>
  <c r="AB111" i="3"/>
  <c r="AC111" i="3"/>
  <c r="U112" i="3"/>
  <c r="V112" i="3"/>
  <c r="W112" i="3"/>
  <c r="X112" i="3"/>
  <c r="Y112" i="3"/>
  <c r="Z112" i="3"/>
  <c r="AA112" i="3"/>
  <c r="AB112" i="3"/>
  <c r="AC112" i="3"/>
  <c r="U113" i="3"/>
  <c r="V113" i="3"/>
  <c r="W113" i="3"/>
  <c r="X113" i="3"/>
  <c r="Y113" i="3"/>
  <c r="Z113" i="3"/>
  <c r="AA113" i="3"/>
  <c r="AB113" i="3"/>
  <c r="AC113" i="3"/>
  <c r="U114" i="3"/>
  <c r="V114" i="3"/>
  <c r="W114" i="3"/>
  <c r="X114" i="3"/>
  <c r="Y114" i="3"/>
  <c r="Z114" i="3"/>
  <c r="AA114" i="3"/>
  <c r="AB114" i="3"/>
  <c r="AC114" i="3"/>
  <c r="U115" i="3"/>
  <c r="V115" i="3"/>
  <c r="W115" i="3"/>
  <c r="X115" i="3"/>
  <c r="Y115" i="3"/>
  <c r="Z115" i="3"/>
  <c r="AA115" i="3"/>
  <c r="AB115" i="3"/>
  <c r="AC115" i="3"/>
  <c r="U116" i="3"/>
  <c r="V116" i="3"/>
  <c r="W116" i="3"/>
  <c r="X116" i="3"/>
  <c r="Y116" i="3"/>
  <c r="Z116" i="3"/>
  <c r="AA116" i="3"/>
  <c r="AB116" i="3"/>
  <c r="AC116" i="3"/>
  <c r="U117" i="3"/>
  <c r="V117" i="3"/>
  <c r="W117" i="3"/>
  <c r="X117" i="3"/>
  <c r="Y117" i="3"/>
  <c r="Z117" i="3"/>
  <c r="AA117" i="3"/>
  <c r="AB117" i="3"/>
  <c r="AC117" i="3"/>
  <c r="U118" i="3"/>
  <c r="V118" i="3"/>
  <c r="W118" i="3"/>
  <c r="X118" i="3"/>
  <c r="Y118" i="3"/>
  <c r="Z118" i="3"/>
  <c r="AA118" i="3"/>
  <c r="AB118" i="3"/>
  <c r="AC118" i="3"/>
  <c r="U119" i="3"/>
  <c r="V119" i="3"/>
  <c r="W119" i="3"/>
  <c r="X119" i="3"/>
  <c r="Y119" i="3"/>
  <c r="Z119" i="3"/>
  <c r="AA119" i="3"/>
  <c r="AB119" i="3"/>
  <c r="AC119" i="3"/>
  <c r="U120" i="3"/>
  <c r="V120" i="3"/>
  <c r="W120" i="3"/>
  <c r="X120" i="3"/>
  <c r="Y120" i="3"/>
  <c r="Z120" i="3"/>
  <c r="AA120" i="3"/>
  <c r="AB120" i="3"/>
  <c r="AC120" i="3"/>
  <c r="U121" i="3"/>
  <c r="V121" i="3"/>
  <c r="W121" i="3"/>
  <c r="X121" i="3"/>
  <c r="Y121" i="3"/>
  <c r="Z121" i="3"/>
  <c r="AA121" i="3"/>
  <c r="AB121" i="3"/>
  <c r="AC121" i="3"/>
  <c r="U122" i="3"/>
  <c r="V122" i="3"/>
  <c r="W122" i="3"/>
  <c r="X122" i="3"/>
  <c r="Y122" i="3"/>
  <c r="Z122" i="3"/>
  <c r="AA122" i="3"/>
  <c r="AB122" i="3"/>
  <c r="AC122" i="3"/>
  <c r="U123" i="3"/>
  <c r="V123" i="3"/>
  <c r="W123" i="3"/>
  <c r="X123" i="3"/>
  <c r="Y123" i="3"/>
  <c r="Z123" i="3"/>
  <c r="AA123" i="3"/>
  <c r="AB123" i="3"/>
  <c r="AC123" i="3"/>
  <c r="U124" i="3"/>
  <c r="V124" i="3"/>
  <c r="W124" i="3"/>
  <c r="X124" i="3"/>
  <c r="Y124" i="3"/>
  <c r="Z124" i="3"/>
  <c r="AA124" i="3"/>
  <c r="AB124" i="3"/>
  <c r="AC124" i="3"/>
  <c r="U125" i="3"/>
  <c r="V125" i="3"/>
  <c r="W125" i="3"/>
  <c r="X125" i="3"/>
  <c r="Y125" i="3"/>
  <c r="Z125" i="3"/>
  <c r="AA125" i="3"/>
  <c r="AB125" i="3"/>
  <c r="AC125" i="3"/>
  <c r="U126" i="3"/>
  <c r="V126" i="3"/>
  <c r="W126" i="3"/>
  <c r="X126" i="3"/>
  <c r="Y126" i="3"/>
  <c r="Z126" i="3"/>
  <c r="AA126" i="3"/>
  <c r="AB126" i="3"/>
  <c r="AC126" i="3"/>
  <c r="U127" i="3"/>
  <c r="V127" i="3"/>
  <c r="W127" i="3"/>
  <c r="X127" i="3"/>
  <c r="Y127" i="3"/>
  <c r="Z127" i="3"/>
  <c r="AA127" i="3"/>
  <c r="AB127" i="3"/>
  <c r="AC127" i="3"/>
  <c r="U128" i="3"/>
  <c r="V128" i="3"/>
  <c r="W128" i="3"/>
  <c r="X128" i="3"/>
  <c r="Y128" i="3"/>
  <c r="Z128" i="3"/>
  <c r="AA128" i="3"/>
  <c r="AB128" i="3"/>
  <c r="AC128" i="3"/>
  <c r="U129" i="3"/>
  <c r="V129" i="3"/>
  <c r="W129" i="3"/>
  <c r="X129" i="3"/>
  <c r="Y129" i="3"/>
  <c r="Z129" i="3"/>
  <c r="AA129" i="3"/>
  <c r="AB129" i="3"/>
  <c r="AC129" i="3"/>
  <c r="U130" i="3"/>
  <c r="V130" i="3"/>
  <c r="W130" i="3"/>
  <c r="X130" i="3"/>
  <c r="Y130" i="3"/>
  <c r="Z130" i="3"/>
  <c r="AA130" i="3"/>
  <c r="AB130" i="3"/>
  <c r="AC130" i="3"/>
  <c r="U131" i="3"/>
  <c r="V131" i="3"/>
  <c r="W131" i="3"/>
  <c r="X131" i="3"/>
  <c r="Y131" i="3"/>
  <c r="Z131" i="3"/>
  <c r="AA131" i="3"/>
  <c r="AB131" i="3"/>
  <c r="AC131" i="3"/>
  <c r="U132" i="3"/>
  <c r="V132" i="3"/>
  <c r="W132" i="3"/>
  <c r="X132" i="3"/>
  <c r="Y132" i="3"/>
  <c r="Z132" i="3"/>
  <c r="AA132" i="3"/>
  <c r="AB132" i="3"/>
  <c r="AC132" i="3"/>
  <c r="U133" i="3"/>
  <c r="V133" i="3"/>
  <c r="W133" i="3"/>
  <c r="X133" i="3"/>
  <c r="Y133" i="3"/>
  <c r="Z133" i="3"/>
  <c r="AA133" i="3"/>
  <c r="AB133" i="3"/>
  <c r="AC133" i="3"/>
  <c r="U134" i="3"/>
  <c r="V134" i="3"/>
  <c r="W134" i="3"/>
  <c r="X134" i="3"/>
  <c r="Y134" i="3"/>
  <c r="Z134" i="3"/>
  <c r="AA134" i="3"/>
  <c r="AB134" i="3"/>
  <c r="AC134" i="3"/>
  <c r="U135" i="3"/>
  <c r="V135" i="3"/>
  <c r="W135" i="3"/>
  <c r="X135" i="3"/>
  <c r="Y135" i="3"/>
  <c r="Z135" i="3"/>
  <c r="AA135" i="3"/>
  <c r="AB135" i="3"/>
  <c r="AC135" i="3"/>
  <c r="U136" i="3"/>
  <c r="V136" i="3"/>
  <c r="W136" i="3"/>
  <c r="X136" i="3"/>
  <c r="Y136" i="3"/>
  <c r="Z136" i="3"/>
  <c r="AA136" i="3"/>
  <c r="AB136" i="3"/>
  <c r="AC136" i="3"/>
  <c r="U137" i="3"/>
  <c r="V137" i="3"/>
  <c r="W137" i="3"/>
  <c r="X137" i="3"/>
  <c r="Y137" i="3"/>
  <c r="Z137" i="3"/>
  <c r="AA137" i="3"/>
  <c r="AB137"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3" i="3"/>
  <c r="SF10" i="1"/>
  <c r="B13" i="24"/>
  <c r="B14" i="24"/>
  <c r="B12" i="24"/>
  <c r="B15" i="24"/>
  <c r="B10" i="24"/>
  <c r="B11" i="24"/>
  <c r="B9" i="24"/>
  <c r="RZ175" i="1"/>
  <c r="RZ176" i="1"/>
  <c r="E87" i="2"/>
  <c r="C36" i="14"/>
  <c r="Q16" i="24" s="1"/>
  <c r="B159" i="23"/>
  <c r="B158" i="23"/>
  <c r="B157" i="23"/>
  <c r="B156" i="23"/>
  <c r="B155" i="23"/>
  <c r="B154" i="23"/>
  <c r="B153" i="23"/>
  <c r="B152" i="23"/>
  <c r="B151" i="23"/>
  <c r="B150" i="23"/>
  <c r="B149" i="23"/>
  <c r="B148" i="23"/>
  <c r="B147" i="23"/>
  <c r="B146" i="23"/>
  <c r="B145" i="23"/>
  <c r="B144" i="23"/>
  <c r="B143" i="23"/>
  <c r="B142" i="23"/>
  <c r="B141" i="23"/>
  <c r="B140" i="23"/>
  <c r="B139" i="23"/>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08" i="23"/>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C33" i="18"/>
  <c r="A30" i="18"/>
  <c r="A31" i="18"/>
  <c r="A32" i="18"/>
  <c r="A33" i="18"/>
  <c r="A34" i="18"/>
  <c r="A35" i="18"/>
  <c r="A36" i="18"/>
  <c r="A37" i="18"/>
  <c r="A29" i="18"/>
  <c r="C37" i="18"/>
  <c r="C36" i="18"/>
  <c r="C35" i="18"/>
  <c r="C34" i="18"/>
  <c r="C32" i="18"/>
  <c r="C31" i="18"/>
  <c r="C30"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Y29" i="18"/>
  <c r="CZ29" i="18"/>
  <c r="DA29" i="18"/>
  <c r="DB29" i="18"/>
  <c r="DC29" i="18"/>
  <c r="DD29" i="18"/>
  <c r="DE29" i="18"/>
  <c r="DF29" i="18"/>
  <c r="DG29" i="18"/>
  <c r="DH29" i="18"/>
  <c r="DI29" i="18"/>
  <c r="DJ29" i="18"/>
  <c r="DK29" i="18"/>
  <c r="DL29" i="18"/>
  <c r="DM29" i="18"/>
  <c r="DN29" i="18"/>
  <c r="DO29" i="18"/>
  <c r="DP29" i="18"/>
  <c r="DQ29" i="18"/>
  <c r="DR29" i="18"/>
  <c r="DS29" i="18"/>
  <c r="DT29" i="18"/>
  <c r="DU29" i="18"/>
  <c r="DV29" i="18"/>
  <c r="DW29" i="18"/>
  <c r="DX29" i="18"/>
  <c r="DY29" i="18"/>
  <c r="DZ29" i="18"/>
  <c r="EA29" i="18"/>
  <c r="EB29" i="18"/>
  <c r="EC29" i="18"/>
  <c r="ED29" i="18"/>
  <c r="EE29" i="18"/>
  <c r="EF29" i="18"/>
  <c r="EG29" i="18"/>
  <c r="EH29" i="18"/>
  <c r="EI29" i="18"/>
  <c r="EJ29" i="18"/>
  <c r="EK29" i="18"/>
  <c r="EL29" i="18"/>
  <c r="EM29" i="18"/>
  <c r="EN29" i="18"/>
  <c r="EO29" i="18"/>
  <c r="EP29" i="18"/>
  <c r="EQ29" i="18"/>
  <c r="ER29" i="18"/>
  <c r="ES29" i="18"/>
  <c r="ET29" i="18"/>
  <c r="EU29" i="18"/>
  <c r="EV29" i="18"/>
  <c r="EW29" i="18"/>
  <c r="EX29" i="18"/>
  <c r="EY29" i="18"/>
  <c r="EZ29" i="18"/>
  <c r="FA29" i="18"/>
  <c r="FB29" i="18"/>
  <c r="FC29" i="18"/>
  <c r="FD29" i="18"/>
  <c r="FE29" i="18"/>
  <c r="FF29" i="18"/>
  <c r="FG29" i="18"/>
  <c r="FH29" i="18"/>
  <c r="FI29" i="18"/>
  <c r="FJ29" i="18"/>
  <c r="FK29" i="18"/>
  <c r="FL29" i="18"/>
  <c r="FM29" i="18"/>
  <c r="FN29" i="18"/>
  <c r="FO29" i="18"/>
  <c r="FP29" i="18"/>
  <c r="FQ29" i="18"/>
  <c r="FR29" i="18"/>
  <c r="FS29" i="18"/>
  <c r="FT29" i="18"/>
  <c r="FU29" i="18"/>
  <c r="FV29" i="18"/>
  <c r="FW29" i="18"/>
  <c r="FX29" i="18"/>
  <c r="FY29" i="18"/>
  <c r="FZ29" i="18"/>
  <c r="GA29" i="18"/>
  <c r="GB29" i="18"/>
  <c r="GC29" i="18"/>
  <c r="GD29" i="18"/>
  <c r="GE29" i="18"/>
  <c r="GF29" i="18"/>
  <c r="GG29" i="18"/>
  <c r="GH29" i="18"/>
  <c r="GI29" i="18"/>
  <c r="GJ29" i="18"/>
  <c r="GK29" i="18"/>
  <c r="GL29" i="18"/>
  <c r="GM29" i="18"/>
  <c r="GN29" i="18"/>
  <c r="GO29" i="18"/>
  <c r="GP29" i="18"/>
  <c r="GQ29" i="18"/>
  <c r="GR29" i="18"/>
  <c r="GS29" i="18"/>
  <c r="GT29" i="18"/>
  <c r="GU29" i="18"/>
  <c r="GV29" i="18"/>
  <c r="GW29" i="18"/>
  <c r="GX29" i="18"/>
  <c r="GY29" i="18"/>
  <c r="GZ29" i="18"/>
  <c r="HA29" i="18"/>
  <c r="HB29" i="18"/>
  <c r="HC29" i="18"/>
  <c r="HD29" i="18"/>
  <c r="HE29" i="18"/>
  <c r="HF29" i="18"/>
  <c r="HG29" i="18"/>
  <c r="HH29" i="18"/>
  <c r="HI29" i="18"/>
  <c r="HJ29" i="18"/>
  <c r="HK29" i="18"/>
  <c r="HL29" i="18"/>
  <c r="HM29" i="18"/>
  <c r="HN29" i="18"/>
  <c r="HO29" i="18"/>
  <c r="HP29" i="18"/>
  <c r="HQ29" i="18"/>
  <c r="HR29" i="18"/>
  <c r="HS29" i="18"/>
  <c r="HT29" i="18"/>
  <c r="HU29" i="18"/>
  <c r="HV29" i="18"/>
  <c r="HW29" i="18"/>
  <c r="HX29" i="18"/>
  <c r="HY29" i="18"/>
  <c r="HZ29" i="18"/>
  <c r="IA29" i="18"/>
  <c r="IB29" i="18"/>
  <c r="IC29" i="18"/>
  <c r="ID29" i="18"/>
  <c r="IE29" i="18"/>
  <c r="IF29" i="18"/>
  <c r="IG29" i="18"/>
  <c r="IH29" i="18"/>
  <c r="II29" i="18"/>
  <c r="IJ29" i="18"/>
  <c r="IK29" i="18"/>
  <c r="IL29" i="18"/>
  <c r="IM29" i="18"/>
  <c r="IN29" i="18"/>
  <c r="IO29" i="18"/>
  <c r="IP29" i="18"/>
  <c r="IQ29" i="18"/>
  <c r="IR29" i="18"/>
  <c r="IS29" i="18"/>
  <c r="IT29" i="18"/>
  <c r="IU29" i="18"/>
  <c r="IV29" i="18"/>
  <c r="IW29" i="18"/>
  <c r="IX29" i="18"/>
  <c r="IY29" i="18"/>
  <c r="IZ29" i="18"/>
  <c r="JA29" i="18"/>
  <c r="JB29" i="18"/>
  <c r="JC29" i="18"/>
  <c r="JD29" i="18"/>
  <c r="JE29" i="18"/>
  <c r="JF29" i="18"/>
  <c r="JG29" i="18"/>
  <c r="JH29" i="18"/>
  <c r="JI29" i="18"/>
  <c r="JJ29" i="18"/>
  <c r="JK29" i="18"/>
  <c r="JL29" i="18"/>
  <c r="JM29" i="18"/>
  <c r="JN29" i="18"/>
  <c r="JO29" i="18"/>
  <c r="JP29" i="18"/>
  <c r="JQ29" i="18"/>
  <c r="JR29" i="18"/>
  <c r="JS29" i="18"/>
  <c r="JT29" i="18"/>
  <c r="JU29" i="18"/>
  <c r="JV29" i="18"/>
  <c r="JW29" i="18"/>
  <c r="JX29" i="18"/>
  <c r="JY29" i="18"/>
  <c r="JZ29" i="18"/>
  <c r="KA29" i="18"/>
  <c r="KB29" i="18"/>
  <c r="KC29" i="18"/>
  <c r="KD29" i="18"/>
  <c r="KE29" i="18"/>
  <c r="KF29" i="18"/>
  <c r="KG29" i="18"/>
  <c r="KH29" i="18"/>
  <c r="KI29" i="18"/>
  <c r="KJ29" i="18"/>
  <c r="KK29" i="18"/>
  <c r="KL29" i="18"/>
  <c r="KM29" i="18"/>
  <c r="KN29" i="18"/>
  <c r="KO29" i="18"/>
  <c r="KP29" i="18"/>
  <c r="KQ29" i="18"/>
  <c r="KR29" i="18"/>
  <c r="KS29" i="18"/>
  <c r="KT29" i="18"/>
  <c r="KU29" i="18"/>
  <c r="KV29" i="18"/>
  <c r="KW29" i="18"/>
  <c r="KX29" i="18"/>
  <c r="KY29" i="18"/>
  <c r="KZ29" i="18"/>
  <c r="LA29" i="18"/>
  <c r="LB29" i="18"/>
  <c r="LC29" i="18"/>
  <c r="LD29" i="18"/>
  <c r="LE29" i="18"/>
  <c r="LF29" i="18"/>
  <c r="LG29" i="18"/>
  <c r="LH29" i="18"/>
  <c r="LI29" i="18"/>
  <c r="LJ29" i="18"/>
  <c r="LK29" i="18"/>
  <c r="LL29" i="18"/>
  <c r="LM29" i="18"/>
  <c r="LN29" i="18"/>
  <c r="LO29" i="18"/>
  <c r="LP29" i="18"/>
  <c r="LQ29" i="18"/>
  <c r="LR29" i="18"/>
  <c r="LS29" i="18"/>
  <c r="LT29" i="18"/>
  <c r="LU29" i="18"/>
  <c r="LV29" i="18"/>
  <c r="LW29" i="18"/>
  <c r="LX29" i="18"/>
  <c r="LY29" i="18"/>
  <c r="LZ29" i="18"/>
  <c r="MA29" i="18"/>
  <c r="MB29" i="18"/>
  <c r="MC29" i="18"/>
  <c r="MD29" i="18"/>
  <c r="ME29" i="18"/>
  <c r="MF29" i="18"/>
  <c r="MG29" i="18"/>
  <c r="MH29" i="18"/>
  <c r="MI29" i="18"/>
  <c r="MJ29" i="18"/>
  <c r="MK29" i="18"/>
  <c r="ML29" i="18"/>
  <c r="MM29" i="18"/>
  <c r="MN29" i="18"/>
  <c r="MO29" i="18"/>
  <c r="MP29" i="18"/>
  <c r="MQ29" i="18"/>
  <c r="MR29" i="18"/>
  <c r="MS29" i="18"/>
  <c r="MT29" i="18"/>
  <c r="MU29" i="18"/>
  <c r="MV29" i="18"/>
  <c r="MW29" i="18"/>
  <c r="MX29" i="18"/>
  <c r="MY29" i="18"/>
  <c r="MZ29" i="18"/>
  <c r="NA29" i="18"/>
  <c r="NB29" i="18"/>
  <c r="NC29" i="18"/>
  <c r="ND29" i="18"/>
  <c r="NE29" i="18"/>
  <c r="NF29" i="18"/>
  <c r="NG29" i="18"/>
  <c r="NH29" i="18"/>
  <c r="NI29" i="18"/>
  <c r="NJ29" i="18"/>
  <c r="NK29" i="18"/>
  <c r="NL29" i="18"/>
  <c r="NM29" i="18"/>
  <c r="NN29" i="18"/>
  <c r="NO29" i="18"/>
  <c r="NP29" i="18"/>
  <c r="NQ29" i="18"/>
  <c r="NR29" i="18"/>
  <c r="NS29" i="18"/>
  <c r="NT29" i="18"/>
  <c r="NU29" i="18"/>
  <c r="NV29" i="18"/>
  <c r="NW29" i="18"/>
  <c r="NX29" i="18"/>
  <c r="NY29" i="18"/>
  <c r="NZ29" i="18"/>
  <c r="OA29" i="18"/>
  <c r="OB29" i="18"/>
  <c r="OC29" i="18"/>
  <c r="OD29" i="18"/>
  <c r="OE29" i="18"/>
  <c r="OF29" i="18"/>
  <c r="OG29" i="18"/>
  <c r="OH29" i="18"/>
  <c r="OI29" i="18"/>
  <c r="OJ29" i="18"/>
  <c r="OK29" i="18"/>
  <c r="OL29" i="18"/>
  <c r="OM29" i="18"/>
  <c r="ON29" i="18"/>
  <c r="OO29" i="18"/>
  <c r="OP29" i="18"/>
  <c r="OQ29" i="18"/>
  <c r="OR29" i="18"/>
  <c r="OS29" i="18"/>
  <c r="OT29" i="18"/>
  <c r="OU29" i="18"/>
  <c r="OV29" i="18"/>
  <c r="OW29" i="18"/>
  <c r="OX29" i="18"/>
  <c r="OY29" i="18"/>
  <c r="OZ29" i="18"/>
  <c r="PA29" i="18"/>
  <c r="PB29" i="18"/>
  <c r="PC29" i="18"/>
  <c r="PD29" i="18"/>
  <c r="PE29" i="18"/>
  <c r="PF29" i="18"/>
  <c r="PG29" i="18"/>
  <c r="PH29" i="18"/>
  <c r="PI29" i="18"/>
  <c r="PJ29" i="18"/>
  <c r="PK29" i="18"/>
  <c r="PL29" i="18"/>
  <c r="PM29" i="18"/>
  <c r="PN29" i="18"/>
  <c r="PO29" i="18"/>
  <c r="PP29" i="18"/>
  <c r="PQ29" i="18"/>
  <c r="PR29" i="18"/>
  <c r="PS29" i="18"/>
  <c r="PT29" i="18"/>
  <c r="PU29" i="18"/>
  <c r="PV29" i="18"/>
  <c r="PW29" i="18"/>
  <c r="PX29" i="18"/>
  <c r="PY29" i="18"/>
  <c r="PZ29" i="18"/>
  <c r="QA29" i="18"/>
  <c r="QB29" i="18"/>
  <c r="QC29" i="18"/>
  <c r="QD29" i="18"/>
  <c r="QE29" i="18"/>
  <c r="QF29" i="18"/>
  <c r="QG29" i="18"/>
  <c r="QH29" i="18"/>
  <c r="QI29" i="18"/>
  <c r="QJ29" i="18"/>
  <c r="QK29" i="18"/>
  <c r="QL29" i="18"/>
  <c r="QM29" i="18"/>
  <c r="QN29" i="18"/>
  <c r="QO29" i="18"/>
  <c r="QP29" i="18"/>
  <c r="QQ29" i="18"/>
  <c r="QR29"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Y30" i="18"/>
  <c r="CZ30" i="18"/>
  <c r="DA30" i="18"/>
  <c r="DB30" i="18"/>
  <c r="DC30" i="18"/>
  <c r="DD30" i="18"/>
  <c r="DE30" i="18"/>
  <c r="DF30" i="18"/>
  <c r="DG30" i="18"/>
  <c r="DH30" i="18"/>
  <c r="DI30" i="18"/>
  <c r="DJ30" i="18"/>
  <c r="DK30" i="18"/>
  <c r="DL30" i="18"/>
  <c r="DM30" i="18"/>
  <c r="DN30" i="18"/>
  <c r="DO30" i="18"/>
  <c r="DP30" i="18"/>
  <c r="DQ30" i="18"/>
  <c r="DR30" i="18"/>
  <c r="DS30" i="18"/>
  <c r="DT30" i="18"/>
  <c r="DU30" i="18"/>
  <c r="DV30" i="18"/>
  <c r="DW30" i="18"/>
  <c r="DX30" i="18"/>
  <c r="DY30" i="18"/>
  <c r="DZ30" i="18"/>
  <c r="EA30" i="18"/>
  <c r="EB30" i="18"/>
  <c r="EC30" i="18"/>
  <c r="ED30" i="18"/>
  <c r="EE30" i="18"/>
  <c r="EF30" i="18"/>
  <c r="EG30" i="18"/>
  <c r="EH30" i="18"/>
  <c r="EI30" i="18"/>
  <c r="EJ30" i="18"/>
  <c r="EK30" i="18"/>
  <c r="EL30" i="18"/>
  <c r="EM30" i="18"/>
  <c r="EN30" i="18"/>
  <c r="EO30" i="18"/>
  <c r="EP30" i="18"/>
  <c r="EQ30" i="18"/>
  <c r="ER30" i="18"/>
  <c r="ES30" i="18"/>
  <c r="ET30" i="18"/>
  <c r="EU30" i="18"/>
  <c r="EV30" i="18"/>
  <c r="EW30" i="18"/>
  <c r="EX30" i="18"/>
  <c r="EY30" i="18"/>
  <c r="EZ30" i="18"/>
  <c r="FA30" i="18"/>
  <c r="FB30" i="18"/>
  <c r="FC30" i="18"/>
  <c r="FD30" i="18"/>
  <c r="FE30" i="18"/>
  <c r="FF30" i="18"/>
  <c r="FG30" i="18"/>
  <c r="FH30" i="18"/>
  <c r="FI30" i="18"/>
  <c r="FJ30" i="18"/>
  <c r="FK30" i="18"/>
  <c r="FL30" i="18"/>
  <c r="FM30" i="18"/>
  <c r="FN30" i="18"/>
  <c r="FO30" i="18"/>
  <c r="FP30" i="18"/>
  <c r="FQ30" i="18"/>
  <c r="FR30" i="18"/>
  <c r="FS30" i="18"/>
  <c r="FT30" i="18"/>
  <c r="FU30" i="18"/>
  <c r="FV30" i="18"/>
  <c r="FW30" i="18"/>
  <c r="FX30" i="18"/>
  <c r="FY30" i="18"/>
  <c r="FZ30" i="18"/>
  <c r="GA30" i="18"/>
  <c r="GB30" i="18"/>
  <c r="GC30" i="18"/>
  <c r="GD30" i="18"/>
  <c r="GE30" i="18"/>
  <c r="GF30" i="18"/>
  <c r="GG30" i="18"/>
  <c r="GH30" i="18"/>
  <c r="GI30" i="18"/>
  <c r="GJ30" i="18"/>
  <c r="GK30" i="18"/>
  <c r="GL30" i="18"/>
  <c r="GM30" i="18"/>
  <c r="GN30" i="18"/>
  <c r="GO30" i="18"/>
  <c r="GP30" i="18"/>
  <c r="GQ30" i="18"/>
  <c r="GR30" i="18"/>
  <c r="GS30" i="18"/>
  <c r="GT30" i="18"/>
  <c r="GU30" i="18"/>
  <c r="GV30" i="18"/>
  <c r="GW30" i="18"/>
  <c r="GX30" i="18"/>
  <c r="GY30" i="18"/>
  <c r="GZ30" i="18"/>
  <c r="HA30" i="18"/>
  <c r="HB30" i="18"/>
  <c r="HC30" i="18"/>
  <c r="HD30" i="18"/>
  <c r="HE30" i="18"/>
  <c r="HF30" i="18"/>
  <c r="HG30" i="18"/>
  <c r="HH30" i="18"/>
  <c r="HI30" i="18"/>
  <c r="HJ30" i="18"/>
  <c r="HK30" i="18"/>
  <c r="HL30" i="18"/>
  <c r="HM30" i="18"/>
  <c r="HN30" i="18"/>
  <c r="HO30" i="18"/>
  <c r="HP30" i="18"/>
  <c r="HQ30" i="18"/>
  <c r="HR30" i="18"/>
  <c r="HS30" i="18"/>
  <c r="HT30" i="18"/>
  <c r="HU30" i="18"/>
  <c r="HV30" i="18"/>
  <c r="HW30" i="18"/>
  <c r="HX30" i="18"/>
  <c r="HY30" i="18"/>
  <c r="HZ30" i="18"/>
  <c r="IA30" i="18"/>
  <c r="IB30" i="18"/>
  <c r="IC30" i="18"/>
  <c r="ID30" i="18"/>
  <c r="IE30" i="18"/>
  <c r="IF30" i="18"/>
  <c r="IG30" i="18"/>
  <c r="IH30" i="18"/>
  <c r="II30" i="18"/>
  <c r="IJ30" i="18"/>
  <c r="IK30" i="18"/>
  <c r="IL30" i="18"/>
  <c r="IM30" i="18"/>
  <c r="IN30" i="18"/>
  <c r="IO30" i="18"/>
  <c r="IP30" i="18"/>
  <c r="IQ30" i="18"/>
  <c r="IR30" i="18"/>
  <c r="IS30" i="18"/>
  <c r="IT30" i="18"/>
  <c r="IU30" i="18"/>
  <c r="IV30" i="18"/>
  <c r="IW30" i="18"/>
  <c r="IX30" i="18"/>
  <c r="IY30" i="18"/>
  <c r="IZ30" i="18"/>
  <c r="JA30" i="18"/>
  <c r="JB30" i="18"/>
  <c r="JC30" i="18"/>
  <c r="JD30" i="18"/>
  <c r="JE30" i="18"/>
  <c r="JF30" i="18"/>
  <c r="JG30" i="18"/>
  <c r="JH30" i="18"/>
  <c r="JI30" i="18"/>
  <c r="JJ30" i="18"/>
  <c r="JK30" i="18"/>
  <c r="JL30" i="18"/>
  <c r="JM30" i="18"/>
  <c r="JN30" i="18"/>
  <c r="JO30" i="18"/>
  <c r="JP30" i="18"/>
  <c r="JQ30" i="18"/>
  <c r="JR30" i="18"/>
  <c r="JS30" i="18"/>
  <c r="JT30" i="18"/>
  <c r="JU30" i="18"/>
  <c r="JV30" i="18"/>
  <c r="JW30" i="18"/>
  <c r="JX30" i="18"/>
  <c r="JY30" i="18"/>
  <c r="JZ30" i="18"/>
  <c r="KA30" i="18"/>
  <c r="KB30" i="18"/>
  <c r="KC30" i="18"/>
  <c r="KD30" i="18"/>
  <c r="KE30" i="18"/>
  <c r="KF30" i="18"/>
  <c r="KG30" i="18"/>
  <c r="KH30" i="18"/>
  <c r="KI30" i="18"/>
  <c r="KJ30" i="18"/>
  <c r="KK30" i="18"/>
  <c r="KL30" i="18"/>
  <c r="KM30" i="18"/>
  <c r="KN30" i="18"/>
  <c r="KO30" i="18"/>
  <c r="KP30" i="18"/>
  <c r="KQ30" i="18"/>
  <c r="KR30" i="18"/>
  <c r="KS30" i="18"/>
  <c r="KT30" i="18"/>
  <c r="KU30" i="18"/>
  <c r="KV30" i="18"/>
  <c r="KW30" i="18"/>
  <c r="KX30" i="18"/>
  <c r="KY30" i="18"/>
  <c r="KZ30" i="18"/>
  <c r="LA30" i="18"/>
  <c r="LB30" i="18"/>
  <c r="LC30" i="18"/>
  <c r="LD30" i="18"/>
  <c r="LE30" i="18"/>
  <c r="LF30" i="18"/>
  <c r="LG30" i="18"/>
  <c r="LH30" i="18"/>
  <c r="LI30" i="18"/>
  <c r="LJ30" i="18"/>
  <c r="LK30" i="18"/>
  <c r="LL30" i="18"/>
  <c r="LM30" i="18"/>
  <c r="LN30" i="18"/>
  <c r="LO30" i="18"/>
  <c r="LP30" i="18"/>
  <c r="LQ30" i="18"/>
  <c r="LR30" i="18"/>
  <c r="LS30" i="18"/>
  <c r="LT30" i="18"/>
  <c r="LU30" i="18"/>
  <c r="LV30" i="18"/>
  <c r="LW30" i="18"/>
  <c r="LX30" i="18"/>
  <c r="LY30" i="18"/>
  <c r="LZ30" i="18"/>
  <c r="MA30" i="18"/>
  <c r="MB30" i="18"/>
  <c r="MC30" i="18"/>
  <c r="MD30" i="18"/>
  <c r="ME30" i="18"/>
  <c r="MF30" i="18"/>
  <c r="MG30" i="18"/>
  <c r="MH30" i="18"/>
  <c r="MI30" i="18"/>
  <c r="MJ30" i="18"/>
  <c r="MK30" i="18"/>
  <c r="ML30" i="18"/>
  <c r="MM30" i="18"/>
  <c r="MN30" i="18"/>
  <c r="MO30" i="18"/>
  <c r="MP30" i="18"/>
  <c r="MQ30" i="18"/>
  <c r="MR30" i="18"/>
  <c r="MS30" i="18"/>
  <c r="MT30" i="18"/>
  <c r="MU30" i="18"/>
  <c r="MV30" i="18"/>
  <c r="MW30" i="18"/>
  <c r="MX30" i="18"/>
  <c r="MY30" i="18"/>
  <c r="MZ30" i="18"/>
  <c r="NA30" i="18"/>
  <c r="NB30" i="18"/>
  <c r="NC30" i="18"/>
  <c r="ND30" i="18"/>
  <c r="NE30" i="18"/>
  <c r="NF30" i="18"/>
  <c r="NG30" i="18"/>
  <c r="NH30" i="18"/>
  <c r="NI30" i="18"/>
  <c r="NJ30" i="18"/>
  <c r="NK30" i="18"/>
  <c r="NL30" i="18"/>
  <c r="NM30" i="18"/>
  <c r="NN30" i="18"/>
  <c r="NO30" i="18"/>
  <c r="NP30" i="18"/>
  <c r="NQ30" i="18"/>
  <c r="NR30" i="18"/>
  <c r="NS30" i="18"/>
  <c r="NT30" i="18"/>
  <c r="NU30" i="18"/>
  <c r="NV30" i="18"/>
  <c r="NW30" i="18"/>
  <c r="NX30" i="18"/>
  <c r="NY30" i="18"/>
  <c r="NZ30" i="18"/>
  <c r="OA30" i="18"/>
  <c r="OB30" i="18"/>
  <c r="OC30" i="18"/>
  <c r="OD30" i="18"/>
  <c r="OE30" i="18"/>
  <c r="OF30" i="18"/>
  <c r="OG30" i="18"/>
  <c r="OH30" i="18"/>
  <c r="OI30" i="18"/>
  <c r="OJ30" i="18"/>
  <c r="OK30" i="18"/>
  <c r="OL30" i="18"/>
  <c r="OM30" i="18"/>
  <c r="ON30" i="18"/>
  <c r="OO30" i="18"/>
  <c r="OP30" i="18"/>
  <c r="OQ30" i="18"/>
  <c r="OR30" i="18"/>
  <c r="OS30" i="18"/>
  <c r="OT30" i="18"/>
  <c r="OU30" i="18"/>
  <c r="OV30" i="18"/>
  <c r="OW30" i="18"/>
  <c r="OX30" i="18"/>
  <c r="OY30" i="18"/>
  <c r="OZ30" i="18"/>
  <c r="PA30" i="18"/>
  <c r="PB30" i="18"/>
  <c r="PC30" i="18"/>
  <c r="PD30" i="18"/>
  <c r="PE30" i="18"/>
  <c r="PF30" i="18"/>
  <c r="PG30" i="18"/>
  <c r="PH30" i="18"/>
  <c r="PI30" i="18"/>
  <c r="PJ30" i="18"/>
  <c r="PK30" i="18"/>
  <c r="PL30" i="18"/>
  <c r="PM30" i="18"/>
  <c r="PN30" i="18"/>
  <c r="PO30" i="18"/>
  <c r="PP30" i="18"/>
  <c r="PQ30" i="18"/>
  <c r="PR30" i="18"/>
  <c r="PS30" i="18"/>
  <c r="PT30" i="18"/>
  <c r="PU30" i="18"/>
  <c r="PV30" i="18"/>
  <c r="PW30" i="18"/>
  <c r="PX30" i="18"/>
  <c r="PY30" i="18"/>
  <c r="PZ30" i="18"/>
  <c r="QA30" i="18"/>
  <c r="QB30" i="18"/>
  <c r="QC30" i="18"/>
  <c r="QD30" i="18"/>
  <c r="QE30" i="18"/>
  <c r="QF30" i="18"/>
  <c r="QG30" i="18"/>
  <c r="QH30" i="18"/>
  <c r="QI30" i="18"/>
  <c r="QJ30" i="18"/>
  <c r="QK30" i="18"/>
  <c r="QL30" i="18"/>
  <c r="QM30" i="18"/>
  <c r="QN30" i="18"/>
  <c r="QO30" i="18"/>
  <c r="QP30" i="18"/>
  <c r="QQ30" i="18"/>
  <c r="QR30"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Y31" i="18"/>
  <c r="CZ31" i="18"/>
  <c r="DA31" i="18"/>
  <c r="DB31" i="18"/>
  <c r="DC31" i="18"/>
  <c r="DD31" i="18"/>
  <c r="DE31" i="18"/>
  <c r="DF31" i="18"/>
  <c r="DG31" i="18"/>
  <c r="DH31" i="18"/>
  <c r="DI31" i="18"/>
  <c r="DJ31" i="18"/>
  <c r="DK31" i="18"/>
  <c r="DL31" i="18"/>
  <c r="DM31" i="18"/>
  <c r="DN31" i="18"/>
  <c r="DO31" i="18"/>
  <c r="DP31" i="18"/>
  <c r="DQ31" i="18"/>
  <c r="DR31" i="18"/>
  <c r="DS31" i="18"/>
  <c r="DT31" i="18"/>
  <c r="DU31" i="18"/>
  <c r="DV31" i="18"/>
  <c r="DW31" i="18"/>
  <c r="DX31" i="18"/>
  <c r="DY31" i="18"/>
  <c r="DZ31" i="18"/>
  <c r="EA31" i="18"/>
  <c r="EB31" i="18"/>
  <c r="EC31" i="18"/>
  <c r="ED31" i="18"/>
  <c r="EE31" i="18"/>
  <c r="EF31" i="18"/>
  <c r="EG31" i="18"/>
  <c r="EH31" i="18"/>
  <c r="EI31" i="18"/>
  <c r="EJ31" i="18"/>
  <c r="EK31" i="18"/>
  <c r="EL31" i="18"/>
  <c r="EM31" i="18"/>
  <c r="EN31" i="18"/>
  <c r="EO31" i="18"/>
  <c r="EP31" i="18"/>
  <c r="EQ31" i="18"/>
  <c r="ER31" i="18"/>
  <c r="ES31" i="18"/>
  <c r="ET31" i="18"/>
  <c r="EU31" i="18"/>
  <c r="EV31" i="18"/>
  <c r="EW31" i="18"/>
  <c r="EX31" i="18"/>
  <c r="EY31" i="18"/>
  <c r="EZ31" i="18"/>
  <c r="FA31" i="18"/>
  <c r="FB31" i="18"/>
  <c r="FC31" i="18"/>
  <c r="FD31" i="18"/>
  <c r="FE31" i="18"/>
  <c r="FF31" i="18"/>
  <c r="FG31" i="18"/>
  <c r="FH31" i="18"/>
  <c r="FI31" i="18"/>
  <c r="FJ31" i="18"/>
  <c r="FK31" i="18"/>
  <c r="FL31" i="18"/>
  <c r="FM31" i="18"/>
  <c r="FN31" i="18"/>
  <c r="FO31" i="18"/>
  <c r="FP31" i="18"/>
  <c r="FQ31" i="18"/>
  <c r="FR31" i="18"/>
  <c r="FS31" i="18"/>
  <c r="FT31" i="18"/>
  <c r="FU31" i="18"/>
  <c r="FV31" i="18"/>
  <c r="FW31" i="18"/>
  <c r="FX31" i="18"/>
  <c r="FY31" i="18"/>
  <c r="FZ31" i="18"/>
  <c r="GA31" i="18"/>
  <c r="GB31" i="18"/>
  <c r="GC31" i="18"/>
  <c r="GD31" i="18"/>
  <c r="GE31" i="18"/>
  <c r="GF31" i="18"/>
  <c r="GG31" i="18"/>
  <c r="GH31" i="18"/>
  <c r="GI31" i="18"/>
  <c r="GJ31" i="18"/>
  <c r="GK31" i="18"/>
  <c r="GL31" i="18"/>
  <c r="GM31" i="18"/>
  <c r="GN31" i="18"/>
  <c r="GO31" i="18"/>
  <c r="GP31" i="18"/>
  <c r="GQ31" i="18"/>
  <c r="GR31" i="18"/>
  <c r="GS31" i="18"/>
  <c r="GT31" i="18"/>
  <c r="GU31" i="18"/>
  <c r="GV31" i="18"/>
  <c r="GW31" i="18"/>
  <c r="GX31" i="18"/>
  <c r="GY31" i="18"/>
  <c r="GZ31" i="18"/>
  <c r="HA31" i="18"/>
  <c r="HB31" i="18"/>
  <c r="HC31" i="18"/>
  <c r="HD31" i="18"/>
  <c r="HE31" i="18"/>
  <c r="HF31" i="18"/>
  <c r="HG31" i="18"/>
  <c r="HH31" i="18"/>
  <c r="HI31" i="18"/>
  <c r="HJ31" i="18"/>
  <c r="HK31" i="18"/>
  <c r="HL31" i="18"/>
  <c r="HM31" i="18"/>
  <c r="HN31" i="18"/>
  <c r="HO31" i="18"/>
  <c r="HP31" i="18"/>
  <c r="HQ31" i="18"/>
  <c r="HR31" i="18"/>
  <c r="HS31" i="18"/>
  <c r="HT31" i="18"/>
  <c r="HU31" i="18"/>
  <c r="HV31" i="18"/>
  <c r="HW31" i="18"/>
  <c r="HX31" i="18"/>
  <c r="HY31" i="18"/>
  <c r="HZ31" i="18"/>
  <c r="IA31" i="18"/>
  <c r="IB31" i="18"/>
  <c r="IC31" i="18"/>
  <c r="ID31" i="18"/>
  <c r="IE31" i="18"/>
  <c r="IF31" i="18"/>
  <c r="IG31" i="18"/>
  <c r="IH31" i="18"/>
  <c r="II31" i="18"/>
  <c r="IJ31" i="18"/>
  <c r="IK31" i="18"/>
  <c r="IL31" i="18"/>
  <c r="IM31" i="18"/>
  <c r="IN31" i="18"/>
  <c r="IO31" i="18"/>
  <c r="IP31" i="18"/>
  <c r="IQ31" i="18"/>
  <c r="IR31" i="18"/>
  <c r="IS31" i="18"/>
  <c r="IT31" i="18"/>
  <c r="IU31" i="18"/>
  <c r="IV31" i="18"/>
  <c r="IW31" i="18"/>
  <c r="IX31" i="18"/>
  <c r="IY31" i="18"/>
  <c r="IZ31" i="18"/>
  <c r="JA31" i="18"/>
  <c r="JB31" i="18"/>
  <c r="JC31" i="18"/>
  <c r="JD31" i="18"/>
  <c r="JE31" i="18"/>
  <c r="JF31" i="18"/>
  <c r="JG31" i="18"/>
  <c r="JH31" i="18"/>
  <c r="JI31" i="18"/>
  <c r="JJ31" i="18"/>
  <c r="JK31" i="18"/>
  <c r="JL31" i="18"/>
  <c r="JM31" i="18"/>
  <c r="JN31" i="18"/>
  <c r="JO31" i="18"/>
  <c r="JP31" i="18"/>
  <c r="JQ31" i="18"/>
  <c r="JR31" i="18"/>
  <c r="JS31" i="18"/>
  <c r="JT31" i="18"/>
  <c r="JU31" i="18"/>
  <c r="JV31" i="18"/>
  <c r="JW31" i="18"/>
  <c r="JX31" i="18"/>
  <c r="JY31" i="18"/>
  <c r="JZ31" i="18"/>
  <c r="KA31" i="18"/>
  <c r="KB31" i="18"/>
  <c r="KC31" i="18"/>
  <c r="KD31" i="18"/>
  <c r="KE31" i="18"/>
  <c r="KF31" i="18"/>
  <c r="KG31" i="18"/>
  <c r="KH31" i="18"/>
  <c r="KI31" i="18"/>
  <c r="KJ31" i="18"/>
  <c r="KK31" i="18"/>
  <c r="KL31" i="18"/>
  <c r="KM31" i="18"/>
  <c r="KN31" i="18"/>
  <c r="KO31" i="18"/>
  <c r="KP31" i="18"/>
  <c r="KQ31" i="18"/>
  <c r="KR31" i="18"/>
  <c r="KS31" i="18"/>
  <c r="KT31" i="18"/>
  <c r="KU31" i="18"/>
  <c r="KV31" i="18"/>
  <c r="KW31" i="18"/>
  <c r="KX31" i="18"/>
  <c r="KY31" i="18"/>
  <c r="KZ31" i="18"/>
  <c r="LA31" i="18"/>
  <c r="LB31" i="18"/>
  <c r="LC31" i="18"/>
  <c r="LD31" i="18"/>
  <c r="LE31" i="18"/>
  <c r="LF31" i="18"/>
  <c r="LG31" i="18"/>
  <c r="LH31" i="18"/>
  <c r="LI31" i="18"/>
  <c r="LJ31" i="18"/>
  <c r="LK31" i="18"/>
  <c r="LL31" i="18"/>
  <c r="LM31" i="18"/>
  <c r="LN31" i="18"/>
  <c r="LO31" i="18"/>
  <c r="LP31" i="18"/>
  <c r="LQ31" i="18"/>
  <c r="LR31" i="18"/>
  <c r="LS31" i="18"/>
  <c r="LT31" i="18"/>
  <c r="LU31" i="18"/>
  <c r="LV31" i="18"/>
  <c r="LW31" i="18"/>
  <c r="LX31" i="18"/>
  <c r="LY31" i="18"/>
  <c r="LZ31" i="18"/>
  <c r="MA31" i="18"/>
  <c r="MB31" i="18"/>
  <c r="MC31" i="18"/>
  <c r="MD31" i="18"/>
  <c r="ME31" i="18"/>
  <c r="MF31" i="18"/>
  <c r="MG31" i="18"/>
  <c r="MH31" i="18"/>
  <c r="MI31" i="18"/>
  <c r="MJ31" i="18"/>
  <c r="MK31" i="18"/>
  <c r="ML31" i="18"/>
  <c r="MM31" i="18"/>
  <c r="MN31" i="18"/>
  <c r="MO31" i="18"/>
  <c r="MP31" i="18"/>
  <c r="MQ31" i="18"/>
  <c r="MR31" i="18"/>
  <c r="MS31" i="18"/>
  <c r="MT31" i="18"/>
  <c r="MU31" i="18"/>
  <c r="MV31" i="18"/>
  <c r="MW31" i="18"/>
  <c r="MX31" i="18"/>
  <c r="MY31" i="18"/>
  <c r="MZ31" i="18"/>
  <c r="NA31" i="18"/>
  <c r="NB31" i="18"/>
  <c r="NC31" i="18"/>
  <c r="ND31" i="18"/>
  <c r="NE31" i="18"/>
  <c r="NF31" i="18"/>
  <c r="NG31" i="18"/>
  <c r="NH31" i="18"/>
  <c r="NI31" i="18"/>
  <c r="NJ31" i="18"/>
  <c r="NK31" i="18"/>
  <c r="NL31" i="18"/>
  <c r="NM31" i="18"/>
  <c r="NN31" i="18"/>
  <c r="NO31" i="18"/>
  <c r="NP31" i="18"/>
  <c r="NQ31" i="18"/>
  <c r="NR31" i="18"/>
  <c r="NS31" i="18"/>
  <c r="NT31" i="18"/>
  <c r="NU31" i="18"/>
  <c r="NV31" i="18"/>
  <c r="NW31" i="18"/>
  <c r="NX31" i="18"/>
  <c r="NY31" i="18"/>
  <c r="NZ31" i="18"/>
  <c r="OA31" i="18"/>
  <c r="OB31" i="18"/>
  <c r="OC31" i="18"/>
  <c r="OD31" i="18"/>
  <c r="OE31" i="18"/>
  <c r="OF31" i="18"/>
  <c r="OG31" i="18"/>
  <c r="OH31" i="18"/>
  <c r="OI31" i="18"/>
  <c r="OJ31" i="18"/>
  <c r="OK31" i="18"/>
  <c r="OL31" i="18"/>
  <c r="OM31" i="18"/>
  <c r="ON31" i="18"/>
  <c r="OO31" i="18"/>
  <c r="OP31" i="18"/>
  <c r="OQ31" i="18"/>
  <c r="OR31" i="18"/>
  <c r="OS31" i="18"/>
  <c r="OT31" i="18"/>
  <c r="OU31" i="18"/>
  <c r="OV31" i="18"/>
  <c r="OW31" i="18"/>
  <c r="OX31" i="18"/>
  <c r="OY31" i="18"/>
  <c r="OZ31" i="18"/>
  <c r="PA31" i="18"/>
  <c r="PB31" i="18"/>
  <c r="PC31" i="18"/>
  <c r="PD31" i="18"/>
  <c r="PE31" i="18"/>
  <c r="PF31" i="18"/>
  <c r="PG31" i="18"/>
  <c r="PH31" i="18"/>
  <c r="PI31" i="18"/>
  <c r="PJ31" i="18"/>
  <c r="PK31" i="18"/>
  <c r="PL31" i="18"/>
  <c r="PM31" i="18"/>
  <c r="PN31" i="18"/>
  <c r="PO31" i="18"/>
  <c r="PP31" i="18"/>
  <c r="PQ31" i="18"/>
  <c r="PR31" i="18"/>
  <c r="PS31" i="18"/>
  <c r="PT31" i="18"/>
  <c r="PU31" i="18"/>
  <c r="PV31" i="18"/>
  <c r="PW31" i="18"/>
  <c r="PX31" i="18"/>
  <c r="PY31" i="18"/>
  <c r="PZ31" i="18"/>
  <c r="QA31" i="18"/>
  <c r="QB31" i="18"/>
  <c r="QC31" i="18"/>
  <c r="QD31" i="18"/>
  <c r="QE31" i="18"/>
  <c r="QF31" i="18"/>
  <c r="QG31" i="18"/>
  <c r="QH31" i="18"/>
  <c r="QI31" i="18"/>
  <c r="QJ31" i="18"/>
  <c r="QK31" i="18"/>
  <c r="QL31" i="18"/>
  <c r="QM31" i="18"/>
  <c r="QN31" i="18"/>
  <c r="QO31" i="18"/>
  <c r="QP31" i="18"/>
  <c r="QQ31" i="18"/>
  <c r="QR31"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Y32" i="18"/>
  <c r="CZ32" i="18"/>
  <c r="DA32" i="18"/>
  <c r="DB32" i="18"/>
  <c r="DC32" i="18"/>
  <c r="DD32" i="18"/>
  <c r="DE32" i="18"/>
  <c r="DF32" i="18"/>
  <c r="DG32" i="18"/>
  <c r="DH32" i="18"/>
  <c r="DI32" i="18"/>
  <c r="DJ32" i="18"/>
  <c r="DK32" i="18"/>
  <c r="DL32" i="18"/>
  <c r="DM32" i="18"/>
  <c r="DN32" i="18"/>
  <c r="DO32" i="18"/>
  <c r="DP32" i="18"/>
  <c r="DQ32" i="18"/>
  <c r="DR32" i="18"/>
  <c r="DS32" i="18"/>
  <c r="DT32" i="18"/>
  <c r="DU32" i="18"/>
  <c r="DV32" i="18"/>
  <c r="DW32" i="18"/>
  <c r="DX32" i="18"/>
  <c r="DY32" i="18"/>
  <c r="DZ32" i="18"/>
  <c r="EA32" i="18"/>
  <c r="EB32" i="18"/>
  <c r="EC32" i="18"/>
  <c r="ED32" i="18"/>
  <c r="EE32" i="18"/>
  <c r="EF32" i="18"/>
  <c r="EG32" i="18"/>
  <c r="EH32" i="18"/>
  <c r="EI32" i="18"/>
  <c r="EJ32" i="18"/>
  <c r="EK32" i="18"/>
  <c r="EL32" i="18"/>
  <c r="EM32" i="18"/>
  <c r="EN32" i="18"/>
  <c r="EO32" i="18"/>
  <c r="EP32" i="18"/>
  <c r="EQ32" i="18"/>
  <c r="ER32" i="18"/>
  <c r="ES32" i="18"/>
  <c r="ET32" i="18"/>
  <c r="EU32" i="18"/>
  <c r="EV32" i="18"/>
  <c r="EW32" i="18"/>
  <c r="EX32" i="18"/>
  <c r="EY32" i="18"/>
  <c r="EZ32" i="18"/>
  <c r="FA32" i="18"/>
  <c r="FB32" i="18"/>
  <c r="FC32" i="18"/>
  <c r="FD32" i="18"/>
  <c r="FE32" i="18"/>
  <c r="FF32" i="18"/>
  <c r="FG32" i="18"/>
  <c r="FH32" i="18"/>
  <c r="FI32" i="18"/>
  <c r="FJ32" i="18"/>
  <c r="FK32" i="18"/>
  <c r="FL32" i="18"/>
  <c r="FM32" i="18"/>
  <c r="FN32" i="18"/>
  <c r="FO32" i="18"/>
  <c r="FP32" i="18"/>
  <c r="FQ32" i="18"/>
  <c r="FR32" i="18"/>
  <c r="FS32" i="18"/>
  <c r="FT32" i="18"/>
  <c r="FU32" i="18"/>
  <c r="FV32" i="18"/>
  <c r="FW32" i="18"/>
  <c r="FX32" i="18"/>
  <c r="FY32" i="18"/>
  <c r="FZ32" i="18"/>
  <c r="GA32" i="18"/>
  <c r="GB32" i="18"/>
  <c r="GC32" i="18"/>
  <c r="GD32" i="18"/>
  <c r="GE32" i="18"/>
  <c r="GF32" i="18"/>
  <c r="GG32" i="18"/>
  <c r="GH32" i="18"/>
  <c r="GI32" i="18"/>
  <c r="GJ32" i="18"/>
  <c r="GK32" i="18"/>
  <c r="GL32" i="18"/>
  <c r="GM32" i="18"/>
  <c r="GN32" i="18"/>
  <c r="GO32" i="18"/>
  <c r="GP32" i="18"/>
  <c r="GQ32" i="18"/>
  <c r="GR32" i="18"/>
  <c r="GS32" i="18"/>
  <c r="GT32" i="18"/>
  <c r="GU32" i="18"/>
  <c r="GV32" i="18"/>
  <c r="GW32" i="18"/>
  <c r="GX32" i="18"/>
  <c r="GY32" i="18"/>
  <c r="GZ32" i="18"/>
  <c r="HA32" i="18"/>
  <c r="HB32" i="18"/>
  <c r="HC32" i="18"/>
  <c r="HD32" i="18"/>
  <c r="HE32" i="18"/>
  <c r="HF32" i="18"/>
  <c r="HG32" i="18"/>
  <c r="HH32" i="18"/>
  <c r="HI32" i="18"/>
  <c r="HJ32" i="18"/>
  <c r="HK32" i="18"/>
  <c r="HL32" i="18"/>
  <c r="HM32" i="18"/>
  <c r="HN32" i="18"/>
  <c r="HO32" i="18"/>
  <c r="HP32" i="18"/>
  <c r="HQ32" i="18"/>
  <c r="HR32" i="18"/>
  <c r="HS32" i="18"/>
  <c r="HT32" i="18"/>
  <c r="HU32" i="18"/>
  <c r="HV32" i="18"/>
  <c r="HW32" i="18"/>
  <c r="HX32" i="18"/>
  <c r="HY32" i="18"/>
  <c r="HZ32" i="18"/>
  <c r="IA32" i="18"/>
  <c r="IB32" i="18"/>
  <c r="IC32" i="18"/>
  <c r="ID32" i="18"/>
  <c r="IE32" i="18"/>
  <c r="IF32" i="18"/>
  <c r="IG32" i="18"/>
  <c r="IH32" i="18"/>
  <c r="II32" i="18"/>
  <c r="IJ32" i="18"/>
  <c r="IK32" i="18"/>
  <c r="IL32" i="18"/>
  <c r="IM32" i="18"/>
  <c r="IN32" i="18"/>
  <c r="IO32" i="18"/>
  <c r="IP32" i="18"/>
  <c r="IQ32" i="18"/>
  <c r="IR32" i="18"/>
  <c r="IS32" i="18"/>
  <c r="IT32" i="18"/>
  <c r="IU32" i="18"/>
  <c r="IV32" i="18"/>
  <c r="IW32" i="18"/>
  <c r="IX32" i="18"/>
  <c r="IY32" i="18"/>
  <c r="IZ32" i="18"/>
  <c r="JA32" i="18"/>
  <c r="JB32" i="18"/>
  <c r="JC32" i="18"/>
  <c r="JD32" i="18"/>
  <c r="JE32" i="18"/>
  <c r="JF32" i="18"/>
  <c r="JG32" i="18"/>
  <c r="JH32" i="18"/>
  <c r="JI32" i="18"/>
  <c r="JJ32" i="18"/>
  <c r="JK32" i="18"/>
  <c r="JL32" i="18"/>
  <c r="JM32" i="18"/>
  <c r="JN32" i="18"/>
  <c r="JO32" i="18"/>
  <c r="JP32" i="18"/>
  <c r="JQ32" i="18"/>
  <c r="JR32" i="18"/>
  <c r="JS32" i="18"/>
  <c r="JT32" i="18"/>
  <c r="JU32" i="18"/>
  <c r="JV32" i="18"/>
  <c r="JW32" i="18"/>
  <c r="JX32" i="18"/>
  <c r="JY32" i="18"/>
  <c r="JZ32" i="18"/>
  <c r="KA32" i="18"/>
  <c r="KB32" i="18"/>
  <c r="KC32" i="18"/>
  <c r="KD32" i="18"/>
  <c r="KE32" i="18"/>
  <c r="KF32" i="18"/>
  <c r="KG32" i="18"/>
  <c r="KH32" i="18"/>
  <c r="KI32" i="18"/>
  <c r="KJ32" i="18"/>
  <c r="KK32" i="18"/>
  <c r="KL32" i="18"/>
  <c r="KM32" i="18"/>
  <c r="KN32" i="18"/>
  <c r="KO32" i="18"/>
  <c r="KP32" i="18"/>
  <c r="KQ32" i="18"/>
  <c r="KR32" i="18"/>
  <c r="KS32" i="18"/>
  <c r="KT32" i="18"/>
  <c r="KU32" i="18"/>
  <c r="KV32" i="18"/>
  <c r="KW32" i="18"/>
  <c r="KX32" i="18"/>
  <c r="KY32" i="18"/>
  <c r="KZ32" i="18"/>
  <c r="LA32" i="18"/>
  <c r="LB32" i="18"/>
  <c r="LC32" i="18"/>
  <c r="LD32" i="18"/>
  <c r="LE32" i="18"/>
  <c r="LF32" i="18"/>
  <c r="LG32" i="18"/>
  <c r="LH32" i="18"/>
  <c r="LI32" i="18"/>
  <c r="LJ32" i="18"/>
  <c r="LK32" i="18"/>
  <c r="LL32" i="18"/>
  <c r="LM32" i="18"/>
  <c r="LN32" i="18"/>
  <c r="LO32" i="18"/>
  <c r="LP32" i="18"/>
  <c r="LQ32" i="18"/>
  <c r="LR32" i="18"/>
  <c r="LS32" i="18"/>
  <c r="LT32" i="18"/>
  <c r="LU32" i="18"/>
  <c r="LV32" i="18"/>
  <c r="LW32" i="18"/>
  <c r="LX32" i="18"/>
  <c r="LY32" i="18"/>
  <c r="LZ32" i="18"/>
  <c r="MA32" i="18"/>
  <c r="MB32" i="18"/>
  <c r="MC32" i="18"/>
  <c r="MD32" i="18"/>
  <c r="ME32" i="18"/>
  <c r="MF32" i="18"/>
  <c r="MG32" i="18"/>
  <c r="MH32" i="18"/>
  <c r="MI32" i="18"/>
  <c r="MJ32" i="18"/>
  <c r="MK32" i="18"/>
  <c r="ML32" i="18"/>
  <c r="MM32" i="18"/>
  <c r="MN32" i="18"/>
  <c r="MO32" i="18"/>
  <c r="MP32" i="18"/>
  <c r="MQ32" i="18"/>
  <c r="MR32" i="18"/>
  <c r="MS32" i="18"/>
  <c r="MT32" i="18"/>
  <c r="MU32" i="18"/>
  <c r="MV32" i="18"/>
  <c r="MW32" i="18"/>
  <c r="MX32" i="18"/>
  <c r="MY32" i="18"/>
  <c r="MZ32" i="18"/>
  <c r="NA32" i="18"/>
  <c r="NB32" i="18"/>
  <c r="NC32" i="18"/>
  <c r="ND32" i="18"/>
  <c r="NE32" i="18"/>
  <c r="NF32" i="18"/>
  <c r="NG32" i="18"/>
  <c r="NH32" i="18"/>
  <c r="NI32" i="18"/>
  <c r="NJ32" i="18"/>
  <c r="NK32" i="18"/>
  <c r="NL32" i="18"/>
  <c r="NM32" i="18"/>
  <c r="NN32" i="18"/>
  <c r="NO32" i="18"/>
  <c r="NP32" i="18"/>
  <c r="NQ32" i="18"/>
  <c r="NR32" i="18"/>
  <c r="NS32" i="18"/>
  <c r="NT32" i="18"/>
  <c r="NU32" i="18"/>
  <c r="NV32" i="18"/>
  <c r="NW32" i="18"/>
  <c r="NX32" i="18"/>
  <c r="NY32" i="18"/>
  <c r="NZ32" i="18"/>
  <c r="OA32" i="18"/>
  <c r="OB32" i="18"/>
  <c r="OC32" i="18"/>
  <c r="OD32" i="18"/>
  <c r="OE32" i="18"/>
  <c r="OF32" i="18"/>
  <c r="OG32" i="18"/>
  <c r="OH32" i="18"/>
  <c r="OI32" i="18"/>
  <c r="OJ32" i="18"/>
  <c r="OK32" i="18"/>
  <c r="OL32" i="18"/>
  <c r="OM32" i="18"/>
  <c r="ON32" i="18"/>
  <c r="OO32" i="18"/>
  <c r="OP32" i="18"/>
  <c r="OQ32" i="18"/>
  <c r="OR32" i="18"/>
  <c r="OS32" i="18"/>
  <c r="OT32" i="18"/>
  <c r="OU32" i="18"/>
  <c r="OV32" i="18"/>
  <c r="OW32" i="18"/>
  <c r="OX32" i="18"/>
  <c r="OY32" i="18"/>
  <c r="OZ32" i="18"/>
  <c r="PA32" i="18"/>
  <c r="PB32" i="18"/>
  <c r="PC32" i="18"/>
  <c r="PD32" i="18"/>
  <c r="PE32" i="18"/>
  <c r="PF32" i="18"/>
  <c r="PG32" i="18"/>
  <c r="PH32" i="18"/>
  <c r="PI32" i="18"/>
  <c r="PJ32" i="18"/>
  <c r="PK32" i="18"/>
  <c r="PL32" i="18"/>
  <c r="PM32" i="18"/>
  <c r="PN32" i="18"/>
  <c r="PO32" i="18"/>
  <c r="PP32" i="18"/>
  <c r="PQ32" i="18"/>
  <c r="PR32" i="18"/>
  <c r="PS32" i="18"/>
  <c r="PT32" i="18"/>
  <c r="PU32" i="18"/>
  <c r="PV32" i="18"/>
  <c r="PW32" i="18"/>
  <c r="PX32" i="18"/>
  <c r="PY32" i="18"/>
  <c r="PZ32" i="18"/>
  <c r="QA32" i="18"/>
  <c r="QB32" i="18"/>
  <c r="QC32" i="18"/>
  <c r="QD32" i="18"/>
  <c r="QE32" i="18"/>
  <c r="QF32" i="18"/>
  <c r="QG32" i="18"/>
  <c r="QH32" i="18"/>
  <c r="QI32" i="18"/>
  <c r="QJ32" i="18"/>
  <c r="QK32" i="18"/>
  <c r="QL32" i="18"/>
  <c r="QM32" i="18"/>
  <c r="QN32" i="18"/>
  <c r="QO32" i="18"/>
  <c r="QP32" i="18"/>
  <c r="QQ32" i="18"/>
  <c r="QR32"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Y33" i="18"/>
  <c r="CZ33" i="18"/>
  <c r="DA33" i="18"/>
  <c r="DB33" i="18"/>
  <c r="DC33" i="18"/>
  <c r="DD33" i="18"/>
  <c r="DE33" i="18"/>
  <c r="DF33" i="18"/>
  <c r="DG33" i="18"/>
  <c r="DH33" i="18"/>
  <c r="DI33" i="18"/>
  <c r="DJ33" i="18"/>
  <c r="DK33" i="18"/>
  <c r="DL33" i="18"/>
  <c r="DM33" i="18"/>
  <c r="DN33" i="18"/>
  <c r="DO33" i="18"/>
  <c r="DP33" i="18"/>
  <c r="DQ33" i="18"/>
  <c r="DR33" i="18"/>
  <c r="DS33" i="18"/>
  <c r="DT33" i="18"/>
  <c r="DU33" i="18"/>
  <c r="DV33" i="18"/>
  <c r="DW33" i="18"/>
  <c r="DX33" i="18"/>
  <c r="DY33" i="18"/>
  <c r="DZ33" i="18"/>
  <c r="EA33" i="18"/>
  <c r="EB33" i="18"/>
  <c r="EC33" i="18"/>
  <c r="ED33" i="18"/>
  <c r="EE33" i="18"/>
  <c r="EF33" i="18"/>
  <c r="EG33" i="18"/>
  <c r="EH33" i="18"/>
  <c r="EI33" i="18"/>
  <c r="EJ33" i="18"/>
  <c r="EK33" i="18"/>
  <c r="EL33" i="18"/>
  <c r="EM33" i="18"/>
  <c r="EN33" i="18"/>
  <c r="EO33" i="18"/>
  <c r="EP33" i="18"/>
  <c r="EQ33" i="18"/>
  <c r="ER33" i="18"/>
  <c r="ES33" i="18"/>
  <c r="ET33" i="18"/>
  <c r="EU33" i="18"/>
  <c r="EV33" i="18"/>
  <c r="EW33" i="18"/>
  <c r="EX33" i="18"/>
  <c r="EY33" i="18"/>
  <c r="EZ33" i="18"/>
  <c r="FA33" i="18"/>
  <c r="FB33" i="18"/>
  <c r="FC33" i="18"/>
  <c r="FD33" i="18"/>
  <c r="FE33" i="18"/>
  <c r="FF33" i="18"/>
  <c r="FG33" i="18"/>
  <c r="FH33" i="18"/>
  <c r="FI33" i="18"/>
  <c r="FJ33" i="18"/>
  <c r="FK33" i="18"/>
  <c r="FL33" i="18"/>
  <c r="FM33" i="18"/>
  <c r="FN33" i="18"/>
  <c r="FO33" i="18"/>
  <c r="FP33" i="18"/>
  <c r="FQ33" i="18"/>
  <c r="FR33" i="18"/>
  <c r="FS33" i="18"/>
  <c r="FT33" i="18"/>
  <c r="FU33" i="18"/>
  <c r="FV33" i="18"/>
  <c r="FW33" i="18"/>
  <c r="FX33" i="18"/>
  <c r="FY33" i="18"/>
  <c r="FZ33" i="18"/>
  <c r="GA33" i="18"/>
  <c r="GB33" i="18"/>
  <c r="GC33" i="18"/>
  <c r="GD33" i="18"/>
  <c r="GE33" i="18"/>
  <c r="GF33" i="18"/>
  <c r="GG33" i="18"/>
  <c r="GH33" i="18"/>
  <c r="GI33" i="18"/>
  <c r="GJ33" i="18"/>
  <c r="GK33" i="18"/>
  <c r="GL33" i="18"/>
  <c r="GM33" i="18"/>
  <c r="GN33" i="18"/>
  <c r="GO33" i="18"/>
  <c r="GP33" i="18"/>
  <c r="GQ33" i="18"/>
  <c r="GR33" i="18"/>
  <c r="GS33" i="18"/>
  <c r="GT33" i="18"/>
  <c r="GU33" i="18"/>
  <c r="GV33" i="18"/>
  <c r="GW33" i="18"/>
  <c r="GX33" i="18"/>
  <c r="GY33" i="18"/>
  <c r="GZ33" i="18"/>
  <c r="HA33" i="18"/>
  <c r="HB33" i="18"/>
  <c r="HC33" i="18"/>
  <c r="HD33" i="18"/>
  <c r="HE33" i="18"/>
  <c r="HF33" i="18"/>
  <c r="HG33" i="18"/>
  <c r="HH33" i="18"/>
  <c r="HI33" i="18"/>
  <c r="HJ33" i="18"/>
  <c r="HK33" i="18"/>
  <c r="HL33" i="18"/>
  <c r="HM33" i="18"/>
  <c r="HN33" i="18"/>
  <c r="HO33" i="18"/>
  <c r="HP33" i="18"/>
  <c r="HQ33" i="18"/>
  <c r="HR33" i="18"/>
  <c r="HS33" i="18"/>
  <c r="HT33" i="18"/>
  <c r="HU33" i="18"/>
  <c r="HV33" i="18"/>
  <c r="HW33" i="18"/>
  <c r="HX33" i="18"/>
  <c r="HY33" i="18"/>
  <c r="HZ33" i="18"/>
  <c r="IA33" i="18"/>
  <c r="IB33" i="18"/>
  <c r="IC33" i="18"/>
  <c r="ID33" i="18"/>
  <c r="IE33" i="18"/>
  <c r="IF33" i="18"/>
  <c r="IG33" i="18"/>
  <c r="IH33" i="18"/>
  <c r="II33" i="18"/>
  <c r="IJ33" i="18"/>
  <c r="IK33" i="18"/>
  <c r="IL33" i="18"/>
  <c r="IM33" i="18"/>
  <c r="IN33" i="18"/>
  <c r="IO33" i="18"/>
  <c r="IP33" i="18"/>
  <c r="IQ33" i="18"/>
  <c r="IR33" i="18"/>
  <c r="IS33" i="18"/>
  <c r="IT33" i="18"/>
  <c r="IU33" i="18"/>
  <c r="IV33" i="18"/>
  <c r="IW33" i="18"/>
  <c r="IX33" i="18"/>
  <c r="IY33" i="18"/>
  <c r="IZ33" i="18"/>
  <c r="JA33" i="18"/>
  <c r="JB33" i="18"/>
  <c r="JC33" i="18"/>
  <c r="JD33" i="18"/>
  <c r="JE33" i="18"/>
  <c r="JF33" i="18"/>
  <c r="JG33" i="18"/>
  <c r="JH33" i="18"/>
  <c r="JI33" i="18"/>
  <c r="JJ33" i="18"/>
  <c r="JK33" i="18"/>
  <c r="JL33" i="18"/>
  <c r="JM33" i="18"/>
  <c r="JN33" i="18"/>
  <c r="JO33" i="18"/>
  <c r="JP33" i="18"/>
  <c r="JQ33" i="18"/>
  <c r="JR33" i="18"/>
  <c r="JS33" i="18"/>
  <c r="JT33" i="18"/>
  <c r="JU33" i="18"/>
  <c r="JV33" i="18"/>
  <c r="JW33" i="18"/>
  <c r="JX33" i="18"/>
  <c r="JY33" i="18"/>
  <c r="JZ33" i="18"/>
  <c r="KA33" i="18"/>
  <c r="KB33" i="18"/>
  <c r="KC33" i="18"/>
  <c r="KD33" i="18"/>
  <c r="KE33" i="18"/>
  <c r="KF33" i="18"/>
  <c r="KG33" i="18"/>
  <c r="KH33" i="18"/>
  <c r="KI33" i="18"/>
  <c r="KJ33" i="18"/>
  <c r="KK33" i="18"/>
  <c r="KL33" i="18"/>
  <c r="KM33" i="18"/>
  <c r="KN33" i="18"/>
  <c r="KO33" i="18"/>
  <c r="KP33" i="18"/>
  <c r="KQ33" i="18"/>
  <c r="KR33" i="18"/>
  <c r="KS33" i="18"/>
  <c r="KT33" i="18"/>
  <c r="KU33" i="18"/>
  <c r="KV33" i="18"/>
  <c r="KW33" i="18"/>
  <c r="KX33" i="18"/>
  <c r="KY33" i="18"/>
  <c r="KZ33" i="18"/>
  <c r="LA33" i="18"/>
  <c r="LB33" i="18"/>
  <c r="LC33" i="18"/>
  <c r="LD33" i="18"/>
  <c r="LE33" i="18"/>
  <c r="LF33" i="18"/>
  <c r="LG33" i="18"/>
  <c r="LH33" i="18"/>
  <c r="LI33" i="18"/>
  <c r="LJ33" i="18"/>
  <c r="LK33" i="18"/>
  <c r="LL33" i="18"/>
  <c r="LM33" i="18"/>
  <c r="LN33" i="18"/>
  <c r="LO33" i="18"/>
  <c r="LP33" i="18"/>
  <c r="LQ33" i="18"/>
  <c r="LR33" i="18"/>
  <c r="LS33" i="18"/>
  <c r="LT33" i="18"/>
  <c r="LU33" i="18"/>
  <c r="LV33" i="18"/>
  <c r="LW33" i="18"/>
  <c r="LX33" i="18"/>
  <c r="LY33" i="18"/>
  <c r="LZ33" i="18"/>
  <c r="MA33" i="18"/>
  <c r="MB33" i="18"/>
  <c r="MC33" i="18"/>
  <c r="MD33" i="18"/>
  <c r="ME33" i="18"/>
  <c r="MF33" i="18"/>
  <c r="MG33" i="18"/>
  <c r="MH33" i="18"/>
  <c r="MI33" i="18"/>
  <c r="MJ33" i="18"/>
  <c r="MK33" i="18"/>
  <c r="ML33" i="18"/>
  <c r="MM33" i="18"/>
  <c r="MN33" i="18"/>
  <c r="MO33" i="18"/>
  <c r="MP33" i="18"/>
  <c r="MQ33" i="18"/>
  <c r="MR33" i="18"/>
  <c r="MS33" i="18"/>
  <c r="MT33" i="18"/>
  <c r="MU33" i="18"/>
  <c r="MV33" i="18"/>
  <c r="MW33" i="18"/>
  <c r="MX33" i="18"/>
  <c r="MY33" i="18"/>
  <c r="MZ33" i="18"/>
  <c r="NA33" i="18"/>
  <c r="NB33" i="18"/>
  <c r="NC33" i="18"/>
  <c r="ND33" i="18"/>
  <c r="NE33" i="18"/>
  <c r="NF33" i="18"/>
  <c r="NG33" i="18"/>
  <c r="NH33" i="18"/>
  <c r="NI33" i="18"/>
  <c r="NJ33" i="18"/>
  <c r="NK33" i="18"/>
  <c r="NL33" i="18"/>
  <c r="NM33" i="18"/>
  <c r="NN33" i="18"/>
  <c r="NO33" i="18"/>
  <c r="NP33" i="18"/>
  <c r="NQ33" i="18"/>
  <c r="NR33" i="18"/>
  <c r="NS33" i="18"/>
  <c r="NT33" i="18"/>
  <c r="NU33" i="18"/>
  <c r="NV33" i="18"/>
  <c r="NW33" i="18"/>
  <c r="NX33" i="18"/>
  <c r="NY33" i="18"/>
  <c r="NZ33" i="18"/>
  <c r="OA33" i="18"/>
  <c r="OB33" i="18"/>
  <c r="OC33" i="18"/>
  <c r="OD33" i="18"/>
  <c r="OE33" i="18"/>
  <c r="OF33" i="18"/>
  <c r="OG33" i="18"/>
  <c r="OH33" i="18"/>
  <c r="OI33" i="18"/>
  <c r="OJ33" i="18"/>
  <c r="OK33" i="18"/>
  <c r="OL33" i="18"/>
  <c r="OM33" i="18"/>
  <c r="ON33" i="18"/>
  <c r="OO33" i="18"/>
  <c r="OP33" i="18"/>
  <c r="OQ33" i="18"/>
  <c r="OR33" i="18"/>
  <c r="OS33" i="18"/>
  <c r="OT33" i="18"/>
  <c r="OU33" i="18"/>
  <c r="OV33" i="18"/>
  <c r="OW33" i="18"/>
  <c r="OX33" i="18"/>
  <c r="OY33" i="18"/>
  <c r="OZ33" i="18"/>
  <c r="PA33" i="18"/>
  <c r="PB33" i="18"/>
  <c r="PC33" i="18"/>
  <c r="PD33" i="18"/>
  <c r="PE33" i="18"/>
  <c r="PF33" i="18"/>
  <c r="PG33" i="18"/>
  <c r="PH33" i="18"/>
  <c r="PI33" i="18"/>
  <c r="PJ33" i="18"/>
  <c r="PK33" i="18"/>
  <c r="PL33" i="18"/>
  <c r="PM33" i="18"/>
  <c r="PN33" i="18"/>
  <c r="PO33" i="18"/>
  <c r="PP33" i="18"/>
  <c r="PQ33" i="18"/>
  <c r="PR33" i="18"/>
  <c r="PS33" i="18"/>
  <c r="PT33" i="18"/>
  <c r="PU33" i="18"/>
  <c r="PV33" i="18"/>
  <c r="PW33" i="18"/>
  <c r="PX33" i="18"/>
  <c r="PY33" i="18"/>
  <c r="PZ33" i="18"/>
  <c r="QA33" i="18"/>
  <c r="QB33" i="18"/>
  <c r="QC33" i="18"/>
  <c r="QD33" i="18"/>
  <c r="QE33" i="18"/>
  <c r="QF33" i="18"/>
  <c r="QG33" i="18"/>
  <c r="QH33" i="18"/>
  <c r="QI33" i="18"/>
  <c r="QJ33" i="18"/>
  <c r="QK33" i="18"/>
  <c r="QL33" i="18"/>
  <c r="QM33" i="18"/>
  <c r="QN33" i="18"/>
  <c r="QO33" i="18"/>
  <c r="QP33" i="18"/>
  <c r="QQ33" i="18"/>
  <c r="QR33"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Y34" i="18"/>
  <c r="CZ34" i="18"/>
  <c r="DA34" i="18"/>
  <c r="DB34" i="18"/>
  <c r="DC34" i="18"/>
  <c r="DD34" i="18"/>
  <c r="DE34" i="18"/>
  <c r="DF34" i="18"/>
  <c r="DG34" i="18"/>
  <c r="DH34" i="18"/>
  <c r="DI34" i="18"/>
  <c r="DJ34" i="18"/>
  <c r="DK34" i="18"/>
  <c r="DL34" i="18"/>
  <c r="DM34" i="18"/>
  <c r="DN34" i="18"/>
  <c r="DO34" i="18"/>
  <c r="DP34" i="18"/>
  <c r="DQ34" i="18"/>
  <c r="DR34" i="18"/>
  <c r="DS34" i="18"/>
  <c r="DT34" i="18"/>
  <c r="DU34" i="18"/>
  <c r="DV34" i="18"/>
  <c r="DW34" i="18"/>
  <c r="DX34" i="18"/>
  <c r="DY34" i="18"/>
  <c r="DZ34" i="18"/>
  <c r="EA34" i="18"/>
  <c r="EB34" i="18"/>
  <c r="EC34" i="18"/>
  <c r="ED34" i="18"/>
  <c r="EE34" i="18"/>
  <c r="EF34" i="18"/>
  <c r="EG34" i="18"/>
  <c r="EH34" i="18"/>
  <c r="EI34" i="18"/>
  <c r="EJ34" i="18"/>
  <c r="EK34" i="18"/>
  <c r="EL34" i="18"/>
  <c r="EM34" i="18"/>
  <c r="EN34" i="18"/>
  <c r="EO34" i="18"/>
  <c r="EP34" i="18"/>
  <c r="EQ34" i="18"/>
  <c r="ER34" i="18"/>
  <c r="ES34" i="18"/>
  <c r="ET34" i="18"/>
  <c r="EU34" i="18"/>
  <c r="EV34" i="18"/>
  <c r="EW34" i="18"/>
  <c r="EX34" i="18"/>
  <c r="EY34" i="18"/>
  <c r="EZ34" i="18"/>
  <c r="FA34" i="18"/>
  <c r="FB34" i="18"/>
  <c r="FC34" i="18"/>
  <c r="FD34" i="18"/>
  <c r="FE34" i="18"/>
  <c r="FF34" i="18"/>
  <c r="FG34" i="18"/>
  <c r="FH34" i="18"/>
  <c r="FI34" i="18"/>
  <c r="FJ34" i="18"/>
  <c r="FK34" i="18"/>
  <c r="FL34" i="18"/>
  <c r="FM34" i="18"/>
  <c r="FN34" i="18"/>
  <c r="FO34" i="18"/>
  <c r="FP34" i="18"/>
  <c r="FQ34" i="18"/>
  <c r="FR34" i="18"/>
  <c r="FS34" i="18"/>
  <c r="FT34" i="18"/>
  <c r="FU34" i="18"/>
  <c r="FV34" i="18"/>
  <c r="FW34" i="18"/>
  <c r="FX34" i="18"/>
  <c r="FY34" i="18"/>
  <c r="FZ34" i="18"/>
  <c r="GA34" i="18"/>
  <c r="GB34" i="18"/>
  <c r="GC34" i="18"/>
  <c r="GD34" i="18"/>
  <c r="GE34" i="18"/>
  <c r="GF34" i="18"/>
  <c r="GG34" i="18"/>
  <c r="GH34" i="18"/>
  <c r="GI34" i="18"/>
  <c r="GJ34" i="18"/>
  <c r="GK34" i="18"/>
  <c r="GL34" i="18"/>
  <c r="GM34" i="18"/>
  <c r="GN34" i="18"/>
  <c r="GO34" i="18"/>
  <c r="GP34" i="18"/>
  <c r="GQ34" i="18"/>
  <c r="GR34" i="18"/>
  <c r="GS34" i="18"/>
  <c r="GT34" i="18"/>
  <c r="GU34" i="18"/>
  <c r="GV34" i="18"/>
  <c r="GW34" i="18"/>
  <c r="GX34" i="18"/>
  <c r="GY34" i="18"/>
  <c r="GZ34" i="18"/>
  <c r="HA34" i="18"/>
  <c r="HB34" i="18"/>
  <c r="HC34" i="18"/>
  <c r="HD34" i="18"/>
  <c r="HE34" i="18"/>
  <c r="HF34" i="18"/>
  <c r="HG34" i="18"/>
  <c r="HH34" i="18"/>
  <c r="HI34" i="18"/>
  <c r="HJ34" i="18"/>
  <c r="HK34" i="18"/>
  <c r="HL34" i="18"/>
  <c r="HM34" i="18"/>
  <c r="HN34" i="18"/>
  <c r="HO34" i="18"/>
  <c r="HP34" i="18"/>
  <c r="HQ34" i="18"/>
  <c r="HR34" i="18"/>
  <c r="HS34" i="18"/>
  <c r="HT34" i="18"/>
  <c r="HU34" i="18"/>
  <c r="HV34" i="18"/>
  <c r="HW34" i="18"/>
  <c r="HX34" i="18"/>
  <c r="HY34" i="18"/>
  <c r="HZ34" i="18"/>
  <c r="IA34" i="18"/>
  <c r="IB34" i="18"/>
  <c r="IC34" i="18"/>
  <c r="ID34" i="18"/>
  <c r="IE34" i="18"/>
  <c r="IF34" i="18"/>
  <c r="IG34" i="18"/>
  <c r="IH34" i="18"/>
  <c r="II34" i="18"/>
  <c r="IJ34" i="18"/>
  <c r="IK34" i="18"/>
  <c r="IL34" i="18"/>
  <c r="IM34" i="18"/>
  <c r="IN34" i="18"/>
  <c r="IO34" i="18"/>
  <c r="IP34" i="18"/>
  <c r="IQ34" i="18"/>
  <c r="IR34" i="18"/>
  <c r="IS34" i="18"/>
  <c r="IT34" i="18"/>
  <c r="IU34" i="18"/>
  <c r="IV34" i="18"/>
  <c r="IW34" i="18"/>
  <c r="IX34" i="18"/>
  <c r="IY34" i="18"/>
  <c r="IZ34" i="18"/>
  <c r="JA34" i="18"/>
  <c r="JB34" i="18"/>
  <c r="JC34" i="18"/>
  <c r="JD34" i="18"/>
  <c r="JE34" i="18"/>
  <c r="JF34" i="18"/>
  <c r="JG34" i="18"/>
  <c r="JH34" i="18"/>
  <c r="JI34" i="18"/>
  <c r="JJ34" i="18"/>
  <c r="JK34" i="18"/>
  <c r="JL34" i="18"/>
  <c r="JM34" i="18"/>
  <c r="JN34" i="18"/>
  <c r="JO34" i="18"/>
  <c r="JP34" i="18"/>
  <c r="JQ34" i="18"/>
  <c r="JR34" i="18"/>
  <c r="JS34" i="18"/>
  <c r="JT34" i="18"/>
  <c r="JU34" i="18"/>
  <c r="JV34" i="18"/>
  <c r="JW34" i="18"/>
  <c r="JX34" i="18"/>
  <c r="JY34" i="18"/>
  <c r="JZ34" i="18"/>
  <c r="KA34" i="18"/>
  <c r="KB34" i="18"/>
  <c r="KC34" i="18"/>
  <c r="KD34" i="18"/>
  <c r="KE34" i="18"/>
  <c r="KF34" i="18"/>
  <c r="KG34" i="18"/>
  <c r="KH34" i="18"/>
  <c r="KI34" i="18"/>
  <c r="KJ34" i="18"/>
  <c r="KK34" i="18"/>
  <c r="KL34" i="18"/>
  <c r="KM34" i="18"/>
  <c r="KN34" i="18"/>
  <c r="KO34" i="18"/>
  <c r="KP34" i="18"/>
  <c r="KQ34" i="18"/>
  <c r="KR34" i="18"/>
  <c r="KS34" i="18"/>
  <c r="KT34" i="18"/>
  <c r="KU34" i="18"/>
  <c r="KV34" i="18"/>
  <c r="KW34" i="18"/>
  <c r="KX34" i="18"/>
  <c r="KY34" i="18"/>
  <c r="KZ34" i="18"/>
  <c r="LA34" i="18"/>
  <c r="LB34" i="18"/>
  <c r="LC34" i="18"/>
  <c r="LD34" i="18"/>
  <c r="LE34" i="18"/>
  <c r="LF34" i="18"/>
  <c r="LG34" i="18"/>
  <c r="LH34" i="18"/>
  <c r="LI34" i="18"/>
  <c r="LJ34" i="18"/>
  <c r="LK34" i="18"/>
  <c r="LL34" i="18"/>
  <c r="LM34" i="18"/>
  <c r="LN34" i="18"/>
  <c r="LO34" i="18"/>
  <c r="LP34" i="18"/>
  <c r="LQ34" i="18"/>
  <c r="LR34" i="18"/>
  <c r="LS34" i="18"/>
  <c r="LT34" i="18"/>
  <c r="LU34" i="18"/>
  <c r="LV34" i="18"/>
  <c r="LW34" i="18"/>
  <c r="LX34" i="18"/>
  <c r="LY34" i="18"/>
  <c r="LZ34" i="18"/>
  <c r="MA34" i="18"/>
  <c r="MB34" i="18"/>
  <c r="MC34" i="18"/>
  <c r="MD34" i="18"/>
  <c r="ME34" i="18"/>
  <c r="MF34" i="18"/>
  <c r="MG34" i="18"/>
  <c r="MH34" i="18"/>
  <c r="MI34" i="18"/>
  <c r="MJ34" i="18"/>
  <c r="MK34" i="18"/>
  <c r="ML34" i="18"/>
  <c r="MM34" i="18"/>
  <c r="MN34" i="18"/>
  <c r="MO34" i="18"/>
  <c r="MP34" i="18"/>
  <c r="MQ34" i="18"/>
  <c r="MR34" i="18"/>
  <c r="MS34" i="18"/>
  <c r="MT34" i="18"/>
  <c r="MU34" i="18"/>
  <c r="MV34" i="18"/>
  <c r="MW34" i="18"/>
  <c r="MX34" i="18"/>
  <c r="MY34" i="18"/>
  <c r="MZ34" i="18"/>
  <c r="NA34" i="18"/>
  <c r="NB34" i="18"/>
  <c r="NC34" i="18"/>
  <c r="ND34" i="18"/>
  <c r="NE34" i="18"/>
  <c r="NF34" i="18"/>
  <c r="NG34" i="18"/>
  <c r="NH34" i="18"/>
  <c r="NI34" i="18"/>
  <c r="NJ34" i="18"/>
  <c r="NK34" i="18"/>
  <c r="NL34" i="18"/>
  <c r="NM34" i="18"/>
  <c r="NN34" i="18"/>
  <c r="NO34" i="18"/>
  <c r="NP34" i="18"/>
  <c r="NQ34" i="18"/>
  <c r="NR34" i="18"/>
  <c r="NS34" i="18"/>
  <c r="NT34" i="18"/>
  <c r="NU34" i="18"/>
  <c r="NV34" i="18"/>
  <c r="NW34" i="18"/>
  <c r="NX34" i="18"/>
  <c r="NY34" i="18"/>
  <c r="NZ34" i="18"/>
  <c r="OA34" i="18"/>
  <c r="OB34" i="18"/>
  <c r="OC34" i="18"/>
  <c r="OD34" i="18"/>
  <c r="OE34" i="18"/>
  <c r="OF34" i="18"/>
  <c r="OG34" i="18"/>
  <c r="OH34" i="18"/>
  <c r="OI34" i="18"/>
  <c r="OJ34" i="18"/>
  <c r="OK34" i="18"/>
  <c r="OL34" i="18"/>
  <c r="OM34" i="18"/>
  <c r="ON34" i="18"/>
  <c r="OO34" i="18"/>
  <c r="OP34" i="18"/>
  <c r="OQ34" i="18"/>
  <c r="OR34" i="18"/>
  <c r="OS34" i="18"/>
  <c r="OT34" i="18"/>
  <c r="OU34" i="18"/>
  <c r="OV34" i="18"/>
  <c r="OW34" i="18"/>
  <c r="OX34" i="18"/>
  <c r="OY34" i="18"/>
  <c r="OZ34" i="18"/>
  <c r="PA34" i="18"/>
  <c r="PB34" i="18"/>
  <c r="PC34" i="18"/>
  <c r="PD34" i="18"/>
  <c r="PE34" i="18"/>
  <c r="PF34" i="18"/>
  <c r="PG34" i="18"/>
  <c r="PH34" i="18"/>
  <c r="PI34" i="18"/>
  <c r="PJ34" i="18"/>
  <c r="PK34" i="18"/>
  <c r="PL34" i="18"/>
  <c r="PM34" i="18"/>
  <c r="PN34" i="18"/>
  <c r="PO34" i="18"/>
  <c r="PP34" i="18"/>
  <c r="PQ34" i="18"/>
  <c r="PR34" i="18"/>
  <c r="PS34" i="18"/>
  <c r="PT34" i="18"/>
  <c r="PU34" i="18"/>
  <c r="PV34" i="18"/>
  <c r="PW34" i="18"/>
  <c r="PX34" i="18"/>
  <c r="PY34" i="18"/>
  <c r="PZ34" i="18"/>
  <c r="QA34" i="18"/>
  <c r="QB34" i="18"/>
  <c r="QC34" i="18"/>
  <c r="QD34" i="18"/>
  <c r="QE34" i="18"/>
  <c r="QF34" i="18"/>
  <c r="QG34" i="18"/>
  <c r="QH34" i="18"/>
  <c r="QI34" i="18"/>
  <c r="QJ34" i="18"/>
  <c r="QK34" i="18"/>
  <c r="QL34" i="18"/>
  <c r="QM34" i="18"/>
  <c r="QN34" i="18"/>
  <c r="QO34" i="18"/>
  <c r="QP34" i="18"/>
  <c r="QQ34" i="18"/>
  <c r="QR34"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Y35" i="18"/>
  <c r="CZ35" i="18"/>
  <c r="DA35" i="18"/>
  <c r="DB35" i="18"/>
  <c r="DC35" i="18"/>
  <c r="DD35" i="18"/>
  <c r="DE35" i="18"/>
  <c r="DF35" i="18"/>
  <c r="DG35" i="18"/>
  <c r="DH35" i="18"/>
  <c r="DI35" i="18"/>
  <c r="DJ35" i="18"/>
  <c r="DK35" i="18"/>
  <c r="DL35" i="18"/>
  <c r="DM35" i="18"/>
  <c r="DN35" i="18"/>
  <c r="DO35" i="18"/>
  <c r="DP35" i="18"/>
  <c r="DQ35" i="18"/>
  <c r="DR35" i="18"/>
  <c r="DS35" i="18"/>
  <c r="DT35" i="18"/>
  <c r="DU35" i="18"/>
  <c r="DV35" i="18"/>
  <c r="DW35" i="18"/>
  <c r="DX35" i="18"/>
  <c r="DY35" i="18"/>
  <c r="DZ35" i="18"/>
  <c r="EA35" i="18"/>
  <c r="EB35" i="18"/>
  <c r="EC35" i="18"/>
  <c r="ED35" i="18"/>
  <c r="EE35" i="18"/>
  <c r="EF35" i="18"/>
  <c r="EG35" i="18"/>
  <c r="EH35" i="18"/>
  <c r="EI35" i="18"/>
  <c r="EJ35" i="18"/>
  <c r="EK35" i="18"/>
  <c r="EL35" i="18"/>
  <c r="EM35" i="18"/>
  <c r="EN35" i="18"/>
  <c r="EO35" i="18"/>
  <c r="EP35" i="18"/>
  <c r="EQ35" i="18"/>
  <c r="ER35" i="18"/>
  <c r="ES35" i="18"/>
  <c r="ET35" i="18"/>
  <c r="EU35" i="18"/>
  <c r="EV35" i="18"/>
  <c r="EW35" i="18"/>
  <c r="EX35" i="18"/>
  <c r="EY35" i="18"/>
  <c r="EZ35" i="18"/>
  <c r="FA35" i="18"/>
  <c r="FB35" i="18"/>
  <c r="FC35" i="18"/>
  <c r="FD35" i="18"/>
  <c r="FE35" i="18"/>
  <c r="FF35" i="18"/>
  <c r="FG35" i="18"/>
  <c r="FH35" i="18"/>
  <c r="FI35" i="18"/>
  <c r="FJ35" i="18"/>
  <c r="FK35" i="18"/>
  <c r="FL35" i="18"/>
  <c r="FM35" i="18"/>
  <c r="FN35" i="18"/>
  <c r="FO35" i="18"/>
  <c r="FP35" i="18"/>
  <c r="FQ35" i="18"/>
  <c r="FR35" i="18"/>
  <c r="FS35" i="18"/>
  <c r="FT35" i="18"/>
  <c r="FU35" i="18"/>
  <c r="FV35" i="18"/>
  <c r="FW35" i="18"/>
  <c r="FX35" i="18"/>
  <c r="FY35" i="18"/>
  <c r="FZ35" i="18"/>
  <c r="GA35" i="18"/>
  <c r="GB35" i="18"/>
  <c r="GC35" i="18"/>
  <c r="GD35" i="18"/>
  <c r="GE35" i="18"/>
  <c r="GF35" i="18"/>
  <c r="GG35" i="18"/>
  <c r="GH35" i="18"/>
  <c r="GI35" i="18"/>
  <c r="GJ35" i="18"/>
  <c r="GK35" i="18"/>
  <c r="GL35" i="18"/>
  <c r="GM35" i="18"/>
  <c r="GN35" i="18"/>
  <c r="GO35" i="18"/>
  <c r="GP35" i="18"/>
  <c r="GQ35" i="18"/>
  <c r="GR35" i="18"/>
  <c r="GS35" i="18"/>
  <c r="GT35" i="18"/>
  <c r="GU35" i="18"/>
  <c r="GV35" i="18"/>
  <c r="GW35" i="18"/>
  <c r="GX35" i="18"/>
  <c r="GY35" i="18"/>
  <c r="GZ35" i="18"/>
  <c r="HA35" i="18"/>
  <c r="HB35" i="18"/>
  <c r="HC35" i="18"/>
  <c r="HD35" i="18"/>
  <c r="HE35" i="18"/>
  <c r="HF35" i="18"/>
  <c r="HG35" i="18"/>
  <c r="HH35" i="18"/>
  <c r="HI35" i="18"/>
  <c r="HJ35" i="18"/>
  <c r="HK35" i="18"/>
  <c r="HL35" i="18"/>
  <c r="HM35" i="18"/>
  <c r="HN35" i="18"/>
  <c r="HO35" i="18"/>
  <c r="HP35" i="18"/>
  <c r="HQ35" i="18"/>
  <c r="HR35" i="18"/>
  <c r="HS35" i="18"/>
  <c r="HT35" i="18"/>
  <c r="HU35" i="18"/>
  <c r="HV35" i="18"/>
  <c r="HW35" i="18"/>
  <c r="HX35" i="18"/>
  <c r="HY35" i="18"/>
  <c r="HZ35" i="18"/>
  <c r="IA35" i="18"/>
  <c r="IB35" i="18"/>
  <c r="IC35" i="18"/>
  <c r="ID35" i="18"/>
  <c r="IE35" i="18"/>
  <c r="IF35" i="18"/>
  <c r="IG35" i="18"/>
  <c r="IH35" i="18"/>
  <c r="II35" i="18"/>
  <c r="IJ35" i="18"/>
  <c r="IK35" i="18"/>
  <c r="IL35" i="18"/>
  <c r="IM35" i="18"/>
  <c r="IN35" i="18"/>
  <c r="IO35" i="18"/>
  <c r="IP35" i="18"/>
  <c r="IQ35" i="18"/>
  <c r="IR35" i="18"/>
  <c r="IS35" i="18"/>
  <c r="IT35" i="18"/>
  <c r="IU35" i="18"/>
  <c r="IV35" i="18"/>
  <c r="IW35" i="18"/>
  <c r="IX35" i="18"/>
  <c r="IY35" i="18"/>
  <c r="IZ35" i="18"/>
  <c r="JA35" i="18"/>
  <c r="JB35" i="18"/>
  <c r="JC35" i="18"/>
  <c r="JD35" i="18"/>
  <c r="JE35" i="18"/>
  <c r="JF35" i="18"/>
  <c r="JG35" i="18"/>
  <c r="JH35" i="18"/>
  <c r="JI35" i="18"/>
  <c r="JJ35" i="18"/>
  <c r="JK35" i="18"/>
  <c r="JL35" i="18"/>
  <c r="JM35" i="18"/>
  <c r="JN35" i="18"/>
  <c r="JO35" i="18"/>
  <c r="JP35" i="18"/>
  <c r="JQ35" i="18"/>
  <c r="JR35" i="18"/>
  <c r="JS35" i="18"/>
  <c r="JT35" i="18"/>
  <c r="JU35" i="18"/>
  <c r="JV35" i="18"/>
  <c r="JW35" i="18"/>
  <c r="JX35" i="18"/>
  <c r="JY35" i="18"/>
  <c r="JZ35" i="18"/>
  <c r="KA35" i="18"/>
  <c r="KB35" i="18"/>
  <c r="KC35" i="18"/>
  <c r="KD35" i="18"/>
  <c r="KE35" i="18"/>
  <c r="KF35" i="18"/>
  <c r="KG35" i="18"/>
  <c r="KH35" i="18"/>
  <c r="KI35" i="18"/>
  <c r="KJ35" i="18"/>
  <c r="KK35" i="18"/>
  <c r="KL35" i="18"/>
  <c r="KM35" i="18"/>
  <c r="KN35" i="18"/>
  <c r="KO35" i="18"/>
  <c r="KP35" i="18"/>
  <c r="KQ35" i="18"/>
  <c r="KR35" i="18"/>
  <c r="KS35" i="18"/>
  <c r="KT35" i="18"/>
  <c r="KU35" i="18"/>
  <c r="KV35" i="18"/>
  <c r="KW35" i="18"/>
  <c r="KX35" i="18"/>
  <c r="KY35" i="18"/>
  <c r="KZ35" i="18"/>
  <c r="LA35" i="18"/>
  <c r="LB35" i="18"/>
  <c r="LC35" i="18"/>
  <c r="LD35" i="18"/>
  <c r="LE35" i="18"/>
  <c r="LF35" i="18"/>
  <c r="LG35" i="18"/>
  <c r="LH35" i="18"/>
  <c r="LI35" i="18"/>
  <c r="LJ35" i="18"/>
  <c r="LK35" i="18"/>
  <c r="LL35" i="18"/>
  <c r="LM35" i="18"/>
  <c r="LN35" i="18"/>
  <c r="LO35" i="18"/>
  <c r="LP35" i="18"/>
  <c r="LQ35" i="18"/>
  <c r="LR35" i="18"/>
  <c r="LS35" i="18"/>
  <c r="LT35" i="18"/>
  <c r="LU35" i="18"/>
  <c r="LV35" i="18"/>
  <c r="LW35" i="18"/>
  <c r="LX35" i="18"/>
  <c r="LY35" i="18"/>
  <c r="LZ35" i="18"/>
  <c r="MA35" i="18"/>
  <c r="MB35" i="18"/>
  <c r="MC35" i="18"/>
  <c r="MD35" i="18"/>
  <c r="ME35" i="18"/>
  <c r="MF35" i="18"/>
  <c r="MG35" i="18"/>
  <c r="MH35" i="18"/>
  <c r="MI35" i="18"/>
  <c r="MJ35" i="18"/>
  <c r="MK35" i="18"/>
  <c r="ML35" i="18"/>
  <c r="MM35" i="18"/>
  <c r="MN35" i="18"/>
  <c r="MO35" i="18"/>
  <c r="MP35" i="18"/>
  <c r="MQ35" i="18"/>
  <c r="MR35" i="18"/>
  <c r="MS35" i="18"/>
  <c r="MT35" i="18"/>
  <c r="MU35" i="18"/>
  <c r="MV35" i="18"/>
  <c r="MW35" i="18"/>
  <c r="MX35" i="18"/>
  <c r="MY35" i="18"/>
  <c r="MZ35" i="18"/>
  <c r="NA35" i="18"/>
  <c r="NB35" i="18"/>
  <c r="NC35" i="18"/>
  <c r="ND35" i="18"/>
  <c r="NE35" i="18"/>
  <c r="NF35" i="18"/>
  <c r="NG35" i="18"/>
  <c r="NH35" i="18"/>
  <c r="NI35" i="18"/>
  <c r="NJ35" i="18"/>
  <c r="NK35" i="18"/>
  <c r="NL35" i="18"/>
  <c r="NM35" i="18"/>
  <c r="NN35" i="18"/>
  <c r="NO35" i="18"/>
  <c r="NP35" i="18"/>
  <c r="NQ35" i="18"/>
  <c r="NR35" i="18"/>
  <c r="NS35" i="18"/>
  <c r="NT35" i="18"/>
  <c r="NU35" i="18"/>
  <c r="NV35" i="18"/>
  <c r="NW35" i="18"/>
  <c r="NX35" i="18"/>
  <c r="NY35" i="18"/>
  <c r="NZ35" i="18"/>
  <c r="OA35" i="18"/>
  <c r="OB35" i="18"/>
  <c r="OC35" i="18"/>
  <c r="OD35" i="18"/>
  <c r="OE35" i="18"/>
  <c r="OF35" i="18"/>
  <c r="OG35" i="18"/>
  <c r="OH35" i="18"/>
  <c r="OI35" i="18"/>
  <c r="OJ35" i="18"/>
  <c r="OK35" i="18"/>
  <c r="OL35" i="18"/>
  <c r="OM35" i="18"/>
  <c r="ON35" i="18"/>
  <c r="OO35" i="18"/>
  <c r="OP35" i="18"/>
  <c r="OQ35" i="18"/>
  <c r="OR35" i="18"/>
  <c r="OS35" i="18"/>
  <c r="OT35" i="18"/>
  <c r="OU35" i="18"/>
  <c r="OV35" i="18"/>
  <c r="OW35" i="18"/>
  <c r="OX35" i="18"/>
  <c r="OY35" i="18"/>
  <c r="OZ35" i="18"/>
  <c r="PA35" i="18"/>
  <c r="PB35" i="18"/>
  <c r="PC35" i="18"/>
  <c r="PD35" i="18"/>
  <c r="PE35" i="18"/>
  <c r="PF35" i="18"/>
  <c r="PG35" i="18"/>
  <c r="PH35" i="18"/>
  <c r="PI35" i="18"/>
  <c r="PJ35" i="18"/>
  <c r="PK35" i="18"/>
  <c r="PL35" i="18"/>
  <c r="PM35" i="18"/>
  <c r="PN35" i="18"/>
  <c r="PO35" i="18"/>
  <c r="PP35" i="18"/>
  <c r="PQ35" i="18"/>
  <c r="PR35" i="18"/>
  <c r="PS35" i="18"/>
  <c r="PT35" i="18"/>
  <c r="PU35" i="18"/>
  <c r="PV35" i="18"/>
  <c r="PW35" i="18"/>
  <c r="PX35" i="18"/>
  <c r="PY35" i="18"/>
  <c r="PZ35" i="18"/>
  <c r="QA35" i="18"/>
  <c r="QB35" i="18"/>
  <c r="QC35" i="18"/>
  <c r="QD35" i="18"/>
  <c r="QE35" i="18"/>
  <c r="QF35" i="18"/>
  <c r="QG35" i="18"/>
  <c r="QH35" i="18"/>
  <c r="QI35" i="18"/>
  <c r="QJ35" i="18"/>
  <c r="QK35" i="18"/>
  <c r="QL35" i="18"/>
  <c r="QM35" i="18"/>
  <c r="QN35" i="18"/>
  <c r="QO35" i="18"/>
  <c r="QP35" i="18"/>
  <c r="QQ35" i="18"/>
  <c r="QR35"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Y36" i="18"/>
  <c r="CZ36" i="18"/>
  <c r="DA36" i="18"/>
  <c r="DB36" i="18"/>
  <c r="DC36" i="18"/>
  <c r="DD36" i="18"/>
  <c r="DE36" i="18"/>
  <c r="DF36" i="18"/>
  <c r="DG36" i="18"/>
  <c r="DH36" i="18"/>
  <c r="DI36" i="18"/>
  <c r="DJ36" i="18"/>
  <c r="DK36" i="18"/>
  <c r="DL36" i="18"/>
  <c r="DM36" i="18"/>
  <c r="DN36" i="18"/>
  <c r="DO36" i="18"/>
  <c r="DP36" i="18"/>
  <c r="DQ36" i="18"/>
  <c r="DR36" i="18"/>
  <c r="DS36" i="18"/>
  <c r="DT36" i="18"/>
  <c r="DU36" i="18"/>
  <c r="DV36" i="18"/>
  <c r="DW36" i="18"/>
  <c r="DX36" i="18"/>
  <c r="DY36" i="18"/>
  <c r="DZ36" i="18"/>
  <c r="EA36" i="18"/>
  <c r="EB36" i="18"/>
  <c r="EC36" i="18"/>
  <c r="ED36" i="18"/>
  <c r="EE36" i="18"/>
  <c r="EF36" i="18"/>
  <c r="EG36" i="18"/>
  <c r="EH36" i="18"/>
  <c r="EI36" i="18"/>
  <c r="EJ36" i="18"/>
  <c r="EK36" i="18"/>
  <c r="EL36" i="18"/>
  <c r="EM36" i="18"/>
  <c r="EN36" i="18"/>
  <c r="EO36" i="18"/>
  <c r="EP36" i="18"/>
  <c r="EQ36" i="18"/>
  <c r="ER36" i="18"/>
  <c r="ES36" i="18"/>
  <c r="ET36" i="18"/>
  <c r="EU36" i="18"/>
  <c r="EV36" i="18"/>
  <c r="EW36" i="18"/>
  <c r="EX36" i="18"/>
  <c r="EY36" i="18"/>
  <c r="EZ36" i="18"/>
  <c r="FA36" i="18"/>
  <c r="FB36" i="18"/>
  <c r="FC36" i="18"/>
  <c r="FD36" i="18"/>
  <c r="FE36" i="18"/>
  <c r="FF36" i="18"/>
  <c r="FG36" i="18"/>
  <c r="FH36" i="18"/>
  <c r="FI36" i="18"/>
  <c r="FJ36" i="18"/>
  <c r="FK36" i="18"/>
  <c r="FL36" i="18"/>
  <c r="FM36" i="18"/>
  <c r="FN36" i="18"/>
  <c r="FO36" i="18"/>
  <c r="FP36" i="18"/>
  <c r="FQ36" i="18"/>
  <c r="FR36" i="18"/>
  <c r="FS36" i="18"/>
  <c r="FT36" i="18"/>
  <c r="FU36" i="18"/>
  <c r="FV36" i="18"/>
  <c r="FW36" i="18"/>
  <c r="FX36" i="18"/>
  <c r="FY36" i="18"/>
  <c r="FZ36" i="18"/>
  <c r="GA36" i="18"/>
  <c r="GB36" i="18"/>
  <c r="GC36" i="18"/>
  <c r="GD36" i="18"/>
  <c r="GE36" i="18"/>
  <c r="GF36" i="18"/>
  <c r="GG36" i="18"/>
  <c r="GH36" i="18"/>
  <c r="GI36" i="18"/>
  <c r="GJ36" i="18"/>
  <c r="GK36" i="18"/>
  <c r="GL36" i="18"/>
  <c r="GM36" i="18"/>
  <c r="GN36" i="18"/>
  <c r="GO36" i="18"/>
  <c r="GP36" i="18"/>
  <c r="GQ36" i="18"/>
  <c r="GR36" i="18"/>
  <c r="GS36" i="18"/>
  <c r="GT36" i="18"/>
  <c r="GU36" i="18"/>
  <c r="GV36" i="18"/>
  <c r="GW36" i="18"/>
  <c r="GX36" i="18"/>
  <c r="GY36" i="18"/>
  <c r="GZ36" i="18"/>
  <c r="HA36" i="18"/>
  <c r="HB36" i="18"/>
  <c r="HC36" i="18"/>
  <c r="HD36" i="18"/>
  <c r="HE36" i="18"/>
  <c r="HF36" i="18"/>
  <c r="HG36" i="18"/>
  <c r="HH36" i="18"/>
  <c r="HI36" i="18"/>
  <c r="HJ36" i="18"/>
  <c r="HK36" i="18"/>
  <c r="HL36" i="18"/>
  <c r="HM36" i="18"/>
  <c r="HN36" i="18"/>
  <c r="HO36" i="18"/>
  <c r="HP36" i="18"/>
  <c r="HQ36" i="18"/>
  <c r="HR36" i="18"/>
  <c r="HS36" i="18"/>
  <c r="HT36" i="18"/>
  <c r="HU36" i="18"/>
  <c r="HV36" i="18"/>
  <c r="HW36" i="18"/>
  <c r="HX36" i="18"/>
  <c r="HY36" i="18"/>
  <c r="HZ36" i="18"/>
  <c r="IA36" i="18"/>
  <c r="IB36" i="18"/>
  <c r="IC36" i="18"/>
  <c r="ID36" i="18"/>
  <c r="IE36" i="18"/>
  <c r="IF36" i="18"/>
  <c r="IG36" i="18"/>
  <c r="IH36" i="18"/>
  <c r="II36" i="18"/>
  <c r="IJ36" i="18"/>
  <c r="IK36" i="18"/>
  <c r="IL36" i="18"/>
  <c r="IM36" i="18"/>
  <c r="IN36" i="18"/>
  <c r="IO36" i="18"/>
  <c r="IP36" i="18"/>
  <c r="IQ36" i="18"/>
  <c r="IR36" i="18"/>
  <c r="IS36" i="18"/>
  <c r="IT36" i="18"/>
  <c r="IU36" i="18"/>
  <c r="IV36" i="18"/>
  <c r="IW36" i="18"/>
  <c r="IX36" i="18"/>
  <c r="IY36" i="18"/>
  <c r="IZ36" i="18"/>
  <c r="JA36" i="18"/>
  <c r="JB36" i="18"/>
  <c r="JC36" i="18"/>
  <c r="JD36" i="18"/>
  <c r="JE36" i="18"/>
  <c r="JF36" i="18"/>
  <c r="JG36" i="18"/>
  <c r="JH36" i="18"/>
  <c r="JI36" i="18"/>
  <c r="JJ36" i="18"/>
  <c r="JK36" i="18"/>
  <c r="JL36" i="18"/>
  <c r="JM36" i="18"/>
  <c r="JN36" i="18"/>
  <c r="JO36" i="18"/>
  <c r="JP36" i="18"/>
  <c r="JQ36" i="18"/>
  <c r="JR36" i="18"/>
  <c r="JS36" i="18"/>
  <c r="JT36" i="18"/>
  <c r="JU36" i="18"/>
  <c r="JV36" i="18"/>
  <c r="JW36" i="18"/>
  <c r="JX36" i="18"/>
  <c r="JY36" i="18"/>
  <c r="JZ36" i="18"/>
  <c r="KA36" i="18"/>
  <c r="KB36" i="18"/>
  <c r="KC36" i="18"/>
  <c r="KD36" i="18"/>
  <c r="KE36" i="18"/>
  <c r="KF36" i="18"/>
  <c r="KG36" i="18"/>
  <c r="KH36" i="18"/>
  <c r="KI36" i="18"/>
  <c r="KJ36" i="18"/>
  <c r="KK36" i="18"/>
  <c r="KL36" i="18"/>
  <c r="KM36" i="18"/>
  <c r="KN36" i="18"/>
  <c r="KO36" i="18"/>
  <c r="KP36" i="18"/>
  <c r="KQ36" i="18"/>
  <c r="KR36" i="18"/>
  <c r="KS36" i="18"/>
  <c r="KT36" i="18"/>
  <c r="KU36" i="18"/>
  <c r="KV36" i="18"/>
  <c r="KW36" i="18"/>
  <c r="KX36" i="18"/>
  <c r="KY36" i="18"/>
  <c r="KZ36" i="18"/>
  <c r="LA36" i="18"/>
  <c r="LB36" i="18"/>
  <c r="LC36" i="18"/>
  <c r="LD36" i="18"/>
  <c r="LE36" i="18"/>
  <c r="LF36" i="18"/>
  <c r="LG36" i="18"/>
  <c r="LH36" i="18"/>
  <c r="LI36" i="18"/>
  <c r="LJ36" i="18"/>
  <c r="LK36" i="18"/>
  <c r="LL36" i="18"/>
  <c r="LM36" i="18"/>
  <c r="LN36" i="18"/>
  <c r="LO36" i="18"/>
  <c r="LP36" i="18"/>
  <c r="LQ36" i="18"/>
  <c r="LR36" i="18"/>
  <c r="LS36" i="18"/>
  <c r="LT36" i="18"/>
  <c r="LU36" i="18"/>
  <c r="LV36" i="18"/>
  <c r="LW36" i="18"/>
  <c r="LX36" i="18"/>
  <c r="LY36" i="18"/>
  <c r="LZ36" i="18"/>
  <c r="MA36" i="18"/>
  <c r="MB36" i="18"/>
  <c r="MC36" i="18"/>
  <c r="MD36" i="18"/>
  <c r="ME36" i="18"/>
  <c r="MF36" i="18"/>
  <c r="MG36" i="18"/>
  <c r="MH36" i="18"/>
  <c r="MI36" i="18"/>
  <c r="MJ36" i="18"/>
  <c r="MK36" i="18"/>
  <c r="ML36" i="18"/>
  <c r="MM36" i="18"/>
  <c r="MN36" i="18"/>
  <c r="MO36" i="18"/>
  <c r="MP36" i="18"/>
  <c r="MQ36" i="18"/>
  <c r="MR36" i="18"/>
  <c r="MS36" i="18"/>
  <c r="MT36" i="18"/>
  <c r="MU36" i="18"/>
  <c r="MV36" i="18"/>
  <c r="MW36" i="18"/>
  <c r="MX36" i="18"/>
  <c r="MY36" i="18"/>
  <c r="MZ36" i="18"/>
  <c r="NA36" i="18"/>
  <c r="NB36" i="18"/>
  <c r="NC36" i="18"/>
  <c r="ND36" i="18"/>
  <c r="NE36" i="18"/>
  <c r="NF36" i="18"/>
  <c r="NG36" i="18"/>
  <c r="NH36" i="18"/>
  <c r="NI36" i="18"/>
  <c r="NJ36" i="18"/>
  <c r="NK36" i="18"/>
  <c r="NL36" i="18"/>
  <c r="NM36" i="18"/>
  <c r="NN36" i="18"/>
  <c r="NO36" i="18"/>
  <c r="NP36" i="18"/>
  <c r="NQ36" i="18"/>
  <c r="NR36" i="18"/>
  <c r="NS36" i="18"/>
  <c r="NT36" i="18"/>
  <c r="NU36" i="18"/>
  <c r="NV36" i="18"/>
  <c r="NW36" i="18"/>
  <c r="NX36" i="18"/>
  <c r="NY36" i="18"/>
  <c r="NZ36" i="18"/>
  <c r="OA36" i="18"/>
  <c r="OB36" i="18"/>
  <c r="OC36" i="18"/>
  <c r="OD36" i="18"/>
  <c r="OE36" i="18"/>
  <c r="OF36" i="18"/>
  <c r="OG36" i="18"/>
  <c r="OH36" i="18"/>
  <c r="OI36" i="18"/>
  <c r="OJ36" i="18"/>
  <c r="OK36" i="18"/>
  <c r="OL36" i="18"/>
  <c r="OM36" i="18"/>
  <c r="ON36" i="18"/>
  <c r="OO36" i="18"/>
  <c r="OP36" i="18"/>
  <c r="OQ36" i="18"/>
  <c r="OR36" i="18"/>
  <c r="OS36" i="18"/>
  <c r="OT36" i="18"/>
  <c r="OU36" i="18"/>
  <c r="OV36" i="18"/>
  <c r="OW36" i="18"/>
  <c r="OX36" i="18"/>
  <c r="OY36" i="18"/>
  <c r="OZ36" i="18"/>
  <c r="PA36" i="18"/>
  <c r="PB36" i="18"/>
  <c r="PC36" i="18"/>
  <c r="PD36" i="18"/>
  <c r="PE36" i="18"/>
  <c r="PF36" i="18"/>
  <c r="PG36" i="18"/>
  <c r="PH36" i="18"/>
  <c r="PI36" i="18"/>
  <c r="PJ36" i="18"/>
  <c r="PK36" i="18"/>
  <c r="PL36" i="18"/>
  <c r="PM36" i="18"/>
  <c r="PN36" i="18"/>
  <c r="PO36" i="18"/>
  <c r="PP36" i="18"/>
  <c r="PQ36" i="18"/>
  <c r="PR36" i="18"/>
  <c r="PS36" i="18"/>
  <c r="PT36" i="18"/>
  <c r="PU36" i="18"/>
  <c r="PV36" i="18"/>
  <c r="PW36" i="18"/>
  <c r="PX36" i="18"/>
  <c r="PY36" i="18"/>
  <c r="PZ36" i="18"/>
  <c r="QA36" i="18"/>
  <c r="QB36" i="18"/>
  <c r="QC36" i="18"/>
  <c r="QD36" i="18"/>
  <c r="QE36" i="18"/>
  <c r="QF36" i="18"/>
  <c r="QG36" i="18"/>
  <c r="QH36" i="18"/>
  <c r="QI36" i="18"/>
  <c r="QJ36" i="18"/>
  <c r="QK36" i="18"/>
  <c r="QL36" i="18"/>
  <c r="QM36" i="18"/>
  <c r="QN36" i="18"/>
  <c r="QO36" i="18"/>
  <c r="QP36" i="18"/>
  <c r="QQ36" i="18"/>
  <c r="QR36"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Y37" i="18"/>
  <c r="CZ37" i="18"/>
  <c r="DA37" i="18"/>
  <c r="DB37" i="18"/>
  <c r="DC37" i="18"/>
  <c r="DD37" i="18"/>
  <c r="DE37" i="18"/>
  <c r="DF37" i="18"/>
  <c r="DG37" i="18"/>
  <c r="DH37" i="18"/>
  <c r="DI37" i="18"/>
  <c r="DJ37" i="18"/>
  <c r="DK37" i="18"/>
  <c r="DL37" i="18"/>
  <c r="DM37" i="18"/>
  <c r="DN37" i="18"/>
  <c r="DO37" i="18"/>
  <c r="DP37" i="18"/>
  <c r="DQ37" i="18"/>
  <c r="DR37" i="18"/>
  <c r="DS37" i="18"/>
  <c r="DT37" i="18"/>
  <c r="DU37" i="18"/>
  <c r="DV37" i="18"/>
  <c r="DW37" i="18"/>
  <c r="DX37" i="18"/>
  <c r="DY37" i="18"/>
  <c r="DZ37" i="18"/>
  <c r="EA37" i="18"/>
  <c r="EB37" i="18"/>
  <c r="EC37" i="18"/>
  <c r="ED37" i="18"/>
  <c r="EE37" i="18"/>
  <c r="EF37" i="18"/>
  <c r="EG37" i="18"/>
  <c r="EH37" i="18"/>
  <c r="EI37" i="18"/>
  <c r="EJ37" i="18"/>
  <c r="EK37" i="18"/>
  <c r="EL37" i="18"/>
  <c r="EM37" i="18"/>
  <c r="EN37" i="18"/>
  <c r="EO37" i="18"/>
  <c r="EP37" i="18"/>
  <c r="EQ37" i="18"/>
  <c r="ER37" i="18"/>
  <c r="ES37" i="18"/>
  <c r="ET37" i="18"/>
  <c r="EU37" i="18"/>
  <c r="EV37" i="18"/>
  <c r="EW37" i="18"/>
  <c r="EX37" i="18"/>
  <c r="EY37" i="18"/>
  <c r="EZ37" i="18"/>
  <c r="FA37" i="18"/>
  <c r="FB37" i="18"/>
  <c r="FC37" i="18"/>
  <c r="FD37" i="18"/>
  <c r="FE37" i="18"/>
  <c r="FF37" i="18"/>
  <c r="FG37" i="18"/>
  <c r="FH37" i="18"/>
  <c r="FI37" i="18"/>
  <c r="FJ37" i="18"/>
  <c r="FK37" i="18"/>
  <c r="FL37" i="18"/>
  <c r="FM37" i="18"/>
  <c r="FN37" i="18"/>
  <c r="FO37" i="18"/>
  <c r="FP37" i="18"/>
  <c r="FQ37" i="18"/>
  <c r="FR37" i="18"/>
  <c r="FS37" i="18"/>
  <c r="FT37" i="18"/>
  <c r="FU37" i="18"/>
  <c r="FV37" i="18"/>
  <c r="FW37" i="18"/>
  <c r="FX37" i="18"/>
  <c r="FY37" i="18"/>
  <c r="FZ37" i="18"/>
  <c r="GA37" i="18"/>
  <c r="GB37" i="18"/>
  <c r="GC37" i="18"/>
  <c r="GD37" i="18"/>
  <c r="GE37" i="18"/>
  <c r="GF37" i="18"/>
  <c r="GG37" i="18"/>
  <c r="GH37" i="18"/>
  <c r="GI37" i="18"/>
  <c r="GJ37" i="18"/>
  <c r="GK37" i="18"/>
  <c r="GL37" i="18"/>
  <c r="GM37" i="18"/>
  <c r="GN37" i="18"/>
  <c r="GO37" i="18"/>
  <c r="GP37" i="18"/>
  <c r="GQ37" i="18"/>
  <c r="GR37" i="18"/>
  <c r="GS37" i="18"/>
  <c r="GT37" i="18"/>
  <c r="GU37" i="18"/>
  <c r="GV37" i="18"/>
  <c r="GW37" i="18"/>
  <c r="GX37" i="18"/>
  <c r="GY37" i="18"/>
  <c r="GZ37" i="18"/>
  <c r="HA37" i="18"/>
  <c r="HB37" i="18"/>
  <c r="HC37" i="18"/>
  <c r="HD37" i="18"/>
  <c r="HE37" i="18"/>
  <c r="HF37" i="18"/>
  <c r="HG37" i="18"/>
  <c r="HH37" i="18"/>
  <c r="HI37" i="18"/>
  <c r="HJ37" i="18"/>
  <c r="HK37" i="18"/>
  <c r="HL37" i="18"/>
  <c r="HM37" i="18"/>
  <c r="HN37" i="18"/>
  <c r="HO37" i="18"/>
  <c r="HP37" i="18"/>
  <c r="HQ37" i="18"/>
  <c r="HR37" i="18"/>
  <c r="HS37" i="18"/>
  <c r="HT37" i="18"/>
  <c r="HU37" i="18"/>
  <c r="HV37" i="18"/>
  <c r="HW37" i="18"/>
  <c r="HX37" i="18"/>
  <c r="HY37" i="18"/>
  <c r="HZ37" i="18"/>
  <c r="IA37" i="18"/>
  <c r="IB37" i="18"/>
  <c r="IC37" i="18"/>
  <c r="ID37" i="18"/>
  <c r="IE37" i="18"/>
  <c r="IF37" i="18"/>
  <c r="IG37" i="18"/>
  <c r="IH37" i="18"/>
  <c r="II37" i="18"/>
  <c r="IJ37" i="18"/>
  <c r="IK37" i="18"/>
  <c r="IL37" i="18"/>
  <c r="IM37" i="18"/>
  <c r="IN37" i="18"/>
  <c r="IO37" i="18"/>
  <c r="IP37" i="18"/>
  <c r="IQ37" i="18"/>
  <c r="IR37" i="18"/>
  <c r="IS37" i="18"/>
  <c r="IT37" i="18"/>
  <c r="IU37" i="18"/>
  <c r="IV37" i="18"/>
  <c r="IW37" i="18"/>
  <c r="IX37" i="18"/>
  <c r="IY37" i="18"/>
  <c r="IZ37" i="18"/>
  <c r="JA37" i="18"/>
  <c r="JB37" i="18"/>
  <c r="JC37" i="18"/>
  <c r="JD37" i="18"/>
  <c r="JE37" i="18"/>
  <c r="JF37" i="18"/>
  <c r="JG37" i="18"/>
  <c r="JH37" i="18"/>
  <c r="JI37" i="18"/>
  <c r="JJ37" i="18"/>
  <c r="JK37" i="18"/>
  <c r="JL37" i="18"/>
  <c r="JM37" i="18"/>
  <c r="JN37" i="18"/>
  <c r="JO37" i="18"/>
  <c r="JP37" i="18"/>
  <c r="JQ37" i="18"/>
  <c r="JR37" i="18"/>
  <c r="JS37" i="18"/>
  <c r="JT37" i="18"/>
  <c r="JU37" i="18"/>
  <c r="JV37" i="18"/>
  <c r="JW37" i="18"/>
  <c r="JX37" i="18"/>
  <c r="JY37" i="18"/>
  <c r="JZ37" i="18"/>
  <c r="KA37" i="18"/>
  <c r="KB37" i="18"/>
  <c r="KC37" i="18"/>
  <c r="KD37" i="18"/>
  <c r="KE37" i="18"/>
  <c r="KF37" i="18"/>
  <c r="KG37" i="18"/>
  <c r="KH37" i="18"/>
  <c r="KI37" i="18"/>
  <c r="KJ37" i="18"/>
  <c r="KK37" i="18"/>
  <c r="KL37" i="18"/>
  <c r="KM37" i="18"/>
  <c r="KN37" i="18"/>
  <c r="KO37" i="18"/>
  <c r="KP37" i="18"/>
  <c r="KQ37" i="18"/>
  <c r="KR37" i="18"/>
  <c r="KS37" i="18"/>
  <c r="KT37" i="18"/>
  <c r="KU37" i="18"/>
  <c r="KV37" i="18"/>
  <c r="KW37" i="18"/>
  <c r="KX37" i="18"/>
  <c r="KY37" i="18"/>
  <c r="KZ37" i="18"/>
  <c r="LA37" i="18"/>
  <c r="LB37" i="18"/>
  <c r="LC37" i="18"/>
  <c r="LD37" i="18"/>
  <c r="LE37" i="18"/>
  <c r="LF37" i="18"/>
  <c r="LG37" i="18"/>
  <c r="LH37" i="18"/>
  <c r="LI37" i="18"/>
  <c r="LJ37" i="18"/>
  <c r="LK37" i="18"/>
  <c r="LL37" i="18"/>
  <c r="LM37" i="18"/>
  <c r="LN37" i="18"/>
  <c r="LO37" i="18"/>
  <c r="LP37" i="18"/>
  <c r="LQ37" i="18"/>
  <c r="LR37" i="18"/>
  <c r="LS37" i="18"/>
  <c r="LT37" i="18"/>
  <c r="LU37" i="18"/>
  <c r="LV37" i="18"/>
  <c r="LW37" i="18"/>
  <c r="LX37" i="18"/>
  <c r="LY37" i="18"/>
  <c r="LZ37" i="18"/>
  <c r="MA37" i="18"/>
  <c r="MB37" i="18"/>
  <c r="MC37" i="18"/>
  <c r="MD37" i="18"/>
  <c r="ME37" i="18"/>
  <c r="MF37" i="18"/>
  <c r="MG37" i="18"/>
  <c r="MH37" i="18"/>
  <c r="MI37" i="18"/>
  <c r="MJ37" i="18"/>
  <c r="MK37" i="18"/>
  <c r="ML37" i="18"/>
  <c r="MM37" i="18"/>
  <c r="MN37" i="18"/>
  <c r="MO37" i="18"/>
  <c r="MP37" i="18"/>
  <c r="MQ37" i="18"/>
  <c r="MR37" i="18"/>
  <c r="MS37" i="18"/>
  <c r="MT37" i="18"/>
  <c r="MU37" i="18"/>
  <c r="MV37" i="18"/>
  <c r="MW37" i="18"/>
  <c r="MX37" i="18"/>
  <c r="MY37" i="18"/>
  <c r="MZ37" i="18"/>
  <c r="NA37" i="18"/>
  <c r="NB37" i="18"/>
  <c r="NC37" i="18"/>
  <c r="ND37" i="18"/>
  <c r="NE37" i="18"/>
  <c r="NF37" i="18"/>
  <c r="NG37" i="18"/>
  <c r="NH37" i="18"/>
  <c r="NI37" i="18"/>
  <c r="NJ37" i="18"/>
  <c r="NK37" i="18"/>
  <c r="NL37" i="18"/>
  <c r="NM37" i="18"/>
  <c r="NN37" i="18"/>
  <c r="NO37" i="18"/>
  <c r="NP37" i="18"/>
  <c r="NQ37" i="18"/>
  <c r="NR37" i="18"/>
  <c r="NS37" i="18"/>
  <c r="NT37" i="18"/>
  <c r="NU37" i="18"/>
  <c r="NV37" i="18"/>
  <c r="NW37" i="18"/>
  <c r="NX37" i="18"/>
  <c r="NY37" i="18"/>
  <c r="NZ37" i="18"/>
  <c r="OA37" i="18"/>
  <c r="OB37" i="18"/>
  <c r="OC37" i="18"/>
  <c r="OD37" i="18"/>
  <c r="OE37" i="18"/>
  <c r="OF37" i="18"/>
  <c r="OG37" i="18"/>
  <c r="OH37" i="18"/>
  <c r="OI37" i="18"/>
  <c r="OJ37" i="18"/>
  <c r="OK37" i="18"/>
  <c r="OL37" i="18"/>
  <c r="OM37" i="18"/>
  <c r="ON37" i="18"/>
  <c r="OO37" i="18"/>
  <c r="OP37" i="18"/>
  <c r="OQ37" i="18"/>
  <c r="OR37" i="18"/>
  <c r="OS37" i="18"/>
  <c r="OT37" i="18"/>
  <c r="OU37" i="18"/>
  <c r="OV37" i="18"/>
  <c r="OW37" i="18"/>
  <c r="OX37" i="18"/>
  <c r="OY37" i="18"/>
  <c r="OZ37" i="18"/>
  <c r="PA37" i="18"/>
  <c r="PB37" i="18"/>
  <c r="PC37" i="18"/>
  <c r="PD37" i="18"/>
  <c r="PE37" i="18"/>
  <c r="PF37" i="18"/>
  <c r="PG37" i="18"/>
  <c r="PH37" i="18"/>
  <c r="PI37" i="18"/>
  <c r="PJ37" i="18"/>
  <c r="PK37" i="18"/>
  <c r="PL37" i="18"/>
  <c r="PM37" i="18"/>
  <c r="PN37" i="18"/>
  <c r="PO37" i="18"/>
  <c r="PP37" i="18"/>
  <c r="PQ37" i="18"/>
  <c r="PR37" i="18"/>
  <c r="PS37" i="18"/>
  <c r="PT37" i="18"/>
  <c r="PU37" i="18"/>
  <c r="PV37" i="18"/>
  <c r="PW37" i="18"/>
  <c r="PX37" i="18"/>
  <c r="PY37" i="18"/>
  <c r="PZ37" i="18"/>
  <c r="QA37" i="18"/>
  <c r="QB37" i="18"/>
  <c r="QC37" i="18"/>
  <c r="QD37" i="18"/>
  <c r="QE37" i="18"/>
  <c r="QF37" i="18"/>
  <c r="QG37" i="18"/>
  <c r="QH37" i="18"/>
  <c r="QI37" i="18"/>
  <c r="QJ37" i="18"/>
  <c r="QK37" i="18"/>
  <c r="QL37" i="18"/>
  <c r="QM37" i="18"/>
  <c r="QN37" i="18"/>
  <c r="QO37" i="18"/>
  <c r="QP37" i="18"/>
  <c r="QQ37" i="18"/>
  <c r="QR37" i="18"/>
  <c r="B29" i="18"/>
  <c r="B30" i="18"/>
  <c r="B31" i="18"/>
  <c r="B32" i="18"/>
  <c r="B33" i="18"/>
  <c r="B34" i="18"/>
  <c r="B35" i="18"/>
  <c r="B36" i="18"/>
  <c r="B37" i="18"/>
  <c r="E80" i="2"/>
  <c r="E79" i="2"/>
  <c r="E73" i="2"/>
  <c r="E74" i="2"/>
  <c r="E75" i="2"/>
  <c r="E76" i="2"/>
  <c r="E66" i="2"/>
  <c r="E67" i="2"/>
  <c r="E68" i="2"/>
  <c r="E69" i="2"/>
  <c r="E70" i="2"/>
  <c r="E65" i="2"/>
  <c r="E71" i="2"/>
  <c r="E77" i="2"/>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R246" i="17"/>
  <c r="R247" i="17"/>
  <c r="Q247" i="17"/>
  <c r="Q246" i="17"/>
  <c r="R245" i="17"/>
  <c r="Q245" i="17"/>
  <c r="J46" i="14"/>
  <c r="I46" i="14"/>
  <c r="H46" i="14"/>
  <c r="G46" i="14"/>
  <c r="E104" i="2"/>
  <c r="I35" i="10"/>
  <c r="H35" i="10"/>
  <c r="G35" i="10"/>
  <c r="F35" i="10"/>
  <c r="B156" i="13"/>
  <c r="B143" i="13"/>
  <c r="B24" i="13"/>
  <c r="B38" i="13"/>
  <c r="B116" i="13"/>
  <c r="B153" i="13"/>
  <c r="B108" i="13"/>
  <c r="B101" i="13"/>
  <c r="B63" i="13"/>
  <c r="B123" i="13"/>
  <c r="B138" i="13"/>
  <c r="B93" i="13"/>
  <c r="B94" i="13"/>
  <c r="B127" i="13"/>
  <c r="B133" i="13"/>
  <c r="B34" i="13"/>
  <c r="B64" i="13"/>
  <c r="B43" i="13"/>
  <c r="B109" i="13"/>
  <c r="B134" i="13"/>
  <c r="B150" i="13"/>
  <c r="B9" i="13"/>
  <c r="B152" i="13"/>
  <c r="B117" i="13"/>
  <c r="B74" i="13"/>
  <c r="B25" i="13"/>
  <c r="B154" i="13"/>
  <c r="B147" i="13"/>
  <c r="B75" i="13"/>
  <c r="B136" i="13"/>
  <c r="B66" i="13"/>
  <c r="B97" i="13"/>
  <c r="B106" i="13"/>
  <c r="B148" i="13"/>
  <c r="B77" i="13"/>
  <c r="B32" i="13"/>
  <c r="B96" i="13"/>
  <c r="B145" i="13"/>
  <c r="B23" i="13"/>
  <c r="B107" i="13"/>
  <c r="B69" i="13"/>
  <c r="B27" i="13"/>
  <c r="B3" i="13"/>
  <c r="B73" i="13"/>
  <c r="B137" i="13"/>
  <c r="B132" i="13"/>
  <c r="B85" i="13"/>
  <c r="B128" i="13"/>
  <c r="B131" i="13"/>
  <c r="B115" i="13"/>
  <c r="B110" i="13"/>
  <c r="B62" i="13"/>
  <c r="B21" i="13"/>
  <c r="B67" i="13"/>
  <c r="B16" i="13"/>
  <c r="B112" i="13"/>
  <c r="B144" i="13"/>
  <c r="B90" i="13"/>
  <c r="B86" i="13"/>
  <c r="B135" i="13"/>
  <c r="B84" i="13"/>
  <c r="B151" i="13"/>
  <c r="B139" i="13"/>
  <c r="B146" i="13"/>
  <c r="B26" i="13"/>
  <c r="B130" i="13"/>
  <c r="B53" i="13"/>
  <c r="B39" i="13"/>
  <c r="B79" i="13"/>
  <c r="B51" i="13"/>
  <c r="B35" i="13"/>
  <c r="B95" i="13"/>
  <c r="B11" i="13"/>
  <c r="B20" i="13"/>
  <c r="B76" i="13"/>
  <c r="B29" i="13"/>
  <c r="B83" i="13"/>
  <c r="B36" i="13"/>
  <c r="B33" i="13"/>
  <c r="B142" i="13"/>
  <c r="B122" i="13"/>
  <c r="B140" i="13"/>
  <c r="B141" i="13"/>
  <c r="B81" i="13"/>
  <c r="B13" i="13"/>
  <c r="B100" i="13"/>
  <c r="B99" i="13"/>
  <c r="B4" i="13"/>
  <c r="B50" i="13"/>
  <c r="B113" i="13"/>
  <c r="B121" i="13"/>
  <c r="B102" i="13"/>
  <c r="B126" i="13"/>
  <c r="B118" i="13"/>
  <c r="B31" i="13"/>
  <c r="B7" i="13"/>
  <c r="B111" i="13"/>
  <c r="B17" i="13"/>
  <c r="B82" i="13"/>
  <c r="B6" i="13"/>
  <c r="B124" i="13"/>
  <c r="B149" i="13"/>
  <c r="B114" i="13"/>
  <c r="B120" i="13"/>
  <c r="B125" i="13"/>
  <c r="B59" i="13"/>
  <c r="B5" i="13"/>
  <c r="B57" i="13"/>
  <c r="B42" i="13"/>
  <c r="B105" i="13"/>
  <c r="B46" i="13"/>
  <c r="B119" i="13"/>
  <c r="B15" i="13"/>
  <c r="B19" i="13"/>
  <c r="B70" i="13"/>
  <c r="B129" i="13"/>
  <c r="B54" i="13"/>
  <c r="B41" i="13"/>
  <c r="B88" i="13"/>
  <c r="B48" i="13"/>
  <c r="B103" i="13"/>
  <c r="B72" i="13"/>
  <c r="B49" i="13"/>
  <c r="B71" i="13"/>
  <c r="B87" i="13"/>
  <c r="B89" i="13"/>
  <c r="B78" i="13"/>
  <c r="B47" i="13"/>
  <c r="B52" i="13"/>
  <c r="B56" i="13"/>
  <c r="B44" i="13"/>
  <c r="B45" i="13"/>
  <c r="B28" i="13"/>
  <c r="B58" i="13"/>
  <c r="B37" i="13"/>
  <c r="B98" i="13"/>
  <c r="B65" i="13"/>
  <c r="B61" i="13"/>
  <c r="B55" i="13"/>
  <c r="B30" i="13"/>
  <c r="B68" i="13"/>
  <c r="B80" i="13"/>
  <c r="B40" i="13"/>
  <c r="B14" i="13"/>
  <c r="B10" i="13"/>
  <c r="B12" i="13"/>
  <c r="B60" i="13"/>
  <c r="B22" i="13"/>
  <c r="B8" i="13"/>
  <c r="B92" i="13"/>
  <c r="B91" i="13"/>
  <c r="B104" i="13"/>
  <c r="B18" i="13"/>
  <c r="B155" i="13"/>
  <c r="U41" i="17"/>
  <c r="U33" i="17"/>
  <c r="U29" i="17"/>
  <c r="U19" i="17"/>
  <c r="C104" i="13"/>
  <c r="C45" i="13"/>
  <c r="C7" i="13"/>
  <c r="C88" i="13"/>
  <c r="C5" i="13"/>
  <c r="C12" i="13"/>
  <c r="SF154" i="1"/>
  <c r="P41" i="17" s="1"/>
  <c r="SF11" i="1"/>
  <c r="P90" i="17" s="1"/>
  <c r="SF12" i="1"/>
  <c r="P57" i="17" s="1"/>
  <c r="SF13" i="1"/>
  <c r="P144" i="17" s="1"/>
  <c r="SF14" i="1"/>
  <c r="P120" i="17" s="1"/>
  <c r="SF15" i="1"/>
  <c r="P104" i="17" s="1"/>
  <c r="SF16" i="1"/>
  <c r="P69" i="17" s="1"/>
  <c r="SF17" i="1"/>
  <c r="P126" i="17" s="1"/>
  <c r="SF18" i="1"/>
  <c r="P106" i="17" s="1"/>
  <c r="SF19" i="1"/>
  <c r="P142" i="17" s="1"/>
  <c r="SF20" i="1"/>
  <c r="P50" i="17" s="1"/>
  <c r="SF21" i="1"/>
  <c r="P47" i="17" s="1"/>
  <c r="SF22" i="1"/>
  <c r="P81" i="17" s="1"/>
  <c r="SF23" i="1"/>
  <c r="P65" i="17" s="1"/>
  <c r="SF24" i="1"/>
  <c r="P52" i="17" s="1"/>
  <c r="SF25" i="1"/>
  <c r="P152" i="17" s="1"/>
  <c r="SF26" i="1"/>
  <c r="P149" i="17" s="1"/>
  <c r="SF27" i="1"/>
  <c r="P128" i="17" s="1"/>
  <c r="SF28" i="1"/>
  <c r="P92" i="17" s="1"/>
  <c r="SF29" i="1"/>
  <c r="P143" i="17" s="1"/>
  <c r="SF30" i="1"/>
  <c r="P139" i="17" s="1"/>
  <c r="SF31" i="1"/>
  <c r="P75" i="17" s="1"/>
  <c r="SF32" i="1"/>
  <c r="P155" i="17" s="1"/>
  <c r="SF33" i="1"/>
  <c r="P49" i="17" s="1"/>
  <c r="SF34" i="1"/>
  <c r="P119" i="17" s="1"/>
  <c r="SF35" i="1"/>
  <c r="P88" i="17" s="1"/>
  <c r="SF36" i="1"/>
  <c r="P135" i="17" s="1"/>
  <c r="SF37" i="1"/>
  <c r="P64" i="17" s="1"/>
  <c r="SF38" i="1"/>
  <c r="P62" i="17" s="1"/>
  <c r="SF39" i="1"/>
  <c r="P94" i="17" s="1"/>
  <c r="SF40" i="1"/>
  <c r="P51" i="17" s="1"/>
  <c r="SF41" i="1"/>
  <c r="P58" i="17" s="1"/>
  <c r="SF42" i="1"/>
  <c r="P68" i="17" s="1"/>
  <c r="SF43" i="1"/>
  <c r="P67" i="17" s="1"/>
  <c r="SF44" i="1"/>
  <c r="P55" i="17" s="1"/>
  <c r="SF45" i="1"/>
  <c r="P79" i="17" s="1"/>
  <c r="SF46" i="1"/>
  <c r="P107" i="17" s="1"/>
  <c r="SF47" i="1"/>
  <c r="P125" i="17" s="1"/>
  <c r="SF48" i="1"/>
  <c r="P60" i="17" s="1"/>
  <c r="SF49" i="1"/>
  <c r="P132" i="17" s="1"/>
  <c r="SF50" i="1"/>
  <c r="P105" i="17" s="1"/>
  <c r="SF51" i="1"/>
  <c r="P148" i="17" s="1"/>
  <c r="SF52" i="1"/>
  <c r="P134" i="17" s="1"/>
  <c r="SF53" i="1"/>
  <c r="P151" i="17" s="1"/>
  <c r="SF54" i="1"/>
  <c r="P115" i="17" s="1"/>
  <c r="SF55" i="1"/>
  <c r="P70" i="17" s="1"/>
  <c r="SF56" i="1"/>
  <c r="P45" i="17" s="1"/>
  <c r="SF57" i="1"/>
  <c r="P56" i="17" s="1"/>
  <c r="SF58" i="1"/>
  <c r="P127" i="17" s="1"/>
  <c r="SF59" i="1"/>
  <c r="P80" i="17" s="1"/>
  <c r="SF60" i="1"/>
  <c r="P83" i="17" s="1"/>
  <c r="SF61" i="1"/>
  <c r="P63" i="17" s="1"/>
  <c r="SF62" i="1"/>
  <c r="P100" i="17" s="1"/>
  <c r="SF63" i="1"/>
  <c r="P116" i="17" s="1"/>
  <c r="SF64" i="1"/>
  <c r="P91" i="17" s="1"/>
  <c r="SF65" i="1"/>
  <c r="P140" i="17" s="1"/>
  <c r="SF66" i="1"/>
  <c r="P124" i="17" s="1"/>
  <c r="SF67" i="1"/>
  <c r="P43" i="17" s="1"/>
  <c r="SF68" i="1"/>
  <c r="P46" i="17" s="1"/>
  <c r="SF69" i="1"/>
  <c r="P71" i="17" s="1"/>
  <c r="SF70" i="1"/>
  <c r="P73" i="17" s="1"/>
  <c r="SF71" i="1"/>
  <c r="P86" i="17" s="1"/>
  <c r="SF72" i="1"/>
  <c r="P123" i="17" s="1"/>
  <c r="SF73" i="1"/>
  <c r="P109" i="17" s="1"/>
  <c r="SF74" i="1"/>
  <c r="P93" i="17" s="1"/>
  <c r="SF75" i="1"/>
  <c r="P154" i="17" s="1"/>
  <c r="SF76" i="1"/>
  <c r="P111" i="17" s="1"/>
  <c r="SF77" i="1"/>
  <c r="P114" i="17" s="1"/>
  <c r="SF78" i="1"/>
  <c r="P110" i="17" s="1"/>
  <c r="SF79" i="1"/>
  <c r="P103" i="17" s="1"/>
  <c r="SF80" i="1"/>
  <c r="P102" i="17" s="1"/>
  <c r="SF81" i="1"/>
  <c r="P133" i="17" s="1"/>
  <c r="SF82" i="1"/>
  <c r="P122" i="17" s="1"/>
  <c r="SF83" i="1"/>
  <c r="P137" i="17" s="1"/>
  <c r="SF84" i="1"/>
  <c r="P136" i="17" s="1"/>
  <c r="SF85" i="1"/>
  <c r="P101" i="17" s="1"/>
  <c r="SF86" i="1"/>
  <c r="P129" i="17" s="1"/>
  <c r="SF87" i="1"/>
  <c r="P82" i="17" s="1"/>
  <c r="SF88" i="1"/>
  <c r="P48" i="17" s="1"/>
  <c r="SF89" i="1"/>
  <c r="P85" i="17" s="1"/>
  <c r="SF90" i="1"/>
  <c r="P66" i="17" s="1"/>
  <c r="SF91" i="1"/>
  <c r="P42" i="17" s="1"/>
  <c r="SF92" i="1"/>
  <c r="P76" i="17" s="1"/>
  <c r="SF93" i="1"/>
  <c r="P108" i="17" s="1"/>
  <c r="SF94" i="1"/>
  <c r="P74" i="17" s="1"/>
  <c r="SF95" i="1"/>
  <c r="P117" i="17" s="1"/>
  <c r="SF96" i="1"/>
  <c r="P87" i="17" s="1"/>
  <c r="SF97" i="1"/>
  <c r="P59" i="17" s="1"/>
  <c r="SF98" i="1"/>
  <c r="P147" i="17" s="1"/>
  <c r="SF99" i="1"/>
  <c r="P121" i="17" s="1"/>
  <c r="SF100" i="1"/>
  <c r="P44" i="17" s="1"/>
  <c r="SF101" i="1"/>
  <c r="P61" i="17" s="1"/>
  <c r="SF102" i="1"/>
  <c r="P89" i="17" s="1"/>
  <c r="SF103" i="1"/>
  <c r="P72" i="17" s="1"/>
  <c r="SF104" i="1"/>
  <c r="P112" i="17" s="1"/>
  <c r="SF105" i="1"/>
  <c r="P54" i="17" s="1"/>
  <c r="SF106" i="1"/>
  <c r="P141" i="17" s="1"/>
  <c r="SF107" i="1"/>
  <c r="P99" i="17" s="1"/>
  <c r="SF108" i="1"/>
  <c r="P130" i="17" s="1"/>
  <c r="SF109" i="1"/>
  <c r="P98" i="17" s="1"/>
  <c r="SF110" i="1"/>
  <c r="P156" i="17" s="1"/>
  <c r="SF111" i="1"/>
  <c r="P131" i="17" s="1"/>
  <c r="SF112" i="1"/>
  <c r="P84" i="17" s="1"/>
  <c r="SF113" i="1"/>
  <c r="P96" i="17" s="1"/>
  <c r="SF114" i="1"/>
  <c r="P77" i="17" s="1"/>
  <c r="SF115" i="1"/>
  <c r="P53" i="17" s="1"/>
  <c r="SF116" i="1"/>
  <c r="P95" i="17" s="1"/>
  <c r="SF117" i="1"/>
  <c r="P146" i="17" s="1"/>
  <c r="SF118" i="1"/>
  <c r="P97" i="17" s="1"/>
  <c r="SF119" i="1"/>
  <c r="P113" i="17" s="1"/>
  <c r="SF120" i="1"/>
  <c r="P153" i="17" s="1"/>
  <c r="SF121" i="1"/>
  <c r="P150" i="17" s="1"/>
  <c r="SF122" i="1"/>
  <c r="P78" i="17" s="1"/>
  <c r="SF123" i="1"/>
  <c r="P145" i="17" s="1"/>
  <c r="SF124" i="1"/>
  <c r="P138" i="17" s="1"/>
  <c r="P3" i="17"/>
  <c r="P4" i="17"/>
  <c r="P5" i="17"/>
  <c r="P6" i="17"/>
  <c r="P7" i="17"/>
  <c r="P8" i="17"/>
  <c r="P9" i="17"/>
  <c r="P10" i="17"/>
  <c r="P11" i="17"/>
  <c r="SF125" i="1"/>
  <c r="P12" i="17" s="1"/>
  <c r="SF126" i="1"/>
  <c r="P13" i="17" s="1"/>
  <c r="SF127" i="1"/>
  <c r="P14" i="17" s="1"/>
  <c r="SF128" i="1"/>
  <c r="P15" i="17" s="1"/>
  <c r="SF129" i="1"/>
  <c r="P16" i="17" s="1"/>
  <c r="SF130" i="1"/>
  <c r="P17" i="17" s="1"/>
  <c r="SF131" i="1"/>
  <c r="P18" i="17" s="1"/>
  <c r="SF132" i="1"/>
  <c r="P19" i="17" s="1"/>
  <c r="SF133" i="1"/>
  <c r="P20" i="17" s="1"/>
  <c r="SF134" i="1"/>
  <c r="P21" i="17" s="1"/>
  <c r="SF135" i="1"/>
  <c r="P22" i="17" s="1"/>
  <c r="SF136" i="1"/>
  <c r="P23" i="17" s="1"/>
  <c r="SF137" i="1"/>
  <c r="P24" i="17" s="1"/>
  <c r="SF138" i="1"/>
  <c r="P25" i="17" s="1"/>
  <c r="SF139" i="1"/>
  <c r="P26" i="17" s="1"/>
  <c r="SF140" i="1"/>
  <c r="P27" i="17" s="1"/>
  <c r="SF141" i="1"/>
  <c r="P28" i="17" s="1"/>
  <c r="SF142" i="1"/>
  <c r="P29" i="17" s="1"/>
  <c r="SF143" i="1"/>
  <c r="P30" i="17" s="1"/>
  <c r="SF144" i="1"/>
  <c r="P31" i="17" s="1"/>
  <c r="SF145" i="1"/>
  <c r="P32" i="17" s="1"/>
  <c r="SF146" i="1"/>
  <c r="P33" i="17" s="1"/>
  <c r="SF147" i="1"/>
  <c r="P34" i="17" s="1"/>
  <c r="SF148" i="1"/>
  <c r="P35" i="17" s="1"/>
  <c r="SF149" i="1"/>
  <c r="P36" i="17" s="1"/>
  <c r="SF150" i="1"/>
  <c r="P37" i="17" s="1"/>
  <c r="SF151" i="1"/>
  <c r="P38" i="17" s="1"/>
  <c r="SF152" i="1"/>
  <c r="P39" i="17" s="1"/>
  <c r="SF153" i="1"/>
  <c r="P40" i="17" s="1"/>
  <c r="RR4" i="1"/>
  <c r="RQ4" i="1"/>
  <c r="RP4" i="1"/>
  <c r="RO4" i="1"/>
  <c r="RN4" i="1"/>
  <c r="RM4" i="1"/>
  <c r="RL4" i="1"/>
  <c r="RK4" i="1"/>
  <c r="RJ4" i="1"/>
  <c r="RI4" i="1"/>
  <c r="RH4" i="1"/>
  <c r="RG4" i="1"/>
  <c r="U37" i="17"/>
  <c r="U32" i="17"/>
  <c r="C14" i="13"/>
  <c r="U23" i="17"/>
  <c r="U17" i="17"/>
  <c r="U9" i="17"/>
  <c r="C103" i="13"/>
  <c r="C129" i="13"/>
  <c r="C114" i="13"/>
  <c r="C82" i="13"/>
  <c r="C13" i="13"/>
  <c r="C122" i="13"/>
  <c r="C83" i="13"/>
  <c r="C11" i="13"/>
  <c r="C79" i="13"/>
  <c r="C66" i="13"/>
  <c r="C116" i="13"/>
  <c r="U36" i="17"/>
  <c r="C22" i="13"/>
  <c r="U26" i="17"/>
  <c r="C61" i="13"/>
  <c r="C58" i="13"/>
  <c r="C47" i="13"/>
  <c r="C71" i="13"/>
  <c r="C48" i="13"/>
  <c r="C70" i="13"/>
  <c r="C46" i="13"/>
  <c r="C126" i="13"/>
  <c r="C50" i="13"/>
  <c r="C26" i="13"/>
  <c r="C84" i="13"/>
  <c r="C144" i="13"/>
  <c r="C21" i="13"/>
  <c r="C131" i="13"/>
  <c r="C137" i="13"/>
  <c r="C69" i="13"/>
  <c r="C96" i="13"/>
  <c r="C154" i="13"/>
  <c r="C152" i="13"/>
  <c r="C109" i="13"/>
  <c r="C133" i="13"/>
  <c r="C138" i="13"/>
  <c r="C108" i="13"/>
  <c r="C38" i="13"/>
  <c r="U30" i="17"/>
  <c r="C80" i="13"/>
  <c r="U25" i="17"/>
  <c r="U21" i="17"/>
  <c r="U15" i="17"/>
  <c r="C49" i="13"/>
  <c r="C41" i="13"/>
  <c r="C125" i="13"/>
  <c r="C124" i="13"/>
  <c r="C111" i="13"/>
  <c r="C99" i="13"/>
  <c r="C141" i="13"/>
  <c r="C33" i="13"/>
  <c r="C76" i="13"/>
  <c r="U133" i="17"/>
  <c r="C35" i="13"/>
  <c r="C53" i="13"/>
  <c r="C146" i="13"/>
  <c r="C106" i="13"/>
  <c r="C75" i="13"/>
  <c r="C24" i="13"/>
  <c r="C156" i="13"/>
  <c r="U38" i="17"/>
  <c r="C92" i="13"/>
  <c r="C30" i="13"/>
  <c r="U24" i="17"/>
  <c r="C98" i="13"/>
  <c r="U18" i="17"/>
  <c r="C56" i="13"/>
  <c r="C89" i="13"/>
  <c r="C72" i="13"/>
  <c r="U5" i="17"/>
  <c r="C54" i="13"/>
  <c r="C15" i="13"/>
  <c r="C42" i="13"/>
  <c r="C120" i="13"/>
  <c r="C31" i="13"/>
  <c r="C121" i="13"/>
  <c r="C20" i="13"/>
  <c r="C139" i="13"/>
  <c r="C86" i="13"/>
  <c r="U140" i="17"/>
  <c r="C16" i="13"/>
  <c r="C110" i="13"/>
  <c r="C85" i="13"/>
  <c r="C3" i="13"/>
  <c r="C23" i="13"/>
  <c r="C77" i="13"/>
  <c r="C74" i="13"/>
  <c r="C150" i="13"/>
  <c r="C64" i="13"/>
  <c r="C94" i="13"/>
  <c r="C63" i="13"/>
  <c r="C143" i="13"/>
  <c r="S36" i="17"/>
  <c r="T36" i="17" s="1"/>
  <c r="S32" i="17"/>
  <c r="T32" i="17" s="1"/>
  <c r="S24" i="17"/>
  <c r="T24" i="17" s="1"/>
  <c r="Q8" i="17"/>
  <c r="V8" i="17" s="1"/>
  <c r="Q4" i="17"/>
  <c r="V4" i="17" s="1"/>
  <c r="S23" i="17"/>
  <c r="T23" i="17" s="1"/>
  <c r="S19" i="17"/>
  <c r="T19" i="17" s="1"/>
  <c r="S15" i="17"/>
  <c r="T15" i="17" s="1"/>
  <c r="Q11" i="17"/>
  <c r="V11" i="17" s="1"/>
  <c r="Q7" i="17"/>
  <c r="V7" i="17" s="1"/>
  <c r="Q3" i="17"/>
  <c r="V3" i="17" s="1"/>
  <c r="S38" i="17"/>
  <c r="T38" i="17" s="1"/>
  <c r="S30" i="17"/>
  <c r="T30" i="17" s="1"/>
  <c r="S26" i="17"/>
  <c r="T26" i="17" s="1"/>
  <c r="S18" i="17"/>
  <c r="T18" i="17" s="1"/>
  <c r="Q10" i="17"/>
  <c r="V10" i="17" s="1"/>
  <c r="Q6" i="17"/>
  <c r="V6" i="17" s="1"/>
  <c r="Q44" i="17"/>
  <c r="V44" i="17" s="1"/>
  <c r="S133" i="17"/>
  <c r="S41" i="17"/>
  <c r="S37" i="17"/>
  <c r="S33" i="17"/>
  <c r="S29" i="17"/>
  <c r="S25" i="17"/>
  <c r="T25" i="17" s="1"/>
  <c r="S21" i="17"/>
  <c r="T21" i="17" s="1"/>
  <c r="S17" i="17"/>
  <c r="T17" i="17" s="1"/>
  <c r="S9" i="17"/>
  <c r="Q9" i="17"/>
  <c r="V9" i="17" s="1"/>
  <c r="S5" i="17"/>
  <c r="Q5" i="17"/>
  <c r="V5" i="17" s="1"/>
  <c r="S140" i="17"/>
  <c r="E91" i="13"/>
  <c r="E55" i="13"/>
  <c r="E37" i="13"/>
  <c r="E78" i="13"/>
  <c r="E49" i="13"/>
  <c r="E88" i="13"/>
  <c r="E70" i="13"/>
  <c r="E114" i="13"/>
  <c r="E99" i="13"/>
  <c r="E95" i="13"/>
  <c r="E21" i="13"/>
  <c r="E3" i="13"/>
  <c r="E74" i="13"/>
  <c r="E143" i="13"/>
  <c r="E12" i="13"/>
  <c r="E56" i="13"/>
  <c r="E72" i="13"/>
  <c r="E41" i="13"/>
  <c r="E19" i="13"/>
  <c r="E59" i="13"/>
  <c r="E17" i="13"/>
  <c r="E118" i="13"/>
  <c r="E53" i="13"/>
  <c r="E112" i="13"/>
  <c r="E27" i="13"/>
  <c r="E145" i="13"/>
  <c r="E66" i="13"/>
  <c r="E93" i="13"/>
  <c r="E28" i="13"/>
  <c r="E103" i="13"/>
  <c r="E54" i="13"/>
  <c r="E51" i="13"/>
  <c r="E16" i="13"/>
  <c r="E69" i="13"/>
  <c r="E136" i="13"/>
  <c r="E152" i="13"/>
  <c r="E108" i="13"/>
  <c r="E38" i="13"/>
  <c r="E14" i="13"/>
  <c r="E47" i="13"/>
  <c r="E48" i="13"/>
  <c r="E129" i="13"/>
  <c r="E57" i="13"/>
  <c r="E102" i="13"/>
  <c r="E79" i="13"/>
  <c r="E90" i="13"/>
  <c r="E115" i="13"/>
  <c r="E106" i="13"/>
  <c r="E9" i="13"/>
  <c r="E127" i="13"/>
  <c r="E123" i="13"/>
  <c r="SX149" i="1"/>
  <c r="SX43" i="1"/>
  <c r="SZ36" i="1"/>
  <c r="SZ28" i="1"/>
  <c r="SZ20" i="1"/>
  <c r="SX153" i="1"/>
  <c r="SZ122" i="1"/>
  <c r="SX72" i="1"/>
  <c r="SX68" i="1"/>
  <c r="SZ64" i="1"/>
  <c r="SZ46" i="1"/>
  <c r="SX24" i="1"/>
  <c r="SX144" i="1"/>
  <c r="SX113" i="1"/>
  <c r="SX45" i="1"/>
  <c r="SX38" i="1"/>
  <c r="SX147" i="1"/>
  <c r="SX120" i="1"/>
  <c r="SX100" i="1"/>
  <c r="SX48" i="1"/>
  <c r="SZ144" i="1"/>
  <c r="SZ128" i="1"/>
  <c r="SZ75" i="1"/>
  <c r="SZ148" i="1"/>
  <c r="SZ103" i="1"/>
  <c r="SZ73" i="1"/>
  <c r="SZ151" i="1"/>
  <c r="SZ120" i="1"/>
  <c r="SZ112" i="1"/>
  <c r="SZ108" i="1"/>
  <c r="SZ104" i="1"/>
  <c r="SZ96" i="1"/>
  <c r="SZ85" i="1"/>
  <c r="SZ52" i="1"/>
  <c r="SZ48" i="1"/>
  <c r="SZ152" i="1"/>
  <c r="SZ136" i="1"/>
  <c r="SZ123" i="1"/>
  <c r="SZ97" i="1"/>
  <c r="SZ82" i="1"/>
  <c r="SZ72" i="1"/>
  <c r="SZ61" i="1"/>
  <c r="SZ149" i="1"/>
  <c r="SX115" i="1"/>
  <c r="SX61" i="1"/>
  <c r="SX55" i="1"/>
  <c r="SX40" i="1"/>
  <c r="SX25" i="1"/>
  <c r="SZ140" i="1"/>
  <c r="SZ95" i="1"/>
  <c r="SZ80" i="1"/>
  <c r="SZ42" i="1"/>
  <c r="SZ21" i="1"/>
  <c r="SZ12" i="1"/>
  <c r="SX60" i="1"/>
  <c r="SX20" i="1"/>
  <c r="SX44" i="1"/>
  <c r="O4" i="17"/>
  <c r="R4" i="17" s="1"/>
  <c r="O9" i="17"/>
  <c r="R9" i="17" s="1"/>
  <c r="O6" i="17"/>
  <c r="R6" i="17" s="1"/>
  <c r="Q55" i="17"/>
  <c r="V55" i="17" s="1"/>
  <c r="O3" i="17"/>
  <c r="R3" i="17" s="1"/>
  <c r="O7" i="17"/>
  <c r="R7" i="17" s="1"/>
  <c r="O8" i="17"/>
  <c r="R8" i="17" s="1"/>
  <c r="O10" i="17"/>
  <c r="R10" i="17" s="1"/>
  <c r="O11" i="17"/>
  <c r="R11" i="17" s="1"/>
  <c r="O5" i="17"/>
  <c r="R5" i="17" s="1"/>
  <c r="SX76" i="1"/>
  <c r="SZ76" i="1"/>
  <c r="SZ44" i="1"/>
  <c r="E148" i="13"/>
  <c r="SX11" i="1"/>
  <c r="E131" i="13"/>
  <c r="SZ16" i="1"/>
  <c r="E132" i="13"/>
  <c r="SZ56" i="1"/>
  <c r="SX56" i="1"/>
  <c r="E140" i="13"/>
  <c r="SX92" i="1"/>
  <c r="I72" i="13"/>
  <c r="I54" i="13"/>
  <c r="I41" i="13"/>
  <c r="I70" i="13"/>
  <c r="I103" i="13"/>
  <c r="I48" i="13"/>
  <c r="I129" i="13"/>
  <c r="I49" i="13"/>
  <c r="I88" i="13"/>
  <c r="SX77" i="1"/>
  <c r="SX19" i="1"/>
  <c r="SX28" i="1"/>
  <c r="SX134" i="1"/>
  <c r="SX64" i="1"/>
  <c r="SX29" i="1"/>
  <c r="SX136" i="1"/>
  <c r="SX140" i="1"/>
  <c r="SX132" i="1"/>
  <c r="SX27" i="1"/>
  <c r="SX128" i="1"/>
  <c r="SX96" i="1"/>
  <c r="SX52" i="1"/>
  <c r="SX124" i="1"/>
  <c r="SX88" i="1"/>
  <c r="D48" i="13"/>
  <c r="D72" i="13"/>
  <c r="D129" i="13"/>
  <c r="D70" i="13"/>
  <c r="D103" i="13"/>
  <c r="D41" i="13"/>
  <c r="D88" i="13"/>
  <c r="D54" i="13"/>
  <c r="D49" i="13"/>
  <c r="J72" i="13"/>
  <c r="J41" i="13"/>
  <c r="J54" i="13"/>
  <c r="J48" i="13"/>
  <c r="J103" i="13"/>
  <c r="J49" i="13"/>
  <c r="J129" i="13"/>
  <c r="J70" i="13"/>
  <c r="J88" i="13"/>
  <c r="UE161" i="1" l="1"/>
  <c r="UE157" i="1"/>
  <c r="UE121" i="1"/>
  <c r="UE117" i="1"/>
  <c r="UE97" i="1"/>
  <c r="UE33" i="1"/>
  <c r="UE160" i="1"/>
  <c r="UE156" i="1"/>
  <c r="UE152" i="1"/>
  <c r="UE148" i="1"/>
  <c r="UE144" i="1"/>
  <c r="UE140" i="1"/>
  <c r="UE136" i="1"/>
  <c r="UE132" i="1"/>
  <c r="UE128" i="1"/>
  <c r="UE124" i="1"/>
  <c r="UE120" i="1"/>
  <c r="UE116" i="1"/>
  <c r="UE112" i="1"/>
  <c r="UE108" i="1"/>
  <c r="UE104" i="1"/>
  <c r="UE100" i="1"/>
  <c r="UE96" i="1"/>
  <c r="UE92" i="1"/>
  <c r="UE88" i="1"/>
  <c r="UE84" i="1"/>
  <c r="UE80" i="1"/>
  <c r="UE76" i="1"/>
  <c r="UE72" i="1"/>
  <c r="UE68" i="1"/>
  <c r="UE64" i="1"/>
  <c r="UE60" i="1"/>
  <c r="UE56" i="1"/>
  <c r="UE52" i="1"/>
  <c r="UE48" i="1"/>
  <c r="UE44" i="1"/>
  <c r="UE40" i="1"/>
  <c r="UE36" i="1"/>
  <c r="UE32" i="1"/>
  <c r="UE28" i="1"/>
  <c r="UE24" i="1"/>
  <c r="UE20" i="1"/>
  <c r="UE16" i="1"/>
  <c r="UE12" i="1"/>
  <c r="UE163" i="1"/>
  <c r="UE155" i="1"/>
  <c r="UE147" i="1"/>
  <c r="UE131" i="1"/>
  <c r="UE123" i="1"/>
  <c r="UE115" i="1"/>
  <c r="UE107" i="1"/>
  <c r="UE99" i="1"/>
  <c r="UE95" i="1"/>
  <c r="UE87" i="1"/>
  <c r="UE67" i="1"/>
  <c r="UE63" i="1"/>
  <c r="UE59" i="1"/>
  <c r="UE47" i="1"/>
  <c r="UE43" i="1"/>
  <c r="UE39" i="1"/>
  <c r="UE35" i="1"/>
  <c r="UE31" i="1"/>
  <c r="UE23" i="1"/>
  <c r="UE11" i="1"/>
  <c r="UE162" i="1"/>
  <c r="UE158" i="1"/>
  <c r="UE154" i="1"/>
  <c r="UE138" i="1"/>
  <c r="UE134" i="1"/>
  <c r="UE126" i="1"/>
  <c r="UE122" i="1"/>
  <c r="UE118" i="1"/>
  <c r="UE102" i="1"/>
  <c r="UE98" i="1"/>
  <c r="UE94" i="1"/>
  <c r="UE86" i="1"/>
  <c r="UE82" i="1"/>
  <c r="UE74" i="1"/>
  <c r="UE70" i="1"/>
  <c r="UE66" i="1"/>
  <c r="UE62" i="1"/>
  <c r="UE58" i="1"/>
  <c r="UE54" i="1"/>
  <c r="UE50" i="1"/>
  <c r="UE42" i="1"/>
  <c r="UE30" i="1"/>
  <c r="UE22" i="1"/>
  <c r="UE18" i="1"/>
  <c r="UE14" i="1"/>
  <c r="E104" i="13"/>
  <c r="UE153" i="1"/>
  <c r="E22" i="13"/>
  <c r="UE149" i="1"/>
  <c r="SX145" i="1"/>
  <c r="UE145" i="1"/>
  <c r="E30" i="13"/>
  <c r="UE141" i="1"/>
  <c r="SZ137" i="1"/>
  <c r="UE137" i="1"/>
  <c r="SZ133" i="1"/>
  <c r="UE133" i="1"/>
  <c r="SZ129" i="1"/>
  <c r="UE129" i="1"/>
  <c r="E71" i="13"/>
  <c r="UE125" i="1"/>
  <c r="SZ113" i="1"/>
  <c r="UE113" i="1"/>
  <c r="E82" i="13"/>
  <c r="UE109" i="1"/>
  <c r="E31" i="13"/>
  <c r="UE105" i="1"/>
  <c r="E121" i="13"/>
  <c r="UE101" i="1"/>
  <c r="E141" i="13"/>
  <c r="UE93" i="1"/>
  <c r="E33" i="13"/>
  <c r="UE89" i="1"/>
  <c r="E76" i="13"/>
  <c r="UE85" i="1"/>
  <c r="SZ81" i="1"/>
  <c r="UE81" i="1"/>
  <c r="SZ77" i="1"/>
  <c r="UE77" i="1"/>
  <c r="E139" i="13"/>
  <c r="UE73" i="1"/>
  <c r="SZ69" i="1"/>
  <c r="UE69" i="1"/>
  <c r="SZ65" i="1"/>
  <c r="UE65" i="1"/>
  <c r="E110" i="13"/>
  <c r="UE61" i="1"/>
  <c r="E85" i="13"/>
  <c r="UE57" i="1"/>
  <c r="UP53" i="1"/>
  <c r="UE53" i="1"/>
  <c r="E23" i="13"/>
  <c r="UE49" i="1"/>
  <c r="SZ45" i="1"/>
  <c r="UE45" i="1"/>
  <c r="SZ41" i="1"/>
  <c r="UE41" i="1"/>
  <c r="SX37" i="1"/>
  <c r="UE37" i="1"/>
  <c r="E109" i="13"/>
  <c r="UE29" i="1"/>
  <c r="E133" i="13"/>
  <c r="UE25" i="1"/>
  <c r="SX21" i="1"/>
  <c r="UE21" i="1"/>
  <c r="SX17" i="1"/>
  <c r="UE17" i="1"/>
  <c r="E24" i="13"/>
  <c r="UE13" i="1"/>
  <c r="UP159" i="1"/>
  <c r="UE159" i="1"/>
  <c r="E92" i="13"/>
  <c r="UE151" i="1"/>
  <c r="E80" i="13"/>
  <c r="UE143" i="1"/>
  <c r="TQ139" i="1"/>
  <c r="UE139" i="1"/>
  <c r="E58" i="13"/>
  <c r="UE135" i="1"/>
  <c r="E89" i="13"/>
  <c r="UE127" i="1"/>
  <c r="E42" i="13"/>
  <c r="UE119" i="1"/>
  <c r="E124" i="13"/>
  <c r="UE111" i="1"/>
  <c r="E126" i="13"/>
  <c r="UE103" i="1"/>
  <c r="E122" i="13"/>
  <c r="UE91" i="1"/>
  <c r="E11" i="13"/>
  <c r="UE83" i="1"/>
  <c r="SX79" i="1"/>
  <c r="UE79" i="1"/>
  <c r="E26" i="13"/>
  <c r="UE75" i="1"/>
  <c r="E84" i="13"/>
  <c r="UE71" i="1"/>
  <c r="E137" i="13"/>
  <c r="UE55" i="1"/>
  <c r="SX51" i="1"/>
  <c r="UE51" i="1"/>
  <c r="E64" i="13"/>
  <c r="UE27" i="1"/>
  <c r="E63" i="13"/>
  <c r="UE19" i="1"/>
  <c r="E116" i="13"/>
  <c r="UE15" i="1"/>
  <c r="UP10" i="1"/>
  <c r="UE10" i="1"/>
  <c r="E8" i="13"/>
  <c r="UE150" i="1"/>
  <c r="E10" i="13"/>
  <c r="UE146" i="1"/>
  <c r="E68" i="13"/>
  <c r="UE142" i="1"/>
  <c r="E52" i="13"/>
  <c r="UE130" i="1"/>
  <c r="E120" i="13"/>
  <c r="UE114" i="1"/>
  <c r="SZ110" i="1"/>
  <c r="UE110" i="1"/>
  <c r="SX106" i="1"/>
  <c r="UE106" i="1"/>
  <c r="E142" i="13"/>
  <c r="UE90" i="1"/>
  <c r="E39" i="13"/>
  <c r="UE78" i="1"/>
  <c r="E32" i="13"/>
  <c r="UE46" i="1"/>
  <c r="E147" i="13"/>
  <c r="UE38" i="1"/>
  <c r="E117" i="13"/>
  <c r="UE34" i="1"/>
  <c r="SZ26" i="1"/>
  <c r="UE26" i="1"/>
  <c r="SZ121" i="1"/>
  <c r="SX117" i="1"/>
  <c r="SX95" i="1"/>
  <c r="SX87" i="1"/>
  <c r="C153" i="13"/>
  <c r="Q155" i="17"/>
  <c r="V155" i="17" s="1"/>
  <c r="Q49" i="17"/>
  <c r="V49" i="17" s="1"/>
  <c r="SZ124" i="1"/>
  <c r="SZ54" i="1"/>
  <c r="C140" i="13"/>
  <c r="C105" i="13"/>
  <c r="C132" i="13"/>
  <c r="C91" i="13"/>
  <c r="SX73" i="1"/>
  <c r="SX53" i="1"/>
  <c r="SX13" i="1"/>
  <c r="SX65" i="1"/>
  <c r="SX85" i="1"/>
  <c r="E154" i="13"/>
  <c r="SZ117" i="1"/>
  <c r="SX33" i="1"/>
  <c r="SX69" i="1"/>
  <c r="SZ33" i="1"/>
  <c r="SZ141" i="1"/>
  <c r="SZ89" i="1"/>
  <c r="SZ29" i="1"/>
  <c r="SZ93" i="1"/>
  <c r="SZ153" i="1"/>
  <c r="SX41" i="1"/>
  <c r="SX49" i="1"/>
  <c r="SZ17" i="1"/>
  <c r="SE27" i="1"/>
  <c r="I64" i="13" s="1"/>
  <c r="E45" i="13"/>
  <c r="E138" i="13"/>
  <c r="E86" i="13"/>
  <c r="E35" i="13"/>
  <c r="E5" i="13"/>
  <c r="SX125" i="1"/>
  <c r="SX57" i="1"/>
  <c r="SX81" i="1"/>
  <c r="SZ37" i="1"/>
  <c r="SZ53" i="1"/>
  <c r="SZ49" i="1"/>
  <c r="SZ25" i="1"/>
  <c r="SX93" i="1"/>
  <c r="SZ13" i="1"/>
  <c r="E98" i="13"/>
  <c r="E77" i="13"/>
  <c r="E46" i="13"/>
  <c r="SX36" i="1"/>
  <c r="SX121" i="1"/>
  <c r="SX32" i="1"/>
  <c r="SX109" i="1"/>
  <c r="SX16" i="1"/>
  <c r="SZ57" i="1"/>
  <c r="SZ87" i="1"/>
  <c r="SZ125" i="1"/>
  <c r="SX89" i="1"/>
  <c r="SX101" i="1"/>
  <c r="C51" i="13"/>
  <c r="SZ131" i="1"/>
  <c r="C127" i="13"/>
  <c r="C151" i="13"/>
  <c r="C155" i="13"/>
  <c r="C100" i="13"/>
  <c r="C43" i="13"/>
  <c r="C59" i="13"/>
  <c r="C37" i="13"/>
  <c r="C148" i="13"/>
  <c r="C27" i="13"/>
  <c r="C113" i="13"/>
  <c r="C78" i="13"/>
  <c r="C149" i="13"/>
  <c r="C90" i="13"/>
  <c r="C118" i="13"/>
  <c r="C36" i="13"/>
  <c r="C9" i="13"/>
  <c r="C19" i="13"/>
  <c r="C40" i="13"/>
  <c r="C115" i="13"/>
  <c r="C130" i="13"/>
  <c r="C55" i="13"/>
  <c r="C123" i="13"/>
  <c r="C25" i="13"/>
  <c r="C60" i="13"/>
  <c r="C136" i="13"/>
  <c r="C17" i="13"/>
  <c r="C145" i="13"/>
  <c r="C67" i="13"/>
  <c r="C44" i="13"/>
  <c r="E202" i="14"/>
  <c r="E190" i="10" s="1"/>
  <c r="E114" i="14"/>
  <c r="E102" i="10" s="1"/>
  <c r="SX99" i="1"/>
  <c r="SZ35" i="1"/>
  <c r="E167" i="14"/>
  <c r="E155" i="10" s="1"/>
  <c r="E119" i="14"/>
  <c r="E107" i="10" s="1"/>
  <c r="E215" i="14"/>
  <c r="E203" i="10" s="1"/>
  <c r="K249" i="14"/>
  <c r="K245" i="14"/>
  <c r="K241" i="14"/>
  <c r="K237" i="14"/>
  <c r="K233" i="14"/>
  <c r="K229" i="14"/>
  <c r="K225" i="14"/>
  <c r="K221" i="14"/>
  <c r="K217" i="14"/>
  <c r="K213" i="14"/>
  <c r="K209" i="14"/>
  <c r="K205" i="14"/>
  <c r="K201" i="14"/>
  <c r="K197" i="14"/>
  <c r="K193" i="14"/>
  <c r="K189" i="14"/>
  <c r="K185" i="14"/>
  <c r="K181" i="14"/>
  <c r="K177" i="14"/>
  <c r="K173" i="14"/>
  <c r="K169" i="14"/>
  <c r="K165" i="14"/>
  <c r="K161" i="14"/>
  <c r="K157" i="14"/>
  <c r="K153" i="14"/>
  <c r="K149" i="14"/>
  <c r="K145" i="14"/>
  <c r="K141" i="14"/>
  <c r="K137" i="14"/>
  <c r="K133" i="14"/>
  <c r="K129" i="14"/>
  <c r="K125" i="14"/>
  <c r="K121" i="14"/>
  <c r="K117" i="14"/>
  <c r="K113" i="14"/>
  <c r="K109" i="14"/>
  <c r="K105" i="14"/>
  <c r="SX107" i="1"/>
  <c r="SZ67" i="1"/>
  <c r="SZ63" i="1"/>
  <c r="SX59" i="1"/>
  <c r="SZ43" i="1"/>
  <c r="SZ39" i="1"/>
  <c r="SX31" i="1"/>
  <c r="E199" i="14"/>
  <c r="E187" i="10" s="1"/>
  <c r="E151" i="14"/>
  <c r="E139" i="10" s="1"/>
  <c r="E107" i="14"/>
  <c r="E95" i="10" s="1"/>
  <c r="K247" i="14"/>
  <c r="K243" i="14"/>
  <c r="K239" i="14"/>
  <c r="K235" i="14"/>
  <c r="K231" i="14"/>
  <c r="K227" i="14"/>
  <c r="K223" i="14"/>
  <c r="K219" i="14"/>
  <c r="K215" i="14"/>
  <c r="K211" i="14"/>
  <c r="K207" i="14"/>
  <c r="K203" i="14"/>
  <c r="K199" i="14"/>
  <c r="K195" i="14"/>
  <c r="M20" i="14" s="1"/>
  <c r="K191" i="14"/>
  <c r="K187" i="14"/>
  <c r="K183" i="14"/>
  <c r="K179" i="14"/>
  <c r="K175" i="14"/>
  <c r="K171" i="14"/>
  <c r="K167" i="14"/>
  <c r="K163" i="14"/>
  <c r="K159" i="14"/>
  <c r="K155" i="14"/>
  <c r="K151" i="14"/>
  <c r="K147" i="14"/>
  <c r="K143" i="14"/>
  <c r="K139" i="14"/>
  <c r="K135" i="14"/>
  <c r="K131" i="14"/>
  <c r="K127" i="14"/>
  <c r="K123" i="14"/>
  <c r="K119" i="14"/>
  <c r="K115" i="14"/>
  <c r="K111" i="14"/>
  <c r="K107" i="14"/>
  <c r="K103" i="14"/>
  <c r="K99" i="14"/>
  <c r="E123" i="14"/>
  <c r="E111" i="10" s="1"/>
  <c r="SZ145" i="1"/>
  <c r="VH10" i="1"/>
  <c r="UI10" i="1"/>
  <c r="SX83" i="1"/>
  <c r="SX108" i="1"/>
  <c r="SX35" i="1"/>
  <c r="SX91" i="1"/>
  <c r="SZ119" i="1"/>
  <c r="SX116" i="1"/>
  <c r="SZ79" i="1"/>
  <c r="SE55" i="1"/>
  <c r="O70" i="17" s="1"/>
  <c r="R70" i="17" s="1"/>
  <c r="E111" i="13"/>
  <c r="SZ59" i="1"/>
  <c r="SZ147" i="1"/>
  <c r="SZ55" i="1"/>
  <c r="SE15" i="1"/>
  <c r="D102" i="14" s="1"/>
  <c r="D90" i="10" s="1"/>
  <c r="E150" i="13"/>
  <c r="VQ14" i="1"/>
  <c r="SH14" i="1"/>
  <c r="VU14" i="1" s="1"/>
  <c r="P101" i="14" s="1"/>
  <c r="YE10" i="1"/>
  <c r="VO10" i="1"/>
  <c r="H97" i="14" s="1"/>
  <c r="VR10" i="1"/>
  <c r="M97" i="14" s="1"/>
  <c r="SC163" i="1"/>
  <c r="VQ163" i="1"/>
  <c r="VP162" i="1"/>
  <c r="I249" i="14" s="1"/>
  <c r="YE161" i="1"/>
  <c r="VO161" i="1"/>
  <c r="H248" i="14" s="1"/>
  <c r="VR161" i="1"/>
  <c r="M248" i="14" s="1"/>
  <c r="SC159" i="1"/>
  <c r="VQ159" i="1"/>
  <c r="VP158" i="1"/>
  <c r="I245" i="14" s="1"/>
  <c r="YE157" i="1"/>
  <c r="VO157" i="1"/>
  <c r="H244" i="14" s="1"/>
  <c r="VR157" i="1"/>
  <c r="M244" i="14" s="1"/>
  <c r="SC155" i="1"/>
  <c r="VQ155" i="1"/>
  <c r="VP154" i="1"/>
  <c r="I241" i="14" s="1"/>
  <c r="YE153" i="1"/>
  <c r="VO153" i="1"/>
  <c r="H240" i="14" s="1"/>
  <c r="VR153" i="1"/>
  <c r="M240" i="14" s="1"/>
  <c r="SC151" i="1"/>
  <c r="VQ151" i="1"/>
  <c r="VP150" i="1"/>
  <c r="I237" i="14" s="1"/>
  <c r="YE149" i="1"/>
  <c r="VR149" i="1"/>
  <c r="M236" i="14" s="1"/>
  <c r="VO149" i="1"/>
  <c r="H236" i="14" s="1"/>
  <c r="SC147" i="1"/>
  <c r="VQ147" i="1"/>
  <c r="VP146" i="1"/>
  <c r="I233" i="14" s="1"/>
  <c r="YE145" i="1"/>
  <c r="VR145" i="1"/>
  <c r="M232" i="14" s="1"/>
  <c r="VO145" i="1"/>
  <c r="H232" i="14" s="1"/>
  <c r="SC143" i="1"/>
  <c r="VQ143" i="1"/>
  <c r="VP142" i="1"/>
  <c r="I229" i="14" s="1"/>
  <c r="YE141" i="1"/>
  <c r="VR141" i="1"/>
  <c r="M228" i="14" s="1"/>
  <c r="VO141" i="1"/>
  <c r="H228" i="14" s="1"/>
  <c r="SC139" i="1"/>
  <c r="VQ139" i="1"/>
  <c r="VP138" i="1"/>
  <c r="I225" i="14" s="1"/>
  <c r="YE137" i="1"/>
  <c r="VR137" i="1"/>
  <c r="M224" i="14" s="1"/>
  <c r="VO137" i="1"/>
  <c r="H224" i="14" s="1"/>
  <c r="SC135" i="1"/>
  <c r="VQ135" i="1"/>
  <c r="VP134" i="1"/>
  <c r="I221" i="14" s="1"/>
  <c r="YE133" i="1"/>
  <c r="VR133" i="1"/>
  <c r="M220" i="14" s="1"/>
  <c r="VO133" i="1"/>
  <c r="H220" i="14" s="1"/>
  <c r="SC131" i="1"/>
  <c r="VQ131" i="1"/>
  <c r="VP130" i="1"/>
  <c r="I217" i="14" s="1"/>
  <c r="YE129" i="1"/>
  <c r="VR129" i="1"/>
  <c r="M216" i="14" s="1"/>
  <c r="VO129" i="1"/>
  <c r="H216" i="14" s="1"/>
  <c r="SC127" i="1"/>
  <c r="VQ127" i="1"/>
  <c r="VP126" i="1"/>
  <c r="I213" i="14" s="1"/>
  <c r="YE125" i="1"/>
  <c r="VR125" i="1"/>
  <c r="M212" i="14" s="1"/>
  <c r="VO125" i="1"/>
  <c r="H212" i="14" s="1"/>
  <c r="SC123" i="1"/>
  <c r="VQ123" i="1"/>
  <c r="VP122" i="1"/>
  <c r="I209" i="14" s="1"/>
  <c r="VR121" i="1"/>
  <c r="M208" i="14" s="1"/>
  <c r="VO121" i="1"/>
  <c r="H208" i="14" s="1"/>
  <c r="SC119" i="1"/>
  <c r="VQ119" i="1"/>
  <c r="VP118" i="1"/>
  <c r="I205" i="14" s="1"/>
  <c r="YE117" i="1"/>
  <c r="VR117" i="1"/>
  <c r="M204" i="14" s="1"/>
  <c r="VO117" i="1"/>
  <c r="H204" i="14" s="1"/>
  <c r="SC115" i="1"/>
  <c r="VQ115" i="1"/>
  <c r="VP114" i="1"/>
  <c r="I201" i="14" s="1"/>
  <c r="YE113" i="1"/>
  <c r="VR113" i="1"/>
  <c r="M200" i="14" s="1"/>
  <c r="VO113" i="1"/>
  <c r="H200" i="14" s="1"/>
  <c r="SC111" i="1"/>
  <c r="VQ111" i="1"/>
  <c r="VP110" i="1"/>
  <c r="I197" i="14" s="1"/>
  <c r="YE109" i="1"/>
  <c r="VO109" i="1"/>
  <c r="H196" i="14" s="1"/>
  <c r="VR109" i="1"/>
  <c r="M196" i="14" s="1"/>
  <c r="SC107" i="1"/>
  <c r="VQ107" i="1"/>
  <c r="VP106" i="1"/>
  <c r="I193" i="14" s="1"/>
  <c r="YE105" i="1"/>
  <c r="VR105" i="1"/>
  <c r="M192" i="14" s="1"/>
  <c r="VO105" i="1"/>
  <c r="H192" i="14" s="1"/>
  <c r="SC103" i="1"/>
  <c r="VQ103" i="1"/>
  <c r="VP102" i="1"/>
  <c r="I189" i="14" s="1"/>
  <c r="YE101" i="1"/>
  <c r="VR101" i="1"/>
  <c r="M188" i="14" s="1"/>
  <c r="VO101" i="1"/>
  <c r="H188" i="14" s="1"/>
  <c r="SC99" i="1"/>
  <c r="VQ99" i="1"/>
  <c r="VP98" i="1"/>
  <c r="I185" i="14" s="1"/>
  <c r="YE97" i="1"/>
  <c r="VR97" i="1"/>
  <c r="M184" i="14" s="1"/>
  <c r="VO97" i="1"/>
  <c r="H184" i="14" s="1"/>
  <c r="SC95" i="1"/>
  <c r="VQ95" i="1"/>
  <c r="VP94" i="1"/>
  <c r="I181" i="14" s="1"/>
  <c r="YE93" i="1"/>
  <c r="VR93" i="1"/>
  <c r="M180" i="14" s="1"/>
  <c r="VO93" i="1"/>
  <c r="H180" i="14" s="1"/>
  <c r="SC91" i="1"/>
  <c r="VQ91" i="1"/>
  <c r="VP90" i="1"/>
  <c r="I177" i="14" s="1"/>
  <c r="YE89" i="1"/>
  <c r="VR89" i="1"/>
  <c r="M176" i="14" s="1"/>
  <c r="VO89" i="1"/>
  <c r="H176" i="14" s="1"/>
  <c r="SC87" i="1"/>
  <c r="VQ87" i="1"/>
  <c r="VP86" i="1"/>
  <c r="I173" i="14" s="1"/>
  <c r="YE85" i="1"/>
  <c r="VR85" i="1"/>
  <c r="M172" i="14" s="1"/>
  <c r="VO85" i="1"/>
  <c r="H172" i="14" s="1"/>
  <c r="SC83" i="1"/>
  <c r="VQ83" i="1"/>
  <c r="VP82" i="1"/>
  <c r="I169" i="14" s="1"/>
  <c r="VR81" i="1"/>
  <c r="M168" i="14" s="1"/>
  <c r="VO81" i="1"/>
  <c r="H168" i="14" s="1"/>
  <c r="SC79" i="1"/>
  <c r="VQ79" i="1"/>
  <c r="VP78" i="1"/>
  <c r="I165" i="14" s="1"/>
  <c r="YE77" i="1"/>
  <c r="VR77" i="1"/>
  <c r="M164" i="14" s="1"/>
  <c r="VO77" i="1"/>
  <c r="H164" i="14" s="1"/>
  <c r="SC75" i="1"/>
  <c r="VQ75" i="1"/>
  <c r="VP74" i="1"/>
  <c r="I161" i="14" s="1"/>
  <c r="YE73" i="1"/>
  <c r="VR73" i="1"/>
  <c r="M160" i="14" s="1"/>
  <c r="VO73" i="1"/>
  <c r="H160" i="14" s="1"/>
  <c r="SC71" i="1"/>
  <c r="VQ71" i="1"/>
  <c r="VP70" i="1"/>
  <c r="I157" i="14" s="1"/>
  <c r="YE69" i="1"/>
  <c r="VR69" i="1"/>
  <c r="M156" i="14" s="1"/>
  <c r="VO69" i="1"/>
  <c r="H156" i="14" s="1"/>
  <c r="SC67" i="1"/>
  <c r="VQ67" i="1"/>
  <c r="VP66" i="1"/>
  <c r="I153" i="14" s="1"/>
  <c r="YE65" i="1"/>
  <c r="VR65" i="1"/>
  <c r="M152" i="14" s="1"/>
  <c r="VO65" i="1"/>
  <c r="H152" i="14" s="1"/>
  <c r="SC63" i="1"/>
  <c r="VQ63" i="1"/>
  <c r="VP62" i="1"/>
  <c r="I149" i="14" s="1"/>
  <c r="YE61" i="1"/>
  <c r="VR61" i="1"/>
  <c r="M148" i="14" s="1"/>
  <c r="VO61" i="1"/>
  <c r="H148" i="14" s="1"/>
  <c r="SC59" i="1"/>
  <c r="VQ59" i="1"/>
  <c r="VP58" i="1"/>
  <c r="I145" i="14" s="1"/>
  <c r="YE57" i="1"/>
  <c r="VR57" i="1"/>
  <c r="M144" i="14" s="1"/>
  <c r="VO57" i="1"/>
  <c r="H144" i="14" s="1"/>
  <c r="SC55" i="1"/>
  <c r="VQ55" i="1"/>
  <c r="VP54" i="1"/>
  <c r="I141" i="14" s="1"/>
  <c r="YE53" i="1"/>
  <c r="VR53" i="1"/>
  <c r="M140" i="14" s="1"/>
  <c r="VO53" i="1"/>
  <c r="H140" i="14" s="1"/>
  <c r="SC51" i="1"/>
  <c r="VQ51" i="1"/>
  <c r="VP50" i="1"/>
  <c r="I137" i="14" s="1"/>
  <c r="YE49" i="1"/>
  <c r="VR49" i="1"/>
  <c r="M136" i="14" s="1"/>
  <c r="VO49" i="1"/>
  <c r="H136" i="14" s="1"/>
  <c r="SC47" i="1"/>
  <c r="VQ47" i="1"/>
  <c r="VP46" i="1"/>
  <c r="I133" i="14" s="1"/>
  <c r="YE45" i="1"/>
  <c r="VR45" i="1"/>
  <c r="M132" i="14" s="1"/>
  <c r="VO45" i="1"/>
  <c r="H132" i="14" s="1"/>
  <c r="SC43" i="1"/>
  <c r="VQ43" i="1"/>
  <c r="VP42" i="1"/>
  <c r="I129" i="14" s="1"/>
  <c r="VR41" i="1"/>
  <c r="M128" i="14" s="1"/>
  <c r="VO41" i="1"/>
  <c r="H128" i="14" s="1"/>
  <c r="SC39" i="1"/>
  <c r="VQ39" i="1"/>
  <c r="VP38" i="1"/>
  <c r="I125" i="14" s="1"/>
  <c r="YE37" i="1"/>
  <c r="VR37" i="1"/>
  <c r="M124" i="14" s="1"/>
  <c r="VO37" i="1"/>
  <c r="H124" i="14" s="1"/>
  <c r="SC35" i="1"/>
  <c r="VQ35" i="1"/>
  <c r="VP34" i="1"/>
  <c r="I121" i="14" s="1"/>
  <c r="YE33" i="1"/>
  <c r="VR33" i="1"/>
  <c r="M120" i="14" s="1"/>
  <c r="VO33" i="1"/>
  <c r="H120" i="14" s="1"/>
  <c r="SC31" i="1"/>
  <c r="VQ31" i="1"/>
  <c r="VP30" i="1"/>
  <c r="I117" i="14" s="1"/>
  <c r="YE29" i="1"/>
  <c r="VR29" i="1"/>
  <c r="M116" i="14" s="1"/>
  <c r="VO29" i="1"/>
  <c r="H116" i="14" s="1"/>
  <c r="SC27" i="1"/>
  <c r="VQ27" i="1"/>
  <c r="VP26" i="1"/>
  <c r="I113" i="14" s="1"/>
  <c r="YE25" i="1"/>
  <c r="VR25" i="1"/>
  <c r="M112" i="14" s="1"/>
  <c r="VO25" i="1"/>
  <c r="H112" i="14" s="1"/>
  <c r="SC23" i="1"/>
  <c r="VQ23" i="1"/>
  <c r="VP22" i="1"/>
  <c r="I109" i="14" s="1"/>
  <c r="YE21" i="1"/>
  <c r="VR21" i="1"/>
  <c r="M108" i="14" s="1"/>
  <c r="VO21" i="1"/>
  <c r="H108" i="14" s="1"/>
  <c r="SC19" i="1"/>
  <c r="VQ19" i="1"/>
  <c r="VP18" i="1"/>
  <c r="I105" i="14" s="1"/>
  <c r="YE17" i="1"/>
  <c r="VR17" i="1"/>
  <c r="M104" i="14" s="1"/>
  <c r="VO17" i="1"/>
  <c r="H104" i="14" s="1"/>
  <c r="SC15" i="1"/>
  <c r="VQ15" i="1"/>
  <c r="VP14" i="1"/>
  <c r="I101" i="14" s="1"/>
  <c r="YE13" i="1"/>
  <c r="VR13" i="1"/>
  <c r="M100" i="14" s="1"/>
  <c r="VO13" i="1"/>
  <c r="H100" i="14" s="1"/>
  <c r="SC11" i="1"/>
  <c r="VQ11" i="1"/>
  <c r="VO162" i="1"/>
  <c r="H249" i="14" s="1"/>
  <c r="VR162" i="1"/>
  <c r="M249" i="14" s="1"/>
  <c r="VP159" i="1"/>
  <c r="I246" i="14" s="1"/>
  <c r="VO158" i="1"/>
  <c r="H245" i="14" s="1"/>
  <c r="VR158" i="1"/>
  <c r="M245" i="14" s="1"/>
  <c r="VP155" i="1"/>
  <c r="I242" i="14" s="1"/>
  <c r="YE154" i="1"/>
  <c r="VO154" i="1"/>
  <c r="H241" i="14" s="1"/>
  <c r="VR154" i="1"/>
  <c r="M241" i="14" s="1"/>
  <c r="VO150" i="1"/>
  <c r="H237" i="14" s="1"/>
  <c r="VR150" i="1"/>
  <c r="M237" i="14" s="1"/>
  <c r="VP147" i="1"/>
  <c r="I234" i="14" s="1"/>
  <c r="YE146" i="1"/>
  <c r="VO146" i="1"/>
  <c r="H233" i="14" s="1"/>
  <c r="VR146" i="1"/>
  <c r="M233" i="14" s="1"/>
  <c r="VO142" i="1"/>
  <c r="H229" i="14" s="1"/>
  <c r="VR142" i="1"/>
  <c r="M229" i="14" s="1"/>
  <c r="VP139" i="1"/>
  <c r="I226" i="14" s="1"/>
  <c r="YE138" i="1"/>
  <c r="VO138" i="1"/>
  <c r="H225" i="14" s="1"/>
  <c r="VR138" i="1"/>
  <c r="M225" i="14" s="1"/>
  <c r="VO134" i="1"/>
  <c r="H221" i="14" s="1"/>
  <c r="VR134" i="1"/>
  <c r="M221" i="14" s="1"/>
  <c r="VP131" i="1"/>
  <c r="I218" i="14" s="1"/>
  <c r="VO130" i="1"/>
  <c r="H217" i="14" s="1"/>
  <c r="VR130" i="1"/>
  <c r="M217" i="14" s="1"/>
  <c r="YE126" i="1"/>
  <c r="VO126" i="1"/>
  <c r="H213" i="14" s="1"/>
  <c r="VR126" i="1"/>
  <c r="M213" i="14" s="1"/>
  <c r="VP123" i="1"/>
  <c r="I210" i="14" s="1"/>
  <c r="YE122" i="1"/>
  <c r="VO122" i="1"/>
  <c r="H209" i="14" s="1"/>
  <c r="VR122" i="1"/>
  <c r="M209" i="14" s="1"/>
  <c r="VP119" i="1"/>
  <c r="I206" i="14" s="1"/>
  <c r="YE118" i="1"/>
  <c r="VO118" i="1"/>
  <c r="H205" i="14" s="1"/>
  <c r="VR118" i="1"/>
  <c r="M205" i="14" s="1"/>
  <c r="VP115" i="1"/>
  <c r="I202" i="14" s="1"/>
  <c r="YE114" i="1"/>
  <c r="VO114" i="1"/>
  <c r="H201" i="14" s="1"/>
  <c r="VR114" i="1"/>
  <c r="M201" i="14" s="1"/>
  <c r="VP111" i="1"/>
  <c r="I198" i="14" s="1"/>
  <c r="YE110" i="1"/>
  <c r="VO110" i="1"/>
  <c r="H197" i="14" s="1"/>
  <c r="VR110" i="1"/>
  <c r="M197" i="14" s="1"/>
  <c r="VP107" i="1"/>
  <c r="I194" i="14" s="1"/>
  <c r="YE106" i="1"/>
  <c r="VR106" i="1"/>
  <c r="M193" i="14" s="1"/>
  <c r="VO106" i="1"/>
  <c r="H193" i="14" s="1"/>
  <c r="VP103" i="1"/>
  <c r="I190" i="14" s="1"/>
  <c r="YE102" i="1"/>
  <c r="VR102" i="1"/>
  <c r="M189" i="14" s="1"/>
  <c r="VO102" i="1"/>
  <c r="H189" i="14" s="1"/>
  <c r="VP99" i="1"/>
  <c r="I186" i="14" s="1"/>
  <c r="YE98" i="1"/>
  <c r="VR98" i="1"/>
  <c r="M185" i="14" s="1"/>
  <c r="VO98" i="1"/>
  <c r="H185" i="14" s="1"/>
  <c r="VP95" i="1"/>
  <c r="I182" i="14" s="1"/>
  <c r="YE94" i="1"/>
  <c r="VR94" i="1"/>
  <c r="M181" i="14" s="1"/>
  <c r="VO94" i="1"/>
  <c r="H181" i="14" s="1"/>
  <c r="VP91" i="1"/>
  <c r="I178" i="14" s="1"/>
  <c r="YE90" i="1"/>
  <c r="VR90" i="1"/>
  <c r="M177" i="14" s="1"/>
  <c r="VO90" i="1"/>
  <c r="H177" i="14" s="1"/>
  <c r="VP87" i="1"/>
  <c r="I174" i="14" s="1"/>
  <c r="YE86" i="1"/>
  <c r="VR86" i="1"/>
  <c r="M173" i="14" s="1"/>
  <c r="VO86" i="1"/>
  <c r="H173" i="14" s="1"/>
  <c r="VP83" i="1"/>
  <c r="I170" i="14" s="1"/>
  <c r="YE82" i="1"/>
  <c r="VR82" i="1"/>
  <c r="M169" i="14" s="1"/>
  <c r="VO82" i="1"/>
  <c r="H169" i="14" s="1"/>
  <c r="VP79" i="1"/>
  <c r="I166" i="14" s="1"/>
  <c r="YE78" i="1"/>
  <c r="VR78" i="1"/>
  <c r="M165" i="14" s="1"/>
  <c r="VO78" i="1"/>
  <c r="H165" i="14" s="1"/>
  <c r="VP75" i="1"/>
  <c r="I162" i="14" s="1"/>
  <c r="YE74" i="1"/>
  <c r="VR74" i="1"/>
  <c r="M161" i="14" s="1"/>
  <c r="VO74" i="1"/>
  <c r="H161" i="14" s="1"/>
  <c r="VP71" i="1"/>
  <c r="I158" i="14" s="1"/>
  <c r="YE70" i="1"/>
  <c r="VR70" i="1"/>
  <c r="M157" i="14" s="1"/>
  <c r="VO70" i="1"/>
  <c r="H157" i="14" s="1"/>
  <c r="VP67" i="1"/>
  <c r="I154" i="14" s="1"/>
  <c r="YE66" i="1"/>
  <c r="VO66" i="1"/>
  <c r="H153" i="14" s="1"/>
  <c r="VR66" i="1"/>
  <c r="M153" i="14" s="1"/>
  <c r="VP63" i="1"/>
  <c r="I150" i="14" s="1"/>
  <c r="YE62" i="1"/>
  <c r="VR62" i="1"/>
  <c r="M149" i="14" s="1"/>
  <c r="VO62" i="1"/>
  <c r="H149" i="14" s="1"/>
  <c r="VP59" i="1"/>
  <c r="I146" i="14" s="1"/>
  <c r="YE58" i="1"/>
  <c r="VR58" i="1"/>
  <c r="M145" i="14" s="1"/>
  <c r="VO58" i="1"/>
  <c r="H145" i="14" s="1"/>
  <c r="VP55" i="1"/>
  <c r="I142" i="14" s="1"/>
  <c r="YE54" i="1"/>
  <c r="VR54" i="1"/>
  <c r="M141" i="14" s="1"/>
  <c r="VO54" i="1"/>
  <c r="H141" i="14" s="1"/>
  <c r="VP51" i="1"/>
  <c r="I138" i="14" s="1"/>
  <c r="YE50" i="1"/>
  <c r="VR50" i="1"/>
  <c r="M137" i="14" s="1"/>
  <c r="VO50" i="1"/>
  <c r="H137" i="14" s="1"/>
  <c r="VP47" i="1"/>
  <c r="I134" i="14" s="1"/>
  <c r="YE46" i="1"/>
  <c r="VR46" i="1"/>
  <c r="M133" i="14" s="1"/>
  <c r="VO46" i="1"/>
  <c r="H133" i="14" s="1"/>
  <c r="VP43" i="1"/>
  <c r="I130" i="14" s="1"/>
  <c r="YE42" i="1"/>
  <c r="VR42" i="1"/>
  <c r="M129" i="14" s="1"/>
  <c r="VO42" i="1"/>
  <c r="H129" i="14" s="1"/>
  <c r="VP39" i="1"/>
  <c r="I126" i="14" s="1"/>
  <c r="YE38" i="1"/>
  <c r="VR38" i="1"/>
  <c r="M125" i="14" s="1"/>
  <c r="VO38" i="1"/>
  <c r="H125" i="14" s="1"/>
  <c r="VP35" i="1"/>
  <c r="I122" i="14" s="1"/>
  <c r="YE34" i="1"/>
  <c r="VR34" i="1"/>
  <c r="M121" i="14" s="1"/>
  <c r="VO34" i="1"/>
  <c r="H121" i="14" s="1"/>
  <c r="VP31" i="1"/>
  <c r="I118" i="14" s="1"/>
  <c r="L19" i="14" s="1"/>
  <c r="G12" i="24" s="1"/>
  <c r="YE30" i="1"/>
  <c r="VR30" i="1"/>
  <c r="M117" i="14" s="1"/>
  <c r="VO30" i="1"/>
  <c r="H117" i="14" s="1"/>
  <c r="VP27" i="1"/>
  <c r="I114" i="14" s="1"/>
  <c r="YE26" i="1"/>
  <c r="VR26" i="1"/>
  <c r="M113" i="14" s="1"/>
  <c r="VO26" i="1"/>
  <c r="H113" i="14" s="1"/>
  <c r="VP23" i="1"/>
  <c r="I110" i="14" s="1"/>
  <c r="YE22" i="1"/>
  <c r="VR22" i="1"/>
  <c r="M109" i="14" s="1"/>
  <c r="VO22" i="1"/>
  <c r="H109" i="14" s="1"/>
  <c r="VP19" i="1"/>
  <c r="I106" i="14" s="1"/>
  <c r="YE18" i="1"/>
  <c r="VR18" i="1"/>
  <c r="M105" i="14" s="1"/>
  <c r="VO18" i="1"/>
  <c r="H105" i="14" s="1"/>
  <c r="VP15" i="1"/>
  <c r="I102" i="14" s="1"/>
  <c r="YE14" i="1"/>
  <c r="VR14" i="1"/>
  <c r="M101" i="14" s="1"/>
  <c r="VO14" i="1"/>
  <c r="H101" i="14" s="1"/>
  <c r="YE163" i="1"/>
  <c r="VO163" i="1"/>
  <c r="H250" i="14" s="1"/>
  <c r="VR163" i="1"/>
  <c r="M250" i="14" s="1"/>
  <c r="SC161" i="1"/>
  <c r="VQ161" i="1"/>
  <c r="VP160" i="1"/>
  <c r="I247" i="14" s="1"/>
  <c r="YE159" i="1"/>
  <c r="VO159" i="1"/>
  <c r="H246" i="14" s="1"/>
  <c r="VR159" i="1"/>
  <c r="M246" i="14" s="1"/>
  <c r="SC157" i="1"/>
  <c r="VQ157" i="1"/>
  <c r="VP156" i="1"/>
  <c r="I243" i="14" s="1"/>
  <c r="VO155" i="1"/>
  <c r="H242" i="14" s="1"/>
  <c r="VR155" i="1"/>
  <c r="M242" i="14" s="1"/>
  <c r="SC153" i="1"/>
  <c r="VQ153" i="1"/>
  <c r="VP152" i="1"/>
  <c r="I239" i="14" s="1"/>
  <c r="YE151" i="1"/>
  <c r="VR151" i="1"/>
  <c r="M238" i="14" s="1"/>
  <c r="VO151" i="1"/>
  <c r="H238" i="14" s="1"/>
  <c r="SC149" i="1"/>
  <c r="VQ149" i="1"/>
  <c r="VP148" i="1"/>
  <c r="I235" i="14" s="1"/>
  <c r="YE147" i="1"/>
  <c r="VR147" i="1"/>
  <c r="M234" i="14" s="1"/>
  <c r="VO147" i="1"/>
  <c r="H234" i="14" s="1"/>
  <c r="SC145" i="1"/>
  <c r="VQ145" i="1"/>
  <c r="VP144" i="1"/>
  <c r="I231" i="14" s="1"/>
  <c r="YE143" i="1"/>
  <c r="VR143" i="1"/>
  <c r="M230" i="14" s="1"/>
  <c r="VO143" i="1"/>
  <c r="H230" i="14" s="1"/>
  <c r="SC141" i="1"/>
  <c r="VQ141" i="1"/>
  <c r="VP140" i="1"/>
  <c r="I227" i="14" s="1"/>
  <c r="YE139" i="1"/>
  <c r="VR139" i="1"/>
  <c r="M226" i="14" s="1"/>
  <c r="VO139" i="1"/>
  <c r="H226" i="14" s="1"/>
  <c r="SC137" i="1"/>
  <c r="VQ137" i="1"/>
  <c r="VP136" i="1"/>
  <c r="I223" i="14" s="1"/>
  <c r="YE135" i="1"/>
  <c r="VR135" i="1"/>
  <c r="M222" i="14" s="1"/>
  <c r="VO135" i="1"/>
  <c r="H222" i="14" s="1"/>
  <c r="SC133" i="1"/>
  <c r="VQ133" i="1"/>
  <c r="VP132" i="1"/>
  <c r="I219" i="14" s="1"/>
  <c r="YE131" i="1"/>
  <c r="VR131" i="1"/>
  <c r="M218" i="14" s="1"/>
  <c r="VO131" i="1"/>
  <c r="H218" i="14" s="1"/>
  <c r="SC129" i="1"/>
  <c r="VQ129" i="1"/>
  <c r="VP128" i="1"/>
  <c r="I215" i="14" s="1"/>
  <c r="YE127" i="1"/>
  <c r="VR127" i="1"/>
  <c r="M214" i="14" s="1"/>
  <c r="VO127" i="1"/>
  <c r="H214" i="14" s="1"/>
  <c r="SC125" i="1"/>
  <c r="VQ125" i="1"/>
  <c r="VP124" i="1"/>
  <c r="I211" i="14" s="1"/>
  <c r="YE123" i="1"/>
  <c r="VR123" i="1"/>
  <c r="M210" i="14" s="1"/>
  <c r="VO123" i="1"/>
  <c r="H210" i="14" s="1"/>
  <c r="SC121" i="1"/>
  <c r="VQ121" i="1"/>
  <c r="VP120" i="1"/>
  <c r="I207" i="14" s="1"/>
  <c r="YE119" i="1"/>
  <c r="VR119" i="1"/>
  <c r="M206" i="14" s="1"/>
  <c r="VO119" i="1"/>
  <c r="H206" i="14" s="1"/>
  <c r="SC117" i="1"/>
  <c r="VQ117" i="1"/>
  <c r="VP116" i="1"/>
  <c r="I203" i="14" s="1"/>
  <c r="YE115" i="1"/>
  <c r="VR115" i="1"/>
  <c r="M202" i="14" s="1"/>
  <c r="VO115" i="1"/>
  <c r="H202" i="14" s="1"/>
  <c r="SC113" i="1"/>
  <c r="VQ113" i="1"/>
  <c r="VP112" i="1"/>
  <c r="I199" i="14" s="1"/>
  <c r="YE111" i="1"/>
  <c r="VR111" i="1"/>
  <c r="M198" i="14" s="1"/>
  <c r="VO111" i="1"/>
  <c r="H198" i="14" s="1"/>
  <c r="SC109" i="1"/>
  <c r="VQ109" i="1"/>
  <c r="VP108" i="1"/>
  <c r="I195" i="14" s="1"/>
  <c r="YE107" i="1"/>
  <c r="VR107" i="1"/>
  <c r="M194" i="14" s="1"/>
  <c r="VO107" i="1"/>
  <c r="H194" i="14" s="1"/>
  <c r="SC105" i="1"/>
  <c r="VQ105" i="1"/>
  <c r="VP104" i="1"/>
  <c r="I191" i="14" s="1"/>
  <c r="VR103" i="1"/>
  <c r="M190" i="14" s="1"/>
  <c r="VO103" i="1"/>
  <c r="H190" i="14" s="1"/>
  <c r="SC101" i="1"/>
  <c r="VQ101" i="1"/>
  <c r="VP100" i="1"/>
  <c r="I187" i="14" s="1"/>
  <c r="YE99" i="1"/>
  <c r="VR99" i="1"/>
  <c r="M186" i="14" s="1"/>
  <c r="VO99" i="1"/>
  <c r="H186" i="14" s="1"/>
  <c r="SC97" i="1"/>
  <c r="VQ97" i="1"/>
  <c r="VP96" i="1"/>
  <c r="I183" i="14" s="1"/>
  <c r="YE95" i="1"/>
  <c r="VR95" i="1"/>
  <c r="M182" i="14" s="1"/>
  <c r="VO95" i="1"/>
  <c r="H182" i="14" s="1"/>
  <c r="SC93" i="1"/>
  <c r="VQ93" i="1"/>
  <c r="VP92" i="1"/>
  <c r="I179" i="14" s="1"/>
  <c r="YE91" i="1"/>
  <c r="VR91" i="1"/>
  <c r="M178" i="14" s="1"/>
  <c r="VO91" i="1"/>
  <c r="H178" i="14" s="1"/>
  <c r="SC89" i="1"/>
  <c r="VQ89" i="1"/>
  <c r="VP88" i="1"/>
  <c r="I175" i="14" s="1"/>
  <c r="YE87" i="1"/>
  <c r="VR87" i="1"/>
  <c r="M174" i="14" s="1"/>
  <c r="VO87" i="1"/>
  <c r="H174" i="14" s="1"/>
  <c r="SC85" i="1"/>
  <c r="VQ85" i="1"/>
  <c r="VP84" i="1"/>
  <c r="I171" i="14" s="1"/>
  <c r="YE83" i="1"/>
  <c r="VR83" i="1"/>
  <c r="M170" i="14" s="1"/>
  <c r="VO83" i="1"/>
  <c r="H170" i="14" s="1"/>
  <c r="SC81" i="1"/>
  <c r="VQ81" i="1"/>
  <c r="VP80" i="1"/>
  <c r="I167" i="14" s="1"/>
  <c r="YE79" i="1"/>
  <c r="VR79" i="1"/>
  <c r="M166" i="14" s="1"/>
  <c r="VO79" i="1"/>
  <c r="H166" i="14" s="1"/>
  <c r="SC77" i="1"/>
  <c r="VQ77" i="1"/>
  <c r="VP76" i="1"/>
  <c r="I163" i="14" s="1"/>
  <c r="YE75" i="1"/>
  <c r="VR75" i="1"/>
  <c r="M162" i="14" s="1"/>
  <c r="VO75" i="1"/>
  <c r="H162" i="14" s="1"/>
  <c r="SC73" i="1"/>
  <c r="VQ73" i="1"/>
  <c r="VP72" i="1"/>
  <c r="I159" i="14" s="1"/>
  <c r="VR71" i="1"/>
  <c r="M158" i="14" s="1"/>
  <c r="VO71" i="1"/>
  <c r="H158" i="14" s="1"/>
  <c r="SC69" i="1"/>
  <c r="VQ69" i="1"/>
  <c r="VP68" i="1"/>
  <c r="I155" i="14" s="1"/>
  <c r="YE67" i="1"/>
  <c r="VR67" i="1"/>
  <c r="M154" i="14" s="1"/>
  <c r="VO67" i="1"/>
  <c r="H154" i="14" s="1"/>
  <c r="SC65" i="1"/>
  <c r="VQ65" i="1"/>
  <c r="VP64" i="1"/>
  <c r="I151" i="14" s="1"/>
  <c r="YE63" i="1"/>
  <c r="VR63" i="1"/>
  <c r="M150" i="14" s="1"/>
  <c r="VO63" i="1"/>
  <c r="H150" i="14" s="1"/>
  <c r="SC61" i="1"/>
  <c r="VQ61" i="1"/>
  <c r="VP60" i="1"/>
  <c r="I147" i="14" s="1"/>
  <c r="YE59" i="1"/>
  <c r="VR59" i="1"/>
  <c r="M146" i="14" s="1"/>
  <c r="VO59" i="1"/>
  <c r="H146" i="14" s="1"/>
  <c r="SC57" i="1"/>
  <c r="VQ57" i="1"/>
  <c r="VP56" i="1"/>
  <c r="I143" i="14" s="1"/>
  <c r="YE55" i="1"/>
  <c r="VR55" i="1"/>
  <c r="M142" i="14" s="1"/>
  <c r="VO55" i="1"/>
  <c r="H142" i="14" s="1"/>
  <c r="SC53" i="1"/>
  <c r="VQ53" i="1"/>
  <c r="VP52" i="1"/>
  <c r="I139" i="14" s="1"/>
  <c r="VR51" i="1"/>
  <c r="M138" i="14" s="1"/>
  <c r="VO51" i="1"/>
  <c r="H138" i="14" s="1"/>
  <c r="SC49" i="1"/>
  <c r="VQ49" i="1"/>
  <c r="VP48" i="1"/>
  <c r="I135" i="14" s="1"/>
  <c r="YE47" i="1"/>
  <c r="VR47" i="1"/>
  <c r="M134" i="14" s="1"/>
  <c r="VO47" i="1"/>
  <c r="H134" i="14" s="1"/>
  <c r="SC45" i="1"/>
  <c r="VQ45" i="1"/>
  <c r="VP44" i="1"/>
  <c r="I131" i="14" s="1"/>
  <c r="YE43" i="1"/>
  <c r="VR43" i="1"/>
  <c r="M130" i="14" s="1"/>
  <c r="VO43" i="1"/>
  <c r="H130" i="14" s="1"/>
  <c r="SC41" i="1"/>
  <c r="VQ41" i="1"/>
  <c r="VP40" i="1"/>
  <c r="I127" i="14" s="1"/>
  <c r="VR39" i="1"/>
  <c r="M126" i="14" s="1"/>
  <c r="VO39" i="1"/>
  <c r="H126" i="14" s="1"/>
  <c r="SC37" i="1"/>
  <c r="VQ37" i="1"/>
  <c r="VP36" i="1"/>
  <c r="I123" i="14" s="1"/>
  <c r="YE35" i="1"/>
  <c r="VR35" i="1"/>
  <c r="M122" i="14" s="1"/>
  <c r="VO35" i="1"/>
  <c r="H122" i="14" s="1"/>
  <c r="SC33" i="1"/>
  <c r="VQ33" i="1"/>
  <c r="VP32" i="1"/>
  <c r="I119" i="14" s="1"/>
  <c r="YE31" i="1"/>
  <c r="VR31" i="1"/>
  <c r="M118" i="14" s="1"/>
  <c r="VO31" i="1"/>
  <c r="H118" i="14" s="1"/>
  <c r="K19" i="14" s="1"/>
  <c r="F12" i="24" s="1"/>
  <c r="SC29" i="1"/>
  <c r="VQ29" i="1"/>
  <c r="VP28" i="1"/>
  <c r="I115" i="14" s="1"/>
  <c r="YE27" i="1"/>
  <c r="VR27" i="1"/>
  <c r="M114" i="14" s="1"/>
  <c r="VO27" i="1"/>
  <c r="H114" i="14" s="1"/>
  <c r="SC25" i="1"/>
  <c r="VQ25" i="1"/>
  <c r="VP24" i="1"/>
  <c r="I111" i="14" s="1"/>
  <c r="YE23" i="1"/>
  <c r="VR23" i="1"/>
  <c r="M110" i="14" s="1"/>
  <c r="VO23" i="1"/>
  <c r="H110" i="14" s="1"/>
  <c r="SC21" i="1"/>
  <c r="VQ21" i="1"/>
  <c r="VP20" i="1"/>
  <c r="I107" i="14" s="1"/>
  <c r="YE19" i="1"/>
  <c r="VR19" i="1"/>
  <c r="M106" i="14" s="1"/>
  <c r="VO19" i="1"/>
  <c r="H106" i="14" s="1"/>
  <c r="SC17" i="1"/>
  <c r="VQ17" i="1"/>
  <c r="VP16" i="1"/>
  <c r="I103" i="14" s="1"/>
  <c r="YE15" i="1"/>
  <c r="VR15" i="1"/>
  <c r="M102" i="14" s="1"/>
  <c r="VO15" i="1"/>
  <c r="H102" i="14" s="1"/>
  <c r="VP12" i="1"/>
  <c r="I99" i="14" s="1"/>
  <c r="YE11" i="1"/>
  <c r="VR11" i="1"/>
  <c r="M98" i="14" s="1"/>
  <c r="VO11" i="1"/>
  <c r="H98" i="14" s="1"/>
  <c r="K17" i="14" s="1"/>
  <c r="F10" i="24" s="1"/>
  <c r="VP161" i="1"/>
  <c r="I248" i="14" s="1"/>
  <c r="YE160" i="1"/>
  <c r="VR160" i="1"/>
  <c r="M247" i="14" s="1"/>
  <c r="VO160" i="1"/>
  <c r="H247" i="14" s="1"/>
  <c r="VP157" i="1"/>
  <c r="I244" i="14" s="1"/>
  <c r="YE156" i="1"/>
  <c r="VR156" i="1"/>
  <c r="M243" i="14" s="1"/>
  <c r="VO156" i="1"/>
  <c r="H243" i="14" s="1"/>
  <c r="VR152" i="1"/>
  <c r="M239" i="14" s="1"/>
  <c r="VO152" i="1"/>
  <c r="H239" i="14" s="1"/>
  <c r="VP149" i="1"/>
  <c r="I236" i="14" s="1"/>
  <c r="YE148" i="1"/>
  <c r="VO148" i="1"/>
  <c r="H235" i="14" s="1"/>
  <c r="VR148" i="1"/>
  <c r="M235" i="14" s="1"/>
  <c r="VO144" i="1"/>
  <c r="H231" i="14" s="1"/>
  <c r="VR144" i="1"/>
  <c r="M231" i="14" s="1"/>
  <c r="VO140" i="1"/>
  <c r="H227" i="14" s="1"/>
  <c r="VR140" i="1"/>
  <c r="M227" i="14" s="1"/>
  <c r="VP137" i="1"/>
  <c r="I224" i="14" s="1"/>
  <c r="YE136" i="1"/>
  <c r="VO136" i="1"/>
  <c r="H223" i="14" s="1"/>
  <c r="VR136" i="1"/>
  <c r="M223" i="14" s="1"/>
  <c r="VO132" i="1"/>
  <c r="H219" i="14" s="1"/>
  <c r="VR132" i="1"/>
  <c r="M219" i="14" s="1"/>
  <c r="YE128" i="1"/>
  <c r="VO128" i="1"/>
  <c r="H215" i="14" s="1"/>
  <c r="VR128" i="1"/>
  <c r="M215" i="14" s="1"/>
  <c r="VP125" i="1"/>
  <c r="I212" i="14" s="1"/>
  <c r="YE124" i="1"/>
  <c r="VO124" i="1"/>
  <c r="H211" i="14" s="1"/>
  <c r="VR124" i="1"/>
  <c r="M211" i="14" s="1"/>
  <c r="VP121" i="1"/>
  <c r="I208" i="14" s="1"/>
  <c r="VO120" i="1"/>
  <c r="H207" i="14" s="1"/>
  <c r="VR120" i="1"/>
  <c r="M207" i="14" s="1"/>
  <c r="YE116" i="1"/>
  <c r="VO116" i="1"/>
  <c r="H203" i="14" s="1"/>
  <c r="VR116" i="1"/>
  <c r="M203" i="14" s="1"/>
  <c r="YE112" i="1"/>
  <c r="VO112" i="1"/>
  <c r="H199" i="14" s="1"/>
  <c r="VR112" i="1"/>
  <c r="M199" i="14" s="1"/>
  <c r="YE108" i="1"/>
  <c r="VR108" i="1"/>
  <c r="M195" i="14" s="1"/>
  <c r="VO108" i="1"/>
  <c r="H195" i="14" s="1"/>
  <c r="VR104" i="1"/>
  <c r="M191" i="14" s="1"/>
  <c r="VO104" i="1"/>
  <c r="H191" i="14" s="1"/>
  <c r="YE100" i="1"/>
  <c r="VR100" i="1"/>
  <c r="M187" i="14" s="1"/>
  <c r="VO100" i="1"/>
  <c r="H187" i="14" s="1"/>
  <c r="YE96" i="1"/>
  <c r="VR96" i="1"/>
  <c r="M183" i="14" s="1"/>
  <c r="VO96" i="1"/>
  <c r="H183" i="14" s="1"/>
  <c r="VP93" i="1"/>
  <c r="I180" i="14" s="1"/>
  <c r="VR92" i="1"/>
  <c r="M179" i="14" s="1"/>
  <c r="VO92" i="1"/>
  <c r="H179" i="14" s="1"/>
  <c r="VP89" i="1"/>
  <c r="I176" i="14" s="1"/>
  <c r="VR88" i="1"/>
  <c r="M175" i="14" s="1"/>
  <c r="VO88" i="1"/>
  <c r="H175" i="14" s="1"/>
  <c r="VR84" i="1"/>
  <c r="M171" i="14" s="1"/>
  <c r="VO84" i="1"/>
  <c r="H171" i="14" s="1"/>
  <c r="VP81" i="1"/>
  <c r="I168" i="14" s="1"/>
  <c r="YE80" i="1"/>
  <c r="VR80" i="1"/>
  <c r="M167" i="14" s="1"/>
  <c r="VO80" i="1"/>
  <c r="H167" i="14" s="1"/>
  <c r="YE76" i="1"/>
  <c r="VR76" i="1"/>
  <c r="M163" i="14" s="1"/>
  <c r="VO76" i="1"/>
  <c r="H163" i="14" s="1"/>
  <c r="VR72" i="1"/>
  <c r="M159" i="14" s="1"/>
  <c r="VO72" i="1"/>
  <c r="H159" i="14" s="1"/>
  <c r="YE68" i="1"/>
  <c r="VR68" i="1"/>
  <c r="M155" i="14" s="1"/>
  <c r="VO68" i="1"/>
  <c r="H155" i="14" s="1"/>
  <c r="VP65" i="1"/>
  <c r="I152" i="14" s="1"/>
  <c r="VR64" i="1"/>
  <c r="M151" i="14" s="1"/>
  <c r="VO64" i="1"/>
  <c r="H151" i="14" s="1"/>
  <c r="VP61" i="1"/>
  <c r="I148" i="14" s="1"/>
  <c r="YE60" i="1"/>
  <c r="VR60" i="1"/>
  <c r="M147" i="14" s="1"/>
  <c r="VO60" i="1"/>
  <c r="H147" i="14" s="1"/>
  <c r="VP57" i="1"/>
  <c r="I144" i="14" s="1"/>
  <c r="YE56" i="1"/>
  <c r="VR56" i="1"/>
  <c r="M143" i="14" s="1"/>
  <c r="VO56" i="1"/>
  <c r="H143" i="14" s="1"/>
  <c r="VR52" i="1"/>
  <c r="M139" i="14" s="1"/>
  <c r="VO52" i="1"/>
  <c r="H139" i="14" s="1"/>
  <c r="YE48" i="1"/>
  <c r="VR48" i="1"/>
  <c r="M135" i="14" s="1"/>
  <c r="VO48" i="1"/>
  <c r="H135" i="14" s="1"/>
  <c r="YE44" i="1"/>
  <c r="VR44" i="1"/>
  <c r="M131" i="14" s="1"/>
  <c r="VO44" i="1"/>
  <c r="H131" i="14" s="1"/>
  <c r="VR40" i="1"/>
  <c r="M127" i="14" s="1"/>
  <c r="VO40" i="1"/>
  <c r="H127" i="14" s="1"/>
  <c r="VP37" i="1"/>
  <c r="I124" i="14" s="1"/>
  <c r="VR36" i="1"/>
  <c r="M123" i="14" s="1"/>
  <c r="VO36" i="1"/>
  <c r="H123" i="14" s="1"/>
  <c r="VP33" i="1"/>
  <c r="I120" i="14" s="1"/>
  <c r="YE32" i="1"/>
  <c r="VR32" i="1"/>
  <c r="M119" i="14" s="1"/>
  <c r="VO32" i="1"/>
  <c r="H119" i="14" s="1"/>
  <c r="VP29" i="1"/>
  <c r="I116" i="14" s="1"/>
  <c r="YE28" i="1"/>
  <c r="VR28" i="1"/>
  <c r="M115" i="14" s="1"/>
  <c r="VO28" i="1"/>
  <c r="H115" i="14" s="1"/>
  <c r="VP25" i="1"/>
  <c r="I112" i="14" s="1"/>
  <c r="VR24" i="1"/>
  <c r="M111" i="14" s="1"/>
  <c r="VO24" i="1"/>
  <c r="H111" i="14" s="1"/>
  <c r="VR20" i="1"/>
  <c r="M107" i="14" s="1"/>
  <c r="VO20" i="1"/>
  <c r="H107" i="14" s="1"/>
  <c r="VP17" i="1"/>
  <c r="I104" i="14" s="1"/>
  <c r="YE16" i="1"/>
  <c r="VR16" i="1"/>
  <c r="M103" i="14" s="1"/>
  <c r="VO16" i="1"/>
  <c r="H103" i="14" s="1"/>
  <c r="VP13" i="1"/>
  <c r="I100" i="14" s="1"/>
  <c r="VR12" i="1"/>
  <c r="M99" i="14" s="1"/>
  <c r="VO12" i="1"/>
  <c r="H99" i="14" s="1"/>
  <c r="SC10" i="1"/>
  <c r="VQ10" i="1"/>
  <c r="VP10" i="1"/>
  <c r="I97" i="14" s="1"/>
  <c r="SC160" i="1"/>
  <c r="SC156" i="1"/>
  <c r="SC152" i="1"/>
  <c r="SC148" i="1"/>
  <c r="SC144" i="1"/>
  <c r="SC140" i="1"/>
  <c r="SC136" i="1"/>
  <c r="SC132" i="1"/>
  <c r="SC128" i="1"/>
  <c r="SC124" i="1"/>
  <c r="SC120" i="1"/>
  <c r="SC116" i="1"/>
  <c r="SC112" i="1"/>
  <c r="SC108" i="1"/>
  <c r="SC104" i="1"/>
  <c r="SC100" i="1"/>
  <c r="SC96" i="1"/>
  <c r="SC92" i="1"/>
  <c r="SC88" i="1"/>
  <c r="SC84" i="1"/>
  <c r="SC80" i="1"/>
  <c r="SC76" i="1"/>
  <c r="SC72" i="1"/>
  <c r="SC68" i="1"/>
  <c r="SC64" i="1"/>
  <c r="SC60" i="1"/>
  <c r="SC56" i="1"/>
  <c r="SC52" i="1"/>
  <c r="SC48" i="1"/>
  <c r="SC44" i="1"/>
  <c r="SC40" i="1"/>
  <c r="SC36" i="1"/>
  <c r="SC32" i="1"/>
  <c r="SC28" i="1"/>
  <c r="SC24" i="1"/>
  <c r="SC20" i="1"/>
  <c r="SC16" i="1"/>
  <c r="P118" i="17"/>
  <c r="SC162" i="1"/>
  <c r="SC158" i="1"/>
  <c r="SC154" i="1"/>
  <c r="SC150" i="1"/>
  <c r="SC146" i="1"/>
  <c r="SC142" i="1"/>
  <c r="SC138" i="1"/>
  <c r="SC134" i="1"/>
  <c r="SC130" i="1"/>
  <c r="SC126" i="1"/>
  <c r="SC122" i="1"/>
  <c r="SC118" i="1"/>
  <c r="SC114" i="1"/>
  <c r="SC110" i="1"/>
  <c r="SC106" i="1"/>
  <c r="SC102" i="1"/>
  <c r="SC98" i="1"/>
  <c r="SC94" i="1"/>
  <c r="SC90" i="1"/>
  <c r="SC86" i="1"/>
  <c r="SC82" i="1"/>
  <c r="SC78" i="1"/>
  <c r="SC74" i="1"/>
  <c r="SC70" i="1"/>
  <c r="SC66" i="1"/>
  <c r="SC62" i="1"/>
  <c r="SC58" i="1"/>
  <c r="SC54" i="1"/>
  <c r="SC50" i="1"/>
  <c r="SC46" i="1"/>
  <c r="SC42" i="1"/>
  <c r="SC38" i="1"/>
  <c r="SC34" i="1"/>
  <c r="SC30" i="1"/>
  <c r="SC26" i="1"/>
  <c r="SC22" i="1"/>
  <c r="SC18" i="1"/>
  <c r="SC14" i="1"/>
  <c r="SC12" i="1"/>
  <c r="SC13" i="1"/>
  <c r="UI161" i="1"/>
  <c r="VH161" i="1"/>
  <c r="UI157" i="1"/>
  <c r="VH157" i="1"/>
  <c r="UI153" i="1"/>
  <c r="VH153" i="1"/>
  <c r="UI149" i="1"/>
  <c r="VH149" i="1"/>
  <c r="UI145" i="1"/>
  <c r="VH145" i="1"/>
  <c r="UI141" i="1"/>
  <c r="VH141" i="1"/>
  <c r="UI137" i="1"/>
  <c r="VH137" i="1"/>
  <c r="UI133" i="1"/>
  <c r="VH133" i="1"/>
  <c r="UI129" i="1"/>
  <c r="VH129" i="1"/>
  <c r="UI125" i="1"/>
  <c r="VH125" i="1"/>
  <c r="UI121" i="1"/>
  <c r="VH121" i="1"/>
  <c r="UI117" i="1"/>
  <c r="VH117" i="1"/>
  <c r="UI113" i="1"/>
  <c r="VH113" i="1"/>
  <c r="UI109" i="1"/>
  <c r="VH109" i="1"/>
  <c r="UI105" i="1"/>
  <c r="VH105" i="1"/>
  <c r="UI101" i="1"/>
  <c r="VH101" i="1"/>
  <c r="UI97" i="1"/>
  <c r="VH97" i="1"/>
  <c r="UI93" i="1"/>
  <c r="VH93" i="1"/>
  <c r="UI89" i="1"/>
  <c r="VH89" i="1"/>
  <c r="UI85" i="1"/>
  <c r="VH85" i="1"/>
  <c r="UI81" i="1"/>
  <c r="VH81" i="1"/>
  <c r="UI77" i="1"/>
  <c r="VH77" i="1"/>
  <c r="UI73" i="1"/>
  <c r="VH73" i="1"/>
  <c r="UI69" i="1"/>
  <c r="VH69" i="1"/>
  <c r="UI65" i="1"/>
  <c r="VH65" i="1"/>
  <c r="UI61" i="1"/>
  <c r="VH61" i="1"/>
  <c r="UI57" i="1"/>
  <c r="VH57" i="1"/>
  <c r="UI53" i="1"/>
  <c r="VH53" i="1"/>
  <c r="UI49" i="1"/>
  <c r="VH49" i="1"/>
  <c r="UI45" i="1"/>
  <c r="VH45" i="1"/>
  <c r="UI41" i="1"/>
  <c r="VH41" i="1"/>
  <c r="UI37" i="1"/>
  <c r="VH37" i="1"/>
  <c r="UI33" i="1"/>
  <c r="VH33" i="1"/>
  <c r="UI29" i="1"/>
  <c r="VH29" i="1"/>
  <c r="UI21" i="1"/>
  <c r="VH21" i="1"/>
  <c r="UI17" i="1"/>
  <c r="VH17" i="1"/>
  <c r="UI160" i="1"/>
  <c r="VH160" i="1"/>
  <c r="UI156" i="1"/>
  <c r="VH156" i="1"/>
  <c r="UI152" i="1"/>
  <c r="VH152" i="1"/>
  <c r="UI148" i="1"/>
  <c r="VH148" i="1"/>
  <c r="UI144" i="1"/>
  <c r="VH144" i="1"/>
  <c r="UI140" i="1"/>
  <c r="VH140" i="1"/>
  <c r="UI136" i="1"/>
  <c r="VH136" i="1"/>
  <c r="UI132" i="1"/>
  <c r="VH132" i="1"/>
  <c r="UI128" i="1"/>
  <c r="VH128" i="1"/>
  <c r="UI124" i="1"/>
  <c r="VH124" i="1"/>
  <c r="UI120" i="1"/>
  <c r="VH120" i="1"/>
  <c r="UI116" i="1"/>
  <c r="VH116" i="1"/>
  <c r="UI112" i="1"/>
  <c r="VH112" i="1"/>
  <c r="UI108" i="1"/>
  <c r="VH108" i="1"/>
  <c r="UI104" i="1"/>
  <c r="VH104" i="1"/>
  <c r="UI100" i="1"/>
  <c r="VH100" i="1"/>
  <c r="UI96" i="1"/>
  <c r="VH96" i="1"/>
  <c r="UI92" i="1"/>
  <c r="VH92" i="1"/>
  <c r="UI88" i="1"/>
  <c r="VH88" i="1"/>
  <c r="UI84" i="1"/>
  <c r="VH84" i="1"/>
  <c r="UI80" i="1"/>
  <c r="VH80" i="1"/>
  <c r="UI76" i="1"/>
  <c r="VH76" i="1"/>
  <c r="UI72" i="1"/>
  <c r="VH72" i="1"/>
  <c r="UI68" i="1"/>
  <c r="VH68" i="1"/>
  <c r="UI64" i="1"/>
  <c r="VH64" i="1"/>
  <c r="UI60" i="1"/>
  <c r="VH60" i="1"/>
  <c r="UI56" i="1"/>
  <c r="VH56" i="1"/>
  <c r="UI52" i="1"/>
  <c r="VH52" i="1"/>
  <c r="UI48" i="1"/>
  <c r="VH48" i="1"/>
  <c r="UI44" i="1"/>
  <c r="VH44" i="1"/>
  <c r="UI40" i="1"/>
  <c r="VH40" i="1"/>
  <c r="UI36" i="1"/>
  <c r="VH36" i="1"/>
  <c r="UI32" i="1"/>
  <c r="VH32" i="1"/>
  <c r="UI28" i="1"/>
  <c r="VH28" i="1"/>
  <c r="UI24" i="1"/>
  <c r="VH24" i="1"/>
  <c r="UI20" i="1"/>
  <c r="VH20" i="1"/>
  <c r="UI16" i="1"/>
  <c r="VH16" i="1"/>
  <c r="UI12" i="1"/>
  <c r="VH12" i="1"/>
  <c r="UI163" i="1"/>
  <c r="VH163" i="1"/>
  <c r="UI159" i="1"/>
  <c r="VH159" i="1"/>
  <c r="UI155" i="1"/>
  <c r="VH155" i="1"/>
  <c r="UI151" i="1"/>
  <c r="VH151" i="1"/>
  <c r="UI147" i="1"/>
  <c r="VH147" i="1"/>
  <c r="UI143" i="1"/>
  <c r="VH143" i="1"/>
  <c r="UI139" i="1"/>
  <c r="VH139" i="1"/>
  <c r="UI135" i="1"/>
  <c r="VH135" i="1"/>
  <c r="UI131" i="1"/>
  <c r="VH131" i="1"/>
  <c r="UI127" i="1"/>
  <c r="VH127" i="1"/>
  <c r="UI123" i="1"/>
  <c r="VH123" i="1"/>
  <c r="UI119" i="1"/>
  <c r="VH119" i="1"/>
  <c r="UI115" i="1"/>
  <c r="VH115" i="1"/>
  <c r="UI111" i="1"/>
  <c r="VH111" i="1"/>
  <c r="UI107" i="1"/>
  <c r="VH107" i="1"/>
  <c r="UI103" i="1"/>
  <c r="VH103" i="1"/>
  <c r="UI99" i="1"/>
  <c r="VH99" i="1"/>
  <c r="UI95" i="1"/>
  <c r="VH95" i="1"/>
  <c r="UI91" i="1"/>
  <c r="VH91" i="1"/>
  <c r="UI87" i="1"/>
  <c r="VH87" i="1"/>
  <c r="UI83" i="1"/>
  <c r="VH83" i="1"/>
  <c r="UI79" i="1"/>
  <c r="VH79" i="1"/>
  <c r="UI75" i="1"/>
  <c r="VH75" i="1"/>
  <c r="UI71" i="1"/>
  <c r="VH71" i="1"/>
  <c r="UI67" i="1"/>
  <c r="VH67" i="1"/>
  <c r="UI63" i="1"/>
  <c r="VH63" i="1"/>
  <c r="UI59" i="1"/>
  <c r="VH59" i="1"/>
  <c r="UI55" i="1"/>
  <c r="VH55" i="1"/>
  <c r="UI51" i="1"/>
  <c r="VH51" i="1"/>
  <c r="UI47" i="1"/>
  <c r="VH47" i="1"/>
  <c r="UI43" i="1"/>
  <c r="VH43" i="1"/>
  <c r="UI39" i="1"/>
  <c r="VH39" i="1"/>
  <c r="UI35" i="1"/>
  <c r="VH35" i="1"/>
  <c r="UI31" i="1"/>
  <c r="VH31" i="1"/>
  <c r="UI27" i="1"/>
  <c r="VH27" i="1"/>
  <c r="UI23" i="1"/>
  <c r="VH23" i="1"/>
  <c r="UI19" i="1"/>
  <c r="VH19" i="1"/>
  <c r="UI15" i="1"/>
  <c r="VH15" i="1"/>
  <c r="UI11" i="1"/>
  <c r="VH11" i="1"/>
  <c r="UI162" i="1"/>
  <c r="VH162" i="1"/>
  <c r="UI158" i="1"/>
  <c r="VH158" i="1"/>
  <c r="UI154" i="1"/>
  <c r="VH154" i="1"/>
  <c r="UI150" i="1"/>
  <c r="VH150" i="1"/>
  <c r="UI146" i="1"/>
  <c r="VH146" i="1"/>
  <c r="UI142" i="1"/>
  <c r="VH142" i="1"/>
  <c r="UI138" i="1"/>
  <c r="VH138" i="1"/>
  <c r="UI134" i="1"/>
  <c r="VH134" i="1"/>
  <c r="UI130" i="1"/>
  <c r="VH130" i="1"/>
  <c r="UI126" i="1"/>
  <c r="VH126" i="1"/>
  <c r="UI122" i="1"/>
  <c r="VH122" i="1"/>
  <c r="UI118" i="1"/>
  <c r="VH118" i="1"/>
  <c r="UI114" i="1"/>
  <c r="VH114" i="1"/>
  <c r="UI110" i="1"/>
  <c r="VH110" i="1"/>
  <c r="UI106" i="1"/>
  <c r="VH106" i="1"/>
  <c r="UI102" i="1"/>
  <c r="VH102" i="1"/>
  <c r="UI98" i="1"/>
  <c r="VH98" i="1"/>
  <c r="UI94" i="1"/>
  <c r="VH94" i="1"/>
  <c r="UI90" i="1"/>
  <c r="VH90" i="1"/>
  <c r="UI86" i="1"/>
  <c r="VH86" i="1"/>
  <c r="UI82" i="1"/>
  <c r="VH82" i="1"/>
  <c r="UI78" i="1"/>
  <c r="VH78" i="1"/>
  <c r="UI74" i="1"/>
  <c r="VH74" i="1"/>
  <c r="UI70" i="1"/>
  <c r="VH70" i="1"/>
  <c r="UI66" i="1"/>
  <c r="VH66" i="1"/>
  <c r="UI62" i="1"/>
  <c r="VH62" i="1"/>
  <c r="UI58" i="1"/>
  <c r="VH58" i="1"/>
  <c r="UI54" i="1"/>
  <c r="VH54" i="1"/>
  <c r="UI50" i="1"/>
  <c r="VH50" i="1"/>
  <c r="UI46" i="1"/>
  <c r="VH46" i="1"/>
  <c r="UI42" i="1"/>
  <c r="VH42" i="1"/>
  <c r="UI38" i="1"/>
  <c r="VH38" i="1"/>
  <c r="UI34" i="1"/>
  <c r="VH34" i="1"/>
  <c r="UI30" i="1"/>
  <c r="VH30" i="1"/>
  <c r="UI26" i="1"/>
  <c r="VH26" i="1"/>
  <c r="UI22" i="1"/>
  <c r="VH22" i="1"/>
  <c r="UI18" i="1"/>
  <c r="VH18" i="1"/>
  <c r="UI14" i="1"/>
  <c r="VH14" i="1"/>
  <c r="SX62" i="1"/>
  <c r="SZ127" i="1"/>
  <c r="SX111" i="1"/>
  <c r="SX138" i="1"/>
  <c r="SH163" i="1"/>
  <c r="VU163" i="1" s="1"/>
  <c r="P250" i="14" s="1"/>
  <c r="SH159" i="1"/>
  <c r="XA159" i="1" s="1"/>
  <c r="SH155" i="1"/>
  <c r="VU155" i="1" s="1"/>
  <c r="P242" i="14" s="1"/>
  <c r="SH151" i="1"/>
  <c r="VU151" i="1" s="1"/>
  <c r="P238" i="14" s="1"/>
  <c r="SH147" i="1"/>
  <c r="VU147" i="1" s="1"/>
  <c r="P234" i="14" s="1"/>
  <c r="SH143" i="1"/>
  <c r="XA143" i="1" s="1"/>
  <c r="SH139" i="1"/>
  <c r="VU139" i="1" s="1"/>
  <c r="P226" i="14" s="1"/>
  <c r="SH135" i="1"/>
  <c r="VU135" i="1" s="1"/>
  <c r="P222" i="14" s="1"/>
  <c r="SH131" i="1"/>
  <c r="SH127" i="1"/>
  <c r="XA127" i="1" s="1"/>
  <c r="SH123" i="1"/>
  <c r="VU123" i="1" s="1"/>
  <c r="P210" i="14" s="1"/>
  <c r="SH119" i="1"/>
  <c r="VU119" i="1" s="1"/>
  <c r="P206" i="14" s="1"/>
  <c r="SH115" i="1"/>
  <c r="VU115" i="1" s="1"/>
  <c r="P202" i="14" s="1"/>
  <c r="SH111" i="1"/>
  <c r="XA111" i="1" s="1"/>
  <c r="SH107" i="1"/>
  <c r="VU107" i="1" s="1"/>
  <c r="P194" i="14" s="1"/>
  <c r="SH103" i="1"/>
  <c r="SH99" i="1"/>
  <c r="VU99" i="1" s="1"/>
  <c r="P186" i="14" s="1"/>
  <c r="SH95" i="1"/>
  <c r="XA95" i="1" s="1"/>
  <c r="SH91" i="1"/>
  <c r="VU91" i="1" s="1"/>
  <c r="P178" i="14" s="1"/>
  <c r="SH87" i="1"/>
  <c r="VU87" i="1" s="1"/>
  <c r="P174" i="14" s="1"/>
  <c r="SH83" i="1"/>
  <c r="SH79" i="1"/>
  <c r="XA79" i="1" s="1"/>
  <c r="SH75" i="1"/>
  <c r="VU75" i="1" s="1"/>
  <c r="P162" i="14" s="1"/>
  <c r="SH71" i="1"/>
  <c r="VU71" i="1" s="1"/>
  <c r="P158" i="14" s="1"/>
  <c r="SH67" i="1"/>
  <c r="VU67" i="1" s="1"/>
  <c r="P154" i="14" s="1"/>
  <c r="SH63" i="1"/>
  <c r="XA63" i="1" s="1"/>
  <c r="SH59" i="1"/>
  <c r="VU59" i="1" s="1"/>
  <c r="P146" i="14" s="1"/>
  <c r="SH55" i="1"/>
  <c r="VU55" i="1" s="1"/>
  <c r="P142" i="14" s="1"/>
  <c r="SH51" i="1"/>
  <c r="VU51" i="1" s="1"/>
  <c r="P138" i="14" s="1"/>
  <c r="SH47" i="1"/>
  <c r="XA47" i="1" s="1"/>
  <c r="SH43" i="1"/>
  <c r="VU43" i="1" s="1"/>
  <c r="P130" i="14" s="1"/>
  <c r="SH39" i="1"/>
  <c r="VU39" i="1" s="1"/>
  <c r="P126" i="14" s="1"/>
  <c r="SH35" i="1"/>
  <c r="XA35" i="1" s="1"/>
  <c r="SH31" i="1"/>
  <c r="XA31" i="1" s="1"/>
  <c r="SH27" i="1"/>
  <c r="VU27" i="1" s="1"/>
  <c r="P114" i="14" s="1"/>
  <c r="SH23" i="1"/>
  <c r="VU23" i="1" s="1"/>
  <c r="P110" i="14" s="1"/>
  <c r="SH19" i="1"/>
  <c r="VU19" i="1" s="1"/>
  <c r="P106" i="14" s="1"/>
  <c r="SH15" i="1"/>
  <c r="VU15" i="1" s="1"/>
  <c r="P102" i="14" s="1"/>
  <c r="SH11" i="1"/>
  <c r="VU11" i="1" s="1"/>
  <c r="P98" i="14" s="1"/>
  <c r="S17" i="14" s="1"/>
  <c r="SH13" i="1"/>
  <c r="VU13" i="1" s="1"/>
  <c r="P100" i="14" s="1"/>
  <c r="UI13" i="1"/>
  <c r="SE25" i="1"/>
  <c r="I133" i="13" s="1"/>
  <c r="SG25" i="1"/>
  <c r="SH160" i="1"/>
  <c r="VU160" i="1" s="1"/>
  <c r="P247" i="14" s="1"/>
  <c r="SH156" i="1"/>
  <c r="VU156" i="1" s="1"/>
  <c r="P243" i="14" s="1"/>
  <c r="SH152" i="1"/>
  <c r="VU152" i="1" s="1"/>
  <c r="P239" i="14" s="1"/>
  <c r="SH148" i="1"/>
  <c r="VU148" i="1" s="1"/>
  <c r="P235" i="14" s="1"/>
  <c r="SH144" i="1"/>
  <c r="VU144" i="1" s="1"/>
  <c r="P231" i="14" s="1"/>
  <c r="SH140" i="1"/>
  <c r="VU140" i="1" s="1"/>
  <c r="P227" i="14" s="1"/>
  <c r="SH136" i="1"/>
  <c r="VU136" i="1" s="1"/>
  <c r="P223" i="14" s="1"/>
  <c r="SH132" i="1"/>
  <c r="VU132" i="1" s="1"/>
  <c r="P219" i="14" s="1"/>
  <c r="SH128" i="1"/>
  <c r="VU128" i="1" s="1"/>
  <c r="P215" i="14" s="1"/>
  <c r="SH124" i="1"/>
  <c r="VU124" i="1" s="1"/>
  <c r="P211" i="14" s="1"/>
  <c r="SH120" i="1"/>
  <c r="SH116" i="1"/>
  <c r="VU116" i="1" s="1"/>
  <c r="P203" i="14" s="1"/>
  <c r="SH112" i="1"/>
  <c r="VU112" i="1" s="1"/>
  <c r="P199" i="14" s="1"/>
  <c r="SH108" i="1"/>
  <c r="VU108" i="1" s="1"/>
  <c r="P195" i="14" s="1"/>
  <c r="SH104" i="1"/>
  <c r="VU104" i="1" s="1"/>
  <c r="P191" i="14" s="1"/>
  <c r="SH100" i="1"/>
  <c r="VU100" i="1" s="1"/>
  <c r="P187" i="14" s="1"/>
  <c r="SH96" i="1"/>
  <c r="VU96" i="1" s="1"/>
  <c r="P183" i="14" s="1"/>
  <c r="SH92" i="1"/>
  <c r="SH88" i="1"/>
  <c r="SH84" i="1"/>
  <c r="VU84" i="1" s="1"/>
  <c r="P171" i="14" s="1"/>
  <c r="SH80" i="1"/>
  <c r="VU80" i="1" s="1"/>
  <c r="P167" i="14" s="1"/>
  <c r="SH76" i="1"/>
  <c r="VU76" i="1" s="1"/>
  <c r="P163" i="14" s="1"/>
  <c r="SH72" i="1"/>
  <c r="VU72" i="1" s="1"/>
  <c r="P159" i="14" s="1"/>
  <c r="SH68" i="1"/>
  <c r="VU68" i="1" s="1"/>
  <c r="P155" i="14" s="1"/>
  <c r="SH64" i="1"/>
  <c r="VU64" i="1" s="1"/>
  <c r="P151" i="14" s="1"/>
  <c r="SH60" i="1"/>
  <c r="VU60" i="1" s="1"/>
  <c r="P147" i="14" s="1"/>
  <c r="SH56" i="1"/>
  <c r="VU56" i="1" s="1"/>
  <c r="P143" i="14" s="1"/>
  <c r="SH52" i="1"/>
  <c r="VU52" i="1" s="1"/>
  <c r="P139" i="14" s="1"/>
  <c r="SH48" i="1"/>
  <c r="VU48" i="1" s="1"/>
  <c r="P135" i="14" s="1"/>
  <c r="SH44" i="1"/>
  <c r="VU44" i="1" s="1"/>
  <c r="P131" i="14" s="1"/>
  <c r="SH40" i="1"/>
  <c r="VU40" i="1" s="1"/>
  <c r="P127" i="14" s="1"/>
  <c r="SH36" i="1"/>
  <c r="VU36" i="1" s="1"/>
  <c r="P123" i="14" s="1"/>
  <c r="SH32" i="1"/>
  <c r="VU32" i="1" s="1"/>
  <c r="P119" i="14" s="1"/>
  <c r="SH28" i="1"/>
  <c r="VU28" i="1" s="1"/>
  <c r="P115" i="14" s="1"/>
  <c r="SH24" i="1"/>
  <c r="VU24" i="1" s="1"/>
  <c r="P111" i="14" s="1"/>
  <c r="SH20" i="1"/>
  <c r="VU20" i="1" s="1"/>
  <c r="P107" i="14" s="1"/>
  <c r="SH16" i="1"/>
  <c r="VU16" i="1" s="1"/>
  <c r="P103" i="14" s="1"/>
  <c r="SH12" i="1"/>
  <c r="VU12" i="1" s="1"/>
  <c r="P99" i="14" s="1"/>
  <c r="SH10" i="1"/>
  <c r="SH161" i="1"/>
  <c r="VU161" i="1" s="1"/>
  <c r="P248" i="14" s="1"/>
  <c r="SH157" i="1"/>
  <c r="VU157" i="1" s="1"/>
  <c r="P244" i="14" s="1"/>
  <c r="SH153" i="1"/>
  <c r="VU153" i="1" s="1"/>
  <c r="P240" i="14" s="1"/>
  <c r="SH149" i="1"/>
  <c r="SH145" i="1"/>
  <c r="VU145" i="1" s="1"/>
  <c r="P232" i="14" s="1"/>
  <c r="SH141" i="1"/>
  <c r="VU141" i="1" s="1"/>
  <c r="P228" i="14" s="1"/>
  <c r="SH137" i="1"/>
  <c r="VU137" i="1" s="1"/>
  <c r="P224" i="14" s="1"/>
  <c r="SH133" i="1"/>
  <c r="VU133" i="1" s="1"/>
  <c r="P220" i="14" s="1"/>
  <c r="SH129" i="1"/>
  <c r="VU129" i="1" s="1"/>
  <c r="P216" i="14" s="1"/>
  <c r="SH125" i="1"/>
  <c r="VU125" i="1" s="1"/>
  <c r="P212" i="14" s="1"/>
  <c r="SH121" i="1"/>
  <c r="VU121" i="1" s="1"/>
  <c r="P208" i="14" s="1"/>
  <c r="SH117" i="1"/>
  <c r="VU117" i="1" s="1"/>
  <c r="P204" i="14" s="1"/>
  <c r="SH113" i="1"/>
  <c r="VU113" i="1" s="1"/>
  <c r="P200" i="14" s="1"/>
  <c r="SH109" i="1"/>
  <c r="VU109" i="1" s="1"/>
  <c r="P196" i="14" s="1"/>
  <c r="SH105" i="1"/>
  <c r="VU105" i="1" s="1"/>
  <c r="P192" i="14" s="1"/>
  <c r="SH101" i="1"/>
  <c r="VU101" i="1" s="1"/>
  <c r="P188" i="14" s="1"/>
  <c r="SH97" i="1"/>
  <c r="VU97" i="1" s="1"/>
  <c r="P184" i="14" s="1"/>
  <c r="SH93" i="1"/>
  <c r="VU93" i="1" s="1"/>
  <c r="P180" i="14" s="1"/>
  <c r="SH89" i="1"/>
  <c r="VU89" i="1" s="1"/>
  <c r="P176" i="14" s="1"/>
  <c r="SH85" i="1"/>
  <c r="SH81" i="1"/>
  <c r="VU81" i="1" s="1"/>
  <c r="P168" i="14" s="1"/>
  <c r="SH77" i="1"/>
  <c r="VU77" i="1" s="1"/>
  <c r="P164" i="14" s="1"/>
  <c r="SH73" i="1"/>
  <c r="VU73" i="1" s="1"/>
  <c r="P160" i="14" s="1"/>
  <c r="SH69" i="1"/>
  <c r="VU69" i="1" s="1"/>
  <c r="P156" i="14" s="1"/>
  <c r="SH65" i="1"/>
  <c r="VU65" i="1" s="1"/>
  <c r="P152" i="14" s="1"/>
  <c r="SH61" i="1"/>
  <c r="VU61" i="1" s="1"/>
  <c r="P148" i="14" s="1"/>
  <c r="SH57" i="1"/>
  <c r="VU57" i="1" s="1"/>
  <c r="P144" i="14" s="1"/>
  <c r="SH53" i="1"/>
  <c r="VU53" i="1" s="1"/>
  <c r="P140" i="14" s="1"/>
  <c r="SH49" i="1"/>
  <c r="VU49" i="1" s="1"/>
  <c r="P136" i="14" s="1"/>
  <c r="SH45" i="1"/>
  <c r="VU45" i="1" s="1"/>
  <c r="P132" i="14" s="1"/>
  <c r="SH41" i="1"/>
  <c r="SH37" i="1"/>
  <c r="VU37" i="1" s="1"/>
  <c r="P124" i="14" s="1"/>
  <c r="S18" i="14" s="1"/>
  <c r="SH33" i="1"/>
  <c r="VU33" i="1" s="1"/>
  <c r="P120" i="14" s="1"/>
  <c r="SH29" i="1"/>
  <c r="VU29" i="1" s="1"/>
  <c r="P116" i="14" s="1"/>
  <c r="SH21" i="1"/>
  <c r="VU21" i="1" s="1"/>
  <c r="P108" i="14" s="1"/>
  <c r="SH17" i="1"/>
  <c r="VU17" i="1" s="1"/>
  <c r="P104" i="14" s="1"/>
  <c r="SH162" i="1"/>
  <c r="VU162" i="1" s="1"/>
  <c r="P249" i="14" s="1"/>
  <c r="SH158" i="1"/>
  <c r="VU158" i="1" s="1"/>
  <c r="P245" i="14" s="1"/>
  <c r="S21" i="14" s="1"/>
  <c r="SH154" i="1"/>
  <c r="VU154" i="1" s="1"/>
  <c r="P241" i="14" s="1"/>
  <c r="SH150" i="1"/>
  <c r="VU150" i="1" s="1"/>
  <c r="P237" i="14" s="1"/>
  <c r="SH146" i="1"/>
  <c r="VU146" i="1" s="1"/>
  <c r="P233" i="14" s="1"/>
  <c r="SH142" i="1"/>
  <c r="VU142" i="1" s="1"/>
  <c r="P229" i="14" s="1"/>
  <c r="SH138" i="1"/>
  <c r="VU138" i="1" s="1"/>
  <c r="P225" i="14" s="1"/>
  <c r="SH134" i="1"/>
  <c r="VU134" i="1" s="1"/>
  <c r="P221" i="14" s="1"/>
  <c r="SH130" i="1"/>
  <c r="VU130" i="1" s="1"/>
  <c r="P217" i="14" s="1"/>
  <c r="SH126" i="1"/>
  <c r="VU126" i="1" s="1"/>
  <c r="P213" i="14" s="1"/>
  <c r="SH122" i="1"/>
  <c r="SH118" i="1"/>
  <c r="VU118" i="1" s="1"/>
  <c r="P205" i="14" s="1"/>
  <c r="SH114" i="1"/>
  <c r="VU114" i="1" s="1"/>
  <c r="P201" i="14" s="1"/>
  <c r="SH110" i="1"/>
  <c r="VU110" i="1" s="1"/>
  <c r="P197" i="14" s="1"/>
  <c r="SH106" i="1"/>
  <c r="VU106" i="1" s="1"/>
  <c r="P193" i="14" s="1"/>
  <c r="SH102" i="1"/>
  <c r="VU102" i="1" s="1"/>
  <c r="P189" i="14" s="1"/>
  <c r="SH98" i="1"/>
  <c r="VU98" i="1" s="1"/>
  <c r="P185" i="14" s="1"/>
  <c r="SH94" i="1"/>
  <c r="VU94" i="1" s="1"/>
  <c r="P181" i="14" s="1"/>
  <c r="SH90" i="1"/>
  <c r="SH86" i="1"/>
  <c r="VU86" i="1" s="1"/>
  <c r="P173" i="14" s="1"/>
  <c r="SH82" i="1"/>
  <c r="VU82" i="1" s="1"/>
  <c r="P169" i="14" s="1"/>
  <c r="SH78" i="1"/>
  <c r="VU78" i="1" s="1"/>
  <c r="P165" i="14" s="1"/>
  <c r="SH74" i="1"/>
  <c r="VU74" i="1" s="1"/>
  <c r="P161" i="14" s="1"/>
  <c r="SH70" i="1"/>
  <c r="VU70" i="1" s="1"/>
  <c r="P157" i="14" s="1"/>
  <c r="SH66" i="1"/>
  <c r="VU66" i="1" s="1"/>
  <c r="P153" i="14" s="1"/>
  <c r="SH62" i="1"/>
  <c r="VU62" i="1" s="1"/>
  <c r="P149" i="14" s="1"/>
  <c r="SH58" i="1"/>
  <c r="VU58" i="1" s="1"/>
  <c r="P145" i="14" s="1"/>
  <c r="SH54" i="1"/>
  <c r="VU54" i="1" s="1"/>
  <c r="P141" i="14" s="1"/>
  <c r="SH50" i="1"/>
  <c r="VU50" i="1" s="1"/>
  <c r="P137" i="14" s="1"/>
  <c r="SH46" i="1"/>
  <c r="VU46" i="1" s="1"/>
  <c r="P133" i="14" s="1"/>
  <c r="SH42" i="1"/>
  <c r="VU42" i="1" s="1"/>
  <c r="P129" i="14" s="1"/>
  <c r="SH38" i="1"/>
  <c r="XA38" i="1" s="1"/>
  <c r="SH34" i="1"/>
  <c r="VU34" i="1" s="1"/>
  <c r="P121" i="14" s="1"/>
  <c r="SH30" i="1"/>
  <c r="VU30" i="1" s="1"/>
  <c r="P117" i="14" s="1"/>
  <c r="SH26" i="1"/>
  <c r="SH22" i="1"/>
  <c r="VU22" i="1" s="1"/>
  <c r="P109" i="14" s="1"/>
  <c r="SH18" i="1"/>
  <c r="VU18" i="1" s="1"/>
  <c r="P105" i="14" s="1"/>
  <c r="SE98" i="1"/>
  <c r="O147" i="17" s="1"/>
  <c r="R147" i="17" s="1"/>
  <c r="SZ70" i="1"/>
  <c r="SX22" i="1"/>
  <c r="SX142" i="1"/>
  <c r="SZ130" i="1"/>
  <c r="SX46" i="1"/>
  <c r="SZ38" i="1"/>
  <c r="SZ78" i="1"/>
  <c r="SX90" i="1"/>
  <c r="SE38" i="1"/>
  <c r="O62" i="17" s="1"/>
  <c r="R62" i="17" s="1"/>
  <c r="SX63" i="1"/>
  <c r="SZ51" i="1"/>
  <c r="SZ47" i="1"/>
  <c r="SX39" i="1"/>
  <c r="SX123" i="1"/>
  <c r="SZ23" i="1"/>
  <c r="SZ15" i="1"/>
  <c r="SZ11" i="1"/>
  <c r="SZ115" i="1"/>
  <c r="SE147" i="1"/>
  <c r="O34" i="17" s="1"/>
  <c r="R34" i="17" s="1"/>
  <c r="SE99" i="1"/>
  <c r="O121" i="17" s="1"/>
  <c r="R121" i="17" s="1"/>
  <c r="SZ105" i="1"/>
  <c r="SX151" i="1"/>
  <c r="SX137" i="1"/>
  <c r="SX131" i="1"/>
  <c r="SX23" i="1"/>
  <c r="SZ101" i="1"/>
  <c r="SZ135" i="1"/>
  <c r="SZ19" i="1"/>
  <c r="SZ31" i="1"/>
  <c r="SX97" i="1"/>
  <c r="SE107" i="1"/>
  <c r="I111" i="13" s="1"/>
  <c r="E83" i="13"/>
  <c r="E13" i="13"/>
  <c r="E125" i="13"/>
  <c r="E61" i="13"/>
  <c r="E144" i="13"/>
  <c r="E234" i="14"/>
  <c r="E222" i="10" s="1"/>
  <c r="SX47" i="1"/>
  <c r="SX15" i="1"/>
  <c r="SX75" i="1"/>
  <c r="E156" i="13"/>
  <c r="SZ139" i="1"/>
  <c r="SZ99" i="1"/>
  <c r="SX67" i="1"/>
  <c r="SZ91" i="1"/>
  <c r="SE79" i="1"/>
  <c r="I79" i="13" s="1"/>
  <c r="E75" i="13"/>
  <c r="E96" i="13"/>
  <c r="E50" i="13"/>
  <c r="E15" i="13"/>
  <c r="E94" i="13"/>
  <c r="E211" i="14"/>
  <c r="E199" i="10" s="1"/>
  <c r="E183" i="14"/>
  <c r="E171" i="10" s="1"/>
  <c r="E111" i="14"/>
  <c r="E99" i="10" s="1"/>
  <c r="SX141" i="1"/>
  <c r="SX127" i="1"/>
  <c r="SX133" i="1"/>
  <c r="SX139" i="1"/>
  <c r="SX135" i="1"/>
  <c r="SX129" i="1"/>
  <c r="SZ27" i="1"/>
  <c r="SZ71" i="1"/>
  <c r="SZ111" i="1"/>
  <c r="SX119" i="1"/>
  <c r="SZ143" i="1"/>
  <c r="SZ83" i="1"/>
  <c r="SX71" i="1"/>
  <c r="SE71" i="1"/>
  <c r="I84" i="13" s="1"/>
  <c r="E139" i="14"/>
  <c r="E127" i="10" s="1"/>
  <c r="XC160" i="1"/>
  <c r="XC156" i="1"/>
  <c r="XC152" i="1"/>
  <c r="XC148" i="1"/>
  <c r="XC144" i="1"/>
  <c r="XC140" i="1"/>
  <c r="XC136" i="1"/>
  <c r="XC132" i="1"/>
  <c r="XC128" i="1"/>
  <c r="XC124" i="1"/>
  <c r="XC120" i="1"/>
  <c r="XC116" i="1"/>
  <c r="XC112" i="1"/>
  <c r="XC108" i="1"/>
  <c r="XC104" i="1"/>
  <c r="XC100" i="1"/>
  <c r="XC96" i="1"/>
  <c r="XC92" i="1"/>
  <c r="XC88" i="1"/>
  <c r="XC84" i="1"/>
  <c r="XC80" i="1"/>
  <c r="XC76" i="1"/>
  <c r="XC72" i="1"/>
  <c r="XC68" i="1"/>
  <c r="XC64" i="1"/>
  <c r="XC60" i="1"/>
  <c r="XC56" i="1"/>
  <c r="XC52" i="1"/>
  <c r="XC48" i="1"/>
  <c r="XC44" i="1"/>
  <c r="XC40" i="1"/>
  <c r="XC36" i="1"/>
  <c r="XC32" i="1"/>
  <c r="XC28" i="1"/>
  <c r="XC24" i="1"/>
  <c r="XC20" i="1"/>
  <c r="XC16" i="1"/>
  <c r="XC12" i="1"/>
  <c r="XC10" i="1"/>
  <c r="XC161" i="1"/>
  <c r="XC157" i="1"/>
  <c r="XC153" i="1"/>
  <c r="XC149" i="1"/>
  <c r="XC145" i="1"/>
  <c r="XC141" i="1"/>
  <c r="XC137" i="1"/>
  <c r="XC133" i="1"/>
  <c r="XC129" i="1"/>
  <c r="XC125" i="1"/>
  <c r="XC121" i="1"/>
  <c r="XC117" i="1"/>
  <c r="XC113" i="1"/>
  <c r="XC109" i="1"/>
  <c r="XC105" i="1"/>
  <c r="XC101" i="1"/>
  <c r="XC97" i="1"/>
  <c r="XC93" i="1"/>
  <c r="XC89" i="1"/>
  <c r="XC85" i="1"/>
  <c r="XC81" i="1"/>
  <c r="XC77" i="1"/>
  <c r="XC73" i="1"/>
  <c r="XC69" i="1"/>
  <c r="XC65" i="1"/>
  <c r="XC61" i="1"/>
  <c r="XC57" i="1"/>
  <c r="XC53" i="1"/>
  <c r="XC49" i="1"/>
  <c r="XC45" i="1"/>
  <c r="XC41" i="1"/>
  <c r="XC37" i="1"/>
  <c r="XC33" i="1"/>
  <c r="XC29" i="1"/>
  <c r="XC21" i="1"/>
  <c r="XC17" i="1"/>
  <c r="XC162" i="1"/>
  <c r="XC158" i="1"/>
  <c r="XC154" i="1"/>
  <c r="XC150" i="1"/>
  <c r="XC146" i="1"/>
  <c r="XC142" i="1"/>
  <c r="XC138" i="1"/>
  <c r="XC134" i="1"/>
  <c r="XC130" i="1"/>
  <c r="XC126" i="1"/>
  <c r="XC122" i="1"/>
  <c r="XC118" i="1"/>
  <c r="XC114" i="1"/>
  <c r="XC106" i="1"/>
  <c r="XC102" i="1"/>
  <c r="XC98" i="1"/>
  <c r="XC94" i="1"/>
  <c r="XC90" i="1"/>
  <c r="XC86" i="1"/>
  <c r="XC82" i="1"/>
  <c r="XC78" i="1"/>
  <c r="XC74" i="1"/>
  <c r="XC70" i="1"/>
  <c r="XC66" i="1"/>
  <c r="XC62" i="1"/>
  <c r="XC58" i="1"/>
  <c r="XC54" i="1"/>
  <c r="XC50" i="1"/>
  <c r="XC46" i="1"/>
  <c r="XC42" i="1"/>
  <c r="XC38" i="1"/>
  <c r="XC30" i="1"/>
  <c r="XC22" i="1"/>
  <c r="XC18" i="1"/>
  <c r="XC14" i="1"/>
  <c r="E195" i="14"/>
  <c r="E183" i="10" s="1"/>
  <c r="E179" i="14"/>
  <c r="E167" i="10" s="1"/>
  <c r="E163" i="14"/>
  <c r="E151" i="10" s="1"/>
  <c r="E147" i="14"/>
  <c r="E135" i="10" s="1"/>
  <c r="XC163" i="1"/>
  <c r="XC159" i="1"/>
  <c r="XC155" i="1"/>
  <c r="XC151" i="1"/>
  <c r="XC147" i="1"/>
  <c r="XC143" i="1"/>
  <c r="XC139" i="1"/>
  <c r="XC135" i="1"/>
  <c r="XC131" i="1"/>
  <c r="XC127" i="1"/>
  <c r="XC123" i="1"/>
  <c r="XC119" i="1"/>
  <c r="XC115" i="1"/>
  <c r="XC111" i="1"/>
  <c r="XC107" i="1"/>
  <c r="XC103" i="1"/>
  <c r="XC99" i="1"/>
  <c r="XC95" i="1"/>
  <c r="XC91" i="1"/>
  <c r="XC87" i="1"/>
  <c r="XC83" i="1"/>
  <c r="XC79" i="1"/>
  <c r="XC75" i="1"/>
  <c r="XC71" i="1"/>
  <c r="XC67" i="1"/>
  <c r="XC63" i="1"/>
  <c r="XC59" i="1"/>
  <c r="XC55" i="1"/>
  <c r="XC51" i="1"/>
  <c r="XC47" i="1"/>
  <c r="XC43" i="1"/>
  <c r="XC39" i="1"/>
  <c r="XC35" i="1"/>
  <c r="XC31" i="1"/>
  <c r="XC23" i="1"/>
  <c r="XC19" i="1"/>
  <c r="XC15" i="1"/>
  <c r="XC11" i="1"/>
  <c r="SE153" i="1"/>
  <c r="O40" i="17" s="1"/>
  <c r="R40" i="17" s="1"/>
  <c r="SE149" i="1"/>
  <c r="D236" i="14" s="1"/>
  <c r="D224" i="10" s="1"/>
  <c r="SE145" i="1"/>
  <c r="I14" i="13" s="1"/>
  <c r="SE141" i="1"/>
  <c r="O28" i="17" s="1"/>
  <c r="R28" i="17" s="1"/>
  <c r="SE137" i="1"/>
  <c r="O24" i="17" s="1"/>
  <c r="R24" i="17" s="1"/>
  <c r="SE133" i="1"/>
  <c r="O20" i="17" s="1"/>
  <c r="R20" i="17" s="1"/>
  <c r="SE129" i="1"/>
  <c r="O16" i="17" s="1"/>
  <c r="R16" i="17" s="1"/>
  <c r="SE125" i="1"/>
  <c r="O12" i="17" s="1"/>
  <c r="R12" i="17" s="1"/>
  <c r="SE121" i="1"/>
  <c r="O150" i="17" s="1"/>
  <c r="R150" i="17" s="1"/>
  <c r="SE117" i="1"/>
  <c r="O146" i="17" s="1"/>
  <c r="R146" i="17" s="1"/>
  <c r="SE113" i="1"/>
  <c r="O96" i="17" s="1"/>
  <c r="R96" i="17" s="1"/>
  <c r="SE109" i="1"/>
  <c r="O98" i="17" s="1"/>
  <c r="R98" i="17" s="1"/>
  <c r="SE105" i="1"/>
  <c r="I31" i="13" s="1"/>
  <c r="SE101" i="1"/>
  <c r="O61" i="17" s="1"/>
  <c r="R61" i="17" s="1"/>
  <c r="SE97" i="1"/>
  <c r="I99" i="13" s="1"/>
  <c r="SE93" i="1"/>
  <c r="I141" i="13" s="1"/>
  <c r="SE89" i="1"/>
  <c r="O85" i="17" s="1"/>
  <c r="R85" i="17" s="1"/>
  <c r="SE85" i="1"/>
  <c r="O101" i="17" s="1"/>
  <c r="R101" i="17" s="1"/>
  <c r="SE81" i="1"/>
  <c r="I35" i="13" s="1"/>
  <c r="SE77" i="1"/>
  <c r="O114" i="17" s="1"/>
  <c r="R114" i="17" s="1"/>
  <c r="SE73" i="1"/>
  <c r="O109" i="17" s="1"/>
  <c r="R109" i="17" s="1"/>
  <c r="SE69" i="1"/>
  <c r="I86" i="13" s="1"/>
  <c r="SE65" i="1"/>
  <c r="O140" i="17" s="1"/>
  <c r="R140" i="17" s="1"/>
  <c r="SE61" i="1"/>
  <c r="O63" i="17" s="1"/>
  <c r="R63" i="17" s="1"/>
  <c r="SE57" i="1"/>
  <c r="I85" i="13" s="1"/>
  <c r="SE53" i="1"/>
  <c r="O151" i="17" s="1"/>
  <c r="R151" i="17" s="1"/>
  <c r="SE49" i="1"/>
  <c r="O132" i="17" s="1"/>
  <c r="R132" i="17" s="1"/>
  <c r="SE45" i="1"/>
  <c r="I77" i="13" s="1"/>
  <c r="SE41" i="1"/>
  <c r="I66" i="13" s="1"/>
  <c r="SE37" i="1"/>
  <c r="I154" i="13" s="1"/>
  <c r="SE33" i="1"/>
  <c r="I152" i="13" s="1"/>
  <c r="SE29" i="1"/>
  <c r="I109" i="13" s="1"/>
  <c r="SE21" i="1"/>
  <c r="I138" i="13" s="1"/>
  <c r="SE17" i="1"/>
  <c r="O126" i="17" s="1"/>
  <c r="R126" i="17" s="1"/>
  <c r="SE13" i="1"/>
  <c r="O144" i="17" s="1"/>
  <c r="R144" i="17" s="1"/>
  <c r="SE148" i="1"/>
  <c r="I60" i="13" s="1"/>
  <c r="SE116" i="1"/>
  <c r="I59" i="13" s="1"/>
  <c r="SE104" i="1"/>
  <c r="I118" i="13" s="1"/>
  <c r="SE72" i="1"/>
  <c r="I151" i="13" s="1"/>
  <c r="SE24" i="1"/>
  <c r="D111" i="14" s="1"/>
  <c r="D99" i="10" s="1"/>
  <c r="SE135" i="1"/>
  <c r="I58" i="13" s="1"/>
  <c r="SE131" i="1"/>
  <c r="I56" i="13" s="1"/>
  <c r="XC27" i="1"/>
  <c r="XC25" i="1"/>
  <c r="XC26" i="1"/>
  <c r="Q150" i="17"/>
  <c r="V150" i="17" s="1"/>
  <c r="Q133" i="17"/>
  <c r="V133" i="17" s="1"/>
  <c r="W133" i="17" s="1"/>
  <c r="Q58" i="17"/>
  <c r="V58" i="17" s="1"/>
  <c r="Q151" i="17"/>
  <c r="V151" i="17" s="1"/>
  <c r="YE121" i="1"/>
  <c r="Q98" i="17"/>
  <c r="V98" i="17" s="1"/>
  <c r="YE81" i="1"/>
  <c r="Q109" i="17"/>
  <c r="V109" i="17" s="1"/>
  <c r="Q156" i="17"/>
  <c r="V156" i="17" s="1"/>
  <c r="YE41" i="1"/>
  <c r="SE151" i="1"/>
  <c r="O38" i="17" s="1"/>
  <c r="R38" i="17" s="1"/>
  <c r="SE143" i="1"/>
  <c r="I80" i="13" s="1"/>
  <c r="SE139" i="1"/>
  <c r="O26" i="17" s="1"/>
  <c r="R26" i="17" s="1"/>
  <c r="SE127" i="1"/>
  <c r="O14" i="17" s="1"/>
  <c r="R14" i="17" s="1"/>
  <c r="SE123" i="1"/>
  <c r="O145" i="17" s="1"/>
  <c r="R145" i="17" s="1"/>
  <c r="SE119" i="1"/>
  <c r="I42" i="13" s="1"/>
  <c r="SE115" i="1"/>
  <c r="D202" i="14" s="1"/>
  <c r="D190" i="10" s="1"/>
  <c r="SE111" i="1"/>
  <c r="D198" i="14" s="1"/>
  <c r="D186" i="10" s="1"/>
  <c r="SE103" i="1"/>
  <c r="O72" i="17" s="1"/>
  <c r="R72" i="17" s="1"/>
  <c r="SE95" i="1"/>
  <c r="O117" i="17" s="1"/>
  <c r="R117" i="17" s="1"/>
  <c r="SE91" i="1"/>
  <c r="I122" i="13" s="1"/>
  <c r="SE87" i="1"/>
  <c r="O82" i="17" s="1"/>
  <c r="R82" i="17" s="1"/>
  <c r="SE83" i="1"/>
  <c r="I11" i="13" s="1"/>
  <c r="SE75" i="1"/>
  <c r="SE67" i="1"/>
  <c r="I144" i="13" s="1"/>
  <c r="SE63" i="1"/>
  <c r="O116" i="17" s="1"/>
  <c r="R116" i="17" s="1"/>
  <c r="SE59" i="1"/>
  <c r="I131" i="13" s="1"/>
  <c r="SE51" i="1"/>
  <c r="I69" i="13" s="1"/>
  <c r="SE47" i="1"/>
  <c r="O125" i="17" s="1"/>
  <c r="R125" i="17" s="1"/>
  <c r="SE43" i="1"/>
  <c r="I106" i="13" s="1"/>
  <c r="SE39" i="1"/>
  <c r="O94" i="17" s="1"/>
  <c r="R94" i="17" s="1"/>
  <c r="SE35" i="1"/>
  <c r="O88" i="17" s="1"/>
  <c r="R88" i="17" s="1"/>
  <c r="SE31" i="1"/>
  <c r="O75" i="17" s="1"/>
  <c r="R75" i="17" s="1"/>
  <c r="SE23" i="1"/>
  <c r="I94" i="13" s="1"/>
  <c r="SE19" i="1"/>
  <c r="I63" i="13" s="1"/>
  <c r="SE11" i="1"/>
  <c r="I156" i="13" s="1"/>
  <c r="Q86" i="17"/>
  <c r="V86" i="17" s="1"/>
  <c r="Q143" i="17"/>
  <c r="V143" i="17" s="1"/>
  <c r="Q111" i="17"/>
  <c r="V111" i="17" s="1"/>
  <c r="Q130" i="17"/>
  <c r="V130" i="17" s="1"/>
  <c r="Q138" i="17"/>
  <c r="V138" i="17" s="1"/>
  <c r="Q76" i="17"/>
  <c r="V76" i="17" s="1"/>
  <c r="Q23" i="17"/>
  <c r="V23" i="17" s="1"/>
  <c r="W23" i="17" s="1"/>
  <c r="YF105" i="1"/>
  <c r="WY105" i="1" s="1"/>
  <c r="Q38" i="17"/>
  <c r="V38" i="17" s="1"/>
  <c r="W38" i="17" s="1"/>
  <c r="Q90" i="17"/>
  <c r="V90" i="17" s="1"/>
  <c r="SZ102" i="1"/>
  <c r="E120" i="14"/>
  <c r="E108" i="10" s="1"/>
  <c r="Q65" i="17"/>
  <c r="V65" i="17" s="1"/>
  <c r="Q113" i="17"/>
  <c r="V113" i="17" s="1"/>
  <c r="Q104" i="17"/>
  <c r="V104" i="17" s="1"/>
  <c r="Q62" i="17"/>
  <c r="V62" i="17" s="1"/>
  <c r="Q124" i="17"/>
  <c r="V124" i="17" s="1"/>
  <c r="Q80" i="17"/>
  <c r="V80" i="17" s="1"/>
  <c r="Q127" i="17"/>
  <c r="V127" i="17" s="1"/>
  <c r="Q139" i="17"/>
  <c r="V139" i="17" s="1"/>
  <c r="Q94" i="17"/>
  <c r="V94" i="17" s="1"/>
  <c r="SZ150" i="1"/>
  <c r="SZ138" i="1"/>
  <c r="SZ126" i="1"/>
  <c r="Q73" i="17"/>
  <c r="V73" i="17" s="1"/>
  <c r="SX18" i="1"/>
  <c r="SX66" i="1"/>
  <c r="SZ118" i="1"/>
  <c r="SZ74" i="1"/>
  <c r="SZ142" i="1"/>
  <c r="SX34" i="1"/>
  <c r="SX70" i="1"/>
  <c r="SX42" i="1"/>
  <c r="SX102" i="1"/>
  <c r="SE62" i="1"/>
  <c r="O100" i="17" s="1"/>
  <c r="R100" i="17" s="1"/>
  <c r="SE142" i="1"/>
  <c r="I68" i="13" s="1"/>
  <c r="E107" i="13"/>
  <c r="E119" i="13"/>
  <c r="SX110" i="1"/>
  <c r="SX78" i="1"/>
  <c r="SX58" i="1"/>
  <c r="SX146" i="1"/>
  <c r="SZ30" i="1"/>
  <c r="SZ58" i="1"/>
  <c r="SZ114" i="1"/>
  <c r="SX54" i="1"/>
  <c r="SE146" i="1"/>
  <c r="I10" i="13" s="1"/>
  <c r="SE14" i="1"/>
  <c r="I38" i="13" s="1"/>
  <c r="E7" i="13"/>
  <c r="E65" i="13"/>
  <c r="E18" i="13"/>
  <c r="E34" i="13"/>
  <c r="E135" i="13"/>
  <c r="E29" i="13"/>
  <c r="Q125" i="17"/>
  <c r="V125" i="17" s="1"/>
  <c r="Q105" i="17"/>
  <c r="V105" i="17" s="1"/>
  <c r="SX14" i="1"/>
  <c r="SX26" i="1"/>
  <c r="SX30" i="1"/>
  <c r="SX74" i="1"/>
  <c r="SX150" i="1"/>
  <c r="SZ18" i="1"/>
  <c r="SZ34" i="1"/>
  <c r="SZ62" i="1"/>
  <c r="SZ106" i="1"/>
  <c r="SZ50" i="1"/>
  <c r="SX118" i="1"/>
  <c r="SE42" i="1"/>
  <c r="O68" i="17" s="1"/>
  <c r="R68" i="17" s="1"/>
  <c r="SE26" i="1"/>
  <c r="O149" i="17" s="1"/>
  <c r="R149" i="17" s="1"/>
  <c r="SE94" i="1"/>
  <c r="I81" i="13" s="1"/>
  <c r="SE46" i="1"/>
  <c r="I32" i="13" s="1"/>
  <c r="SE150" i="1"/>
  <c r="I8" i="13" s="1"/>
  <c r="E73" i="13"/>
  <c r="E81" i="13"/>
  <c r="E6" i="13"/>
  <c r="E128" i="13"/>
  <c r="E87" i="13"/>
  <c r="E134" i="13"/>
  <c r="E146" i="13"/>
  <c r="Q120" i="17"/>
  <c r="V120" i="17" s="1"/>
  <c r="Q148" i="17"/>
  <c r="V148" i="17" s="1"/>
  <c r="Q81" i="17"/>
  <c r="V81" i="17" s="1"/>
  <c r="Q75" i="17"/>
  <c r="V75" i="17" s="1"/>
  <c r="Q115" i="17"/>
  <c r="V115" i="17" s="1"/>
  <c r="SX130" i="1"/>
  <c r="SZ86" i="1"/>
  <c r="Q106" i="17"/>
  <c r="V106" i="17" s="1"/>
  <c r="Q119" i="17"/>
  <c r="V119" i="17" s="1"/>
  <c r="Q18" i="17"/>
  <c r="V18" i="17" s="1"/>
  <c r="W18" i="17" s="1"/>
  <c r="Q128" i="17"/>
  <c r="V128" i="17" s="1"/>
  <c r="Q68" i="17"/>
  <c r="V68" i="17" s="1"/>
  <c r="Q129" i="17"/>
  <c r="V129" i="17" s="1"/>
  <c r="SX98" i="1"/>
  <c r="SX94" i="1"/>
  <c r="SX86" i="1"/>
  <c r="SX50" i="1"/>
  <c r="Q118" i="17"/>
  <c r="V118" i="17" s="1"/>
  <c r="E155" i="13"/>
  <c r="SX126" i="1"/>
  <c r="SX154" i="1"/>
  <c r="SZ146" i="1"/>
  <c r="SZ22" i="1"/>
  <c r="SZ66" i="1"/>
  <c r="SZ98" i="1"/>
  <c r="SZ154" i="1"/>
  <c r="SX82" i="1"/>
  <c r="SX114" i="1"/>
  <c r="SZ14" i="1"/>
  <c r="SE114" i="1"/>
  <c r="O77" i="17" s="1"/>
  <c r="R77" i="17" s="1"/>
  <c r="SE54" i="1"/>
  <c r="SE82" i="1"/>
  <c r="I95" i="13" s="1"/>
  <c r="SE130" i="1"/>
  <c r="I52" i="13" s="1"/>
  <c r="E4" i="13"/>
  <c r="E101" i="13"/>
  <c r="E62" i="13"/>
  <c r="E97" i="13"/>
  <c r="Q70" i="17"/>
  <c r="V70" i="17" s="1"/>
  <c r="Q72" i="17"/>
  <c r="V72" i="17" s="1"/>
  <c r="Q149" i="17"/>
  <c r="V149" i="17" s="1"/>
  <c r="Q100" i="17"/>
  <c r="V100" i="17" s="1"/>
  <c r="Q142" i="17"/>
  <c r="V142" i="17" s="1"/>
  <c r="Q88" i="17"/>
  <c r="V88" i="17" s="1"/>
  <c r="Q43" i="17"/>
  <c r="V43" i="17" s="1"/>
  <c r="Q74" i="17"/>
  <c r="V74" i="17" s="1"/>
  <c r="E210" i="14"/>
  <c r="E198" i="10" s="1"/>
  <c r="E134" i="14"/>
  <c r="E122" i="10" s="1"/>
  <c r="E126" i="14"/>
  <c r="E114" i="10" s="1"/>
  <c r="E218" i="14"/>
  <c r="E206" i="10" s="1"/>
  <c r="E118" i="14"/>
  <c r="E106" i="10" s="1"/>
  <c r="E110" i="14"/>
  <c r="E98" i="10" s="1"/>
  <c r="E102" i="14"/>
  <c r="E90" i="10" s="1"/>
  <c r="E250" i="14"/>
  <c r="E238" i="10" s="1"/>
  <c r="YF113" i="1"/>
  <c r="WY113" i="1" s="1"/>
  <c r="YF33" i="1"/>
  <c r="WY33" i="1" s="1"/>
  <c r="E226" i="14"/>
  <c r="E214" i="10" s="1"/>
  <c r="E206" i="14"/>
  <c r="E194" i="10" s="1"/>
  <c r="YF144" i="1"/>
  <c r="WY144" i="1" s="1"/>
  <c r="XC110" i="1"/>
  <c r="XC34" i="1"/>
  <c r="SE144" i="1"/>
  <c r="O31" i="17" s="1"/>
  <c r="R31" i="17" s="1"/>
  <c r="SE136" i="1"/>
  <c r="I37" i="13" s="1"/>
  <c r="SE132" i="1"/>
  <c r="O19" i="17" s="1"/>
  <c r="R19" i="17" s="1"/>
  <c r="SE124" i="1"/>
  <c r="I19" i="13" s="1"/>
  <c r="SE120" i="1"/>
  <c r="D207" i="14" s="1"/>
  <c r="D195" i="10" s="1"/>
  <c r="SE108" i="1"/>
  <c r="O130" i="17" s="1"/>
  <c r="R130" i="17" s="1"/>
  <c r="SE92" i="1"/>
  <c r="I140" i="13" s="1"/>
  <c r="SE88" i="1"/>
  <c r="O48" i="17" s="1"/>
  <c r="R48" i="17" s="1"/>
  <c r="SE60" i="1"/>
  <c r="I115" i="13" s="1"/>
  <c r="SE44" i="1"/>
  <c r="I148" i="13" s="1"/>
  <c r="SE28" i="1"/>
  <c r="I43" i="13" s="1"/>
  <c r="Q30" i="17"/>
  <c r="V30" i="17" s="1"/>
  <c r="W30" i="17" s="1"/>
  <c r="Q22" i="17"/>
  <c r="V22" i="17" s="1"/>
  <c r="Q14" i="17"/>
  <c r="V14" i="17" s="1"/>
  <c r="YF153" i="1"/>
  <c r="WY153" i="1" s="1"/>
  <c r="YF120" i="1"/>
  <c r="WY120" i="1" s="1"/>
  <c r="YF119" i="1"/>
  <c r="WY119" i="1" s="1"/>
  <c r="YF118" i="1"/>
  <c r="WY118" i="1" s="1"/>
  <c r="YF96" i="1"/>
  <c r="WY96" i="1" s="1"/>
  <c r="YF90" i="1"/>
  <c r="WY90" i="1" s="1"/>
  <c r="YF60" i="1"/>
  <c r="WY60" i="1" s="1"/>
  <c r="YF54" i="1"/>
  <c r="WY54" i="1" s="1"/>
  <c r="YF53" i="1"/>
  <c r="WY53" i="1" s="1"/>
  <c r="YF48" i="1"/>
  <c r="WY48" i="1" s="1"/>
  <c r="YF47" i="1"/>
  <c r="WY47" i="1" s="1"/>
  <c r="YF27" i="1"/>
  <c r="WY27" i="1" s="1"/>
  <c r="YF18" i="1"/>
  <c r="WY18" i="1" s="1"/>
  <c r="Q37" i="17"/>
  <c r="V37" i="17" s="1"/>
  <c r="W37" i="17" s="1"/>
  <c r="Q29" i="17"/>
  <c r="V29" i="17" s="1"/>
  <c r="W29" i="17" s="1"/>
  <c r="Q21" i="17"/>
  <c r="V21" i="17" s="1"/>
  <c r="W21" i="17" s="1"/>
  <c r="Q17" i="17"/>
  <c r="V17" i="17" s="1"/>
  <c r="W17" i="17" s="1"/>
  <c r="E132" i="14"/>
  <c r="E120" i="10" s="1"/>
  <c r="E184" i="14"/>
  <c r="E172" i="10" s="1"/>
  <c r="Q99" i="17"/>
  <c r="V99" i="17" s="1"/>
  <c r="Q145" i="17"/>
  <c r="V145" i="17" s="1"/>
  <c r="Q154" i="17"/>
  <c r="V154" i="17" s="1"/>
  <c r="Q66" i="17"/>
  <c r="V66" i="17" s="1"/>
  <c r="Q67" i="17"/>
  <c r="V67" i="17" s="1"/>
  <c r="Q103" i="17"/>
  <c r="V103" i="17" s="1"/>
  <c r="Q147" i="17"/>
  <c r="V147" i="17" s="1"/>
  <c r="Q77" i="17"/>
  <c r="V77" i="17" s="1"/>
  <c r="Q117" i="17"/>
  <c r="V117" i="17" s="1"/>
  <c r="Q131" i="17"/>
  <c r="V131" i="17" s="1"/>
  <c r="Q13" i="17"/>
  <c r="V13" i="17" s="1"/>
  <c r="Q116" i="17"/>
  <c r="V116" i="17" s="1"/>
  <c r="Q110" i="17"/>
  <c r="V110" i="17" s="1"/>
  <c r="Q107" i="17"/>
  <c r="V107" i="17" s="1"/>
  <c r="Q137" i="17"/>
  <c r="V137" i="17" s="1"/>
  <c r="Q89" i="17"/>
  <c r="V89" i="17" s="1"/>
  <c r="Q97" i="17"/>
  <c r="V97" i="17" s="1"/>
  <c r="WT86" i="1"/>
  <c r="SE154" i="1"/>
  <c r="I18" i="13" s="1"/>
  <c r="SE138" i="1"/>
  <c r="O25" i="17" s="1"/>
  <c r="R25" i="17" s="1"/>
  <c r="SE134" i="1"/>
  <c r="D221" i="14" s="1"/>
  <c r="D209" i="10" s="1"/>
  <c r="SE126" i="1"/>
  <c r="I87" i="13" s="1"/>
  <c r="SE122" i="1"/>
  <c r="O78" i="17" s="1"/>
  <c r="R78" i="17" s="1"/>
  <c r="SE118" i="1"/>
  <c r="D205" i="14" s="1"/>
  <c r="D193" i="10" s="1"/>
  <c r="SE110" i="1"/>
  <c r="O156" i="17" s="1"/>
  <c r="R156" i="17" s="1"/>
  <c r="SE106" i="1"/>
  <c r="I7" i="13" s="1"/>
  <c r="SE102" i="1"/>
  <c r="I102" i="13" s="1"/>
  <c r="SE90" i="1"/>
  <c r="O66" i="17" s="1"/>
  <c r="R66" i="17" s="1"/>
  <c r="SE86" i="1"/>
  <c r="O129" i="17" s="1"/>
  <c r="R129" i="17" s="1"/>
  <c r="SE78" i="1"/>
  <c r="I39" i="13" s="1"/>
  <c r="SE74" i="1"/>
  <c r="I146" i="13" s="1"/>
  <c r="SE70" i="1"/>
  <c r="O73" i="17" s="1"/>
  <c r="R73" i="17" s="1"/>
  <c r="SE66" i="1"/>
  <c r="D153" i="14" s="1"/>
  <c r="D141" i="10" s="1"/>
  <c r="SE58" i="1"/>
  <c r="O127" i="17" s="1"/>
  <c r="R127" i="17" s="1"/>
  <c r="SE50" i="1"/>
  <c r="SE34" i="1"/>
  <c r="I117" i="13" s="1"/>
  <c r="SE30" i="1"/>
  <c r="I134" i="13" s="1"/>
  <c r="SE22" i="1"/>
  <c r="I93" i="13" s="1"/>
  <c r="SE18" i="1"/>
  <c r="O106" i="17" s="1"/>
  <c r="R106" i="17" s="1"/>
  <c r="Q121" i="17"/>
  <c r="V121" i="17" s="1"/>
  <c r="Q53" i="17"/>
  <c r="V53" i="17" s="1"/>
  <c r="Q25" i="17"/>
  <c r="V25" i="17" s="1"/>
  <c r="W25" i="17" s="1"/>
  <c r="Q33" i="17"/>
  <c r="V33" i="17" s="1"/>
  <c r="W33" i="17" s="1"/>
  <c r="Q41" i="17"/>
  <c r="V41" i="17" s="1"/>
  <c r="W41" i="17" s="1"/>
  <c r="Q93" i="17"/>
  <c r="V93" i="17" s="1"/>
  <c r="Q26" i="17"/>
  <c r="V26" i="17" s="1"/>
  <c r="W26" i="17" s="1"/>
  <c r="Q34" i="17"/>
  <c r="V34" i="17" s="1"/>
  <c r="Q122" i="17"/>
  <c r="V122" i="17" s="1"/>
  <c r="Q42" i="17"/>
  <c r="V42" i="17" s="1"/>
  <c r="Q141" i="17"/>
  <c r="V141" i="17" s="1"/>
  <c r="Q78" i="17"/>
  <c r="V78" i="17" s="1"/>
  <c r="YF133" i="1"/>
  <c r="WY133" i="1" s="1"/>
  <c r="YF114" i="1"/>
  <c r="WY114" i="1" s="1"/>
  <c r="YF101" i="1"/>
  <c r="WY101" i="1" s="1"/>
  <c r="YF65" i="1"/>
  <c r="WY65" i="1" s="1"/>
  <c r="YF58" i="1"/>
  <c r="WY58" i="1" s="1"/>
  <c r="YF45" i="1"/>
  <c r="WY45" i="1" s="1"/>
  <c r="YF22" i="1"/>
  <c r="WY22" i="1" s="1"/>
  <c r="Q153" i="17"/>
  <c r="V153" i="17" s="1"/>
  <c r="Q136" i="17"/>
  <c r="V136" i="17" s="1"/>
  <c r="Q91" i="17"/>
  <c r="V91" i="17" s="1"/>
  <c r="Q92" i="17"/>
  <c r="V92" i="17" s="1"/>
  <c r="Q57" i="17"/>
  <c r="V57" i="17" s="1"/>
  <c r="SZ109" i="1"/>
  <c r="SZ107" i="1"/>
  <c r="SZ94" i="1"/>
  <c r="E216" i="14"/>
  <c r="E204" i="10" s="1"/>
  <c r="E244" i="14"/>
  <c r="E232" i="10" s="1"/>
  <c r="E232" i="14"/>
  <c r="E220" i="10" s="1"/>
  <c r="E164" i="14"/>
  <c r="E152" i="10" s="1"/>
  <c r="E116" i="14"/>
  <c r="E104" i="10" s="1"/>
  <c r="YF123" i="1"/>
  <c r="WY123" i="1" s="1"/>
  <c r="YF116" i="1"/>
  <c r="WY116" i="1" s="1"/>
  <c r="YF112" i="1"/>
  <c r="WY112" i="1" s="1"/>
  <c r="YF108" i="1"/>
  <c r="WY108" i="1" s="1"/>
  <c r="YF99" i="1"/>
  <c r="WY99" i="1" s="1"/>
  <c r="YF76" i="1"/>
  <c r="WY76" i="1" s="1"/>
  <c r="YF64" i="1"/>
  <c r="WY64" i="1" s="1"/>
  <c r="YF51" i="1"/>
  <c r="WY51" i="1" s="1"/>
  <c r="YF43" i="1"/>
  <c r="WY43" i="1" s="1"/>
  <c r="YF10" i="1"/>
  <c r="WY10" i="1" s="1"/>
  <c r="TQ156" i="1"/>
  <c r="UA156" i="1" s="1"/>
  <c r="UB156" i="1" s="1"/>
  <c r="UX156" i="1" s="1"/>
  <c r="E60" i="13"/>
  <c r="UP144" i="1"/>
  <c r="UP140" i="1"/>
  <c r="UP136" i="1"/>
  <c r="UP128" i="1"/>
  <c r="TQ124" i="1"/>
  <c r="UA124" i="1" s="1"/>
  <c r="UB124" i="1" s="1"/>
  <c r="UX124" i="1" s="1"/>
  <c r="UP100" i="1"/>
  <c r="SZ92" i="1"/>
  <c r="UP76" i="1"/>
  <c r="E151" i="13"/>
  <c r="TQ56" i="1"/>
  <c r="UA56" i="1" s="1"/>
  <c r="UB56" i="1" s="1"/>
  <c r="UX56" i="1" s="1"/>
  <c r="E25" i="13"/>
  <c r="UP16" i="1"/>
  <c r="UP139" i="1"/>
  <c r="UP135" i="1"/>
  <c r="SU131" i="1"/>
  <c r="UQ131" i="1" s="1"/>
  <c r="UP115" i="1"/>
  <c r="TQ111" i="1"/>
  <c r="TZ111" i="1" s="1"/>
  <c r="UP107" i="1"/>
  <c r="TQ103" i="1"/>
  <c r="UA103" i="1" s="1"/>
  <c r="UB103" i="1" s="1"/>
  <c r="UX103" i="1" s="1"/>
  <c r="UP99" i="1"/>
  <c r="UP91" i="1"/>
  <c r="UP83" i="1"/>
  <c r="TQ63" i="1"/>
  <c r="UA63" i="1" s="1"/>
  <c r="UB63" i="1" s="1"/>
  <c r="UX63" i="1" s="1"/>
  <c r="TM59" i="1"/>
  <c r="UP55" i="1"/>
  <c r="TQ51" i="1"/>
  <c r="TZ51" i="1" s="1"/>
  <c r="UP47" i="1"/>
  <c r="UP43" i="1"/>
  <c r="TQ39" i="1"/>
  <c r="UA39" i="1" s="1"/>
  <c r="UB39" i="1" s="1"/>
  <c r="UX39" i="1" s="1"/>
  <c r="UP27" i="1"/>
  <c r="UP23" i="1"/>
  <c r="TQ19" i="1"/>
  <c r="UA19" i="1" s="1"/>
  <c r="UB19" i="1" s="1"/>
  <c r="UX19" i="1" s="1"/>
  <c r="UP15" i="1"/>
  <c r="UP150" i="1"/>
  <c r="TQ146" i="1"/>
  <c r="UA146" i="1" s="1"/>
  <c r="UB146" i="1" s="1"/>
  <c r="UX146" i="1" s="1"/>
  <c r="TQ142" i="1"/>
  <c r="UA142" i="1" s="1"/>
  <c r="UB142" i="1" s="1"/>
  <c r="UX142" i="1" s="1"/>
  <c r="UP138" i="1"/>
  <c r="UP134" i="1"/>
  <c r="UP130" i="1"/>
  <c r="TQ126" i="1"/>
  <c r="TZ126" i="1" s="1"/>
  <c r="UP114" i="1"/>
  <c r="UP102" i="1"/>
  <c r="UP70" i="1"/>
  <c r="TQ38" i="1"/>
  <c r="TZ38" i="1" s="1"/>
  <c r="UP34" i="1"/>
  <c r="UP161" i="1"/>
  <c r="TQ157" i="1"/>
  <c r="TZ157" i="1" s="1"/>
  <c r="UP153" i="1"/>
  <c r="TQ149" i="1"/>
  <c r="UA149" i="1" s="1"/>
  <c r="UB149" i="1" s="1"/>
  <c r="UX149" i="1" s="1"/>
  <c r="UP141" i="1"/>
  <c r="UP137" i="1"/>
  <c r="UP133" i="1"/>
  <c r="TQ129" i="1"/>
  <c r="TZ129" i="1" s="1"/>
  <c r="TQ121" i="1"/>
  <c r="TZ121" i="1" s="1"/>
  <c r="TQ117" i="1"/>
  <c r="TZ117" i="1" s="1"/>
  <c r="TQ109" i="1"/>
  <c r="TZ109" i="1" s="1"/>
  <c r="UP101" i="1"/>
  <c r="UP97" i="1"/>
  <c r="UP93" i="1"/>
  <c r="UP89" i="1"/>
  <c r="TQ85" i="1"/>
  <c r="TZ85" i="1" s="1"/>
  <c r="TQ81" i="1"/>
  <c r="UA81" i="1" s="1"/>
  <c r="UB81" i="1" s="1"/>
  <c r="UX81" i="1" s="1"/>
  <c r="UP77" i="1"/>
  <c r="TQ73" i="1"/>
  <c r="TZ73" i="1" s="1"/>
  <c r="TQ69" i="1"/>
  <c r="UA69" i="1" s="1"/>
  <c r="UB69" i="1" s="1"/>
  <c r="UX69" i="1" s="1"/>
  <c r="UP65" i="1"/>
  <c r="UP61" i="1"/>
  <c r="UP57" i="1"/>
  <c r="TQ53" i="1"/>
  <c r="TZ53" i="1" s="1"/>
  <c r="TQ37" i="1"/>
  <c r="TZ37" i="1" s="1"/>
  <c r="TQ21" i="1"/>
  <c r="TZ21" i="1" s="1"/>
  <c r="TQ17" i="1"/>
  <c r="UA17" i="1" s="1"/>
  <c r="UB17" i="1" s="1"/>
  <c r="UX17" i="1" s="1"/>
  <c r="YE152" i="1"/>
  <c r="Q31" i="17"/>
  <c r="V31" i="17" s="1"/>
  <c r="YE144" i="1"/>
  <c r="Q28" i="17"/>
  <c r="V28" i="17" s="1"/>
  <c r="Q20" i="17"/>
  <c r="V20" i="17" s="1"/>
  <c r="Q146" i="17"/>
  <c r="V146" i="17" s="1"/>
  <c r="YE104" i="1"/>
  <c r="Q112" i="17"/>
  <c r="V112" i="17" s="1"/>
  <c r="Q61" i="17"/>
  <c r="V61" i="17" s="1"/>
  <c r="Q101" i="17"/>
  <c r="V101" i="17" s="1"/>
  <c r="Q123" i="17"/>
  <c r="V123" i="17" s="1"/>
  <c r="YE72" i="1"/>
  <c r="Q79" i="17"/>
  <c r="V79" i="17" s="1"/>
  <c r="YE40" i="1"/>
  <c r="Q51" i="17"/>
  <c r="V51" i="17" s="1"/>
  <c r="Q47" i="17"/>
  <c r="V47" i="17" s="1"/>
  <c r="UP160" i="1"/>
  <c r="TQ160" i="1"/>
  <c r="UA160" i="1" s="1"/>
  <c r="UB160" i="1" s="1"/>
  <c r="UX160" i="1" s="1"/>
  <c r="TQ152" i="1"/>
  <c r="UA152" i="1" s="1"/>
  <c r="UB152" i="1" s="1"/>
  <c r="UX152" i="1" s="1"/>
  <c r="UP152" i="1"/>
  <c r="UP132" i="1"/>
  <c r="E44" i="13"/>
  <c r="E149" i="13"/>
  <c r="UP104" i="1"/>
  <c r="SX104" i="1"/>
  <c r="E100" i="13"/>
  <c r="SE96" i="1"/>
  <c r="O87" i="17" s="1"/>
  <c r="R87" i="17" s="1"/>
  <c r="UP88" i="1"/>
  <c r="E36" i="13"/>
  <c r="SE80" i="1"/>
  <c r="O102" i="17" s="1"/>
  <c r="R102" i="17" s="1"/>
  <c r="TQ68" i="1"/>
  <c r="TZ68" i="1" s="1"/>
  <c r="SZ68" i="1"/>
  <c r="SE64" i="1"/>
  <c r="O91" i="17" s="1"/>
  <c r="R91" i="17" s="1"/>
  <c r="UP64" i="1"/>
  <c r="TQ64" i="1"/>
  <c r="UA64" i="1" s="1"/>
  <c r="UB64" i="1" s="1"/>
  <c r="UX64" i="1" s="1"/>
  <c r="SZ60" i="1"/>
  <c r="UP52" i="1"/>
  <c r="SE52" i="1"/>
  <c r="O134" i="17" s="1"/>
  <c r="R134" i="17" s="1"/>
  <c r="UP32" i="1"/>
  <c r="SZ32" i="1"/>
  <c r="E43" i="13"/>
  <c r="SZ24" i="1"/>
  <c r="TQ20" i="1"/>
  <c r="TZ20" i="1" s="1"/>
  <c r="SE20" i="1"/>
  <c r="I123" i="13" s="1"/>
  <c r="UR143" i="1"/>
  <c r="SX143" i="1"/>
  <c r="TA132" i="1"/>
  <c r="US132" i="1" s="1"/>
  <c r="SZ132" i="1"/>
  <c r="TB90" i="1"/>
  <c r="UT90" i="1" s="1"/>
  <c r="SZ90" i="1"/>
  <c r="TC88" i="1"/>
  <c r="UU88" i="1" s="1"/>
  <c r="SZ88" i="1"/>
  <c r="TB84" i="1"/>
  <c r="UT84" i="1" s="1"/>
  <c r="SZ84" i="1"/>
  <c r="Q40" i="17"/>
  <c r="V40" i="17" s="1"/>
  <c r="Q32" i="17"/>
  <c r="V32" i="17" s="1"/>
  <c r="W32" i="17" s="1"/>
  <c r="YE140" i="1"/>
  <c r="Q27" i="17"/>
  <c r="V27" i="17" s="1"/>
  <c r="YE132" i="1"/>
  <c r="Q19" i="17"/>
  <c r="V19" i="17" s="1"/>
  <c r="W19" i="17" s="1"/>
  <c r="Q16" i="17"/>
  <c r="V16" i="17" s="1"/>
  <c r="Q96" i="17"/>
  <c r="V96" i="17" s="1"/>
  <c r="Q59" i="17"/>
  <c r="V59" i="17" s="1"/>
  <c r="Q71" i="17"/>
  <c r="V71" i="17" s="1"/>
  <c r="Q134" i="17"/>
  <c r="V134" i="17" s="1"/>
  <c r="YE52" i="1"/>
  <c r="Q132" i="17"/>
  <c r="V132" i="17" s="1"/>
  <c r="Q135" i="17"/>
  <c r="V135" i="17" s="1"/>
  <c r="YE36" i="1"/>
  <c r="Q52" i="17"/>
  <c r="V52" i="17" s="1"/>
  <c r="YE24" i="1"/>
  <c r="YE20" i="1"/>
  <c r="Q50" i="17"/>
  <c r="V50" i="17" s="1"/>
  <c r="Q64" i="17"/>
  <c r="V64" i="17" s="1"/>
  <c r="Q102" i="17"/>
  <c r="V102" i="17" s="1"/>
  <c r="Q60" i="17"/>
  <c r="V60" i="17" s="1"/>
  <c r="Q85" i="17"/>
  <c r="V85" i="17" s="1"/>
  <c r="Q84" i="17"/>
  <c r="V84" i="17" s="1"/>
  <c r="Q108" i="17"/>
  <c r="V108" i="17" s="1"/>
  <c r="Q15" i="17"/>
  <c r="V15" i="17" s="1"/>
  <c r="W15" i="17" s="1"/>
  <c r="Q39" i="17"/>
  <c r="V39" i="17" s="1"/>
  <c r="Q12" i="17"/>
  <c r="V12" i="17" s="1"/>
  <c r="Q36" i="17"/>
  <c r="V36" i="17" s="1"/>
  <c r="W36" i="17" s="1"/>
  <c r="YE64" i="1"/>
  <c r="YE84" i="1"/>
  <c r="Q48" i="17"/>
  <c r="V48" i="17" s="1"/>
  <c r="YE88" i="1"/>
  <c r="Q69" i="17"/>
  <c r="V69" i="17" s="1"/>
  <c r="Q126" i="17"/>
  <c r="V126" i="17" s="1"/>
  <c r="Q63" i="17"/>
  <c r="V63" i="17" s="1"/>
  <c r="SX105" i="1"/>
  <c r="SX80" i="1"/>
  <c r="SX84" i="1"/>
  <c r="Q45" i="17"/>
  <c r="V45" i="17" s="1"/>
  <c r="E153" i="13"/>
  <c r="SE16" i="1"/>
  <c r="SZ10" i="1"/>
  <c r="E130" i="13"/>
  <c r="SX122" i="1"/>
  <c r="SZ134" i="1"/>
  <c r="SX103" i="1"/>
  <c r="SZ100" i="1"/>
  <c r="SZ116" i="1"/>
  <c r="SZ40" i="1"/>
  <c r="SX112" i="1"/>
  <c r="SX12" i="1"/>
  <c r="SX148" i="1"/>
  <c r="SE140" i="1"/>
  <c r="O27" i="17" s="1"/>
  <c r="R27" i="17" s="1"/>
  <c r="SE128" i="1"/>
  <c r="D215" i="14" s="1"/>
  <c r="D203" i="10" s="1"/>
  <c r="E67" i="13"/>
  <c r="E20" i="13"/>
  <c r="E113" i="13"/>
  <c r="E105" i="13"/>
  <c r="E40" i="13"/>
  <c r="Q152" i="17"/>
  <c r="V152" i="17" s="1"/>
  <c r="Q140" i="17"/>
  <c r="V140" i="17" s="1"/>
  <c r="W140" i="17" s="1"/>
  <c r="Q114" i="17"/>
  <c r="V114" i="17" s="1"/>
  <c r="Q87" i="17"/>
  <c r="V87" i="17" s="1"/>
  <c r="Q95" i="17"/>
  <c r="V95" i="17" s="1"/>
  <c r="Q54" i="17"/>
  <c r="V54" i="17" s="1"/>
  <c r="Q144" i="17"/>
  <c r="V144" i="17" s="1"/>
  <c r="Q56" i="17"/>
  <c r="V56" i="17" s="1"/>
  <c r="Q24" i="17"/>
  <c r="V24" i="17" s="1"/>
  <c r="W24" i="17" s="1"/>
  <c r="YE120" i="1"/>
  <c r="WT65" i="1"/>
  <c r="TQ132" i="1"/>
  <c r="UA132" i="1" s="1"/>
  <c r="UB132" i="1" s="1"/>
  <c r="UX132" i="1" s="1"/>
  <c r="Q83" i="17"/>
  <c r="V83" i="17" s="1"/>
  <c r="YE12" i="1"/>
  <c r="UP158" i="1"/>
  <c r="E200" i="14"/>
  <c r="E188" i="10" s="1"/>
  <c r="E248" i="14"/>
  <c r="E236" i="10" s="1"/>
  <c r="UK110" i="1"/>
  <c r="WT96" i="1"/>
  <c r="WT105" i="1"/>
  <c r="Q35" i="17"/>
  <c r="V35" i="17" s="1"/>
  <c r="Q46" i="17"/>
  <c r="V46" i="17" s="1"/>
  <c r="Q82" i="17"/>
  <c r="V82" i="17" s="1"/>
  <c r="WT49" i="1"/>
  <c r="UP113" i="1"/>
  <c r="WT116" i="1"/>
  <c r="WT77" i="1"/>
  <c r="WT33" i="1"/>
  <c r="TQ141" i="1"/>
  <c r="UA141" i="1" s="1"/>
  <c r="UB141" i="1" s="1"/>
  <c r="UX141" i="1" s="1"/>
  <c r="TQ89" i="1"/>
  <c r="UA89" i="1" s="1"/>
  <c r="UB89" i="1" s="1"/>
  <c r="UX89" i="1" s="1"/>
  <c r="TQ61" i="1"/>
  <c r="TZ61" i="1" s="1"/>
  <c r="WT17" i="1"/>
  <c r="UP69" i="1"/>
  <c r="UP37" i="1"/>
  <c r="TB148" i="1"/>
  <c r="UT148" i="1" s="1"/>
  <c r="WT41" i="1"/>
  <c r="WT29" i="1"/>
  <c r="WT25" i="1"/>
  <c r="E243" i="14"/>
  <c r="E231" i="10" s="1"/>
  <c r="SM13" i="1"/>
  <c r="WT113" i="1"/>
  <c r="WT101" i="1"/>
  <c r="WT93" i="1"/>
  <c r="WT85" i="1"/>
  <c r="WT61" i="1"/>
  <c r="WT45" i="1"/>
  <c r="YE155" i="1"/>
  <c r="TQ161" i="1"/>
  <c r="UA161" i="1" s="1"/>
  <c r="UB161" i="1" s="1"/>
  <c r="UX161" i="1" s="1"/>
  <c r="TQ125" i="1"/>
  <c r="TZ125" i="1" s="1"/>
  <c r="TQ101" i="1"/>
  <c r="TZ101" i="1" s="1"/>
  <c r="TQ77" i="1"/>
  <c r="UA77" i="1" s="1"/>
  <c r="UB77" i="1" s="1"/>
  <c r="UX77" i="1" s="1"/>
  <c r="TQ65" i="1"/>
  <c r="TZ65" i="1" s="1"/>
  <c r="TQ57" i="1"/>
  <c r="TZ57" i="1" s="1"/>
  <c r="UP17" i="1"/>
  <c r="SX160" i="1"/>
  <c r="WT109" i="1"/>
  <c r="WT100" i="1"/>
  <c r="WT89" i="1"/>
  <c r="WT81" i="1"/>
  <c r="WT73" i="1"/>
  <c r="WT57" i="1"/>
  <c r="WT13" i="1"/>
  <c r="TQ145" i="1"/>
  <c r="UA145" i="1" s="1"/>
  <c r="UB145" i="1" s="1"/>
  <c r="UX145" i="1" s="1"/>
  <c r="TQ137" i="1"/>
  <c r="TZ137" i="1" s="1"/>
  <c r="UP125" i="1"/>
  <c r="TQ93" i="1"/>
  <c r="TZ93" i="1" s="1"/>
  <c r="UP73" i="1"/>
  <c r="TQ45" i="1"/>
  <c r="TZ45" i="1" s="1"/>
  <c r="UP117" i="1"/>
  <c r="TM147" i="1"/>
  <c r="TD90" i="1"/>
  <c r="UV90" i="1" s="1"/>
  <c r="E236" i="14"/>
  <c r="E224" i="10" s="1"/>
  <c r="E220" i="14"/>
  <c r="E208" i="10" s="1"/>
  <c r="YE39" i="1"/>
  <c r="YE71" i="1"/>
  <c r="YE103" i="1"/>
  <c r="WT117" i="1"/>
  <c r="WT108" i="1"/>
  <c r="WT97" i="1"/>
  <c r="WT88" i="1"/>
  <c r="WT80" i="1"/>
  <c r="WT69" i="1"/>
  <c r="WT53" i="1"/>
  <c r="WT37" i="1"/>
  <c r="WT21" i="1"/>
  <c r="UP145" i="1"/>
  <c r="UP45" i="1"/>
  <c r="TM82" i="1"/>
  <c r="SZ161" i="1"/>
  <c r="TB95" i="1"/>
  <c r="UT95" i="1" s="1"/>
  <c r="TA90" i="1"/>
  <c r="US90" i="1" s="1"/>
  <c r="TA87" i="1"/>
  <c r="US87" i="1" s="1"/>
  <c r="SM72" i="1"/>
  <c r="SM24" i="1"/>
  <c r="SN24" i="1" s="1"/>
  <c r="SP24" i="1" s="1"/>
  <c r="RV176" i="1"/>
  <c r="RY175" i="1"/>
  <c r="RX176" i="1"/>
  <c r="WT50" i="1"/>
  <c r="YF109" i="1"/>
  <c r="WY109" i="1" s="1"/>
  <c r="SM104" i="1"/>
  <c r="SM102" i="1"/>
  <c r="SM93" i="1"/>
  <c r="SM92" i="1"/>
  <c r="SM82" i="1"/>
  <c r="SM81" i="1"/>
  <c r="SM70" i="1"/>
  <c r="SM61" i="1"/>
  <c r="SM60" i="1"/>
  <c r="SM50" i="1"/>
  <c r="SM49" i="1"/>
  <c r="SM40" i="1"/>
  <c r="SN40" i="1" s="1"/>
  <c r="SP40" i="1" s="1"/>
  <c r="SM38" i="1"/>
  <c r="SM29" i="1"/>
  <c r="SM28" i="1"/>
  <c r="SM22" i="1"/>
  <c r="SM18" i="1"/>
  <c r="SM17" i="1"/>
  <c r="SM12" i="1"/>
  <c r="SN12" i="1" s="1"/>
  <c r="SP12" i="1" s="1"/>
  <c r="YE150" i="1"/>
  <c r="YE142" i="1"/>
  <c r="YE134" i="1"/>
  <c r="YE130" i="1"/>
  <c r="RY5" i="1"/>
  <c r="RY176" i="1"/>
  <c r="TQ162" i="1"/>
  <c r="UA162" i="1" s="1"/>
  <c r="UB162" i="1" s="1"/>
  <c r="UX162" i="1" s="1"/>
  <c r="UP162" i="1"/>
  <c r="UP154" i="1"/>
  <c r="TQ154" i="1"/>
  <c r="UA154" i="1" s="1"/>
  <c r="UB154" i="1" s="1"/>
  <c r="UX154" i="1" s="1"/>
  <c r="TQ122" i="1"/>
  <c r="UA122" i="1" s="1"/>
  <c r="UB122" i="1" s="1"/>
  <c r="UX122" i="1" s="1"/>
  <c r="TQ118" i="1"/>
  <c r="UA118" i="1" s="1"/>
  <c r="UB118" i="1" s="1"/>
  <c r="UX118" i="1" s="1"/>
  <c r="WT118" i="1"/>
  <c r="TQ110" i="1"/>
  <c r="UA110" i="1" s="1"/>
  <c r="UB110" i="1" s="1"/>
  <c r="UX110" i="1" s="1"/>
  <c r="UP98" i="1"/>
  <c r="WT98" i="1"/>
  <c r="UP86" i="1"/>
  <c r="UP74" i="1"/>
  <c r="WT66" i="1"/>
  <c r="TQ54" i="1"/>
  <c r="UA54" i="1" s="1"/>
  <c r="UB54" i="1" s="1"/>
  <c r="UX54" i="1" s="1"/>
  <c r="TQ42" i="1"/>
  <c r="UA42" i="1" s="1"/>
  <c r="UB42" i="1" s="1"/>
  <c r="UX42" i="1" s="1"/>
  <c r="TQ22" i="1"/>
  <c r="UA22" i="1" s="1"/>
  <c r="UB22" i="1" s="1"/>
  <c r="UX22" i="1" s="1"/>
  <c r="TQ14" i="1"/>
  <c r="UA14" i="1" s="1"/>
  <c r="UB14" i="1" s="1"/>
  <c r="UX14" i="1" s="1"/>
  <c r="WT14" i="1"/>
  <c r="TA157" i="1"/>
  <c r="US157" i="1" s="1"/>
  <c r="SZ157" i="1"/>
  <c r="UR155" i="1"/>
  <c r="SX155" i="1"/>
  <c r="WT35" i="1"/>
  <c r="WT23" i="1"/>
  <c r="SE158" i="1"/>
  <c r="D245" i="14" s="1"/>
  <c r="D233" i="10" s="1"/>
  <c r="SM120" i="1"/>
  <c r="WT92" i="1"/>
  <c r="TA85" i="1"/>
  <c r="US85" i="1" s="1"/>
  <c r="TD84" i="1"/>
  <c r="UV84" i="1" s="1"/>
  <c r="WW162" i="1"/>
  <c r="K21" i="14"/>
  <c r="WW158" i="1"/>
  <c r="WW154" i="1"/>
  <c r="WW150" i="1"/>
  <c r="WW146" i="1"/>
  <c r="WW142" i="1"/>
  <c r="WW138" i="1"/>
  <c r="WW134" i="1"/>
  <c r="WW130" i="1"/>
  <c r="WW126" i="1"/>
  <c r="WW122" i="1"/>
  <c r="WW118" i="1"/>
  <c r="WW114" i="1"/>
  <c r="WW110" i="1"/>
  <c r="WW106" i="1"/>
  <c r="WW102" i="1"/>
  <c r="WW98" i="1"/>
  <c r="WW94" i="1"/>
  <c r="WW90" i="1"/>
  <c r="WW86" i="1"/>
  <c r="WW82" i="1"/>
  <c r="WW78" i="1"/>
  <c r="WW74" i="1"/>
  <c r="WW70" i="1"/>
  <c r="WW66" i="1"/>
  <c r="WW62" i="1"/>
  <c r="WW58" i="1"/>
  <c r="WW54" i="1"/>
  <c r="WW50" i="1"/>
  <c r="WW46" i="1"/>
  <c r="WW42" i="1"/>
  <c r="WW38" i="1"/>
  <c r="WW34" i="1"/>
  <c r="WW30" i="1"/>
  <c r="WW26" i="1"/>
  <c r="WW22" i="1"/>
  <c r="WW18" i="1"/>
  <c r="WW14" i="1"/>
  <c r="SM162" i="1"/>
  <c r="SN162" i="1" s="1"/>
  <c r="SM141" i="1"/>
  <c r="SM130" i="1"/>
  <c r="SM125" i="1"/>
  <c r="SN125" i="1" s="1"/>
  <c r="SP125" i="1" s="1"/>
  <c r="SM114" i="1"/>
  <c r="SM109" i="1"/>
  <c r="SM98" i="1"/>
  <c r="SM97" i="1"/>
  <c r="SN97" i="1" s="1"/>
  <c r="SP97" i="1" s="1"/>
  <c r="SM88" i="1"/>
  <c r="SM86" i="1"/>
  <c r="SM77" i="1"/>
  <c r="SM76" i="1"/>
  <c r="SM66" i="1"/>
  <c r="SM65" i="1"/>
  <c r="SM56" i="1"/>
  <c r="SM54" i="1"/>
  <c r="SM45" i="1"/>
  <c r="SM44" i="1"/>
  <c r="SM34" i="1"/>
  <c r="SM33" i="1"/>
  <c r="SN33" i="1" s="1"/>
  <c r="SP33" i="1" s="1"/>
  <c r="WW163" i="1"/>
  <c r="WW159" i="1"/>
  <c r="WW155" i="1"/>
  <c r="WW151" i="1"/>
  <c r="WW147" i="1"/>
  <c r="WW143" i="1"/>
  <c r="WW139" i="1"/>
  <c r="WW135" i="1"/>
  <c r="WW131" i="1"/>
  <c r="WW127" i="1"/>
  <c r="WW123" i="1"/>
  <c r="WW119" i="1"/>
  <c r="WW115" i="1"/>
  <c r="WW111" i="1"/>
  <c r="WW107" i="1"/>
  <c r="WW103" i="1"/>
  <c r="WW99" i="1"/>
  <c r="WW95" i="1"/>
  <c r="WW91" i="1"/>
  <c r="WW87" i="1"/>
  <c r="WW83" i="1"/>
  <c r="WW79" i="1"/>
  <c r="WW75" i="1"/>
  <c r="WW71" i="1"/>
  <c r="WW67" i="1"/>
  <c r="WW63" i="1"/>
  <c r="WW59" i="1"/>
  <c r="WW55" i="1"/>
  <c r="WW51" i="1"/>
  <c r="WW47" i="1"/>
  <c r="WW43" i="1"/>
  <c r="WW39" i="1"/>
  <c r="WW35" i="1"/>
  <c r="WW31" i="1"/>
  <c r="WW27" i="1"/>
  <c r="WW23" i="1"/>
  <c r="WW19" i="1"/>
  <c r="WW15" i="1"/>
  <c r="WW11" i="1"/>
  <c r="WW160" i="1"/>
  <c r="WW156" i="1"/>
  <c r="WW152" i="1"/>
  <c r="WW148" i="1"/>
  <c r="WW144" i="1"/>
  <c r="WW140" i="1"/>
  <c r="WW136" i="1"/>
  <c r="WW132" i="1"/>
  <c r="WW128" i="1"/>
  <c r="WW124" i="1"/>
  <c r="WW120" i="1"/>
  <c r="WW116" i="1"/>
  <c r="WW112" i="1"/>
  <c r="WW108" i="1"/>
  <c r="WW104" i="1"/>
  <c r="WW100" i="1"/>
  <c r="WW96" i="1"/>
  <c r="WW92" i="1"/>
  <c r="WW88" i="1"/>
  <c r="WW84" i="1"/>
  <c r="WW80" i="1"/>
  <c r="WW76" i="1"/>
  <c r="WW72" i="1"/>
  <c r="WW68" i="1"/>
  <c r="WW64" i="1"/>
  <c r="WW60" i="1"/>
  <c r="WW56" i="1"/>
  <c r="WW52" i="1"/>
  <c r="WW48" i="1"/>
  <c r="WW44" i="1"/>
  <c r="WW40" i="1"/>
  <c r="WW36" i="1"/>
  <c r="WW32" i="1"/>
  <c r="WW28" i="1"/>
  <c r="WW24" i="1"/>
  <c r="WW20" i="1"/>
  <c r="WW16" i="1"/>
  <c r="WW12" i="1"/>
  <c r="YE158" i="1"/>
  <c r="WW161" i="1"/>
  <c r="WW157" i="1"/>
  <c r="WW153" i="1"/>
  <c r="WW149" i="1"/>
  <c r="WW145" i="1"/>
  <c r="WW141" i="1"/>
  <c r="WW137" i="1"/>
  <c r="WW133" i="1"/>
  <c r="WW129" i="1"/>
  <c r="WW125" i="1"/>
  <c r="WW121" i="1"/>
  <c r="WW117" i="1"/>
  <c r="WW113" i="1"/>
  <c r="WW109" i="1"/>
  <c r="WW105" i="1"/>
  <c r="WW101" i="1"/>
  <c r="WW97" i="1"/>
  <c r="WW93" i="1"/>
  <c r="WW89" i="1"/>
  <c r="WW85" i="1"/>
  <c r="WW81" i="1"/>
  <c r="WW77" i="1"/>
  <c r="WW73" i="1"/>
  <c r="WW69" i="1"/>
  <c r="WW65" i="1"/>
  <c r="WW61" i="1"/>
  <c r="WW57" i="1"/>
  <c r="WW53" i="1"/>
  <c r="WW49" i="1"/>
  <c r="WW45" i="1"/>
  <c r="WW41" i="1"/>
  <c r="WW37" i="1"/>
  <c r="WW33" i="1"/>
  <c r="WW29" i="1"/>
  <c r="WW25" i="1"/>
  <c r="WW21" i="1"/>
  <c r="WW17" i="1"/>
  <c r="WW13" i="1"/>
  <c r="YF150" i="1"/>
  <c r="WY150" i="1" s="1"/>
  <c r="YF141" i="1"/>
  <c r="WY141" i="1" s="1"/>
  <c r="YF128" i="1"/>
  <c r="WY128" i="1" s="1"/>
  <c r="YF11" i="1"/>
  <c r="WY11" i="1" s="1"/>
  <c r="YF59" i="1"/>
  <c r="WY59" i="1" s="1"/>
  <c r="YF70" i="1"/>
  <c r="WY70" i="1" s="1"/>
  <c r="YF139" i="1"/>
  <c r="WY139" i="1" s="1"/>
  <c r="YF25" i="1"/>
  <c r="WY25" i="1" s="1"/>
  <c r="YF28" i="1"/>
  <c r="WY28" i="1" s="1"/>
  <c r="YF62" i="1"/>
  <c r="WY62" i="1" s="1"/>
  <c r="YF35" i="1"/>
  <c r="WY35" i="1" s="1"/>
  <c r="O128" i="17"/>
  <c r="R128" i="17" s="1"/>
  <c r="WT120" i="1"/>
  <c r="WT55" i="1"/>
  <c r="TQ151" i="1"/>
  <c r="UA151" i="1" s="1"/>
  <c r="UB151" i="1" s="1"/>
  <c r="UX151" i="1" s="1"/>
  <c r="TQ131" i="1"/>
  <c r="TZ131" i="1" s="1"/>
  <c r="UP111" i="1"/>
  <c r="TQ96" i="1"/>
  <c r="TQ83" i="1"/>
  <c r="UA83" i="1" s="1"/>
  <c r="UB83" i="1" s="1"/>
  <c r="UX83" i="1" s="1"/>
  <c r="UP68" i="1"/>
  <c r="TQ48" i="1"/>
  <c r="TZ48" i="1" s="1"/>
  <c r="TQ35" i="1"/>
  <c r="TZ35" i="1" s="1"/>
  <c r="UP75" i="1"/>
  <c r="TO158" i="1"/>
  <c r="TM86" i="1"/>
  <c r="TM26" i="1"/>
  <c r="TA84" i="1"/>
  <c r="US84" i="1" s="1"/>
  <c r="TA52" i="1"/>
  <c r="US52" i="1" s="1"/>
  <c r="SZ163" i="1"/>
  <c r="WT112" i="1"/>
  <c r="WT104" i="1"/>
  <c r="WT84" i="1"/>
  <c r="WT76" i="1"/>
  <c r="WT15" i="1"/>
  <c r="UP143" i="1"/>
  <c r="TQ128" i="1"/>
  <c r="TZ128" i="1" s="1"/>
  <c r="TQ123" i="1"/>
  <c r="UA123" i="1" s="1"/>
  <c r="UB123" i="1" s="1"/>
  <c r="UX123" i="1" s="1"/>
  <c r="TQ95" i="1"/>
  <c r="TZ95" i="1" s="1"/>
  <c r="TQ91" i="1"/>
  <c r="UA91" i="1" s="1"/>
  <c r="UB91" i="1" s="1"/>
  <c r="UX91" i="1" s="1"/>
  <c r="TQ80" i="1"/>
  <c r="UA80" i="1" s="1"/>
  <c r="UB80" i="1" s="1"/>
  <c r="UX80" i="1" s="1"/>
  <c r="TQ71" i="1"/>
  <c r="TZ71" i="1" s="1"/>
  <c r="TQ60" i="1"/>
  <c r="TZ60" i="1" s="1"/>
  <c r="UP48" i="1"/>
  <c r="TQ40" i="1"/>
  <c r="UA40" i="1" s="1"/>
  <c r="UB40" i="1" s="1"/>
  <c r="UX40" i="1" s="1"/>
  <c r="TQ23" i="1"/>
  <c r="UA23" i="1" s="1"/>
  <c r="UB23" i="1" s="1"/>
  <c r="UX23" i="1" s="1"/>
  <c r="YF93" i="1"/>
  <c r="WY93" i="1" s="1"/>
  <c r="SX161" i="1"/>
  <c r="WT71" i="1"/>
  <c r="UP163" i="1"/>
  <c r="TQ127" i="1"/>
  <c r="UP103" i="1"/>
  <c r="UP79" i="1"/>
  <c r="UP39" i="1"/>
  <c r="TA80" i="1"/>
  <c r="US80" i="1" s="1"/>
  <c r="YF126" i="1"/>
  <c r="WY126" i="1" s="1"/>
  <c r="YF149" i="1"/>
  <c r="WY149" i="1" s="1"/>
  <c r="YF148" i="1"/>
  <c r="WY148" i="1" s="1"/>
  <c r="YF21" i="1"/>
  <c r="WY21" i="1" s="1"/>
  <c r="YF32" i="1"/>
  <c r="WY32" i="1" s="1"/>
  <c r="YF52" i="1"/>
  <c r="WY52" i="1" s="1"/>
  <c r="YF81" i="1"/>
  <c r="WY81" i="1" s="1"/>
  <c r="YF38" i="1"/>
  <c r="WY38" i="1" s="1"/>
  <c r="YF131" i="1"/>
  <c r="WY131" i="1" s="1"/>
  <c r="YF75" i="1"/>
  <c r="WY75" i="1" s="1"/>
  <c r="YF68" i="1"/>
  <c r="WY68" i="1" s="1"/>
  <c r="YF17" i="1"/>
  <c r="WY17" i="1" s="1"/>
  <c r="YF154" i="1"/>
  <c r="WY154" i="1" s="1"/>
  <c r="YF19" i="1"/>
  <c r="WY19" i="1" s="1"/>
  <c r="YF84" i="1"/>
  <c r="WY84" i="1" s="1"/>
  <c r="SM157" i="1"/>
  <c r="SN157" i="1" s="1"/>
  <c r="SM152" i="1"/>
  <c r="SM146" i="1"/>
  <c r="SM136" i="1"/>
  <c r="RL5" i="1"/>
  <c r="RQ5" i="1"/>
  <c r="SM161" i="1"/>
  <c r="SN161" i="1" s="1"/>
  <c r="SM160" i="1"/>
  <c r="SN160" i="1" s="1"/>
  <c r="SM158" i="1"/>
  <c r="SN158" i="1" s="1"/>
  <c r="SM156" i="1"/>
  <c r="SN156" i="1" s="1"/>
  <c r="SM154" i="1"/>
  <c r="SM153" i="1"/>
  <c r="SM150" i="1"/>
  <c r="SM149" i="1"/>
  <c r="SM148" i="1"/>
  <c r="SM145" i="1"/>
  <c r="SM144" i="1"/>
  <c r="SM142" i="1"/>
  <c r="SM140" i="1"/>
  <c r="SM138" i="1"/>
  <c r="SM137" i="1"/>
  <c r="SM134" i="1"/>
  <c r="SM133" i="1"/>
  <c r="SM132" i="1"/>
  <c r="SM129" i="1"/>
  <c r="SM128" i="1"/>
  <c r="SM126" i="1"/>
  <c r="SM124" i="1"/>
  <c r="SM122" i="1"/>
  <c r="SM121" i="1"/>
  <c r="SM118" i="1"/>
  <c r="SM117" i="1"/>
  <c r="SN117" i="1" s="1"/>
  <c r="SP117" i="1" s="1"/>
  <c r="SM116" i="1"/>
  <c r="SN116" i="1" s="1"/>
  <c r="SP116" i="1" s="1"/>
  <c r="SM113" i="1"/>
  <c r="SM112" i="1"/>
  <c r="RP5" i="1"/>
  <c r="RJ5" i="1"/>
  <c r="SM110" i="1"/>
  <c r="SM108" i="1"/>
  <c r="SM106" i="1"/>
  <c r="SM105" i="1"/>
  <c r="SM101" i="1"/>
  <c r="SM100" i="1"/>
  <c r="SM96" i="1"/>
  <c r="SM94" i="1"/>
  <c r="SM90" i="1"/>
  <c r="SM89" i="1"/>
  <c r="SM85" i="1"/>
  <c r="SM84" i="1"/>
  <c r="SM80" i="1"/>
  <c r="SM78" i="1"/>
  <c r="SM74" i="1"/>
  <c r="SM73" i="1"/>
  <c r="SM69" i="1"/>
  <c r="SM68" i="1"/>
  <c r="SM64" i="1"/>
  <c r="SM62" i="1"/>
  <c r="SM58" i="1"/>
  <c r="SM57" i="1"/>
  <c r="SM53" i="1"/>
  <c r="SM52" i="1"/>
  <c r="SM48" i="1"/>
  <c r="SM46" i="1"/>
  <c r="SM42" i="1"/>
  <c r="SM41" i="1"/>
  <c r="SM37" i="1"/>
  <c r="SM36" i="1"/>
  <c r="SM32" i="1"/>
  <c r="SM30" i="1"/>
  <c r="SM26" i="1"/>
  <c r="SM25" i="1"/>
  <c r="SM21" i="1"/>
  <c r="SM20" i="1"/>
  <c r="SM16" i="1"/>
  <c r="RI5" i="1"/>
  <c r="RR5" i="1"/>
  <c r="RN5" i="1"/>
  <c r="RM5" i="1"/>
  <c r="RH5" i="1"/>
  <c r="SM5" i="1"/>
  <c r="WT58" i="1"/>
  <c r="WT46" i="1"/>
  <c r="WT157" i="1"/>
  <c r="SZ160" i="1"/>
  <c r="SZ158" i="1"/>
  <c r="TA49" i="1"/>
  <c r="US49" i="1" s="1"/>
  <c r="TA15" i="1"/>
  <c r="US15" i="1" s="1"/>
  <c r="SZ155" i="1"/>
  <c r="WT67" i="1"/>
  <c r="WT31" i="1"/>
  <c r="WT11" i="1"/>
  <c r="TC154" i="1"/>
  <c r="UU154" i="1" s="1"/>
  <c r="TB136" i="1"/>
  <c r="UT136" i="1" s="1"/>
  <c r="TM143" i="1"/>
  <c r="SX163" i="1"/>
  <c r="SX159" i="1"/>
  <c r="WT47" i="1"/>
  <c r="WT39" i="1"/>
  <c r="WT27" i="1"/>
  <c r="TQ155" i="1"/>
  <c r="UA155" i="1" s="1"/>
  <c r="UB155" i="1" s="1"/>
  <c r="UX155" i="1" s="1"/>
  <c r="UP151" i="1"/>
  <c r="TQ147" i="1"/>
  <c r="TZ147" i="1" s="1"/>
  <c r="UP131" i="1"/>
  <c r="TQ87" i="1"/>
  <c r="UA87" i="1" s="1"/>
  <c r="UB87" i="1" s="1"/>
  <c r="UX87" i="1" s="1"/>
  <c r="TQ67" i="1"/>
  <c r="TZ67" i="1" s="1"/>
  <c r="UP35" i="1"/>
  <c r="TQ15" i="1"/>
  <c r="UP11" i="1"/>
  <c r="UP119" i="1"/>
  <c r="TC13" i="1"/>
  <c r="UU13" i="1" s="1"/>
  <c r="SX162" i="1"/>
  <c r="WT102" i="1"/>
  <c r="WT70" i="1"/>
  <c r="WT51" i="1"/>
  <c r="WT34" i="1"/>
  <c r="WT22" i="1"/>
  <c r="UP155" i="1"/>
  <c r="TQ150" i="1"/>
  <c r="UA150" i="1" s="1"/>
  <c r="UB150" i="1" s="1"/>
  <c r="UX150" i="1" s="1"/>
  <c r="UP147" i="1"/>
  <c r="UP142" i="1"/>
  <c r="TQ135" i="1"/>
  <c r="TZ135" i="1" s="1"/>
  <c r="TQ130" i="1"/>
  <c r="UA130" i="1" s="1"/>
  <c r="UB130" i="1" s="1"/>
  <c r="UX130" i="1" s="1"/>
  <c r="TQ115" i="1"/>
  <c r="TZ115" i="1" s="1"/>
  <c r="TQ90" i="1"/>
  <c r="UA90" i="1" s="1"/>
  <c r="UB90" i="1" s="1"/>
  <c r="UX90" i="1" s="1"/>
  <c r="TQ86" i="1"/>
  <c r="UP82" i="1"/>
  <c r="TQ66" i="1"/>
  <c r="TZ66" i="1" s="1"/>
  <c r="TQ59" i="1"/>
  <c r="UA59" i="1" s="1"/>
  <c r="UB59" i="1" s="1"/>
  <c r="UX59" i="1" s="1"/>
  <c r="TQ55" i="1"/>
  <c r="TQ43" i="1"/>
  <c r="UA43" i="1" s="1"/>
  <c r="UB43" i="1" s="1"/>
  <c r="UX43" i="1" s="1"/>
  <c r="TQ31" i="1"/>
  <c r="TZ31" i="1" s="1"/>
  <c r="UP19" i="1"/>
  <c r="SE163" i="1"/>
  <c r="SE159" i="1"/>
  <c r="SE155" i="1"/>
  <c r="TO77" i="1"/>
  <c r="TD134" i="1"/>
  <c r="UV134" i="1" s="1"/>
  <c r="TC14" i="1"/>
  <c r="UU14" i="1" s="1"/>
  <c r="WT114" i="1"/>
  <c r="WT82" i="1"/>
  <c r="WT38" i="1"/>
  <c r="WT26" i="1"/>
  <c r="WT19" i="1"/>
  <c r="TQ163" i="1"/>
  <c r="TZ163" i="1" s="1"/>
  <c r="TQ159" i="1"/>
  <c r="UA159" i="1" s="1"/>
  <c r="UB159" i="1" s="1"/>
  <c r="UX159" i="1" s="1"/>
  <c r="TQ158" i="1"/>
  <c r="TQ143" i="1"/>
  <c r="TZ143" i="1" s="1"/>
  <c r="TQ138" i="1"/>
  <c r="UA138" i="1" s="1"/>
  <c r="UB138" i="1" s="1"/>
  <c r="UX138" i="1" s="1"/>
  <c r="UP66" i="1"/>
  <c r="UP59" i="1"/>
  <c r="UP110" i="1"/>
  <c r="TA134" i="1"/>
  <c r="US134" i="1" s="1"/>
  <c r="YF94" i="1"/>
  <c r="WY94" i="1" s="1"/>
  <c r="YF103" i="1"/>
  <c r="WY103" i="1" s="1"/>
  <c r="YF97" i="1"/>
  <c r="WY97" i="1" s="1"/>
  <c r="YF130" i="1"/>
  <c r="WY130" i="1" s="1"/>
  <c r="YF34" i="1"/>
  <c r="WY34" i="1" s="1"/>
  <c r="YF36" i="1"/>
  <c r="WY36" i="1" s="1"/>
  <c r="YF69" i="1"/>
  <c r="WY69" i="1" s="1"/>
  <c r="YF88" i="1"/>
  <c r="WY88" i="1" s="1"/>
  <c r="YF87" i="1"/>
  <c r="WY87" i="1" s="1"/>
  <c r="YF143" i="1"/>
  <c r="WY143" i="1" s="1"/>
  <c r="YF16" i="1"/>
  <c r="WY16" i="1" s="1"/>
  <c r="YF82" i="1"/>
  <c r="WY82" i="1" s="1"/>
  <c r="YF91" i="1"/>
  <c r="WY91" i="1" s="1"/>
  <c r="YF14" i="1"/>
  <c r="WY14" i="1" s="1"/>
  <c r="YF24" i="1"/>
  <c r="WY24" i="1" s="1"/>
  <c r="YF37" i="1"/>
  <c r="WY37" i="1" s="1"/>
  <c r="YF140" i="1"/>
  <c r="WY140" i="1" s="1"/>
  <c r="YF125" i="1"/>
  <c r="WY125" i="1" s="1"/>
  <c r="TA135" i="1"/>
  <c r="US135" i="1" s="1"/>
  <c r="TC135" i="1"/>
  <c r="UU135" i="1" s="1"/>
  <c r="TB131" i="1"/>
  <c r="UT131" i="1" s="1"/>
  <c r="TA131" i="1"/>
  <c r="US131" i="1" s="1"/>
  <c r="TC131" i="1"/>
  <c r="UU131" i="1" s="1"/>
  <c r="TD131" i="1"/>
  <c r="UV131" i="1" s="1"/>
  <c r="TB105" i="1"/>
  <c r="UT105" i="1" s="1"/>
  <c r="TA105" i="1"/>
  <c r="US105" i="1" s="1"/>
  <c r="TB103" i="1"/>
  <c r="UT103" i="1" s="1"/>
  <c r="TA103" i="1"/>
  <c r="US103" i="1" s="1"/>
  <c r="TB77" i="1"/>
  <c r="UT77" i="1" s="1"/>
  <c r="TA77" i="1"/>
  <c r="US77" i="1" s="1"/>
  <c r="TD77" i="1"/>
  <c r="UV77" i="1" s="1"/>
  <c r="TC53" i="1"/>
  <c r="UU53" i="1" s="1"/>
  <c r="TB53" i="1"/>
  <c r="UT53" i="1" s="1"/>
  <c r="TD53" i="1"/>
  <c r="UV53" i="1" s="1"/>
  <c r="TA22" i="1"/>
  <c r="US22" i="1" s="1"/>
  <c r="TC22" i="1"/>
  <c r="UU22" i="1" s="1"/>
  <c r="TA11" i="1"/>
  <c r="US11" i="1" s="1"/>
  <c r="TC11" i="1"/>
  <c r="UU11" i="1" s="1"/>
  <c r="YF95" i="1"/>
  <c r="WY95" i="1" s="1"/>
  <c r="TQ10" i="1"/>
  <c r="TZ10" i="1" s="1"/>
  <c r="TM146" i="1"/>
  <c r="UP146" i="1"/>
  <c r="TQ62" i="1"/>
  <c r="UA62" i="1" s="1"/>
  <c r="UB62" i="1" s="1"/>
  <c r="UX62" i="1" s="1"/>
  <c r="TO50" i="1"/>
  <c r="UP50" i="1"/>
  <c r="TO46" i="1"/>
  <c r="TQ30" i="1"/>
  <c r="TZ30" i="1" s="1"/>
  <c r="WT30" i="1"/>
  <c r="UP18" i="1"/>
  <c r="TB116" i="1"/>
  <c r="UT116" i="1" s="1"/>
  <c r="TC116" i="1"/>
  <c r="UU116" i="1" s="1"/>
  <c r="SE162" i="1"/>
  <c r="SX158" i="1"/>
  <c r="SX157" i="1"/>
  <c r="WT106" i="1"/>
  <c r="WT90" i="1"/>
  <c r="WT74" i="1"/>
  <c r="WT62" i="1"/>
  <c r="WT54" i="1"/>
  <c r="WT42" i="1"/>
  <c r="UP126" i="1"/>
  <c r="TQ74" i="1"/>
  <c r="TZ74" i="1" s="1"/>
  <c r="UP30" i="1"/>
  <c r="TC161" i="1"/>
  <c r="UU161" i="1" s="1"/>
  <c r="TA161" i="1"/>
  <c r="US161" i="1" s="1"/>
  <c r="TB130" i="1"/>
  <c r="UT130" i="1" s="1"/>
  <c r="TC130" i="1"/>
  <c r="UU130" i="1" s="1"/>
  <c r="TM126" i="1"/>
  <c r="TB104" i="1"/>
  <c r="UT104" i="1" s="1"/>
  <c r="TA104" i="1"/>
  <c r="US104" i="1" s="1"/>
  <c r="TB91" i="1"/>
  <c r="UT91" i="1" s="1"/>
  <c r="TA91" i="1"/>
  <c r="US91" i="1" s="1"/>
  <c r="TA76" i="1"/>
  <c r="US76" i="1" s="1"/>
  <c r="TD76" i="1"/>
  <c r="UV76" i="1" s="1"/>
  <c r="TB51" i="1"/>
  <c r="UT51" i="1" s="1"/>
  <c r="TC51" i="1"/>
  <c r="UU51" i="1" s="1"/>
  <c r="TD51" i="1"/>
  <c r="UV51" i="1" s="1"/>
  <c r="TC31" i="1"/>
  <c r="UU31" i="1" s="1"/>
  <c r="TA31" i="1"/>
  <c r="US31" i="1" s="1"/>
  <c r="TC23" i="1"/>
  <c r="UU23" i="1" s="1"/>
  <c r="TA23" i="1"/>
  <c r="US23" i="1" s="1"/>
  <c r="TA21" i="1"/>
  <c r="US21" i="1" s="1"/>
  <c r="TC21" i="1"/>
  <c r="UU21" i="1" s="1"/>
  <c r="SZ162" i="1"/>
  <c r="WT110" i="1"/>
  <c r="WT94" i="1"/>
  <c r="WT78" i="1"/>
  <c r="WT18" i="1"/>
  <c r="WT10" i="1"/>
  <c r="TQ134" i="1"/>
  <c r="TZ134" i="1" s="1"/>
  <c r="TQ98" i="1"/>
  <c r="TZ98" i="1" s="1"/>
  <c r="TQ94" i="1"/>
  <c r="UA94" i="1" s="1"/>
  <c r="UB94" i="1" s="1"/>
  <c r="UX94" i="1" s="1"/>
  <c r="TQ70" i="1"/>
  <c r="TZ70" i="1" s="1"/>
  <c r="TQ58" i="1"/>
  <c r="UA58" i="1" s="1"/>
  <c r="UB58" i="1" s="1"/>
  <c r="UX58" i="1" s="1"/>
  <c r="TQ50" i="1"/>
  <c r="TZ50" i="1" s="1"/>
  <c r="UP118" i="1"/>
  <c r="UP14" i="1"/>
  <c r="TO10" i="1"/>
  <c r="TQ148" i="1"/>
  <c r="TZ148" i="1" s="1"/>
  <c r="UP148" i="1"/>
  <c r="TQ108" i="1"/>
  <c r="TZ108" i="1" s="1"/>
  <c r="UP108" i="1"/>
  <c r="TQ92" i="1"/>
  <c r="UA92" i="1" s="1"/>
  <c r="UB92" i="1" s="1"/>
  <c r="UX92" i="1" s="1"/>
  <c r="UP72" i="1"/>
  <c r="TQ72" i="1"/>
  <c r="TQ44" i="1"/>
  <c r="UA44" i="1" s="1"/>
  <c r="UB44" i="1" s="1"/>
  <c r="UX44" i="1" s="1"/>
  <c r="TD162" i="1"/>
  <c r="UV162" i="1" s="1"/>
  <c r="TB162" i="1"/>
  <c r="UT162" i="1" s="1"/>
  <c r="UP157" i="1"/>
  <c r="UP129" i="1"/>
  <c r="UP109" i="1"/>
  <c r="UP13" i="1"/>
  <c r="TO139" i="1"/>
  <c r="TM111" i="1"/>
  <c r="TM157" i="1"/>
  <c r="TM150" i="1"/>
  <c r="TC101" i="1"/>
  <c r="UU101" i="1" s="1"/>
  <c r="TC96" i="1"/>
  <c r="UU96" i="1" s="1"/>
  <c r="TA95" i="1"/>
  <c r="US95" i="1" s="1"/>
  <c r="TD87" i="1"/>
  <c r="UV87" i="1" s="1"/>
  <c r="TD85" i="1"/>
  <c r="UV85" i="1" s="1"/>
  <c r="TA35" i="1"/>
  <c r="US35" i="1" s="1"/>
  <c r="TA27" i="1"/>
  <c r="US27" i="1" s="1"/>
  <c r="TB47" i="1"/>
  <c r="UT47" i="1" s="1"/>
  <c r="TA17" i="1"/>
  <c r="US17" i="1" s="1"/>
  <c r="TM10" i="1"/>
  <c r="YE162" i="1"/>
  <c r="WT119" i="1"/>
  <c r="WT115" i="1"/>
  <c r="WT111" i="1"/>
  <c r="WT107" i="1"/>
  <c r="WT103" i="1"/>
  <c r="WT99" i="1"/>
  <c r="WT95" i="1"/>
  <c r="WT91" i="1"/>
  <c r="WT87" i="1"/>
  <c r="WT83" i="1"/>
  <c r="WT79" i="1"/>
  <c r="WT75" i="1"/>
  <c r="WT63" i="1"/>
  <c r="RV175" i="1"/>
  <c r="RV5" i="1"/>
  <c r="RW5" i="1"/>
  <c r="SM14" i="1"/>
  <c r="SM163" i="1"/>
  <c r="SN163" i="1" s="1"/>
  <c r="SM159" i="1"/>
  <c r="SN159" i="1" s="1"/>
  <c r="SM155" i="1"/>
  <c r="SM151" i="1"/>
  <c r="SM147" i="1"/>
  <c r="SM143" i="1"/>
  <c r="SM139" i="1"/>
  <c r="SM135" i="1"/>
  <c r="SM131" i="1"/>
  <c r="SM127" i="1"/>
  <c r="SM123" i="1"/>
  <c r="SM119" i="1"/>
  <c r="SM115" i="1"/>
  <c r="SM111" i="1"/>
  <c r="SM107" i="1"/>
  <c r="SM103" i="1"/>
  <c r="SM99" i="1"/>
  <c r="SM95" i="1"/>
  <c r="SM91" i="1"/>
  <c r="SM87" i="1"/>
  <c r="SM83" i="1"/>
  <c r="SM79" i="1"/>
  <c r="SM75" i="1"/>
  <c r="SM71" i="1"/>
  <c r="SM67" i="1"/>
  <c r="SM63" i="1"/>
  <c r="SM59" i="1"/>
  <c r="SM55" i="1"/>
  <c r="SM51" i="1"/>
  <c r="SM47" i="1"/>
  <c r="SM43" i="1"/>
  <c r="SM39" i="1"/>
  <c r="SM35" i="1"/>
  <c r="SM31" i="1"/>
  <c r="SM27" i="1"/>
  <c r="SM23" i="1"/>
  <c r="SM19" i="1"/>
  <c r="SM15" i="1"/>
  <c r="RK5" i="1"/>
  <c r="RO5" i="1"/>
  <c r="SM11" i="1"/>
  <c r="RV165" i="1"/>
  <c r="RY165" i="1"/>
  <c r="SM10" i="1"/>
  <c r="SN10" i="1" s="1"/>
  <c r="RG5" i="1"/>
  <c r="WT163" i="1"/>
  <c r="RW175" i="1"/>
  <c r="RX165" i="1"/>
  <c r="L17" i="14"/>
  <c r="G10" i="24" s="1"/>
  <c r="RW165" i="1"/>
  <c r="RW176" i="1"/>
  <c r="YF142" i="1"/>
  <c r="WY142" i="1" s="1"/>
  <c r="YF85" i="1"/>
  <c r="WY85" i="1" s="1"/>
  <c r="YF137" i="1"/>
  <c r="WY137" i="1" s="1"/>
  <c r="YF71" i="1"/>
  <c r="WY71" i="1" s="1"/>
  <c r="YF132" i="1"/>
  <c r="WY132" i="1" s="1"/>
  <c r="YF29" i="1"/>
  <c r="WY29" i="1" s="1"/>
  <c r="YF72" i="1"/>
  <c r="WY72" i="1" s="1"/>
  <c r="YF46" i="1"/>
  <c r="WY46" i="1" s="1"/>
  <c r="YF15" i="1"/>
  <c r="WY15" i="1" s="1"/>
  <c r="YF121" i="1"/>
  <c r="WY121" i="1" s="1"/>
  <c r="YF92" i="1"/>
  <c r="WY92" i="1" s="1"/>
  <c r="YF49" i="1"/>
  <c r="WY49" i="1" s="1"/>
  <c r="YF23" i="1"/>
  <c r="WY23" i="1" s="1"/>
  <c r="YF147" i="1"/>
  <c r="WY147" i="1" s="1"/>
  <c r="YF127" i="1"/>
  <c r="WY127" i="1" s="1"/>
  <c r="YF100" i="1"/>
  <c r="WY100" i="1" s="1"/>
  <c r="YF12" i="1"/>
  <c r="WY12" i="1" s="1"/>
  <c r="YF55" i="1"/>
  <c r="WY55" i="1" s="1"/>
  <c r="YF13" i="1"/>
  <c r="WY13" i="1" s="1"/>
  <c r="YF57" i="1"/>
  <c r="WY57" i="1" s="1"/>
  <c r="YF41" i="1"/>
  <c r="WY41" i="1" s="1"/>
  <c r="YF146" i="1"/>
  <c r="WY146" i="1" s="1"/>
  <c r="YF83" i="1"/>
  <c r="WY83" i="1" s="1"/>
  <c r="YF42" i="1"/>
  <c r="WY42" i="1" s="1"/>
  <c r="YF124" i="1"/>
  <c r="WY124" i="1" s="1"/>
  <c r="WT59" i="1"/>
  <c r="WT43" i="1"/>
  <c r="RU163" i="1"/>
  <c r="RX175" i="1"/>
  <c r="RX5" i="1"/>
  <c r="TM161" i="1"/>
  <c r="TQ153" i="1"/>
  <c r="UP149" i="1"/>
  <c r="TO141" i="1"/>
  <c r="TQ133" i="1"/>
  <c r="UA133" i="1" s="1"/>
  <c r="UB133" i="1" s="1"/>
  <c r="UX133" i="1" s="1"/>
  <c r="TM113" i="1"/>
  <c r="TQ113" i="1"/>
  <c r="UP105" i="1"/>
  <c r="TQ105" i="1"/>
  <c r="UA105" i="1" s="1"/>
  <c r="UB105" i="1" s="1"/>
  <c r="UX105" i="1" s="1"/>
  <c r="TM97" i="1"/>
  <c r="TQ97" i="1"/>
  <c r="UA97" i="1" s="1"/>
  <c r="UB97" i="1" s="1"/>
  <c r="UX97" i="1" s="1"/>
  <c r="TM85" i="1"/>
  <c r="UP85" i="1"/>
  <c r="TM81" i="1"/>
  <c r="UP81" i="1"/>
  <c r="UP49" i="1"/>
  <c r="TQ49" i="1"/>
  <c r="TZ49" i="1" s="1"/>
  <c r="UP41" i="1"/>
  <c r="TQ41" i="1"/>
  <c r="TZ41" i="1" s="1"/>
  <c r="UP33" i="1"/>
  <c r="TQ33" i="1"/>
  <c r="UA33" i="1" s="1"/>
  <c r="UB33" i="1" s="1"/>
  <c r="UX33" i="1" s="1"/>
  <c r="C116" i="14"/>
  <c r="UP29" i="1"/>
  <c r="TQ29" i="1"/>
  <c r="TZ29" i="1" s="1"/>
  <c r="UP25" i="1"/>
  <c r="TQ25" i="1"/>
  <c r="TZ25" i="1" s="1"/>
  <c r="UP21" i="1"/>
  <c r="TQ13" i="1"/>
  <c r="TZ13" i="1" s="1"/>
  <c r="TP5" i="1"/>
  <c r="SX156" i="1"/>
  <c r="WT144" i="1"/>
  <c r="WT12" i="1"/>
  <c r="TD137" i="1"/>
  <c r="UV137" i="1" s="1"/>
  <c r="TM117" i="1"/>
  <c r="TO113" i="1"/>
  <c r="TB96" i="1"/>
  <c r="UT96" i="1" s="1"/>
  <c r="TC76" i="1"/>
  <c r="UU76" i="1" s="1"/>
  <c r="TD46" i="1"/>
  <c r="UV46" i="1" s="1"/>
  <c r="RY171" i="1"/>
  <c r="SE10" i="1"/>
  <c r="TO163" i="1"/>
  <c r="WT155" i="1"/>
  <c r="WT123" i="1"/>
  <c r="WT161" i="1"/>
  <c r="TM149" i="1"/>
  <c r="TC146" i="1"/>
  <c r="UU146" i="1" s="1"/>
  <c r="TC139" i="1"/>
  <c r="UU139" i="1" s="1"/>
  <c r="TC137" i="1"/>
  <c r="UU137" i="1" s="1"/>
  <c r="TC129" i="1"/>
  <c r="UU129" i="1" s="1"/>
  <c r="TC117" i="1"/>
  <c r="UU117" i="1" s="1"/>
  <c r="TC112" i="1"/>
  <c r="UU112" i="1" s="1"/>
  <c r="TC104" i="1"/>
  <c r="UU104" i="1" s="1"/>
  <c r="TC97" i="1"/>
  <c r="UU97" i="1" s="1"/>
  <c r="TC90" i="1"/>
  <c r="UU90" i="1" s="1"/>
  <c r="TC85" i="1"/>
  <c r="UU85" i="1" s="1"/>
  <c r="TD83" i="1"/>
  <c r="UV83" i="1" s="1"/>
  <c r="TB81" i="1"/>
  <c r="UT81" i="1" s="1"/>
  <c r="TB78" i="1"/>
  <c r="UT78" i="1" s="1"/>
  <c r="TC77" i="1"/>
  <c r="UU77" i="1" s="1"/>
  <c r="TB76" i="1"/>
  <c r="UT76" i="1" s="1"/>
  <c r="TD57" i="1"/>
  <c r="UV57" i="1" s="1"/>
  <c r="TC46" i="1"/>
  <c r="UU46" i="1" s="1"/>
  <c r="TC26" i="1"/>
  <c r="UU26" i="1" s="1"/>
  <c r="SE161" i="1"/>
  <c r="D248" i="14" s="1"/>
  <c r="D236" i="10" s="1"/>
  <c r="SE157" i="1"/>
  <c r="WW10" i="1"/>
  <c r="K16" i="14"/>
  <c r="F9" i="24" s="1"/>
  <c r="WT162" i="1"/>
  <c r="WT154" i="1"/>
  <c r="TM142" i="1"/>
  <c r="WT138" i="1"/>
  <c r="TO134" i="1"/>
  <c r="TO130" i="1"/>
  <c r="WT126" i="1"/>
  <c r="WT122" i="1"/>
  <c r="TM110" i="1"/>
  <c r="TM90" i="1"/>
  <c r="TO78" i="1"/>
  <c r="TO161" i="1"/>
  <c r="TA155" i="1"/>
  <c r="US155" i="1" s="1"/>
  <c r="TC153" i="1"/>
  <c r="UU153" i="1" s="1"/>
  <c r="TA146" i="1"/>
  <c r="US146" i="1" s="1"/>
  <c r="TA137" i="1"/>
  <c r="US137" i="1" s="1"/>
  <c r="TA99" i="1"/>
  <c r="US99" i="1" s="1"/>
  <c r="TA97" i="1"/>
  <c r="US97" i="1" s="1"/>
  <c r="TD96" i="1"/>
  <c r="UV96" i="1" s="1"/>
  <c r="TD95" i="1"/>
  <c r="UV95" i="1" s="1"/>
  <c r="TA83" i="1"/>
  <c r="US83" i="1" s="1"/>
  <c r="TA81" i="1"/>
  <c r="US81" i="1" s="1"/>
  <c r="TD80" i="1"/>
  <c r="UV80" i="1" s="1"/>
  <c r="TD58" i="1"/>
  <c r="UV58" i="1" s="1"/>
  <c r="TD49" i="1"/>
  <c r="UV49" i="1" s="1"/>
  <c r="TA46" i="1"/>
  <c r="US46" i="1" s="1"/>
  <c r="UP80" i="1"/>
  <c r="TA151" i="1"/>
  <c r="US151" i="1" s="1"/>
  <c r="TC151" i="1"/>
  <c r="UU151" i="1" s="1"/>
  <c r="TB141" i="1"/>
  <c r="UT141" i="1" s="1"/>
  <c r="TC141" i="1"/>
  <c r="UU141" i="1" s="1"/>
  <c r="TB109" i="1"/>
  <c r="UT109" i="1" s="1"/>
  <c r="TC109" i="1"/>
  <c r="UU109" i="1" s="1"/>
  <c r="TB107" i="1"/>
  <c r="UT107" i="1" s="1"/>
  <c r="TC107" i="1"/>
  <c r="UU107" i="1" s="1"/>
  <c r="TB100" i="1"/>
  <c r="UT100" i="1" s="1"/>
  <c r="TC100" i="1"/>
  <c r="UU100" i="1" s="1"/>
  <c r="TA94" i="1"/>
  <c r="US94" i="1" s="1"/>
  <c r="TB94" i="1"/>
  <c r="UT94" i="1" s="1"/>
  <c r="TC94" i="1"/>
  <c r="UU94" i="1" s="1"/>
  <c r="TD94" i="1"/>
  <c r="UV94" i="1" s="1"/>
  <c r="TC56" i="1"/>
  <c r="UU56" i="1" s="1"/>
  <c r="TA56" i="1"/>
  <c r="US56" i="1" s="1"/>
  <c r="TB56" i="1"/>
  <c r="UT56" i="1" s="1"/>
  <c r="TD56" i="1"/>
  <c r="UV56" i="1" s="1"/>
  <c r="TA48" i="1"/>
  <c r="US48" i="1" s="1"/>
  <c r="TB48" i="1"/>
  <c r="UT48" i="1" s="1"/>
  <c r="TC48" i="1"/>
  <c r="UU48" i="1" s="1"/>
  <c r="TC33" i="1"/>
  <c r="UU33" i="1" s="1"/>
  <c r="TA33" i="1"/>
  <c r="US33" i="1" s="1"/>
  <c r="TQ36" i="1"/>
  <c r="UP36" i="1"/>
  <c r="TB140" i="1"/>
  <c r="UT140" i="1" s="1"/>
  <c r="TA140" i="1"/>
  <c r="US140" i="1" s="1"/>
  <c r="TC140" i="1"/>
  <c r="UU140" i="1" s="1"/>
  <c r="TB132" i="1"/>
  <c r="UT132" i="1" s="1"/>
  <c r="TC132" i="1"/>
  <c r="UU132" i="1" s="1"/>
  <c r="TB114" i="1"/>
  <c r="UT114" i="1" s="1"/>
  <c r="TA114" i="1"/>
  <c r="US114" i="1" s="1"/>
  <c r="TC114" i="1"/>
  <c r="UU114" i="1" s="1"/>
  <c r="TB92" i="1"/>
  <c r="UT92" i="1" s="1"/>
  <c r="TA92" i="1"/>
  <c r="US92" i="1" s="1"/>
  <c r="TC92" i="1"/>
  <c r="UU92" i="1" s="1"/>
  <c r="TD92" i="1"/>
  <c r="UV92" i="1" s="1"/>
  <c r="SZ156" i="1"/>
  <c r="ST5" i="1"/>
  <c r="UP156" i="1"/>
  <c r="TQ140" i="1"/>
  <c r="UP120" i="1"/>
  <c r="UP112" i="1"/>
  <c r="UP96" i="1"/>
  <c r="TQ24" i="1"/>
  <c r="TZ24" i="1" s="1"/>
  <c r="TD163" i="1"/>
  <c r="UV163" i="1" s="1"/>
  <c r="TC150" i="1"/>
  <c r="UU150" i="1" s="1"/>
  <c r="TA150" i="1"/>
  <c r="US150" i="1" s="1"/>
  <c r="TB144" i="1"/>
  <c r="UT144" i="1" s="1"/>
  <c r="TC144" i="1"/>
  <c r="UU144" i="1" s="1"/>
  <c r="TD139" i="1"/>
  <c r="UV139" i="1" s="1"/>
  <c r="TB139" i="1"/>
  <c r="UT139" i="1" s="1"/>
  <c r="TB110" i="1"/>
  <c r="UT110" i="1" s="1"/>
  <c r="TA110" i="1"/>
  <c r="US110" i="1" s="1"/>
  <c r="TB108" i="1"/>
  <c r="UT108" i="1" s="1"/>
  <c r="TA108" i="1"/>
  <c r="US108" i="1" s="1"/>
  <c r="TC108" i="1"/>
  <c r="UU108" i="1" s="1"/>
  <c r="TA86" i="1"/>
  <c r="US86" i="1" s="1"/>
  <c r="TD86" i="1"/>
  <c r="UV86" i="1" s="1"/>
  <c r="TB86" i="1"/>
  <c r="UT86" i="1" s="1"/>
  <c r="TC29" i="1"/>
  <c r="UU29" i="1" s="1"/>
  <c r="TA29" i="1"/>
  <c r="US29" i="1" s="1"/>
  <c r="WT72" i="1"/>
  <c r="WT68" i="1"/>
  <c r="WT64" i="1"/>
  <c r="WT60" i="1"/>
  <c r="WT56" i="1"/>
  <c r="WT52" i="1"/>
  <c r="WT48" i="1"/>
  <c r="WT44" i="1"/>
  <c r="WT40" i="1"/>
  <c r="WT36" i="1"/>
  <c r="WT32" i="1"/>
  <c r="WT28" i="1"/>
  <c r="WT24" i="1"/>
  <c r="WT20" i="1"/>
  <c r="WT16" i="1"/>
  <c r="TQ144" i="1"/>
  <c r="UA139" i="1"/>
  <c r="UB139" i="1" s="1"/>
  <c r="UX139" i="1" s="1"/>
  <c r="TQ136" i="1"/>
  <c r="TQ88" i="1"/>
  <c r="TZ88" i="1" s="1"/>
  <c r="TQ52" i="1"/>
  <c r="TQ32" i="1"/>
  <c r="TZ32" i="1" s="1"/>
  <c r="WT150" i="1"/>
  <c r="TO58" i="1"/>
  <c r="TB163" i="1"/>
  <c r="UT163" i="1" s="1"/>
  <c r="TM155" i="1"/>
  <c r="TM154" i="1"/>
  <c r="TB147" i="1"/>
  <c r="UT147" i="1" s="1"/>
  <c r="TC147" i="1"/>
  <c r="UU147" i="1" s="1"/>
  <c r="TA141" i="1"/>
  <c r="US141" i="1" s="1"/>
  <c r="TD140" i="1"/>
  <c r="UV140" i="1" s="1"/>
  <c r="TD132" i="1"/>
  <c r="UV132" i="1" s="1"/>
  <c r="TB113" i="1"/>
  <c r="UT113" i="1" s="1"/>
  <c r="TC113" i="1"/>
  <c r="UU113" i="1" s="1"/>
  <c r="TB106" i="1"/>
  <c r="UT106" i="1" s="1"/>
  <c r="TC106" i="1"/>
  <c r="UU106" i="1" s="1"/>
  <c r="TA89" i="1"/>
  <c r="US89" i="1" s="1"/>
  <c r="TB89" i="1"/>
  <c r="UT89" i="1" s="1"/>
  <c r="TC89" i="1"/>
  <c r="UU89" i="1" s="1"/>
  <c r="TD89" i="1"/>
  <c r="UV89" i="1" s="1"/>
  <c r="TA82" i="1"/>
  <c r="US82" i="1" s="1"/>
  <c r="TD82" i="1"/>
  <c r="UV82" i="1" s="1"/>
  <c r="TB82" i="1"/>
  <c r="UT82" i="1" s="1"/>
  <c r="TD48" i="1"/>
  <c r="UV48" i="1" s="1"/>
  <c r="TM93" i="1"/>
  <c r="TM57" i="1"/>
  <c r="TO121" i="1"/>
  <c r="TC105" i="1"/>
  <c r="UU105" i="1" s="1"/>
  <c r="TC99" i="1"/>
  <c r="UU99" i="1" s="1"/>
  <c r="TM89" i="1"/>
  <c r="TC80" i="1"/>
  <c r="UU80" i="1" s="1"/>
  <c r="TD78" i="1"/>
  <c r="UV78" i="1" s="1"/>
  <c r="TB58" i="1"/>
  <c r="UT58" i="1" s="1"/>
  <c r="TB57" i="1"/>
  <c r="UT57" i="1" s="1"/>
  <c r="TA53" i="1"/>
  <c r="US53" i="1" s="1"/>
  <c r="TD52" i="1"/>
  <c r="UV52" i="1" s="1"/>
  <c r="TA51" i="1"/>
  <c r="US51" i="1" s="1"/>
  <c r="TC49" i="1"/>
  <c r="UU49" i="1" s="1"/>
  <c r="TM137" i="1"/>
  <c r="TM129" i="1"/>
  <c r="TO109" i="1"/>
  <c r="TM105" i="1"/>
  <c r="TO57" i="1"/>
  <c r="TC134" i="1"/>
  <c r="UU134" i="1" s="1"/>
  <c r="TO105" i="1"/>
  <c r="TD91" i="1"/>
  <c r="UV91" i="1" s="1"/>
  <c r="TC84" i="1"/>
  <c r="UU84" i="1" s="1"/>
  <c r="TC81" i="1"/>
  <c r="UU81" i="1" s="1"/>
  <c r="TC78" i="1"/>
  <c r="UU78" i="1" s="1"/>
  <c r="TB52" i="1"/>
  <c r="UT52" i="1" s="1"/>
  <c r="TD47" i="1"/>
  <c r="UV47" i="1" s="1"/>
  <c r="I61" i="13"/>
  <c r="YF79" i="1"/>
  <c r="WY79" i="1" s="1"/>
  <c r="YF111" i="1"/>
  <c r="WY111" i="1" s="1"/>
  <c r="YF78" i="1"/>
  <c r="WY78" i="1" s="1"/>
  <c r="TB145" i="1"/>
  <c r="UT145" i="1" s="1"/>
  <c r="TA145" i="1"/>
  <c r="US145" i="1" s="1"/>
  <c r="TC145" i="1"/>
  <c r="UU145" i="1" s="1"/>
  <c r="TD138" i="1"/>
  <c r="UV138" i="1" s="1"/>
  <c r="TB138" i="1"/>
  <c r="UT138" i="1" s="1"/>
  <c r="TA138" i="1"/>
  <c r="US138" i="1" s="1"/>
  <c r="TC138" i="1"/>
  <c r="UU138" i="1" s="1"/>
  <c r="E249" i="14"/>
  <c r="E237" i="10" s="1"/>
  <c r="E245" i="14"/>
  <c r="E233" i="10" s="1"/>
  <c r="E241" i="14"/>
  <c r="E229" i="10" s="1"/>
  <c r="E237" i="14"/>
  <c r="E225" i="10" s="1"/>
  <c r="E233" i="14"/>
  <c r="E221" i="10" s="1"/>
  <c r="E229" i="14"/>
  <c r="E217" i="10" s="1"/>
  <c r="E225" i="14"/>
  <c r="E213" i="10" s="1"/>
  <c r="E221" i="14"/>
  <c r="E209" i="10" s="1"/>
  <c r="E217" i="14"/>
  <c r="E205" i="10" s="1"/>
  <c r="E213" i="14"/>
  <c r="E201" i="10" s="1"/>
  <c r="E209" i="14"/>
  <c r="E197" i="10" s="1"/>
  <c r="E205" i="14"/>
  <c r="E193" i="10" s="1"/>
  <c r="E201" i="14"/>
  <c r="E189" i="10" s="1"/>
  <c r="E197" i="14"/>
  <c r="E185" i="10" s="1"/>
  <c r="E193" i="14"/>
  <c r="E181" i="10" s="1"/>
  <c r="E189" i="14"/>
  <c r="E177" i="10" s="1"/>
  <c r="E185" i="14"/>
  <c r="E173" i="10" s="1"/>
  <c r="E181" i="14"/>
  <c r="E169" i="10" s="1"/>
  <c r="E177" i="14"/>
  <c r="E165" i="10" s="1"/>
  <c r="E173" i="14"/>
  <c r="E161" i="10" s="1"/>
  <c r="E169" i="14"/>
  <c r="E157" i="10" s="1"/>
  <c r="E165" i="14"/>
  <c r="E153" i="10" s="1"/>
  <c r="E161" i="14"/>
  <c r="E149" i="10" s="1"/>
  <c r="E157" i="14"/>
  <c r="E145" i="10" s="1"/>
  <c r="E153" i="14"/>
  <c r="E141" i="10" s="1"/>
  <c r="E149" i="14"/>
  <c r="E137" i="10" s="1"/>
  <c r="E145" i="14"/>
  <c r="E133" i="10" s="1"/>
  <c r="E141" i="14"/>
  <c r="E129" i="10" s="1"/>
  <c r="E137" i="14"/>
  <c r="E125" i="10" s="1"/>
  <c r="E133" i="14"/>
  <c r="E121" i="10" s="1"/>
  <c r="E129" i="14"/>
  <c r="E117" i="10" s="1"/>
  <c r="E125" i="14"/>
  <c r="E113" i="10" s="1"/>
  <c r="E121" i="14"/>
  <c r="E109" i="10" s="1"/>
  <c r="E117" i="14"/>
  <c r="E105" i="10" s="1"/>
  <c r="E113" i="14"/>
  <c r="E101" i="10" s="1"/>
  <c r="E109" i="14"/>
  <c r="E97" i="10" s="1"/>
  <c r="E105" i="14"/>
  <c r="E93" i="10" s="1"/>
  <c r="E101" i="14"/>
  <c r="E89" i="10" s="1"/>
  <c r="W9" i="17"/>
  <c r="TG5" i="1"/>
  <c r="TZ139" i="1"/>
  <c r="TA98" i="1"/>
  <c r="US98" i="1" s="1"/>
  <c r="TD98" i="1"/>
  <c r="UV98" i="1" s="1"/>
  <c r="TB98" i="1"/>
  <c r="UT98" i="1" s="1"/>
  <c r="TC98" i="1"/>
  <c r="UU98" i="1" s="1"/>
  <c r="UP116" i="1"/>
  <c r="TQ116" i="1"/>
  <c r="TZ116" i="1" s="1"/>
  <c r="UP28" i="1"/>
  <c r="TQ28" i="1"/>
  <c r="TZ28" i="1" s="1"/>
  <c r="UP12" i="1"/>
  <c r="TQ12" i="1"/>
  <c r="WT128" i="1"/>
  <c r="TB158" i="1"/>
  <c r="UT158" i="1" s="1"/>
  <c r="TA158" i="1"/>
  <c r="US158" i="1" s="1"/>
  <c r="TC158" i="1"/>
  <c r="UU158" i="1" s="1"/>
  <c r="TD158" i="1"/>
  <c r="UV158" i="1" s="1"/>
  <c r="TB102" i="1"/>
  <c r="UT102" i="1" s="1"/>
  <c r="TA102" i="1"/>
  <c r="US102" i="1" s="1"/>
  <c r="TC102" i="1"/>
  <c r="UU102" i="1" s="1"/>
  <c r="TK5" i="1"/>
  <c r="TE5" i="1"/>
  <c r="ST165" i="1"/>
  <c r="SE160" i="1"/>
  <c r="D247" i="14" s="1"/>
  <c r="D235" i="10" s="1"/>
  <c r="SE156" i="1"/>
  <c r="D243" i="14" s="1"/>
  <c r="D231" i="10" s="1"/>
  <c r="SE152" i="1"/>
  <c r="I91" i="13" s="1"/>
  <c r="SE112" i="1"/>
  <c r="SE100" i="1"/>
  <c r="SE84" i="1"/>
  <c r="SE76" i="1"/>
  <c r="D163" i="14" s="1"/>
  <c r="D151" i="10" s="1"/>
  <c r="SE68" i="1"/>
  <c r="I90" i="13" s="1"/>
  <c r="SE56" i="1"/>
  <c r="I132" i="13" s="1"/>
  <c r="SE48" i="1"/>
  <c r="D135" i="14" s="1"/>
  <c r="D123" i="10" s="1"/>
  <c r="SE40" i="1"/>
  <c r="I136" i="13" s="1"/>
  <c r="SE36" i="1"/>
  <c r="SE32" i="1"/>
  <c r="I9" i="13" s="1"/>
  <c r="SE12" i="1"/>
  <c r="D99" i="14" s="1"/>
  <c r="D87" i="10" s="1"/>
  <c r="TO135" i="1"/>
  <c r="WT143" i="1"/>
  <c r="WT127" i="1"/>
  <c r="TO159" i="1"/>
  <c r="TB157" i="1"/>
  <c r="UT157" i="1" s="1"/>
  <c r="TC157" i="1"/>
  <c r="UU157" i="1" s="1"/>
  <c r="TB143" i="1"/>
  <c r="UT143" i="1" s="1"/>
  <c r="TC143" i="1"/>
  <c r="UU143" i="1" s="1"/>
  <c r="TA133" i="1"/>
  <c r="US133" i="1" s="1"/>
  <c r="TD133" i="1"/>
  <c r="UV133" i="1" s="1"/>
  <c r="TO129" i="1"/>
  <c r="TA128" i="1"/>
  <c r="US128" i="1" s="1"/>
  <c r="TD128" i="1"/>
  <c r="UV128" i="1" s="1"/>
  <c r="TM115" i="1"/>
  <c r="TB111" i="1"/>
  <c r="UT111" i="1" s="1"/>
  <c r="TA111" i="1"/>
  <c r="US111" i="1" s="1"/>
  <c r="TC111" i="1"/>
  <c r="UU111" i="1" s="1"/>
  <c r="TM101" i="1"/>
  <c r="WT134" i="1"/>
  <c r="WT159" i="1"/>
  <c r="UP123" i="1"/>
  <c r="WT139" i="1"/>
  <c r="TA163" i="1"/>
  <c r="US163" i="1" s="1"/>
  <c r="TD161" i="1"/>
  <c r="UV161" i="1" s="1"/>
  <c r="TA160" i="1"/>
  <c r="US160" i="1" s="1"/>
  <c r="TC160" i="1"/>
  <c r="UU160" i="1" s="1"/>
  <c r="TM159" i="1"/>
  <c r="TM158" i="1"/>
  <c r="TB149" i="1"/>
  <c r="UT149" i="1" s="1"/>
  <c r="TA149" i="1"/>
  <c r="US149" i="1" s="1"/>
  <c r="TC149" i="1"/>
  <c r="UU149" i="1" s="1"/>
  <c r="TM145" i="1"/>
  <c r="TB142" i="1"/>
  <c r="UT142" i="1" s="1"/>
  <c r="TA142" i="1"/>
  <c r="US142" i="1" s="1"/>
  <c r="TC142" i="1"/>
  <c r="UU142" i="1" s="1"/>
  <c r="TO137" i="1"/>
  <c r="TA136" i="1"/>
  <c r="US136" i="1" s="1"/>
  <c r="TD136" i="1"/>
  <c r="UV136" i="1" s="1"/>
  <c r="TO132" i="1"/>
  <c r="TA130" i="1"/>
  <c r="US130" i="1" s="1"/>
  <c r="TD130" i="1"/>
  <c r="UV130" i="1" s="1"/>
  <c r="TO125" i="1"/>
  <c r="TM120" i="1"/>
  <c r="TO117" i="1"/>
  <c r="TO104" i="1"/>
  <c r="TA93" i="1"/>
  <c r="US93" i="1" s="1"/>
  <c r="TD93" i="1"/>
  <c r="UV93" i="1" s="1"/>
  <c r="TB93" i="1"/>
  <c r="UT93" i="1" s="1"/>
  <c r="TA88" i="1"/>
  <c r="US88" i="1" s="1"/>
  <c r="TD88" i="1"/>
  <c r="UV88" i="1" s="1"/>
  <c r="TB88" i="1"/>
  <c r="UT88" i="1" s="1"/>
  <c r="WT151" i="1"/>
  <c r="WT135" i="1"/>
  <c r="TB161" i="1"/>
  <c r="UT161" i="1" s="1"/>
  <c r="TD157" i="1"/>
  <c r="UV157" i="1" s="1"/>
  <c r="TO157" i="1"/>
  <c r="TM153" i="1"/>
  <c r="TM151" i="1"/>
  <c r="TM141" i="1"/>
  <c r="TD135" i="1"/>
  <c r="UV135" i="1" s="1"/>
  <c r="TB135" i="1"/>
  <c r="UT135" i="1" s="1"/>
  <c r="TC133" i="1"/>
  <c r="UU133" i="1" s="1"/>
  <c r="TM133" i="1"/>
  <c r="TO131" i="1"/>
  <c r="TD129" i="1"/>
  <c r="UV129" i="1" s="1"/>
  <c r="TB129" i="1"/>
  <c r="UT129" i="1" s="1"/>
  <c r="TC128" i="1"/>
  <c r="UU128" i="1" s="1"/>
  <c r="TM125" i="1"/>
  <c r="TM123" i="1"/>
  <c r="TB115" i="1"/>
  <c r="UT115" i="1" s="1"/>
  <c r="TA115" i="1"/>
  <c r="US115" i="1" s="1"/>
  <c r="TC115" i="1"/>
  <c r="UU115" i="1" s="1"/>
  <c r="TM109" i="1"/>
  <c r="TO88" i="1"/>
  <c r="TB79" i="1"/>
  <c r="UT79" i="1" s="1"/>
  <c r="TA79" i="1"/>
  <c r="US79" i="1" s="1"/>
  <c r="TC79" i="1"/>
  <c r="UU79" i="1" s="1"/>
  <c r="TD79" i="1"/>
  <c r="UV79" i="1" s="1"/>
  <c r="TA44" i="1"/>
  <c r="US44" i="1" s="1"/>
  <c r="TB44" i="1"/>
  <c r="UT44" i="1" s="1"/>
  <c r="TC44" i="1"/>
  <c r="UU44" i="1" s="1"/>
  <c r="TD44" i="1"/>
  <c r="UV44" i="1" s="1"/>
  <c r="TO101" i="1"/>
  <c r="TO89" i="1"/>
  <c r="TA45" i="1"/>
  <c r="US45" i="1" s="1"/>
  <c r="TB45" i="1"/>
  <c r="UT45" i="1" s="1"/>
  <c r="TC45" i="1"/>
  <c r="UU45" i="1" s="1"/>
  <c r="TA25" i="1"/>
  <c r="US25" i="1" s="1"/>
  <c r="TC25" i="1"/>
  <c r="UU25" i="1" s="1"/>
  <c r="TA19" i="1"/>
  <c r="US19" i="1" s="1"/>
  <c r="TC19" i="1"/>
  <c r="UU19" i="1" s="1"/>
  <c r="TM156" i="1"/>
  <c r="TO153" i="1"/>
  <c r="TV153" i="1" s="1"/>
  <c r="TW153" i="1" s="1"/>
  <c r="UW153" i="1" s="1"/>
  <c r="TO149" i="1"/>
  <c r="TO145" i="1"/>
  <c r="TO136" i="1"/>
  <c r="TO133" i="1"/>
  <c r="TM121" i="1"/>
  <c r="TA117" i="1"/>
  <c r="US117" i="1" s="1"/>
  <c r="TA116" i="1"/>
  <c r="US116" i="1" s="1"/>
  <c r="TA113" i="1"/>
  <c r="US113" i="1" s="1"/>
  <c r="TA112" i="1"/>
  <c r="US112" i="1" s="1"/>
  <c r="TA109" i="1"/>
  <c r="US109" i="1" s="1"/>
  <c r="TA107" i="1"/>
  <c r="US107" i="1" s="1"/>
  <c r="TA106" i="1"/>
  <c r="US106" i="1" s="1"/>
  <c r="TC103" i="1"/>
  <c r="UU103" i="1" s="1"/>
  <c r="TO102" i="1"/>
  <c r="TA101" i="1"/>
  <c r="US101" i="1" s="1"/>
  <c r="TA100" i="1"/>
  <c r="US100" i="1" s="1"/>
  <c r="TB97" i="1"/>
  <c r="UT97" i="1" s="1"/>
  <c r="TO93" i="1"/>
  <c r="TC91" i="1"/>
  <c r="UU91" i="1" s="1"/>
  <c r="TC87" i="1"/>
  <c r="UU87" i="1" s="1"/>
  <c r="TA50" i="1"/>
  <c r="US50" i="1" s="1"/>
  <c r="TB50" i="1"/>
  <c r="UT50" i="1" s="1"/>
  <c r="TC50" i="1"/>
  <c r="UU50" i="1" s="1"/>
  <c r="C140" i="14"/>
  <c r="C128" i="10" s="1"/>
  <c r="TM53" i="1"/>
  <c r="TO49" i="1"/>
  <c r="TM49" i="1"/>
  <c r="C124" i="14"/>
  <c r="TM152" i="1"/>
  <c r="TO138" i="1"/>
  <c r="TC110" i="1"/>
  <c r="UU110" i="1" s="1"/>
  <c r="TO103" i="1"/>
  <c r="TO97" i="1"/>
  <c r="TB83" i="1"/>
  <c r="UT83" i="1" s="1"/>
  <c r="TM77" i="1"/>
  <c r="TM45" i="1"/>
  <c r="TA18" i="1"/>
  <c r="US18" i="1" s="1"/>
  <c r="TC18" i="1"/>
  <c r="UU18" i="1" s="1"/>
  <c r="TA58" i="1"/>
  <c r="US58" i="1" s="1"/>
  <c r="TA57" i="1"/>
  <c r="US57" i="1" s="1"/>
  <c r="TA47" i="1"/>
  <c r="US47" i="1" s="1"/>
  <c r="TO21" i="1"/>
  <c r="TO85" i="1"/>
  <c r="TO81" i="1"/>
  <c r="TM25" i="1"/>
  <c r="TM19" i="1"/>
  <c r="YF162" i="1"/>
  <c r="WY162" i="1" s="1"/>
  <c r="YF161" i="1"/>
  <c r="WY161" i="1" s="1"/>
  <c r="YF160" i="1"/>
  <c r="WY160" i="1" s="1"/>
  <c r="I125" i="13"/>
  <c r="D114" i="14"/>
  <c r="D102" i="10" s="1"/>
  <c r="D172" i="14"/>
  <c r="D160" i="10" s="1"/>
  <c r="O152" i="17"/>
  <c r="R152" i="17" s="1"/>
  <c r="W5" i="17"/>
  <c r="YF163" i="1"/>
  <c r="WY163" i="1" s="1"/>
  <c r="YF155" i="1"/>
  <c r="WY155" i="1" s="1"/>
  <c r="UU10" i="1"/>
  <c r="YF158" i="1"/>
  <c r="WY158" i="1" s="1"/>
  <c r="YF157" i="1"/>
  <c r="WY157" i="1" s="1"/>
  <c r="YF156" i="1"/>
  <c r="WY156" i="1" s="1"/>
  <c r="YF159" i="1"/>
  <c r="WY159" i="1" s="1"/>
  <c r="SW165" i="1"/>
  <c r="UR10" i="1"/>
  <c r="TA159" i="1"/>
  <c r="US159" i="1" s="1"/>
  <c r="TD159" i="1"/>
  <c r="UV159" i="1" s="1"/>
  <c r="TB159" i="1"/>
  <c r="UT159" i="1" s="1"/>
  <c r="SX152" i="1"/>
  <c r="SW5" i="1"/>
  <c r="TF5" i="1"/>
  <c r="TB152" i="1"/>
  <c r="UT152" i="1" s="1"/>
  <c r="TD152" i="1"/>
  <c r="UV152" i="1" s="1"/>
  <c r="TA152" i="1"/>
  <c r="US152" i="1" s="1"/>
  <c r="TA124" i="1"/>
  <c r="US124" i="1" s="1"/>
  <c r="TC124" i="1"/>
  <c r="UU124" i="1" s="1"/>
  <c r="TB124" i="1"/>
  <c r="UT124" i="1" s="1"/>
  <c r="TD124" i="1"/>
  <c r="UV124" i="1" s="1"/>
  <c r="UK10" i="1"/>
  <c r="UK12" i="1"/>
  <c r="UK14" i="1"/>
  <c r="UK16" i="1"/>
  <c r="UK18" i="1"/>
  <c r="UK20" i="1"/>
  <c r="UK22" i="1"/>
  <c r="UK24" i="1"/>
  <c r="UK26" i="1"/>
  <c r="UK28" i="1"/>
  <c r="UK30" i="1"/>
  <c r="UK32" i="1"/>
  <c r="UK34" i="1"/>
  <c r="UK36" i="1"/>
  <c r="UK38" i="1"/>
  <c r="UK40" i="1"/>
  <c r="UK42" i="1"/>
  <c r="UK44" i="1"/>
  <c r="UK46" i="1"/>
  <c r="UK48" i="1"/>
  <c r="UK50" i="1"/>
  <c r="UK52" i="1"/>
  <c r="UK54" i="1"/>
  <c r="UK56" i="1"/>
  <c r="UK58" i="1"/>
  <c r="UK60" i="1"/>
  <c r="UK62" i="1"/>
  <c r="UK64" i="1"/>
  <c r="UK66" i="1"/>
  <c r="UK68" i="1"/>
  <c r="UK70" i="1"/>
  <c r="UK72" i="1"/>
  <c r="UK74" i="1"/>
  <c r="UK76" i="1"/>
  <c r="UK78" i="1"/>
  <c r="UK80" i="1"/>
  <c r="UK82" i="1"/>
  <c r="UK84" i="1"/>
  <c r="UK86" i="1"/>
  <c r="UK88" i="1"/>
  <c r="UK90" i="1"/>
  <c r="UK92" i="1"/>
  <c r="UK94" i="1"/>
  <c r="UK96" i="1"/>
  <c r="UK98" i="1"/>
  <c r="UK100" i="1"/>
  <c r="UK102" i="1"/>
  <c r="UK104" i="1"/>
  <c r="UK106" i="1"/>
  <c r="UK108" i="1"/>
  <c r="UK112" i="1"/>
  <c r="UK114" i="1"/>
  <c r="UK116" i="1"/>
  <c r="UK118" i="1"/>
  <c r="UK120" i="1"/>
  <c r="UK122" i="1"/>
  <c r="UK124" i="1"/>
  <c r="UK126" i="1"/>
  <c r="UK128" i="1"/>
  <c r="UK130" i="1"/>
  <c r="UK132" i="1"/>
  <c r="UK134" i="1"/>
  <c r="UK136" i="1"/>
  <c r="UK138" i="1"/>
  <c r="UK140" i="1"/>
  <c r="UK142" i="1"/>
  <c r="UK144" i="1"/>
  <c r="UK146" i="1"/>
  <c r="UK148" i="1"/>
  <c r="UK150" i="1"/>
  <c r="UK152" i="1"/>
  <c r="UK154" i="1"/>
  <c r="UK156" i="1"/>
  <c r="UK158" i="1"/>
  <c r="UK160" i="1"/>
  <c r="UK162" i="1"/>
  <c r="UK11" i="1"/>
  <c r="UK13" i="1"/>
  <c r="UK15" i="1"/>
  <c r="UK17" i="1"/>
  <c r="UK19" i="1"/>
  <c r="UK21" i="1"/>
  <c r="UK23" i="1"/>
  <c r="UK25" i="1"/>
  <c r="UK27" i="1"/>
  <c r="UK29" i="1"/>
  <c r="UK31" i="1"/>
  <c r="UK33" i="1"/>
  <c r="UK35" i="1"/>
  <c r="UK37" i="1"/>
  <c r="UK39" i="1"/>
  <c r="UK41" i="1"/>
  <c r="UK43" i="1"/>
  <c r="UK45" i="1"/>
  <c r="UK47" i="1"/>
  <c r="UK49" i="1"/>
  <c r="UK51" i="1"/>
  <c r="UK53" i="1"/>
  <c r="UK55" i="1"/>
  <c r="UK57" i="1"/>
  <c r="UK59" i="1"/>
  <c r="UK61" i="1"/>
  <c r="UK63" i="1"/>
  <c r="UK65" i="1"/>
  <c r="UK67" i="1"/>
  <c r="UK69" i="1"/>
  <c r="UK71" i="1"/>
  <c r="UK73" i="1"/>
  <c r="UK75" i="1"/>
  <c r="UK77" i="1"/>
  <c r="UK79" i="1"/>
  <c r="UK81" i="1"/>
  <c r="UK83" i="1"/>
  <c r="UK85" i="1"/>
  <c r="UK87" i="1"/>
  <c r="UK89" i="1"/>
  <c r="UK91" i="1"/>
  <c r="UK93" i="1"/>
  <c r="UK95" i="1"/>
  <c r="UK97" i="1"/>
  <c r="UK99" i="1"/>
  <c r="UK101" i="1"/>
  <c r="UK103" i="1"/>
  <c r="UK105" i="1"/>
  <c r="UK107" i="1"/>
  <c r="UK109" i="1"/>
  <c r="UK111" i="1"/>
  <c r="UK113" i="1"/>
  <c r="UK115" i="1"/>
  <c r="UK117" i="1"/>
  <c r="UK119" i="1"/>
  <c r="UK121" i="1"/>
  <c r="UK123" i="1"/>
  <c r="UK125" i="1"/>
  <c r="UK127" i="1"/>
  <c r="UK129" i="1"/>
  <c r="UK131" i="1"/>
  <c r="UK133" i="1"/>
  <c r="UK135" i="1"/>
  <c r="UK137" i="1"/>
  <c r="UK139" i="1"/>
  <c r="UK141" i="1"/>
  <c r="UK143" i="1"/>
  <c r="UK145" i="1"/>
  <c r="UK147" i="1"/>
  <c r="UK149" i="1"/>
  <c r="UK151" i="1"/>
  <c r="UK153" i="1"/>
  <c r="UK155" i="1"/>
  <c r="UK157" i="1"/>
  <c r="UK159" i="1"/>
  <c r="UK161" i="1"/>
  <c r="UK163" i="1"/>
  <c r="YF134" i="1"/>
  <c r="WY134" i="1" s="1"/>
  <c r="YF89" i="1"/>
  <c r="WY89" i="1" s="1"/>
  <c r="YF145" i="1"/>
  <c r="WY145" i="1" s="1"/>
  <c r="YF129" i="1"/>
  <c r="WY129" i="1" s="1"/>
  <c r="YF152" i="1"/>
  <c r="WY152" i="1" s="1"/>
  <c r="YF136" i="1"/>
  <c r="WY136" i="1" s="1"/>
  <c r="YF104" i="1"/>
  <c r="WY104" i="1" s="1"/>
  <c r="YF44" i="1"/>
  <c r="WY44" i="1" s="1"/>
  <c r="YF66" i="1"/>
  <c r="WY66" i="1" s="1"/>
  <c r="YF39" i="1"/>
  <c r="WY39" i="1" s="1"/>
  <c r="YF61" i="1"/>
  <c r="WY61" i="1" s="1"/>
  <c r="YF30" i="1"/>
  <c r="WY30" i="1" s="1"/>
  <c r="YF106" i="1"/>
  <c r="WY106" i="1" s="1"/>
  <c r="YF80" i="1"/>
  <c r="WY80" i="1" s="1"/>
  <c r="YF63" i="1"/>
  <c r="WY63" i="1" s="1"/>
  <c r="YF73" i="1"/>
  <c r="WY73" i="1" s="1"/>
  <c r="YF31" i="1"/>
  <c r="WY31" i="1" s="1"/>
  <c r="YF151" i="1"/>
  <c r="WY151" i="1" s="1"/>
  <c r="YF135" i="1"/>
  <c r="WY135" i="1" s="1"/>
  <c r="YF102" i="1"/>
  <c r="WY102" i="1" s="1"/>
  <c r="YF115" i="1"/>
  <c r="WY115" i="1" s="1"/>
  <c r="YF77" i="1"/>
  <c r="WY77" i="1" s="1"/>
  <c r="YF40" i="1"/>
  <c r="WY40" i="1" s="1"/>
  <c r="YF74" i="1"/>
  <c r="WY74" i="1" s="1"/>
  <c r="YF20" i="1"/>
  <c r="WY20" i="1" s="1"/>
  <c r="YF50" i="1"/>
  <c r="WY50" i="1" s="1"/>
  <c r="YF26" i="1"/>
  <c r="WY26" i="1" s="1"/>
  <c r="YF56" i="1"/>
  <c r="WY56" i="1" s="1"/>
  <c r="YF138" i="1"/>
  <c r="WY138" i="1" s="1"/>
  <c r="YF98" i="1"/>
  <c r="WY98" i="1" s="1"/>
  <c r="YF67" i="1"/>
  <c r="WY67" i="1" s="1"/>
  <c r="YF107" i="1"/>
  <c r="WY107" i="1" s="1"/>
  <c r="YF117" i="1"/>
  <c r="WY117" i="1" s="1"/>
  <c r="YF122" i="1"/>
  <c r="WY122" i="1" s="1"/>
  <c r="YF86" i="1"/>
  <c r="WY86" i="1" s="1"/>
  <c r="YF110" i="1"/>
  <c r="WY110" i="1" s="1"/>
  <c r="SZ159" i="1"/>
  <c r="TJ5" i="1"/>
  <c r="SX10" i="1"/>
  <c r="SY5" i="1"/>
  <c r="TH5" i="1"/>
  <c r="VB15" i="1"/>
  <c r="TI5" i="1"/>
  <c r="VB10" i="1" s="1"/>
  <c r="TA10" i="1"/>
  <c r="SY165" i="1"/>
  <c r="TD10" i="1"/>
  <c r="TB10" i="1"/>
  <c r="TC159" i="1"/>
  <c r="UU159" i="1" s="1"/>
  <c r="TB156" i="1"/>
  <c r="UT156" i="1" s="1"/>
  <c r="TD156" i="1"/>
  <c r="UV156" i="1" s="1"/>
  <c r="TA156" i="1"/>
  <c r="US156" i="1" s="1"/>
  <c r="TA127" i="1"/>
  <c r="US127" i="1" s="1"/>
  <c r="TC127" i="1"/>
  <c r="UU127" i="1" s="1"/>
  <c r="TB127" i="1"/>
  <c r="UT127" i="1" s="1"/>
  <c r="TD127" i="1"/>
  <c r="UV127" i="1" s="1"/>
  <c r="SU160" i="1"/>
  <c r="UQ160" i="1" s="1"/>
  <c r="C247" i="14"/>
  <c r="WT160" i="1"/>
  <c r="SU156" i="1"/>
  <c r="UQ156" i="1" s="1"/>
  <c r="C243" i="14"/>
  <c r="C231" i="10" s="1"/>
  <c r="WT156" i="1"/>
  <c r="SU152" i="1"/>
  <c r="UQ152" i="1" s="1"/>
  <c r="C239" i="14"/>
  <c r="SU148" i="1"/>
  <c r="UQ148" i="1" s="1"/>
  <c r="C235" i="14"/>
  <c r="SU144" i="1"/>
  <c r="UQ144" i="1" s="1"/>
  <c r="C231" i="14"/>
  <c r="C219" i="10" s="1"/>
  <c r="SU140" i="1"/>
  <c r="UQ140" i="1" s="1"/>
  <c r="C227" i="14"/>
  <c r="TM140" i="1"/>
  <c r="SU136" i="1"/>
  <c r="UQ136" i="1" s="1"/>
  <c r="C223" i="14"/>
  <c r="TM136" i="1"/>
  <c r="SU132" i="1"/>
  <c r="UQ132" i="1" s="1"/>
  <c r="C219" i="14"/>
  <c r="U219" i="14" s="1"/>
  <c r="TM132" i="1"/>
  <c r="SU128" i="1"/>
  <c r="UQ128" i="1" s="1"/>
  <c r="C215" i="14"/>
  <c r="TM128" i="1"/>
  <c r="SU124" i="1"/>
  <c r="UQ124" i="1" s="1"/>
  <c r="C211" i="14"/>
  <c r="C199" i="10" s="1"/>
  <c r="TO124" i="1"/>
  <c r="C207" i="14"/>
  <c r="C195" i="10" s="1"/>
  <c r="SU120" i="1"/>
  <c r="UQ120" i="1" s="1"/>
  <c r="TQ120" i="1"/>
  <c r="TO120" i="1"/>
  <c r="SU116" i="1"/>
  <c r="UQ116" i="1" s="1"/>
  <c r="C203" i="14"/>
  <c r="TO116" i="1"/>
  <c r="SU112" i="1"/>
  <c r="UQ112" i="1" s="1"/>
  <c r="C199" i="14"/>
  <c r="TQ112" i="1"/>
  <c r="TO112" i="1"/>
  <c r="SU108" i="1"/>
  <c r="UQ108" i="1" s="1"/>
  <c r="C195" i="14"/>
  <c r="C183" i="10" s="1"/>
  <c r="TO108" i="1"/>
  <c r="C191" i="14"/>
  <c r="SU104" i="1"/>
  <c r="UQ104" i="1" s="1"/>
  <c r="TQ104" i="1"/>
  <c r="TZ104" i="1" s="1"/>
  <c r="TM104" i="1"/>
  <c r="C187" i="14"/>
  <c r="SU100" i="1"/>
  <c r="UQ100" i="1" s="1"/>
  <c r="TQ100" i="1"/>
  <c r="TZ100" i="1" s="1"/>
  <c r="TM100" i="1"/>
  <c r="SU96" i="1"/>
  <c r="UQ96" i="1" s="1"/>
  <c r="C183" i="14"/>
  <c r="TM96" i="1"/>
  <c r="SU92" i="1"/>
  <c r="UQ92" i="1" s="1"/>
  <c r="C179" i="14"/>
  <c r="UP92" i="1"/>
  <c r="TM92" i="1"/>
  <c r="SU88" i="1"/>
  <c r="UQ88" i="1" s="1"/>
  <c r="C175" i="14"/>
  <c r="TM88" i="1"/>
  <c r="SU84" i="1"/>
  <c r="UQ84" i="1" s="1"/>
  <c r="C171" i="14"/>
  <c r="UP84" i="1"/>
  <c r="TQ84" i="1"/>
  <c r="TM84" i="1"/>
  <c r="C167" i="14"/>
  <c r="SU80" i="1"/>
  <c r="UQ80" i="1" s="1"/>
  <c r="TM80" i="1"/>
  <c r="C163" i="14"/>
  <c r="C151" i="10" s="1"/>
  <c r="SU76" i="1"/>
  <c r="UQ76" i="1" s="1"/>
  <c r="TQ76" i="1"/>
  <c r="TZ76" i="1" s="1"/>
  <c r="SU72" i="1"/>
  <c r="UQ72" i="1" s="1"/>
  <c r="C159" i="14"/>
  <c r="SU68" i="1"/>
  <c r="UQ68" i="1" s="1"/>
  <c r="C155" i="14"/>
  <c r="SU64" i="1"/>
  <c r="UQ64" i="1" s="1"/>
  <c r="C151" i="14"/>
  <c r="SU60" i="1"/>
  <c r="UQ60" i="1" s="1"/>
  <c r="C147" i="14"/>
  <c r="UP60" i="1"/>
  <c r="SU56" i="1"/>
  <c r="UQ56" i="1" s="1"/>
  <c r="C143" i="14"/>
  <c r="C131" i="10" s="1"/>
  <c r="UP56" i="1"/>
  <c r="SU52" i="1"/>
  <c r="UQ52" i="1" s="1"/>
  <c r="C139" i="14"/>
  <c r="TM52" i="1"/>
  <c r="SU48" i="1"/>
  <c r="UQ48" i="1" s="1"/>
  <c r="C135" i="14"/>
  <c r="TM48" i="1"/>
  <c r="SU44" i="1"/>
  <c r="UQ44" i="1" s="1"/>
  <c r="C131" i="14"/>
  <c r="UP44" i="1"/>
  <c r="SU40" i="1"/>
  <c r="UQ40" i="1" s="1"/>
  <c r="C127" i="14"/>
  <c r="C115" i="10" s="1"/>
  <c r="UP40" i="1"/>
  <c r="SU36" i="1"/>
  <c r="UQ36" i="1" s="1"/>
  <c r="C123" i="14"/>
  <c r="TM36" i="1"/>
  <c r="SU32" i="1"/>
  <c r="UQ32" i="1" s="1"/>
  <c r="C119" i="14"/>
  <c r="TM32" i="1"/>
  <c r="SU28" i="1"/>
  <c r="UQ28" i="1" s="1"/>
  <c r="C115" i="14"/>
  <c r="TM28" i="1"/>
  <c r="SU24" i="1"/>
  <c r="UQ24" i="1" s="1"/>
  <c r="C111" i="14"/>
  <c r="C99" i="10" s="1"/>
  <c r="TM24" i="1"/>
  <c r="UP24" i="1"/>
  <c r="SU20" i="1"/>
  <c r="UQ20" i="1" s="1"/>
  <c r="C107" i="14"/>
  <c r="TM20" i="1"/>
  <c r="UP20" i="1"/>
  <c r="C103" i="14"/>
  <c r="TM16" i="1"/>
  <c r="SU16" i="1"/>
  <c r="UQ16" i="1" s="1"/>
  <c r="TQ16" i="1"/>
  <c r="TZ16" i="1" s="1"/>
  <c r="SU12" i="1"/>
  <c r="UQ12" i="1" s="1"/>
  <c r="C99" i="14"/>
  <c r="TM12" i="1"/>
  <c r="WT158" i="1"/>
  <c r="UP124" i="1"/>
  <c r="WT148" i="1"/>
  <c r="WT132" i="1"/>
  <c r="TO162" i="1"/>
  <c r="TB160" i="1"/>
  <c r="UT160" i="1" s="1"/>
  <c r="TM160" i="1"/>
  <c r="TO156" i="1"/>
  <c r="TB155" i="1"/>
  <c r="UT155" i="1" s="1"/>
  <c r="TD155" i="1"/>
  <c r="UV155" i="1" s="1"/>
  <c r="TO152" i="1"/>
  <c r="TB151" i="1"/>
  <c r="UT151" i="1" s="1"/>
  <c r="TD151" i="1"/>
  <c r="UV151" i="1" s="1"/>
  <c r="TO146" i="1"/>
  <c r="TO144" i="1"/>
  <c r="TO142" i="1"/>
  <c r="TO140" i="1"/>
  <c r="TA126" i="1"/>
  <c r="US126" i="1" s="1"/>
  <c r="TC126" i="1"/>
  <c r="UU126" i="1" s="1"/>
  <c r="TB126" i="1"/>
  <c r="UT126" i="1" s="1"/>
  <c r="TD126" i="1"/>
  <c r="UV126" i="1" s="1"/>
  <c r="TA123" i="1"/>
  <c r="US123" i="1" s="1"/>
  <c r="TC123" i="1"/>
  <c r="UU123" i="1" s="1"/>
  <c r="TB123" i="1"/>
  <c r="UT123" i="1" s="1"/>
  <c r="TD123" i="1"/>
  <c r="UV123" i="1" s="1"/>
  <c r="TM122" i="1"/>
  <c r="TA120" i="1"/>
  <c r="US120" i="1" s="1"/>
  <c r="TC120" i="1"/>
  <c r="UU120" i="1" s="1"/>
  <c r="TB120" i="1"/>
  <c r="UT120" i="1" s="1"/>
  <c r="TD120" i="1"/>
  <c r="UV120" i="1" s="1"/>
  <c r="TM119" i="1"/>
  <c r="TM116" i="1"/>
  <c r="TO100" i="1"/>
  <c r="TO99" i="1"/>
  <c r="TO92" i="1"/>
  <c r="TO52" i="1"/>
  <c r="TO48" i="1"/>
  <c r="TB12" i="1"/>
  <c r="UT12" i="1" s="1"/>
  <c r="TD12" i="1"/>
  <c r="UV12" i="1" s="1"/>
  <c r="TA12" i="1"/>
  <c r="US12" i="1" s="1"/>
  <c r="TC12" i="1"/>
  <c r="UU12" i="1" s="1"/>
  <c r="C250" i="14"/>
  <c r="SU163" i="1"/>
  <c r="UQ163" i="1" s="1"/>
  <c r="SU159" i="1"/>
  <c r="UQ159" i="1" s="1"/>
  <c r="C246" i="14"/>
  <c r="SU155" i="1"/>
  <c r="UQ155" i="1" s="1"/>
  <c r="C242" i="14"/>
  <c r="SU151" i="1"/>
  <c r="UQ151" i="1" s="1"/>
  <c r="C238" i="14"/>
  <c r="C226" i="10" s="1"/>
  <c r="C234" i="14"/>
  <c r="SU147" i="1"/>
  <c r="UQ147" i="1" s="1"/>
  <c r="SU143" i="1"/>
  <c r="UQ143" i="1" s="1"/>
  <c r="C230" i="14"/>
  <c r="SU139" i="1"/>
  <c r="UQ139" i="1" s="1"/>
  <c r="C226" i="14"/>
  <c r="TM139" i="1"/>
  <c r="SU135" i="1"/>
  <c r="UQ135" i="1" s="1"/>
  <c r="C222" i="14"/>
  <c r="C210" i="10" s="1"/>
  <c r="TM135" i="1"/>
  <c r="C218" i="14"/>
  <c r="U218" i="14" s="1"/>
  <c r="TM131" i="1"/>
  <c r="C214" i="14"/>
  <c r="C202" i="10" s="1"/>
  <c r="SU127" i="1"/>
  <c r="UQ127" i="1" s="1"/>
  <c r="UP127" i="1"/>
  <c r="TO127" i="1"/>
  <c r="SU123" i="1"/>
  <c r="UQ123" i="1" s="1"/>
  <c r="C210" i="14"/>
  <c r="TO123" i="1"/>
  <c r="SU119" i="1"/>
  <c r="UQ119" i="1" s="1"/>
  <c r="C206" i="14"/>
  <c r="C194" i="10" s="1"/>
  <c r="TQ119" i="1"/>
  <c r="TO119" i="1"/>
  <c r="SU115" i="1"/>
  <c r="UQ115" i="1" s="1"/>
  <c r="C202" i="14"/>
  <c r="TO115" i="1"/>
  <c r="SU111" i="1"/>
  <c r="UQ111" i="1" s="1"/>
  <c r="C198" i="14"/>
  <c r="TO111" i="1"/>
  <c r="SU107" i="1"/>
  <c r="UQ107" i="1" s="1"/>
  <c r="C194" i="14"/>
  <c r="TQ107" i="1"/>
  <c r="TO107" i="1"/>
  <c r="SU103" i="1"/>
  <c r="UQ103" i="1" s="1"/>
  <c r="C190" i="14"/>
  <c r="TM103" i="1"/>
  <c r="SU99" i="1"/>
  <c r="UQ99" i="1" s="1"/>
  <c r="C186" i="14"/>
  <c r="TQ99" i="1"/>
  <c r="TM99" i="1"/>
  <c r="SU95" i="1"/>
  <c r="UQ95" i="1" s="1"/>
  <c r="C182" i="14"/>
  <c r="C170" i="10" s="1"/>
  <c r="TM95" i="1"/>
  <c r="UP95" i="1"/>
  <c r="TO95" i="1"/>
  <c r="SU91" i="1"/>
  <c r="UQ91" i="1" s="1"/>
  <c r="C178" i="14"/>
  <c r="TM91" i="1"/>
  <c r="TO91" i="1"/>
  <c r="SU87" i="1"/>
  <c r="UQ87" i="1" s="1"/>
  <c r="C174" i="14"/>
  <c r="C162" i="10" s="1"/>
  <c r="TM87" i="1"/>
  <c r="UP87" i="1"/>
  <c r="TO87" i="1"/>
  <c r="SU83" i="1"/>
  <c r="UQ83" i="1" s="1"/>
  <c r="C170" i="14"/>
  <c r="TM83" i="1"/>
  <c r="TO83" i="1"/>
  <c r="SU79" i="1"/>
  <c r="UQ79" i="1" s="1"/>
  <c r="C166" i="14"/>
  <c r="TQ79" i="1"/>
  <c r="TO79" i="1"/>
  <c r="SU75" i="1"/>
  <c r="UQ75" i="1" s="1"/>
  <c r="C162" i="14"/>
  <c r="TQ75" i="1"/>
  <c r="SU71" i="1"/>
  <c r="UQ71" i="1" s="1"/>
  <c r="C158" i="14"/>
  <c r="UP71" i="1"/>
  <c r="SU67" i="1"/>
  <c r="UQ67" i="1" s="1"/>
  <c r="C154" i="14"/>
  <c r="UP67" i="1"/>
  <c r="SU63" i="1"/>
  <c r="UQ63" i="1" s="1"/>
  <c r="C150" i="14"/>
  <c r="C138" i="10" s="1"/>
  <c r="UP63" i="1"/>
  <c r="SU59" i="1"/>
  <c r="UQ59" i="1" s="1"/>
  <c r="C146" i="14"/>
  <c r="C134" i="10" s="1"/>
  <c r="TO59" i="1"/>
  <c r="SU55" i="1"/>
  <c r="UQ55" i="1" s="1"/>
  <c r="C142" i="14"/>
  <c r="SU51" i="1"/>
  <c r="UQ51" i="1" s="1"/>
  <c r="C138" i="14"/>
  <c r="UP51" i="1"/>
  <c r="TO51" i="1"/>
  <c r="SU47" i="1"/>
  <c r="UQ47" i="1" s="1"/>
  <c r="C134" i="14"/>
  <c r="C122" i="10" s="1"/>
  <c r="TQ47" i="1"/>
  <c r="TO47" i="1"/>
  <c r="SU43" i="1"/>
  <c r="UQ43" i="1" s="1"/>
  <c r="C130" i="14"/>
  <c r="SU39" i="1"/>
  <c r="UQ39" i="1" s="1"/>
  <c r="C126" i="14"/>
  <c r="SU35" i="1"/>
  <c r="UQ35" i="1" s="1"/>
  <c r="C122" i="14"/>
  <c r="SU31" i="1"/>
  <c r="UQ31" i="1" s="1"/>
  <c r="C118" i="14"/>
  <c r="UP31" i="1"/>
  <c r="SU27" i="1"/>
  <c r="UQ27" i="1" s="1"/>
  <c r="C114" i="14"/>
  <c r="TQ27" i="1"/>
  <c r="SU23" i="1"/>
  <c r="UQ23" i="1" s="1"/>
  <c r="C110" i="14"/>
  <c r="C98" i="10" s="1"/>
  <c r="SU19" i="1"/>
  <c r="UQ19" i="1" s="1"/>
  <c r="C106" i="14"/>
  <c r="C94" i="10" s="1"/>
  <c r="SU15" i="1"/>
  <c r="UQ15" i="1" s="1"/>
  <c r="C102" i="14"/>
  <c r="SU11" i="1"/>
  <c r="UQ11" i="1" s="1"/>
  <c r="C98" i="14"/>
  <c r="TO11" i="1"/>
  <c r="TQ11" i="1"/>
  <c r="WT152" i="1"/>
  <c r="WT147" i="1"/>
  <c r="WT142" i="1"/>
  <c r="WT136" i="1"/>
  <c r="WT131" i="1"/>
  <c r="TM163" i="1"/>
  <c r="TA162" i="1"/>
  <c r="US162" i="1" s="1"/>
  <c r="TC162" i="1"/>
  <c r="UU162" i="1" s="1"/>
  <c r="TD160" i="1"/>
  <c r="UV160" i="1" s="1"/>
  <c r="TO155" i="1"/>
  <c r="TB154" i="1"/>
  <c r="UT154" i="1" s="1"/>
  <c r="TD154" i="1"/>
  <c r="UV154" i="1" s="1"/>
  <c r="TO151" i="1"/>
  <c r="TB150" i="1"/>
  <c r="UT150" i="1" s="1"/>
  <c r="TD150" i="1"/>
  <c r="UV150" i="1" s="1"/>
  <c r="TM144" i="1"/>
  <c r="TA125" i="1"/>
  <c r="US125" i="1" s="1"/>
  <c r="TC125" i="1"/>
  <c r="UU125" i="1" s="1"/>
  <c r="TB125" i="1"/>
  <c r="UT125" i="1" s="1"/>
  <c r="TD125" i="1"/>
  <c r="UV125" i="1" s="1"/>
  <c r="TA122" i="1"/>
  <c r="US122" i="1" s="1"/>
  <c r="TC122" i="1"/>
  <c r="UU122" i="1" s="1"/>
  <c r="TB122" i="1"/>
  <c r="UT122" i="1" s="1"/>
  <c r="TD122" i="1"/>
  <c r="UV122" i="1" s="1"/>
  <c r="TA119" i="1"/>
  <c r="US119" i="1" s="1"/>
  <c r="TC119" i="1"/>
  <c r="UU119" i="1" s="1"/>
  <c r="TB119" i="1"/>
  <c r="UT119" i="1" s="1"/>
  <c r="TD119" i="1"/>
  <c r="UV119" i="1" s="1"/>
  <c r="TM118" i="1"/>
  <c r="TM112" i="1"/>
  <c r="TM107" i="1"/>
  <c r="TO96" i="1"/>
  <c r="TO80" i="1"/>
  <c r="TM51" i="1"/>
  <c r="TM47" i="1"/>
  <c r="SU10" i="1"/>
  <c r="C97" i="14"/>
  <c r="C85" i="10" s="1"/>
  <c r="SU162" i="1"/>
  <c r="UQ162" i="1" s="1"/>
  <c r="C249" i="14"/>
  <c r="C237" i="10" s="1"/>
  <c r="SU158" i="1"/>
  <c r="UQ158" i="1" s="1"/>
  <c r="C245" i="14"/>
  <c r="C233" i="10" s="1"/>
  <c r="SU154" i="1"/>
  <c r="UQ154" i="1" s="1"/>
  <c r="C241" i="14"/>
  <c r="U241" i="14" s="1"/>
  <c r="SU150" i="1"/>
  <c r="UQ150" i="1" s="1"/>
  <c r="C237" i="14"/>
  <c r="SU146" i="1"/>
  <c r="UQ146" i="1" s="1"/>
  <c r="C233" i="14"/>
  <c r="SU142" i="1"/>
  <c r="UQ142" i="1" s="1"/>
  <c r="C229" i="14"/>
  <c r="SU138" i="1"/>
  <c r="UQ138" i="1" s="1"/>
  <c r="C225" i="14"/>
  <c r="TM138" i="1"/>
  <c r="SU134" i="1"/>
  <c r="UQ134" i="1" s="1"/>
  <c r="C221" i="14"/>
  <c r="TM134" i="1"/>
  <c r="SU130" i="1"/>
  <c r="UQ130" i="1" s="1"/>
  <c r="C217" i="14"/>
  <c r="C205" i="10" s="1"/>
  <c r="TM130" i="1"/>
  <c r="SU126" i="1"/>
  <c r="UQ126" i="1" s="1"/>
  <c r="C213" i="14"/>
  <c r="TO126" i="1"/>
  <c r="SU122" i="1"/>
  <c r="UQ122" i="1" s="1"/>
  <c r="C209" i="14"/>
  <c r="UP122" i="1"/>
  <c r="TO122" i="1"/>
  <c r="SU118" i="1"/>
  <c r="UQ118" i="1" s="1"/>
  <c r="C205" i="14"/>
  <c r="TO118" i="1"/>
  <c r="SU114" i="1"/>
  <c r="UQ114" i="1" s="1"/>
  <c r="C201" i="14"/>
  <c r="TQ114" i="1"/>
  <c r="TO114" i="1"/>
  <c r="SU110" i="1"/>
  <c r="UQ110" i="1" s="1"/>
  <c r="C197" i="14"/>
  <c r="C185" i="10" s="1"/>
  <c r="TO110" i="1"/>
  <c r="SU106" i="1"/>
  <c r="UQ106" i="1" s="1"/>
  <c r="C193" i="14"/>
  <c r="UP106" i="1"/>
  <c r="TQ106" i="1"/>
  <c r="TM106" i="1"/>
  <c r="SU102" i="1"/>
  <c r="UQ102" i="1" s="1"/>
  <c r="C189" i="14"/>
  <c r="TQ102" i="1"/>
  <c r="TM102" i="1"/>
  <c r="SU98" i="1"/>
  <c r="UQ98" i="1" s="1"/>
  <c r="C185" i="14"/>
  <c r="TM98" i="1"/>
  <c r="SU94" i="1"/>
  <c r="UQ94" i="1" s="1"/>
  <c r="C181" i="14"/>
  <c r="C169" i="10" s="1"/>
  <c r="UP94" i="1"/>
  <c r="TO94" i="1"/>
  <c r="SU90" i="1"/>
  <c r="UQ90" i="1" s="1"/>
  <c r="C177" i="14"/>
  <c r="UP90" i="1"/>
  <c r="TO90" i="1"/>
  <c r="SU86" i="1"/>
  <c r="UQ86" i="1" s="1"/>
  <c r="C173" i="14"/>
  <c r="TO86" i="1"/>
  <c r="SU82" i="1"/>
  <c r="UQ82" i="1" s="1"/>
  <c r="C169" i="14"/>
  <c r="TQ82" i="1"/>
  <c r="TO82" i="1"/>
  <c r="SU78" i="1"/>
  <c r="UQ78" i="1" s="1"/>
  <c r="C165" i="14"/>
  <c r="UP78" i="1"/>
  <c r="TQ78" i="1"/>
  <c r="TM78" i="1"/>
  <c r="SU74" i="1"/>
  <c r="UQ74" i="1" s="1"/>
  <c r="C161" i="14"/>
  <c r="SU70" i="1"/>
  <c r="UQ70" i="1" s="1"/>
  <c r="C157" i="14"/>
  <c r="SU66" i="1"/>
  <c r="UQ66" i="1" s="1"/>
  <c r="C153" i="14"/>
  <c r="SU62" i="1"/>
  <c r="UQ62" i="1" s="1"/>
  <c r="C149" i="14"/>
  <c r="UP62" i="1"/>
  <c r="SU58" i="1"/>
  <c r="UQ58" i="1" s="1"/>
  <c r="C145" i="14"/>
  <c r="C133" i="10" s="1"/>
  <c r="UP58" i="1"/>
  <c r="TM58" i="1"/>
  <c r="SU54" i="1"/>
  <c r="UQ54" i="1" s="1"/>
  <c r="C141" i="14"/>
  <c r="UP54" i="1"/>
  <c r="SU50" i="1"/>
  <c r="UQ50" i="1" s="1"/>
  <c r="C137" i="14"/>
  <c r="C125" i="10" s="1"/>
  <c r="TM50" i="1"/>
  <c r="SU46" i="1"/>
  <c r="UQ46" i="1" s="1"/>
  <c r="C133" i="14"/>
  <c r="UP46" i="1"/>
  <c r="TQ46" i="1"/>
  <c r="TM46" i="1"/>
  <c r="SU42" i="1"/>
  <c r="UQ42" i="1" s="1"/>
  <c r="C129" i="14"/>
  <c r="UP42" i="1"/>
  <c r="SU38" i="1"/>
  <c r="UQ38" i="1" s="1"/>
  <c r="C125" i="14"/>
  <c r="TO38" i="1"/>
  <c r="UP38" i="1"/>
  <c r="SU34" i="1"/>
  <c r="UQ34" i="1" s="1"/>
  <c r="C121" i="14"/>
  <c r="TQ34" i="1"/>
  <c r="TM34" i="1"/>
  <c r="SU30" i="1"/>
  <c r="UQ30" i="1" s="1"/>
  <c r="C117" i="14"/>
  <c r="TM30" i="1"/>
  <c r="SU26" i="1"/>
  <c r="UQ26" i="1" s="1"/>
  <c r="C113" i="14"/>
  <c r="UP26" i="1"/>
  <c r="TQ26" i="1"/>
  <c r="SU22" i="1"/>
  <c r="UQ22" i="1" s="1"/>
  <c r="C109" i="14"/>
  <c r="UP22" i="1"/>
  <c r="TM22" i="1"/>
  <c r="SU18" i="1"/>
  <c r="UQ18" i="1" s="1"/>
  <c r="C105" i="14"/>
  <c r="TQ18" i="1"/>
  <c r="TM18" i="1"/>
  <c r="C101" i="14"/>
  <c r="C89" i="10" s="1"/>
  <c r="SU14" i="1"/>
  <c r="UQ14" i="1" s="1"/>
  <c r="TM14" i="1"/>
  <c r="WT146" i="1"/>
  <c r="WT140" i="1"/>
  <c r="WT130" i="1"/>
  <c r="WT124" i="1"/>
  <c r="TM162" i="1"/>
  <c r="TO160" i="1"/>
  <c r="TO154" i="1"/>
  <c r="TB153" i="1"/>
  <c r="UT153" i="1" s="1"/>
  <c r="TD153" i="1"/>
  <c r="UV153" i="1" s="1"/>
  <c r="TO150" i="1"/>
  <c r="TO147" i="1"/>
  <c r="TO143" i="1"/>
  <c r="TO128" i="1"/>
  <c r="TM127" i="1"/>
  <c r="TM124" i="1"/>
  <c r="TA121" i="1"/>
  <c r="US121" i="1" s="1"/>
  <c r="TC121" i="1"/>
  <c r="UU121" i="1" s="1"/>
  <c r="TB121" i="1"/>
  <c r="UT121" i="1" s="1"/>
  <c r="TD121" i="1"/>
  <c r="UV121" i="1" s="1"/>
  <c r="TA118" i="1"/>
  <c r="US118" i="1" s="1"/>
  <c r="TC118" i="1"/>
  <c r="UU118" i="1" s="1"/>
  <c r="TB118" i="1"/>
  <c r="UT118" i="1" s="1"/>
  <c r="TD118" i="1"/>
  <c r="UV118" i="1" s="1"/>
  <c r="TM114" i="1"/>
  <c r="TM108" i="1"/>
  <c r="TO106" i="1"/>
  <c r="TO98" i="1"/>
  <c r="TM94" i="1"/>
  <c r="TO84" i="1"/>
  <c r="TM79" i="1"/>
  <c r="TO76" i="1"/>
  <c r="TO75" i="1"/>
  <c r="TO74" i="1"/>
  <c r="TO73" i="1"/>
  <c r="TO72" i="1"/>
  <c r="TO71" i="1"/>
  <c r="TO70" i="1"/>
  <c r="TO69" i="1"/>
  <c r="TO68" i="1"/>
  <c r="TO67" i="1"/>
  <c r="TO66" i="1"/>
  <c r="TO65" i="1"/>
  <c r="TO64" i="1"/>
  <c r="TO63" i="1"/>
  <c r="TO62" i="1"/>
  <c r="TO61" i="1"/>
  <c r="TO60" i="1"/>
  <c r="TO56" i="1"/>
  <c r="TO55" i="1"/>
  <c r="TO54" i="1"/>
  <c r="TO44" i="1"/>
  <c r="TO43" i="1"/>
  <c r="TO42" i="1"/>
  <c r="TO41" i="1"/>
  <c r="TO40" i="1"/>
  <c r="TO39" i="1"/>
  <c r="TA37" i="1"/>
  <c r="US37" i="1" s="1"/>
  <c r="TD37" i="1"/>
  <c r="UV37" i="1" s="1"/>
  <c r="TO37" i="1"/>
  <c r="TB36" i="1"/>
  <c r="UT36" i="1" s="1"/>
  <c r="TD36" i="1"/>
  <c r="UV36" i="1" s="1"/>
  <c r="TA36" i="1"/>
  <c r="US36" i="1" s="1"/>
  <c r="TO35" i="1"/>
  <c r="TB34" i="1"/>
  <c r="UT34" i="1" s="1"/>
  <c r="TD34" i="1"/>
  <c r="UV34" i="1" s="1"/>
  <c r="TA34" i="1"/>
  <c r="US34" i="1" s="1"/>
  <c r="TO33" i="1"/>
  <c r="TB32" i="1"/>
  <c r="UT32" i="1" s="1"/>
  <c r="TD32" i="1"/>
  <c r="UV32" i="1" s="1"/>
  <c r="TA32" i="1"/>
  <c r="US32" i="1" s="1"/>
  <c r="TO31" i="1"/>
  <c r="TB30" i="1"/>
  <c r="UT30" i="1" s="1"/>
  <c r="TD30" i="1"/>
  <c r="UV30" i="1" s="1"/>
  <c r="TA30" i="1"/>
  <c r="US30" i="1" s="1"/>
  <c r="TO29" i="1"/>
  <c r="TB28" i="1"/>
  <c r="UT28" i="1" s="1"/>
  <c r="TD28" i="1"/>
  <c r="UV28" i="1" s="1"/>
  <c r="TA28" i="1"/>
  <c r="US28" i="1" s="1"/>
  <c r="TO27" i="1"/>
  <c r="TB24" i="1"/>
  <c r="UT24" i="1" s="1"/>
  <c r="TD24" i="1"/>
  <c r="UV24" i="1" s="1"/>
  <c r="TA24" i="1"/>
  <c r="US24" i="1" s="1"/>
  <c r="TM21" i="1"/>
  <c r="TO17" i="1"/>
  <c r="TM15" i="1"/>
  <c r="SU37" i="1"/>
  <c r="UQ37" i="1" s="1"/>
  <c r="TD117" i="1"/>
  <c r="UV117" i="1" s="1"/>
  <c r="TD116" i="1"/>
  <c r="UV116" i="1" s="1"/>
  <c r="TD115" i="1"/>
  <c r="UV115" i="1" s="1"/>
  <c r="TD114" i="1"/>
  <c r="UV114" i="1" s="1"/>
  <c r="TD113" i="1"/>
  <c r="UV113" i="1" s="1"/>
  <c r="TD112" i="1"/>
  <c r="UV112" i="1" s="1"/>
  <c r="TD111" i="1"/>
  <c r="UV111" i="1" s="1"/>
  <c r="TD110" i="1"/>
  <c r="UV110" i="1" s="1"/>
  <c r="TD109" i="1"/>
  <c r="UV109" i="1" s="1"/>
  <c r="TD108" i="1"/>
  <c r="UV108" i="1" s="1"/>
  <c r="TD107" i="1"/>
  <c r="UV107" i="1" s="1"/>
  <c r="TM76" i="1"/>
  <c r="TA75" i="1"/>
  <c r="US75" i="1" s="1"/>
  <c r="TC75" i="1"/>
  <c r="UU75" i="1" s="1"/>
  <c r="TB75" i="1"/>
  <c r="UT75" i="1" s="1"/>
  <c r="TD75" i="1"/>
  <c r="UV75" i="1" s="1"/>
  <c r="TM75" i="1"/>
  <c r="TA74" i="1"/>
  <c r="US74" i="1" s="1"/>
  <c r="TC74" i="1"/>
  <c r="UU74" i="1" s="1"/>
  <c r="TB74" i="1"/>
  <c r="UT74" i="1" s="1"/>
  <c r="TD74" i="1"/>
  <c r="UV74" i="1" s="1"/>
  <c r="TM74" i="1"/>
  <c r="TA73" i="1"/>
  <c r="US73" i="1" s="1"/>
  <c r="TC73" i="1"/>
  <c r="UU73" i="1" s="1"/>
  <c r="TB73" i="1"/>
  <c r="UT73" i="1" s="1"/>
  <c r="TD73" i="1"/>
  <c r="UV73" i="1" s="1"/>
  <c r="TM73" i="1"/>
  <c r="TA72" i="1"/>
  <c r="US72" i="1" s="1"/>
  <c r="TC72" i="1"/>
  <c r="UU72" i="1" s="1"/>
  <c r="TB72" i="1"/>
  <c r="UT72" i="1" s="1"/>
  <c r="TD72" i="1"/>
  <c r="UV72" i="1" s="1"/>
  <c r="TM72" i="1"/>
  <c r="TA71" i="1"/>
  <c r="US71" i="1" s="1"/>
  <c r="TC71" i="1"/>
  <c r="UU71" i="1" s="1"/>
  <c r="TB71" i="1"/>
  <c r="UT71" i="1" s="1"/>
  <c r="TD71" i="1"/>
  <c r="UV71" i="1" s="1"/>
  <c r="TM71" i="1"/>
  <c r="TA70" i="1"/>
  <c r="US70" i="1" s="1"/>
  <c r="TC70" i="1"/>
  <c r="UU70" i="1" s="1"/>
  <c r="TB70" i="1"/>
  <c r="UT70" i="1" s="1"/>
  <c r="TD70" i="1"/>
  <c r="UV70" i="1" s="1"/>
  <c r="TM70" i="1"/>
  <c r="TA69" i="1"/>
  <c r="US69" i="1" s="1"/>
  <c r="TC69" i="1"/>
  <c r="UU69" i="1" s="1"/>
  <c r="TB69" i="1"/>
  <c r="UT69" i="1" s="1"/>
  <c r="TD69" i="1"/>
  <c r="UV69" i="1" s="1"/>
  <c r="TM69" i="1"/>
  <c r="TA68" i="1"/>
  <c r="US68" i="1" s="1"/>
  <c r="TC68" i="1"/>
  <c r="UU68" i="1" s="1"/>
  <c r="TB68" i="1"/>
  <c r="UT68" i="1" s="1"/>
  <c r="TD68" i="1"/>
  <c r="UV68" i="1" s="1"/>
  <c r="TM68" i="1"/>
  <c r="TA67" i="1"/>
  <c r="US67" i="1" s="1"/>
  <c r="TC67" i="1"/>
  <c r="UU67" i="1" s="1"/>
  <c r="TB67" i="1"/>
  <c r="UT67" i="1" s="1"/>
  <c r="TD67" i="1"/>
  <c r="UV67" i="1" s="1"/>
  <c r="TM67" i="1"/>
  <c r="TA66" i="1"/>
  <c r="US66" i="1" s="1"/>
  <c r="TC66" i="1"/>
  <c r="UU66" i="1" s="1"/>
  <c r="TB66" i="1"/>
  <c r="UT66" i="1" s="1"/>
  <c r="TD66" i="1"/>
  <c r="UV66" i="1" s="1"/>
  <c r="TM66" i="1"/>
  <c r="TA65" i="1"/>
  <c r="US65" i="1" s="1"/>
  <c r="TC65" i="1"/>
  <c r="UU65" i="1" s="1"/>
  <c r="TB65" i="1"/>
  <c r="UT65" i="1" s="1"/>
  <c r="TD65" i="1"/>
  <c r="UV65" i="1" s="1"/>
  <c r="TM65" i="1"/>
  <c r="TA64" i="1"/>
  <c r="US64" i="1" s="1"/>
  <c r="TC64" i="1"/>
  <c r="UU64" i="1" s="1"/>
  <c r="TB64" i="1"/>
  <c r="UT64" i="1" s="1"/>
  <c r="TD64" i="1"/>
  <c r="UV64" i="1" s="1"/>
  <c r="TM64" i="1"/>
  <c r="TA63" i="1"/>
  <c r="US63" i="1" s="1"/>
  <c r="TC63" i="1"/>
  <c r="UU63" i="1" s="1"/>
  <c r="TB63" i="1"/>
  <c r="UT63" i="1" s="1"/>
  <c r="TD63" i="1"/>
  <c r="UV63" i="1" s="1"/>
  <c r="TM63" i="1"/>
  <c r="TA62" i="1"/>
  <c r="US62" i="1" s="1"/>
  <c r="TC62" i="1"/>
  <c r="UU62" i="1" s="1"/>
  <c r="TB62" i="1"/>
  <c r="UT62" i="1" s="1"/>
  <c r="TD62" i="1"/>
  <c r="UV62" i="1" s="1"/>
  <c r="TM62" i="1"/>
  <c r="TA61" i="1"/>
  <c r="US61" i="1" s="1"/>
  <c r="TC61" i="1"/>
  <c r="UU61" i="1" s="1"/>
  <c r="TB61" i="1"/>
  <c r="UT61" i="1" s="1"/>
  <c r="TD61" i="1"/>
  <c r="UV61" i="1" s="1"/>
  <c r="TM61" i="1"/>
  <c r="TA60" i="1"/>
  <c r="US60" i="1" s="1"/>
  <c r="TC60" i="1"/>
  <c r="UU60" i="1" s="1"/>
  <c r="TB60" i="1"/>
  <c r="UT60" i="1" s="1"/>
  <c r="TD60" i="1"/>
  <c r="UV60" i="1" s="1"/>
  <c r="TM60" i="1"/>
  <c r="TA59" i="1"/>
  <c r="US59" i="1" s="1"/>
  <c r="TC59" i="1"/>
  <c r="UU59" i="1" s="1"/>
  <c r="TB59" i="1"/>
  <c r="UT59" i="1" s="1"/>
  <c r="TD59" i="1"/>
  <c r="UV59" i="1" s="1"/>
  <c r="TM56" i="1"/>
  <c r="TB55" i="1"/>
  <c r="UT55" i="1" s="1"/>
  <c r="TD55" i="1"/>
  <c r="UV55" i="1" s="1"/>
  <c r="TA55" i="1"/>
  <c r="US55" i="1" s="1"/>
  <c r="TC55" i="1"/>
  <c r="UU55" i="1" s="1"/>
  <c r="TM55" i="1"/>
  <c r="TB54" i="1"/>
  <c r="UT54" i="1" s="1"/>
  <c r="TD54" i="1"/>
  <c r="UV54" i="1" s="1"/>
  <c r="TA54" i="1"/>
  <c r="US54" i="1" s="1"/>
  <c r="TC54" i="1"/>
  <c r="UU54" i="1" s="1"/>
  <c r="TM54" i="1"/>
  <c r="TO53" i="1"/>
  <c r="TO45" i="1"/>
  <c r="TM44" i="1"/>
  <c r="TA43" i="1"/>
  <c r="US43" i="1" s="1"/>
  <c r="TC43" i="1"/>
  <c r="UU43" i="1" s="1"/>
  <c r="TB43" i="1"/>
  <c r="UT43" i="1" s="1"/>
  <c r="TD43" i="1"/>
  <c r="UV43" i="1" s="1"/>
  <c r="TM43" i="1"/>
  <c r="TA42" i="1"/>
  <c r="US42" i="1" s="1"/>
  <c r="TC42" i="1"/>
  <c r="UU42" i="1" s="1"/>
  <c r="TB42" i="1"/>
  <c r="UT42" i="1" s="1"/>
  <c r="TD42" i="1"/>
  <c r="UV42" i="1" s="1"/>
  <c r="TM42" i="1"/>
  <c r="TA41" i="1"/>
  <c r="US41" i="1" s="1"/>
  <c r="TC41" i="1"/>
  <c r="UU41" i="1" s="1"/>
  <c r="TB41" i="1"/>
  <c r="UT41" i="1" s="1"/>
  <c r="TD41" i="1"/>
  <c r="UV41" i="1" s="1"/>
  <c r="TM41" i="1"/>
  <c r="TA40" i="1"/>
  <c r="US40" i="1" s="1"/>
  <c r="TC40" i="1"/>
  <c r="UU40" i="1" s="1"/>
  <c r="TB40" i="1"/>
  <c r="UT40" i="1" s="1"/>
  <c r="TD40" i="1"/>
  <c r="UV40" i="1" s="1"/>
  <c r="TM40" i="1"/>
  <c r="TA39" i="1"/>
  <c r="US39" i="1" s="1"/>
  <c r="TC39" i="1"/>
  <c r="UU39" i="1" s="1"/>
  <c r="TB39" i="1"/>
  <c r="UT39" i="1" s="1"/>
  <c r="TD39" i="1"/>
  <c r="UV39" i="1" s="1"/>
  <c r="TM39" i="1"/>
  <c r="TA38" i="1"/>
  <c r="US38" i="1" s="1"/>
  <c r="TC38" i="1"/>
  <c r="UU38" i="1" s="1"/>
  <c r="TB38" i="1"/>
  <c r="UT38" i="1" s="1"/>
  <c r="TD38" i="1"/>
  <c r="UV38" i="1" s="1"/>
  <c r="TM38" i="1"/>
  <c r="TM37" i="1"/>
  <c r="TM35" i="1"/>
  <c r="TM33" i="1"/>
  <c r="TM31" i="1"/>
  <c r="TM29" i="1"/>
  <c r="TM27" i="1"/>
  <c r="TB20" i="1"/>
  <c r="UT20" i="1" s="1"/>
  <c r="TD20" i="1"/>
  <c r="UV20" i="1" s="1"/>
  <c r="TA20" i="1"/>
  <c r="US20" i="1" s="1"/>
  <c r="TM17" i="1"/>
  <c r="TO13" i="1"/>
  <c r="C248" i="14"/>
  <c r="C244" i="14"/>
  <c r="C240" i="14"/>
  <c r="C236" i="14"/>
  <c r="C232" i="14"/>
  <c r="C228" i="14"/>
  <c r="C224" i="14"/>
  <c r="C220" i="14"/>
  <c r="C208" i="10" s="1"/>
  <c r="C216" i="14"/>
  <c r="C204" i="10" s="1"/>
  <c r="C212" i="14"/>
  <c r="C208" i="14"/>
  <c r="C204" i="14"/>
  <c r="C200" i="14"/>
  <c r="C196" i="14"/>
  <c r="C192" i="14"/>
  <c r="C180" i="10" s="1"/>
  <c r="C188" i="14"/>
  <c r="C184" i="14"/>
  <c r="C180" i="14"/>
  <c r="SU93" i="1"/>
  <c r="UQ93" i="1" s="1"/>
  <c r="C176" i="14"/>
  <c r="SU89" i="1"/>
  <c r="UQ89" i="1" s="1"/>
  <c r="C172" i="14"/>
  <c r="C160" i="10" s="1"/>
  <c r="C168" i="14"/>
  <c r="C164" i="14"/>
  <c r="C160" i="14"/>
  <c r="C156" i="14"/>
  <c r="C152" i="14"/>
  <c r="C140" i="10" s="1"/>
  <c r="C148" i="14"/>
  <c r="SU61" i="1"/>
  <c r="UQ61" i="1" s="1"/>
  <c r="C144" i="14"/>
  <c r="SU57" i="1"/>
  <c r="UQ57" i="1" s="1"/>
  <c r="C136" i="14"/>
  <c r="SU49" i="1"/>
  <c r="UQ49" i="1" s="1"/>
  <c r="C132" i="14"/>
  <c r="SU45" i="1"/>
  <c r="UQ45" i="1" s="1"/>
  <c r="C128" i="14"/>
  <c r="C116" i="10" s="1"/>
  <c r="SU41" i="1"/>
  <c r="UQ41" i="1" s="1"/>
  <c r="C120" i="14"/>
  <c r="C112" i="14"/>
  <c r="C100" i="10" s="1"/>
  <c r="SU25" i="1"/>
  <c r="UQ25" i="1" s="1"/>
  <c r="C108" i="14"/>
  <c r="C96" i="10" s="1"/>
  <c r="SU21" i="1"/>
  <c r="UQ21" i="1" s="1"/>
  <c r="C104" i="14"/>
  <c r="C92" i="10" s="1"/>
  <c r="C100" i="14"/>
  <c r="C88" i="10" s="1"/>
  <c r="SU13" i="1"/>
  <c r="UQ13" i="1" s="1"/>
  <c r="WT153" i="1"/>
  <c r="WT149" i="1"/>
  <c r="WT145" i="1"/>
  <c r="WT141" i="1"/>
  <c r="WT137" i="1"/>
  <c r="WT133" i="1"/>
  <c r="WT129" i="1"/>
  <c r="WT125" i="1"/>
  <c r="WT121" i="1"/>
  <c r="UP121" i="1"/>
  <c r="TD149" i="1"/>
  <c r="UV149" i="1" s="1"/>
  <c r="TD147" i="1"/>
  <c r="UV147" i="1" s="1"/>
  <c r="TD146" i="1"/>
  <c r="UV146" i="1" s="1"/>
  <c r="TD145" i="1"/>
  <c r="UV145" i="1" s="1"/>
  <c r="TD144" i="1"/>
  <c r="UV144" i="1" s="1"/>
  <c r="TD143" i="1"/>
  <c r="UV143" i="1" s="1"/>
  <c r="TD142" i="1"/>
  <c r="UV142" i="1" s="1"/>
  <c r="TD106" i="1"/>
  <c r="UV106" i="1" s="1"/>
  <c r="TD105" i="1"/>
  <c r="UV105" i="1" s="1"/>
  <c r="TD104" i="1"/>
  <c r="UV104" i="1" s="1"/>
  <c r="TD103" i="1"/>
  <c r="UV103" i="1" s="1"/>
  <c r="TD102" i="1"/>
  <c r="UV102" i="1" s="1"/>
  <c r="TD101" i="1"/>
  <c r="UV101" i="1" s="1"/>
  <c r="TD100" i="1"/>
  <c r="UV100" i="1" s="1"/>
  <c r="TD99" i="1"/>
  <c r="UV99" i="1" s="1"/>
  <c r="TC37" i="1"/>
  <c r="UU37" i="1" s="1"/>
  <c r="TC36" i="1"/>
  <c r="UU36" i="1" s="1"/>
  <c r="TC34" i="1"/>
  <c r="UU34" i="1" s="1"/>
  <c r="TC32" i="1"/>
  <c r="UU32" i="1" s="1"/>
  <c r="TC30" i="1"/>
  <c r="UU30" i="1" s="1"/>
  <c r="TC28" i="1"/>
  <c r="UU28" i="1" s="1"/>
  <c r="TO25" i="1"/>
  <c r="TM23" i="1"/>
  <c r="TB16" i="1"/>
  <c r="UT16" i="1" s="1"/>
  <c r="TD16" i="1"/>
  <c r="UV16" i="1" s="1"/>
  <c r="TA16" i="1"/>
  <c r="US16" i="1" s="1"/>
  <c r="TM13" i="1"/>
  <c r="TM11" i="1"/>
  <c r="TO148" i="1"/>
  <c r="TO36" i="1"/>
  <c r="TB35" i="1"/>
  <c r="UT35" i="1" s="1"/>
  <c r="TD35" i="1"/>
  <c r="UV35" i="1" s="1"/>
  <c r="TO32" i="1"/>
  <c r="TB31" i="1"/>
  <c r="UT31" i="1" s="1"/>
  <c r="TD31" i="1"/>
  <c r="UV31" i="1" s="1"/>
  <c r="TO28" i="1"/>
  <c r="TB27" i="1"/>
  <c r="UT27" i="1" s="1"/>
  <c r="TD27" i="1"/>
  <c r="UV27" i="1" s="1"/>
  <c r="TO24" i="1"/>
  <c r="TB23" i="1"/>
  <c r="UT23" i="1" s="1"/>
  <c r="TD23" i="1"/>
  <c r="UV23" i="1" s="1"/>
  <c r="TO20" i="1"/>
  <c r="TB19" i="1"/>
  <c r="UT19" i="1" s="1"/>
  <c r="TD19" i="1"/>
  <c r="UV19" i="1" s="1"/>
  <c r="TO16" i="1"/>
  <c r="TB15" i="1"/>
  <c r="UT15" i="1" s="1"/>
  <c r="TD15" i="1"/>
  <c r="UV15" i="1" s="1"/>
  <c r="TO12" i="1"/>
  <c r="TB11" i="1"/>
  <c r="UT11" i="1" s="1"/>
  <c r="TD11" i="1"/>
  <c r="UV11" i="1" s="1"/>
  <c r="TB26" i="1"/>
  <c r="UT26" i="1" s="1"/>
  <c r="TD26" i="1"/>
  <c r="UV26" i="1" s="1"/>
  <c r="TO23" i="1"/>
  <c r="TB22" i="1"/>
  <c r="UT22" i="1" s="1"/>
  <c r="TD22" i="1"/>
  <c r="UV22" i="1" s="1"/>
  <c r="TO19" i="1"/>
  <c r="TB18" i="1"/>
  <c r="UT18" i="1" s="1"/>
  <c r="TD18" i="1"/>
  <c r="UV18" i="1" s="1"/>
  <c r="TO15" i="1"/>
  <c r="TB14" i="1"/>
  <c r="UT14" i="1" s="1"/>
  <c r="TD14" i="1"/>
  <c r="UV14" i="1" s="1"/>
  <c r="TA148" i="1"/>
  <c r="US148" i="1" s="1"/>
  <c r="TC148" i="1"/>
  <c r="UU148" i="1" s="1"/>
  <c r="TO34" i="1"/>
  <c r="TB33" i="1"/>
  <c r="UT33" i="1" s="1"/>
  <c r="TD33" i="1"/>
  <c r="UV33" i="1" s="1"/>
  <c r="TO30" i="1"/>
  <c r="TB29" i="1"/>
  <c r="UT29" i="1" s="1"/>
  <c r="TD29" i="1"/>
  <c r="UV29" i="1" s="1"/>
  <c r="TO26" i="1"/>
  <c r="TB25" i="1"/>
  <c r="UT25" i="1" s="1"/>
  <c r="TD25" i="1"/>
  <c r="UV25" i="1" s="1"/>
  <c r="TO22" i="1"/>
  <c r="TB21" i="1"/>
  <c r="UT21" i="1" s="1"/>
  <c r="TD21" i="1"/>
  <c r="UV21" i="1" s="1"/>
  <c r="TO18" i="1"/>
  <c r="TB17" i="1"/>
  <c r="UT17" i="1" s="1"/>
  <c r="TD17" i="1"/>
  <c r="UV17" i="1" s="1"/>
  <c r="TO14" i="1"/>
  <c r="TB13" i="1"/>
  <c r="UT13" i="1" s="1"/>
  <c r="TD13" i="1"/>
  <c r="UV13" i="1" s="1"/>
  <c r="TM148" i="1"/>
  <c r="E16" i="14"/>
  <c r="E9" i="24" s="1"/>
  <c r="SU161" i="1"/>
  <c r="UQ161" i="1" s="1"/>
  <c r="SU157" i="1"/>
  <c r="UQ157" i="1" s="1"/>
  <c r="SU153" i="1"/>
  <c r="UQ153" i="1" s="1"/>
  <c r="SU149" i="1"/>
  <c r="UQ149" i="1" s="1"/>
  <c r="SU145" i="1"/>
  <c r="UQ145" i="1" s="1"/>
  <c r="SU141" i="1"/>
  <c r="UQ141" i="1" s="1"/>
  <c r="SU137" i="1"/>
  <c r="UQ137" i="1" s="1"/>
  <c r="SU133" i="1"/>
  <c r="UQ133" i="1" s="1"/>
  <c r="SU129" i="1"/>
  <c r="UQ129" i="1" s="1"/>
  <c r="SU125" i="1"/>
  <c r="UQ125" i="1" s="1"/>
  <c r="SU121" i="1"/>
  <c r="UQ121" i="1" s="1"/>
  <c r="SU117" i="1"/>
  <c r="UQ117" i="1" s="1"/>
  <c r="SU113" i="1"/>
  <c r="UQ113" i="1" s="1"/>
  <c r="SU109" i="1"/>
  <c r="UQ109" i="1" s="1"/>
  <c r="SU105" i="1"/>
  <c r="UQ105" i="1" s="1"/>
  <c r="SU73" i="1"/>
  <c r="UQ73" i="1" s="1"/>
  <c r="SU69" i="1"/>
  <c r="UQ69" i="1" s="1"/>
  <c r="SU29" i="1"/>
  <c r="UQ29" i="1" s="1"/>
  <c r="SU101" i="1"/>
  <c r="UQ101" i="1" s="1"/>
  <c r="SU97" i="1"/>
  <c r="UQ97" i="1" s="1"/>
  <c r="SU85" i="1"/>
  <c r="UQ85" i="1" s="1"/>
  <c r="SU81" i="1"/>
  <c r="UQ81" i="1" s="1"/>
  <c r="SU77" i="1"/>
  <c r="UQ77" i="1" s="1"/>
  <c r="SU65" i="1"/>
  <c r="UQ65" i="1" s="1"/>
  <c r="SU53" i="1"/>
  <c r="UQ53" i="1" s="1"/>
  <c r="SU33" i="1"/>
  <c r="UQ33" i="1" s="1"/>
  <c r="SU17" i="1"/>
  <c r="UQ17" i="1" s="1"/>
  <c r="E104" i="14"/>
  <c r="E92" i="10" s="1"/>
  <c r="VC7" i="1"/>
  <c r="UZ7" i="1"/>
  <c r="VA7" i="1"/>
  <c r="UY7" i="1"/>
  <c r="T140" i="17"/>
  <c r="T5" i="17"/>
  <c r="T9" i="17"/>
  <c r="T29" i="17"/>
  <c r="T33" i="17"/>
  <c r="T37" i="17"/>
  <c r="T41" i="17"/>
  <c r="T133" i="17"/>
  <c r="K10" i="24"/>
  <c r="E17" i="14"/>
  <c r="E10" i="24" s="1"/>
  <c r="J10" i="24"/>
  <c r="L9" i="24"/>
  <c r="L10" i="24"/>
  <c r="B85" i="10"/>
  <c r="J9" i="24"/>
  <c r="L12" i="24"/>
  <c r="J13" i="24"/>
  <c r="E18" i="14"/>
  <c r="E11" i="24" s="1"/>
  <c r="K13" i="24"/>
  <c r="J12" i="24"/>
  <c r="J15" i="24"/>
  <c r="L13" i="24"/>
  <c r="L11" i="24"/>
  <c r="K12" i="24"/>
  <c r="K11" i="24"/>
  <c r="K9" i="24"/>
  <c r="K15" i="24"/>
  <c r="J11" i="24"/>
  <c r="L21" i="14" l="1"/>
  <c r="G15" i="24" s="1"/>
  <c r="L20" i="14"/>
  <c r="G13" i="24" s="1"/>
  <c r="S20" i="14"/>
  <c r="AA105" i="14"/>
  <c r="AA121" i="14"/>
  <c r="AA137" i="14"/>
  <c r="AA153" i="14"/>
  <c r="AA169" i="14"/>
  <c r="AA185" i="14"/>
  <c r="AA201" i="14"/>
  <c r="AA217" i="14"/>
  <c r="AA233" i="14"/>
  <c r="AA249" i="14"/>
  <c r="AA120" i="14"/>
  <c r="AA136" i="14"/>
  <c r="AA152" i="14"/>
  <c r="AA168" i="14"/>
  <c r="AA184" i="14"/>
  <c r="AA200" i="14"/>
  <c r="AA216" i="14"/>
  <c r="AA232" i="14"/>
  <c r="AA248" i="14"/>
  <c r="AA107" i="14"/>
  <c r="AA123" i="14"/>
  <c r="AA139" i="14"/>
  <c r="AA155" i="14"/>
  <c r="AA171" i="14"/>
  <c r="AA187" i="14"/>
  <c r="AA203" i="14"/>
  <c r="AA219" i="14"/>
  <c r="AA235" i="14"/>
  <c r="AA98" i="14"/>
  <c r="AA114" i="14"/>
  <c r="AA130" i="14"/>
  <c r="AA146" i="14"/>
  <c r="AA162" i="14"/>
  <c r="AA178" i="14"/>
  <c r="AA194" i="14"/>
  <c r="AA210" i="14"/>
  <c r="AA226" i="14"/>
  <c r="AA242" i="14"/>
  <c r="AA109" i="14"/>
  <c r="AA141" i="14"/>
  <c r="AA157" i="14"/>
  <c r="AA173" i="14"/>
  <c r="AA189" i="14"/>
  <c r="AA205" i="14"/>
  <c r="AA221" i="14"/>
  <c r="AA237" i="14"/>
  <c r="AA104" i="14"/>
  <c r="AA124" i="14"/>
  <c r="AA140" i="14"/>
  <c r="AA156" i="14"/>
  <c r="AA188" i="14"/>
  <c r="AA204" i="14"/>
  <c r="AA220" i="14"/>
  <c r="AA111" i="14"/>
  <c r="AA127" i="14"/>
  <c r="AA143" i="14"/>
  <c r="AA159" i="14"/>
  <c r="AA191" i="14"/>
  <c r="AA223" i="14"/>
  <c r="AA239" i="14"/>
  <c r="AA102" i="14"/>
  <c r="AA101" i="14"/>
  <c r="AA129" i="14"/>
  <c r="AA145" i="14"/>
  <c r="AA161" i="14"/>
  <c r="AA193" i="14"/>
  <c r="AA225" i="14"/>
  <c r="AA241" i="14"/>
  <c r="AA108" i="14"/>
  <c r="AA144" i="14"/>
  <c r="AA160" i="14"/>
  <c r="AA176" i="14"/>
  <c r="AA192" i="14"/>
  <c r="AA208" i="14"/>
  <c r="AA224" i="14"/>
  <c r="AA240" i="14"/>
  <c r="AA99" i="14"/>
  <c r="AA115" i="14"/>
  <c r="AA131" i="14"/>
  <c r="AA147" i="14"/>
  <c r="AA163" i="14"/>
  <c r="AA195" i="14"/>
  <c r="AA211" i="14"/>
  <c r="AA227" i="14"/>
  <c r="AA243" i="14"/>
  <c r="AA106" i="14"/>
  <c r="AA138" i="14"/>
  <c r="AA154" i="14"/>
  <c r="AA186" i="14"/>
  <c r="AA202" i="14"/>
  <c r="AA234" i="14"/>
  <c r="AA250" i="14"/>
  <c r="AA117" i="14"/>
  <c r="AA133" i="14"/>
  <c r="AA149" i="14"/>
  <c r="AA165" i="14"/>
  <c r="AA181" i="14"/>
  <c r="AA197" i="14"/>
  <c r="AA213" i="14"/>
  <c r="AA229" i="14"/>
  <c r="AA245" i="14"/>
  <c r="AA116" i="14"/>
  <c r="AA132" i="14"/>
  <c r="AA148" i="14"/>
  <c r="AA164" i="14"/>
  <c r="AA180" i="14"/>
  <c r="AA196" i="14"/>
  <c r="AA212" i="14"/>
  <c r="AA228" i="14"/>
  <c r="AA244" i="14"/>
  <c r="AA103" i="14"/>
  <c r="AA119" i="14"/>
  <c r="AA135" i="14"/>
  <c r="AA151" i="14"/>
  <c r="AA167" i="14"/>
  <c r="AA183" i="14"/>
  <c r="AA199" i="14"/>
  <c r="AA215" i="14"/>
  <c r="AA231" i="14"/>
  <c r="AA247" i="14"/>
  <c r="AA100" i="14"/>
  <c r="AA110" i="14"/>
  <c r="AA126" i="14"/>
  <c r="AA142" i="14"/>
  <c r="AA158" i="14"/>
  <c r="AA174" i="14"/>
  <c r="AA206" i="14"/>
  <c r="AA222" i="14"/>
  <c r="AA238" i="14"/>
  <c r="X97" i="14"/>
  <c r="S97" i="14"/>
  <c r="L16" i="14"/>
  <c r="G9" i="24" s="1"/>
  <c r="U97" i="14"/>
  <c r="O20" i="14"/>
  <c r="WK161" i="1"/>
  <c r="WL161" i="1" s="1"/>
  <c r="I116" i="13"/>
  <c r="WK160" i="1"/>
  <c r="WL160" i="1" s="1"/>
  <c r="WK162" i="1"/>
  <c r="WL162" i="1" s="1"/>
  <c r="WK45" i="1"/>
  <c r="WL45" i="1" s="1"/>
  <c r="WK129" i="1"/>
  <c r="WL129" i="1" s="1"/>
  <c r="WK137" i="1"/>
  <c r="WL137" i="1" s="1"/>
  <c r="WK90" i="1"/>
  <c r="WL90" i="1" s="1"/>
  <c r="WK114" i="1"/>
  <c r="WL114" i="1" s="1"/>
  <c r="WK146" i="1"/>
  <c r="WL146" i="1" s="1"/>
  <c r="WK15" i="1"/>
  <c r="WL15" i="1" s="1"/>
  <c r="WK23" i="1"/>
  <c r="WL23" i="1" s="1"/>
  <c r="WK35" i="1"/>
  <c r="WL35" i="1" s="1"/>
  <c r="WK79" i="1"/>
  <c r="WL79" i="1" s="1"/>
  <c r="WK91" i="1"/>
  <c r="WL91" i="1" s="1"/>
  <c r="WK103" i="1"/>
  <c r="WL103" i="1" s="1"/>
  <c r="WK111" i="1"/>
  <c r="WL111" i="1" s="1"/>
  <c r="WK131" i="1"/>
  <c r="WL131" i="1" s="1"/>
  <c r="WK139" i="1"/>
  <c r="WL139" i="1" s="1"/>
  <c r="WK56" i="1"/>
  <c r="WL56" i="1" s="1"/>
  <c r="WK76" i="1"/>
  <c r="WL76" i="1" s="1"/>
  <c r="WK120" i="1"/>
  <c r="WL120" i="1" s="1"/>
  <c r="WK31" i="1"/>
  <c r="WL31" i="1" s="1"/>
  <c r="WK147" i="1"/>
  <c r="WL147" i="1" s="1"/>
  <c r="WK60" i="1"/>
  <c r="WL60" i="1" s="1"/>
  <c r="WK112" i="1"/>
  <c r="WL112" i="1" s="1"/>
  <c r="WK25" i="1"/>
  <c r="WL25" i="1" s="1"/>
  <c r="WK113" i="1"/>
  <c r="WL113" i="1" s="1"/>
  <c r="WK30" i="1"/>
  <c r="WL30" i="1" s="1"/>
  <c r="WK54" i="1"/>
  <c r="WL54" i="1" s="1"/>
  <c r="WK74" i="1"/>
  <c r="WL74" i="1" s="1"/>
  <c r="WK17" i="1"/>
  <c r="WL17" i="1" s="1"/>
  <c r="WK33" i="1"/>
  <c r="WL33" i="1" s="1"/>
  <c r="WK57" i="1"/>
  <c r="WL57" i="1" s="1"/>
  <c r="WK73" i="1"/>
  <c r="WL73" i="1" s="1"/>
  <c r="WK97" i="1"/>
  <c r="WL97" i="1" s="1"/>
  <c r="WK109" i="1"/>
  <c r="WL109" i="1" s="1"/>
  <c r="WK157" i="1"/>
  <c r="WL157" i="1" s="1"/>
  <c r="WK34" i="1"/>
  <c r="WL34" i="1" s="1"/>
  <c r="WK70" i="1"/>
  <c r="WL70" i="1" s="1"/>
  <c r="WK102" i="1"/>
  <c r="WL102" i="1" s="1"/>
  <c r="WK39" i="1"/>
  <c r="WL39" i="1" s="1"/>
  <c r="WK47" i="1"/>
  <c r="WL47" i="1" s="1"/>
  <c r="WK55" i="1"/>
  <c r="WL55" i="1" s="1"/>
  <c r="WK12" i="1"/>
  <c r="WL12" i="1" s="1"/>
  <c r="WK100" i="1"/>
  <c r="WL100" i="1" s="1"/>
  <c r="WK136" i="1"/>
  <c r="WL136" i="1" s="1"/>
  <c r="WK67" i="1"/>
  <c r="WL67" i="1" s="1"/>
  <c r="WK64" i="1"/>
  <c r="WL64" i="1" s="1"/>
  <c r="WK96" i="1"/>
  <c r="WL96" i="1" s="1"/>
  <c r="WK132" i="1"/>
  <c r="WL132" i="1" s="1"/>
  <c r="WK29" i="1"/>
  <c r="WL29" i="1" s="1"/>
  <c r="WK18" i="1"/>
  <c r="WL18" i="1" s="1"/>
  <c r="WK58" i="1"/>
  <c r="WL58" i="1" s="1"/>
  <c r="WK82" i="1"/>
  <c r="WL82" i="1" s="1"/>
  <c r="WK37" i="1"/>
  <c r="WL37" i="1" s="1"/>
  <c r="WK133" i="1"/>
  <c r="WL133" i="1" s="1"/>
  <c r="WK126" i="1"/>
  <c r="WL126" i="1" s="1"/>
  <c r="WK134" i="1"/>
  <c r="WL134" i="1" s="1"/>
  <c r="WK27" i="1"/>
  <c r="WL27" i="1" s="1"/>
  <c r="WK107" i="1"/>
  <c r="WL107" i="1" s="1"/>
  <c r="WK115" i="1"/>
  <c r="WL115" i="1" s="1"/>
  <c r="WK135" i="1"/>
  <c r="WL135" i="1" s="1"/>
  <c r="WK151" i="1"/>
  <c r="WL151" i="1" s="1"/>
  <c r="WK16" i="1"/>
  <c r="WL16" i="1" s="1"/>
  <c r="WK40" i="1"/>
  <c r="WL40" i="1" s="1"/>
  <c r="WK72" i="1"/>
  <c r="WL72" i="1" s="1"/>
  <c r="WK127" i="1"/>
  <c r="WL127" i="1" s="1"/>
  <c r="WK20" i="1"/>
  <c r="WL20" i="1" s="1"/>
  <c r="WK44" i="1"/>
  <c r="WL44" i="1" s="1"/>
  <c r="WK68" i="1"/>
  <c r="WL68" i="1" s="1"/>
  <c r="WK104" i="1"/>
  <c r="WL104" i="1" s="1"/>
  <c r="WK152" i="1"/>
  <c r="WL152" i="1" s="1"/>
  <c r="WK41" i="1"/>
  <c r="WL41" i="1" s="1"/>
  <c r="WK22" i="1"/>
  <c r="WL22" i="1" s="1"/>
  <c r="WK62" i="1"/>
  <c r="WL62" i="1" s="1"/>
  <c r="WK21" i="1"/>
  <c r="WL21" i="1" s="1"/>
  <c r="WK61" i="1"/>
  <c r="WL61" i="1" s="1"/>
  <c r="WK69" i="1"/>
  <c r="WL69" i="1" s="1"/>
  <c r="WK85" i="1"/>
  <c r="WL85" i="1" s="1"/>
  <c r="WK93" i="1"/>
  <c r="WL93" i="1" s="1"/>
  <c r="WK101" i="1"/>
  <c r="WL101" i="1" s="1"/>
  <c r="WK125" i="1"/>
  <c r="WL125" i="1" s="1"/>
  <c r="WK38" i="1"/>
  <c r="WL38" i="1" s="1"/>
  <c r="WK43" i="1"/>
  <c r="WL43" i="1" s="1"/>
  <c r="WK51" i="1"/>
  <c r="WL51" i="1" s="1"/>
  <c r="WK59" i="1"/>
  <c r="WL59" i="1" s="1"/>
  <c r="WK71" i="1"/>
  <c r="WL71" i="1" s="1"/>
  <c r="WK87" i="1"/>
  <c r="WL87" i="1" s="1"/>
  <c r="WK48" i="1"/>
  <c r="WL48" i="1" s="1"/>
  <c r="WK92" i="1"/>
  <c r="WL92" i="1" s="1"/>
  <c r="WK148" i="1"/>
  <c r="WL148" i="1" s="1"/>
  <c r="WK11" i="1"/>
  <c r="WL11" i="1" s="1"/>
  <c r="WK24" i="1"/>
  <c r="WL24" i="1" s="1"/>
  <c r="WK50" i="1"/>
  <c r="WL50" i="1" s="1"/>
  <c r="WK66" i="1"/>
  <c r="WL66" i="1" s="1"/>
  <c r="WK94" i="1"/>
  <c r="WL94" i="1" s="1"/>
  <c r="WK122" i="1"/>
  <c r="WL122" i="1" s="1"/>
  <c r="G141" i="14"/>
  <c r="F129" i="10" s="1"/>
  <c r="XW17" i="1"/>
  <c r="XX17" i="1" s="1"/>
  <c r="XW104" i="1"/>
  <c r="XX104" i="1" s="1"/>
  <c r="XW88" i="1"/>
  <c r="XX88" i="1" s="1"/>
  <c r="XW72" i="1"/>
  <c r="XX72" i="1" s="1"/>
  <c r="XW56" i="1"/>
  <c r="XX56" i="1" s="1"/>
  <c r="XW40" i="1"/>
  <c r="XX40" i="1" s="1"/>
  <c r="XW24" i="1"/>
  <c r="XX24" i="1" s="1"/>
  <c r="L159" i="14"/>
  <c r="G147" i="10" s="1"/>
  <c r="U153" i="14"/>
  <c r="U190" i="14"/>
  <c r="XW159" i="1"/>
  <c r="XX159" i="1" s="1"/>
  <c r="XW143" i="1"/>
  <c r="XX143" i="1" s="1"/>
  <c r="XW127" i="1"/>
  <c r="XX127" i="1" s="1"/>
  <c r="XW111" i="1"/>
  <c r="XX111" i="1" s="1"/>
  <c r="XW95" i="1"/>
  <c r="XX95" i="1" s="1"/>
  <c r="XW79" i="1"/>
  <c r="XX79" i="1" s="1"/>
  <c r="XW63" i="1"/>
  <c r="XX63" i="1" s="1"/>
  <c r="XW47" i="1"/>
  <c r="XX47" i="1" s="1"/>
  <c r="XW31" i="1"/>
  <c r="XX31" i="1" s="1"/>
  <c r="XW15" i="1"/>
  <c r="XX15" i="1" s="1"/>
  <c r="XW152" i="1"/>
  <c r="XX152" i="1" s="1"/>
  <c r="XW136" i="1"/>
  <c r="XX136" i="1" s="1"/>
  <c r="XW120" i="1"/>
  <c r="XX120" i="1" s="1"/>
  <c r="XW102" i="1"/>
  <c r="XX102" i="1" s="1"/>
  <c r="XW86" i="1"/>
  <c r="XX86" i="1" s="1"/>
  <c r="XW70" i="1"/>
  <c r="XX70" i="1" s="1"/>
  <c r="XW54" i="1"/>
  <c r="XX54" i="1" s="1"/>
  <c r="XW38" i="1"/>
  <c r="XX38" i="1" s="1"/>
  <c r="XW22" i="1"/>
  <c r="XX22" i="1" s="1"/>
  <c r="D112" i="14"/>
  <c r="D100" i="10" s="1"/>
  <c r="I3" i="13"/>
  <c r="XW149" i="1"/>
  <c r="XX149" i="1" s="1"/>
  <c r="XW133" i="1"/>
  <c r="XX133" i="1" s="1"/>
  <c r="XW117" i="1"/>
  <c r="XX117" i="1" s="1"/>
  <c r="XW101" i="1"/>
  <c r="XX101" i="1" s="1"/>
  <c r="XW85" i="1"/>
  <c r="XX85" i="1" s="1"/>
  <c r="XW69" i="1"/>
  <c r="XX69" i="1" s="1"/>
  <c r="XW53" i="1"/>
  <c r="XX53" i="1" s="1"/>
  <c r="XW37" i="1"/>
  <c r="XX37" i="1" s="1"/>
  <c r="XW150" i="1"/>
  <c r="XX150" i="1" s="1"/>
  <c r="XW134" i="1"/>
  <c r="XX134" i="1" s="1"/>
  <c r="XW118" i="1"/>
  <c r="XX118" i="1" s="1"/>
  <c r="D142" i="14"/>
  <c r="D130" i="10" s="1"/>
  <c r="U125" i="14"/>
  <c r="U177" i="14"/>
  <c r="U193" i="14"/>
  <c r="XW161" i="1"/>
  <c r="XX161" i="1" s="1"/>
  <c r="XW145" i="1"/>
  <c r="XX145" i="1" s="1"/>
  <c r="XW129" i="1"/>
  <c r="XX129" i="1" s="1"/>
  <c r="XW113" i="1"/>
  <c r="XX113" i="1" s="1"/>
  <c r="U135" i="14"/>
  <c r="G129" i="14"/>
  <c r="F117" i="10" s="1"/>
  <c r="WK42" i="1"/>
  <c r="WM57" i="1"/>
  <c r="WM109" i="1"/>
  <c r="WM157" i="1"/>
  <c r="WM102" i="1"/>
  <c r="WM39" i="1"/>
  <c r="WM64" i="1"/>
  <c r="WM29" i="1"/>
  <c r="WM18" i="1"/>
  <c r="WM58" i="1"/>
  <c r="WM82" i="1"/>
  <c r="O103" i="17"/>
  <c r="R103" i="17" s="1"/>
  <c r="WM37" i="1"/>
  <c r="WM133" i="1"/>
  <c r="WM126" i="1"/>
  <c r="WM134" i="1"/>
  <c r="WM27" i="1"/>
  <c r="WM107" i="1"/>
  <c r="WM115" i="1"/>
  <c r="WM135" i="1"/>
  <c r="WM151" i="1"/>
  <c r="WM16" i="1"/>
  <c r="WM40" i="1"/>
  <c r="WM72" i="1"/>
  <c r="WM127" i="1"/>
  <c r="WM20" i="1"/>
  <c r="WM44" i="1"/>
  <c r="WM68" i="1"/>
  <c r="WM104" i="1"/>
  <c r="WM152" i="1"/>
  <c r="WM41" i="1"/>
  <c r="WM22" i="1"/>
  <c r="WM62" i="1"/>
  <c r="WM162" i="1"/>
  <c r="L167" i="14"/>
  <c r="G155" i="10" s="1"/>
  <c r="L183" i="14"/>
  <c r="G171" i="10" s="1"/>
  <c r="WM17" i="1"/>
  <c r="WM73" i="1"/>
  <c r="WM34" i="1"/>
  <c r="WM55" i="1"/>
  <c r="WM12" i="1"/>
  <c r="WM100" i="1"/>
  <c r="WM67" i="1"/>
  <c r="WM96" i="1"/>
  <c r="WM42" i="1"/>
  <c r="O30" i="17"/>
  <c r="R30" i="17" s="1"/>
  <c r="WM21" i="1"/>
  <c r="WM61" i="1"/>
  <c r="WM69" i="1"/>
  <c r="WM85" i="1"/>
  <c r="WM93" i="1"/>
  <c r="WM101" i="1"/>
  <c r="WM125" i="1"/>
  <c r="WM161" i="1"/>
  <c r="WM38" i="1"/>
  <c r="WM43" i="1"/>
  <c r="WM51" i="1"/>
  <c r="WM59" i="1"/>
  <c r="WM71" i="1"/>
  <c r="WM87" i="1"/>
  <c r="WM48" i="1"/>
  <c r="WM92" i="1"/>
  <c r="WM148" i="1"/>
  <c r="WM11" i="1"/>
  <c r="WM24" i="1"/>
  <c r="WM160" i="1"/>
  <c r="WM50" i="1"/>
  <c r="WM66" i="1"/>
  <c r="WM94" i="1"/>
  <c r="WM122" i="1"/>
  <c r="WM33" i="1"/>
  <c r="WM97" i="1"/>
  <c r="WM70" i="1"/>
  <c r="WM47" i="1"/>
  <c r="WM136" i="1"/>
  <c r="WM132" i="1"/>
  <c r="U105" i="14"/>
  <c r="U167" i="14"/>
  <c r="WM10" i="1"/>
  <c r="WK10" i="1"/>
  <c r="WL10" i="1" s="1"/>
  <c r="O18" i="14"/>
  <c r="WM45" i="1"/>
  <c r="WM129" i="1"/>
  <c r="WM137" i="1"/>
  <c r="WM90" i="1"/>
  <c r="WM114" i="1"/>
  <c r="WM146" i="1"/>
  <c r="WM15" i="1"/>
  <c r="WM23" i="1"/>
  <c r="WM35" i="1"/>
  <c r="WM79" i="1"/>
  <c r="WM91" i="1"/>
  <c r="WM103" i="1"/>
  <c r="WM111" i="1"/>
  <c r="WM131" i="1"/>
  <c r="WM139" i="1"/>
  <c r="WM56" i="1"/>
  <c r="WM76" i="1"/>
  <c r="WM120" i="1"/>
  <c r="WM31" i="1"/>
  <c r="WM147" i="1"/>
  <c r="WM60" i="1"/>
  <c r="WM112" i="1"/>
  <c r="WM25" i="1"/>
  <c r="WM113" i="1"/>
  <c r="WM30" i="1"/>
  <c r="WM54" i="1"/>
  <c r="WM74" i="1"/>
  <c r="L175" i="14"/>
  <c r="G163" i="10" s="1"/>
  <c r="L191" i="14"/>
  <c r="G179" i="10" s="1"/>
  <c r="L207" i="14"/>
  <c r="G195" i="10" s="1"/>
  <c r="L223" i="14"/>
  <c r="G211" i="10" s="1"/>
  <c r="L233" i="14"/>
  <c r="G221" i="10" s="1"/>
  <c r="G162" i="14"/>
  <c r="F150" i="10" s="1"/>
  <c r="L247" i="14"/>
  <c r="G235" i="10" s="1"/>
  <c r="G128" i="14"/>
  <c r="F116" i="10" s="1"/>
  <c r="L103" i="14"/>
  <c r="G91" i="10" s="1"/>
  <c r="L99" i="14"/>
  <c r="G87" i="10" s="1"/>
  <c r="L115" i="14"/>
  <c r="G103" i="10" s="1"/>
  <c r="L119" i="14"/>
  <c r="G107" i="10" s="1"/>
  <c r="L123" i="14"/>
  <c r="G111" i="10" s="1"/>
  <c r="L155" i="14"/>
  <c r="G143" i="10" s="1"/>
  <c r="L195" i="14"/>
  <c r="L199" i="14"/>
  <c r="G187" i="10" s="1"/>
  <c r="L231" i="14"/>
  <c r="G219" i="10" s="1"/>
  <c r="L111" i="14"/>
  <c r="G99" i="10" s="1"/>
  <c r="L215" i="14"/>
  <c r="G203" i="10" s="1"/>
  <c r="L239" i="14"/>
  <c r="G227" i="10" s="1"/>
  <c r="O17" i="14"/>
  <c r="L131" i="14"/>
  <c r="G119" i="10" s="1"/>
  <c r="L143" i="14"/>
  <c r="G131" i="10" s="1"/>
  <c r="L147" i="14"/>
  <c r="G135" i="10" s="1"/>
  <c r="L151" i="14"/>
  <c r="G139" i="10" s="1"/>
  <c r="L163" i="14"/>
  <c r="G151" i="10" s="1"/>
  <c r="L179" i="14"/>
  <c r="G167" i="10" s="1"/>
  <c r="L211" i="14"/>
  <c r="G199" i="10" s="1"/>
  <c r="L197" i="14"/>
  <c r="G185" i="10" s="1"/>
  <c r="U129" i="14"/>
  <c r="L100" i="14"/>
  <c r="G88" i="10" s="1"/>
  <c r="K20" i="14"/>
  <c r="F13" i="24" s="1"/>
  <c r="O19" i="14"/>
  <c r="L107" i="14"/>
  <c r="G95" i="10" s="1"/>
  <c r="L139" i="14"/>
  <c r="G127" i="10" s="1"/>
  <c r="L243" i="14"/>
  <c r="G231" i="10" s="1"/>
  <c r="L135" i="14"/>
  <c r="G123" i="10" s="1"/>
  <c r="L171" i="14"/>
  <c r="G159" i="10" s="1"/>
  <c r="L219" i="14"/>
  <c r="G207" i="10" s="1"/>
  <c r="K132" i="14"/>
  <c r="V132" i="14" s="1"/>
  <c r="K160" i="14"/>
  <c r="K168" i="14"/>
  <c r="V168" i="14" s="1"/>
  <c r="K176" i="14"/>
  <c r="K184" i="14"/>
  <c r="V184" i="14" s="1"/>
  <c r="K200" i="14"/>
  <c r="V200" i="14" s="1"/>
  <c r="K208" i="14"/>
  <c r="V208" i="14" s="1"/>
  <c r="K216" i="14"/>
  <c r="K224" i="14"/>
  <c r="V224" i="14" s="1"/>
  <c r="K232" i="14"/>
  <c r="K240" i="14"/>
  <c r="V240" i="14" s="1"/>
  <c r="K102" i="14"/>
  <c r="K110" i="14"/>
  <c r="V110" i="14" s="1"/>
  <c r="K118" i="14"/>
  <c r="V118" i="14" s="1"/>
  <c r="K126" i="14"/>
  <c r="V126" i="14" s="1"/>
  <c r="L145" i="14"/>
  <c r="G133" i="10" s="1"/>
  <c r="K170" i="14"/>
  <c r="V170" i="14" s="1"/>
  <c r="K178" i="14"/>
  <c r="V178" i="14" s="1"/>
  <c r="K186" i="14"/>
  <c r="V186" i="14" s="1"/>
  <c r="K194" i="14"/>
  <c r="V194" i="14" s="1"/>
  <c r="K202" i="14"/>
  <c r="K250" i="14"/>
  <c r="V250" i="14" s="1"/>
  <c r="L121" i="14"/>
  <c r="G109" i="10" s="1"/>
  <c r="L129" i="14"/>
  <c r="G117" i="10" s="1"/>
  <c r="L133" i="14"/>
  <c r="G121" i="10" s="1"/>
  <c r="L153" i="14"/>
  <c r="G141" i="10" s="1"/>
  <c r="L177" i="14"/>
  <c r="G165" i="10" s="1"/>
  <c r="L205" i="14"/>
  <c r="G193" i="10" s="1"/>
  <c r="L213" i="14"/>
  <c r="G201" i="10" s="1"/>
  <c r="L237" i="14"/>
  <c r="G225" i="10" s="1"/>
  <c r="L245" i="14"/>
  <c r="K97" i="14"/>
  <c r="K108" i="14"/>
  <c r="V108" i="14" s="1"/>
  <c r="K116" i="14"/>
  <c r="V116" i="14" s="1"/>
  <c r="K124" i="14"/>
  <c r="M18" i="14" s="1"/>
  <c r="K144" i="14"/>
  <c r="V144" i="14" s="1"/>
  <c r="K152" i="14"/>
  <c r="V152" i="14" s="1"/>
  <c r="K244" i="14"/>
  <c r="V244" i="14" s="1"/>
  <c r="K130" i="14"/>
  <c r="V130" i="14" s="1"/>
  <c r="K138" i="14"/>
  <c r="V138" i="14" s="1"/>
  <c r="K146" i="14"/>
  <c r="K154" i="14"/>
  <c r="V154" i="14" s="1"/>
  <c r="K162" i="14"/>
  <c r="V162" i="14" s="1"/>
  <c r="L189" i="14"/>
  <c r="G177" i="10" s="1"/>
  <c r="K214" i="14"/>
  <c r="V214" i="14" s="1"/>
  <c r="K222" i="14"/>
  <c r="V222" i="14" s="1"/>
  <c r="K230" i="14"/>
  <c r="V230" i="14" s="1"/>
  <c r="K238" i="14"/>
  <c r="V238" i="14" s="1"/>
  <c r="L165" i="14"/>
  <c r="G153" i="10" s="1"/>
  <c r="L185" i="14"/>
  <c r="G173" i="10" s="1"/>
  <c r="L201" i="14"/>
  <c r="G189" i="10" s="1"/>
  <c r="L18" i="14"/>
  <c r="G11" i="24" s="1"/>
  <c r="L227" i="14"/>
  <c r="G215" i="10" s="1"/>
  <c r="L235" i="14"/>
  <c r="G223" i="10" s="1"/>
  <c r="K128" i="14"/>
  <c r="V128" i="14" s="1"/>
  <c r="K136" i="14"/>
  <c r="V136" i="14" s="1"/>
  <c r="K164" i="14"/>
  <c r="V164" i="14" s="1"/>
  <c r="K172" i="14"/>
  <c r="V172" i="14" s="1"/>
  <c r="K180" i="14"/>
  <c r="V180" i="14" s="1"/>
  <c r="K188" i="14"/>
  <c r="V188" i="14" s="1"/>
  <c r="K196" i="14"/>
  <c r="V196" i="14" s="1"/>
  <c r="K204" i="14"/>
  <c r="V204" i="14" s="1"/>
  <c r="K212" i="14"/>
  <c r="V212" i="14" s="1"/>
  <c r="K220" i="14"/>
  <c r="V220" i="14" s="1"/>
  <c r="K228" i="14"/>
  <c r="V228" i="14" s="1"/>
  <c r="K236" i="14"/>
  <c r="V236" i="14" s="1"/>
  <c r="K98" i="14"/>
  <c r="K106" i="14"/>
  <c r="V106" i="14" s="1"/>
  <c r="K114" i="14"/>
  <c r="V114" i="14" s="1"/>
  <c r="K122" i="14"/>
  <c r="K174" i="14"/>
  <c r="V174" i="14" s="1"/>
  <c r="K182" i="14"/>
  <c r="V182" i="14" s="1"/>
  <c r="K190" i="14"/>
  <c r="V190" i="14" s="1"/>
  <c r="K198" i="14"/>
  <c r="V198" i="14" s="1"/>
  <c r="K206" i="14"/>
  <c r="K246" i="14"/>
  <c r="V246" i="14" s="1"/>
  <c r="K101" i="14"/>
  <c r="V101" i="14" s="1"/>
  <c r="L109" i="14"/>
  <c r="G97" i="10" s="1"/>
  <c r="L117" i="14"/>
  <c r="G105" i="10" s="1"/>
  <c r="L141" i="14"/>
  <c r="G129" i="10" s="1"/>
  <c r="L149" i="14"/>
  <c r="G137" i="10" s="1"/>
  <c r="L157" i="14"/>
  <c r="G145" i="10" s="1"/>
  <c r="L161" i="14"/>
  <c r="G149" i="10" s="1"/>
  <c r="L173" i="14"/>
  <c r="G161" i="10" s="1"/>
  <c r="L181" i="14"/>
  <c r="G169" i="10" s="1"/>
  <c r="L193" i="14"/>
  <c r="G181" i="10" s="1"/>
  <c r="L209" i="14"/>
  <c r="G197" i="10" s="1"/>
  <c r="L221" i="14"/>
  <c r="G209" i="10" s="1"/>
  <c r="L229" i="14"/>
  <c r="G217" i="10" s="1"/>
  <c r="L127" i="14"/>
  <c r="G115" i="10" s="1"/>
  <c r="L187" i="14"/>
  <c r="G175" i="10" s="1"/>
  <c r="L203" i="14"/>
  <c r="G191" i="10" s="1"/>
  <c r="K104" i="14"/>
  <c r="V104" i="14" s="1"/>
  <c r="K112" i="14"/>
  <c r="K120" i="14"/>
  <c r="V120" i="14" s="1"/>
  <c r="K140" i="14"/>
  <c r="V140" i="14" s="1"/>
  <c r="K148" i="14"/>
  <c r="V148" i="14" s="1"/>
  <c r="K156" i="14"/>
  <c r="K192" i="14"/>
  <c r="V192" i="14" s="1"/>
  <c r="K248" i="14"/>
  <c r="L125" i="14"/>
  <c r="G113" i="10" s="1"/>
  <c r="K134" i="14"/>
  <c r="V134" i="14" s="1"/>
  <c r="K142" i="14"/>
  <c r="V142" i="14" s="1"/>
  <c r="K150" i="14"/>
  <c r="V150" i="14" s="1"/>
  <c r="K158" i="14"/>
  <c r="V158" i="14" s="1"/>
  <c r="K166" i="14"/>
  <c r="V166" i="14" s="1"/>
  <c r="K210" i="14"/>
  <c r="V210" i="14" s="1"/>
  <c r="K218" i="14"/>
  <c r="V218" i="14" s="1"/>
  <c r="K226" i="14"/>
  <c r="V226" i="14" s="1"/>
  <c r="K234" i="14"/>
  <c r="V234" i="14" s="1"/>
  <c r="K242" i="14"/>
  <c r="V242" i="14" s="1"/>
  <c r="L105" i="14"/>
  <c r="G93" i="10" s="1"/>
  <c r="L113" i="14"/>
  <c r="G101" i="10" s="1"/>
  <c r="L137" i="14"/>
  <c r="G125" i="10" s="1"/>
  <c r="L169" i="14"/>
  <c r="G157" i="10" s="1"/>
  <c r="L217" i="14"/>
  <c r="G205" i="10" s="1"/>
  <c r="L225" i="14"/>
  <c r="G213" i="10" s="1"/>
  <c r="L241" i="14"/>
  <c r="G229" i="10" s="1"/>
  <c r="L249" i="14"/>
  <c r="G237" i="10" s="1"/>
  <c r="U170" i="14"/>
  <c r="U226" i="14"/>
  <c r="U191" i="14"/>
  <c r="D174" i="14"/>
  <c r="D162" i="10" s="1"/>
  <c r="D223" i="14"/>
  <c r="D211" i="10" s="1"/>
  <c r="O104" i="17"/>
  <c r="R104" i="17" s="1"/>
  <c r="U248" i="14"/>
  <c r="U113" i="14"/>
  <c r="U141" i="14"/>
  <c r="U122" i="14"/>
  <c r="U223" i="14"/>
  <c r="O49" i="17"/>
  <c r="R49" i="17" s="1"/>
  <c r="I24" i="13"/>
  <c r="I114" i="13"/>
  <c r="XW163" i="1"/>
  <c r="XX163" i="1" s="1"/>
  <c r="XW147" i="1"/>
  <c r="XX147" i="1" s="1"/>
  <c r="XW131" i="1"/>
  <c r="XX131" i="1" s="1"/>
  <c r="XW115" i="1"/>
  <c r="XX115" i="1" s="1"/>
  <c r="XW99" i="1"/>
  <c r="XX99" i="1" s="1"/>
  <c r="XW83" i="1"/>
  <c r="XX83" i="1" s="1"/>
  <c r="XW51" i="1"/>
  <c r="XX51" i="1" s="1"/>
  <c r="XW35" i="1"/>
  <c r="XX35" i="1" s="1"/>
  <c r="XW19" i="1"/>
  <c r="XX19" i="1" s="1"/>
  <c r="D141" i="14"/>
  <c r="D129" i="10" s="1"/>
  <c r="U102" i="14"/>
  <c r="D166" i="14"/>
  <c r="D154" i="10" s="1"/>
  <c r="O115" i="17"/>
  <c r="R115" i="17" s="1"/>
  <c r="I110" i="13"/>
  <c r="U198" i="14"/>
  <c r="G107" i="14"/>
  <c r="F95" i="10" s="1"/>
  <c r="D212" i="14"/>
  <c r="D200" i="10" s="1"/>
  <c r="O74" i="17"/>
  <c r="R74" i="17" s="1"/>
  <c r="I73" i="13"/>
  <c r="I83" i="13"/>
  <c r="I137" i="13"/>
  <c r="D200" i="14"/>
  <c r="D188" i="10" s="1"/>
  <c r="O32" i="17"/>
  <c r="R32" i="17" s="1"/>
  <c r="I4" i="13"/>
  <c r="D120" i="14"/>
  <c r="D108" i="10" s="1"/>
  <c r="O65" i="17"/>
  <c r="R65" i="17" s="1"/>
  <c r="D216" i="14"/>
  <c r="D204" i="10" s="1"/>
  <c r="G236" i="14"/>
  <c r="F224" i="10" s="1"/>
  <c r="G169" i="14"/>
  <c r="F157" i="10" s="1"/>
  <c r="G245" i="14"/>
  <c r="F233" i="10" s="1"/>
  <c r="G206" i="14"/>
  <c r="F194" i="10" s="1"/>
  <c r="G210" i="14"/>
  <c r="F198" i="10" s="1"/>
  <c r="XW97" i="1"/>
  <c r="XX97" i="1" s="1"/>
  <c r="XW81" i="1"/>
  <c r="XX81" i="1" s="1"/>
  <c r="XW65" i="1"/>
  <c r="XX65" i="1" s="1"/>
  <c r="XW49" i="1"/>
  <c r="XX49" i="1" s="1"/>
  <c r="XW33" i="1"/>
  <c r="XX33" i="1" s="1"/>
  <c r="XW162" i="1"/>
  <c r="XX162" i="1" s="1"/>
  <c r="XW146" i="1"/>
  <c r="XX146" i="1" s="1"/>
  <c r="XW130" i="1"/>
  <c r="XX130" i="1" s="1"/>
  <c r="XW114" i="1"/>
  <c r="XX114" i="1" s="1"/>
  <c r="O148" i="17"/>
  <c r="R148" i="17" s="1"/>
  <c r="G184" i="14"/>
  <c r="F172" i="10" s="1"/>
  <c r="I74" i="13"/>
  <c r="O55" i="17"/>
  <c r="R55" i="17" s="1"/>
  <c r="D195" i="14"/>
  <c r="D183" i="10" s="1"/>
  <c r="I104" i="13"/>
  <c r="D162" i="14"/>
  <c r="D150" i="10" s="1"/>
  <c r="O90" i="17"/>
  <c r="R90" i="17" s="1"/>
  <c r="TZ56" i="1"/>
  <c r="TZ103" i="1"/>
  <c r="VI103" i="1"/>
  <c r="VU103" i="1"/>
  <c r="P190" i="14" s="1"/>
  <c r="AA190" i="14" s="1"/>
  <c r="VI38" i="1"/>
  <c r="VU38" i="1"/>
  <c r="P125" i="14" s="1"/>
  <c r="AA125" i="14" s="1"/>
  <c r="VI85" i="1"/>
  <c r="VU85" i="1"/>
  <c r="P172" i="14" s="1"/>
  <c r="AA172" i="14" s="1"/>
  <c r="VI149" i="1"/>
  <c r="VU149" i="1"/>
  <c r="P236" i="14" s="1"/>
  <c r="AA236" i="14" s="1"/>
  <c r="VI10" i="1"/>
  <c r="VU10" i="1"/>
  <c r="P97" i="14" s="1"/>
  <c r="VI88" i="1"/>
  <c r="VU88" i="1"/>
  <c r="P175" i="14" s="1"/>
  <c r="AA175" i="14" s="1"/>
  <c r="VI120" i="1"/>
  <c r="VU120" i="1"/>
  <c r="P207" i="14" s="1"/>
  <c r="AA207" i="14" s="1"/>
  <c r="VI31" i="1"/>
  <c r="VU31" i="1"/>
  <c r="P118" i="14" s="1"/>
  <c r="VI47" i="1"/>
  <c r="VU47" i="1"/>
  <c r="P134" i="14" s="1"/>
  <c r="AA134" i="14" s="1"/>
  <c r="VI63" i="1"/>
  <c r="VU63" i="1"/>
  <c r="P150" i="14" s="1"/>
  <c r="AA150" i="14" s="1"/>
  <c r="VI79" i="1"/>
  <c r="VU79" i="1"/>
  <c r="P166" i="14" s="1"/>
  <c r="AA166" i="14" s="1"/>
  <c r="VI95" i="1"/>
  <c r="VU95" i="1"/>
  <c r="P182" i="14" s="1"/>
  <c r="AA182" i="14" s="1"/>
  <c r="VI111" i="1"/>
  <c r="VU111" i="1"/>
  <c r="P198" i="14" s="1"/>
  <c r="AA198" i="14" s="1"/>
  <c r="VI127" i="1"/>
  <c r="VU127" i="1"/>
  <c r="P214" i="14" s="1"/>
  <c r="AA214" i="14" s="1"/>
  <c r="VI143" i="1"/>
  <c r="VU143" i="1"/>
  <c r="P230" i="14" s="1"/>
  <c r="AA230" i="14" s="1"/>
  <c r="VI159" i="1"/>
  <c r="VU159" i="1"/>
  <c r="P246" i="14" s="1"/>
  <c r="AA246" i="14" s="1"/>
  <c r="XA26" i="1"/>
  <c r="VU26" i="1"/>
  <c r="P113" i="14" s="1"/>
  <c r="AA113" i="14" s="1"/>
  <c r="VI90" i="1"/>
  <c r="VU90" i="1"/>
  <c r="P177" i="14" s="1"/>
  <c r="AA177" i="14" s="1"/>
  <c r="VI122" i="1"/>
  <c r="VU122" i="1"/>
  <c r="P209" i="14" s="1"/>
  <c r="AA209" i="14" s="1"/>
  <c r="VI41" i="1"/>
  <c r="VU41" i="1"/>
  <c r="P128" i="14" s="1"/>
  <c r="AA128" i="14" s="1"/>
  <c r="VI92" i="1"/>
  <c r="VU92" i="1"/>
  <c r="P179" i="14" s="1"/>
  <c r="AA179" i="14" s="1"/>
  <c r="VI35" i="1"/>
  <c r="VU35" i="1"/>
  <c r="P122" i="14" s="1"/>
  <c r="AA122" i="14" s="1"/>
  <c r="VI83" i="1"/>
  <c r="VU83" i="1"/>
  <c r="P170" i="14" s="1"/>
  <c r="AA170" i="14" s="1"/>
  <c r="VI131" i="1"/>
  <c r="VU131" i="1"/>
  <c r="P218" i="14" s="1"/>
  <c r="AA218" i="14" s="1"/>
  <c r="X148" i="14"/>
  <c r="U171" i="14"/>
  <c r="O79" i="17"/>
  <c r="R79" i="17" s="1"/>
  <c r="U221" i="14"/>
  <c r="U162" i="14"/>
  <c r="U215" i="14"/>
  <c r="XW157" i="1"/>
  <c r="XX157" i="1" s="1"/>
  <c r="XW141" i="1"/>
  <c r="XX141" i="1" s="1"/>
  <c r="XW125" i="1"/>
  <c r="XX125" i="1" s="1"/>
  <c r="XW109" i="1"/>
  <c r="XX109" i="1" s="1"/>
  <c r="XW93" i="1"/>
  <c r="XX93" i="1" s="1"/>
  <c r="XW77" i="1"/>
  <c r="XX77" i="1" s="1"/>
  <c r="XW61" i="1"/>
  <c r="XX61" i="1" s="1"/>
  <c r="XW45" i="1"/>
  <c r="XX45" i="1" s="1"/>
  <c r="XW29" i="1"/>
  <c r="XX29" i="1" s="1"/>
  <c r="XW13" i="1"/>
  <c r="XX13" i="1" s="1"/>
  <c r="XW158" i="1"/>
  <c r="XX158" i="1" s="1"/>
  <c r="XW142" i="1"/>
  <c r="XX142" i="1" s="1"/>
  <c r="XW126" i="1"/>
  <c r="XX126" i="1" s="1"/>
  <c r="U149" i="14"/>
  <c r="D164" i="14"/>
  <c r="D152" i="10" s="1"/>
  <c r="I127" i="13"/>
  <c r="D132" i="14"/>
  <c r="D120" i="10" s="1"/>
  <c r="VQ5" i="1"/>
  <c r="VR5" i="1"/>
  <c r="VP5" i="1"/>
  <c r="VO5" i="1"/>
  <c r="XA149" i="1"/>
  <c r="XA88" i="1"/>
  <c r="XW67" i="1"/>
  <c r="XX67" i="1" s="1"/>
  <c r="S107" i="14"/>
  <c r="I33" i="13"/>
  <c r="UA20" i="1"/>
  <c r="UB20" i="1" s="1"/>
  <c r="UX20" i="1" s="1"/>
  <c r="XA90" i="1"/>
  <c r="XA122" i="1"/>
  <c r="U240" i="14"/>
  <c r="V227" i="14"/>
  <c r="O54" i="17"/>
  <c r="R54" i="17" s="1"/>
  <c r="XA131" i="1"/>
  <c r="XA103" i="1"/>
  <c r="XW21" i="1"/>
  <c r="XX21" i="1" s="1"/>
  <c r="XW108" i="1"/>
  <c r="XX108" i="1" s="1"/>
  <c r="XW92" i="1"/>
  <c r="XX92" i="1" s="1"/>
  <c r="XW76" i="1"/>
  <c r="XX76" i="1" s="1"/>
  <c r="XW60" i="1"/>
  <c r="XX60" i="1" s="1"/>
  <c r="XW44" i="1"/>
  <c r="XX44" i="1" s="1"/>
  <c r="XW28" i="1"/>
  <c r="XX28" i="1" s="1"/>
  <c r="XW12" i="1"/>
  <c r="XX12" i="1" s="1"/>
  <c r="XA92" i="1"/>
  <c r="XA83" i="1"/>
  <c r="XA41" i="1"/>
  <c r="XA85" i="1"/>
  <c r="SI26" i="1"/>
  <c r="VI26" i="1"/>
  <c r="SI42" i="1"/>
  <c r="XB42" i="1" s="1"/>
  <c r="VI42" i="1"/>
  <c r="XA58" i="1"/>
  <c r="VI58" i="1"/>
  <c r="XA74" i="1"/>
  <c r="VI74" i="1"/>
  <c r="XA106" i="1"/>
  <c r="VI106" i="1"/>
  <c r="XA138" i="1"/>
  <c r="VI138" i="1"/>
  <c r="XA154" i="1"/>
  <c r="VI154" i="1"/>
  <c r="XA21" i="1"/>
  <c r="VI21" i="1"/>
  <c r="XA57" i="1"/>
  <c r="VI57" i="1"/>
  <c r="XA73" i="1"/>
  <c r="VI73" i="1"/>
  <c r="XA89" i="1"/>
  <c r="VI89" i="1"/>
  <c r="XA105" i="1"/>
  <c r="VI105" i="1"/>
  <c r="XA121" i="1"/>
  <c r="VI121" i="1"/>
  <c r="XA137" i="1"/>
  <c r="VI137" i="1"/>
  <c r="XA153" i="1"/>
  <c r="VI153" i="1"/>
  <c r="SI12" i="1"/>
  <c r="U57" i="17" s="1"/>
  <c r="VI12" i="1"/>
  <c r="XA28" i="1"/>
  <c r="VI28" i="1"/>
  <c r="XA44" i="1"/>
  <c r="VI44" i="1"/>
  <c r="XA60" i="1"/>
  <c r="VI60" i="1"/>
  <c r="XA76" i="1"/>
  <c r="VI76" i="1"/>
  <c r="XA108" i="1"/>
  <c r="VI108" i="1"/>
  <c r="XA124" i="1"/>
  <c r="VI124" i="1"/>
  <c r="XA140" i="1"/>
  <c r="VI140" i="1"/>
  <c r="XA156" i="1"/>
  <c r="VI156" i="1"/>
  <c r="XA19" i="1"/>
  <c r="VI19" i="1"/>
  <c r="XA51" i="1"/>
  <c r="VI51" i="1"/>
  <c r="XA67" i="1"/>
  <c r="VI67" i="1"/>
  <c r="XA99" i="1"/>
  <c r="VI99" i="1"/>
  <c r="XA115" i="1"/>
  <c r="VI115" i="1"/>
  <c r="XA147" i="1"/>
  <c r="VI147" i="1"/>
  <c r="XA163" i="1"/>
  <c r="VI163" i="1"/>
  <c r="XA14" i="1"/>
  <c r="VI14" i="1"/>
  <c r="XA30" i="1"/>
  <c r="VI30" i="1"/>
  <c r="XA46" i="1"/>
  <c r="VI46" i="1"/>
  <c r="XA62" i="1"/>
  <c r="VI62" i="1"/>
  <c r="XA78" i="1"/>
  <c r="VI78" i="1"/>
  <c r="XA94" i="1"/>
  <c r="VI94" i="1"/>
  <c r="XA110" i="1"/>
  <c r="VI110" i="1"/>
  <c r="XA126" i="1"/>
  <c r="VI126" i="1"/>
  <c r="XA142" i="1"/>
  <c r="VI142" i="1"/>
  <c r="XA158" i="1"/>
  <c r="VI158" i="1"/>
  <c r="XA29" i="1"/>
  <c r="VI29" i="1"/>
  <c r="XA45" i="1"/>
  <c r="VI45" i="1"/>
  <c r="XA61" i="1"/>
  <c r="VI61" i="1"/>
  <c r="XA77" i="1"/>
  <c r="VI77" i="1"/>
  <c r="XA93" i="1"/>
  <c r="VI93" i="1"/>
  <c r="XA109" i="1"/>
  <c r="VI109" i="1"/>
  <c r="XA125" i="1"/>
  <c r="VI125" i="1"/>
  <c r="XA141" i="1"/>
  <c r="VI141" i="1"/>
  <c r="XA157" i="1"/>
  <c r="VI157" i="1"/>
  <c r="XA16" i="1"/>
  <c r="VI16" i="1"/>
  <c r="XA32" i="1"/>
  <c r="VI32" i="1"/>
  <c r="XA48" i="1"/>
  <c r="VI48" i="1"/>
  <c r="XA64" i="1"/>
  <c r="VI64" i="1"/>
  <c r="XA80" i="1"/>
  <c r="VI80" i="1"/>
  <c r="XA96" i="1"/>
  <c r="VI96" i="1"/>
  <c r="XA112" i="1"/>
  <c r="VI112" i="1"/>
  <c r="XA128" i="1"/>
  <c r="VI128" i="1"/>
  <c r="XA144" i="1"/>
  <c r="VI144" i="1"/>
  <c r="XA160" i="1"/>
  <c r="VI160" i="1"/>
  <c r="XA13" i="1"/>
  <c r="VI13" i="1"/>
  <c r="XA23" i="1"/>
  <c r="VI23" i="1"/>
  <c r="XA39" i="1"/>
  <c r="VI39" i="1"/>
  <c r="XA55" i="1"/>
  <c r="VI55" i="1"/>
  <c r="XA71" i="1"/>
  <c r="VI71" i="1"/>
  <c r="XA87" i="1"/>
  <c r="VI87" i="1"/>
  <c r="XA119" i="1"/>
  <c r="VI119" i="1"/>
  <c r="XA135" i="1"/>
  <c r="VI135" i="1"/>
  <c r="XA151" i="1"/>
  <c r="VI151" i="1"/>
  <c r="XA18" i="1"/>
  <c r="VI18" i="1"/>
  <c r="XA34" i="1"/>
  <c r="VI34" i="1"/>
  <c r="XA50" i="1"/>
  <c r="VI50" i="1"/>
  <c r="XA66" i="1"/>
  <c r="VI66" i="1"/>
  <c r="XA82" i="1"/>
  <c r="VI82" i="1"/>
  <c r="XA98" i="1"/>
  <c r="VI98" i="1"/>
  <c r="XA114" i="1"/>
  <c r="VI114" i="1"/>
  <c r="XA130" i="1"/>
  <c r="VI130" i="1"/>
  <c r="XA146" i="1"/>
  <c r="VI146" i="1"/>
  <c r="XA162" i="1"/>
  <c r="VI162" i="1"/>
  <c r="XA33" i="1"/>
  <c r="VI33" i="1"/>
  <c r="XA49" i="1"/>
  <c r="VI49" i="1"/>
  <c r="XA65" i="1"/>
  <c r="VI65" i="1"/>
  <c r="XA81" i="1"/>
  <c r="VI81" i="1"/>
  <c r="XA97" i="1"/>
  <c r="VI97" i="1"/>
  <c r="XA113" i="1"/>
  <c r="VI113" i="1"/>
  <c r="XA129" i="1"/>
  <c r="VI129" i="1"/>
  <c r="XA145" i="1"/>
  <c r="VI145" i="1"/>
  <c r="XA161" i="1"/>
  <c r="VI161" i="1"/>
  <c r="XA20" i="1"/>
  <c r="VI20" i="1"/>
  <c r="XA36" i="1"/>
  <c r="VI36" i="1"/>
  <c r="XA52" i="1"/>
  <c r="VI52" i="1"/>
  <c r="XA68" i="1"/>
  <c r="VI68" i="1"/>
  <c r="XA84" i="1"/>
  <c r="VI84" i="1"/>
  <c r="XA100" i="1"/>
  <c r="VI100" i="1"/>
  <c r="XA116" i="1"/>
  <c r="VI116" i="1"/>
  <c r="XA132" i="1"/>
  <c r="VI132" i="1"/>
  <c r="XA148" i="1"/>
  <c r="VI148" i="1"/>
  <c r="UI25" i="1"/>
  <c r="VH25" i="1"/>
  <c r="VH5" i="1" s="1"/>
  <c r="XA11" i="1"/>
  <c r="VI11" i="1"/>
  <c r="XA27" i="1"/>
  <c r="VI27" i="1"/>
  <c r="XA43" i="1"/>
  <c r="VI43" i="1"/>
  <c r="XA59" i="1"/>
  <c r="VI59" i="1"/>
  <c r="XA75" i="1"/>
  <c r="VI75" i="1"/>
  <c r="XA91" i="1"/>
  <c r="VI91" i="1"/>
  <c r="XA107" i="1"/>
  <c r="VI107" i="1"/>
  <c r="XA123" i="1"/>
  <c r="VI123" i="1"/>
  <c r="XA139" i="1"/>
  <c r="VI139" i="1"/>
  <c r="XA155" i="1"/>
  <c r="VI155" i="1"/>
  <c r="TZ151" i="1"/>
  <c r="XA22" i="1"/>
  <c r="VI22" i="1"/>
  <c r="XA54" i="1"/>
  <c r="VI54" i="1"/>
  <c r="XA70" i="1"/>
  <c r="VI70" i="1"/>
  <c r="XA86" i="1"/>
  <c r="VI86" i="1"/>
  <c r="XA102" i="1"/>
  <c r="VI102" i="1"/>
  <c r="XA118" i="1"/>
  <c r="VI118" i="1"/>
  <c r="XA134" i="1"/>
  <c r="VI134" i="1"/>
  <c r="XA150" i="1"/>
  <c r="VI150" i="1"/>
  <c r="XA17" i="1"/>
  <c r="VI17" i="1"/>
  <c r="XA37" i="1"/>
  <c r="VI37" i="1"/>
  <c r="XA53" i="1"/>
  <c r="VI53" i="1"/>
  <c r="XA69" i="1"/>
  <c r="VI69" i="1"/>
  <c r="XA101" i="1"/>
  <c r="VI101" i="1"/>
  <c r="XA117" i="1"/>
  <c r="VI117" i="1"/>
  <c r="XA133" i="1"/>
  <c r="VI133" i="1"/>
  <c r="XA24" i="1"/>
  <c r="VI24" i="1"/>
  <c r="XA40" i="1"/>
  <c r="VI40" i="1"/>
  <c r="XA56" i="1"/>
  <c r="VI56" i="1"/>
  <c r="XA72" i="1"/>
  <c r="VI72" i="1"/>
  <c r="XA104" i="1"/>
  <c r="VI104" i="1"/>
  <c r="XA136" i="1"/>
  <c r="VI136" i="1"/>
  <c r="XA152" i="1"/>
  <c r="VI152" i="1"/>
  <c r="XA15" i="1"/>
  <c r="VI15" i="1"/>
  <c r="D204" i="14"/>
  <c r="D192" i="10" s="1"/>
  <c r="O107" i="17"/>
  <c r="R107" i="17" s="1"/>
  <c r="D192" i="14"/>
  <c r="D180" i="10" s="1"/>
  <c r="I21" i="13"/>
  <c r="D110" i="14"/>
  <c r="D98" i="10" s="1"/>
  <c r="O52" i="17"/>
  <c r="R52" i="17" s="1"/>
  <c r="I5" i="13"/>
  <c r="I124" i="13"/>
  <c r="I89" i="13"/>
  <c r="E20" i="14"/>
  <c r="E13" i="24" s="1"/>
  <c r="O131" i="17"/>
  <c r="R131" i="17" s="1"/>
  <c r="D214" i="14"/>
  <c r="D202" i="10" s="1"/>
  <c r="D130" i="14"/>
  <c r="D118" i="10" s="1"/>
  <c r="D160" i="14"/>
  <c r="D148" i="10" s="1"/>
  <c r="S131" i="14"/>
  <c r="O95" i="17"/>
  <c r="R95" i="17" s="1"/>
  <c r="I71" i="13"/>
  <c r="D228" i="14"/>
  <c r="D216" i="10" s="1"/>
  <c r="I147" i="13"/>
  <c r="D108" i="14"/>
  <c r="D96" i="10" s="1"/>
  <c r="I30" i="13"/>
  <c r="S199" i="14"/>
  <c r="D240" i="14"/>
  <c r="D228" i="10" s="1"/>
  <c r="O64" i="17"/>
  <c r="R64" i="17" s="1"/>
  <c r="XW96" i="1"/>
  <c r="XX96" i="1" s="1"/>
  <c r="XW80" i="1"/>
  <c r="XX80" i="1" s="1"/>
  <c r="XW64" i="1"/>
  <c r="XX64" i="1" s="1"/>
  <c r="XW48" i="1"/>
  <c r="XX48" i="1" s="1"/>
  <c r="XW32" i="1"/>
  <c r="XX32" i="1" s="1"/>
  <c r="XW16" i="1"/>
  <c r="XX16" i="1" s="1"/>
  <c r="O133" i="17"/>
  <c r="R133" i="17" s="1"/>
  <c r="D196" i="14"/>
  <c r="D184" i="10" s="1"/>
  <c r="I23" i="13"/>
  <c r="XW151" i="1"/>
  <c r="XX151" i="1" s="1"/>
  <c r="XW135" i="1"/>
  <c r="XX135" i="1" s="1"/>
  <c r="XW119" i="1"/>
  <c r="XX119" i="1" s="1"/>
  <c r="XW103" i="1"/>
  <c r="XX103" i="1" s="1"/>
  <c r="XW87" i="1"/>
  <c r="XX87" i="1" s="1"/>
  <c r="XW71" i="1"/>
  <c r="XX71" i="1" s="1"/>
  <c r="XW55" i="1"/>
  <c r="XX55" i="1" s="1"/>
  <c r="XW39" i="1"/>
  <c r="XX39" i="1" s="1"/>
  <c r="XW23" i="1"/>
  <c r="XX23" i="1" s="1"/>
  <c r="XW160" i="1"/>
  <c r="XX160" i="1" s="1"/>
  <c r="XW144" i="1"/>
  <c r="XX144" i="1" s="1"/>
  <c r="XW128" i="1"/>
  <c r="XX128" i="1" s="1"/>
  <c r="XW112" i="1"/>
  <c r="XX112" i="1" s="1"/>
  <c r="XW94" i="1"/>
  <c r="XX94" i="1" s="1"/>
  <c r="XW78" i="1"/>
  <c r="XX78" i="1" s="1"/>
  <c r="XW62" i="1"/>
  <c r="XX62" i="1" s="1"/>
  <c r="XW46" i="1"/>
  <c r="XX46" i="1" s="1"/>
  <c r="XW30" i="1"/>
  <c r="XX30" i="1" s="1"/>
  <c r="XW14" i="1"/>
  <c r="XX14" i="1" s="1"/>
  <c r="I50" i="13"/>
  <c r="O47" i="17"/>
  <c r="R47" i="17" s="1"/>
  <c r="D222" i="14"/>
  <c r="D210" i="10" s="1"/>
  <c r="D124" i="14"/>
  <c r="UA111" i="1"/>
  <c r="UB111" i="1" s="1"/>
  <c r="UX111" i="1" s="1"/>
  <c r="XW110" i="1"/>
  <c r="XX110" i="1" s="1"/>
  <c r="SG5" i="1"/>
  <c r="SI10" i="1"/>
  <c r="XB10" i="1" s="1"/>
  <c r="XW10" i="1"/>
  <c r="XW156" i="1"/>
  <c r="XX156" i="1" s="1"/>
  <c r="XW140" i="1"/>
  <c r="XX140" i="1" s="1"/>
  <c r="XW124" i="1"/>
  <c r="XX124" i="1" s="1"/>
  <c r="XW106" i="1"/>
  <c r="XX106" i="1" s="1"/>
  <c r="XW90" i="1"/>
  <c r="XX90" i="1" s="1"/>
  <c r="XW74" i="1"/>
  <c r="XX74" i="1" s="1"/>
  <c r="XW58" i="1"/>
  <c r="XX58" i="1" s="1"/>
  <c r="XW42" i="1"/>
  <c r="XX42" i="1" s="1"/>
  <c r="XW26" i="1"/>
  <c r="XX26" i="1" s="1"/>
  <c r="D156" i="14"/>
  <c r="D144" i="10" s="1"/>
  <c r="D126" i="14"/>
  <c r="D114" i="10" s="1"/>
  <c r="D116" i="14"/>
  <c r="D104" i="10" s="1"/>
  <c r="D185" i="14"/>
  <c r="D173" i="10" s="1"/>
  <c r="O59" i="17"/>
  <c r="R59" i="17" s="1"/>
  <c r="I82" i="13"/>
  <c r="XA42" i="1"/>
  <c r="XW153" i="1"/>
  <c r="XX153" i="1" s="1"/>
  <c r="XW137" i="1"/>
  <c r="XX137" i="1" s="1"/>
  <c r="XW121" i="1"/>
  <c r="XX121" i="1" s="1"/>
  <c r="XW105" i="1"/>
  <c r="XX105" i="1" s="1"/>
  <c r="XW89" i="1"/>
  <c r="XX89" i="1" s="1"/>
  <c r="XW73" i="1"/>
  <c r="XX73" i="1" s="1"/>
  <c r="XW57" i="1"/>
  <c r="XX57" i="1" s="1"/>
  <c r="XW41" i="1"/>
  <c r="XX41" i="1" s="1"/>
  <c r="XW154" i="1"/>
  <c r="XX154" i="1" s="1"/>
  <c r="XW138" i="1"/>
  <c r="XX138" i="1" s="1"/>
  <c r="XW122" i="1"/>
  <c r="XX122" i="1" s="1"/>
  <c r="O41" i="17"/>
  <c r="R41" i="17" s="1"/>
  <c r="I46" i="13"/>
  <c r="O37" i="17"/>
  <c r="R37" i="17" s="1"/>
  <c r="UA93" i="1"/>
  <c r="UB93" i="1" s="1"/>
  <c r="UX93" i="1" s="1"/>
  <c r="D100" i="14"/>
  <c r="D88" i="10" s="1"/>
  <c r="D184" i="14"/>
  <c r="D172" i="10" s="1"/>
  <c r="TZ141" i="1"/>
  <c r="O71" i="17"/>
  <c r="R71" i="17" s="1"/>
  <c r="G189" i="14"/>
  <c r="F177" i="10" s="1"/>
  <c r="D225" i="14"/>
  <c r="D213" i="10" s="1"/>
  <c r="D154" i="14"/>
  <c r="D142" i="10" s="1"/>
  <c r="D134" i="14"/>
  <c r="D122" i="10" s="1"/>
  <c r="D191" i="14"/>
  <c r="D179" i="10" s="1"/>
  <c r="D157" i="14"/>
  <c r="D145" i="10" s="1"/>
  <c r="G196" i="14"/>
  <c r="F184" i="10" s="1"/>
  <c r="O53" i="17"/>
  <c r="R53" i="17" s="1"/>
  <c r="D226" i="14"/>
  <c r="D214" i="10" s="1"/>
  <c r="D178" i="14"/>
  <c r="D166" i="10" s="1"/>
  <c r="TZ146" i="1"/>
  <c r="I121" i="13"/>
  <c r="I17" i="13"/>
  <c r="S103" i="14"/>
  <c r="G121" i="14"/>
  <c r="F109" i="10" s="1"/>
  <c r="G99" i="14"/>
  <c r="F87" i="10" s="1"/>
  <c r="XW100" i="1"/>
  <c r="XX100" i="1" s="1"/>
  <c r="XW84" i="1"/>
  <c r="XX84" i="1" s="1"/>
  <c r="XW68" i="1"/>
  <c r="XX68" i="1" s="1"/>
  <c r="XW52" i="1"/>
  <c r="XX52" i="1" s="1"/>
  <c r="XW36" i="1"/>
  <c r="XX36" i="1" s="1"/>
  <c r="XW20" i="1"/>
  <c r="XX20" i="1" s="1"/>
  <c r="O23" i="17"/>
  <c r="R23" i="17" s="1"/>
  <c r="D131" i="14"/>
  <c r="D119" i="10" s="1"/>
  <c r="I57" i="13"/>
  <c r="G144" i="14"/>
  <c r="F132" i="10" s="1"/>
  <c r="D176" i="14"/>
  <c r="D164" i="10" s="1"/>
  <c r="O97" i="17"/>
  <c r="R97" i="17" s="1"/>
  <c r="I96" i="13"/>
  <c r="O43" i="17"/>
  <c r="R43" i="17" s="1"/>
  <c r="X119" i="14"/>
  <c r="G142" i="14"/>
  <c r="F130" i="10" s="1"/>
  <c r="XW155" i="1"/>
  <c r="XX155" i="1" s="1"/>
  <c r="XW139" i="1"/>
  <c r="XX139" i="1" s="1"/>
  <c r="XW123" i="1"/>
  <c r="XX123" i="1" s="1"/>
  <c r="XW107" i="1"/>
  <c r="XX107" i="1" s="1"/>
  <c r="XW91" i="1"/>
  <c r="XX91" i="1" s="1"/>
  <c r="XW75" i="1"/>
  <c r="XX75" i="1" s="1"/>
  <c r="XW59" i="1"/>
  <c r="XX59" i="1" s="1"/>
  <c r="XW43" i="1"/>
  <c r="XX43" i="1" s="1"/>
  <c r="XW27" i="1"/>
  <c r="XX27" i="1" s="1"/>
  <c r="XW11" i="1"/>
  <c r="XX11" i="1" s="1"/>
  <c r="XW148" i="1"/>
  <c r="XX148" i="1" s="1"/>
  <c r="XW132" i="1"/>
  <c r="XX132" i="1" s="1"/>
  <c r="XW116" i="1"/>
  <c r="XX116" i="1" s="1"/>
  <c r="XW98" i="1"/>
  <c r="XX98" i="1" s="1"/>
  <c r="XW82" i="1"/>
  <c r="XX82" i="1" s="1"/>
  <c r="XW66" i="1"/>
  <c r="XX66" i="1" s="1"/>
  <c r="XW50" i="1"/>
  <c r="XX50" i="1" s="1"/>
  <c r="XW34" i="1"/>
  <c r="XX34" i="1" s="1"/>
  <c r="XW18" i="1"/>
  <c r="XX18" i="1" s="1"/>
  <c r="O112" i="17"/>
  <c r="R112" i="17" s="1"/>
  <c r="D118" i="14"/>
  <c r="D106" i="10" s="1"/>
  <c r="G160" i="14"/>
  <c r="F148" i="10" s="1"/>
  <c r="I22" i="13"/>
  <c r="O58" i="17"/>
  <c r="R58" i="17" s="1"/>
  <c r="O42" i="17"/>
  <c r="R42" i="17" s="1"/>
  <c r="D188" i="14"/>
  <c r="D176" i="10" s="1"/>
  <c r="I150" i="13"/>
  <c r="D224" i="14"/>
  <c r="D212" i="10" s="1"/>
  <c r="D106" i="14"/>
  <c r="D94" i="10" s="1"/>
  <c r="I16" i="13"/>
  <c r="D140" i="14"/>
  <c r="D128" i="10" s="1"/>
  <c r="D146" i="14"/>
  <c r="D134" i="10" s="1"/>
  <c r="X184" i="14"/>
  <c r="X185" i="14"/>
  <c r="UA126" i="1"/>
  <c r="UB126" i="1" s="1"/>
  <c r="UX126" i="1" s="1"/>
  <c r="D238" i="14"/>
  <c r="D226" i="10" s="1"/>
  <c r="D186" i="14"/>
  <c r="D174" i="10" s="1"/>
  <c r="D203" i="14"/>
  <c r="D191" i="10" s="1"/>
  <c r="D170" i="14"/>
  <c r="D158" i="10" s="1"/>
  <c r="O22" i="17"/>
  <c r="R22" i="17" s="1"/>
  <c r="D232" i="14"/>
  <c r="D220" i="10" s="1"/>
  <c r="I53" i="13"/>
  <c r="I92" i="13"/>
  <c r="D175" i="14"/>
  <c r="D163" i="10" s="1"/>
  <c r="O50" i="17"/>
  <c r="R50" i="17" s="1"/>
  <c r="I98" i="13"/>
  <c r="UP7" i="1"/>
  <c r="X115" i="14"/>
  <c r="S147" i="14"/>
  <c r="S179" i="14"/>
  <c r="S183" i="14"/>
  <c r="UA67" i="1"/>
  <c r="UB67" i="1" s="1"/>
  <c r="UX67" i="1" s="1"/>
  <c r="SN43" i="1"/>
  <c r="SP43" i="1" s="1"/>
  <c r="SN75" i="1"/>
  <c r="SP75" i="1" s="1"/>
  <c r="SN107" i="1"/>
  <c r="SP107" i="1" s="1"/>
  <c r="SN139" i="1"/>
  <c r="SP139" i="1" s="1"/>
  <c r="SN37" i="1"/>
  <c r="SP37" i="1" s="1"/>
  <c r="SN58" i="1"/>
  <c r="SP58" i="1" s="1"/>
  <c r="SN90" i="1"/>
  <c r="SP90" i="1" s="1"/>
  <c r="SN121" i="1"/>
  <c r="SP121" i="1" s="1"/>
  <c r="SN134" i="1"/>
  <c r="SP134" i="1" s="1"/>
  <c r="SN76" i="1"/>
  <c r="SP76" i="1" s="1"/>
  <c r="SO24" i="1"/>
  <c r="WI24" i="1" s="1"/>
  <c r="D136" i="14"/>
  <c r="D124" i="10" s="1"/>
  <c r="SN54" i="1"/>
  <c r="SP54" i="1" s="1"/>
  <c r="D107" i="14"/>
  <c r="D95" i="10" s="1"/>
  <c r="I45" i="13"/>
  <c r="D190" i="14"/>
  <c r="D178" i="10" s="1"/>
  <c r="D210" i="14"/>
  <c r="D198" i="10" s="1"/>
  <c r="I75" i="13"/>
  <c r="TZ91" i="1"/>
  <c r="SN15" i="1"/>
  <c r="SP15" i="1" s="1"/>
  <c r="SN31" i="1"/>
  <c r="SP31" i="1" s="1"/>
  <c r="SN47" i="1"/>
  <c r="SP47" i="1" s="1"/>
  <c r="SN63" i="1"/>
  <c r="SP63" i="1" s="1"/>
  <c r="SN79" i="1"/>
  <c r="SP79" i="1" s="1"/>
  <c r="SN95" i="1"/>
  <c r="SP95" i="1" s="1"/>
  <c r="SN111" i="1"/>
  <c r="SP111" i="1" s="1"/>
  <c r="SN127" i="1"/>
  <c r="SP127" i="1" s="1"/>
  <c r="SN143" i="1"/>
  <c r="SP143" i="1" s="1"/>
  <c r="SP159" i="1"/>
  <c r="SO159" i="1"/>
  <c r="WI159" i="1" s="1"/>
  <c r="O80" i="17"/>
  <c r="R80" i="17" s="1"/>
  <c r="TZ142" i="1"/>
  <c r="SN20" i="1"/>
  <c r="SP20" i="1" s="1"/>
  <c r="SN30" i="1"/>
  <c r="SP30" i="1" s="1"/>
  <c r="SN41" i="1"/>
  <c r="SP41" i="1" s="1"/>
  <c r="SN52" i="1"/>
  <c r="SP52" i="1" s="1"/>
  <c r="SN62" i="1"/>
  <c r="SP62" i="1" s="1"/>
  <c r="SN73" i="1"/>
  <c r="SP73" i="1" s="1"/>
  <c r="SN84" i="1"/>
  <c r="SP84" i="1" s="1"/>
  <c r="SN94" i="1"/>
  <c r="SP94" i="1" s="1"/>
  <c r="SN105" i="1"/>
  <c r="SP105" i="1" s="1"/>
  <c r="SO116" i="1"/>
  <c r="WI116" i="1" s="1"/>
  <c r="SN122" i="1"/>
  <c r="SP122" i="1" s="1"/>
  <c r="SN129" i="1"/>
  <c r="SP129" i="1" s="1"/>
  <c r="SN137" i="1"/>
  <c r="SP137" i="1" s="1"/>
  <c r="SN144" i="1"/>
  <c r="SP144" i="1" s="1"/>
  <c r="SN150" i="1"/>
  <c r="SP150" i="1" s="1"/>
  <c r="SP158" i="1"/>
  <c r="SO158" i="1"/>
  <c r="WI158" i="1" s="1"/>
  <c r="SP157" i="1"/>
  <c r="SO157" i="1"/>
  <c r="WI157" i="1" s="1"/>
  <c r="SN34" i="1"/>
  <c r="SP34" i="1" s="1"/>
  <c r="SN56" i="1"/>
  <c r="SP56" i="1" s="1"/>
  <c r="SN77" i="1"/>
  <c r="SP77" i="1" s="1"/>
  <c r="SN98" i="1"/>
  <c r="SP98" i="1" s="1"/>
  <c r="SN130" i="1"/>
  <c r="SP130" i="1" s="1"/>
  <c r="SN22" i="1"/>
  <c r="SP22" i="1" s="1"/>
  <c r="SO40" i="1"/>
  <c r="WI40" i="1" s="1"/>
  <c r="SN61" i="1"/>
  <c r="SP61" i="1" s="1"/>
  <c r="SN92" i="1"/>
  <c r="SP92" i="1" s="1"/>
  <c r="SN72" i="1"/>
  <c r="SP72" i="1" s="1"/>
  <c r="SN13" i="1"/>
  <c r="SP13" i="1" s="1"/>
  <c r="SN27" i="1"/>
  <c r="SP27" i="1" s="1"/>
  <c r="SN59" i="1"/>
  <c r="SP59" i="1" s="1"/>
  <c r="SN91" i="1"/>
  <c r="SP91" i="1" s="1"/>
  <c r="SN123" i="1"/>
  <c r="SP123" i="1" s="1"/>
  <c r="SN155" i="1"/>
  <c r="SP155" i="1" s="1"/>
  <c r="SN16" i="1"/>
  <c r="SP16" i="1" s="1"/>
  <c r="SN48" i="1"/>
  <c r="SP48" i="1" s="1"/>
  <c r="SN80" i="1"/>
  <c r="SP80" i="1" s="1"/>
  <c r="SN113" i="1"/>
  <c r="SP113" i="1" s="1"/>
  <c r="SO33" i="1"/>
  <c r="WI33" i="1" s="1"/>
  <c r="SO125" i="1"/>
  <c r="WI125" i="1" s="1"/>
  <c r="SN18" i="1"/>
  <c r="SP18" i="1" s="1"/>
  <c r="SN38" i="1"/>
  <c r="SP38" i="1" s="1"/>
  <c r="SN60" i="1"/>
  <c r="SP60" i="1" s="1"/>
  <c r="SN82" i="1"/>
  <c r="SP82" i="1" s="1"/>
  <c r="SN104" i="1"/>
  <c r="SP104" i="1" s="1"/>
  <c r="X201" i="14"/>
  <c r="O142" i="17"/>
  <c r="R142" i="17" s="1"/>
  <c r="D168" i="14"/>
  <c r="D156" i="10" s="1"/>
  <c r="D220" i="14"/>
  <c r="D208" i="10" s="1"/>
  <c r="O81" i="17"/>
  <c r="R81" i="17" s="1"/>
  <c r="SP160" i="1"/>
  <c r="SO160" i="1"/>
  <c r="WI160" i="1" s="1"/>
  <c r="I15" i="13"/>
  <c r="D128" i="14"/>
  <c r="D116" i="10" s="1"/>
  <c r="O13" i="17"/>
  <c r="R13" i="17" s="1"/>
  <c r="SN11" i="1"/>
  <c r="SP11" i="1" s="1"/>
  <c r="SN19" i="1"/>
  <c r="SP19" i="1" s="1"/>
  <c r="SN35" i="1"/>
  <c r="SP35" i="1" s="1"/>
  <c r="SN51" i="1"/>
  <c r="SP51" i="1" s="1"/>
  <c r="SN67" i="1"/>
  <c r="SP67" i="1" s="1"/>
  <c r="SN83" i="1"/>
  <c r="SP83" i="1" s="1"/>
  <c r="SN99" i="1"/>
  <c r="SP99" i="1" s="1"/>
  <c r="SN115" i="1"/>
  <c r="SP115" i="1" s="1"/>
  <c r="SN131" i="1"/>
  <c r="SP131" i="1" s="1"/>
  <c r="SN147" i="1"/>
  <c r="SP147" i="1" s="1"/>
  <c r="SP163" i="1"/>
  <c r="SO163" i="1"/>
  <c r="WI163" i="1" s="1"/>
  <c r="SN14" i="1"/>
  <c r="SP14" i="1" s="1"/>
  <c r="TZ19" i="1"/>
  <c r="SN21" i="1"/>
  <c r="SP21" i="1" s="1"/>
  <c r="SN32" i="1"/>
  <c r="SP32" i="1" s="1"/>
  <c r="SN42" i="1"/>
  <c r="SP42" i="1" s="1"/>
  <c r="SN53" i="1"/>
  <c r="SP53" i="1" s="1"/>
  <c r="SN64" i="1"/>
  <c r="SP64" i="1" s="1"/>
  <c r="SN74" i="1"/>
  <c r="SP74" i="1" s="1"/>
  <c r="SN85" i="1"/>
  <c r="SP85" i="1" s="1"/>
  <c r="SN96" i="1"/>
  <c r="SP96" i="1" s="1"/>
  <c r="SN106" i="1"/>
  <c r="SP106" i="1" s="1"/>
  <c r="SO117" i="1"/>
  <c r="WI117" i="1" s="1"/>
  <c r="SN124" i="1"/>
  <c r="SP124" i="1" s="1"/>
  <c r="SN132" i="1"/>
  <c r="SP132" i="1" s="1"/>
  <c r="SN138" i="1"/>
  <c r="SP138" i="1" s="1"/>
  <c r="SN145" i="1"/>
  <c r="SP145" i="1" s="1"/>
  <c r="SN153" i="1"/>
  <c r="SP153" i="1" s="1"/>
  <c r="SN136" i="1"/>
  <c r="SP136" i="1" s="1"/>
  <c r="SN44" i="1"/>
  <c r="SP44" i="1" s="1"/>
  <c r="SN65" i="1"/>
  <c r="SP65" i="1" s="1"/>
  <c r="SN86" i="1"/>
  <c r="SP86" i="1" s="1"/>
  <c r="SN109" i="1"/>
  <c r="SP109" i="1" s="1"/>
  <c r="SN141" i="1"/>
  <c r="SP141" i="1" s="1"/>
  <c r="SO12" i="1"/>
  <c r="WI12" i="1" s="1"/>
  <c r="SN28" i="1"/>
  <c r="SP28" i="1" s="1"/>
  <c r="SN49" i="1"/>
  <c r="SP49" i="1" s="1"/>
  <c r="SN70" i="1"/>
  <c r="SP70" i="1" s="1"/>
  <c r="SN93" i="1"/>
  <c r="SP93" i="1" s="1"/>
  <c r="SH25" i="1"/>
  <c r="VU25" i="1" s="1"/>
  <c r="P112" i="14" s="1"/>
  <c r="AA112" i="14" s="1"/>
  <c r="SN26" i="1"/>
  <c r="SP26" i="1" s="1"/>
  <c r="SN69" i="1"/>
  <c r="SP69" i="1" s="1"/>
  <c r="SN101" i="1"/>
  <c r="SP101" i="1" s="1"/>
  <c r="SN110" i="1"/>
  <c r="SP110" i="1" s="1"/>
  <c r="SN128" i="1"/>
  <c r="SP128" i="1" s="1"/>
  <c r="SN142" i="1"/>
  <c r="SP142" i="1" s="1"/>
  <c r="SN149" i="1"/>
  <c r="SP149" i="1" s="1"/>
  <c r="SP156" i="1"/>
  <c r="SO156" i="1"/>
  <c r="WI156" i="1" s="1"/>
  <c r="SN152" i="1"/>
  <c r="SP152" i="1" s="1"/>
  <c r="SO97" i="1"/>
  <c r="WI97" i="1" s="1"/>
  <c r="TU147" i="1"/>
  <c r="UA37" i="1"/>
  <c r="UB37" i="1" s="1"/>
  <c r="UX37" i="1" s="1"/>
  <c r="X166" i="14"/>
  <c r="X202" i="14"/>
  <c r="V123" i="14"/>
  <c r="D246" i="14"/>
  <c r="D234" i="10" s="1"/>
  <c r="D148" i="14"/>
  <c r="D136" i="10" s="1"/>
  <c r="D211" i="14"/>
  <c r="D199" i="10" s="1"/>
  <c r="O35" i="17"/>
  <c r="R35" i="17" s="1"/>
  <c r="O137" i="17"/>
  <c r="R137" i="17" s="1"/>
  <c r="I126" i="13"/>
  <c r="I139" i="13"/>
  <c r="SN23" i="1"/>
  <c r="SP23" i="1" s="1"/>
  <c r="SN39" i="1"/>
  <c r="SP39" i="1" s="1"/>
  <c r="SN55" i="1"/>
  <c r="SP55" i="1" s="1"/>
  <c r="SN71" i="1"/>
  <c r="SP71" i="1" s="1"/>
  <c r="SN87" i="1"/>
  <c r="SP87" i="1" s="1"/>
  <c r="SN103" i="1"/>
  <c r="SP103" i="1" s="1"/>
  <c r="SN119" i="1"/>
  <c r="SP119" i="1" s="1"/>
  <c r="SN135" i="1"/>
  <c r="SP135" i="1" s="1"/>
  <c r="SN151" i="1"/>
  <c r="SP151" i="1" s="1"/>
  <c r="SN25" i="1"/>
  <c r="SP25" i="1" s="1"/>
  <c r="SN36" i="1"/>
  <c r="SP36" i="1" s="1"/>
  <c r="SN46" i="1"/>
  <c r="SP46" i="1" s="1"/>
  <c r="SN57" i="1"/>
  <c r="SP57" i="1" s="1"/>
  <c r="SN68" i="1"/>
  <c r="SP68" i="1" s="1"/>
  <c r="SN78" i="1"/>
  <c r="SP78" i="1" s="1"/>
  <c r="SN89" i="1"/>
  <c r="SP89" i="1" s="1"/>
  <c r="SN100" i="1"/>
  <c r="SP100" i="1" s="1"/>
  <c r="SN108" i="1"/>
  <c r="SP108" i="1" s="1"/>
  <c r="SN112" i="1"/>
  <c r="SP112" i="1" s="1"/>
  <c r="SN118" i="1"/>
  <c r="SP118" i="1" s="1"/>
  <c r="SN126" i="1"/>
  <c r="SP126" i="1" s="1"/>
  <c r="SN133" i="1"/>
  <c r="SP133" i="1" s="1"/>
  <c r="SN140" i="1"/>
  <c r="SP140" i="1" s="1"/>
  <c r="SN148" i="1"/>
  <c r="SP148" i="1" s="1"/>
  <c r="SN154" i="1"/>
  <c r="SP154" i="1" s="1"/>
  <c r="SP161" i="1"/>
  <c r="SO161" i="1"/>
  <c r="WI161" i="1" s="1"/>
  <c r="SN146" i="1"/>
  <c r="SP146" i="1" s="1"/>
  <c r="SN45" i="1"/>
  <c r="SP45" i="1" s="1"/>
  <c r="SN66" i="1"/>
  <c r="SP66" i="1" s="1"/>
  <c r="SN88" i="1"/>
  <c r="SP88" i="1" s="1"/>
  <c r="SN114" i="1"/>
  <c r="SP114" i="1" s="1"/>
  <c r="SP162" i="1"/>
  <c r="SO162" i="1"/>
  <c r="WI162" i="1" s="1"/>
  <c r="SN120" i="1"/>
  <c r="SP120" i="1" s="1"/>
  <c r="SN17" i="1"/>
  <c r="SP17" i="1" s="1"/>
  <c r="SN29" i="1"/>
  <c r="SP29" i="1" s="1"/>
  <c r="SN50" i="1"/>
  <c r="SP50" i="1" s="1"/>
  <c r="SN81" i="1"/>
  <c r="SP81" i="1" s="1"/>
  <c r="SN102" i="1"/>
  <c r="SP102" i="1" s="1"/>
  <c r="S159" i="14"/>
  <c r="S247" i="14"/>
  <c r="D101" i="14"/>
  <c r="D89" i="10" s="1"/>
  <c r="D194" i="14"/>
  <c r="D182" i="10" s="1"/>
  <c r="D206" i="14"/>
  <c r="D194" i="10" s="1"/>
  <c r="D218" i="14"/>
  <c r="D206" i="10" s="1"/>
  <c r="D98" i="14"/>
  <c r="D86" i="10" s="1"/>
  <c r="D104" i="14"/>
  <c r="D92" i="10" s="1"/>
  <c r="D182" i="14"/>
  <c r="D170" i="10" s="1"/>
  <c r="D234" i="14"/>
  <c r="D222" i="10" s="1"/>
  <c r="O56" i="17"/>
  <c r="R56" i="17" s="1"/>
  <c r="D125" i="14"/>
  <c r="D113" i="10" s="1"/>
  <c r="O29" i="17"/>
  <c r="R29" i="17" s="1"/>
  <c r="D103" i="14"/>
  <c r="D91" i="10" s="1"/>
  <c r="O93" i="17"/>
  <c r="R93" i="17" s="1"/>
  <c r="I26" i="13"/>
  <c r="D151" i="14"/>
  <c r="D139" i="10" s="1"/>
  <c r="D180" i="14"/>
  <c r="D168" i="10" s="1"/>
  <c r="O36" i="17"/>
  <c r="R36" i="17" s="1"/>
  <c r="D159" i="14"/>
  <c r="D147" i="10" s="1"/>
  <c r="I55" i="13"/>
  <c r="D129" i="14"/>
  <c r="D117" i="10" s="1"/>
  <c r="I108" i="13"/>
  <c r="O120" i="17"/>
  <c r="R120" i="17" s="1"/>
  <c r="I76" i="13"/>
  <c r="I47" i="13"/>
  <c r="O17" i="17"/>
  <c r="R17" i="17" s="1"/>
  <c r="O99" i="17"/>
  <c r="R99" i="17" s="1"/>
  <c r="S155" i="14"/>
  <c r="D237" i="14"/>
  <c r="D225" i="10" s="1"/>
  <c r="D217" i="14"/>
  <c r="D205" i="10" s="1"/>
  <c r="D138" i="14"/>
  <c r="D126" i="10" s="1"/>
  <c r="D229" i="14"/>
  <c r="D217" i="10" s="1"/>
  <c r="D235" i="14"/>
  <c r="D223" i="10" s="1"/>
  <c r="D122" i="14"/>
  <c r="D110" i="10" s="1"/>
  <c r="D230" i="14"/>
  <c r="D218" i="10" s="1"/>
  <c r="D152" i="14"/>
  <c r="D140" i="10" s="1"/>
  <c r="O154" i="17"/>
  <c r="R154" i="17" s="1"/>
  <c r="D137" i="14"/>
  <c r="D125" i="10" s="1"/>
  <c r="I97" i="13"/>
  <c r="O113" i="17"/>
  <c r="R113" i="17" s="1"/>
  <c r="O18" i="17"/>
  <c r="R18" i="17" s="1"/>
  <c r="S175" i="14"/>
  <c r="D208" i="14"/>
  <c r="D196" i="10" s="1"/>
  <c r="I12" i="13"/>
  <c r="D144" i="14"/>
  <c r="D132" i="10" s="1"/>
  <c r="O89" i="17"/>
  <c r="R89" i="17" s="1"/>
  <c r="O108" i="17"/>
  <c r="R108" i="17" s="1"/>
  <c r="O123" i="17"/>
  <c r="R123" i="17" s="1"/>
  <c r="I13" i="13"/>
  <c r="O143" i="17"/>
  <c r="R143" i="17" s="1"/>
  <c r="G118" i="14"/>
  <c r="F106" i="10" s="1"/>
  <c r="G199" i="14"/>
  <c r="F187" i="10" s="1"/>
  <c r="G112" i="14"/>
  <c r="F100" i="10" s="1"/>
  <c r="G180" i="14"/>
  <c r="F168" i="10" s="1"/>
  <c r="G212" i="14"/>
  <c r="F200" i="10" s="1"/>
  <c r="G248" i="14"/>
  <c r="F236" i="10" s="1"/>
  <c r="G125" i="14"/>
  <c r="F113" i="10" s="1"/>
  <c r="G130" i="14"/>
  <c r="F118" i="10" s="1"/>
  <c r="G158" i="14"/>
  <c r="F146" i="10" s="1"/>
  <c r="G135" i="14"/>
  <c r="F123" i="10" s="1"/>
  <c r="G151" i="14"/>
  <c r="F139" i="10" s="1"/>
  <c r="G183" i="14"/>
  <c r="F171" i="10" s="1"/>
  <c r="G116" i="14"/>
  <c r="F104" i="10" s="1"/>
  <c r="G177" i="14"/>
  <c r="F165" i="10" s="1"/>
  <c r="G122" i="14"/>
  <c r="F110" i="10" s="1"/>
  <c r="G163" i="14"/>
  <c r="F151" i="10" s="1"/>
  <c r="G214" i="14"/>
  <c r="F202" i="10" s="1"/>
  <c r="V239" i="14"/>
  <c r="X187" i="14"/>
  <c r="E19" i="14"/>
  <c r="E12" i="24" s="1"/>
  <c r="G149" i="14"/>
  <c r="F137" i="10" s="1"/>
  <c r="TZ138" i="1"/>
  <c r="U160" i="14"/>
  <c r="U204" i="14"/>
  <c r="D150" i="14"/>
  <c r="D138" i="10" s="1"/>
  <c r="D181" i="14"/>
  <c r="D169" i="10" s="1"/>
  <c r="D179" i="14"/>
  <c r="D167" i="10" s="1"/>
  <c r="S203" i="14"/>
  <c r="S235" i="14"/>
  <c r="G181" i="14"/>
  <c r="F169" i="10" s="1"/>
  <c r="D244" i="14"/>
  <c r="D232" i="10" s="1"/>
  <c r="O67" i="17"/>
  <c r="R67" i="17" s="1"/>
  <c r="O86" i="17"/>
  <c r="R86" i="17" s="1"/>
  <c r="D158" i="14"/>
  <c r="D146" i="10" s="1"/>
  <c r="UA129" i="1"/>
  <c r="UB129" i="1" s="1"/>
  <c r="UX129" i="1" s="1"/>
  <c r="XA10" i="1"/>
  <c r="SE5" i="1"/>
  <c r="D97" i="14"/>
  <c r="D85" i="10" s="1"/>
  <c r="D7" i="10" s="1"/>
  <c r="UA38" i="1"/>
  <c r="UB38" i="1" s="1"/>
  <c r="UX38" i="1" s="1"/>
  <c r="O122" i="17"/>
  <c r="R122" i="17" s="1"/>
  <c r="U140" i="14"/>
  <c r="G137" i="14"/>
  <c r="F125" i="10" s="1"/>
  <c r="G153" i="14"/>
  <c r="F141" i="10" s="1"/>
  <c r="G172" i="14"/>
  <c r="F160" i="10" s="1"/>
  <c r="G209" i="14"/>
  <c r="F197" i="10" s="1"/>
  <c r="S138" i="14"/>
  <c r="X139" i="14"/>
  <c r="I28" i="13"/>
  <c r="TZ160" i="1"/>
  <c r="U150" i="14"/>
  <c r="TU154" i="1"/>
  <c r="S161" i="14"/>
  <c r="D197" i="14"/>
  <c r="D185" i="10" s="1"/>
  <c r="D117" i="14"/>
  <c r="D105" i="10" s="1"/>
  <c r="D139" i="14"/>
  <c r="D127" i="10" s="1"/>
  <c r="O124" i="17"/>
  <c r="R124" i="17" s="1"/>
  <c r="D115" i="14"/>
  <c r="D103" i="10" s="1"/>
  <c r="X140" i="14"/>
  <c r="O33" i="17"/>
  <c r="R33" i="17" s="1"/>
  <c r="O69" i="17"/>
  <c r="R69" i="17" s="1"/>
  <c r="I112" i="13"/>
  <c r="O21" i="17"/>
  <c r="R21" i="17" s="1"/>
  <c r="D149" i="14"/>
  <c r="D137" i="10" s="1"/>
  <c r="D227" i="14"/>
  <c r="D215" i="10" s="1"/>
  <c r="I44" i="13"/>
  <c r="UA85" i="1"/>
  <c r="UB85" i="1" s="1"/>
  <c r="UX85" i="1" s="1"/>
  <c r="I51" i="13"/>
  <c r="TV19" i="1"/>
  <c r="TW19" i="1" s="1"/>
  <c r="UW19" i="1" s="1"/>
  <c r="WJ19" i="1" s="1"/>
  <c r="X228" i="14"/>
  <c r="UA57" i="1"/>
  <c r="UB57" i="1" s="1"/>
  <c r="UX57" i="1" s="1"/>
  <c r="TU115" i="1"/>
  <c r="S99" i="14"/>
  <c r="D173" i="14"/>
  <c r="D161" i="10" s="1"/>
  <c r="D133" i="14"/>
  <c r="D121" i="10" s="1"/>
  <c r="O139" i="17"/>
  <c r="R139" i="17" s="1"/>
  <c r="D219" i="14"/>
  <c r="D207" i="10" s="1"/>
  <c r="I153" i="13"/>
  <c r="O92" i="17"/>
  <c r="R92" i="17" s="1"/>
  <c r="X144" i="14"/>
  <c r="TZ162" i="1"/>
  <c r="E21" i="14"/>
  <c r="E14" i="24" s="1"/>
  <c r="X132" i="14"/>
  <c r="UA61" i="1"/>
  <c r="UB61" i="1" s="1"/>
  <c r="UX61" i="1" s="1"/>
  <c r="X126" i="14"/>
  <c r="D233" i="14"/>
  <c r="D221" i="10" s="1"/>
  <c r="O76" i="17"/>
  <c r="R76" i="17" s="1"/>
  <c r="D169" i="14"/>
  <c r="D157" i="10" s="1"/>
  <c r="I62" i="13"/>
  <c r="X124" i="14"/>
  <c r="I6" i="13"/>
  <c r="I29" i="13"/>
  <c r="S140" i="14"/>
  <c r="G98" i="14"/>
  <c r="F86" i="10" s="1"/>
  <c r="G104" i="14"/>
  <c r="F92" i="10" s="1"/>
  <c r="G152" i="14"/>
  <c r="F140" i="10" s="1"/>
  <c r="G120" i="14"/>
  <c r="F108" i="10" s="1"/>
  <c r="G222" i="14"/>
  <c r="F210" i="10" s="1"/>
  <c r="G140" i="14"/>
  <c r="F128" i="10" s="1"/>
  <c r="G148" i="14"/>
  <c r="F136" i="10" s="1"/>
  <c r="G156" i="14"/>
  <c r="F144" i="10" s="1"/>
  <c r="G164" i="14"/>
  <c r="F152" i="10" s="1"/>
  <c r="G165" i="14"/>
  <c r="F153" i="10" s="1"/>
  <c r="G193" i="14"/>
  <c r="F181" i="10" s="1"/>
  <c r="G203" i="14"/>
  <c r="F191" i="10" s="1"/>
  <c r="G124" i="14"/>
  <c r="F112" i="10" s="1"/>
  <c r="G136" i="14"/>
  <c r="F124" i="10" s="1"/>
  <c r="G220" i="14"/>
  <c r="F208" i="10" s="1"/>
  <c r="G221" i="14"/>
  <c r="F209" i="10" s="1"/>
  <c r="G186" i="14"/>
  <c r="F174" i="10" s="1"/>
  <c r="G171" i="14"/>
  <c r="F159" i="10" s="1"/>
  <c r="G202" i="14"/>
  <c r="F190" i="10" s="1"/>
  <c r="G115" i="14"/>
  <c r="F103" i="10" s="1"/>
  <c r="G167" i="14"/>
  <c r="F155" i="10" s="1"/>
  <c r="G132" i="14"/>
  <c r="F120" i="10" s="1"/>
  <c r="G230" i="14"/>
  <c r="F218" i="10" s="1"/>
  <c r="G246" i="14"/>
  <c r="F234" i="10" s="1"/>
  <c r="G234" i="14"/>
  <c r="F222" i="10" s="1"/>
  <c r="G146" i="14"/>
  <c r="F134" i="10" s="1"/>
  <c r="G174" i="14"/>
  <c r="F162" i="10" s="1"/>
  <c r="G111" i="14"/>
  <c r="F99" i="10" s="1"/>
  <c r="G147" i="14"/>
  <c r="F135" i="10" s="1"/>
  <c r="G240" i="14"/>
  <c r="F228" i="10" s="1"/>
  <c r="G200" i="14"/>
  <c r="F188" i="10" s="1"/>
  <c r="G182" i="14"/>
  <c r="F170" i="10" s="1"/>
  <c r="G208" i="14"/>
  <c r="F196" i="10" s="1"/>
  <c r="D231" i="14"/>
  <c r="D219" i="10" s="1"/>
  <c r="D201" i="14"/>
  <c r="D189" i="10" s="1"/>
  <c r="D147" i="14"/>
  <c r="D135" i="10" s="1"/>
  <c r="D241" i="14"/>
  <c r="D229" i="10" s="1"/>
  <c r="I107" i="13"/>
  <c r="I101" i="13"/>
  <c r="D209" i="14"/>
  <c r="D197" i="10" s="1"/>
  <c r="UA137" i="1"/>
  <c r="UB137" i="1" s="1"/>
  <c r="UX137" i="1" s="1"/>
  <c r="TU86" i="1"/>
  <c r="S229" i="14"/>
  <c r="D242" i="14"/>
  <c r="D230" i="10" s="1"/>
  <c r="U158" i="14"/>
  <c r="S117" i="14"/>
  <c r="S133" i="14"/>
  <c r="S209" i="14"/>
  <c r="S213" i="14"/>
  <c r="UA49" i="1"/>
  <c r="UB49" i="1" s="1"/>
  <c r="UX49" i="1" s="1"/>
  <c r="UA48" i="1"/>
  <c r="UB48" i="1" s="1"/>
  <c r="UX48" i="1" s="1"/>
  <c r="D113" i="14"/>
  <c r="D101" i="10" s="1"/>
  <c r="I40" i="13"/>
  <c r="D189" i="14"/>
  <c r="D177" i="10" s="1"/>
  <c r="I120" i="13"/>
  <c r="D161" i="14"/>
  <c r="D149" i="10" s="1"/>
  <c r="O105" i="17"/>
  <c r="R105" i="17" s="1"/>
  <c r="I119" i="13"/>
  <c r="I105" i="13"/>
  <c r="TV85" i="1"/>
  <c r="TW85" i="1" s="1"/>
  <c r="UW85" i="1" s="1"/>
  <c r="O153" i="17"/>
  <c r="R153" i="17" s="1"/>
  <c r="TZ124" i="1"/>
  <c r="I34" i="13"/>
  <c r="U231" i="14"/>
  <c r="V122" i="14"/>
  <c r="C150" i="10"/>
  <c r="S173" i="14"/>
  <c r="G238" i="14"/>
  <c r="F226" i="10" s="1"/>
  <c r="G229" i="14"/>
  <c r="F217" i="10" s="1"/>
  <c r="TZ154" i="1"/>
  <c r="O83" i="17"/>
  <c r="R83" i="17" s="1"/>
  <c r="D105" i="14"/>
  <c r="D93" i="10" s="1"/>
  <c r="UA115" i="1"/>
  <c r="UB115" i="1" s="1"/>
  <c r="UX115" i="1" s="1"/>
  <c r="UA108" i="1"/>
  <c r="UB108" i="1" s="1"/>
  <c r="UX108" i="1" s="1"/>
  <c r="TZ64" i="1"/>
  <c r="UA125" i="1"/>
  <c r="UB125" i="1" s="1"/>
  <c r="UX125" i="1" s="1"/>
  <c r="G108" i="14"/>
  <c r="F96" i="10" s="1"/>
  <c r="G188" i="14"/>
  <c r="F176" i="10" s="1"/>
  <c r="TZ132" i="1"/>
  <c r="TZ152" i="1"/>
  <c r="I27" i="13"/>
  <c r="O141" i="17"/>
  <c r="R141" i="17" s="1"/>
  <c r="TV77" i="1"/>
  <c r="TW77" i="1" s="1"/>
  <c r="UW77" i="1" s="1"/>
  <c r="WJ77" i="1" s="1"/>
  <c r="U235" i="14"/>
  <c r="S187" i="14"/>
  <c r="C223" i="10"/>
  <c r="TU45" i="1"/>
  <c r="UA98" i="1"/>
  <c r="UB98" i="1" s="1"/>
  <c r="UX98" i="1" s="1"/>
  <c r="C191" i="10"/>
  <c r="XA12" i="1"/>
  <c r="O21" i="14"/>
  <c r="V231" i="14"/>
  <c r="S142" i="14"/>
  <c r="C178" i="10"/>
  <c r="UA73" i="1"/>
  <c r="UB73" i="1" s="1"/>
  <c r="UX73" i="1" s="1"/>
  <c r="UA163" i="1"/>
  <c r="UB163" i="1" s="1"/>
  <c r="UX163" i="1" s="1"/>
  <c r="C21" i="14"/>
  <c r="C14" i="24" s="1"/>
  <c r="X102" i="14"/>
  <c r="U126" i="14"/>
  <c r="U138" i="14"/>
  <c r="U146" i="14"/>
  <c r="U174" i="14"/>
  <c r="X214" i="14"/>
  <c r="C90" i="10"/>
  <c r="C114" i="10"/>
  <c r="C126" i="10"/>
  <c r="X146" i="14"/>
  <c r="U154" i="14"/>
  <c r="X162" i="14"/>
  <c r="U186" i="14"/>
  <c r="TZ133" i="1"/>
  <c r="TZ39" i="1"/>
  <c r="X135" i="14"/>
  <c r="S215" i="14"/>
  <c r="X122" i="14"/>
  <c r="U142" i="14"/>
  <c r="C142" i="10"/>
  <c r="S162" i="14"/>
  <c r="TZ58" i="1"/>
  <c r="UA68" i="1"/>
  <c r="UB68" i="1" s="1"/>
  <c r="UX68" i="1" s="1"/>
  <c r="UA157" i="1"/>
  <c r="UB157" i="1" s="1"/>
  <c r="UX157" i="1" s="1"/>
  <c r="UA31" i="1"/>
  <c r="UB31" i="1" s="1"/>
  <c r="UX31" i="1" s="1"/>
  <c r="UA35" i="1"/>
  <c r="UB35" i="1" s="1"/>
  <c r="UX35" i="1" s="1"/>
  <c r="C112" i="10"/>
  <c r="TU26" i="1"/>
  <c r="TU111" i="1"/>
  <c r="D249" i="14"/>
  <c r="D237" i="10" s="1"/>
  <c r="D187" i="14"/>
  <c r="D175" i="10" s="1"/>
  <c r="G97" i="14"/>
  <c r="F85" i="10" s="1"/>
  <c r="UA66" i="1"/>
  <c r="UB66" i="1" s="1"/>
  <c r="UX66" i="1" s="1"/>
  <c r="S111" i="14"/>
  <c r="V163" i="14"/>
  <c r="V243" i="14"/>
  <c r="TZ87" i="1"/>
  <c r="TZ42" i="1"/>
  <c r="TZ77" i="1"/>
  <c r="S124" i="14"/>
  <c r="S249" i="14"/>
  <c r="S102" i="14"/>
  <c r="S126" i="14"/>
  <c r="S134" i="14"/>
  <c r="S154" i="14"/>
  <c r="S174" i="14"/>
  <c r="S190" i="14"/>
  <c r="S214" i="14"/>
  <c r="X99" i="14"/>
  <c r="TV101" i="1"/>
  <c r="TW101" i="1" s="1"/>
  <c r="UW101" i="1" s="1"/>
  <c r="X190" i="14"/>
  <c r="C103" i="10"/>
  <c r="X143" i="14"/>
  <c r="U179" i="14"/>
  <c r="C215" i="10"/>
  <c r="S156" i="14"/>
  <c r="S232" i="14"/>
  <c r="TU143" i="1"/>
  <c r="TU82" i="1"/>
  <c r="UA45" i="1"/>
  <c r="UB45" i="1" s="1"/>
  <c r="UX45" i="1" s="1"/>
  <c r="S146" i="14"/>
  <c r="S158" i="14"/>
  <c r="S186" i="14"/>
  <c r="UA10" i="1"/>
  <c r="UB10" i="1" s="1"/>
  <c r="TZ14" i="1"/>
  <c r="G201" i="14"/>
  <c r="F189" i="10" s="1"/>
  <c r="G166" i="14"/>
  <c r="F154" i="10" s="1"/>
  <c r="G190" i="14"/>
  <c r="F178" i="10" s="1"/>
  <c r="UR7" i="1"/>
  <c r="O15" i="17"/>
  <c r="R15" i="17" s="1"/>
  <c r="TZ105" i="1"/>
  <c r="TZ69" i="1"/>
  <c r="TZ118" i="1"/>
  <c r="Q159" i="17"/>
  <c r="UA117" i="1"/>
  <c r="UB117" i="1" s="1"/>
  <c r="UX117" i="1" s="1"/>
  <c r="TZ22" i="1"/>
  <c r="K18" i="14"/>
  <c r="F11" i="24" s="1"/>
  <c r="UA21" i="1"/>
  <c r="UB21" i="1" s="1"/>
  <c r="UX21" i="1" s="1"/>
  <c r="G232" i="14"/>
  <c r="F220" i="10" s="1"/>
  <c r="U98" i="14"/>
  <c r="S230" i="14"/>
  <c r="S234" i="14"/>
  <c r="S250" i="14"/>
  <c r="G250" i="14"/>
  <c r="F238" i="10" s="1"/>
  <c r="TZ92" i="1"/>
  <c r="O138" i="17"/>
  <c r="R138" i="17" s="1"/>
  <c r="D109" i="14"/>
  <c r="D97" i="10" s="1"/>
  <c r="UA51" i="1"/>
  <c r="UB51" i="1" s="1"/>
  <c r="UX51" i="1" s="1"/>
  <c r="I128" i="13"/>
  <c r="O110" i="17"/>
  <c r="R110" i="17" s="1"/>
  <c r="U123" i="14"/>
  <c r="C135" i="10"/>
  <c r="X131" i="14"/>
  <c r="U136" i="14"/>
  <c r="S196" i="14"/>
  <c r="V165" i="14"/>
  <c r="V189" i="14"/>
  <c r="TU110" i="1"/>
  <c r="V225" i="14"/>
  <c r="UA25" i="1"/>
  <c r="UB25" i="1" s="1"/>
  <c r="UX25" i="1" s="1"/>
  <c r="S118" i="14"/>
  <c r="TU59" i="1"/>
  <c r="UA30" i="1"/>
  <c r="UB30" i="1" s="1"/>
  <c r="UX30" i="1" s="1"/>
  <c r="G218" i="14"/>
  <c r="F206" i="10" s="1"/>
  <c r="D145" i="14"/>
  <c r="D133" i="10" s="1"/>
  <c r="G207" i="14"/>
  <c r="F195" i="10" s="1"/>
  <c r="D213" i="14"/>
  <c r="D201" i="10" s="1"/>
  <c r="D165" i="14"/>
  <c r="D153" i="10" s="1"/>
  <c r="I78" i="13"/>
  <c r="D193" i="14"/>
  <c r="D181" i="10" s="1"/>
  <c r="TZ33" i="1"/>
  <c r="UA53" i="1"/>
  <c r="UB53" i="1" s="1"/>
  <c r="UX53" i="1" s="1"/>
  <c r="I36" i="13"/>
  <c r="TV93" i="1"/>
  <c r="TW93" i="1" s="1"/>
  <c r="UW93" i="1" s="1"/>
  <c r="V229" i="14"/>
  <c r="S106" i="14"/>
  <c r="S182" i="14"/>
  <c r="S238" i="14"/>
  <c r="V121" i="14"/>
  <c r="V169" i="14"/>
  <c r="G237" i="14"/>
  <c r="F225" i="10" s="1"/>
  <c r="TZ110" i="1"/>
  <c r="UA121" i="1"/>
  <c r="UB121" i="1" s="1"/>
  <c r="UX121" i="1" s="1"/>
  <c r="D121" i="14"/>
  <c r="D109" i="10" s="1"/>
  <c r="D183" i="14"/>
  <c r="D171" i="10" s="1"/>
  <c r="O119" i="17"/>
  <c r="R119" i="17" s="1"/>
  <c r="TZ63" i="1"/>
  <c r="UA71" i="1"/>
  <c r="UB71" i="1" s="1"/>
  <c r="UX71" i="1" s="1"/>
  <c r="TZ150" i="1"/>
  <c r="TZ89" i="1"/>
  <c r="UA109" i="1"/>
  <c r="UB109" i="1" s="1"/>
  <c r="UX109" i="1" s="1"/>
  <c r="I67" i="13"/>
  <c r="RY177" i="1"/>
  <c r="WY5" i="1"/>
  <c r="U119" i="14"/>
  <c r="V131" i="14"/>
  <c r="V143" i="14"/>
  <c r="V183" i="14"/>
  <c r="S219" i="14"/>
  <c r="U115" i="14"/>
  <c r="V119" i="14"/>
  <c r="U127" i="14"/>
  <c r="C119" i="10"/>
  <c r="U139" i="14"/>
  <c r="U147" i="14"/>
  <c r="U183" i="14"/>
  <c r="V211" i="14"/>
  <c r="X227" i="14"/>
  <c r="U124" i="14"/>
  <c r="TV126" i="1"/>
  <c r="TW126" i="1" s="1"/>
  <c r="UW126" i="1" s="1"/>
  <c r="V233" i="14"/>
  <c r="UA65" i="1"/>
  <c r="UB65" i="1" s="1"/>
  <c r="UX65" i="1" s="1"/>
  <c r="UA88" i="1"/>
  <c r="UB88" i="1" s="1"/>
  <c r="UX88" i="1" s="1"/>
  <c r="G213" i="14"/>
  <c r="F201" i="10" s="1"/>
  <c r="TZ130" i="1"/>
  <c r="G194" i="14"/>
  <c r="F182" i="10" s="1"/>
  <c r="G127" i="14"/>
  <c r="F115" i="10" s="1"/>
  <c r="D177" i="14"/>
  <c r="D165" i="10" s="1"/>
  <c r="I135" i="13"/>
  <c r="D167" i="14"/>
  <c r="D155" i="10" s="1"/>
  <c r="Q158" i="17"/>
  <c r="TU97" i="1"/>
  <c r="Q160" i="17"/>
  <c r="TZ81" i="1"/>
  <c r="TZ161" i="1"/>
  <c r="TZ156" i="1"/>
  <c r="I65" i="13"/>
  <c r="TZ145" i="1"/>
  <c r="TZ149" i="1"/>
  <c r="U111" i="14"/>
  <c r="C111" i="10"/>
  <c r="V139" i="14"/>
  <c r="V237" i="14"/>
  <c r="C18" i="14"/>
  <c r="C11" i="24" s="1"/>
  <c r="S115" i="14"/>
  <c r="S123" i="14"/>
  <c r="V127" i="14"/>
  <c r="S135" i="14"/>
  <c r="C127" i="10"/>
  <c r="X147" i="14"/>
  <c r="V179" i="14"/>
  <c r="C171" i="10"/>
  <c r="S211" i="14"/>
  <c r="S227" i="14"/>
  <c r="X116" i="14"/>
  <c r="V109" i="14"/>
  <c r="V157" i="14"/>
  <c r="V205" i="14"/>
  <c r="V245" i="14"/>
  <c r="TU151" i="1"/>
  <c r="UA70" i="1"/>
  <c r="UB70" i="1" s="1"/>
  <c r="UX70" i="1" s="1"/>
  <c r="X151" i="14"/>
  <c r="D171" i="14"/>
  <c r="D159" i="10" s="1"/>
  <c r="TZ17" i="1"/>
  <c r="I142" i="13"/>
  <c r="I100" i="13"/>
  <c r="U207" i="14"/>
  <c r="V247" i="14"/>
  <c r="C87" i="10"/>
  <c r="V167" i="14"/>
  <c r="X195" i="14"/>
  <c r="U239" i="14"/>
  <c r="X101" i="14"/>
  <c r="U197" i="14"/>
  <c r="X155" i="14"/>
  <c r="C155" i="10"/>
  <c r="X203" i="14"/>
  <c r="X235" i="14"/>
  <c r="S239" i="14"/>
  <c r="M21" i="14"/>
  <c r="U205" i="14"/>
  <c r="U106" i="14"/>
  <c r="X182" i="14"/>
  <c r="U238" i="14"/>
  <c r="X117" i="14"/>
  <c r="X141" i="14"/>
  <c r="U213" i="14"/>
  <c r="C229" i="10"/>
  <c r="TV120" i="1"/>
  <c r="TW120" i="1" s="1"/>
  <c r="UW120" i="1" s="1"/>
  <c r="V221" i="14"/>
  <c r="O155" i="17"/>
  <c r="R155" i="17" s="1"/>
  <c r="X106" i="14"/>
  <c r="U182" i="14"/>
  <c r="X238" i="14"/>
  <c r="U133" i="14"/>
  <c r="V155" i="14"/>
  <c r="C143" i="10"/>
  <c r="S163" i="14"/>
  <c r="S167" i="14"/>
  <c r="U187" i="14"/>
  <c r="V195" i="14"/>
  <c r="V203" i="14"/>
  <c r="X219" i="14"/>
  <c r="C207" i="10"/>
  <c r="X247" i="14"/>
  <c r="C235" i="10"/>
  <c r="U157" i="14"/>
  <c r="X181" i="14"/>
  <c r="C19" i="14"/>
  <c r="C12" i="24" s="1"/>
  <c r="U155" i="14"/>
  <c r="U163" i="14"/>
  <c r="X167" i="14"/>
  <c r="V187" i="14"/>
  <c r="C175" i="10"/>
  <c r="U195" i="14"/>
  <c r="U203" i="14"/>
  <c r="V219" i="14"/>
  <c r="U247" i="14"/>
  <c r="C216" i="10"/>
  <c r="C145" i="10"/>
  <c r="V185" i="14"/>
  <c r="U217" i="14"/>
  <c r="C20" i="14"/>
  <c r="C13" i="24" s="1"/>
  <c r="X163" i="14"/>
  <c r="S195" i="14"/>
  <c r="X109" i="14"/>
  <c r="C173" i="10"/>
  <c r="X245" i="14"/>
  <c r="V160" i="14"/>
  <c r="X118" i="14"/>
  <c r="S242" i="14"/>
  <c r="S109" i="14"/>
  <c r="S157" i="14"/>
  <c r="U181" i="14"/>
  <c r="S185" i="14"/>
  <c r="S205" i="14"/>
  <c r="C193" i="10"/>
  <c r="S217" i="14"/>
  <c r="X229" i="14"/>
  <c r="C217" i="10"/>
  <c r="S245" i="14"/>
  <c r="TZ44" i="1"/>
  <c r="S180" i="14"/>
  <c r="U109" i="14"/>
  <c r="C97" i="10"/>
  <c r="X157" i="14"/>
  <c r="V181" i="14"/>
  <c r="U185" i="14"/>
  <c r="X205" i="14"/>
  <c r="X217" i="14"/>
  <c r="U229" i="14"/>
  <c r="U245" i="14"/>
  <c r="E26" i="2"/>
  <c r="E27" i="2" s="1"/>
  <c r="S204" i="14"/>
  <c r="U210" i="14"/>
  <c r="S226" i="14"/>
  <c r="S181" i="14"/>
  <c r="V217" i="14"/>
  <c r="G155" i="14"/>
  <c r="F143" i="10" s="1"/>
  <c r="G187" i="14"/>
  <c r="F175" i="10" s="1"/>
  <c r="TV49" i="1"/>
  <c r="TW49" i="1" s="1"/>
  <c r="UW49" i="1" s="1"/>
  <c r="G192" i="14"/>
  <c r="F180" i="10" s="1"/>
  <c r="G100" i="14"/>
  <c r="F88" i="10" s="1"/>
  <c r="V111" i="14"/>
  <c r="V115" i="14"/>
  <c r="S119" i="14"/>
  <c r="C107" i="10"/>
  <c r="X123" i="14"/>
  <c r="S127" i="14"/>
  <c r="U131" i="14"/>
  <c r="V135" i="14"/>
  <c r="C123" i="10"/>
  <c r="S139" i="14"/>
  <c r="U143" i="14"/>
  <c r="V147" i="14"/>
  <c r="X179" i="14"/>
  <c r="C167" i="10"/>
  <c r="X183" i="14"/>
  <c r="U211" i="14"/>
  <c r="U227" i="14"/>
  <c r="S231" i="14"/>
  <c r="V235" i="14"/>
  <c r="X239" i="14"/>
  <c r="C227" i="10"/>
  <c r="U112" i="14"/>
  <c r="U148" i="14"/>
  <c r="U184" i="14"/>
  <c r="S236" i="14"/>
  <c r="V102" i="14"/>
  <c r="S122" i="14"/>
  <c r="C110" i="10"/>
  <c r="U134" i="14"/>
  <c r="X138" i="14"/>
  <c r="X142" i="14"/>
  <c r="C130" i="10"/>
  <c r="V146" i="14"/>
  <c r="S150" i="14"/>
  <c r="X154" i="14"/>
  <c r="X158" i="14"/>
  <c r="C146" i="10"/>
  <c r="X186" i="14"/>
  <c r="C174" i="10"/>
  <c r="X111" i="14"/>
  <c r="X127" i="14"/>
  <c r="S143" i="14"/>
  <c r="X211" i="14"/>
  <c r="X231" i="14"/>
  <c r="S212" i="14"/>
  <c r="X134" i="14"/>
  <c r="X150" i="14"/>
  <c r="X174" i="14"/>
  <c r="TV89" i="1"/>
  <c r="TW89" i="1" s="1"/>
  <c r="UW89" i="1" s="1"/>
  <c r="WJ89" i="1" s="1"/>
  <c r="TV97" i="1"/>
  <c r="TW97" i="1" s="1"/>
  <c r="UW97" i="1" s="1"/>
  <c r="WJ97" i="1" s="1"/>
  <c r="U214" i="14"/>
  <c r="TV10" i="1"/>
  <c r="TW10" i="1" s="1"/>
  <c r="UW10" i="1" s="1"/>
  <c r="TV150" i="1"/>
  <c r="TW150" i="1" s="1"/>
  <c r="UW150" i="1" s="1"/>
  <c r="WJ150" i="1" s="1"/>
  <c r="UA74" i="1"/>
  <c r="UB74" i="1" s="1"/>
  <c r="UX74" i="1" s="1"/>
  <c r="S116" i="14"/>
  <c r="U137" i="14"/>
  <c r="C209" i="10"/>
  <c r="U100" i="14"/>
  <c r="U116" i="14"/>
  <c r="C104" i="10"/>
  <c r="C148" i="10"/>
  <c r="U196" i="14"/>
  <c r="U220" i="14"/>
  <c r="U244" i="14"/>
  <c r="S246" i="14"/>
  <c r="X113" i="14"/>
  <c r="S137" i="14"/>
  <c r="C141" i="10"/>
  <c r="C153" i="10"/>
  <c r="S189" i="14"/>
  <c r="X209" i="14"/>
  <c r="S225" i="14"/>
  <c r="V241" i="14"/>
  <c r="UA50" i="1"/>
  <c r="UB50" i="1" s="1"/>
  <c r="UX50" i="1" s="1"/>
  <c r="TU152" i="1"/>
  <c r="TZ62" i="1"/>
  <c r="TV113" i="1"/>
  <c r="TW113" i="1" s="1"/>
  <c r="UW113" i="1" s="1"/>
  <c r="TZ123" i="1"/>
  <c r="TZ23" i="1"/>
  <c r="UA101" i="1"/>
  <c r="UB101" i="1" s="1"/>
  <c r="UX101" i="1" s="1"/>
  <c r="S166" i="14"/>
  <c r="C105" i="10"/>
  <c r="V153" i="14"/>
  <c r="X165" i="14"/>
  <c r="C201" i="10"/>
  <c r="X120" i="14"/>
  <c r="C132" i="10"/>
  <c r="C184" i="10"/>
  <c r="S228" i="14"/>
  <c r="X98" i="14"/>
  <c r="X178" i="14"/>
  <c r="S202" i="14"/>
  <c r="S128" i="14"/>
  <c r="TU25" i="1"/>
  <c r="UA28" i="1"/>
  <c r="UB28" i="1" s="1"/>
  <c r="UX28" i="1" s="1"/>
  <c r="UA131" i="1"/>
  <c r="UB131" i="1" s="1"/>
  <c r="UX131" i="1" s="1"/>
  <c r="G168" i="14"/>
  <c r="F156" i="10" s="1"/>
  <c r="G176" i="14"/>
  <c r="F164" i="10" s="1"/>
  <c r="TU161" i="1"/>
  <c r="TU10" i="1"/>
  <c r="G204" i="14"/>
  <c r="F192" i="10" s="1"/>
  <c r="C156" i="10"/>
  <c r="S188" i="14"/>
  <c r="X188" i="14"/>
  <c r="S120" i="14"/>
  <c r="S160" i="14"/>
  <c r="U180" i="14"/>
  <c r="X204" i="14"/>
  <c r="C192" i="10"/>
  <c r="U212" i="14"/>
  <c r="X220" i="14"/>
  <c r="U236" i="14"/>
  <c r="C224" i="10"/>
  <c r="S244" i="14"/>
  <c r="X136" i="14"/>
  <c r="C176" i="10"/>
  <c r="U101" i="14"/>
  <c r="X105" i="14"/>
  <c r="C93" i="10"/>
  <c r="V105" i="14"/>
  <c r="V125" i="14"/>
  <c r="S125" i="14"/>
  <c r="C117" i="10"/>
  <c r="V129" i="14"/>
  <c r="C149" i="10"/>
  <c r="U161" i="14"/>
  <c r="C165" i="10"/>
  <c r="V177" i="14"/>
  <c r="C181" i="10"/>
  <c r="X193" i="14"/>
  <c r="V197" i="14"/>
  <c r="S197" i="14"/>
  <c r="S201" i="14"/>
  <c r="C189" i="10"/>
  <c r="V201" i="14"/>
  <c r="X233" i="14"/>
  <c r="U233" i="14"/>
  <c r="C221" i="10"/>
  <c r="X249" i="14"/>
  <c r="V249" i="14"/>
  <c r="TZ72" i="1"/>
  <c r="UA72" i="1"/>
  <c r="UB72" i="1" s="1"/>
  <c r="UX72" i="1" s="1"/>
  <c r="G117" i="14"/>
  <c r="F105" i="10" s="1"/>
  <c r="U120" i="14"/>
  <c r="C108" i="10"/>
  <c r="X160" i="14"/>
  <c r="X180" i="14"/>
  <c r="C168" i="10"/>
  <c r="X196" i="14"/>
  <c r="X212" i="14"/>
  <c r="C200" i="10"/>
  <c r="S220" i="14"/>
  <c r="U228" i="14"/>
  <c r="X236" i="14"/>
  <c r="X244" i="14"/>
  <c r="C232" i="10"/>
  <c r="U152" i="14"/>
  <c r="S224" i="14"/>
  <c r="TV105" i="1"/>
  <c r="TW105" i="1" s="1"/>
  <c r="UW105" i="1" s="1"/>
  <c r="WJ105" i="1" s="1"/>
  <c r="UA135" i="1"/>
  <c r="UB135" i="1" s="1"/>
  <c r="UX135" i="1" s="1"/>
  <c r="TZ36" i="1"/>
  <c r="UA36" i="1"/>
  <c r="UB36" i="1" s="1"/>
  <c r="UX36" i="1" s="1"/>
  <c r="TZ113" i="1"/>
  <c r="UA113" i="1"/>
  <c r="UB113" i="1" s="1"/>
  <c r="UX113" i="1" s="1"/>
  <c r="G228" i="14"/>
  <c r="F216" i="10" s="1"/>
  <c r="TZ127" i="1"/>
  <c r="UA127" i="1"/>
  <c r="UB127" i="1" s="1"/>
  <c r="UX127" i="1" s="1"/>
  <c r="UA96" i="1"/>
  <c r="UB96" i="1" s="1"/>
  <c r="UX96" i="1" s="1"/>
  <c r="TZ96" i="1"/>
  <c r="G110" i="14"/>
  <c r="F98" i="10" s="1"/>
  <c r="S136" i="14"/>
  <c r="S152" i="14"/>
  <c r="X168" i="14"/>
  <c r="V113" i="14"/>
  <c r="C101" i="10"/>
  <c r="S113" i="14"/>
  <c r="V117" i="14"/>
  <c r="U117" i="14"/>
  <c r="C121" i="10"/>
  <c r="V133" i="14"/>
  <c r="X133" i="14"/>
  <c r="X137" i="14"/>
  <c r="V137" i="14"/>
  <c r="V141" i="14"/>
  <c r="C129" i="10"/>
  <c r="S141" i="14"/>
  <c r="S153" i="14"/>
  <c r="X153" i="14"/>
  <c r="S165" i="14"/>
  <c r="U165" i="14"/>
  <c r="C177" i="10"/>
  <c r="U189" i="14"/>
  <c r="X189" i="14"/>
  <c r="V209" i="14"/>
  <c r="C197" i="10"/>
  <c r="U209" i="14"/>
  <c r="X213" i="14"/>
  <c r="V213" i="14"/>
  <c r="S221" i="14"/>
  <c r="X221" i="14"/>
  <c r="X225" i="14"/>
  <c r="C213" i="10"/>
  <c r="U225" i="14"/>
  <c r="S241" i="14"/>
  <c r="X241" i="14"/>
  <c r="TU81" i="1"/>
  <c r="TV81" i="1"/>
  <c r="TW81" i="1" s="1"/>
  <c r="UW81" i="1" s="1"/>
  <c r="WJ81" i="1" s="1"/>
  <c r="TZ15" i="1"/>
  <c r="UA15" i="1"/>
  <c r="UB15" i="1" s="1"/>
  <c r="UX15" i="1" s="1"/>
  <c r="G154" i="14"/>
  <c r="F142" i="10" s="1"/>
  <c r="WR72" i="1"/>
  <c r="WR56" i="1"/>
  <c r="D123" i="14"/>
  <c r="D111" i="10" s="1"/>
  <c r="D199" i="14"/>
  <c r="D187" i="10" s="1"/>
  <c r="TZ12" i="1"/>
  <c r="UA12" i="1"/>
  <c r="UB12" i="1" s="1"/>
  <c r="UX12" i="1" s="1"/>
  <c r="UA158" i="1"/>
  <c r="UB158" i="1" s="1"/>
  <c r="UX158" i="1" s="1"/>
  <c r="TZ158" i="1"/>
  <c r="G157" i="14"/>
  <c r="F145" i="10" s="1"/>
  <c r="D250" i="14"/>
  <c r="D238" i="10" s="1"/>
  <c r="UA55" i="1"/>
  <c r="UB55" i="1" s="1"/>
  <c r="UX55" i="1" s="1"/>
  <c r="TZ55" i="1"/>
  <c r="UA86" i="1"/>
  <c r="UB86" i="1" s="1"/>
  <c r="UX86" i="1" s="1"/>
  <c r="TZ86" i="1"/>
  <c r="G138" i="14"/>
  <c r="F126" i="10" s="1"/>
  <c r="G198" i="14"/>
  <c r="F186" i="10" s="1"/>
  <c r="V176" i="14"/>
  <c r="TU142" i="1"/>
  <c r="V159" i="14"/>
  <c r="VB7" i="1"/>
  <c r="G109" i="14"/>
  <c r="F97" i="10" s="1"/>
  <c r="G161" i="14"/>
  <c r="F149" i="10" s="1"/>
  <c r="TU77" i="1"/>
  <c r="TZ122" i="1"/>
  <c r="SD176" i="1"/>
  <c r="SE176" i="1" s="1"/>
  <c r="SF176" i="1" s="1"/>
  <c r="TZ54" i="1"/>
  <c r="TU129" i="1"/>
  <c r="RX177" i="1"/>
  <c r="V100" i="14"/>
  <c r="TU53" i="1"/>
  <c r="TU146" i="1"/>
  <c r="V103" i="14"/>
  <c r="V175" i="14"/>
  <c r="V191" i="14"/>
  <c r="SX5" i="1"/>
  <c r="TV157" i="1"/>
  <c r="TW157" i="1" s="1"/>
  <c r="UW157" i="1" s="1"/>
  <c r="TV161" i="1"/>
  <c r="TW161" i="1" s="1"/>
  <c r="UW161" i="1" s="1"/>
  <c r="WJ161" i="1" s="1"/>
  <c r="V99" i="14"/>
  <c r="U159" i="14"/>
  <c r="C147" i="10"/>
  <c r="S207" i="14"/>
  <c r="V215" i="14"/>
  <c r="C203" i="10"/>
  <c r="S243" i="14"/>
  <c r="U130" i="14"/>
  <c r="S170" i="14"/>
  <c r="V206" i="14"/>
  <c r="C198" i="10"/>
  <c r="U222" i="14"/>
  <c r="C214" i="10"/>
  <c r="C230" i="10"/>
  <c r="G103" i="14"/>
  <c r="F91" i="10" s="1"/>
  <c r="O46" i="17"/>
  <c r="R46" i="17" s="1"/>
  <c r="WR64" i="1"/>
  <c r="UA128" i="1"/>
  <c r="UB128" i="1" s="1"/>
  <c r="UX128" i="1" s="1"/>
  <c r="UA29" i="1"/>
  <c r="UB29" i="1" s="1"/>
  <c r="UX29" i="1" s="1"/>
  <c r="TZ155" i="1"/>
  <c r="G197" i="14"/>
  <c r="F185" i="10" s="1"/>
  <c r="U99" i="14"/>
  <c r="X159" i="14"/>
  <c r="X207" i="14"/>
  <c r="X215" i="14"/>
  <c r="U243" i="14"/>
  <c r="S110" i="14"/>
  <c r="C106" i="10"/>
  <c r="S130" i="14"/>
  <c r="U206" i="14"/>
  <c r="S222" i="14"/>
  <c r="WR110" i="1"/>
  <c r="O135" i="17"/>
  <c r="R135" i="17" s="1"/>
  <c r="WR59" i="1"/>
  <c r="TZ40" i="1"/>
  <c r="TZ80" i="1"/>
  <c r="TZ43" i="1"/>
  <c r="TZ83" i="1"/>
  <c r="G185" i="14"/>
  <c r="F173" i="10" s="1"/>
  <c r="V207" i="14"/>
  <c r="X243" i="14"/>
  <c r="X110" i="14"/>
  <c r="C118" i="10"/>
  <c r="X210" i="14"/>
  <c r="S218" i="14"/>
  <c r="W218" i="14" s="1"/>
  <c r="X226" i="14"/>
  <c r="X242" i="14"/>
  <c r="D155" i="14"/>
  <c r="D143" i="10" s="1"/>
  <c r="TU85" i="1"/>
  <c r="UA32" i="1"/>
  <c r="UB32" i="1" s="1"/>
  <c r="UX32" i="1" s="1"/>
  <c r="UA143" i="1"/>
  <c r="UB143" i="1" s="1"/>
  <c r="UX143" i="1" s="1"/>
  <c r="RW177" i="1"/>
  <c r="G173" i="14"/>
  <c r="F161" i="10" s="1"/>
  <c r="S112" i="14"/>
  <c r="S148" i="14"/>
  <c r="S172" i="14"/>
  <c r="S192" i="14"/>
  <c r="S240" i="14"/>
  <c r="X248" i="14"/>
  <c r="U156" i="14"/>
  <c r="S200" i="14"/>
  <c r="WR43" i="1"/>
  <c r="TV57" i="1"/>
  <c r="TW57" i="1" s="1"/>
  <c r="UW57" i="1" s="1"/>
  <c r="WW5" i="1"/>
  <c r="O16" i="14"/>
  <c r="C136" i="10"/>
  <c r="S216" i="14"/>
  <c r="V232" i="14"/>
  <c r="X240" i="14"/>
  <c r="V248" i="14"/>
  <c r="C144" i="10"/>
  <c r="C188" i="10"/>
  <c r="TV149" i="1"/>
  <c r="TW149" i="1" s="1"/>
  <c r="UW149" i="1" s="1"/>
  <c r="WJ149" i="1" s="1"/>
  <c r="X216" i="14"/>
  <c r="U232" i="14"/>
  <c r="C228" i="10"/>
  <c r="S164" i="14"/>
  <c r="U208" i="14"/>
  <c r="TU49" i="1"/>
  <c r="TV133" i="1"/>
  <c r="TW133" i="1" s="1"/>
  <c r="UW133" i="1" s="1"/>
  <c r="WJ133" i="1" s="1"/>
  <c r="C91" i="10"/>
  <c r="S151" i="14"/>
  <c r="X223" i="14"/>
  <c r="X176" i="14"/>
  <c r="C86" i="10"/>
  <c r="C166" i="10"/>
  <c r="X194" i="14"/>
  <c r="U250" i="14"/>
  <c r="C124" i="10"/>
  <c r="X152" i="14"/>
  <c r="U168" i="14"/>
  <c r="U188" i="14"/>
  <c r="U121" i="14"/>
  <c r="S145" i="14"/>
  <c r="X169" i="14"/>
  <c r="G216" i="14"/>
  <c r="F204" i="10" s="1"/>
  <c r="G244" i="14"/>
  <c r="F232" i="10" s="1"/>
  <c r="G102" i="14"/>
  <c r="F90" i="10" s="1"/>
  <c r="G114" i="14"/>
  <c r="F102" i="10" s="1"/>
  <c r="D127" i="14"/>
  <c r="D115" i="10" s="1"/>
  <c r="D239" i="14"/>
  <c r="WR83" i="1"/>
  <c r="WR31" i="1"/>
  <c r="WR117" i="1"/>
  <c r="WR108" i="1"/>
  <c r="WR92" i="1"/>
  <c r="TU89" i="1"/>
  <c r="UA60" i="1"/>
  <c r="UB60" i="1" s="1"/>
  <c r="UX60" i="1" s="1"/>
  <c r="TU117" i="1"/>
  <c r="TZ159" i="1"/>
  <c r="TZ97" i="1"/>
  <c r="TZ90" i="1"/>
  <c r="U107" i="14"/>
  <c r="C139" i="10"/>
  <c r="V199" i="14"/>
  <c r="C164" i="10"/>
  <c r="X114" i="14"/>
  <c r="C182" i="10"/>
  <c r="X104" i="14"/>
  <c r="S168" i="14"/>
  <c r="V149" i="14"/>
  <c r="U173" i="14"/>
  <c r="S237" i="14"/>
  <c r="TU90" i="1"/>
  <c r="UA13" i="1"/>
  <c r="UB13" i="1" s="1"/>
  <c r="UX13" i="1" s="1"/>
  <c r="UA41" i="1"/>
  <c r="UB41" i="1" s="1"/>
  <c r="UX41" i="1" s="1"/>
  <c r="G145" i="14"/>
  <c r="F133" i="10" s="1"/>
  <c r="WR121" i="1"/>
  <c r="G131" i="14"/>
  <c r="F119" i="10" s="1"/>
  <c r="G143" i="14"/>
  <c r="F131" i="10" s="1"/>
  <c r="G224" i="14"/>
  <c r="F212" i="10" s="1"/>
  <c r="WR22" i="1"/>
  <c r="WR67" i="1"/>
  <c r="TU93" i="1"/>
  <c r="UA116" i="1"/>
  <c r="UB116" i="1" s="1"/>
  <c r="UX116" i="1" s="1"/>
  <c r="UA147" i="1"/>
  <c r="UB147" i="1" s="1"/>
  <c r="UX147" i="1" s="1"/>
  <c r="UA148" i="1"/>
  <c r="UB148" i="1" s="1"/>
  <c r="UX148" i="1" s="1"/>
  <c r="S171" i="14"/>
  <c r="C187" i="10"/>
  <c r="C102" i="10"/>
  <c r="S198" i="14"/>
  <c r="C137" i="10"/>
  <c r="TV129" i="1"/>
  <c r="TW129" i="1" s="1"/>
  <c r="UW129" i="1" s="1"/>
  <c r="TU155" i="1"/>
  <c r="TU123" i="1"/>
  <c r="SZ5" i="1"/>
  <c r="G105" i="14"/>
  <c r="F93" i="10" s="1"/>
  <c r="TZ59" i="1"/>
  <c r="G126" i="14"/>
  <c r="F114" i="10" s="1"/>
  <c r="G134" i="14"/>
  <c r="F122" i="10" s="1"/>
  <c r="G178" i="14"/>
  <c r="F166" i="10" s="1"/>
  <c r="G179" i="14"/>
  <c r="F167" i="10" s="1"/>
  <c r="O51" i="17"/>
  <c r="R51" i="17" s="1"/>
  <c r="O39" i="17"/>
  <c r="R39" i="17" s="1"/>
  <c r="WR51" i="1"/>
  <c r="WR100" i="1"/>
  <c r="TU149" i="1"/>
  <c r="UA95" i="1"/>
  <c r="UB95" i="1" s="1"/>
  <c r="UX95" i="1" s="1"/>
  <c r="UA134" i="1"/>
  <c r="UB134" i="1" s="1"/>
  <c r="UX134" i="1" s="1"/>
  <c r="RR165" i="1"/>
  <c r="WR40" i="1"/>
  <c r="S100" i="14"/>
  <c r="X108" i="14"/>
  <c r="U144" i="14"/>
  <c r="U128" i="14"/>
  <c r="G106" i="14"/>
  <c r="F94" i="10" s="1"/>
  <c r="X100" i="14"/>
  <c r="S108" i="14"/>
  <c r="S144" i="14"/>
  <c r="G101" i="14"/>
  <c r="F89" i="10" s="1"/>
  <c r="G170" i="14"/>
  <c r="F158" i="10" s="1"/>
  <c r="U108" i="14"/>
  <c r="X128" i="14"/>
  <c r="G150" i="14"/>
  <c r="F138" i="10" s="1"/>
  <c r="G205" i="14"/>
  <c r="F193" i="10" s="1"/>
  <c r="G113" i="14"/>
  <c r="F101" i="10" s="1"/>
  <c r="TZ94" i="1"/>
  <c r="G133" i="14"/>
  <c r="F121" i="10" s="1"/>
  <c r="O118" i="17"/>
  <c r="R118" i="17" s="1"/>
  <c r="I155" i="13"/>
  <c r="TU113" i="1"/>
  <c r="UA153" i="1"/>
  <c r="UB153" i="1" s="1"/>
  <c r="UX153" i="1" s="1"/>
  <c r="WJ153" i="1" s="1"/>
  <c r="TZ153" i="1"/>
  <c r="V156" i="14"/>
  <c r="C152" i="10"/>
  <c r="U200" i="14"/>
  <c r="C196" i="10"/>
  <c r="TU57" i="1"/>
  <c r="X164" i="14"/>
  <c r="S208" i="14"/>
  <c r="U224" i="14"/>
  <c r="UU7" i="1"/>
  <c r="RV177" i="1"/>
  <c r="SD175" i="1"/>
  <c r="SE175" i="1" s="1"/>
  <c r="TU105" i="1"/>
  <c r="UA144" i="1"/>
  <c r="UB144" i="1" s="1"/>
  <c r="UX144" i="1" s="1"/>
  <c r="TZ144" i="1"/>
  <c r="G123" i="14"/>
  <c r="F111" i="10" s="1"/>
  <c r="UA140" i="1"/>
  <c r="UB140" i="1" s="1"/>
  <c r="UX140" i="1" s="1"/>
  <c r="TZ140" i="1"/>
  <c r="V171" i="14"/>
  <c r="C159" i="10"/>
  <c r="U175" i="14"/>
  <c r="X191" i="14"/>
  <c r="V223" i="14"/>
  <c r="U176" i="14"/>
  <c r="U114" i="14"/>
  <c r="U166" i="14"/>
  <c r="S169" i="14"/>
  <c r="G159" i="14"/>
  <c r="F147" i="10" s="1"/>
  <c r="WR61" i="1"/>
  <c r="WR77" i="1"/>
  <c r="WR55" i="1"/>
  <c r="WR80" i="1"/>
  <c r="WR96" i="1"/>
  <c r="WR42" i="1"/>
  <c r="WR11" i="1"/>
  <c r="WR97" i="1"/>
  <c r="WR123" i="1"/>
  <c r="WR19" i="1"/>
  <c r="WR32" i="1"/>
  <c r="WR82" i="1"/>
  <c r="WR27" i="1"/>
  <c r="G139" i="14"/>
  <c r="F127" i="10" s="1"/>
  <c r="G195" i="14"/>
  <c r="F183" i="10" s="1"/>
  <c r="X107" i="14"/>
  <c r="X199" i="14"/>
  <c r="S98" i="14"/>
  <c r="U178" i="14"/>
  <c r="V202" i="14"/>
  <c r="C218" i="10"/>
  <c r="C234" i="10"/>
  <c r="C120" i="10"/>
  <c r="S121" i="14"/>
  <c r="U145" i="14"/>
  <c r="C157" i="10"/>
  <c r="C17" i="14"/>
  <c r="C10" i="24" s="1"/>
  <c r="U103" i="14"/>
  <c r="V107" i="14"/>
  <c r="U151" i="14"/>
  <c r="X171" i="14"/>
  <c r="X175" i="14"/>
  <c r="C163" i="10"/>
  <c r="S191" i="14"/>
  <c r="C179" i="10"/>
  <c r="U199" i="14"/>
  <c r="S223" i="14"/>
  <c r="C211" i="10"/>
  <c r="X112" i="14"/>
  <c r="X172" i="14"/>
  <c r="S176" i="14"/>
  <c r="S184" i="14"/>
  <c r="C172" i="10"/>
  <c r="U192" i="14"/>
  <c r="V216" i="14"/>
  <c r="X232" i="14"/>
  <c r="C220" i="10"/>
  <c r="S248" i="14"/>
  <c r="C236" i="10"/>
  <c r="V98" i="14"/>
  <c r="S114" i="14"/>
  <c r="U118" i="14"/>
  <c r="X130" i="14"/>
  <c r="X170" i="14"/>
  <c r="C158" i="10"/>
  <c r="S178" i="14"/>
  <c r="S194" i="14"/>
  <c r="X198" i="14"/>
  <c r="U202" i="14"/>
  <c r="C190" i="10"/>
  <c r="S206" i="14"/>
  <c r="S210" i="14"/>
  <c r="X218" i="14"/>
  <c r="C206" i="10"/>
  <c r="U230" i="14"/>
  <c r="X234" i="14"/>
  <c r="C222" i="10"/>
  <c r="U242" i="14"/>
  <c r="U246" i="14"/>
  <c r="X250" i="14"/>
  <c r="C238" i="10"/>
  <c r="S104" i="14"/>
  <c r="U132" i="14"/>
  <c r="X156" i="14"/>
  <c r="U164" i="14"/>
  <c r="X200" i="14"/>
  <c r="X208" i="14"/>
  <c r="X224" i="14"/>
  <c r="C212" i="10"/>
  <c r="S101" i="14"/>
  <c r="S105" i="14"/>
  <c r="X121" i="14"/>
  <c r="X125" i="14"/>
  <c r="C113" i="10"/>
  <c r="X129" i="14"/>
  <c r="X145" i="14"/>
  <c r="X149" i="14"/>
  <c r="X161" i="14"/>
  <c r="U169" i="14"/>
  <c r="V173" i="14"/>
  <c r="C161" i="10"/>
  <c r="X177" i="14"/>
  <c r="V193" i="14"/>
  <c r="X197" i="14"/>
  <c r="U201" i="14"/>
  <c r="S233" i="14"/>
  <c r="X237" i="14"/>
  <c r="C225" i="10"/>
  <c r="U249" i="14"/>
  <c r="WU129" i="1"/>
  <c r="WR12" i="1"/>
  <c r="D119" i="14"/>
  <c r="D107" i="10" s="1"/>
  <c r="D143" i="14"/>
  <c r="D131" i="10" s="1"/>
  <c r="WR81" i="1"/>
  <c r="WR124" i="1"/>
  <c r="WR113" i="1"/>
  <c r="WR54" i="1"/>
  <c r="WR75" i="1"/>
  <c r="WR78" i="1"/>
  <c r="WR101" i="1"/>
  <c r="WR106" i="1"/>
  <c r="WR73" i="1"/>
  <c r="WR18" i="1"/>
  <c r="WR122" i="1"/>
  <c r="WR115" i="1"/>
  <c r="WR15" i="1"/>
  <c r="WR71" i="1"/>
  <c r="WR86" i="1"/>
  <c r="UA136" i="1"/>
  <c r="UB136" i="1" s="1"/>
  <c r="UX136" i="1" s="1"/>
  <c r="TZ136" i="1"/>
  <c r="G175" i="14"/>
  <c r="F163" i="10" s="1"/>
  <c r="G211" i="14"/>
  <c r="F199" i="10" s="1"/>
  <c r="X103" i="14"/>
  <c r="C95" i="10"/>
  <c r="V151" i="14"/>
  <c r="C154" i="10"/>
  <c r="U194" i="14"/>
  <c r="C186" i="10"/>
  <c r="X230" i="14"/>
  <c r="U234" i="14"/>
  <c r="X246" i="14"/>
  <c r="U104" i="14"/>
  <c r="S132" i="14"/>
  <c r="C109" i="10"/>
  <c r="S149" i="14"/>
  <c r="X173" i="14"/>
  <c r="U237" i="14"/>
  <c r="C16" i="14"/>
  <c r="C9" i="24" s="1"/>
  <c r="V112" i="14"/>
  <c r="U172" i="14"/>
  <c r="X192" i="14"/>
  <c r="U216" i="14"/>
  <c r="U110" i="14"/>
  <c r="X206" i="14"/>
  <c r="X222" i="14"/>
  <c r="S129" i="14"/>
  <c r="V145" i="14"/>
  <c r="V161" i="14"/>
  <c r="S177" i="14"/>
  <c r="S193" i="14"/>
  <c r="G191" i="14"/>
  <c r="F179" i="10" s="1"/>
  <c r="WR13" i="1"/>
  <c r="O45" i="17"/>
  <c r="R45" i="17" s="1"/>
  <c r="WR68" i="1"/>
  <c r="WR57" i="1"/>
  <c r="WR35" i="1"/>
  <c r="WR99" i="1"/>
  <c r="WR112" i="1"/>
  <c r="WR87" i="1"/>
  <c r="WR103" i="1"/>
  <c r="WR94" i="1"/>
  <c r="WR91" i="1"/>
  <c r="WR107" i="1"/>
  <c r="WR49" i="1"/>
  <c r="WR34" i="1"/>
  <c r="WR89" i="1"/>
  <c r="WR10" i="1"/>
  <c r="UA24" i="1"/>
  <c r="UB24" i="1" s="1"/>
  <c r="UX24" i="1" s="1"/>
  <c r="TU137" i="1"/>
  <c r="WR66" i="1"/>
  <c r="UA52" i="1"/>
  <c r="UB52" i="1" s="1"/>
  <c r="UX52" i="1" s="1"/>
  <c r="TZ52" i="1"/>
  <c r="G119" i="14"/>
  <c r="F107" i="10" s="1"/>
  <c r="TV109" i="1"/>
  <c r="TW109" i="1" s="1"/>
  <c r="UW109" i="1" s="1"/>
  <c r="TU109" i="1"/>
  <c r="TU153" i="1"/>
  <c r="WR36" i="1"/>
  <c r="I25" i="13"/>
  <c r="O84" i="17"/>
  <c r="R84" i="17" s="1"/>
  <c r="I149" i="13"/>
  <c r="TU157" i="1"/>
  <c r="WR105" i="1"/>
  <c r="WR70" i="1"/>
  <c r="WR74" i="1"/>
  <c r="WR52" i="1"/>
  <c r="WR109" i="1"/>
  <c r="WR21" i="1"/>
  <c r="WR46" i="1"/>
  <c r="WR119" i="1"/>
  <c r="TO5" i="1"/>
  <c r="TV125" i="1"/>
  <c r="TW125" i="1" s="1"/>
  <c r="UW125" i="1" s="1"/>
  <c r="TU125" i="1"/>
  <c r="I130" i="13"/>
  <c r="O111" i="17"/>
  <c r="R111" i="17" s="1"/>
  <c r="WR76" i="1"/>
  <c r="TV117" i="1"/>
  <c r="TW117" i="1" s="1"/>
  <c r="UW117" i="1" s="1"/>
  <c r="WR17" i="1"/>
  <c r="WR90" i="1"/>
  <c r="WR63" i="1"/>
  <c r="WR88" i="1"/>
  <c r="WR53" i="1"/>
  <c r="WR102" i="1"/>
  <c r="WR26" i="1"/>
  <c r="WU133" i="1"/>
  <c r="TU133" i="1"/>
  <c r="TV141" i="1"/>
  <c r="TW141" i="1" s="1"/>
  <c r="UW141" i="1" s="1"/>
  <c r="WJ141" i="1" s="1"/>
  <c r="TU141" i="1"/>
  <c r="TV145" i="1"/>
  <c r="TW145" i="1" s="1"/>
  <c r="UW145" i="1" s="1"/>
  <c r="WJ145" i="1" s="1"/>
  <c r="TU145" i="1"/>
  <c r="TV158" i="1"/>
  <c r="TW158" i="1" s="1"/>
  <c r="UW158" i="1" s="1"/>
  <c r="TU158" i="1"/>
  <c r="TU101" i="1"/>
  <c r="O57" i="17"/>
  <c r="R57" i="17" s="1"/>
  <c r="WR104" i="1"/>
  <c r="WR98" i="1"/>
  <c r="WR85" i="1"/>
  <c r="WR30" i="1"/>
  <c r="I143" i="13"/>
  <c r="WR114" i="1"/>
  <c r="WR47" i="1"/>
  <c r="WR38" i="1"/>
  <c r="WR41" i="1"/>
  <c r="WR93" i="1"/>
  <c r="WR65" i="1"/>
  <c r="WR62" i="1"/>
  <c r="WR23" i="1"/>
  <c r="WR24" i="1"/>
  <c r="WR44" i="1"/>
  <c r="WR25" i="1"/>
  <c r="O60" i="17"/>
  <c r="R60" i="17" s="1"/>
  <c r="WR48" i="1"/>
  <c r="I145" i="13"/>
  <c r="I20" i="13"/>
  <c r="O136" i="17"/>
  <c r="R136" i="17" s="1"/>
  <c r="WR84" i="1"/>
  <c r="TV137" i="1"/>
  <c r="TW137" i="1" s="1"/>
  <c r="UW137" i="1" s="1"/>
  <c r="WR111" i="1"/>
  <c r="WR79" i="1"/>
  <c r="WR39" i="1"/>
  <c r="WR33" i="1"/>
  <c r="WR16" i="1"/>
  <c r="WR69" i="1"/>
  <c r="WR29" i="1"/>
  <c r="WR28" i="1"/>
  <c r="WR118" i="1"/>
  <c r="WU111" i="1"/>
  <c r="TV121" i="1"/>
  <c r="TW121" i="1" s="1"/>
  <c r="UW121" i="1" s="1"/>
  <c r="TU121" i="1"/>
  <c r="TV159" i="1"/>
  <c r="TW159" i="1" s="1"/>
  <c r="UW159" i="1" s="1"/>
  <c r="VD159" i="1" s="1"/>
  <c r="TU159" i="1"/>
  <c r="O44" i="17"/>
  <c r="R44" i="17" s="1"/>
  <c r="I113" i="13"/>
  <c r="WR116" i="1"/>
  <c r="WR50" i="1"/>
  <c r="WR58" i="1"/>
  <c r="WR37" i="1"/>
  <c r="WR20" i="1"/>
  <c r="WR60" i="1"/>
  <c r="WR14" i="1"/>
  <c r="WR120" i="1"/>
  <c r="WR95" i="1"/>
  <c r="WR45" i="1"/>
  <c r="TV148" i="1"/>
  <c r="TW148" i="1" s="1"/>
  <c r="UW148" i="1" s="1"/>
  <c r="TU148" i="1"/>
  <c r="WU125" i="1"/>
  <c r="WU141" i="1"/>
  <c r="TV29" i="1"/>
  <c r="TW29" i="1" s="1"/>
  <c r="UW29" i="1" s="1"/>
  <c r="TU29" i="1"/>
  <c r="TV37" i="1"/>
  <c r="TW37" i="1" s="1"/>
  <c r="UW37" i="1" s="1"/>
  <c r="TU37" i="1"/>
  <c r="TV41" i="1"/>
  <c r="TW41" i="1" s="1"/>
  <c r="UW41" i="1" s="1"/>
  <c r="TU41" i="1"/>
  <c r="TV56" i="1"/>
  <c r="TW56" i="1" s="1"/>
  <c r="UW56" i="1" s="1"/>
  <c r="WJ56" i="1" s="1"/>
  <c r="TU56" i="1"/>
  <c r="TV63" i="1"/>
  <c r="TW63" i="1" s="1"/>
  <c r="UW63" i="1" s="1"/>
  <c r="WJ63" i="1" s="1"/>
  <c r="TU63" i="1"/>
  <c r="TV67" i="1"/>
  <c r="TW67" i="1" s="1"/>
  <c r="UW67" i="1" s="1"/>
  <c r="TU67" i="1"/>
  <c r="TV71" i="1"/>
  <c r="TW71" i="1" s="1"/>
  <c r="UW71" i="1" s="1"/>
  <c r="TU71" i="1"/>
  <c r="TV75" i="1"/>
  <c r="TW75" i="1" s="1"/>
  <c r="UW75" i="1" s="1"/>
  <c r="TU75" i="1"/>
  <c r="TV21" i="1"/>
  <c r="TW21" i="1" s="1"/>
  <c r="UW21" i="1" s="1"/>
  <c r="TU21" i="1"/>
  <c r="TV79" i="1"/>
  <c r="TW79" i="1" s="1"/>
  <c r="UW79" i="1" s="1"/>
  <c r="TU79" i="1"/>
  <c r="TV127" i="1"/>
  <c r="TW127" i="1" s="1"/>
  <c r="UW127" i="1" s="1"/>
  <c r="TU127" i="1"/>
  <c r="WU135" i="1"/>
  <c r="WU155" i="1"/>
  <c r="TZ26" i="1"/>
  <c r="UA26" i="1"/>
  <c r="UB26" i="1" s="1"/>
  <c r="UX26" i="1" s="1"/>
  <c r="UA46" i="1"/>
  <c r="UB46" i="1" s="1"/>
  <c r="UX46" i="1" s="1"/>
  <c r="TZ46" i="1"/>
  <c r="UA78" i="1"/>
  <c r="UB78" i="1" s="1"/>
  <c r="UX78" i="1" s="1"/>
  <c r="TZ78" i="1"/>
  <c r="TV98" i="1"/>
  <c r="TW98" i="1" s="1"/>
  <c r="UW98" i="1" s="1"/>
  <c r="TU98" i="1"/>
  <c r="TV102" i="1"/>
  <c r="TW102" i="1" s="1"/>
  <c r="UW102" i="1" s="1"/>
  <c r="TU102" i="1"/>
  <c r="TZ114" i="1"/>
  <c r="UA114" i="1"/>
  <c r="UB114" i="1" s="1"/>
  <c r="UX114" i="1" s="1"/>
  <c r="TV47" i="1"/>
  <c r="TW47" i="1" s="1"/>
  <c r="UW47" i="1" s="1"/>
  <c r="TU47" i="1"/>
  <c r="TU118" i="1"/>
  <c r="TV118" i="1"/>
  <c r="TW118" i="1" s="1"/>
  <c r="UW118" i="1" s="1"/>
  <c r="WJ118" i="1" s="1"/>
  <c r="G226" i="14"/>
  <c r="F214" i="10" s="1"/>
  <c r="WU142" i="1"/>
  <c r="UA11" i="1"/>
  <c r="UB11" i="1" s="1"/>
  <c r="UX11" i="1" s="1"/>
  <c r="TZ11" i="1"/>
  <c r="UA47" i="1"/>
  <c r="UB47" i="1" s="1"/>
  <c r="UX47" i="1" s="1"/>
  <c r="TZ47" i="1"/>
  <c r="UA75" i="1"/>
  <c r="UB75" i="1" s="1"/>
  <c r="UX75" i="1" s="1"/>
  <c r="TZ75" i="1"/>
  <c r="TV87" i="1"/>
  <c r="TW87" i="1" s="1"/>
  <c r="UW87" i="1" s="1"/>
  <c r="WJ87" i="1" s="1"/>
  <c r="TU87" i="1"/>
  <c r="UA99" i="1"/>
  <c r="UB99" i="1" s="1"/>
  <c r="UX99" i="1" s="1"/>
  <c r="TZ99" i="1"/>
  <c r="TV103" i="1"/>
  <c r="TW103" i="1" s="1"/>
  <c r="UW103" i="1" s="1"/>
  <c r="WJ103" i="1" s="1"/>
  <c r="TU103" i="1"/>
  <c r="G217" i="14"/>
  <c r="F205" i="10" s="1"/>
  <c r="WU132" i="1"/>
  <c r="WU158" i="1"/>
  <c r="TV16" i="1"/>
  <c r="TW16" i="1" s="1"/>
  <c r="UW16" i="1" s="1"/>
  <c r="TU16" i="1"/>
  <c r="TV20" i="1"/>
  <c r="TW20" i="1" s="1"/>
  <c r="UW20" i="1" s="1"/>
  <c r="TU20" i="1"/>
  <c r="TV88" i="1"/>
  <c r="TW88" i="1" s="1"/>
  <c r="UW88" i="1" s="1"/>
  <c r="TU88" i="1"/>
  <c r="TV92" i="1"/>
  <c r="TW92" i="1" s="1"/>
  <c r="UW92" i="1" s="1"/>
  <c r="WJ92" i="1" s="1"/>
  <c r="TU92" i="1"/>
  <c r="UA112" i="1"/>
  <c r="UB112" i="1" s="1"/>
  <c r="UX112" i="1" s="1"/>
  <c r="TZ112" i="1"/>
  <c r="G223" i="14"/>
  <c r="F211" i="10" s="1"/>
  <c r="TV140" i="1"/>
  <c r="TW140" i="1" s="1"/>
  <c r="UW140" i="1" s="1"/>
  <c r="TU140" i="1"/>
  <c r="TV110" i="1"/>
  <c r="TW110" i="1" s="1"/>
  <c r="UW110" i="1" s="1"/>
  <c r="WJ110" i="1" s="1"/>
  <c r="UA100" i="1"/>
  <c r="UB100" i="1" s="1"/>
  <c r="UX100" i="1" s="1"/>
  <c r="UT10" i="1"/>
  <c r="UT7" i="1" s="1"/>
  <c r="TB5" i="1"/>
  <c r="WU19" i="1"/>
  <c r="WU27" i="1"/>
  <c r="WU35" i="1"/>
  <c r="WU43" i="1"/>
  <c r="WU51" i="1"/>
  <c r="WU59" i="1"/>
  <c r="WU67" i="1"/>
  <c r="WU76" i="1"/>
  <c r="WU92" i="1"/>
  <c r="WU108" i="1"/>
  <c r="TV86" i="1"/>
  <c r="TW86" i="1" s="1"/>
  <c r="UW86" i="1" s="1"/>
  <c r="TV146" i="1"/>
  <c r="TW146" i="1" s="1"/>
  <c r="UW146" i="1" s="1"/>
  <c r="WJ146" i="1" s="1"/>
  <c r="WU162" i="1"/>
  <c r="WU81" i="1"/>
  <c r="WU97" i="1"/>
  <c r="WU113" i="1"/>
  <c r="TV115" i="1"/>
  <c r="TW115" i="1" s="1"/>
  <c r="UW115" i="1" s="1"/>
  <c r="TV155" i="1"/>
  <c r="TW155" i="1" s="1"/>
  <c r="UW155" i="1" s="1"/>
  <c r="WJ155" i="1" s="1"/>
  <c r="TV111" i="1"/>
  <c r="TW111" i="1" s="1"/>
  <c r="UW111" i="1" s="1"/>
  <c r="WU20" i="1"/>
  <c r="WU28" i="1"/>
  <c r="WU36" i="1"/>
  <c r="WU44" i="1"/>
  <c r="WU52" i="1"/>
  <c r="WU60" i="1"/>
  <c r="WU68" i="1"/>
  <c r="WU78" i="1"/>
  <c r="WU94" i="1"/>
  <c r="WU110" i="1"/>
  <c r="TV82" i="1"/>
  <c r="TW82" i="1" s="1"/>
  <c r="UW82" i="1" s="1"/>
  <c r="WU150" i="1"/>
  <c r="TV152" i="1"/>
  <c r="TW152" i="1" s="1"/>
  <c r="UW152" i="1" s="1"/>
  <c r="WJ152" i="1" s="1"/>
  <c r="WU13" i="1"/>
  <c r="WU87" i="1"/>
  <c r="WU103" i="1"/>
  <c r="WU119" i="1"/>
  <c r="WU145" i="1"/>
  <c r="TV31" i="1"/>
  <c r="TW31" i="1" s="1"/>
  <c r="UW31" i="1" s="1"/>
  <c r="TU31" i="1"/>
  <c r="TV38" i="1"/>
  <c r="TW38" i="1" s="1"/>
  <c r="UW38" i="1" s="1"/>
  <c r="TU38" i="1"/>
  <c r="TV42" i="1"/>
  <c r="TW42" i="1" s="1"/>
  <c r="UW42" i="1" s="1"/>
  <c r="WJ42" i="1" s="1"/>
  <c r="TU42" i="1"/>
  <c r="TV60" i="1"/>
  <c r="TW60" i="1" s="1"/>
  <c r="UW60" i="1" s="1"/>
  <c r="TU60" i="1"/>
  <c r="TV64" i="1"/>
  <c r="TW64" i="1" s="1"/>
  <c r="UW64" i="1" s="1"/>
  <c r="WJ64" i="1" s="1"/>
  <c r="TU64" i="1"/>
  <c r="TV68" i="1"/>
  <c r="TW68" i="1" s="1"/>
  <c r="UW68" i="1" s="1"/>
  <c r="TU68" i="1"/>
  <c r="TV72" i="1"/>
  <c r="TW72" i="1" s="1"/>
  <c r="UW72" i="1" s="1"/>
  <c r="TU72" i="1"/>
  <c r="TV76" i="1"/>
  <c r="TW76" i="1" s="1"/>
  <c r="UW76" i="1" s="1"/>
  <c r="TU76" i="1"/>
  <c r="TV108" i="1"/>
  <c r="TW108" i="1" s="1"/>
  <c r="UW108" i="1" s="1"/>
  <c r="TU108" i="1"/>
  <c r="TU162" i="1"/>
  <c r="TV162" i="1"/>
  <c r="TW162" i="1" s="1"/>
  <c r="UW162" i="1" s="1"/>
  <c r="WJ162" i="1" s="1"/>
  <c r="WU140" i="1"/>
  <c r="WU161" i="1"/>
  <c r="TV30" i="1"/>
  <c r="TW30" i="1" s="1"/>
  <c r="UW30" i="1" s="1"/>
  <c r="TU30" i="1"/>
  <c r="TV34" i="1"/>
  <c r="TW34" i="1" s="1"/>
  <c r="UW34" i="1" s="1"/>
  <c r="TU34" i="1"/>
  <c r="TV50" i="1"/>
  <c r="TW50" i="1" s="1"/>
  <c r="UW50" i="1" s="1"/>
  <c r="TU50" i="1"/>
  <c r="TV58" i="1"/>
  <c r="TW58" i="1" s="1"/>
  <c r="UW58" i="1" s="1"/>
  <c r="WJ58" i="1" s="1"/>
  <c r="TU58" i="1"/>
  <c r="UA102" i="1"/>
  <c r="UB102" i="1" s="1"/>
  <c r="UX102" i="1" s="1"/>
  <c r="TZ102" i="1"/>
  <c r="TV106" i="1"/>
  <c r="TW106" i="1" s="1"/>
  <c r="UW106" i="1" s="1"/>
  <c r="TU106" i="1"/>
  <c r="TV130" i="1"/>
  <c r="TW130" i="1" s="1"/>
  <c r="UW130" i="1" s="1"/>
  <c r="WJ130" i="1" s="1"/>
  <c r="TU130" i="1"/>
  <c r="TV134" i="1"/>
  <c r="TW134" i="1" s="1"/>
  <c r="UW134" i="1" s="1"/>
  <c r="TU134" i="1"/>
  <c r="UQ10" i="1"/>
  <c r="SU5" i="1"/>
  <c r="SV5" i="1" s="1"/>
  <c r="SU165" i="1"/>
  <c r="TV163" i="1"/>
  <c r="TW163" i="1" s="1"/>
  <c r="UW163" i="1" s="1"/>
  <c r="TU163" i="1"/>
  <c r="WU147" i="1"/>
  <c r="UA79" i="1"/>
  <c r="UB79" i="1" s="1"/>
  <c r="UX79" i="1" s="1"/>
  <c r="TZ79" i="1"/>
  <c r="TV91" i="1"/>
  <c r="TW91" i="1" s="1"/>
  <c r="UW91" i="1" s="1"/>
  <c r="WJ91" i="1" s="1"/>
  <c r="TU91" i="1"/>
  <c r="UA107" i="1"/>
  <c r="UB107" i="1" s="1"/>
  <c r="UX107" i="1" s="1"/>
  <c r="TZ107" i="1"/>
  <c r="TV116" i="1"/>
  <c r="TW116" i="1" s="1"/>
  <c r="UW116" i="1" s="1"/>
  <c r="TU116" i="1"/>
  <c r="G233" i="14"/>
  <c r="F221" i="10" s="1"/>
  <c r="WU143" i="1"/>
  <c r="WU163" i="1"/>
  <c r="TV24" i="1"/>
  <c r="TW24" i="1" s="1"/>
  <c r="UW24" i="1" s="1"/>
  <c r="TU24" i="1"/>
  <c r="TV28" i="1"/>
  <c r="TW28" i="1" s="1"/>
  <c r="UW28" i="1" s="1"/>
  <c r="TU28" i="1"/>
  <c r="TV32" i="1"/>
  <c r="TW32" i="1" s="1"/>
  <c r="UW32" i="1" s="1"/>
  <c r="TU32" i="1"/>
  <c r="TV36" i="1"/>
  <c r="TW36" i="1" s="1"/>
  <c r="UW36" i="1" s="1"/>
  <c r="TU36" i="1"/>
  <c r="TV48" i="1"/>
  <c r="TW48" i="1" s="1"/>
  <c r="UW48" i="1" s="1"/>
  <c r="TU48" i="1"/>
  <c r="TV52" i="1"/>
  <c r="TW52" i="1" s="1"/>
  <c r="UW52" i="1" s="1"/>
  <c r="WJ52" i="1" s="1"/>
  <c r="TU52" i="1"/>
  <c r="TV96" i="1"/>
  <c r="TW96" i="1" s="1"/>
  <c r="UW96" i="1" s="1"/>
  <c r="TU96" i="1"/>
  <c r="TV100" i="1"/>
  <c r="TW100" i="1" s="1"/>
  <c r="UW100" i="1" s="1"/>
  <c r="TU100" i="1"/>
  <c r="UA120" i="1"/>
  <c r="UB120" i="1" s="1"/>
  <c r="UX120" i="1" s="1"/>
  <c r="TZ120" i="1"/>
  <c r="TV128" i="1"/>
  <c r="TW128" i="1" s="1"/>
  <c r="UW128" i="1" s="1"/>
  <c r="TU128" i="1"/>
  <c r="G227" i="14"/>
  <c r="F215" i="10" s="1"/>
  <c r="G231" i="14"/>
  <c r="F219" i="10" s="1"/>
  <c r="G235" i="14"/>
  <c r="F223" i="10" s="1"/>
  <c r="G239" i="14"/>
  <c r="F227" i="10" s="1"/>
  <c r="WU156" i="1"/>
  <c r="TV143" i="1"/>
  <c r="TW143" i="1" s="1"/>
  <c r="UW143" i="1" s="1"/>
  <c r="UA104" i="1"/>
  <c r="UB104" i="1" s="1"/>
  <c r="UX104" i="1" s="1"/>
  <c r="UV10" i="1"/>
  <c r="UV7" i="1" s="1"/>
  <c r="TD5" i="1"/>
  <c r="WU21" i="1"/>
  <c r="WU29" i="1"/>
  <c r="WU37" i="1"/>
  <c r="WU45" i="1"/>
  <c r="WU53" i="1"/>
  <c r="WU61" i="1"/>
  <c r="WU69" i="1"/>
  <c r="WU80" i="1"/>
  <c r="WU96" i="1"/>
  <c r="WU112" i="1"/>
  <c r="TV90" i="1"/>
  <c r="TW90" i="1" s="1"/>
  <c r="UW90" i="1" s="1"/>
  <c r="WJ90" i="1" s="1"/>
  <c r="WU11" i="1"/>
  <c r="WU85" i="1"/>
  <c r="WU101" i="1"/>
  <c r="WU117" i="1"/>
  <c r="WU134" i="1"/>
  <c r="TU120" i="1"/>
  <c r="WU12" i="1"/>
  <c r="WU22" i="1"/>
  <c r="WU30" i="1"/>
  <c r="WU38" i="1"/>
  <c r="WU46" i="1"/>
  <c r="WU54" i="1"/>
  <c r="WU62" i="1"/>
  <c r="WU70" i="1"/>
  <c r="WU82" i="1"/>
  <c r="WU98" i="1"/>
  <c r="WU114" i="1"/>
  <c r="TC5" i="1"/>
  <c r="WU75" i="1"/>
  <c r="WU91" i="1"/>
  <c r="WU107" i="1"/>
  <c r="TV11" i="1"/>
  <c r="TM5" i="1"/>
  <c r="TU11" i="1"/>
  <c r="WU149" i="1"/>
  <c r="TV33" i="1"/>
  <c r="TW33" i="1" s="1"/>
  <c r="UW33" i="1" s="1"/>
  <c r="WJ33" i="1" s="1"/>
  <c r="TU33" i="1"/>
  <c r="TV39" i="1"/>
  <c r="TW39" i="1" s="1"/>
  <c r="UW39" i="1" s="1"/>
  <c r="WJ39" i="1" s="1"/>
  <c r="TU39" i="1"/>
  <c r="TV43" i="1"/>
  <c r="TW43" i="1" s="1"/>
  <c r="UW43" i="1" s="1"/>
  <c r="WJ43" i="1" s="1"/>
  <c r="TU43" i="1"/>
  <c r="TU54" i="1"/>
  <c r="TV54" i="1"/>
  <c r="TW54" i="1" s="1"/>
  <c r="UW54" i="1" s="1"/>
  <c r="WJ54" i="1" s="1"/>
  <c r="TV61" i="1"/>
  <c r="TW61" i="1" s="1"/>
  <c r="UW61" i="1" s="1"/>
  <c r="TU61" i="1"/>
  <c r="TV65" i="1"/>
  <c r="TW65" i="1" s="1"/>
  <c r="UW65" i="1" s="1"/>
  <c r="TU65" i="1"/>
  <c r="TV69" i="1"/>
  <c r="TW69" i="1" s="1"/>
  <c r="UW69" i="1" s="1"/>
  <c r="WJ69" i="1" s="1"/>
  <c r="TU69" i="1"/>
  <c r="TV73" i="1"/>
  <c r="TW73" i="1" s="1"/>
  <c r="UW73" i="1" s="1"/>
  <c r="TU73" i="1"/>
  <c r="TV15" i="1"/>
  <c r="TW15" i="1" s="1"/>
  <c r="UW15" i="1" s="1"/>
  <c r="TU15" i="1"/>
  <c r="TV25" i="1"/>
  <c r="TW25" i="1" s="1"/>
  <c r="UW25" i="1" s="1"/>
  <c r="TV94" i="1"/>
  <c r="TW94" i="1" s="1"/>
  <c r="UW94" i="1" s="1"/>
  <c r="WJ94" i="1" s="1"/>
  <c r="TU94" i="1"/>
  <c r="TV114" i="1"/>
  <c r="TW114" i="1" s="1"/>
  <c r="UW114" i="1" s="1"/>
  <c r="TU114" i="1"/>
  <c r="G225" i="14"/>
  <c r="F213" i="10" s="1"/>
  <c r="WU124" i="1"/>
  <c r="WU146" i="1"/>
  <c r="TV14" i="1"/>
  <c r="TW14" i="1" s="1"/>
  <c r="UW14" i="1" s="1"/>
  <c r="WJ14" i="1" s="1"/>
  <c r="TU14" i="1"/>
  <c r="TV18" i="1"/>
  <c r="TW18" i="1" s="1"/>
  <c r="UW18" i="1" s="1"/>
  <c r="TU18" i="1"/>
  <c r="UA34" i="1"/>
  <c r="UB34" i="1" s="1"/>
  <c r="UX34" i="1" s="1"/>
  <c r="TZ34" i="1"/>
  <c r="UA82" i="1"/>
  <c r="UB82" i="1" s="1"/>
  <c r="UX82" i="1" s="1"/>
  <c r="TZ82" i="1"/>
  <c r="TZ106" i="1"/>
  <c r="UA106" i="1"/>
  <c r="UB106" i="1" s="1"/>
  <c r="UX106" i="1" s="1"/>
  <c r="TV138" i="1"/>
  <c r="TW138" i="1" s="1"/>
  <c r="UW138" i="1" s="1"/>
  <c r="WJ138" i="1" s="1"/>
  <c r="TU138" i="1"/>
  <c r="TV51" i="1"/>
  <c r="TW51" i="1" s="1"/>
  <c r="UW51" i="1" s="1"/>
  <c r="TU51" i="1"/>
  <c r="TV107" i="1"/>
  <c r="TW107" i="1" s="1"/>
  <c r="UW107" i="1" s="1"/>
  <c r="WJ107" i="1" s="1"/>
  <c r="TU107" i="1"/>
  <c r="TV144" i="1"/>
  <c r="TW144" i="1" s="1"/>
  <c r="UW144" i="1" s="1"/>
  <c r="TU144" i="1"/>
  <c r="WU131" i="1"/>
  <c r="WU152" i="1"/>
  <c r="UA27" i="1"/>
  <c r="UB27" i="1" s="1"/>
  <c r="UX27" i="1" s="1"/>
  <c r="TZ27" i="1"/>
  <c r="TV83" i="1"/>
  <c r="TW83" i="1" s="1"/>
  <c r="UW83" i="1" s="1"/>
  <c r="WJ83" i="1" s="1"/>
  <c r="TU83" i="1"/>
  <c r="UA119" i="1"/>
  <c r="UB119" i="1" s="1"/>
  <c r="UX119" i="1" s="1"/>
  <c r="TZ119" i="1"/>
  <c r="TV135" i="1"/>
  <c r="TW135" i="1" s="1"/>
  <c r="UW135" i="1" s="1"/>
  <c r="TU135" i="1"/>
  <c r="TV139" i="1"/>
  <c r="TW139" i="1" s="1"/>
  <c r="UW139" i="1" s="1"/>
  <c r="WJ139" i="1" s="1"/>
  <c r="TU139" i="1"/>
  <c r="TV119" i="1"/>
  <c r="TW119" i="1" s="1"/>
  <c r="UW119" i="1" s="1"/>
  <c r="TU119" i="1"/>
  <c r="TU156" i="1"/>
  <c r="TV156" i="1"/>
  <c r="TW156" i="1" s="1"/>
  <c r="UW156" i="1" s="1"/>
  <c r="WJ156" i="1" s="1"/>
  <c r="G249" i="14"/>
  <c r="F237" i="10" s="1"/>
  <c r="WU148" i="1"/>
  <c r="TV12" i="1"/>
  <c r="TW12" i="1" s="1"/>
  <c r="UW12" i="1" s="1"/>
  <c r="TU12" i="1"/>
  <c r="TV80" i="1"/>
  <c r="TW80" i="1" s="1"/>
  <c r="UW80" i="1" s="1"/>
  <c r="WJ80" i="1" s="1"/>
  <c r="TU80" i="1"/>
  <c r="TV84" i="1"/>
  <c r="TW84" i="1" s="1"/>
  <c r="UW84" i="1" s="1"/>
  <c r="TU84" i="1"/>
  <c r="TV104" i="1"/>
  <c r="TW104" i="1" s="1"/>
  <c r="UW104" i="1" s="1"/>
  <c r="TU104" i="1"/>
  <c r="G215" i="14"/>
  <c r="F203" i="10" s="1"/>
  <c r="TV132" i="1"/>
  <c r="TW132" i="1" s="1"/>
  <c r="UW132" i="1" s="1"/>
  <c r="WJ132" i="1" s="1"/>
  <c r="TU132" i="1"/>
  <c r="G243" i="14"/>
  <c r="F231" i="10" s="1"/>
  <c r="WU160" i="1"/>
  <c r="TV147" i="1"/>
  <c r="TW147" i="1" s="1"/>
  <c r="UW147" i="1" s="1"/>
  <c r="WU139" i="1"/>
  <c r="UA76" i="1"/>
  <c r="UB76" i="1" s="1"/>
  <c r="UX76" i="1" s="1"/>
  <c r="TU126" i="1"/>
  <c r="WU10" i="1"/>
  <c r="WU23" i="1"/>
  <c r="WU31" i="1"/>
  <c r="WU39" i="1"/>
  <c r="WU47" i="1"/>
  <c r="WU55" i="1"/>
  <c r="WU63" i="1"/>
  <c r="WU71" i="1"/>
  <c r="WU84" i="1"/>
  <c r="WU100" i="1"/>
  <c r="WU116" i="1"/>
  <c r="TV123" i="1"/>
  <c r="TW123" i="1" s="1"/>
  <c r="UW123" i="1" s="1"/>
  <c r="WJ123" i="1" s="1"/>
  <c r="WU128" i="1"/>
  <c r="WU122" i="1"/>
  <c r="WU138" i="1"/>
  <c r="TU19" i="1"/>
  <c r="WU15" i="1"/>
  <c r="WU89" i="1"/>
  <c r="WU105" i="1"/>
  <c r="UK5" i="1"/>
  <c r="UK7" i="1"/>
  <c r="WU144" i="1"/>
  <c r="WU16" i="1"/>
  <c r="WU24" i="1"/>
  <c r="WU32" i="1"/>
  <c r="WU40" i="1"/>
  <c r="WU48" i="1"/>
  <c r="WU56" i="1"/>
  <c r="WU64" i="1"/>
  <c r="WU72" i="1"/>
  <c r="WU86" i="1"/>
  <c r="WU102" i="1"/>
  <c r="WU118" i="1"/>
  <c r="WU79" i="1"/>
  <c r="WU95" i="1"/>
  <c r="TV13" i="1"/>
  <c r="TW13" i="1" s="1"/>
  <c r="UW13" i="1" s="1"/>
  <c r="TU13" i="1"/>
  <c r="TV23" i="1"/>
  <c r="TW23" i="1" s="1"/>
  <c r="UW23" i="1" s="1"/>
  <c r="WJ23" i="1" s="1"/>
  <c r="TU23" i="1"/>
  <c r="WU121" i="1"/>
  <c r="WU137" i="1"/>
  <c r="WU153" i="1"/>
  <c r="TV17" i="1"/>
  <c r="TW17" i="1" s="1"/>
  <c r="UW17" i="1" s="1"/>
  <c r="WJ17" i="1" s="1"/>
  <c r="TU17" i="1"/>
  <c r="TV27" i="1"/>
  <c r="TW27" i="1" s="1"/>
  <c r="UW27" i="1" s="1"/>
  <c r="TU27" i="1"/>
  <c r="TV35" i="1"/>
  <c r="TW35" i="1" s="1"/>
  <c r="UW35" i="1" s="1"/>
  <c r="TU35" i="1"/>
  <c r="TV40" i="1"/>
  <c r="TW40" i="1" s="1"/>
  <c r="UW40" i="1" s="1"/>
  <c r="WJ40" i="1" s="1"/>
  <c r="TU40" i="1"/>
  <c r="TV44" i="1"/>
  <c r="TW44" i="1" s="1"/>
  <c r="UW44" i="1" s="1"/>
  <c r="WJ44" i="1" s="1"/>
  <c r="TU44" i="1"/>
  <c r="TV55" i="1"/>
  <c r="TW55" i="1" s="1"/>
  <c r="UW55" i="1" s="1"/>
  <c r="TU55" i="1"/>
  <c r="TV62" i="1"/>
  <c r="TW62" i="1" s="1"/>
  <c r="UW62" i="1" s="1"/>
  <c r="WJ62" i="1" s="1"/>
  <c r="TU62" i="1"/>
  <c r="TV66" i="1"/>
  <c r="TW66" i="1" s="1"/>
  <c r="UW66" i="1" s="1"/>
  <c r="TU66" i="1"/>
  <c r="TV70" i="1"/>
  <c r="TW70" i="1" s="1"/>
  <c r="UW70" i="1" s="1"/>
  <c r="TU70" i="1"/>
  <c r="TV74" i="1"/>
  <c r="TW74" i="1" s="1"/>
  <c r="UW74" i="1" s="1"/>
  <c r="TU74" i="1"/>
  <c r="TV124" i="1"/>
  <c r="TW124" i="1" s="1"/>
  <c r="UW124" i="1" s="1"/>
  <c r="WJ124" i="1" s="1"/>
  <c r="TU124" i="1"/>
  <c r="G241" i="14"/>
  <c r="F229" i="10" s="1"/>
  <c r="WU130" i="1"/>
  <c r="WU151" i="1"/>
  <c r="TZ18" i="1"/>
  <c r="UA18" i="1"/>
  <c r="UB18" i="1" s="1"/>
  <c r="UX18" i="1" s="1"/>
  <c r="TV22" i="1"/>
  <c r="TW22" i="1" s="1"/>
  <c r="UW22" i="1" s="1"/>
  <c r="WJ22" i="1" s="1"/>
  <c r="TU22" i="1"/>
  <c r="TV46" i="1"/>
  <c r="TW46" i="1" s="1"/>
  <c r="UW46" i="1" s="1"/>
  <c r="TU46" i="1"/>
  <c r="TV78" i="1"/>
  <c r="TW78" i="1" s="1"/>
  <c r="UW78" i="1" s="1"/>
  <c r="TU78" i="1"/>
  <c r="TV45" i="1"/>
  <c r="TW45" i="1" s="1"/>
  <c r="UW45" i="1" s="1"/>
  <c r="TV53" i="1"/>
  <c r="TW53" i="1" s="1"/>
  <c r="UW53" i="1" s="1"/>
  <c r="TV112" i="1"/>
  <c r="TW112" i="1" s="1"/>
  <c r="UW112" i="1" s="1"/>
  <c r="TU112" i="1"/>
  <c r="G242" i="14"/>
  <c r="F230" i="10" s="1"/>
  <c r="WU136" i="1"/>
  <c r="WU157" i="1"/>
  <c r="TV95" i="1"/>
  <c r="TW95" i="1" s="1"/>
  <c r="UW95" i="1" s="1"/>
  <c r="TU95" i="1"/>
  <c r="TV99" i="1"/>
  <c r="TW99" i="1" s="1"/>
  <c r="UW99" i="1" s="1"/>
  <c r="WJ99" i="1" s="1"/>
  <c r="TU99" i="1"/>
  <c r="TV131" i="1"/>
  <c r="TW131" i="1" s="1"/>
  <c r="UW131" i="1" s="1"/>
  <c r="TU131" i="1"/>
  <c r="TV122" i="1"/>
  <c r="TW122" i="1" s="1"/>
  <c r="UW122" i="1" s="1"/>
  <c r="WJ122" i="1" s="1"/>
  <c r="TU122" i="1"/>
  <c r="TV160" i="1"/>
  <c r="TW160" i="1" s="1"/>
  <c r="UW160" i="1" s="1"/>
  <c r="WJ160" i="1" s="1"/>
  <c r="TU160" i="1"/>
  <c r="WU127" i="1"/>
  <c r="UA84" i="1"/>
  <c r="UB84" i="1" s="1"/>
  <c r="UX84" i="1" s="1"/>
  <c r="TZ84" i="1"/>
  <c r="G219" i="14"/>
  <c r="F207" i="10" s="1"/>
  <c r="TV136" i="1"/>
  <c r="TW136" i="1" s="1"/>
  <c r="UW136" i="1" s="1"/>
  <c r="TU136" i="1"/>
  <c r="G247" i="14"/>
  <c r="F235" i="10" s="1"/>
  <c r="TV151" i="1"/>
  <c r="TW151" i="1" s="1"/>
  <c r="UW151" i="1" s="1"/>
  <c r="WJ151" i="1" s="1"/>
  <c r="UA16" i="1"/>
  <c r="UB16" i="1" s="1"/>
  <c r="UX16" i="1" s="1"/>
  <c r="US10" i="1"/>
  <c r="US7" i="1" s="1"/>
  <c r="TA5" i="1"/>
  <c r="TU150" i="1"/>
  <c r="WU17" i="1"/>
  <c r="WU25" i="1"/>
  <c r="WU33" i="1"/>
  <c r="WU41" i="1"/>
  <c r="WU49" i="1"/>
  <c r="WU57" i="1"/>
  <c r="WU65" i="1"/>
  <c r="WU73" i="1"/>
  <c r="WU88" i="1"/>
  <c r="WU104" i="1"/>
  <c r="WU120" i="1"/>
  <c r="TV154" i="1"/>
  <c r="TW154" i="1" s="1"/>
  <c r="UW154" i="1" s="1"/>
  <c r="WJ154" i="1" s="1"/>
  <c r="WU159" i="1"/>
  <c r="WU126" i="1"/>
  <c r="TV142" i="1"/>
  <c r="TW142" i="1" s="1"/>
  <c r="UW142" i="1" s="1"/>
  <c r="WJ142" i="1" s="1"/>
  <c r="WU154" i="1"/>
  <c r="WU77" i="1"/>
  <c r="WU93" i="1"/>
  <c r="WU109" i="1"/>
  <c r="TV26" i="1"/>
  <c r="TW26" i="1" s="1"/>
  <c r="UW26" i="1" s="1"/>
  <c r="WJ26" i="1" s="1"/>
  <c r="TV59" i="1"/>
  <c r="TW59" i="1" s="1"/>
  <c r="UW59" i="1" s="1"/>
  <c r="WJ59" i="1" s="1"/>
  <c r="WU18" i="1"/>
  <c r="WU26" i="1"/>
  <c r="WU34" i="1"/>
  <c r="WU42" i="1"/>
  <c r="WU50" i="1"/>
  <c r="WU58" i="1"/>
  <c r="WU66" i="1"/>
  <c r="WU74" i="1"/>
  <c r="WU90" i="1"/>
  <c r="WU106" i="1"/>
  <c r="WU123" i="1"/>
  <c r="WU14" i="1"/>
  <c r="WU83" i="1"/>
  <c r="WU99" i="1"/>
  <c r="WU115" i="1"/>
  <c r="SI14" i="1"/>
  <c r="U120" i="17" s="1"/>
  <c r="SI30" i="1"/>
  <c r="U139" i="17" s="1"/>
  <c r="SI46" i="1"/>
  <c r="U107" i="17" s="1"/>
  <c r="SI60" i="1"/>
  <c r="U83" i="17" s="1"/>
  <c r="SI68" i="1"/>
  <c r="U46" i="17" s="1"/>
  <c r="SI76" i="1"/>
  <c r="U111" i="17" s="1"/>
  <c r="SI84" i="1"/>
  <c r="U136" i="17" s="1"/>
  <c r="SI92" i="1"/>
  <c r="U76" i="17" s="1"/>
  <c r="SI100" i="1"/>
  <c r="U44" i="17" s="1"/>
  <c r="SI108" i="1"/>
  <c r="U130" i="17" s="1"/>
  <c r="SI116" i="1"/>
  <c r="U95" i="17" s="1"/>
  <c r="SI124" i="1"/>
  <c r="U138" i="17" s="1"/>
  <c r="SI132" i="1"/>
  <c r="U10" i="17" s="1"/>
  <c r="SI140" i="1"/>
  <c r="YG140" i="1" s="1"/>
  <c r="SI148" i="1"/>
  <c r="YG148" i="1" s="1"/>
  <c r="SI156" i="1"/>
  <c r="U34" i="17" s="1"/>
  <c r="SI51" i="1"/>
  <c r="U148" i="17" s="1"/>
  <c r="SI43" i="1"/>
  <c r="U67" i="17" s="1"/>
  <c r="SI35" i="1"/>
  <c r="U88" i="17" s="1"/>
  <c r="SI27" i="1"/>
  <c r="U128" i="17" s="1"/>
  <c r="SI19" i="1"/>
  <c r="U142" i="17" s="1"/>
  <c r="SI11" i="1"/>
  <c r="U90" i="17" s="1"/>
  <c r="SI28" i="1"/>
  <c r="U92" i="17" s="1"/>
  <c r="SI44" i="1"/>
  <c r="U55" i="17" s="1"/>
  <c r="SI59" i="1"/>
  <c r="U80" i="17" s="1"/>
  <c r="SI67" i="1"/>
  <c r="U43" i="17" s="1"/>
  <c r="SI75" i="1"/>
  <c r="U154" i="17" s="1"/>
  <c r="SI83" i="1"/>
  <c r="U137" i="17" s="1"/>
  <c r="SI91" i="1"/>
  <c r="U42" i="17" s="1"/>
  <c r="SI99" i="1"/>
  <c r="U121" i="17" s="1"/>
  <c r="SI107" i="1"/>
  <c r="U99" i="17" s="1"/>
  <c r="SI115" i="1"/>
  <c r="U53" i="17" s="1"/>
  <c r="SI123" i="1"/>
  <c r="U145" i="17" s="1"/>
  <c r="SI131" i="1"/>
  <c r="YG131" i="1" s="1"/>
  <c r="SI139" i="1"/>
  <c r="YG139" i="1" s="1"/>
  <c r="SI147" i="1"/>
  <c r="YG147" i="1" s="1"/>
  <c r="SI155" i="1"/>
  <c r="YG155" i="1" s="1"/>
  <c r="SI163" i="1"/>
  <c r="YG163" i="1" s="1"/>
  <c r="SI18" i="1"/>
  <c r="U106" i="17" s="1"/>
  <c r="SI34" i="1"/>
  <c r="U119" i="17" s="1"/>
  <c r="SI50" i="1"/>
  <c r="U105" i="17" s="1"/>
  <c r="SI62" i="1"/>
  <c r="U100" i="17" s="1"/>
  <c r="SI70" i="1"/>
  <c r="U73" i="17" s="1"/>
  <c r="SI78" i="1"/>
  <c r="U110" i="17" s="1"/>
  <c r="SI86" i="1"/>
  <c r="U129" i="17" s="1"/>
  <c r="SI94" i="1"/>
  <c r="U74" i="17" s="1"/>
  <c r="SI102" i="1"/>
  <c r="U89" i="17" s="1"/>
  <c r="SI110" i="1"/>
  <c r="U156" i="17" s="1"/>
  <c r="SI118" i="1"/>
  <c r="U97" i="17" s="1"/>
  <c r="SI126" i="1"/>
  <c r="U4" i="17" s="1"/>
  <c r="SI134" i="1"/>
  <c r="U12" i="17" s="1"/>
  <c r="SI142" i="1"/>
  <c r="U20" i="17" s="1"/>
  <c r="SI150" i="1"/>
  <c r="U28" i="17" s="1"/>
  <c r="SI158" i="1"/>
  <c r="YG158" i="1" s="1"/>
  <c r="SI57" i="1"/>
  <c r="U56" i="17" s="1"/>
  <c r="SI49" i="1"/>
  <c r="U132" i="17" s="1"/>
  <c r="SI41" i="1"/>
  <c r="U58" i="17" s="1"/>
  <c r="SI33" i="1"/>
  <c r="U49" i="17" s="1"/>
  <c r="SI17" i="1"/>
  <c r="U126" i="17" s="1"/>
  <c r="SI16" i="1"/>
  <c r="U69" i="17" s="1"/>
  <c r="SI32" i="1"/>
  <c r="U155" i="17" s="1"/>
  <c r="SI48" i="1"/>
  <c r="U60" i="17" s="1"/>
  <c r="SI61" i="1"/>
  <c r="U63" i="17" s="1"/>
  <c r="SI69" i="1"/>
  <c r="U71" i="17" s="1"/>
  <c r="SI77" i="1"/>
  <c r="U114" i="17" s="1"/>
  <c r="SI85" i="1"/>
  <c r="U101" i="17" s="1"/>
  <c r="SI93" i="1"/>
  <c r="U108" i="17" s="1"/>
  <c r="SI101" i="1"/>
  <c r="U61" i="17" s="1"/>
  <c r="SI109" i="1"/>
  <c r="U98" i="17" s="1"/>
  <c r="SI117" i="1"/>
  <c r="U146" i="17" s="1"/>
  <c r="SI125" i="1"/>
  <c r="U3" i="17" s="1"/>
  <c r="SI133" i="1"/>
  <c r="U11" i="17" s="1"/>
  <c r="SI141" i="1"/>
  <c r="YG141" i="1" s="1"/>
  <c r="SI149" i="1"/>
  <c r="U27" i="17" s="1"/>
  <c r="SI157" i="1"/>
  <c r="U35" i="17" s="1"/>
  <c r="SI22" i="1"/>
  <c r="U81" i="17" s="1"/>
  <c r="SI38" i="1"/>
  <c r="U62" i="17" s="1"/>
  <c r="SI54" i="1"/>
  <c r="U115" i="17" s="1"/>
  <c r="SI64" i="1"/>
  <c r="U91" i="17" s="1"/>
  <c r="SI72" i="1"/>
  <c r="U123" i="17" s="1"/>
  <c r="SI80" i="1"/>
  <c r="U102" i="17" s="1"/>
  <c r="SI88" i="1"/>
  <c r="U48" i="17" s="1"/>
  <c r="SI96" i="1"/>
  <c r="U87" i="17" s="1"/>
  <c r="SI104" i="1"/>
  <c r="U112" i="17" s="1"/>
  <c r="SI112" i="1"/>
  <c r="U84" i="17" s="1"/>
  <c r="SI128" i="1"/>
  <c r="U6" i="17" s="1"/>
  <c r="SI136" i="1"/>
  <c r="U14" i="17" s="1"/>
  <c r="SI144" i="1"/>
  <c r="U22" i="17" s="1"/>
  <c r="SI152" i="1"/>
  <c r="YG152" i="1" s="1"/>
  <c r="SI160" i="1"/>
  <c r="YG160" i="1" s="1"/>
  <c r="SI55" i="1"/>
  <c r="U70" i="17" s="1"/>
  <c r="SI47" i="1"/>
  <c r="U125" i="17" s="1"/>
  <c r="SI39" i="1"/>
  <c r="U94" i="17" s="1"/>
  <c r="SI31" i="1"/>
  <c r="U75" i="17" s="1"/>
  <c r="SI23" i="1"/>
  <c r="U65" i="17" s="1"/>
  <c r="SI15" i="1"/>
  <c r="U104" i="17" s="1"/>
  <c r="SI20" i="1"/>
  <c r="U50" i="17" s="1"/>
  <c r="SI36" i="1"/>
  <c r="U135" i="17" s="1"/>
  <c r="SI52" i="1"/>
  <c r="U134" i="17" s="1"/>
  <c r="SI63" i="1"/>
  <c r="U116" i="17" s="1"/>
  <c r="SI71" i="1"/>
  <c r="U86" i="17" s="1"/>
  <c r="SI79" i="1"/>
  <c r="U103" i="17" s="1"/>
  <c r="SI87" i="1"/>
  <c r="U82" i="17" s="1"/>
  <c r="SI95" i="1"/>
  <c r="U117" i="17" s="1"/>
  <c r="SI103" i="1"/>
  <c r="U72" i="17" s="1"/>
  <c r="SI111" i="1"/>
  <c r="U131" i="17" s="1"/>
  <c r="SI119" i="1"/>
  <c r="U113" i="17" s="1"/>
  <c r="SI127" i="1"/>
  <c r="YG127" i="1" s="1"/>
  <c r="SI135" i="1"/>
  <c r="U13" i="17" s="1"/>
  <c r="SI143" i="1"/>
  <c r="YG143" i="1" s="1"/>
  <c r="SI151" i="1"/>
  <c r="YG151" i="1" s="1"/>
  <c r="SI159" i="1"/>
  <c r="YG159" i="1" s="1"/>
  <c r="SI58" i="1"/>
  <c r="U127" i="17" s="1"/>
  <c r="SI66" i="1"/>
  <c r="U124" i="17" s="1"/>
  <c r="SI74" i="1"/>
  <c r="U93" i="17" s="1"/>
  <c r="SI82" i="1"/>
  <c r="U122" i="17" s="1"/>
  <c r="SI90" i="1"/>
  <c r="U66" i="17" s="1"/>
  <c r="SI98" i="1"/>
  <c r="U147" i="17" s="1"/>
  <c r="SI106" i="1"/>
  <c r="U141" i="17" s="1"/>
  <c r="SI114" i="1"/>
  <c r="U77" i="17" s="1"/>
  <c r="SI122" i="1"/>
  <c r="U78" i="17" s="1"/>
  <c r="SI130" i="1"/>
  <c r="U8" i="17" s="1"/>
  <c r="SI138" i="1"/>
  <c r="U16" i="17" s="1"/>
  <c r="SI146" i="1"/>
  <c r="YG146" i="1" s="1"/>
  <c r="SI154" i="1"/>
  <c r="YG154" i="1" s="1"/>
  <c r="SI162" i="1"/>
  <c r="U40" i="17" s="1"/>
  <c r="SI53" i="1"/>
  <c r="U151" i="17" s="1"/>
  <c r="SI45" i="1"/>
  <c r="U79" i="17" s="1"/>
  <c r="SI37" i="1"/>
  <c r="U64" i="17" s="1"/>
  <c r="SI29" i="1"/>
  <c r="U143" i="17" s="1"/>
  <c r="SI21" i="1"/>
  <c r="U47" i="17" s="1"/>
  <c r="SI13" i="1"/>
  <c r="U144" i="17" s="1"/>
  <c r="SI24" i="1"/>
  <c r="U52" i="17" s="1"/>
  <c r="SI40" i="1"/>
  <c r="U51" i="17" s="1"/>
  <c r="SI56" i="1"/>
  <c r="U45" i="17" s="1"/>
  <c r="SI65" i="1"/>
  <c r="YG65" i="1" s="1"/>
  <c r="SI73" i="1"/>
  <c r="U109" i="17" s="1"/>
  <c r="SI81" i="1"/>
  <c r="YG81" i="1" s="1"/>
  <c r="SI89" i="1"/>
  <c r="U85" i="17" s="1"/>
  <c r="SI97" i="1"/>
  <c r="U59" i="17" s="1"/>
  <c r="SI105" i="1"/>
  <c r="U54" i="17" s="1"/>
  <c r="SI113" i="1"/>
  <c r="U96" i="17" s="1"/>
  <c r="SI121" i="1"/>
  <c r="U150" i="17" s="1"/>
  <c r="SI129" i="1"/>
  <c r="U7" i="17" s="1"/>
  <c r="SI137" i="1"/>
  <c r="YG137" i="1" s="1"/>
  <c r="SI145" i="1"/>
  <c r="YG145" i="1" s="1"/>
  <c r="SI153" i="1"/>
  <c r="U31" i="17" s="1"/>
  <c r="SI161" i="1"/>
  <c r="U39" i="17" s="1"/>
  <c r="UJ12" i="1"/>
  <c r="S57" i="17"/>
  <c r="F10" i="10"/>
  <c r="C9" i="10"/>
  <c r="K11" i="10"/>
  <c r="E9" i="10"/>
  <c r="F9" i="10"/>
  <c r="D10" i="10"/>
  <c r="E10" i="10"/>
  <c r="E11" i="10"/>
  <c r="H11" i="10"/>
  <c r="F11" i="10"/>
  <c r="C11" i="10"/>
  <c r="G10" i="10"/>
  <c r="L9" i="10"/>
  <c r="D11" i="10"/>
  <c r="I9" i="10"/>
  <c r="G11" i="10"/>
  <c r="J9" i="10"/>
  <c r="C8" i="10"/>
  <c r="G9" i="10"/>
  <c r="L11" i="10"/>
  <c r="D9" i="10"/>
  <c r="C7" i="10"/>
  <c r="J11" i="10"/>
  <c r="K9" i="10"/>
  <c r="K10" i="10"/>
  <c r="H9" i="10"/>
  <c r="D8" i="10"/>
  <c r="I11" i="10"/>
  <c r="H10" i="10"/>
  <c r="E7" i="10"/>
  <c r="J10" i="10"/>
  <c r="L10" i="10"/>
  <c r="E8" i="10"/>
  <c r="C10" i="10"/>
  <c r="I10" i="10"/>
  <c r="G14" i="24"/>
  <c r="K14" i="24"/>
  <c r="J14" i="24"/>
  <c r="L14" i="24"/>
  <c r="L15" i="24"/>
  <c r="F15" i="24"/>
  <c r="F14" i="24"/>
  <c r="WJ65" i="1" l="1"/>
  <c r="W191" i="14"/>
  <c r="WJ74" i="1"/>
  <c r="WJ55" i="1"/>
  <c r="AA97" i="14"/>
  <c r="S16" i="14"/>
  <c r="AA118" i="14"/>
  <c r="S19" i="14"/>
  <c r="W143" i="14"/>
  <c r="J131" i="10" s="1"/>
  <c r="W162" i="14"/>
  <c r="J150" i="10" s="1"/>
  <c r="W204" i="14"/>
  <c r="U16" i="14"/>
  <c r="V17" i="14"/>
  <c r="U20" i="14"/>
  <c r="W122" i="14"/>
  <c r="J110" i="10" s="1"/>
  <c r="W119" i="14"/>
  <c r="J107" i="10" s="1"/>
  <c r="U18" i="14"/>
  <c r="W226" i="14"/>
  <c r="J214" i="10" s="1"/>
  <c r="W178" i="14"/>
  <c r="J166" i="10" s="1"/>
  <c r="U19" i="14"/>
  <c r="W248" i="14"/>
  <c r="J236" i="10" s="1"/>
  <c r="U17" i="14"/>
  <c r="U21" i="14"/>
  <c r="W129" i="14"/>
  <c r="J117" i="10" s="1"/>
  <c r="W210" i="14"/>
  <c r="J198" i="10" s="1"/>
  <c r="W177" i="14"/>
  <c r="W105" i="14"/>
  <c r="J93" i="10" s="1"/>
  <c r="W176" i="14"/>
  <c r="J164" i="10" s="1"/>
  <c r="W150" i="14"/>
  <c r="J138" i="10" s="1"/>
  <c r="W231" i="14"/>
  <c r="J219" i="10" s="1"/>
  <c r="W101" i="14"/>
  <c r="J89" i="10" s="1"/>
  <c r="W223" i="14"/>
  <c r="J211" i="10" s="1"/>
  <c r="WJ86" i="1"/>
  <c r="WJ140" i="1"/>
  <c r="W221" i="14"/>
  <c r="J209" i="10" s="1"/>
  <c r="WJ115" i="1"/>
  <c r="W141" i="14"/>
  <c r="J129" i="10" s="1"/>
  <c r="W125" i="14"/>
  <c r="J113" i="10" s="1"/>
  <c r="W228" i="14"/>
  <c r="J216" i="10" s="1"/>
  <c r="W123" i="14"/>
  <c r="J111" i="10" s="1"/>
  <c r="WJ13" i="1"/>
  <c r="WJ144" i="1"/>
  <c r="W186" i="14"/>
  <c r="J174" i="10" s="1"/>
  <c r="WJ72" i="1"/>
  <c r="W233" i="14"/>
  <c r="J221" i="10" s="1"/>
  <c r="W184" i="14"/>
  <c r="J172" i="10" s="1"/>
  <c r="W193" i="14"/>
  <c r="J181" i="10" s="1"/>
  <c r="W149" i="14"/>
  <c r="J137" i="10" s="1"/>
  <c r="W211" i="14"/>
  <c r="J199" i="10" s="1"/>
  <c r="W136" i="14"/>
  <c r="J124" i="10" s="1"/>
  <c r="W237" i="14"/>
  <c r="J225" i="10" s="1"/>
  <c r="W230" i="14"/>
  <c r="J218" i="10" s="1"/>
  <c r="W190" i="14"/>
  <c r="J178" i="10" s="1"/>
  <c r="W153" i="14"/>
  <c r="J141" i="10" s="1"/>
  <c r="W185" i="14"/>
  <c r="J173" i="10" s="1"/>
  <c r="W239" i="14"/>
  <c r="J227" i="10" s="1"/>
  <c r="W159" i="14"/>
  <c r="J147" i="10" s="1"/>
  <c r="W179" i="14"/>
  <c r="W224" i="14"/>
  <c r="J212" i="10" s="1"/>
  <c r="W128" i="14"/>
  <c r="J116" i="10" s="1"/>
  <c r="W166" i="14"/>
  <c r="J154" i="10" s="1"/>
  <c r="W189" i="14"/>
  <c r="W238" i="14"/>
  <c r="J226" i="10" s="1"/>
  <c r="W138" i="14"/>
  <c r="J126" i="10" s="1"/>
  <c r="W168" i="14"/>
  <c r="J156" i="10" s="1"/>
  <c r="W207" i="14"/>
  <c r="J195" i="10" s="1"/>
  <c r="W245" i="14"/>
  <c r="W157" i="14"/>
  <c r="J145" i="10" s="1"/>
  <c r="W227" i="14"/>
  <c r="J215" i="10" s="1"/>
  <c r="W118" i="14"/>
  <c r="X19" i="14" s="1"/>
  <c r="W234" i="14"/>
  <c r="J222" i="10" s="1"/>
  <c r="W214" i="14"/>
  <c r="J202" i="10" s="1"/>
  <c r="W134" i="14"/>
  <c r="J122" i="10" s="1"/>
  <c r="W217" i="14"/>
  <c r="J205" i="10" s="1"/>
  <c r="W104" i="14"/>
  <c r="J92" i="10" s="1"/>
  <c r="W108" i="14"/>
  <c r="J96" i="10" s="1"/>
  <c r="W172" i="14"/>
  <c r="J160" i="10" s="1"/>
  <c r="W156" i="14"/>
  <c r="J144" i="10" s="1"/>
  <c r="W213" i="14"/>
  <c r="J201" i="10" s="1"/>
  <c r="W246" i="14"/>
  <c r="J234" i="10" s="1"/>
  <c r="W212" i="14"/>
  <c r="J200" i="10" s="1"/>
  <c r="W139" i="14"/>
  <c r="J127" i="10" s="1"/>
  <c r="W127" i="14"/>
  <c r="W181" i="14"/>
  <c r="J169" i="10" s="1"/>
  <c r="W167" i="14"/>
  <c r="J155" i="10" s="1"/>
  <c r="W115" i="14"/>
  <c r="J103" i="10" s="1"/>
  <c r="W126" i="14"/>
  <c r="J114" i="10" s="1"/>
  <c r="W142" i="14"/>
  <c r="J130" i="10" s="1"/>
  <c r="W209" i="14"/>
  <c r="J197" i="10" s="1"/>
  <c r="W161" i="14"/>
  <c r="J149" i="10" s="1"/>
  <c r="W175" i="14"/>
  <c r="J163" i="10" s="1"/>
  <c r="W147" i="14"/>
  <c r="J135" i="10" s="1"/>
  <c r="W103" i="14"/>
  <c r="J91" i="10" s="1"/>
  <c r="W98" i="14"/>
  <c r="X17" i="14" s="1"/>
  <c r="W208" i="14"/>
  <c r="J196" i="10" s="1"/>
  <c r="W216" i="14"/>
  <c r="J204" i="10" s="1"/>
  <c r="W148" i="14"/>
  <c r="J136" i="10" s="1"/>
  <c r="W130" i="14"/>
  <c r="W243" i="14"/>
  <c r="J231" i="10" s="1"/>
  <c r="W165" i="14"/>
  <c r="J153" i="10" s="1"/>
  <c r="W201" i="14"/>
  <c r="J189" i="10" s="1"/>
  <c r="W244" i="14"/>
  <c r="J232" i="10" s="1"/>
  <c r="W188" i="14"/>
  <c r="J176" i="10" s="1"/>
  <c r="W202" i="14"/>
  <c r="J190" i="10" s="1"/>
  <c r="W114" i="14"/>
  <c r="J102" i="10" s="1"/>
  <c r="W169" i="14"/>
  <c r="J157" i="10" s="1"/>
  <c r="W100" i="14"/>
  <c r="J88" i="10" s="1"/>
  <c r="W171" i="14"/>
  <c r="J159" i="10" s="1"/>
  <c r="W145" i="14"/>
  <c r="J133" i="10" s="1"/>
  <c r="W151" i="14"/>
  <c r="W240" i="14"/>
  <c r="J228" i="10" s="1"/>
  <c r="W112" i="14"/>
  <c r="J100" i="10" s="1"/>
  <c r="I8" i="10" s="1"/>
  <c r="W241" i="14"/>
  <c r="J229" i="10" s="1"/>
  <c r="W113" i="14"/>
  <c r="J101" i="10" s="1"/>
  <c r="W152" i="14"/>
  <c r="J140" i="10" s="1"/>
  <c r="W220" i="14"/>
  <c r="J208" i="10" s="1"/>
  <c r="W197" i="14"/>
  <c r="J185" i="10" s="1"/>
  <c r="W160" i="14"/>
  <c r="W225" i="14"/>
  <c r="W236" i="14"/>
  <c r="J224" i="10" s="1"/>
  <c r="W205" i="14"/>
  <c r="J193" i="10" s="1"/>
  <c r="W109" i="14"/>
  <c r="J97" i="10" s="1"/>
  <c r="W163" i="14"/>
  <c r="J151" i="10" s="1"/>
  <c r="W135" i="14"/>
  <c r="J123" i="10" s="1"/>
  <c r="W182" i="14"/>
  <c r="J170" i="10" s="1"/>
  <c r="W196" i="14"/>
  <c r="J184" i="10" s="1"/>
  <c r="W158" i="14"/>
  <c r="J146" i="10" s="1"/>
  <c r="W174" i="14"/>
  <c r="J162" i="10" s="1"/>
  <c r="W102" i="14"/>
  <c r="J90" i="10" s="1"/>
  <c r="W215" i="14"/>
  <c r="J203" i="10" s="1"/>
  <c r="W133" i="14"/>
  <c r="J121" i="10" s="1"/>
  <c r="W235" i="14"/>
  <c r="J223" i="10" s="1"/>
  <c r="W199" i="14"/>
  <c r="J187" i="10" s="1"/>
  <c r="W99" i="14"/>
  <c r="J87" i="10" s="1"/>
  <c r="W132" i="14"/>
  <c r="J120" i="10" s="1"/>
  <c r="W206" i="14"/>
  <c r="J194" i="10" s="1"/>
  <c r="W194" i="14"/>
  <c r="J182" i="10" s="1"/>
  <c r="W121" i="14"/>
  <c r="J109" i="10" s="1"/>
  <c r="W144" i="14"/>
  <c r="J132" i="10" s="1"/>
  <c r="W198" i="14"/>
  <c r="J186" i="10" s="1"/>
  <c r="W164" i="14"/>
  <c r="J152" i="10" s="1"/>
  <c r="W200" i="14"/>
  <c r="J188" i="10" s="1"/>
  <c r="W192" i="14"/>
  <c r="J180" i="10" s="1"/>
  <c r="W222" i="14"/>
  <c r="J210" i="10" s="1"/>
  <c r="W110" i="14"/>
  <c r="J98" i="10" s="1"/>
  <c r="W170" i="14"/>
  <c r="W120" i="14"/>
  <c r="J108" i="10" s="1"/>
  <c r="W137" i="14"/>
  <c r="J125" i="10" s="1"/>
  <c r="W116" i="14"/>
  <c r="J104" i="10" s="1"/>
  <c r="W180" i="14"/>
  <c r="J168" i="10" s="1"/>
  <c r="W242" i="14"/>
  <c r="J230" i="10" s="1"/>
  <c r="W195" i="14"/>
  <c r="X20" i="14" s="1"/>
  <c r="W219" i="14"/>
  <c r="J207" i="10" s="1"/>
  <c r="W106" i="14"/>
  <c r="J94" i="10" s="1"/>
  <c r="W250" i="14"/>
  <c r="J238" i="10" s="1"/>
  <c r="W146" i="14"/>
  <c r="J134" i="10" s="1"/>
  <c r="W232" i="14"/>
  <c r="J220" i="10" s="1"/>
  <c r="W154" i="14"/>
  <c r="J142" i="10" s="1"/>
  <c r="W249" i="14"/>
  <c r="J237" i="10" s="1"/>
  <c r="W111" i="14"/>
  <c r="J99" i="10" s="1"/>
  <c r="W187" i="14"/>
  <c r="J175" i="10" s="1"/>
  <c r="W173" i="14"/>
  <c r="J161" i="10" s="1"/>
  <c r="W117" i="14"/>
  <c r="J105" i="10" s="1"/>
  <c r="W229" i="14"/>
  <c r="J217" i="10" s="1"/>
  <c r="W140" i="14"/>
  <c r="J128" i="10" s="1"/>
  <c r="W203" i="14"/>
  <c r="J191" i="10" s="1"/>
  <c r="W155" i="14"/>
  <c r="J143" i="10" s="1"/>
  <c r="W247" i="14"/>
  <c r="J235" i="10" s="1"/>
  <c r="W183" i="14"/>
  <c r="J171" i="10" s="1"/>
  <c r="W131" i="14"/>
  <c r="J119" i="10" s="1"/>
  <c r="W107" i="14"/>
  <c r="J95" i="10" s="1"/>
  <c r="M16" i="14"/>
  <c r="V97" i="14"/>
  <c r="WJ147" i="1"/>
  <c r="L97" i="14"/>
  <c r="WJ28" i="1"/>
  <c r="WJ31" i="1"/>
  <c r="WN54" i="1"/>
  <c r="UO54" i="1" s="1"/>
  <c r="WN112" i="1"/>
  <c r="UO112" i="1" s="1"/>
  <c r="WN120" i="1"/>
  <c r="UO120" i="1" s="1"/>
  <c r="WN131" i="1"/>
  <c r="UO131" i="1" s="1"/>
  <c r="WN79" i="1"/>
  <c r="UO79" i="1" s="1"/>
  <c r="WN146" i="1"/>
  <c r="UO146" i="1" s="1"/>
  <c r="VJ146" i="1" s="1"/>
  <c r="WN129" i="1"/>
  <c r="UO129" i="1" s="1"/>
  <c r="WN10" i="1"/>
  <c r="UO10" i="1" s="1"/>
  <c r="WN136" i="1"/>
  <c r="UO136" i="1" s="1"/>
  <c r="WN33" i="1"/>
  <c r="UO33" i="1" s="1"/>
  <c r="WN50" i="1"/>
  <c r="UO50" i="1" s="1"/>
  <c r="WN148" i="1"/>
  <c r="UO148" i="1" s="1"/>
  <c r="XP148" i="1" s="1"/>
  <c r="WN71" i="1"/>
  <c r="UO71" i="1" s="1"/>
  <c r="WN38" i="1"/>
  <c r="UO38" i="1" s="1"/>
  <c r="WN93" i="1"/>
  <c r="UO93" i="1" s="1"/>
  <c r="WN21" i="1"/>
  <c r="UO21" i="1" s="1"/>
  <c r="WN67" i="1"/>
  <c r="UO67" i="1" s="1"/>
  <c r="WN34" i="1"/>
  <c r="UO34" i="1" s="1"/>
  <c r="WN41" i="1"/>
  <c r="UO41" i="1" s="1"/>
  <c r="VJ41" i="1" s="1"/>
  <c r="WN44" i="1"/>
  <c r="UO44" i="1" s="1"/>
  <c r="VJ44" i="1" s="1"/>
  <c r="WN40" i="1"/>
  <c r="UO40" i="1" s="1"/>
  <c r="WN115" i="1"/>
  <c r="UO115" i="1" s="1"/>
  <c r="WN126" i="1"/>
  <c r="UO126" i="1" s="1"/>
  <c r="WN29" i="1"/>
  <c r="UO29" i="1" s="1"/>
  <c r="WN157" i="1"/>
  <c r="UO157" i="1" s="1"/>
  <c r="WJ116" i="1"/>
  <c r="WK116" i="1" s="1"/>
  <c r="WL116" i="1" s="1"/>
  <c r="WJ38" i="1"/>
  <c r="WN30" i="1"/>
  <c r="UO30" i="1" s="1"/>
  <c r="WN60" i="1"/>
  <c r="UO60" i="1" s="1"/>
  <c r="WN76" i="1"/>
  <c r="UO76" i="1" s="1"/>
  <c r="WN111" i="1"/>
  <c r="UO111" i="1" s="1"/>
  <c r="WN35" i="1"/>
  <c r="UO35" i="1" s="1"/>
  <c r="WN114" i="1"/>
  <c r="UO114" i="1" s="1"/>
  <c r="WN45" i="1"/>
  <c r="UO45" i="1" s="1"/>
  <c r="VJ45" i="1" s="1"/>
  <c r="WN47" i="1"/>
  <c r="UO47" i="1" s="1"/>
  <c r="WN122" i="1"/>
  <c r="UO122" i="1" s="1"/>
  <c r="WN160" i="1"/>
  <c r="UO160" i="1" s="1"/>
  <c r="WN92" i="1"/>
  <c r="UO92" i="1" s="1"/>
  <c r="WN59" i="1"/>
  <c r="UO59" i="1" s="1"/>
  <c r="WN161" i="1"/>
  <c r="UO161" i="1" s="1"/>
  <c r="WN85" i="1"/>
  <c r="UO85" i="1" s="1"/>
  <c r="WN100" i="1"/>
  <c r="UO100" i="1" s="1"/>
  <c r="WN73" i="1"/>
  <c r="UO73" i="1" s="1"/>
  <c r="WN162" i="1"/>
  <c r="UO162" i="1" s="1"/>
  <c r="VJ162" i="1" s="1"/>
  <c r="WN152" i="1"/>
  <c r="UO152" i="1" s="1"/>
  <c r="WN20" i="1"/>
  <c r="UO20" i="1" s="1"/>
  <c r="WN16" i="1"/>
  <c r="UO16" i="1" s="1"/>
  <c r="VJ16" i="1" s="1"/>
  <c r="WN107" i="1"/>
  <c r="UO107" i="1" s="1"/>
  <c r="WN133" i="1"/>
  <c r="UO133" i="1" s="1"/>
  <c r="WN82" i="1"/>
  <c r="UO82" i="1" s="1"/>
  <c r="VJ82" i="1" s="1"/>
  <c r="WN64" i="1"/>
  <c r="UO64" i="1" s="1"/>
  <c r="WN109" i="1"/>
  <c r="UO109" i="1" s="1"/>
  <c r="VJ109" i="1" s="1"/>
  <c r="WJ35" i="1"/>
  <c r="WJ111" i="1"/>
  <c r="WJ21" i="1"/>
  <c r="WJ41" i="1"/>
  <c r="WN113" i="1"/>
  <c r="UO113" i="1" s="1"/>
  <c r="WN147" i="1"/>
  <c r="UO147" i="1" s="1"/>
  <c r="WN56" i="1"/>
  <c r="UO56" i="1" s="1"/>
  <c r="WN103" i="1"/>
  <c r="UO103" i="1" s="1"/>
  <c r="WN23" i="1"/>
  <c r="UO23" i="1" s="1"/>
  <c r="WN90" i="1"/>
  <c r="UO90" i="1" s="1"/>
  <c r="WN70" i="1"/>
  <c r="UO70" i="1" s="1"/>
  <c r="WN94" i="1"/>
  <c r="UO94" i="1" s="1"/>
  <c r="WN24" i="1"/>
  <c r="UO24" i="1" s="1"/>
  <c r="WN48" i="1"/>
  <c r="UO48" i="1" s="1"/>
  <c r="WN51" i="1"/>
  <c r="UO51" i="1" s="1"/>
  <c r="WN125" i="1"/>
  <c r="UO125" i="1" s="1"/>
  <c r="WN69" i="1"/>
  <c r="UO69" i="1" s="1"/>
  <c r="WN42" i="1"/>
  <c r="WN12" i="1"/>
  <c r="UO12" i="1" s="1"/>
  <c r="WN17" i="1"/>
  <c r="UO17" i="1" s="1"/>
  <c r="WN62" i="1"/>
  <c r="UO62" i="1" s="1"/>
  <c r="VJ62" i="1" s="1"/>
  <c r="WN104" i="1"/>
  <c r="UO104" i="1" s="1"/>
  <c r="WN127" i="1"/>
  <c r="UO127" i="1" s="1"/>
  <c r="XP127" i="1" s="1"/>
  <c r="WN151" i="1"/>
  <c r="UO151" i="1" s="1"/>
  <c r="WN27" i="1"/>
  <c r="UO27" i="1" s="1"/>
  <c r="WN37" i="1"/>
  <c r="UO37" i="1" s="1"/>
  <c r="WN58" i="1"/>
  <c r="UO58" i="1" s="1"/>
  <c r="VJ58" i="1" s="1"/>
  <c r="WN39" i="1"/>
  <c r="UO39" i="1" s="1"/>
  <c r="WN57" i="1"/>
  <c r="UO57" i="1" s="1"/>
  <c r="VJ57" i="1" s="1"/>
  <c r="WJ135" i="1"/>
  <c r="WJ20" i="1"/>
  <c r="WJ126" i="1"/>
  <c r="WN74" i="1"/>
  <c r="UO74" i="1" s="1"/>
  <c r="VJ74" i="1" s="1"/>
  <c r="WN25" i="1"/>
  <c r="UO25" i="1" s="1"/>
  <c r="WN31" i="1"/>
  <c r="UO31" i="1" s="1"/>
  <c r="VJ31" i="1" s="1"/>
  <c r="WN139" i="1"/>
  <c r="UO139" i="1" s="1"/>
  <c r="WN91" i="1"/>
  <c r="UO91" i="1" s="1"/>
  <c r="VJ91" i="1" s="1"/>
  <c r="WN15" i="1"/>
  <c r="UO15" i="1" s="1"/>
  <c r="WN137" i="1"/>
  <c r="UO137" i="1" s="1"/>
  <c r="WN132" i="1"/>
  <c r="UO132" i="1" s="1"/>
  <c r="WN97" i="1"/>
  <c r="UO97" i="1" s="1"/>
  <c r="WN66" i="1"/>
  <c r="UO66" i="1" s="1"/>
  <c r="WN11" i="1"/>
  <c r="UO11" i="1" s="1"/>
  <c r="WN87" i="1"/>
  <c r="UO87" i="1" s="1"/>
  <c r="WN43" i="1"/>
  <c r="UO43" i="1" s="1"/>
  <c r="WN101" i="1"/>
  <c r="UO101" i="1" s="1"/>
  <c r="WN61" i="1"/>
  <c r="UO61" i="1" s="1"/>
  <c r="WN96" i="1"/>
  <c r="UO96" i="1" s="1"/>
  <c r="WN55" i="1"/>
  <c r="UO55" i="1" s="1"/>
  <c r="WN22" i="1"/>
  <c r="UO22" i="1" s="1"/>
  <c r="WN68" i="1"/>
  <c r="UO68" i="1" s="1"/>
  <c r="WN72" i="1"/>
  <c r="UO72" i="1" s="1"/>
  <c r="WN135" i="1"/>
  <c r="UO135" i="1" s="1"/>
  <c r="WN134" i="1"/>
  <c r="UO134" i="1" s="1"/>
  <c r="WN18" i="1"/>
  <c r="UO18" i="1" s="1"/>
  <c r="WN102" i="1"/>
  <c r="UO102" i="1" s="1"/>
  <c r="WL42" i="1"/>
  <c r="WJ45" i="1"/>
  <c r="VD117" i="1"/>
  <c r="WJ128" i="1"/>
  <c r="WJ125" i="1"/>
  <c r="D20" i="14"/>
  <c r="D13" i="24" s="1"/>
  <c r="VD50" i="1"/>
  <c r="VD49" i="1"/>
  <c r="VD71" i="1"/>
  <c r="VD57" i="1"/>
  <c r="V124" i="14"/>
  <c r="WJ93" i="1"/>
  <c r="WJ61" i="1"/>
  <c r="VD109" i="1"/>
  <c r="WJ131" i="1"/>
  <c r="WJ36" i="1"/>
  <c r="WJ163" i="1"/>
  <c r="WK163" i="1" s="1"/>
  <c r="WJ121" i="1"/>
  <c r="WJ112" i="1"/>
  <c r="WJ108" i="1"/>
  <c r="VD67" i="1"/>
  <c r="VD119" i="1"/>
  <c r="VD143" i="1"/>
  <c r="VD134" i="1"/>
  <c r="WJ158" i="1"/>
  <c r="WK158" i="1" s="1"/>
  <c r="VD85" i="1"/>
  <c r="VD53" i="1"/>
  <c r="VD66" i="1"/>
  <c r="WK156" i="1"/>
  <c r="VD30" i="1"/>
  <c r="VD137" i="1"/>
  <c r="WJ95" i="1"/>
  <c r="WJ70" i="1"/>
  <c r="VD114" i="1"/>
  <c r="VD100" i="1"/>
  <c r="WJ29" i="1"/>
  <c r="VD148" i="1"/>
  <c r="WJ157" i="1"/>
  <c r="VD27" i="1"/>
  <c r="VD96" i="1"/>
  <c r="WJ48" i="1"/>
  <c r="WJ32" i="1"/>
  <c r="WJ24" i="1"/>
  <c r="VD98" i="1"/>
  <c r="VD102" i="1"/>
  <c r="VD78" i="1"/>
  <c r="VD15" i="1"/>
  <c r="VD136" i="1"/>
  <c r="VD79" i="1"/>
  <c r="VD37" i="1"/>
  <c r="VD129" i="1"/>
  <c r="VD113" i="1"/>
  <c r="VD12" i="1"/>
  <c r="WJ51" i="1"/>
  <c r="VD25" i="1"/>
  <c r="VD73" i="1"/>
  <c r="VD68" i="1"/>
  <c r="VD60" i="1"/>
  <c r="VD127" i="1"/>
  <c r="VD47" i="1"/>
  <c r="VD104" i="1"/>
  <c r="VD18" i="1"/>
  <c r="VD106" i="1"/>
  <c r="VD34" i="1"/>
  <c r="VD82" i="1"/>
  <c r="VD101" i="1"/>
  <c r="VD75" i="1"/>
  <c r="VD46" i="1"/>
  <c r="VD84" i="1"/>
  <c r="VD76" i="1"/>
  <c r="VD88" i="1"/>
  <c r="VD16" i="1"/>
  <c r="VD120" i="1"/>
  <c r="VD43" i="1"/>
  <c r="VD93" i="1"/>
  <c r="VD125" i="1"/>
  <c r="VD146" i="1"/>
  <c r="VD124" i="1"/>
  <c r="VD22" i="1"/>
  <c r="VD107" i="1"/>
  <c r="VD17" i="1"/>
  <c r="VD163" i="1"/>
  <c r="VD19" i="1"/>
  <c r="VD31" i="1"/>
  <c r="VD64" i="1"/>
  <c r="VD83" i="1"/>
  <c r="VD70" i="1"/>
  <c r="VD65" i="1"/>
  <c r="VD52" i="1"/>
  <c r="VD45" i="1"/>
  <c r="VD149" i="1"/>
  <c r="VD123" i="1"/>
  <c r="VD38" i="1"/>
  <c r="VD105" i="1"/>
  <c r="VD139" i="1"/>
  <c r="VD138" i="1"/>
  <c r="VD74" i="1"/>
  <c r="VD21" i="1"/>
  <c r="VD92" i="1"/>
  <c r="VD161" i="1"/>
  <c r="VD77" i="1"/>
  <c r="VD131" i="1"/>
  <c r="VD108" i="1"/>
  <c r="VD36" i="1"/>
  <c r="VD99" i="1"/>
  <c r="VD141" i="1"/>
  <c r="VD145" i="1"/>
  <c r="VD39" i="1"/>
  <c r="VD28" i="1"/>
  <c r="VD144" i="1"/>
  <c r="VD55" i="1"/>
  <c r="VD158" i="1"/>
  <c r="VD154" i="1"/>
  <c r="VD155" i="1"/>
  <c r="VD72" i="1"/>
  <c r="VD81" i="1"/>
  <c r="VD51" i="1"/>
  <c r="VD33" i="1"/>
  <c r="VD26" i="1"/>
  <c r="VD91" i="1"/>
  <c r="VD130" i="1"/>
  <c r="VD35" i="1"/>
  <c r="VD14" i="1"/>
  <c r="VD80" i="1"/>
  <c r="VD56" i="1"/>
  <c r="VD54" i="1"/>
  <c r="VD140" i="1"/>
  <c r="VD153" i="1"/>
  <c r="VD61" i="1"/>
  <c r="VD147" i="1"/>
  <c r="VD87" i="1"/>
  <c r="VD48" i="1"/>
  <c r="VD135" i="1"/>
  <c r="VD133" i="1"/>
  <c r="VD162" i="1"/>
  <c r="VD20" i="1"/>
  <c r="VD90" i="1"/>
  <c r="VD97" i="1"/>
  <c r="VD160" i="1"/>
  <c r="VD86" i="1"/>
  <c r="VD13" i="1"/>
  <c r="VD29" i="1"/>
  <c r="VD62" i="1"/>
  <c r="VD103" i="1"/>
  <c r="VD121" i="1"/>
  <c r="VD23" i="1"/>
  <c r="VD157" i="1"/>
  <c r="VD156" i="1"/>
  <c r="VD40" i="1"/>
  <c r="VD128" i="1"/>
  <c r="VD32" i="1"/>
  <c r="VD110" i="1"/>
  <c r="VD24" i="1"/>
  <c r="VD94" i="1"/>
  <c r="VD126" i="1"/>
  <c r="VD122" i="1"/>
  <c r="VD115" i="1"/>
  <c r="VD150" i="1"/>
  <c r="VD152" i="1"/>
  <c r="VD69" i="1"/>
  <c r="VD111" i="1"/>
  <c r="VD142" i="1"/>
  <c r="VD41" i="1"/>
  <c r="VD95" i="1"/>
  <c r="VD42" i="1"/>
  <c r="VD89" i="1"/>
  <c r="VD132" i="1"/>
  <c r="VD151" i="1"/>
  <c r="VD118" i="1"/>
  <c r="VD112" i="1"/>
  <c r="VD58" i="1"/>
  <c r="VD44" i="1"/>
  <c r="VD59" i="1"/>
  <c r="VD116" i="1"/>
  <c r="VD63" i="1"/>
  <c r="WJ114" i="1"/>
  <c r="WJ100" i="1"/>
  <c r="WJ148" i="1"/>
  <c r="WJ96" i="1"/>
  <c r="WJ98" i="1"/>
  <c r="WJ37" i="1"/>
  <c r="WJ30" i="1"/>
  <c r="WJ137" i="1"/>
  <c r="WJ27" i="1"/>
  <c r="WJ78" i="1"/>
  <c r="WJ104" i="1"/>
  <c r="WJ119" i="1"/>
  <c r="WJ15" i="1"/>
  <c r="WJ136" i="1"/>
  <c r="WJ53" i="1"/>
  <c r="WJ66" i="1"/>
  <c r="WJ67" i="1"/>
  <c r="WJ129" i="1"/>
  <c r="WJ12" i="1"/>
  <c r="WJ25" i="1"/>
  <c r="WJ73" i="1"/>
  <c r="WJ68" i="1"/>
  <c r="WJ60" i="1"/>
  <c r="WJ143" i="1"/>
  <c r="WJ134" i="1"/>
  <c r="WJ109" i="1"/>
  <c r="WJ85" i="1"/>
  <c r="WJ46" i="1"/>
  <c r="WJ50" i="1"/>
  <c r="WJ88" i="1"/>
  <c r="WJ49" i="1"/>
  <c r="WJ127" i="1"/>
  <c r="WJ71" i="1"/>
  <c r="WJ57" i="1"/>
  <c r="WM156" i="1"/>
  <c r="WJ18" i="1"/>
  <c r="WJ106" i="1"/>
  <c r="WJ34" i="1"/>
  <c r="WJ82" i="1"/>
  <c r="WJ101" i="1"/>
  <c r="WJ79" i="1"/>
  <c r="WJ75" i="1"/>
  <c r="WJ113" i="1"/>
  <c r="WJ84" i="1"/>
  <c r="WJ76" i="1"/>
  <c r="WJ16" i="1"/>
  <c r="WJ120" i="1"/>
  <c r="WJ47" i="1"/>
  <c r="WJ102" i="1"/>
  <c r="WJ117" i="1"/>
  <c r="WK117" i="1" s="1"/>
  <c r="WJ159" i="1"/>
  <c r="WK159" i="1" s="1"/>
  <c r="L208" i="14"/>
  <c r="G196" i="10" s="1"/>
  <c r="L168" i="14"/>
  <c r="G156" i="10" s="1"/>
  <c r="L248" i="14"/>
  <c r="G236" i="10" s="1"/>
  <c r="L156" i="14"/>
  <c r="G144" i="10" s="1"/>
  <c r="L112" i="14"/>
  <c r="G100" i="10" s="1"/>
  <c r="F8" i="10" s="1"/>
  <c r="L250" i="14"/>
  <c r="G238" i="10" s="1"/>
  <c r="L124" i="14"/>
  <c r="G112" i="10" s="1"/>
  <c r="L108" i="14"/>
  <c r="G96" i="10" s="1"/>
  <c r="L176" i="14"/>
  <c r="G164" i="10" s="1"/>
  <c r="L228" i="14"/>
  <c r="G216" i="10" s="1"/>
  <c r="L212" i="14"/>
  <c r="G200" i="10" s="1"/>
  <c r="L196" i="14"/>
  <c r="G184" i="10" s="1"/>
  <c r="L180" i="14"/>
  <c r="G168" i="10" s="1"/>
  <c r="L164" i="14"/>
  <c r="G152" i="10" s="1"/>
  <c r="L128" i="14"/>
  <c r="G116" i="10" s="1"/>
  <c r="L152" i="14"/>
  <c r="G140" i="10" s="1"/>
  <c r="L242" i="14"/>
  <c r="G230" i="10" s="1"/>
  <c r="L226" i="14"/>
  <c r="G214" i="10" s="1"/>
  <c r="L158" i="14"/>
  <c r="G146" i="10" s="1"/>
  <c r="L142" i="14"/>
  <c r="G130" i="10" s="1"/>
  <c r="L154" i="14"/>
  <c r="G142" i="10" s="1"/>
  <c r="L138" i="14"/>
  <c r="G126" i="10" s="1"/>
  <c r="L244" i="14"/>
  <c r="G232" i="10" s="1"/>
  <c r="L116" i="14"/>
  <c r="G104" i="10" s="1"/>
  <c r="L126" i="14"/>
  <c r="G114" i="10" s="1"/>
  <c r="L110" i="14"/>
  <c r="G98" i="10" s="1"/>
  <c r="L148" i="14"/>
  <c r="G136" i="10" s="1"/>
  <c r="L104" i="14"/>
  <c r="G92" i="10" s="1"/>
  <c r="L122" i="14"/>
  <c r="G110" i="10" s="1"/>
  <c r="L106" i="14"/>
  <c r="G94" i="10" s="1"/>
  <c r="L220" i="14"/>
  <c r="G208" i="10" s="1"/>
  <c r="L188" i="14"/>
  <c r="G176" i="10" s="1"/>
  <c r="L186" i="14"/>
  <c r="G174" i="10" s="1"/>
  <c r="L170" i="14"/>
  <c r="G158" i="10" s="1"/>
  <c r="L224" i="14"/>
  <c r="G212" i="10" s="1"/>
  <c r="L230" i="14"/>
  <c r="G218" i="10" s="1"/>
  <c r="L214" i="14"/>
  <c r="G202" i="10" s="1"/>
  <c r="L162" i="14"/>
  <c r="G150" i="10" s="1"/>
  <c r="L232" i="14"/>
  <c r="G220" i="10" s="1"/>
  <c r="L216" i="14"/>
  <c r="G204" i="10" s="1"/>
  <c r="L140" i="14"/>
  <c r="G128" i="10" s="1"/>
  <c r="L190" i="14"/>
  <c r="G178" i="10" s="1"/>
  <c r="L174" i="14"/>
  <c r="G162" i="10" s="1"/>
  <c r="L114" i="14"/>
  <c r="G102" i="10" s="1"/>
  <c r="L102" i="14"/>
  <c r="G90" i="10" s="1"/>
  <c r="L200" i="14"/>
  <c r="G188" i="10" s="1"/>
  <c r="L160" i="14"/>
  <c r="G148" i="10" s="1"/>
  <c r="L234" i="14"/>
  <c r="G222" i="10" s="1"/>
  <c r="L166" i="14"/>
  <c r="G154" i="10" s="1"/>
  <c r="L134" i="14"/>
  <c r="G122" i="10" s="1"/>
  <c r="L240" i="14"/>
  <c r="G228" i="10" s="1"/>
  <c r="L192" i="14"/>
  <c r="G180" i="10" s="1"/>
  <c r="L120" i="14"/>
  <c r="G108" i="10" s="1"/>
  <c r="L246" i="14"/>
  <c r="G234" i="10" s="1"/>
  <c r="L236" i="14"/>
  <c r="G224" i="10" s="1"/>
  <c r="L204" i="14"/>
  <c r="G192" i="10" s="1"/>
  <c r="L172" i="14"/>
  <c r="G160" i="10" s="1"/>
  <c r="L136" i="14"/>
  <c r="G124" i="10" s="1"/>
  <c r="L144" i="14"/>
  <c r="G132" i="10" s="1"/>
  <c r="L184" i="14"/>
  <c r="G172" i="10" s="1"/>
  <c r="L132" i="14"/>
  <c r="G120" i="10" s="1"/>
  <c r="L210" i="14"/>
  <c r="G198" i="10" s="1"/>
  <c r="L202" i="14"/>
  <c r="G190" i="10" s="1"/>
  <c r="L218" i="14"/>
  <c r="G206" i="10" s="1"/>
  <c r="L150" i="14"/>
  <c r="G138" i="10" s="1"/>
  <c r="L101" i="14"/>
  <c r="G89" i="10" s="1"/>
  <c r="L206" i="14"/>
  <c r="G194" i="10" s="1"/>
  <c r="L98" i="14"/>
  <c r="M17" i="14"/>
  <c r="L238" i="14"/>
  <c r="G226" i="10" s="1"/>
  <c r="L222" i="14"/>
  <c r="G210" i="10" s="1"/>
  <c r="L194" i="14"/>
  <c r="G182" i="10" s="1"/>
  <c r="L178" i="14"/>
  <c r="G166" i="10" s="1"/>
  <c r="L118" i="14"/>
  <c r="G106" i="10" s="1"/>
  <c r="M19" i="14"/>
  <c r="L146" i="14"/>
  <c r="G134" i="10" s="1"/>
  <c r="L130" i="14"/>
  <c r="G118" i="10" s="1"/>
  <c r="L198" i="14"/>
  <c r="G186" i="10" s="1"/>
  <c r="L182" i="14"/>
  <c r="G170" i="10" s="1"/>
  <c r="V21" i="14"/>
  <c r="V18" i="14"/>
  <c r="V16" i="14"/>
  <c r="V19" i="14"/>
  <c r="V20" i="14"/>
  <c r="VU5" i="1"/>
  <c r="VT15" i="1"/>
  <c r="O102" i="14" s="1"/>
  <c r="VT136" i="1"/>
  <c r="O223" i="14" s="1"/>
  <c r="VT72" i="1"/>
  <c r="O159" i="14" s="1"/>
  <c r="VT40" i="1"/>
  <c r="O127" i="14" s="1"/>
  <c r="VT133" i="1"/>
  <c r="O220" i="14" s="1"/>
  <c r="VT101" i="1"/>
  <c r="O188" i="14" s="1"/>
  <c r="VT53" i="1"/>
  <c r="O140" i="14" s="1"/>
  <c r="VT17" i="1"/>
  <c r="O104" i="14" s="1"/>
  <c r="VT134" i="1"/>
  <c r="O221" i="14" s="1"/>
  <c r="VT102" i="1"/>
  <c r="O189" i="14" s="1"/>
  <c r="VT70" i="1"/>
  <c r="O157" i="14" s="1"/>
  <c r="VT22" i="1"/>
  <c r="O109" i="14" s="1"/>
  <c r="VT92" i="1"/>
  <c r="O179" i="14" s="1"/>
  <c r="VT111" i="1"/>
  <c r="O198" i="14" s="1"/>
  <c r="VT47" i="1"/>
  <c r="O134" i="14" s="1"/>
  <c r="VT10" i="1"/>
  <c r="O97" i="14" s="1"/>
  <c r="VT139" i="1"/>
  <c r="O226" i="14" s="1"/>
  <c r="VT107" i="1"/>
  <c r="O194" i="14" s="1"/>
  <c r="VT75" i="1"/>
  <c r="O162" i="14" s="1"/>
  <c r="VT43" i="1"/>
  <c r="O130" i="14" s="1"/>
  <c r="VT11" i="1"/>
  <c r="O98" i="14" s="1"/>
  <c r="VT148" i="1"/>
  <c r="O235" i="14" s="1"/>
  <c r="VT116" i="1"/>
  <c r="O203" i="14" s="1"/>
  <c r="VT84" i="1"/>
  <c r="O171" i="14" s="1"/>
  <c r="VT52" i="1"/>
  <c r="O139" i="14" s="1"/>
  <c r="VT20" i="1"/>
  <c r="O107" i="14" s="1"/>
  <c r="VT145" i="1"/>
  <c r="O232" i="14" s="1"/>
  <c r="VT113" i="1"/>
  <c r="O200" i="14" s="1"/>
  <c r="VT81" i="1"/>
  <c r="O168" i="14" s="1"/>
  <c r="VT49" i="1"/>
  <c r="O136" i="14" s="1"/>
  <c r="VT162" i="1"/>
  <c r="O249" i="14" s="1"/>
  <c r="VT130" i="1"/>
  <c r="O217" i="14" s="1"/>
  <c r="VT98" i="1"/>
  <c r="O185" i="14" s="1"/>
  <c r="VT66" i="1"/>
  <c r="O153" i="14" s="1"/>
  <c r="VT34" i="1"/>
  <c r="O121" i="14" s="1"/>
  <c r="VT151" i="1"/>
  <c r="O238" i="14" s="1"/>
  <c r="VT119" i="1"/>
  <c r="O206" i="14" s="1"/>
  <c r="VT71" i="1"/>
  <c r="O158" i="14" s="1"/>
  <c r="VT39" i="1"/>
  <c r="O126" i="14" s="1"/>
  <c r="VT13" i="1"/>
  <c r="O100" i="14" s="1"/>
  <c r="Z100" i="14" s="1"/>
  <c r="VT144" i="1"/>
  <c r="O231" i="14" s="1"/>
  <c r="VT112" i="1"/>
  <c r="O199" i="14" s="1"/>
  <c r="VT80" i="1"/>
  <c r="O167" i="14" s="1"/>
  <c r="VT48" i="1"/>
  <c r="O135" i="14" s="1"/>
  <c r="VT16" i="1"/>
  <c r="O103" i="14" s="1"/>
  <c r="VT141" i="1"/>
  <c r="O228" i="14" s="1"/>
  <c r="VT109" i="1"/>
  <c r="O196" i="14" s="1"/>
  <c r="VT77" i="1"/>
  <c r="O164" i="14" s="1"/>
  <c r="VT45" i="1"/>
  <c r="O132" i="14" s="1"/>
  <c r="VT158" i="1"/>
  <c r="O245" i="14" s="1"/>
  <c r="VT126" i="1"/>
  <c r="O213" i="14" s="1"/>
  <c r="VT94" i="1"/>
  <c r="O181" i="14" s="1"/>
  <c r="VT62" i="1"/>
  <c r="O149" i="14" s="1"/>
  <c r="VT30" i="1"/>
  <c r="O117" i="14" s="1"/>
  <c r="VT163" i="1"/>
  <c r="O250" i="14" s="1"/>
  <c r="VT115" i="1"/>
  <c r="O202" i="14" s="1"/>
  <c r="VT67" i="1"/>
  <c r="O154" i="14" s="1"/>
  <c r="VT19" i="1"/>
  <c r="O106" i="14" s="1"/>
  <c r="VT140" i="1"/>
  <c r="O227" i="14" s="1"/>
  <c r="VT108" i="1"/>
  <c r="O195" i="14" s="1"/>
  <c r="VT60" i="1"/>
  <c r="O147" i="14" s="1"/>
  <c r="VT28" i="1"/>
  <c r="O115" i="14" s="1"/>
  <c r="VT153" i="1"/>
  <c r="O240" i="14" s="1"/>
  <c r="VT121" i="1"/>
  <c r="O208" i="14" s="1"/>
  <c r="VT89" i="1"/>
  <c r="O176" i="14" s="1"/>
  <c r="VT57" i="1"/>
  <c r="O144" i="14" s="1"/>
  <c r="VT154" i="1"/>
  <c r="O241" i="14" s="1"/>
  <c r="VT106" i="1"/>
  <c r="O193" i="14" s="1"/>
  <c r="VT58" i="1"/>
  <c r="O145" i="14" s="1"/>
  <c r="VT26" i="1"/>
  <c r="O113" i="14" s="1"/>
  <c r="VT131" i="1"/>
  <c r="O218" i="14" s="1"/>
  <c r="VT41" i="1"/>
  <c r="O128" i="14" s="1"/>
  <c r="VT159" i="1"/>
  <c r="O246" i="14" s="1"/>
  <c r="VT95" i="1"/>
  <c r="O182" i="14" s="1"/>
  <c r="VT31" i="1"/>
  <c r="O118" i="14" s="1"/>
  <c r="VT149" i="1"/>
  <c r="O236" i="14" s="1"/>
  <c r="VT152" i="1"/>
  <c r="O239" i="14" s="1"/>
  <c r="VT104" i="1"/>
  <c r="O191" i="14" s="1"/>
  <c r="VT56" i="1"/>
  <c r="O143" i="14" s="1"/>
  <c r="VT24" i="1"/>
  <c r="O111" i="14" s="1"/>
  <c r="VT117" i="1"/>
  <c r="O204" i="14" s="1"/>
  <c r="VT69" i="1"/>
  <c r="O156" i="14" s="1"/>
  <c r="VT37" i="1"/>
  <c r="O124" i="14" s="1"/>
  <c r="VT150" i="1"/>
  <c r="O237" i="14" s="1"/>
  <c r="VT118" i="1"/>
  <c r="O205" i="14" s="1"/>
  <c r="VT86" i="1"/>
  <c r="O173" i="14" s="1"/>
  <c r="VT54" i="1"/>
  <c r="O141" i="14" s="1"/>
  <c r="VT83" i="1"/>
  <c r="O170" i="14" s="1"/>
  <c r="VT122" i="1"/>
  <c r="O209" i="14" s="1"/>
  <c r="VT143" i="1"/>
  <c r="O230" i="14" s="1"/>
  <c r="VT79" i="1"/>
  <c r="O166" i="14" s="1"/>
  <c r="VT85" i="1"/>
  <c r="O172" i="14" s="1"/>
  <c r="VT155" i="1"/>
  <c r="O242" i="14" s="1"/>
  <c r="VT123" i="1"/>
  <c r="O210" i="14" s="1"/>
  <c r="VT91" i="1"/>
  <c r="O178" i="14" s="1"/>
  <c r="VT59" i="1"/>
  <c r="O146" i="14" s="1"/>
  <c r="VT27" i="1"/>
  <c r="O114" i="14" s="1"/>
  <c r="VT132" i="1"/>
  <c r="O219" i="14" s="1"/>
  <c r="VT100" i="1"/>
  <c r="O187" i="14" s="1"/>
  <c r="VT68" i="1"/>
  <c r="O155" i="14" s="1"/>
  <c r="VT36" i="1"/>
  <c r="O123" i="14" s="1"/>
  <c r="VT161" i="1"/>
  <c r="O248" i="14" s="1"/>
  <c r="VT129" i="1"/>
  <c r="O216" i="14" s="1"/>
  <c r="VT97" i="1"/>
  <c r="O184" i="14" s="1"/>
  <c r="VT65" i="1"/>
  <c r="O152" i="14" s="1"/>
  <c r="VT33" i="1"/>
  <c r="O120" i="14" s="1"/>
  <c r="VT146" i="1"/>
  <c r="O233" i="14" s="1"/>
  <c r="VT114" i="1"/>
  <c r="O201" i="14" s="1"/>
  <c r="VT82" i="1"/>
  <c r="O169" i="14" s="1"/>
  <c r="VT50" i="1"/>
  <c r="O137" i="14" s="1"/>
  <c r="VT18" i="1"/>
  <c r="O105" i="14" s="1"/>
  <c r="VT135" i="1"/>
  <c r="O222" i="14" s="1"/>
  <c r="VT87" i="1"/>
  <c r="O174" i="14" s="1"/>
  <c r="VT55" i="1"/>
  <c r="O142" i="14" s="1"/>
  <c r="VT23" i="1"/>
  <c r="O110" i="14" s="1"/>
  <c r="VT160" i="1"/>
  <c r="O247" i="14" s="1"/>
  <c r="VT128" i="1"/>
  <c r="O215" i="14" s="1"/>
  <c r="VT96" i="1"/>
  <c r="O183" i="14" s="1"/>
  <c r="VT64" i="1"/>
  <c r="O151" i="14" s="1"/>
  <c r="VT32" i="1"/>
  <c r="O119" i="14" s="1"/>
  <c r="VT157" i="1"/>
  <c r="O244" i="14" s="1"/>
  <c r="VT125" i="1"/>
  <c r="O212" i="14" s="1"/>
  <c r="VT93" i="1"/>
  <c r="O180" i="14" s="1"/>
  <c r="VT61" i="1"/>
  <c r="O148" i="14" s="1"/>
  <c r="VT29" i="1"/>
  <c r="O116" i="14" s="1"/>
  <c r="VT142" i="1"/>
  <c r="O229" i="14" s="1"/>
  <c r="VT110" i="1"/>
  <c r="O197" i="14" s="1"/>
  <c r="VT78" i="1"/>
  <c r="O165" i="14" s="1"/>
  <c r="VT46" i="1"/>
  <c r="O133" i="14" s="1"/>
  <c r="VT14" i="1"/>
  <c r="O101" i="14" s="1"/>
  <c r="VT147" i="1"/>
  <c r="O234" i="14" s="1"/>
  <c r="VT99" i="1"/>
  <c r="O186" i="14" s="1"/>
  <c r="VT51" i="1"/>
  <c r="O138" i="14" s="1"/>
  <c r="VT156" i="1"/>
  <c r="O243" i="14" s="1"/>
  <c r="VT124" i="1"/>
  <c r="O211" i="14" s="1"/>
  <c r="VT76" i="1"/>
  <c r="O163" i="14" s="1"/>
  <c r="VT44" i="1"/>
  <c r="O131" i="14" s="1"/>
  <c r="VT12" i="1"/>
  <c r="VT137" i="1"/>
  <c r="O224" i="14" s="1"/>
  <c r="VT105" i="1"/>
  <c r="O192" i="14" s="1"/>
  <c r="VT73" i="1"/>
  <c r="O160" i="14" s="1"/>
  <c r="VT21" i="1"/>
  <c r="O108" i="14" s="1"/>
  <c r="VT138" i="1"/>
  <c r="O225" i="14" s="1"/>
  <c r="VT74" i="1"/>
  <c r="O161" i="14" s="1"/>
  <c r="VT42" i="1"/>
  <c r="O129" i="14" s="1"/>
  <c r="VT35" i="1"/>
  <c r="O122" i="14" s="1"/>
  <c r="VT90" i="1"/>
  <c r="O177" i="14" s="1"/>
  <c r="VT127" i="1"/>
  <c r="O214" i="14" s="1"/>
  <c r="VT63" i="1"/>
  <c r="O150" i="14" s="1"/>
  <c r="VT88" i="1"/>
  <c r="O175" i="14" s="1"/>
  <c r="VT38" i="1"/>
  <c r="O125" i="14" s="1"/>
  <c r="VT103" i="1"/>
  <c r="O190" i="14" s="1"/>
  <c r="YG12" i="1"/>
  <c r="XB12" i="1"/>
  <c r="D17" i="14"/>
  <c r="D10" i="24" s="1"/>
  <c r="YG26" i="1"/>
  <c r="U149" i="17"/>
  <c r="XB26" i="1"/>
  <c r="YG42" i="1"/>
  <c r="U68" i="17"/>
  <c r="YG10" i="1"/>
  <c r="U118" i="17"/>
  <c r="XW25" i="1"/>
  <c r="XX25" i="1" s="1"/>
  <c r="VI25" i="1"/>
  <c r="XB161" i="1"/>
  <c r="YG161" i="1"/>
  <c r="XB63" i="1"/>
  <c r="YG63" i="1"/>
  <c r="XB144" i="1"/>
  <c r="YG144" i="1"/>
  <c r="XB22" i="1"/>
  <c r="YG22" i="1"/>
  <c r="XB101" i="1"/>
  <c r="YG101" i="1"/>
  <c r="XB16" i="1"/>
  <c r="YG16" i="1"/>
  <c r="XB86" i="1"/>
  <c r="YG86" i="1"/>
  <c r="XB123" i="1"/>
  <c r="YG123" i="1"/>
  <c r="XB43" i="1"/>
  <c r="YG43" i="1"/>
  <c r="XB97" i="1"/>
  <c r="YG97" i="1"/>
  <c r="XB73" i="1"/>
  <c r="YG73" i="1"/>
  <c r="XB37" i="1"/>
  <c r="YG37" i="1"/>
  <c r="XB122" i="1"/>
  <c r="YG122" i="1"/>
  <c r="XB58" i="1"/>
  <c r="YG58" i="1"/>
  <c r="XB95" i="1"/>
  <c r="YG95" i="1"/>
  <c r="XB47" i="1"/>
  <c r="YG47" i="1"/>
  <c r="XB72" i="1"/>
  <c r="YG72" i="1"/>
  <c r="XB50" i="1"/>
  <c r="YG50" i="1"/>
  <c r="XB91" i="1"/>
  <c r="YG91" i="1"/>
  <c r="XB11" i="1"/>
  <c r="YG11" i="1"/>
  <c r="XB116" i="1"/>
  <c r="YG116" i="1"/>
  <c r="XB84" i="1"/>
  <c r="YG84" i="1"/>
  <c r="XB46" i="1"/>
  <c r="YG46" i="1"/>
  <c r="XB129" i="1"/>
  <c r="YG129" i="1"/>
  <c r="XB24" i="1"/>
  <c r="YG24" i="1"/>
  <c r="XB90" i="1"/>
  <c r="YG90" i="1"/>
  <c r="XB15" i="1"/>
  <c r="YG15" i="1"/>
  <c r="XB104" i="1"/>
  <c r="YG104" i="1"/>
  <c r="XB133" i="1"/>
  <c r="YG133" i="1"/>
  <c r="XB69" i="1"/>
  <c r="YG69" i="1"/>
  <c r="XB49" i="1"/>
  <c r="YG49" i="1"/>
  <c r="XB118" i="1"/>
  <c r="YG118" i="1"/>
  <c r="XB67" i="1"/>
  <c r="YG67" i="1"/>
  <c r="XB153" i="1"/>
  <c r="YG153" i="1"/>
  <c r="XB121" i="1"/>
  <c r="YG121" i="1"/>
  <c r="XB13" i="1"/>
  <c r="YG13" i="1"/>
  <c r="XB45" i="1"/>
  <c r="YG45" i="1"/>
  <c r="XB114" i="1"/>
  <c r="YG114" i="1"/>
  <c r="XB82" i="1"/>
  <c r="YG82" i="1"/>
  <c r="XB119" i="1"/>
  <c r="YG119" i="1"/>
  <c r="XB87" i="1"/>
  <c r="YG87" i="1"/>
  <c r="XB52" i="1"/>
  <c r="YG52" i="1"/>
  <c r="XB23" i="1"/>
  <c r="YG23" i="1"/>
  <c r="XB55" i="1"/>
  <c r="YG55" i="1"/>
  <c r="XB136" i="1"/>
  <c r="YG136" i="1"/>
  <c r="XB96" i="1"/>
  <c r="YG96" i="1"/>
  <c r="XB64" i="1"/>
  <c r="YG64" i="1"/>
  <c r="XB157" i="1"/>
  <c r="YG157" i="1"/>
  <c r="XB125" i="1"/>
  <c r="YG125" i="1"/>
  <c r="XB93" i="1"/>
  <c r="YG93" i="1"/>
  <c r="XB61" i="1"/>
  <c r="YG61" i="1"/>
  <c r="XB17" i="1"/>
  <c r="YG17" i="1"/>
  <c r="XB57" i="1"/>
  <c r="YG57" i="1"/>
  <c r="XB142" i="1"/>
  <c r="YG142" i="1"/>
  <c r="XB110" i="1"/>
  <c r="YG110" i="1"/>
  <c r="XB78" i="1"/>
  <c r="YG78" i="1"/>
  <c r="XB34" i="1"/>
  <c r="YG34" i="1"/>
  <c r="XB115" i="1"/>
  <c r="YG115" i="1"/>
  <c r="XB83" i="1"/>
  <c r="YG83" i="1"/>
  <c r="XB59" i="1"/>
  <c r="YG59" i="1"/>
  <c r="XB19" i="1"/>
  <c r="YG19" i="1"/>
  <c r="XB51" i="1"/>
  <c r="YG51" i="1"/>
  <c r="XB108" i="1"/>
  <c r="YG108" i="1"/>
  <c r="XB76" i="1"/>
  <c r="YG76" i="1"/>
  <c r="XB30" i="1"/>
  <c r="YG30" i="1"/>
  <c r="XB113" i="1"/>
  <c r="YG113" i="1"/>
  <c r="XB89" i="1"/>
  <c r="YG89" i="1"/>
  <c r="XB56" i="1"/>
  <c r="YG56" i="1"/>
  <c r="XB21" i="1"/>
  <c r="YG21" i="1"/>
  <c r="XB53" i="1"/>
  <c r="YG53" i="1"/>
  <c r="XB138" i="1"/>
  <c r="YG138" i="1"/>
  <c r="XB106" i="1"/>
  <c r="YG106" i="1"/>
  <c r="XB74" i="1"/>
  <c r="YG74" i="1"/>
  <c r="XB111" i="1"/>
  <c r="YG111" i="1"/>
  <c r="XB79" i="1"/>
  <c r="YG79" i="1"/>
  <c r="XB36" i="1"/>
  <c r="YG36" i="1"/>
  <c r="XB31" i="1"/>
  <c r="YG31" i="1"/>
  <c r="XB128" i="1"/>
  <c r="YG128" i="1"/>
  <c r="XB88" i="1"/>
  <c r="YG88" i="1"/>
  <c r="XB54" i="1"/>
  <c r="YG54" i="1"/>
  <c r="XB149" i="1"/>
  <c r="YG149" i="1"/>
  <c r="XB117" i="1"/>
  <c r="YG117" i="1"/>
  <c r="XB85" i="1"/>
  <c r="YG85" i="1"/>
  <c r="XB48" i="1"/>
  <c r="YG48" i="1"/>
  <c r="XB33" i="1"/>
  <c r="YG33" i="1"/>
  <c r="XB134" i="1"/>
  <c r="YG134" i="1"/>
  <c r="XB102" i="1"/>
  <c r="YG102" i="1"/>
  <c r="XB70" i="1"/>
  <c r="YG70" i="1"/>
  <c r="XB18" i="1"/>
  <c r="YG18" i="1"/>
  <c r="XB107" i="1"/>
  <c r="YG107" i="1"/>
  <c r="XB44" i="1"/>
  <c r="YG44" i="1"/>
  <c r="XB27" i="1"/>
  <c r="YG27" i="1"/>
  <c r="XB132" i="1"/>
  <c r="YG132" i="1"/>
  <c r="XB100" i="1"/>
  <c r="YG100" i="1"/>
  <c r="XB68" i="1"/>
  <c r="YG68" i="1"/>
  <c r="XB14" i="1"/>
  <c r="YG14" i="1"/>
  <c r="XB105" i="1"/>
  <c r="YG105" i="1"/>
  <c r="XB40" i="1"/>
  <c r="YG40" i="1"/>
  <c r="XB29" i="1"/>
  <c r="YG29" i="1"/>
  <c r="XB162" i="1"/>
  <c r="YG162" i="1"/>
  <c r="XB130" i="1"/>
  <c r="YG130" i="1"/>
  <c r="XB98" i="1"/>
  <c r="YG98" i="1"/>
  <c r="XB66" i="1"/>
  <c r="YG66" i="1"/>
  <c r="XB135" i="1"/>
  <c r="YG135" i="1"/>
  <c r="XB103" i="1"/>
  <c r="YG103" i="1"/>
  <c r="XB71" i="1"/>
  <c r="YG71" i="1"/>
  <c r="XB20" i="1"/>
  <c r="YG20" i="1"/>
  <c r="XB39" i="1"/>
  <c r="YG39" i="1"/>
  <c r="XB112" i="1"/>
  <c r="YG112" i="1"/>
  <c r="XB80" i="1"/>
  <c r="YG80" i="1"/>
  <c r="XB38" i="1"/>
  <c r="YG38" i="1"/>
  <c r="XB109" i="1"/>
  <c r="YG109" i="1"/>
  <c r="XB77" i="1"/>
  <c r="YG77" i="1"/>
  <c r="XB32" i="1"/>
  <c r="YG32" i="1"/>
  <c r="XB41" i="1"/>
  <c r="YG41" i="1"/>
  <c r="XB150" i="1"/>
  <c r="YG150" i="1"/>
  <c r="XB126" i="1"/>
  <c r="YG126" i="1"/>
  <c r="XB94" i="1"/>
  <c r="YG94" i="1"/>
  <c r="XB62" i="1"/>
  <c r="YG62" i="1"/>
  <c r="XB99" i="1"/>
  <c r="YG99" i="1"/>
  <c r="XB75" i="1"/>
  <c r="YG75" i="1"/>
  <c r="XB28" i="1"/>
  <c r="YG28" i="1"/>
  <c r="XB35" i="1"/>
  <c r="YG35" i="1"/>
  <c r="XB156" i="1"/>
  <c r="YG156" i="1"/>
  <c r="XB124" i="1"/>
  <c r="YG124" i="1"/>
  <c r="XB92" i="1"/>
  <c r="YG92" i="1"/>
  <c r="XB60" i="1"/>
  <c r="YG60" i="1"/>
  <c r="D19" i="14"/>
  <c r="D12" i="24" s="1"/>
  <c r="D16" i="14"/>
  <c r="D9" i="24" s="1"/>
  <c r="D112" i="10"/>
  <c r="D18" i="14"/>
  <c r="D11" i="24" s="1"/>
  <c r="SH5" i="1"/>
  <c r="XX10" i="1"/>
  <c r="SO83" i="1"/>
  <c r="SO80" i="1"/>
  <c r="SO25" i="1"/>
  <c r="WI25" i="1" s="1"/>
  <c r="SO74" i="1"/>
  <c r="WI74" i="1" s="1"/>
  <c r="SO132" i="1"/>
  <c r="WI132" i="1" s="1"/>
  <c r="SO56" i="1"/>
  <c r="WI56" i="1" s="1"/>
  <c r="SO133" i="1"/>
  <c r="WI133" i="1" s="1"/>
  <c r="SO89" i="1"/>
  <c r="SO145" i="1"/>
  <c r="SO96" i="1"/>
  <c r="WI96" i="1" s="1"/>
  <c r="SO115" i="1"/>
  <c r="WI115" i="1" s="1"/>
  <c r="SO13" i="1"/>
  <c r="SO20" i="1"/>
  <c r="WI20" i="1" s="1"/>
  <c r="SO121" i="1"/>
  <c r="SO108" i="1"/>
  <c r="SO109" i="1"/>
  <c r="WI109" i="1" s="1"/>
  <c r="SO84" i="1"/>
  <c r="SO17" i="1"/>
  <c r="WI17" i="1" s="1"/>
  <c r="SO68" i="1"/>
  <c r="WI68" i="1" s="1"/>
  <c r="SO135" i="1"/>
  <c r="WI135" i="1" s="1"/>
  <c r="SO39" i="1"/>
  <c r="WI39" i="1" s="1"/>
  <c r="SO88" i="1"/>
  <c r="SO148" i="1"/>
  <c r="WI148" i="1" s="1"/>
  <c r="SO69" i="1"/>
  <c r="WI69" i="1" s="1"/>
  <c r="SO28" i="1"/>
  <c r="SO105" i="1"/>
  <c r="SO31" i="1"/>
  <c r="WI31" i="1" s="1"/>
  <c r="SO102" i="1"/>
  <c r="WI102" i="1" s="1"/>
  <c r="SO103" i="1"/>
  <c r="WI103" i="1" s="1"/>
  <c r="SO110" i="1"/>
  <c r="SO70" i="1"/>
  <c r="WI70" i="1" s="1"/>
  <c r="SO59" i="1"/>
  <c r="WI59" i="1" s="1"/>
  <c r="SO150" i="1"/>
  <c r="SO127" i="1"/>
  <c r="WI127" i="1" s="1"/>
  <c r="SO50" i="1"/>
  <c r="WI50" i="1" s="1"/>
  <c r="SO45" i="1"/>
  <c r="WI45" i="1" s="1"/>
  <c r="SO118" i="1"/>
  <c r="SO46" i="1"/>
  <c r="SO71" i="1"/>
  <c r="WI71" i="1" s="1"/>
  <c r="SO142" i="1"/>
  <c r="SO136" i="1"/>
  <c r="WI136" i="1" s="1"/>
  <c r="SO32" i="1"/>
  <c r="SO14" i="1"/>
  <c r="SO147" i="1"/>
  <c r="WI147" i="1" s="1"/>
  <c r="SO19" i="1"/>
  <c r="SO38" i="1"/>
  <c r="WI38" i="1" s="1"/>
  <c r="SO123" i="1"/>
  <c r="SO98" i="1"/>
  <c r="SO122" i="1"/>
  <c r="WI122" i="1" s="1"/>
  <c r="SO41" i="1"/>
  <c r="WI41" i="1" s="1"/>
  <c r="SO63" i="1"/>
  <c r="SO75" i="1"/>
  <c r="SO65" i="1"/>
  <c r="SO53" i="1"/>
  <c r="SO51" i="1"/>
  <c r="WI51" i="1" s="1"/>
  <c r="SO82" i="1"/>
  <c r="WI82" i="1" s="1"/>
  <c r="SO16" i="1"/>
  <c r="WI16" i="1" s="1"/>
  <c r="SO92" i="1"/>
  <c r="WI92" i="1" s="1"/>
  <c r="SO22" i="1"/>
  <c r="WI22" i="1" s="1"/>
  <c r="SO137" i="1"/>
  <c r="WI137" i="1" s="1"/>
  <c r="SO62" i="1"/>
  <c r="WI62" i="1" s="1"/>
  <c r="SO95" i="1"/>
  <c r="SO139" i="1"/>
  <c r="WI139" i="1" s="1"/>
  <c r="SN5" i="1"/>
  <c r="SP5" i="1" s="1"/>
  <c r="SO58" i="1"/>
  <c r="WI58" i="1" s="1"/>
  <c r="SO10" i="1"/>
  <c r="WI10" i="1" s="1"/>
  <c r="SO54" i="1"/>
  <c r="WI54" i="1" s="1"/>
  <c r="SP10" i="1"/>
  <c r="SO81" i="1"/>
  <c r="SO29" i="1"/>
  <c r="WI29" i="1" s="1"/>
  <c r="SO120" i="1"/>
  <c r="WI120" i="1" s="1"/>
  <c r="SO114" i="1"/>
  <c r="WI114" i="1" s="1"/>
  <c r="SO66" i="1"/>
  <c r="WI66" i="1" s="1"/>
  <c r="SO146" i="1"/>
  <c r="WI146" i="1" s="1"/>
  <c r="SO154" i="1"/>
  <c r="SO140" i="1"/>
  <c r="SO126" i="1"/>
  <c r="WI126" i="1" s="1"/>
  <c r="SO112" i="1"/>
  <c r="WI112" i="1" s="1"/>
  <c r="SO100" i="1"/>
  <c r="WI100" i="1" s="1"/>
  <c r="SO78" i="1"/>
  <c r="SO57" i="1"/>
  <c r="WI57" i="1" s="1"/>
  <c r="SO36" i="1"/>
  <c r="SO151" i="1"/>
  <c r="WI151" i="1" s="1"/>
  <c r="SO119" i="1"/>
  <c r="SO87" i="1"/>
  <c r="WI87" i="1" s="1"/>
  <c r="SO55" i="1"/>
  <c r="WI55" i="1" s="1"/>
  <c r="SO23" i="1"/>
  <c r="WI23" i="1" s="1"/>
  <c r="SO93" i="1"/>
  <c r="WI93" i="1" s="1"/>
  <c r="SO49" i="1"/>
  <c r="SO106" i="1"/>
  <c r="SO85" i="1"/>
  <c r="WI85" i="1" s="1"/>
  <c r="SO64" i="1"/>
  <c r="WI64" i="1" s="1"/>
  <c r="SO42" i="1"/>
  <c r="WI42" i="1" s="1"/>
  <c r="SO21" i="1"/>
  <c r="WI21" i="1" s="1"/>
  <c r="SO104" i="1"/>
  <c r="WI104" i="1" s="1"/>
  <c r="SO60" i="1"/>
  <c r="WI60" i="1" s="1"/>
  <c r="SO18" i="1"/>
  <c r="WI18" i="1" s="1"/>
  <c r="SO113" i="1"/>
  <c r="WI113" i="1" s="1"/>
  <c r="SO48" i="1"/>
  <c r="WI48" i="1" s="1"/>
  <c r="SO155" i="1"/>
  <c r="SO91" i="1"/>
  <c r="WI91" i="1" s="1"/>
  <c r="SO27" i="1"/>
  <c r="WI27" i="1" s="1"/>
  <c r="SO72" i="1"/>
  <c r="WI72" i="1" s="1"/>
  <c r="SO61" i="1"/>
  <c r="WI61" i="1" s="1"/>
  <c r="SO94" i="1"/>
  <c r="WI94" i="1" s="1"/>
  <c r="SO73" i="1"/>
  <c r="WI73" i="1" s="1"/>
  <c r="SO52" i="1"/>
  <c r="SO30" i="1"/>
  <c r="WI30" i="1" s="1"/>
  <c r="SO143" i="1"/>
  <c r="SO111" i="1"/>
  <c r="WI111" i="1" s="1"/>
  <c r="SO79" i="1"/>
  <c r="WI79" i="1" s="1"/>
  <c r="SO47" i="1"/>
  <c r="WI47" i="1" s="1"/>
  <c r="SO15" i="1"/>
  <c r="WI15" i="1" s="1"/>
  <c r="SO134" i="1"/>
  <c r="WI134" i="1" s="1"/>
  <c r="SO90" i="1"/>
  <c r="WI90" i="1" s="1"/>
  <c r="SO37" i="1"/>
  <c r="WI37" i="1" s="1"/>
  <c r="SO107" i="1"/>
  <c r="WI107" i="1" s="1"/>
  <c r="SO43" i="1"/>
  <c r="WI43" i="1" s="1"/>
  <c r="SO152" i="1"/>
  <c r="WI152" i="1" s="1"/>
  <c r="SO149" i="1"/>
  <c r="SO128" i="1"/>
  <c r="SO101" i="1"/>
  <c r="WI101" i="1" s="1"/>
  <c r="SO26" i="1"/>
  <c r="SO141" i="1"/>
  <c r="SO86" i="1"/>
  <c r="SO44" i="1"/>
  <c r="WI44" i="1" s="1"/>
  <c r="SO153" i="1"/>
  <c r="SO138" i="1"/>
  <c r="SO124" i="1"/>
  <c r="SO131" i="1"/>
  <c r="WI131" i="1" s="1"/>
  <c r="SO99" i="1"/>
  <c r="SO67" i="1"/>
  <c r="WI67" i="1" s="1"/>
  <c r="SO35" i="1"/>
  <c r="WI35" i="1" s="1"/>
  <c r="SO11" i="1"/>
  <c r="WI11" i="1" s="1"/>
  <c r="SO130" i="1"/>
  <c r="SO77" i="1"/>
  <c r="SO34" i="1"/>
  <c r="WI34" i="1" s="1"/>
  <c r="SO144" i="1"/>
  <c r="SO129" i="1"/>
  <c r="WI129" i="1" s="1"/>
  <c r="SO76" i="1"/>
  <c r="WI76" i="1" s="1"/>
  <c r="J158" i="10"/>
  <c r="E15" i="24"/>
  <c r="C15" i="24"/>
  <c r="J213" i="10"/>
  <c r="UJ137" i="1"/>
  <c r="XB137" i="1"/>
  <c r="UJ151" i="1"/>
  <c r="XB151" i="1"/>
  <c r="UJ155" i="1"/>
  <c r="XU155" i="1" s="1"/>
  <c r="XB155" i="1"/>
  <c r="UJ139" i="1"/>
  <c r="XB139" i="1"/>
  <c r="UJ146" i="1"/>
  <c r="XU146" i="1" s="1"/>
  <c r="XB146" i="1"/>
  <c r="UJ160" i="1"/>
  <c r="XB160" i="1"/>
  <c r="UJ158" i="1"/>
  <c r="XB158" i="1"/>
  <c r="UJ148" i="1"/>
  <c r="XB148" i="1"/>
  <c r="UJ145" i="1"/>
  <c r="XU145" i="1" s="1"/>
  <c r="XB145" i="1"/>
  <c r="UJ81" i="1"/>
  <c r="XU81" i="1" s="1"/>
  <c r="XB81" i="1"/>
  <c r="UJ65" i="1"/>
  <c r="XU65" i="1" s="1"/>
  <c r="XB65" i="1"/>
  <c r="UJ159" i="1"/>
  <c r="XU159" i="1" s="1"/>
  <c r="XB159" i="1"/>
  <c r="UJ143" i="1"/>
  <c r="XU143" i="1" s="1"/>
  <c r="XB143" i="1"/>
  <c r="UJ127" i="1"/>
  <c r="XB127" i="1"/>
  <c r="UJ141" i="1"/>
  <c r="XB141" i="1"/>
  <c r="UJ163" i="1"/>
  <c r="XU163" i="1" s="1"/>
  <c r="XB163" i="1"/>
  <c r="UJ147" i="1"/>
  <c r="XU147" i="1" s="1"/>
  <c r="XB147" i="1"/>
  <c r="UJ131" i="1"/>
  <c r="XU131" i="1" s="1"/>
  <c r="XB131" i="1"/>
  <c r="UJ154" i="1"/>
  <c r="XU154" i="1" s="1"/>
  <c r="XB154" i="1"/>
  <c r="UJ152" i="1"/>
  <c r="XB152" i="1"/>
  <c r="UJ140" i="1"/>
  <c r="XB140" i="1"/>
  <c r="J148" i="10"/>
  <c r="J192" i="10"/>
  <c r="J165" i="10"/>
  <c r="G233" i="10"/>
  <c r="N21" i="14"/>
  <c r="J206" i="10"/>
  <c r="SE177" i="1"/>
  <c r="SF175" i="1"/>
  <c r="G183" i="10"/>
  <c r="N20" i="14"/>
  <c r="J167" i="10"/>
  <c r="J179" i="10"/>
  <c r="J115" i="10"/>
  <c r="J139" i="10"/>
  <c r="J177" i="10"/>
  <c r="J118" i="10"/>
  <c r="R158" i="17"/>
  <c r="D227" i="10"/>
  <c r="D21" i="14"/>
  <c r="TZ5" i="1"/>
  <c r="R159" i="17"/>
  <c r="R160" i="17"/>
  <c r="TU5" i="1"/>
  <c r="UQ7" i="1"/>
  <c r="TW11" i="1"/>
  <c r="TV5" i="1"/>
  <c r="UA5" i="1"/>
  <c r="UX10" i="1"/>
  <c r="UX7" i="1" s="1"/>
  <c r="UB5" i="1"/>
  <c r="UJ13" i="1"/>
  <c r="S144" i="17"/>
  <c r="UJ29" i="1"/>
  <c r="S143" i="17"/>
  <c r="UJ45" i="1"/>
  <c r="S79" i="17"/>
  <c r="UJ162" i="1"/>
  <c r="XU162" i="1" s="1"/>
  <c r="S40" i="17"/>
  <c r="UJ130" i="1"/>
  <c r="XU130" i="1" s="1"/>
  <c r="S8" i="17"/>
  <c r="UJ114" i="1"/>
  <c r="S77" i="17"/>
  <c r="UJ98" i="1"/>
  <c r="S147" i="17"/>
  <c r="S122" i="17"/>
  <c r="UJ82" i="1"/>
  <c r="UJ66" i="1"/>
  <c r="S124" i="17"/>
  <c r="XU12" i="1"/>
  <c r="UJ23" i="1"/>
  <c r="S65" i="17"/>
  <c r="UJ39" i="1"/>
  <c r="XU39" i="1" s="1"/>
  <c r="S94" i="17"/>
  <c r="UJ55" i="1"/>
  <c r="S70" i="17"/>
  <c r="S14" i="17"/>
  <c r="UJ136" i="1"/>
  <c r="XU136" i="1" s="1"/>
  <c r="UJ104" i="1"/>
  <c r="XU104" i="1" s="1"/>
  <c r="S112" i="17"/>
  <c r="UJ88" i="1"/>
  <c r="S48" i="17"/>
  <c r="S123" i="17"/>
  <c r="UJ72" i="1"/>
  <c r="UJ17" i="1"/>
  <c r="S126" i="17"/>
  <c r="UJ33" i="1"/>
  <c r="XU33" i="1" s="1"/>
  <c r="S49" i="17"/>
  <c r="UJ49" i="1"/>
  <c r="S132" i="17"/>
  <c r="UJ142" i="1"/>
  <c r="S20" i="17"/>
  <c r="UJ126" i="1"/>
  <c r="XU126" i="1" s="1"/>
  <c r="S4" i="17"/>
  <c r="UJ110" i="1"/>
  <c r="XU110" i="1" s="1"/>
  <c r="S156" i="17"/>
  <c r="UJ94" i="1"/>
  <c r="XU94" i="1" s="1"/>
  <c r="S74" i="17"/>
  <c r="S110" i="17"/>
  <c r="UJ78" i="1"/>
  <c r="XU78" i="1" s="1"/>
  <c r="UJ62" i="1"/>
  <c r="S100" i="17"/>
  <c r="UJ11" i="1"/>
  <c r="XU11" i="1" s="1"/>
  <c r="S90" i="17"/>
  <c r="UJ27" i="1"/>
  <c r="XU27" i="1" s="1"/>
  <c r="S128" i="17"/>
  <c r="UJ43" i="1"/>
  <c r="S67" i="17"/>
  <c r="UJ10" i="1"/>
  <c r="S118" i="17"/>
  <c r="S10" i="17"/>
  <c r="UJ132" i="1"/>
  <c r="S95" i="17"/>
  <c r="UJ116" i="1"/>
  <c r="XU116" i="1" s="1"/>
  <c r="UJ100" i="1"/>
  <c r="XU100" i="1" s="1"/>
  <c r="S44" i="17"/>
  <c r="UJ84" i="1"/>
  <c r="S136" i="17"/>
  <c r="S46" i="17"/>
  <c r="UJ68" i="1"/>
  <c r="UJ161" i="1"/>
  <c r="XU161" i="1" s="1"/>
  <c r="S39" i="17"/>
  <c r="UJ129" i="1"/>
  <c r="S7" i="17"/>
  <c r="UJ113" i="1"/>
  <c r="S96" i="17"/>
  <c r="UJ97" i="1"/>
  <c r="S59" i="17"/>
  <c r="UJ40" i="1"/>
  <c r="S51" i="17"/>
  <c r="UJ42" i="1"/>
  <c r="XU42" i="1" s="1"/>
  <c r="S68" i="17"/>
  <c r="UJ135" i="1"/>
  <c r="S13" i="17"/>
  <c r="UJ119" i="1"/>
  <c r="S113" i="17"/>
  <c r="UJ103" i="1"/>
  <c r="XU103" i="1" s="1"/>
  <c r="S72" i="17"/>
  <c r="UJ87" i="1"/>
  <c r="S82" i="17"/>
  <c r="UJ71" i="1"/>
  <c r="S86" i="17"/>
  <c r="UJ52" i="1"/>
  <c r="S134" i="17"/>
  <c r="UJ20" i="1"/>
  <c r="S50" i="17"/>
  <c r="UJ54" i="1"/>
  <c r="S115" i="17"/>
  <c r="UJ22" i="1"/>
  <c r="S81" i="17"/>
  <c r="UJ157" i="1"/>
  <c r="S35" i="17"/>
  <c r="UJ125" i="1"/>
  <c r="XU125" i="1" s="1"/>
  <c r="S3" i="17"/>
  <c r="UJ109" i="1"/>
  <c r="XU109" i="1" s="1"/>
  <c r="S98" i="17"/>
  <c r="UJ93" i="1"/>
  <c r="S108" i="17"/>
  <c r="UJ77" i="1"/>
  <c r="XU77" i="1" s="1"/>
  <c r="S114" i="17"/>
  <c r="UJ61" i="1"/>
  <c r="XU61" i="1" s="1"/>
  <c r="S63" i="17"/>
  <c r="UJ32" i="1"/>
  <c r="XU32" i="1" s="1"/>
  <c r="S155" i="17"/>
  <c r="UJ34" i="1"/>
  <c r="S119" i="17"/>
  <c r="UJ115" i="1"/>
  <c r="S53" i="17"/>
  <c r="UJ99" i="1"/>
  <c r="S121" i="17"/>
  <c r="UJ83" i="1"/>
  <c r="XU83" i="1" s="1"/>
  <c r="S137" i="17"/>
  <c r="UJ67" i="1"/>
  <c r="S43" i="17"/>
  <c r="UJ44" i="1"/>
  <c r="S55" i="17"/>
  <c r="UJ46" i="1"/>
  <c r="XU46" i="1" s="1"/>
  <c r="S107" i="17"/>
  <c r="UJ14" i="1"/>
  <c r="S120" i="17"/>
  <c r="T57" i="17"/>
  <c r="W57" i="17"/>
  <c r="UJ21" i="1"/>
  <c r="S47" i="17"/>
  <c r="UJ37" i="1"/>
  <c r="XU37" i="1" s="1"/>
  <c r="S64" i="17"/>
  <c r="UJ53" i="1"/>
  <c r="S151" i="17"/>
  <c r="UJ138" i="1"/>
  <c r="S16" i="17"/>
  <c r="UJ122" i="1"/>
  <c r="S78" i="17"/>
  <c r="UJ106" i="1"/>
  <c r="XU106" i="1" s="1"/>
  <c r="S141" i="17"/>
  <c r="S66" i="17"/>
  <c r="UJ90" i="1"/>
  <c r="UJ74" i="1"/>
  <c r="S93" i="17"/>
  <c r="UJ58" i="1"/>
  <c r="XU58" i="1" s="1"/>
  <c r="S127" i="17"/>
  <c r="UJ15" i="1"/>
  <c r="S104" i="17"/>
  <c r="UJ31" i="1"/>
  <c r="S75" i="17"/>
  <c r="UJ47" i="1"/>
  <c r="XU47" i="1" s="1"/>
  <c r="S125" i="17"/>
  <c r="S22" i="17"/>
  <c r="UJ144" i="1"/>
  <c r="S6" i="17"/>
  <c r="UJ128" i="1"/>
  <c r="XU128" i="1" s="1"/>
  <c r="S84" i="17"/>
  <c r="UJ112" i="1"/>
  <c r="XU112" i="1" s="1"/>
  <c r="UJ96" i="1"/>
  <c r="S87" i="17"/>
  <c r="UJ80" i="1"/>
  <c r="XU80" i="1" s="1"/>
  <c r="S102" i="17"/>
  <c r="S91" i="17"/>
  <c r="UJ64" i="1"/>
  <c r="UJ41" i="1"/>
  <c r="XU41" i="1" s="1"/>
  <c r="S58" i="17"/>
  <c r="UJ57" i="1"/>
  <c r="XU57" i="1" s="1"/>
  <c r="S56" i="17"/>
  <c r="UJ150" i="1"/>
  <c r="XU150" i="1" s="1"/>
  <c r="S28" i="17"/>
  <c r="UJ134" i="1"/>
  <c r="S12" i="17"/>
  <c r="UJ118" i="1"/>
  <c r="XU118" i="1" s="1"/>
  <c r="S97" i="17"/>
  <c r="UJ102" i="1"/>
  <c r="S89" i="17"/>
  <c r="S129" i="17"/>
  <c r="UJ86" i="1"/>
  <c r="XU86" i="1" s="1"/>
  <c r="UJ70" i="1"/>
  <c r="XU70" i="1" s="1"/>
  <c r="S73" i="17"/>
  <c r="UJ19" i="1"/>
  <c r="XU19" i="1" s="1"/>
  <c r="S142" i="17"/>
  <c r="UJ35" i="1"/>
  <c r="XU35" i="1" s="1"/>
  <c r="S88" i="17"/>
  <c r="UJ51" i="1"/>
  <c r="S148" i="17"/>
  <c r="S34" i="17"/>
  <c r="UJ156" i="1"/>
  <c r="XU156" i="1" s="1"/>
  <c r="S138" i="17"/>
  <c r="UJ124" i="1"/>
  <c r="XU124" i="1" s="1"/>
  <c r="UJ108" i="1"/>
  <c r="XU108" i="1" s="1"/>
  <c r="S130" i="17"/>
  <c r="UJ92" i="1"/>
  <c r="S76" i="17"/>
  <c r="UJ76" i="1"/>
  <c r="S111" i="17"/>
  <c r="S83" i="17"/>
  <c r="UJ60" i="1"/>
  <c r="XU60" i="1" s="1"/>
  <c r="UJ153" i="1"/>
  <c r="XU153" i="1" s="1"/>
  <c r="S31" i="17"/>
  <c r="UJ121" i="1"/>
  <c r="XU121" i="1" s="1"/>
  <c r="S150" i="17"/>
  <c r="UJ105" i="1"/>
  <c r="XU105" i="1" s="1"/>
  <c r="S54" i="17"/>
  <c r="UJ89" i="1"/>
  <c r="XU89" i="1" s="1"/>
  <c r="S85" i="17"/>
  <c r="UJ73" i="1"/>
  <c r="S109" i="17"/>
  <c r="UJ56" i="1"/>
  <c r="S45" i="17"/>
  <c r="UJ24" i="1"/>
  <c r="XU24" i="1" s="1"/>
  <c r="S52" i="17"/>
  <c r="UJ26" i="1"/>
  <c r="XU26" i="1" s="1"/>
  <c r="S149" i="17"/>
  <c r="UJ111" i="1"/>
  <c r="S131" i="17"/>
  <c r="UJ95" i="1"/>
  <c r="XU95" i="1" s="1"/>
  <c r="S117" i="17"/>
  <c r="UJ79" i="1"/>
  <c r="S103" i="17"/>
  <c r="UJ63" i="1"/>
  <c r="XU63" i="1" s="1"/>
  <c r="S116" i="17"/>
  <c r="UJ36" i="1"/>
  <c r="XU36" i="1" s="1"/>
  <c r="S135" i="17"/>
  <c r="UJ38" i="1"/>
  <c r="S62" i="17"/>
  <c r="UJ149" i="1"/>
  <c r="S27" i="17"/>
  <c r="UJ133" i="1"/>
  <c r="XU133" i="1" s="1"/>
  <c r="S11" i="17"/>
  <c r="UJ117" i="1"/>
  <c r="XU117" i="1" s="1"/>
  <c r="S146" i="17"/>
  <c r="UJ101" i="1"/>
  <c r="XU101" i="1" s="1"/>
  <c r="S61" i="17"/>
  <c r="UJ85" i="1"/>
  <c r="XU85" i="1" s="1"/>
  <c r="S101" i="17"/>
  <c r="UJ69" i="1"/>
  <c r="XU69" i="1" s="1"/>
  <c r="S71" i="17"/>
  <c r="UJ48" i="1"/>
  <c r="S60" i="17"/>
  <c r="UJ16" i="1"/>
  <c r="S69" i="17"/>
  <c r="UJ50" i="1"/>
  <c r="XU50" i="1" s="1"/>
  <c r="S105" i="17"/>
  <c r="UJ18" i="1"/>
  <c r="XU18" i="1" s="1"/>
  <c r="S106" i="17"/>
  <c r="UJ123" i="1"/>
  <c r="XU123" i="1" s="1"/>
  <c r="S145" i="17"/>
  <c r="UJ107" i="1"/>
  <c r="XU107" i="1" s="1"/>
  <c r="S99" i="17"/>
  <c r="UJ91" i="1"/>
  <c r="XU91" i="1" s="1"/>
  <c r="S42" i="17"/>
  <c r="UJ75" i="1"/>
  <c r="XU75" i="1" s="1"/>
  <c r="S154" i="17"/>
  <c r="UJ59" i="1"/>
  <c r="S80" i="17"/>
  <c r="UJ28" i="1"/>
  <c r="XU28" i="1" s="1"/>
  <c r="S92" i="17"/>
  <c r="UJ30" i="1"/>
  <c r="S139" i="17"/>
  <c r="UO42" i="1" l="1"/>
  <c r="XP42" i="1" s="1"/>
  <c r="XR42" i="1" s="1"/>
  <c r="X21" i="14"/>
  <c r="W97" i="14"/>
  <c r="X16" i="14" s="1"/>
  <c r="WM116" i="1"/>
  <c r="WN116" i="1" s="1"/>
  <c r="UO116" i="1" s="1"/>
  <c r="Z97" i="14"/>
  <c r="AC16" i="14" s="1"/>
  <c r="Z185" i="14"/>
  <c r="O99" i="14"/>
  <c r="Z99" i="14" s="1"/>
  <c r="W18" i="14"/>
  <c r="W124" i="14"/>
  <c r="X18" i="14" s="1"/>
  <c r="Z139" i="14"/>
  <c r="Z206" i="14"/>
  <c r="VJ55" i="1"/>
  <c r="XP55" i="1"/>
  <c r="XR55" i="1" s="1"/>
  <c r="VJ66" i="1"/>
  <c r="XP66" i="1"/>
  <c r="XR66" i="1" s="1"/>
  <c r="VJ17" i="1"/>
  <c r="XP17" i="1"/>
  <c r="XR17" i="1" s="1"/>
  <c r="VJ94" i="1"/>
  <c r="XP94" i="1"/>
  <c r="XR94" i="1" s="1"/>
  <c r="VJ122" i="1"/>
  <c r="XP122" i="1"/>
  <c r="XR122" i="1" s="1"/>
  <c r="VJ30" i="1"/>
  <c r="XP30" i="1"/>
  <c r="XR30" i="1" s="1"/>
  <c r="VJ50" i="1"/>
  <c r="XP50" i="1"/>
  <c r="XD50" i="1" s="1"/>
  <c r="XP72" i="1"/>
  <c r="XR72" i="1" s="1"/>
  <c r="VJ72" i="1"/>
  <c r="VJ104" i="1"/>
  <c r="XP104" i="1"/>
  <c r="XR104" i="1" s="1"/>
  <c r="XP76" i="1"/>
  <c r="WX76" i="1" s="1"/>
  <c r="VJ76" i="1"/>
  <c r="XP71" i="1"/>
  <c r="XR71" i="1" s="1"/>
  <c r="VJ71" i="1"/>
  <c r="VJ151" i="1"/>
  <c r="XP151" i="1"/>
  <c r="XQ151" i="1" s="1"/>
  <c r="J92" i="13" s="1"/>
  <c r="VJ107" i="1"/>
  <c r="XP107" i="1"/>
  <c r="WX107" i="1" s="1"/>
  <c r="VJ161" i="1"/>
  <c r="XP161" i="1"/>
  <c r="XR161" i="1" s="1"/>
  <c r="XP100" i="1"/>
  <c r="XR100" i="1" s="1"/>
  <c r="VJ100" i="1"/>
  <c r="XP67" i="1"/>
  <c r="XD67" i="1" s="1"/>
  <c r="VJ67" i="1"/>
  <c r="XP54" i="1"/>
  <c r="XR54" i="1" s="1"/>
  <c r="VJ54" i="1"/>
  <c r="XP74" i="1"/>
  <c r="XQ74" i="1" s="1"/>
  <c r="J146" i="13" s="1"/>
  <c r="WM163" i="1"/>
  <c r="WN163" i="1" s="1"/>
  <c r="UO163" i="1" s="1"/>
  <c r="XP163" i="1" s="1"/>
  <c r="XP62" i="1"/>
  <c r="XR62" i="1" s="1"/>
  <c r="VJ127" i="1"/>
  <c r="N18" i="14"/>
  <c r="N19" i="14"/>
  <c r="XP44" i="1"/>
  <c r="XD44" i="1" s="1"/>
  <c r="VJ148" i="1"/>
  <c r="WN156" i="1"/>
  <c r="XP16" i="1"/>
  <c r="XD16" i="1" s="1"/>
  <c r="XP58" i="1"/>
  <c r="XR58" i="1" s="1"/>
  <c r="XP57" i="1"/>
  <c r="XR57" i="1" s="1"/>
  <c r="WL156" i="1"/>
  <c r="WL158" i="1"/>
  <c r="WL163" i="1"/>
  <c r="WL159" i="1"/>
  <c r="WL117" i="1"/>
  <c r="WM158" i="1"/>
  <c r="XP82" i="1"/>
  <c r="WX82" i="1" s="1"/>
  <c r="XP146" i="1"/>
  <c r="XR146" i="1" s="1"/>
  <c r="XP162" i="1"/>
  <c r="XR162" i="1" s="1"/>
  <c r="XP41" i="1"/>
  <c r="XQ41" i="1" s="1"/>
  <c r="J66" i="13" s="1"/>
  <c r="WJ10" i="1"/>
  <c r="VD10" i="1"/>
  <c r="WM159" i="1"/>
  <c r="WM117" i="1"/>
  <c r="Z101" i="14"/>
  <c r="WI130" i="1"/>
  <c r="WK130" i="1" s="1"/>
  <c r="WI99" i="1"/>
  <c r="WK99" i="1" s="1"/>
  <c r="WI153" i="1"/>
  <c r="WK153" i="1" s="1"/>
  <c r="WI26" i="1"/>
  <c r="WK26" i="1" s="1"/>
  <c r="WI52" i="1"/>
  <c r="WK52" i="1" s="1"/>
  <c r="WI154" i="1"/>
  <c r="WK154" i="1" s="1"/>
  <c r="WI63" i="1"/>
  <c r="WK63" i="1" s="1"/>
  <c r="WI123" i="1"/>
  <c r="WK123" i="1" s="1"/>
  <c r="WI14" i="1"/>
  <c r="WK14" i="1" s="1"/>
  <c r="WI108" i="1"/>
  <c r="WK108" i="1" s="1"/>
  <c r="WI83" i="1"/>
  <c r="WK83" i="1" s="1"/>
  <c r="WI144" i="1"/>
  <c r="WK144" i="1" s="1"/>
  <c r="WI106" i="1"/>
  <c r="WM106" i="1" s="1"/>
  <c r="WI36" i="1"/>
  <c r="WK36" i="1" s="1"/>
  <c r="WI95" i="1"/>
  <c r="WK95" i="1" s="1"/>
  <c r="WI53" i="1"/>
  <c r="WM53" i="1" s="1"/>
  <c r="WI32" i="1"/>
  <c r="WK32" i="1" s="1"/>
  <c r="WI46" i="1"/>
  <c r="WM46" i="1" s="1"/>
  <c r="WI110" i="1"/>
  <c r="WK110" i="1" s="1"/>
  <c r="WI105" i="1"/>
  <c r="WK105" i="1" s="1"/>
  <c r="WI88" i="1"/>
  <c r="WM88" i="1" s="1"/>
  <c r="WI121" i="1"/>
  <c r="WK121" i="1" s="1"/>
  <c r="WI124" i="1"/>
  <c r="WK124" i="1" s="1"/>
  <c r="WI86" i="1"/>
  <c r="WK86" i="1" s="1"/>
  <c r="WI128" i="1"/>
  <c r="WK128" i="1" s="1"/>
  <c r="WI143" i="1"/>
  <c r="WM143" i="1" s="1"/>
  <c r="WI49" i="1"/>
  <c r="WM49" i="1" s="1"/>
  <c r="WI81" i="1"/>
  <c r="WK81" i="1" s="1"/>
  <c r="WI65" i="1"/>
  <c r="WK65" i="1" s="1"/>
  <c r="WI19" i="1"/>
  <c r="WK19" i="1" s="1"/>
  <c r="WI118" i="1"/>
  <c r="WK118" i="1" s="1"/>
  <c r="WI150" i="1"/>
  <c r="WK150" i="1" s="1"/>
  <c r="WI28" i="1"/>
  <c r="WK28" i="1" s="1"/>
  <c r="WI84" i="1"/>
  <c r="WM84" i="1" s="1"/>
  <c r="WI145" i="1"/>
  <c r="WK145" i="1" s="1"/>
  <c r="WI77" i="1"/>
  <c r="WK77" i="1" s="1"/>
  <c r="WI138" i="1"/>
  <c r="WK138" i="1" s="1"/>
  <c r="WI141" i="1"/>
  <c r="WK141" i="1" s="1"/>
  <c r="WI149" i="1"/>
  <c r="WK149" i="1" s="1"/>
  <c r="WI155" i="1"/>
  <c r="WK155" i="1" s="1"/>
  <c r="WI119" i="1"/>
  <c r="WM119" i="1" s="1"/>
  <c r="WI78" i="1"/>
  <c r="WM78" i="1" s="1"/>
  <c r="WI140" i="1"/>
  <c r="WK140" i="1" s="1"/>
  <c r="WI75" i="1"/>
  <c r="WK75" i="1" s="1"/>
  <c r="WI98" i="1"/>
  <c r="WM98" i="1" s="1"/>
  <c r="WI142" i="1"/>
  <c r="WK142" i="1" s="1"/>
  <c r="WI13" i="1"/>
  <c r="WI89" i="1"/>
  <c r="WK89" i="1" s="1"/>
  <c r="WI80" i="1"/>
  <c r="WK80" i="1" s="1"/>
  <c r="Z140" i="14"/>
  <c r="Z186" i="14"/>
  <c r="Z171" i="14"/>
  <c r="Z136" i="14"/>
  <c r="Z175" i="14"/>
  <c r="G85" i="10"/>
  <c r="F7" i="10" s="1"/>
  <c r="N16" i="14"/>
  <c r="G86" i="10"/>
  <c r="N17" i="14"/>
  <c r="XP91" i="1"/>
  <c r="XQ91" i="1" s="1"/>
  <c r="J122" i="13" s="1"/>
  <c r="XP45" i="1"/>
  <c r="XR45" i="1" s="1"/>
  <c r="VI5" i="1"/>
  <c r="XP109" i="1"/>
  <c r="XR109" i="1" s="1"/>
  <c r="XP31" i="1"/>
  <c r="XR31" i="1" s="1"/>
  <c r="XW5" i="1"/>
  <c r="XP115" i="1"/>
  <c r="XD115" i="1" s="1"/>
  <c r="VJ115" i="1"/>
  <c r="XP133" i="1"/>
  <c r="XQ133" i="1" s="1"/>
  <c r="J45" i="13" s="1"/>
  <c r="VJ133" i="1"/>
  <c r="XP64" i="1"/>
  <c r="XR64" i="1" s="1"/>
  <c r="VJ64" i="1"/>
  <c r="XP33" i="1"/>
  <c r="XQ33" i="1" s="1"/>
  <c r="J152" i="13" s="1"/>
  <c r="VJ33" i="1"/>
  <c r="XP87" i="1"/>
  <c r="XD87" i="1" s="1"/>
  <c r="VJ87" i="1"/>
  <c r="XP12" i="1"/>
  <c r="XD12" i="1" s="1"/>
  <c r="VJ12" i="1"/>
  <c r="XP152" i="1"/>
  <c r="XR152" i="1" s="1"/>
  <c r="VJ152" i="1"/>
  <c r="XP157" i="1"/>
  <c r="XR157" i="1" s="1"/>
  <c r="VJ157" i="1"/>
  <c r="XP23" i="1"/>
  <c r="XD23" i="1" s="1"/>
  <c r="VJ23" i="1"/>
  <c r="XP48" i="1"/>
  <c r="XR48" i="1" s="1"/>
  <c r="VJ48" i="1"/>
  <c r="XP137" i="1"/>
  <c r="XR137" i="1" s="1"/>
  <c r="VJ137" i="1"/>
  <c r="XP131" i="1"/>
  <c r="XQ131" i="1" s="1"/>
  <c r="J56" i="13" s="1"/>
  <c r="VJ131" i="1"/>
  <c r="XP61" i="1"/>
  <c r="XR61" i="1" s="1"/>
  <c r="VJ61" i="1"/>
  <c r="XP134" i="1"/>
  <c r="XR134" i="1" s="1"/>
  <c r="VJ134" i="1"/>
  <c r="XP103" i="1"/>
  <c r="WX103" i="1" s="1"/>
  <c r="WZ103" i="1" s="1"/>
  <c r="VJ103" i="1"/>
  <c r="XP51" i="1"/>
  <c r="XD51" i="1" s="1"/>
  <c r="VJ51" i="1"/>
  <c r="XP60" i="1"/>
  <c r="XR60" i="1" s="1"/>
  <c r="VJ60" i="1"/>
  <c r="XP34" i="1"/>
  <c r="XR34" i="1" s="1"/>
  <c r="VJ34" i="1"/>
  <c r="XP136" i="1"/>
  <c r="WX136" i="1" s="1"/>
  <c r="XJ136" i="1" s="1"/>
  <c r="VJ136" i="1"/>
  <c r="XP126" i="1"/>
  <c r="XR126" i="1" s="1"/>
  <c r="VJ126" i="1"/>
  <c r="XP93" i="1"/>
  <c r="XQ93" i="1" s="1"/>
  <c r="J141" i="13" s="1"/>
  <c r="VJ93" i="1"/>
  <c r="XP25" i="1"/>
  <c r="XD25" i="1" s="1"/>
  <c r="VJ25" i="1"/>
  <c r="XP79" i="1"/>
  <c r="WX79" i="1" s="1"/>
  <c r="VJ79" i="1"/>
  <c r="XP160" i="1"/>
  <c r="XD160" i="1" s="1"/>
  <c r="VJ160" i="1"/>
  <c r="XP114" i="1"/>
  <c r="XR114" i="1" s="1"/>
  <c r="VJ114" i="1"/>
  <c r="XP56" i="1"/>
  <c r="XR56" i="1" s="1"/>
  <c r="VJ56" i="1"/>
  <c r="XP69" i="1"/>
  <c r="XR69" i="1" s="1"/>
  <c r="VJ69" i="1"/>
  <c r="XP21" i="1"/>
  <c r="XQ21" i="1" s="1"/>
  <c r="J138" i="13" s="1"/>
  <c r="VJ21" i="1"/>
  <c r="XP135" i="1"/>
  <c r="XR135" i="1" s="1"/>
  <c r="VJ135" i="1"/>
  <c r="XP112" i="1"/>
  <c r="WX112" i="1" s="1"/>
  <c r="VJ112" i="1"/>
  <c r="XP70" i="1"/>
  <c r="XQ70" i="1" s="1"/>
  <c r="J135" i="13" s="1"/>
  <c r="VJ70" i="1"/>
  <c r="XP96" i="1"/>
  <c r="XR96" i="1" s="1"/>
  <c r="VJ96" i="1"/>
  <c r="XP102" i="1"/>
  <c r="XR102" i="1" s="1"/>
  <c r="VJ102" i="1"/>
  <c r="XP20" i="1"/>
  <c r="XR20" i="1" s="1"/>
  <c r="VJ20" i="1"/>
  <c r="XP43" i="1"/>
  <c r="XR43" i="1" s="1"/>
  <c r="VJ43" i="1"/>
  <c r="XP129" i="1"/>
  <c r="XR129" i="1" s="1"/>
  <c r="VJ129" i="1"/>
  <c r="XP111" i="1"/>
  <c r="XR111" i="1" s="1"/>
  <c r="VJ111" i="1"/>
  <c r="XP27" i="1"/>
  <c r="XR27" i="1" s="1"/>
  <c r="VJ27" i="1"/>
  <c r="XP125" i="1"/>
  <c r="XR125" i="1" s="1"/>
  <c r="VJ125" i="1"/>
  <c r="XP15" i="1"/>
  <c r="XQ15" i="1" s="1"/>
  <c r="J116" i="13" s="1"/>
  <c r="VJ15" i="1"/>
  <c r="XP120" i="1"/>
  <c r="XR120" i="1" s="1"/>
  <c r="VJ120" i="1"/>
  <c r="XP85" i="1"/>
  <c r="XR85" i="1" s="1"/>
  <c r="VJ85" i="1"/>
  <c r="XP101" i="1"/>
  <c r="XR101" i="1" s="1"/>
  <c r="VJ101" i="1"/>
  <c r="XP37" i="1"/>
  <c r="XR37" i="1" s="1"/>
  <c r="VJ37" i="1"/>
  <c r="XP113" i="1"/>
  <c r="XR113" i="1" s="1"/>
  <c r="VJ113" i="1"/>
  <c r="XP39" i="1"/>
  <c r="XR39" i="1" s="1"/>
  <c r="VJ39" i="1"/>
  <c r="XP59" i="1"/>
  <c r="XR59" i="1" s="1"/>
  <c r="VJ59" i="1"/>
  <c r="XP29" i="1"/>
  <c r="XR29" i="1" s="1"/>
  <c r="VJ29" i="1"/>
  <c r="XP73" i="1"/>
  <c r="XR73" i="1" s="1"/>
  <c r="VJ73" i="1"/>
  <c r="XP47" i="1"/>
  <c r="XR47" i="1" s="1"/>
  <c r="VJ47" i="1"/>
  <c r="XP68" i="1"/>
  <c r="XR68" i="1" s="1"/>
  <c r="VJ68" i="1"/>
  <c r="XP97" i="1"/>
  <c r="XR97" i="1" s="1"/>
  <c r="VJ97" i="1"/>
  <c r="XP92" i="1"/>
  <c r="XR92" i="1" s="1"/>
  <c r="VJ92" i="1"/>
  <c r="XP90" i="1"/>
  <c r="XR90" i="1" s="1"/>
  <c r="VJ90" i="1"/>
  <c r="XP139" i="1"/>
  <c r="XR139" i="1" s="1"/>
  <c r="VJ139" i="1"/>
  <c r="XP40" i="1"/>
  <c r="XR40" i="1" s="1"/>
  <c r="VJ40" i="1"/>
  <c r="XP38" i="1"/>
  <c r="XR38" i="1" s="1"/>
  <c r="VJ38" i="1"/>
  <c r="XP147" i="1"/>
  <c r="XR147" i="1" s="1"/>
  <c r="VJ147" i="1"/>
  <c r="XP35" i="1"/>
  <c r="XR35" i="1" s="1"/>
  <c r="VJ35" i="1"/>
  <c r="XP132" i="1"/>
  <c r="XR132" i="1" s="1"/>
  <c r="VJ132" i="1"/>
  <c r="XU160" i="1"/>
  <c r="XV160" i="1" s="1"/>
  <c r="XU148" i="1"/>
  <c r="XV148" i="1" s="1"/>
  <c r="XR127" i="1"/>
  <c r="XR148" i="1"/>
  <c r="XU10" i="1"/>
  <c r="XV10" i="1" s="1"/>
  <c r="SO5" i="1"/>
  <c r="XU137" i="1"/>
  <c r="XV137" i="1" s="1"/>
  <c r="XU140" i="1"/>
  <c r="XU141" i="1"/>
  <c r="XA25" i="1"/>
  <c r="SI25" i="1"/>
  <c r="U152" i="17" s="1"/>
  <c r="XA120" i="1"/>
  <c r="SI120" i="1"/>
  <c r="XU21" i="1"/>
  <c r="XV21" i="1" s="1"/>
  <c r="XU151" i="1"/>
  <c r="XV151" i="1" s="1"/>
  <c r="XU127" i="1"/>
  <c r="XU152" i="1"/>
  <c r="XV152" i="1" s="1"/>
  <c r="Z168" i="14"/>
  <c r="XU13" i="1"/>
  <c r="XU158" i="1"/>
  <c r="Z152" i="14"/>
  <c r="XU139" i="1"/>
  <c r="XV139" i="1" s="1"/>
  <c r="XQ100" i="1"/>
  <c r="J113" i="13" s="1"/>
  <c r="WX148" i="1"/>
  <c r="XD148" i="1"/>
  <c r="XQ127" i="1"/>
  <c r="J89" i="13" s="1"/>
  <c r="XD127" i="1"/>
  <c r="WX127" i="1"/>
  <c r="XC5" i="1"/>
  <c r="Z203" i="14"/>
  <c r="XU114" i="1"/>
  <c r="XV114" i="1" s="1"/>
  <c r="XU29" i="1"/>
  <c r="J85" i="10"/>
  <c r="I7" i="10" s="1"/>
  <c r="W16" i="14"/>
  <c r="J86" i="10"/>
  <c r="W17" i="14"/>
  <c r="XQ148" i="1"/>
  <c r="J60" i="13" s="1"/>
  <c r="XU72" i="1"/>
  <c r="XV72" i="1" s="1"/>
  <c r="J233" i="10"/>
  <c r="W21" i="14"/>
  <c r="XU88" i="1"/>
  <c r="J106" i="10"/>
  <c r="W19" i="14"/>
  <c r="XU76" i="1"/>
  <c r="XU62" i="1"/>
  <c r="XV62" i="1" s="1"/>
  <c r="XU49" i="1"/>
  <c r="XU82" i="1"/>
  <c r="XV82" i="1" s="1"/>
  <c r="XU31" i="1"/>
  <c r="XU17" i="1"/>
  <c r="XU74" i="1"/>
  <c r="XU43" i="1"/>
  <c r="XV43" i="1" s="1"/>
  <c r="J183" i="10"/>
  <c r="W20" i="14"/>
  <c r="XU138" i="1"/>
  <c r="XU84" i="1"/>
  <c r="Z205" i="14"/>
  <c r="D14" i="24"/>
  <c r="D15" i="24"/>
  <c r="XU15" i="1"/>
  <c r="Z165" i="14"/>
  <c r="XU53" i="1"/>
  <c r="Z195" i="14"/>
  <c r="AC20" i="14" s="1"/>
  <c r="XU134" i="1"/>
  <c r="Z193" i="14"/>
  <c r="XU132" i="1"/>
  <c r="XV132" i="1" s="1"/>
  <c r="XU102" i="1"/>
  <c r="Z167" i="14"/>
  <c r="XU98" i="1"/>
  <c r="XU45" i="1"/>
  <c r="XV45" i="1" s="1"/>
  <c r="XU68" i="1"/>
  <c r="XV68" i="1" s="1"/>
  <c r="XU66" i="1"/>
  <c r="XU144" i="1"/>
  <c r="UW11" i="1"/>
  <c r="VD11" i="1" s="1"/>
  <c r="TW5" i="1"/>
  <c r="Z233" i="14"/>
  <c r="Z173" i="14"/>
  <c r="Z121" i="14"/>
  <c r="Z151" i="14"/>
  <c r="Z201" i="14"/>
  <c r="Z211" i="14"/>
  <c r="Z154" i="14"/>
  <c r="Z234" i="14"/>
  <c r="Z246" i="14"/>
  <c r="Z216" i="14"/>
  <c r="Z241" i="14"/>
  <c r="Z104" i="14"/>
  <c r="Z163" i="14"/>
  <c r="Z214" i="14"/>
  <c r="Z184" i="14"/>
  <c r="Z183" i="14"/>
  <c r="Z229" i="14"/>
  <c r="Z142" i="14"/>
  <c r="Z110" i="14"/>
  <c r="Z179" i="14"/>
  <c r="Z102" i="14"/>
  <c r="Z209" i="14"/>
  <c r="Z108" i="14"/>
  <c r="Z155" i="14"/>
  <c r="Z219" i="14"/>
  <c r="Z159" i="14"/>
  <c r="Z153" i="14"/>
  <c r="Z132" i="14"/>
  <c r="Z138" i="14"/>
  <c r="Z197" i="14"/>
  <c r="XU142" i="1"/>
  <c r="XU55" i="1"/>
  <c r="XU23" i="1"/>
  <c r="Z231" i="14"/>
  <c r="Z134" i="14"/>
  <c r="Z169" i="14"/>
  <c r="Z146" i="14"/>
  <c r="Z177" i="14"/>
  <c r="Z149" i="14"/>
  <c r="Z158" i="14"/>
  <c r="Z160" i="14"/>
  <c r="Z221" i="14"/>
  <c r="Z226" i="14"/>
  <c r="Z202" i="14"/>
  <c r="Z228" i="14"/>
  <c r="Z141" i="14"/>
  <c r="Z127" i="14"/>
  <c r="XU92" i="1"/>
  <c r="XV92" i="1" s="1"/>
  <c r="XU51" i="1"/>
  <c r="Z106" i="14"/>
  <c r="XU96" i="1"/>
  <c r="XU122" i="1"/>
  <c r="XU64" i="1"/>
  <c r="XV64" i="1" s="1"/>
  <c r="XU90" i="1"/>
  <c r="Z131" i="14"/>
  <c r="Z218" i="14"/>
  <c r="Z250" i="14"/>
  <c r="Z180" i="14"/>
  <c r="Z244" i="14"/>
  <c r="Z249" i="14"/>
  <c r="Z116" i="14"/>
  <c r="Z225" i="14"/>
  <c r="Z187" i="14"/>
  <c r="Z109" i="14"/>
  <c r="Z107" i="14"/>
  <c r="Z238" i="14"/>
  <c r="Z224" i="14"/>
  <c r="Z227" i="14"/>
  <c r="Z189" i="14"/>
  <c r="Z198" i="14"/>
  <c r="Z230" i="14"/>
  <c r="Z200" i="14"/>
  <c r="Z232" i="14"/>
  <c r="Z117" i="14"/>
  <c r="Z222" i="14"/>
  <c r="Z247" i="14"/>
  <c r="Z135" i="14"/>
  <c r="Z161" i="14"/>
  <c r="Z235" i="14"/>
  <c r="Z130" i="14"/>
  <c r="Z245" i="14"/>
  <c r="Z174" i="14"/>
  <c r="Z143" i="14"/>
  <c r="Z237" i="14"/>
  <c r="Z125" i="14"/>
  <c r="Z166" i="14"/>
  <c r="Z242" i="14"/>
  <c r="Z103" i="14"/>
  <c r="Z236" i="14"/>
  <c r="XU48" i="1"/>
  <c r="Z204" i="14"/>
  <c r="XU79" i="1"/>
  <c r="Z192" i="14"/>
  <c r="Z182" i="14"/>
  <c r="Z113" i="14"/>
  <c r="XU56" i="1"/>
  <c r="Z208" i="14"/>
  <c r="Z115" i="14"/>
  <c r="XU30" i="1"/>
  <c r="XU59" i="1"/>
  <c r="Z210" i="14"/>
  <c r="XU149" i="1"/>
  <c r="Z123" i="14"/>
  <c r="XU111" i="1"/>
  <c r="XV111" i="1" s="1"/>
  <c r="XU73" i="1"/>
  <c r="Z162" i="14"/>
  <c r="XU16" i="1"/>
  <c r="XU38" i="1"/>
  <c r="Z150" i="14"/>
  <c r="Z176" i="14"/>
  <c r="XV28" i="1"/>
  <c r="D43" i="13" s="1"/>
  <c r="XV107" i="1"/>
  <c r="XV18" i="1"/>
  <c r="XV89" i="1"/>
  <c r="D33" i="13" s="1"/>
  <c r="XV121" i="1"/>
  <c r="D46" i="13" s="1"/>
  <c r="XV69" i="1"/>
  <c r="XV101" i="1"/>
  <c r="XV133" i="1"/>
  <c r="XV63" i="1"/>
  <c r="D21" i="13" s="1"/>
  <c r="XV95" i="1"/>
  <c r="D13" i="13" s="1"/>
  <c r="XV26" i="1"/>
  <c r="D34" i="13" s="1"/>
  <c r="XV128" i="1"/>
  <c r="XV61" i="1"/>
  <c r="XV125" i="1"/>
  <c r="XV42" i="1"/>
  <c r="XV123" i="1"/>
  <c r="D15" i="13" s="1"/>
  <c r="XV105" i="1"/>
  <c r="D31" i="13" s="1"/>
  <c r="XV153" i="1"/>
  <c r="XV156" i="1"/>
  <c r="XV75" i="1"/>
  <c r="D26" i="13" s="1"/>
  <c r="XV91" i="1"/>
  <c r="XV50" i="1"/>
  <c r="XV24" i="1"/>
  <c r="XV85" i="1"/>
  <c r="XV117" i="1"/>
  <c r="D5" i="13" s="1"/>
  <c r="XV36" i="1"/>
  <c r="D25" i="13" s="1"/>
  <c r="XV112" i="1"/>
  <c r="XV46" i="1"/>
  <c r="D32" i="13" s="1"/>
  <c r="XV83" i="1"/>
  <c r="D11" i="13" s="1"/>
  <c r="XV32" i="1"/>
  <c r="D9" i="13" s="1"/>
  <c r="XV77" i="1"/>
  <c r="D53" i="13" s="1"/>
  <c r="XV109" i="1"/>
  <c r="XV103" i="1"/>
  <c r="XV161" i="1"/>
  <c r="XV124" i="1"/>
  <c r="D19" i="13" s="1"/>
  <c r="XV86" i="1"/>
  <c r="D29" i="13" s="1"/>
  <c r="W80" i="17"/>
  <c r="T80" i="17"/>
  <c r="XV60" i="1"/>
  <c r="T99" i="17"/>
  <c r="W99" i="17"/>
  <c r="T60" i="17"/>
  <c r="W60" i="17"/>
  <c r="T27" i="17"/>
  <c r="W27" i="17"/>
  <c r="T135" i="17"/>
  <c r="W135" i="17"/>
  <c r="W103" i="17"/>
  <c r="T103" i="17"/>
  <c r="T52" i="17"/>
  <c r="W52" i="17"/>
  <c r="W54" i="17"/>
  <c r="T54" i="17"/>
  <c r="T76" i="17"/>
  <c r="W76" i="17"/>
  <c r="T142" i="17"/>
  <c r="W142" i="17"/>
  <c r="T97" i="17"/>
  <c r="W97" i="17"/>
  <c r="T58" i="17"/>
  <c r="W58" i="17"/>
  <c r="W75" i="17"/>
  <c r="T75" i="17"/>
  <c r="T93" i="17"/>
  <c r="W93" i="17"/>
  <c r="T16" i="17"/>
  <c r="W16" i="17"/>
  <c r="XV35" i="1"/>
  <c r="XV70" i="1"/>
  <c r="XV57" i="1"/>
  <c r="XV58" i="1"/>
  <c r="XV154" i="1"/>
  <c r="XV37" i="1"/>
  <c r="W83" i="17"/>
  <c r="T83" i="17"/>
  <c r="W138" i="17"/>
  <c r="T138" i="17"/>
  <c r="XV155" i="1"/>
  <c r="T129" i="17"/>
  <c r="W129" i="17"/>
  <c r="W84" i="17"/>
  <c r="T84" i="17"/>
  <c r="W22" i="17"/>
  <c r="T22" i="17"/>
  <c r="XV143" i="1"/>
  <c r="XV116" i="1"/>
  <c r="D59" i="13" s="1"/>
  <c r="XV78" i="1"/>
  <c r="D39" i="13" s="1"/>
  <c r="XV110" i="1"/>
  <c r="D6" i="13" s="1"/>
  <c r="XV136" i="1"/>
  <c r="XV146" i="1"/>
  <c r="XU14" i="1"/>
  <c r="W46" i="17"/>
  <c r="T46" i="17"/>
  <c r="T10" i="17"/>
  <c r="W10" i="17"/>
  <c r="XU67" i="1"/>
  <c r="XU99" i="1"/>
  <c r="XV131" i="1"/>
  <c r="XV163" i="1"/>
  <c r="XU93" i="1"/>
  <c r="XU157" i="1"/>
  <c r="XU54" i="1"/>
  <c r="XU52" i="1"/>
  <c r="XU87" i="1"/>
  <c r="XU119" i="1"/>
  <c r="T124" i="17"/>
  <c r="W124" i="17"/>
  <c r="T147" i="17"/>
  <c r="W147" i="17"/>
  <c r="T8" i="17"/>
  <c r="W8" i="17"/>
  <c r="T79" i="17"/>
  <c r="W79" i="17"/>
  <c r="W144" i="17"/>
  <c r="T144" i="17"/>
  <c r="XU97" i="1"/>
  <c r="XU129" i="1"/>
  <c r="W145" i="17"/>
  <c r="T145" i="17"/>
  <c r="T71" i="17"/>
  <c r="W71" i="17"/>
  <c r="W11" i="17"/>
  <c r="T11" i="17"/>
  <c r="T116" i="17"/>
  <c r="W116" i="17"/>
  <c r="T149" i="17"/>
  <c r="W149" i="17"/>
  <c r="T150" i="17"/>
  <c r="W150" i="17"/>
  <c r="T130" i="17"/>
  <c r="W130" i="17"/>
  <c r="T73" i="17"/>
  <c r="W73" i="17"/>
  <c r="T12" i="17"/>
  <c r="W12" i="17"/>
  <c r="W125" i="17"/>
  <c r="T125" i="17"/>
  <c r="T78" i="17"/>
  <c r="W78" i="17"/>
  <c r="W47" i="17"/>
  <c r="T47" i="17"/>
  <c r="XV27" i="1"/>
  <c r="T137" i="17"/>
  <c r="W137" i="17"/>
  <c r="T53" i="17"/>
  <c r="W53" i="17"/>
  <c r="XV126" i="1"/>
  <c r="XV33" i="1"/>
  <c r="W155" i="17"/>
  <c r="T155" i="17"/>
  <c r="W114" i="17"/>
  <c r="T114" i="17"/>
  <c r="W98" i="17"/>
  <c r="T98" i="17"/>
  <c r="T35" i="17"/>
  <c r="W35" i="17"/>
  <c r="T115" i="17"/>
  <c r="W115" i="17"/>
  <c r="W50" i="17"/>
  <c r="T50" i="17"/>
  <c r="T86" i="17"/>
  <c r="W86" i="17"/>
  <c r="T72" i="17"/>
  <c r="W72" i="17"/>
  <c r="T13" i="17"/>
  <c r="W13" i="17"/>
  <c r="XV130" i="1"/>
  <c r="T51" i="17"/>
  <c r="W51" i="17"/>
  <c r="T96" i="17"/>
  <c r="W96" i="17"/>
  <c r="T39" i="17"/>
  <c r="W39" i="17"/>
  <c r="Z133" i="14"/>
  <c r="W136" i="17"/>
  <c r="T136" i="17"/>
  <c r="T118" i="17"/>
  <c r="W118" i="17"/>
  <c r="T128" i="17"/>
  <c r="W128" i="17"/>
  <c r="XU44" i="1"/>
  <c r="Z170" i="14"/>
  <c r="XU115" i="1"/>
  <c r="XU34" i="1"/>
  <c r="T156" i="17"/>
  <c r="W156" i="17"/>
  <c r="T20" i="17"/>
  <c r="W20" i="17"/>
  <c r="T49" i="17"/>
  <c r="W49" i="17"/>
  <c r="Z119" i="14"/>
  <c r="Z164" i="14"/>
  <c r="XU22" i="1"/>
  <c r="T112" i="17"/>
  <c r="W112" i="17"/>
  <c r="W94" i="17"/>
  <c r="T94" i="17"/>
  <c r="XU20" i="1"/>
  <c r="XU71" i="1"/>
  <c r="XU135" i="1"/>
  <c r="XV12" i="1"/>
  <c r="XV65" i="1"/>
  <c r="D16" i="13" s="1"/>
  <c r="T42" i="17"/>
  <c r="W42" i="17"/>
  <c r="W105" i="17"/>
  <c r="T105" i="17"/>
  <c r="T69" i="17"/>
  <c r="W69" i="17"/>
  <c r="T61" i="17"/>
  <c r="W61" i="17"/>
  <c r="W62" i="17"/>
  <c r="T62" i="17"/>
  <c r="W117" i="17"/>
  <c r="T117" i="17"/>
  <c r="T45" i="17"/>
  <c r="W45" i="17"/>
  <c r="W85" i="17"/>
  <c r="T85" i="17"/>
  <c r="T111" i="17"/>
  <c r="W111" i="17"/>
  <c r="T88" i="17"/>
  <c r="W88" i="17"/>
  <c r="T89" i="17"/>
  <c r="W89" i="17"/>
  <c r="T56" i="17"/>
  <c r="W56" i="17"/>
  <c r="T87" i="17"/>
  <c r="W87" i="17"/>
  <c r="T104" i="17"/>
  <c r="W104" i="17"/>
  <c r="W127" i="17"/>
  <c r="T127" i="17"/>
  <c r="W151" i="17"/>
  <c r="T151" i="17"/>
  <c r="W120" i="17"/>
  <c r="T120" i="17"/>
  <c r="XV100" i="1"/>
  <c r="T55" i="17"/>
  <c r="W55" i="17"/>
  <c r="XV108" i="1"/>
  <c r="D17" i="13" s="1"/>
  <c r="XV19" i="1"/>
  <c r="D63" i="13" s="1"/>
  <c r="XV118" i="1"/>
  <c r="D57" i="13" s="1"/>
  <c r="XV150" i="1"/>
  <c r="XV41" i="1"/>
  <c r="XV80" i="1"/>
  <c r="D51" i="13" s="1"/>
  <c r="XV47" i="1"/>
  <c r="XV106" i="1"/>
  <c r="D7" i="13" s="1"/>
  <c r="W34" i="17"/>
  <c r="T34" i="17"/>
  <c r="T91" i="17"/>
  <c r="W91" i="17"/>
  <c r="T6" i="17"/>
  <c r="W6" i="17"/>
  <c r="XV159" i="1"/>
  <c r="T66" i="17"/>
  <c r="W66" i="17"/>
  <c r="XV94" i="1"/>
  <c r="XV39" i="1"/>
  <c r="XV162" i="1"/>
  <c r="T95" i="17"/>
  <c r="W95" i="17"/>
  <c r="XV147" i="1"/>
  <c r="W110" i="17"/>
  <c r="T110" i="17"/>
  <c r="T123" i="17"/>
  <c r="W123" i="17"/>
  <c r="T14" i="17"/>
  <c r="W14" i="17"/>
  <c r="T77" i="17"/>
  <c r="W77" i="17"/>
  <c r="T40" i="17"/>
  <c r="W40" i="17"/>
  <c r="T143" i="17"/>
  <c r="W143" i="17"/>
  <c r="XU40" i="1"/>
  <c r="XU113" i="1"/>
  <c r="T139" i="17"/>
  <c r="W139" i="17"/>
  <c r="T92" i="17"/>
  <c r="W92" i="17"/>
  <c r="T154" i="17"/>
  <c r="W154" i="17"/>
  <c r="W106" i="17"/>
  <c r="T106" i="17"/>
  <c r="W101" i="17"/>
  <c r="T101" i="17"/>
  <c r="T146" i="17"/>
  <c r="W146" i="17"/>
  <c r="T131" i="17"/>
  <c r="W131" i="17"/>
  <c r="T109" i="17"/>
  <c r="W109" i="17"/>
  <c r="T31" i="17"/>
  <c r="W31" i="17"/>
  <c r="T148" i="17"/>
  <c r="W148" i="17"/>
  <c r="T28" i="17"/>
  <c r="W28" i="17"/>
  <c r="T102" i="17"/>
  <c r="W102" i="17"/>
  <c r="T141" i="17"/>
  <c r="W141" i="17"/>
  <c r="T64" i="17"/>
  <c r="W64" i="17"/>
  <c r="T107" i="17"/>
  <c r="W107" i="17"/>
  <c r="XV11" i="1"/>
  <c r="T43" i="17"/>
  <c r="W43" i="17"/>
  <c r="W121" i="17"/>
  <c r="T121" i="17"/>
  <c r="T119" i="17"/>
  <c r="W119" i="17"/>
  <c r="W63" i="17"/>
  <c r="T63" i="17"/>
  <c r="T108" i="17"/>
  <c r="W108" i="17"/>
  <c r="T3" i="17"/>
  <c r="W3" i="17"/>
  <c r="T81" i="17"/>
  <c r="W81" i="17"/>
  <c r="XV104" i="1"/>
  <c r="T134" i="17"/>
  <c r="W134" i="17"/>
  <c r="T82" i="17"/>
  <c r="W82" i="17"/>
  <c r="W113" i="17"/>
  <c r="T113" i="17"/>
  <c r="T68" i="17"/>
  <c r="W68" i="17"/>
  <c r="T59" i="17"/>
  <c r="W59" i="17"/>
  <c r="T7" i="17"/>
  <c r="W7" i="17"/>
  <c r="T44" i="17"/>
  <c r="W44" i="17"/>
  <c r="T67" i="17"/>
  <c r="W67" i="17"/>
  <c r="T90" i="17"/>
  <c r="W90" i="17"/>
  <c r="W100" i="17"/>
  <c r="T100" i="17"/>
  <c r="T74" i="17"/>
  <c r="W74" i="17"/>
  <c r="T4" i="17"/>
  <c r="W4" i="17"/>
  <c r="W132" i="17"/>
  <c r="T132" i="17"/>
  <c r="W126" i="17"/>
  <c r="T126" i="17"/>
  <c r="W48" i="17"/>
  <c r="T48" i="17"/>
  <c r="W70" i="17"/>
  <c r="T70" i="17"/>
  <c r="T65" i="17"/>
  <c r="W65" i="17"/>
  <c r="T122" i="17"/>
  <c r="W122" i="17"/>
  <c r="XV81" i="1"/>
  <c r="D35" i="13" s="1"/>
  <c r="XV145" i="1"/>
  <c r="XR76" i="1" l="1"/>
  <c r="XQ76" i="1"/>
  <c r="J130" i="13" s="1"/>
  <c r="XD76" i="1"/>
  <c r="WX72" i="1"/>
  <c r="WX44" i="1"/>
  <c r="XQ44" i="1"/>
  <c r="J148" i="13" s="1"/>
  <c r="XQ58" i="1"/>
  <c r="J128" i="13" s="1"/>
  <c r="VJ42" i="1"/>
  <c r="WX100" i="1"/>
  <c r="XD100" i="1"/>
  <c r="XQ72" i="1"/>
  <c r="J151" i="13" s="1"/>
  <c r="XQ62" i="1"/>
  <c r="J62" i="13" s="1"/>
  <c r="WX58" i="1"/>
  <c r="XJ58" i="1" s="1"/>
  <c r="WX62" i="1"/>
  <c r="XJ62" i="1" s="1"/>
  <c r="XD72" i="1"/>
  <c r="XR67" i="1"/>
  <c r="XQ71" i="1"/>
  <c r="J84" i="13" s="1"/>
  <c r="WX66" i="1"/>
  <c r="WZ66" i="1" s="1"/>
  <c r="XQ42" i="1"/>
  <c r="J97" i="13" s="1"/>
  <c r="XR74" i="1"/>
  <c r="UO156" i="1"/>
  <c r="XP156" i="1" s="1"/>
  <c r="XR156" i="1" s="1"/>
  <c r="XQ67" i="1"/>
  <c r="J144" i="13" s="1"/>
  <c r="WX42" i="1"/>
  <c r="WZ42" i="1" s="1"/>
  <c r="WX67" i="1"/>
  <c r="WZ67" i="1" s="1"/>
  <c r="WX74" i="1"/>
  <c r="WZ74" i="1" s="1"/>
  <c r="XD74" i="1"/>
  <c r="XD71" i="1"/>
  <c r="XD42" i="1"/>
  <c r="WX71" i="1"/>
  <c r="XJ71" i="1" s="1"/>
  <c r="XR151" i="1"/>
  <c r="XD62" i="1"/>
  <c r="XR44" i="1"/>
  <c r="XD58" i="1"/>
  <c r="WX151" i="1"/>
  <c r="WZ151" i="1" s="1"/>
  <c r="XD57" i="1"/>
  <c r="XD30" i="1"/>
  <c r="XQ57" i="1"/>
  <c r="J85" i="13" s="1"/>
  <c r="XQ30" i="1"/>
  <c r="J134" i="13" s="1"/>
  <c r="XD54" i="1"/>
  <c r="XQ54" i="1"/>
  <c r="J73" i="13" s="1"/>
  <c r="WX54" i="1"/>
  <c r="WZ54" i="1" s="1"/>
  <c r="J112" i="10"/>
  <c r="XD17" i="1"/>
  <c r="XQ107" i="1"/>
  <c r="J111" i="13" s="1"/>
  <c r="WX50" i="1"/>
  <c r="WZ50" i="1" s="1"/>
  <c r="XQ162" i="1"/>
  <c r="WX16" i="1"/>
  <c r="XJ16" i="1" s="1"/>
  <c r="WX55" i="1"/>
  <c r="WZ55" i="1" s="1"/>
  <c r="XR50" i="1"/>
  <c r="XQ104" i="1"/>
  <c r="J118" i="13" s="1"/>
  <c r="XD104" i="1"/>
  <c r="XQ16" i="1"/>
  <c r="J153" i="13" s="1"/>
  <c r="WX104" i="1"/>
  <c r="WZ104" i="1" s="1"/>
  <c r="XD107" i="1"/>
  <c r="XQ55" i="1"/>
  <c r="J137" i="13" s="1"/>
  <c r="XQ122" i="1"/>
  <c r="J119" i="13" s="1"/>
  <c r="WX122" i="1"/>
  <c r="WZ122" i="1" s="1"/>
  <c r="XD55" i="1"/>
  <c r="XR107" i="1"/>
  <c r="XR16" i="1"/>
  <c r="WX17" i="1"/>
  <c r="XJ17" i="1" s="1"/>
  <c r="XD122" i="1"/>
  <c r="XQ50" i="1"/>
  <c r="J107" i="13" s="1"/>
  <c r="XQ17" i="1"/>
  <c r="J108" i="13" s="1"/>
  <c r="WX30" i="1"/>
  <c r="WZ30" i="1" s="1"/>
  <c r="XD151" i="1"/>
  <c r="WX161" i="1"/>
  <c r="XJ161" i="1" s="1"/>
  <c r="XD161" i="1"/>
  <c r="XQ161" i="1"/>
  <c r="WX94" i="1"/>
  <c r="XJ94" i="1" s="1"/>
  <c r="XQ66" i="1"/>
  <c r="J112" i="13" s="1"/>
  <c r="WX57" i="1"/>
  <c r="XJ57" i="1" s="1"/>
  <c r="XQ94" i="1"/>
  <c r="J81" i="13" s="1"/>
  <c r="XD94" i="1"/>
  <c r="XD66" i="1"/>
  <c r="WN98" i="1"/>
  <c r="WN119" i="1"/>
  <c r="WN88" i="1"/>
  <c r="WN53" i="1"/>
  <c r="WN49" i="1"/>
  <c r="WN117" i="1"/>
  <c r="UO117" i="1" s="1"/>
  <c r="VJ117" i="1" s="1"/>
  <c r="WN78" i="1"/>
  <c r="WN143" i="1"/>
  <c r="WN46" i="1"/>
  <c r="WN159" i="1"/>
  <c r="UO159" i="1" s="1"/>
  <c r="WN158" i="1"/>
  <c r="UO158" i="1" s="1"/>
  <c r="XP158" i="1" s="1"/>
  <c r="XR158" i="1" s="1"/>
  <c r="WX146" i="1"/>
  <c r="WZ146" i="1" s="1"/>
  <c r="XQ82" i="1"/>
  <c r="J95" i="13" s="1"/>
  <c r="XD82" i="1"/>
  <c r="XR82" i="1"/>
  <c r="XQ146" i="1"/>
  <c r="J10" i="13" s="1"/>
  <c r="XD146" i="1"/>
  <c r="WL142" i="1"/>
  <c r="WL141" i="1"/>
  <c r="WL19" i="1"/>
  <c r="WL121" i="1"/>
  <c r="WL36" i="1"/>
  <c r="WL108" i="1"/>
  <c r="WL154" i="1"/>
  <c r="WL99" i="1"/>
  <c r="WL80" i="1"/>
  <c r="WL138" i="1"/>
  <c r="WL28" i="1"/>
  <c r="WL65" i="1"/>
  <c r="WL128" i="1"/>
  <c r="WL32" i="1"/>
  <c r="WL14" i="1"/>
  <c r="WL52" i="1"/>
  <c r="WL130" i="1"/>
  <c r="WL89" i="1"/>
  <c r="WL75" i="1"/>
  <c r="WL155" i="1"/>
  <c r="WL77" i="1"/>
  <c r="WL150" i="1"/>
  <c r="WL81" i="1"/>
  <c r="WL86" i="1"/>
  <c r="WL105" i="1"/>
  <c r="WL144" i="1"/>
  <c r="WL123" i="1"/>
  <c r="WL26" i="1"/>
  <c r="WL140" i="1"/>
  <c r="WL149" i="1"/>
  <c r="WL145" i="1"/>
  <c r="WL118" i="1"/>
  <c r="WL124" i="1"/>
  <c r="WL110" i="1"/>
  <c r="WL95" i="1"/>
  <c r="WL83" i="1"/>
  <c r="WL63" i="1"/>
  <c r="WL153" i="1"/>
  <c r="WX162" i="1"/>
  <c r="XJ162" i="1" s="1"/>
  <c r="XD162" i="1"/>
  <c r="XQ45" i="1"/>
  <c r="J77" i="13" s="1"/>
  <c r="XD41" i="1"/>
  <c r="XR41" i="1"/>
  <c r="WX41" i="1"/>
  <c r="WZ41" i="1" s="1"/>
  <c r="WK88" i="1"/>
  <c r="WK49" i="1"/>
  <c r="WK119" i="1"/>
  <c r="WK98" i="1"/>
  <c r="WK84" i="1"/>
  <c r="WK143" i="1"/>
  <c r="WK46" i="1"/>
  <c r="WK78" i="1"/>
  <c r="WK53" i="1"/>
  <c r="WK106" i="1"/>
  <c r="WM75" i="1"/>
  <c r="WM142" i="1"/>
  <c r="WM141" i="1"/>
  <c r="WM19" i="1"/>
  <c r="WM121" i="1"/>
  <c r="WM36" i="1"/>
  <c r="WM108" i="1"/>
  <c r="WM154" i="1"/>
  <c r="WM99" i="1"/>
  <c r="WM80" i="1"/>
  <c r="WM138" i="1"/>
  <c r="WM28" i="1"/>
  <c r="WM65" i="1"/>
  <c r="WM128" i="1"/>
  <c r="WM32" i="1"/>
  <c r="WM14" i="1"/>
  <c r="WM52" i="1"/>
  <c r="WM130" i="1"/>
  <c r="WM89" i="1"/>
  <c r="WM155" i="1"/>
  <c r="WM77" i="1"/>
  <c r="WM150" i="1"/>
  <c r="WM81" i="1"/>
  <c r="WM86" i="1"/>
  <c r="WM105" i="1"/>
  <c r="WM144" i="1"/>
  <c r="WM123" i="1"/>
  <c r="WM26" i="1"/>
  <c r="WM140" i="1"/>
  <c r="WM149" i="1"/>
  <c r="WM145" i="1"/>
  <c r="WM118" i="1"/>
  <c r="WM124" i="1"/>
  <c r="WM110" i="1"/>
  <c r="WM95" i="1"/>
  <c r="WM83" i="1"/>
  <c r="WM63" i="1"/>
  <c r="WM153" i="1"/>
  <c r="WN106" i="1"/>
  <c r="WN84" i="1"/>
  <c r="VJ11" i="1"/>
  <c r="WJ11" i="1"/>
  <c r="WX115" i="1"/>
  <c r="WZ115" i="1" s="1"/>
  <c r="WX47" i="1"/>
  <c r="XJ47" i="1" s="1"/>
  <c r="XR87" i="1"/>
  <c r="XD152" i="1"/>
  <c r="XD70" i="1"/>
  <c r="XR163" i="1"/>
  <c r="XQ163" i="1"/>
  <c r="VJ163" i="1"/>
  <c r="XD126" i="1"/>
  <c r="WX135" i="1"/>
  <c r="WZ135" i="1" s="1"/>
  <c r="XD39" i="1"/>
  <c r="XD45" i="1"/>
  <c r="WX45" i="1"/>
  <c r="XJ45" i="1" s="1"/>
  <c r="XQ23" i="1"/>
  <c r="J94" i="13" s="1"/>
  <c r="WX23" i="1"/>
  <c r="WZ23" i="1" s="1"/>
  <c r="XR23" i="1"/>
  <c r="WX147" i="1"/>
  <c r="XJ147" i="1" s="1"/>
  <c r="XQ90" i="1"/>
  <c r="J142" i="13" s="1"/>
  <c r="XD91" i="1"/>
  <c r="XD40" i="1"/>
  <c r="WX132" i="1"/>
  <c r="WZ132" i="1" s="1"/>
  <c r="XD109" i="1"/>
  <c r="WX91" i="1"/>
  <c r="XJ91" i="1" s="1"/>
  <c r="XR91" i="1"/>
  <c r="WX109" i="1"/>
  <c r="XJ109" i="1" s="1"/>
  <c r="XQ109" i="1"/>
  <c r="J82" i="13" s="1"/>
  <c r="XQ39" i="1"/>
  <c r="J75" i="13" s="1"/>
  <c r="XD73" i="1"/>
  <c r="XQ59" i="1"/>
  <c r="J131" i="13" s="1"/>
  <c r="XQ113" i="1"/>
  <c r="J114" i="13" s="1"/>
  <c r="WX35" i="1"/>
  <c r="WZ35" i="1" s="1"/>
  <c r="U153" i="17"/>
  <c r="VT120" i="1"/>
  <c r="XQ139" i="1"/>
  <c r="J61" i="13" s="1"/>
  <c r="XD68" i="1"/>
  <c r="WX101" i="1"/>
  <c r="WZ101" i="1" s="1"/>
  <c r="XD59" i="1"/>
  <c r="VT25" i="1"/>
  <c r="O112" i="14" s="1"/>
  <c r="XD139" i="1"/>
  <c r="XQ68" i="1"/>
  <c r="J90" i="13" s="1"/>
  <c r="WX92" i="1"/>
  <c r="WZ92" i="1" s="1"/>
  <c r="XD101" i="1"/>
  <c r="WX38" i="1"/>
  <c r="WZ38" i="1" s="1"/>
  <c r="XQ73" i="1"/>
  <c r="J139" i="13" s="1"/>
  <c r="XD35" i="1"/>
  <c r="WX68" i="1"/>
  <c r="WZ68" i="1" s="1"/>
  <c r="WX113" i="1"/>
  <c r="XJ113" i="1" s="1"/>
  <c r="WX139" i="1"/>
  <c r="XJ139" i="1" s="1"/>
  <c r="XD113" i="1"/>
  <c r="XQ92" i="1"/>
  <c r="J140" i="13" s="1"/>
  <c r="XQ101" i="1"/>
  <c r="J121" i="13" s="1"/>
  <c r="XQ38" i="1"/>
  <c r="J147" i="13" s="1"/>
  <c r="WX59" i="1"/>
  <c r="XJ59" i="1" s="1"/>
  <c r="XQ35" i="1"/>
  <c r="J74" i="13" s="1"/>
  <c r="WX73" i="1"/>
  <c r="XJ73" i="1" s="1"/>
  <c r="XD92" i="1"/>
  <c r="XD37" i="1"/>
  <c r="XD38" i="1"/>
  <c r="XQ97" i="1"/>
  <c r="J99" i="13" s="1"/>
  <c r="XQ40" i="1"/>
  <c r="J136" i="13" s="1"/>
  <c r="XD147" i="1"/>
  <c r="XD90" i="1"/>
  <c r="XQ47" i="1"/>
  <c r="J96" i="13" s="1"/>
  <c r="XQ29" i="1"/>
  <c r="J109" i="13" s="1"/>
  <c r="XQ147" i="1"/>
  <c r="J12" i="13" s="1"/>
  <c r="WX90" i="1"/>
  <c r="XJ90" i="1" s="1"/>
  <c r="XD29" i="1"/>
  <c r="XD97" i="1"/>
  <c r="WX61" i="1"/>
  <c r="WZ61" i="1" s="1"/>
  <c r="WX64" i="1"/>
  <c r="WZ64" i="1" s="1"/>
  <c r="WX87" i="1"/>
  <c r="WZ87" i="1" s="1"/>
  <c r="XD31" i="1"/>
  <c r="XR103" i="1"/>
  <c r="XR115" i="1"/>
  <c r="XQ102" i="1"/>
  <c r="J102" i="13" s="1"/>
  <c r="XQ152" i="1"/>
  <c r="J91" i="13" s="1"/>
  <c r="XQ111" i="1"/>
  <c r="J124" i="13" s="1"/>
  <c r="XD111" i="1"/>
  <c r="WX34" i="1"/>
  <c r="XJ34" i="1" s="1"/>
  <c r="XQ115" i="1"/>
  <c r="J125" i="13" s="1"/>
  <c r="XD103" i="1"/>
  <c r="WX163" i="1"/>
  <c r="WZ163" i="1" s="1"/>
  <c r="XD163" i="1"/>
  <c r="XD64" i="1"/>
  <c r="XQ87" i="1"/>
  <c r="J83" i="13" s="1"/>
  <c r="WX126" i="1"/>
  <c r="XJ126" i="1" s="1"/>
  <c r="XQ31" i="1"/>
  <c r="J150" i="13" s="1"/>
  <c r="XQ160" i="1"/>
  <c r="WX152" i="1"/>
  <c r="XJ152" i="1" s="1"/>
  <c r="XQ64" i="1"/>
  <c r="J67" i="13" s="1"/>
  <c r="XD43" i="1"/>
  <c r="WX31" i="1"/>
  <c r="XJ31" i="1" s="1"/>
  <c r="XD79" i="1"/>
  <c r="XD21" i="1"/>
  <c r="WX20" i="1"/>
  <c r="XJ20" i="1" s="1"/>
  <c r="XD129" i="1"/>
  <c r="XQ132" i="1"/>
  <c r="J44" i="13" s="1"/>
  <c r="WX40" i="1"/>
  <c r="XJ40" i="1" s="1"/>
  <c r="XD132" i="1"/>
  <c r="XD47" i="1"/>
  <c r="WX37" i="1"/>
  <c r="WZ37" i="1" s="1"/>
  <c r="WX85" i="1"/>
  <c r="WZ85" i="1" s="1"/>
  <c r="WX39" i="1"/>
  <c r="XJ39" i="1" s="1"/>
  <c r="XD93" i="1"/>
  <c r="XD27" i="1"/>
  <c r="WZ62" i="1"/>
  <c r="XQ37" i="1"/>
  <c r="J154" i="13" s="1"/>
  <c r="XD85" i="1"/>
  <c r="WX97" i="1"/>
  <c r="XJ97" i="1" s="1"/>
  <c r="WX29" i="1"/>
  <c r="WZ29" i="1" s="1"/>
  <c r="XQ85" i="1"/>
  <c r="J76" i="13" s="1"/>
  <c r="XQ12" i="1"/>
  <c r="J143" i="13" s="1"/>
  <c r="XQ96" i="1"/>
  <c r="J100" i="13" s="1"/>
  <c r="WX134" i="1"/>
  <c r="XJ134" i="1" s="1"/>
  <c r="WX131" i="1"/>
  <c r="XJ131" i="1" s="1"/>
  <c r="XD112" i="1"/>
  <c r="WZ71" i="1"/>
  <c r="XD114" i="1"/>
  <c r="WX12" i="1"/>
  <c r="XJ12" i="1" s="1"/>
  <c r="XD60" i="1"/>
  <c r="XD133" i="1"/>
  <c r="XD33" i="1"/>
  <c r="XR79" i="1"/>
  <c r="XQ51" i="1"/>
  <c r="J69" i="13" s="1"/>
  <c r="XR112" i="1"/>
  <c r="XR12" i="1"/>
  <c r="XQ27" i="1"/>
  <c r="J64" i="13" s="1"/>
  <c r="WX48" i="1"/>
  <c r="XJ48" i="1" s="1"/>
  <c r="XR131" i="1"/>
  <c r="XR133" i="1"/>
  <c r="XQ79" i="1"/>
  <c r="J79" i="13" s="1"/>
  <c r="XQ114" i="1"/>
  <c r="J120" i="13" s="1"/>
  <c r="WX15" i="1"/>
  <c r="XJ15" i="1" s="1"/>
  <c r="WX157" i="1"/>
  <c r="WZ157" i="1" s="1"/>
  <c r="WX51" i="1"/>
  <c r="WZ51" i="1" s="1"/>
  <c r="XD131" i="1"/>
  <c r="WX27" i="1"/>
  <c r="XJ27" i="1" s="1"/>
  <c r="XQ112" i="1"/>
  <c r="J149" i="13" s="1"/>
  <c r="XD157" i="1"/>
  <c r="WX114" i="1"/>
  <c r="WZ114" i="1" s="1"/>
  <c r="WX21" i="1"/>
  <c r="WZ21" i="1" s="1"/>
  <c r="XQ20" i="1"/>
  <c r="J123" i="13" s="1"/>
  <c r="XQ129" i="1"/>
  <c r="J47" i="13" s="1"/>
  <c r="WX93" i="1"/>
  <c r="XJ93" i="1" s="1"/>
  <c r="WX33" i="1"/>
  <c r="WZ33" i="1" s="1"/>
  <c r="WX60" i="1"/>
  <c r="WZ60" i="1" s="1"/>
  <c r="WX129" i="1"/>
  <c r="XR93" i="1"/>
  <c r="XR21" i="1"/>
  <c r="XR51" i="1"/>
  <c r="XD96" i="1"/>
  <c r="XD15" i="1"/>
  <c r="XQ157" i="1"/>
  <c r="XD134" i="1"/>
  <c r="XD136" i="1"/>
  <c r="WX133" i="1"/>
  <c r="XJ133" i="1" s="1"/>
  <c r="XQ48" i="1"/>
  <c r="J145" i="13" s="1"/>
  <c r="XD48" i="1"/>
  <c r="XQ69" i="1"/>
  <c r="J86" i="13" s="1"/>
  <c r="XD20" i="1"/>
  <c r="XR136" i="1"/>
  <c r="XR33" i="1"/>
  <c r="XR15" i="1"/>
  <c r="XQ136" i="1"/>
  <c r="J37" i="13" s="1"/>
  <c r="WX96" i="1"/>
  <c r="WZ96" i="1" s="1"/>
  <c r="XQ134" i="1"/>
  <c r="J28" i="13" s="1"/>
  <c r="WX69" i="1"/>
  <c r="WZ69" i="1" s="1"/>
  <c r="XQ60" i="1"/>
  <c r="J115" i="13" s="1"/>
  <c r="XD69" i="1"/>
  <c r="XP116" i="1"/>
  <c r="XR116" i="1" s="1"/>
  <c r="VJ116" i="1"/>
  <c r="XQ56" i="1"/>
  <c r="J132" i="13" s="1"/>
  <c r="WX137" i="1"/>
  <c r="WZ137" i="1" s="1"/>
  <c r="WX111" i="1"/>
  <c r="XJ111" i="1" s="1"/>
  <c r="XD137" i="1"/>
  <c r="XD102" i="1"/>
  <c r="XQ25" i="1"/>
  <c r="J133" i="13" s="1"/>
  <c r="XD61" i="1"/>
  <c r="XQ120" i="1"/>
  <c r="J105" i="13" s="1"/>
  <c r="WX125" i="1"/>
  <c r="WZ125" i="1" s="1"/>
  <c r="XQ126" i="1"/>
  <c r="J87" i="13" s="1"/>
  <c r="WX120" i="1"/>
  <c r="XJ120" i="1" s="1"/>
  <c r="WX43" i="1"/>
  <c r="XJ43" i="1" s="1"/>
  <c r="XR160" i="1"/>
  <c r="XR70" i="1"/>
  <c r="XQ34" i="1"/>
  <c r="J117" i="13" s="1"/>
  <c r="XQ135" i="1"/>
  <c r="J58" i="13" s="1"/>
  <c r="WX160" i="1"/>
  <c r="XJ160" i="1" s="1"/>
  <c r="XD56" i="1"/>
  <c r="XQ137" i="1"/>
  <c r="J98" i="13" s="1"/>
  <c r="WX102" i="1"/>
  <c r="WZ102" i="1" s="1"/>
  <c r="WX25" i="1"/>
  <c r="XJ25" i="1" s="1"/>
  <c r="XQ61" i="1"/>
  <c r="J110" i="13" s="1"/>
  <c r="WX70" i="1"/>
  <c r="WZ70" i="1" s="1"/>
  <c r="WX56" i="1"/>
  <c r="WZ56" i="1" s="1"/>
  <c r="XD135" i="1"/>
  <c r="XD34" i="1"/>
  <c r="XQ103" i="1"/>
  <c r="J126" i="13" s="1"/>
  <c r="XD125" i="1"/>
  <c r="XQ43" i="1"/>
  <c r="J106" i="13" s="1"/>
  <c r="XQ125" i="1"/>
  <c r="J71" i="13" s="1"/>
  <c r="XR25" i="1"/>
  <c r="S152" i="17"/>
  <c r="W152" i="17" s="1"/>
  <c r="YG25" i="1"/>
  <c r="WZ17" i="1"/>
  <c r="S153" i="17"/>
  <c r="T153" i="17" s="1"/>
  <c r="YG120" i="1"/>
  <c r="XV141" i="1"/>
  <c r="D30" i="13" s="1"/>
  <c r="XV140" i="1"/>
  <c r="D55" i="13" s="1"/>
  <c r="XD120" i="1"/>
  <c r="XB120" i="1"/>
  <c r="UJ120" i="1"/>
  <c r="UI7" i="1"/>
  <c r="UI5" i="1"/>
  <c r="XB25" i="1"/>
  <c r="XB5" i="1" s="1"/>
  <c r="UJ25" i="1"/>
  <c r="UI3" i="1" s="1"/>
  <c r="XA5" i="1"/>
  <c r="XV138" i="1"/>
  <c r="D65" i="13" s="1"/>
  <c r="XV127" i="1"/>
  <c r="D89" i="13" s="1"/>
  <c r="XV29" i="1"/>
  <c r="XV13" i="1"/>
  <c r="D24" i="13" s="1"/>
  <c r="XV158" i="1"/>
  <c r="XJ103" i="1"/>
  <c r="XV98" i="1"/>
  <c r="D4" i="13" s="1"/>
  <c r="XV88" i="1"/>
  <c r="D36" i="13" s="1"/>
  <c r="XV142" i="1"/>
  <c r="D68" i="13" s="1"/>
  <c r="XV53" i="1"/>
  <c r="D3" i="13" s="1"/>
  <c r="XV149" i="1"/>
  <c r="D22" i="13" s="1"/>
  <c r="XJ66" i="1"/>
  <c r="WZ136" i="1"/>
  <c r="XV49" i="1"/>
  <c r="D23" i="13" s="1"/>
  <c r="WZ44" i="1"/>
  <c r="XJ44" i="1"/>
  <c r="WZ79" i="1"/>
  <c r="XJ79" i="1"/>
  <c r="WZ148" i="1"/>
  <c r="XJ148" i="1"/>
  <c r="WZ112" i="1"/>
  <c r="XJ112" i="1"/>
  <c r="WZ100" i="1"/>
  <c r="XJ100" i="1"/>
  <c r="WZ127" i="1"/>
  <c r="XJ127" i="1"/>
  <c r="WZ76" i="1"/>
  <c r="XJ76" i="1"/>
  <c r="WZ107" i="1"/>
  <c r="XJ107" i="1"/>
  <c r="WZ82" i="1"/>
  <c r="XJ82" i="1"/>
  <c r="WZ58" i="1"/>
  <c r="WZ72" i="1"/>
  <c r="XJ72" i="1"/>
  <c r="XV31" i="1"/>
  <c r="Z114" i="14"/>
  <c r="XV55" i="1"/>
  <c r="XV79" i="1"/>
  <c r="XV17" i="1"/>
  <c r="XV90" i="1"/>
  <c r="XV74" i="1"/>
  <c r="D146" i="13" s="1"/>
  <c r="Z157" i="14"/>
  <c r="Z213" i="14"/>
  <c r="Z122" i="14"/>
  <c r="XV76" i="1"/>
  <c r="XV15" i="1"/>
  <c r="XV134" i="1"/>
  <c r="D28" i="13" s="1"/>
  <c r="XV48" i="1"/>
  <c r="XV23" i="1"/>
  <c r="Z120" i="14"/>
  <c r="Z243" i="14"/>
  <c r="XV66" i="1"/>
  <c r="D112" i="13" s="1"/>
  <c r="XV38" i="1"/>
  <c r="Z191" i="14"/>
  <c r="Z181" i="14"/>
  <c r="Z144" i="14"/>
  <c r="XV144" i="1"/>
  <c r="XV84" i="1"/>
  <c r="D20" i="13" s="1"/>
  <c r="Z215" i="14"/>
  <c r="Z126" i="14"/>
  <c r="XV59" i="1"/>
  <c r="D131" i="13" s="1"/>
  <c r="Z128" i="14"/>
  <c r="XV30" i="1"/>
  <c r="D134" i="13" s="1"/>
  <c r="XV16" i="1"/>
  <c r="XV122" i="1"/>
  <c r="XV102" i="1"/>
  <c r="D102" i="13" s="1"/>
  <c r="Q20" i="14"/>
  <c r="Z223" i="14"/>
  <c r="Z217" i="14"/>
  <c r="XV73" i="1"/>
  <c r="D139" i="13" s="1"/>
  <c r="XV96" i="1"/>
  <c r="XP11" i="1"/>
  <c r="UW7" i="1"/>
  <c r="Z98" i="14"/>
  <c r="AC17" i="14" s="1"/>
  <c r="Q17" i="14"/>
  <c r="Z118" i="14"/>
  <c r="AC19" i="14" s="1"/>
  <c r="Q19" i="14"/>
  <c r="Z239" i="14"/>
  <c r="Q21" i="14"/>
  <c r="Q16" i="14"/>
  <c r="Z124" i="14"/>
  <c r="AC18" i="14" s="1"/>
  <c r="Q18" i="14"/>
  <c r="Z137" i="14"/>
  <c r="XV51" i="1"/>
  <c r="XV56" i="1"/>
  <c r="Z194" i="14"/>
  <c r="Z178" i="14"/>
  <c r="Z199" i="14"/>
  <c r="Z196" i="14"/>
  <c r="Z212" i="14"/>
  <c r="Z188" i="14"/>
  <c r="Z156" i="14"/>
  <c r="Z111" i="14"/>
  <c r="Z190" i="14"/>
  <c r="Z248" i="14"/>
  <c r="Z148" i="14"/>
  <c r="Z105" i="14"/>
  <c r="Z172" i="14"/>
  <c r="Z240" i="14"/>
  <c r="Z145" i="14"/>
  <c r="Z129" i="14"/>
  <c r="Z147" i="14"/>
  <c r="Z220" i="14"/>
  <c r="D77" i="13"/>
  <c r="D120" i="13"/>
  <c r="D156" i="13"/>
  <c r="XV113" i="1"/>
  <c r="XV44" i="1"/>
  <c r="D64" i="13"/>
  <c r="XV87" i="1"/>
  <c r="XV54" i="1"/>
  <c r="D10" i="13"/>
  <c r="D95" i="13"/>
  <c r="D80" i="13"/>
  <c r="D115" i="13"/>
  <c r="D82" i="13"/>
  <c r="D107" i="13"/>
  <c r="D71" i="13"/>
  <c r="D121" i="13"/>
  <c r="D111" i="13"/>
  <c r="D151" i="13"/>
  <c r="D60" i="13"/>
  <c r="XV40" i="1"/>
  <c r="D75" i="13"/>
  <c r="D62" i="13"/>
  <c r="D8" i="13"/>
  <c r="D155" i="13"/>
  <c r="D113" i="13"/>
  <c r="D143" i="13"/>
  <c r="XV71" i="1"/>
  <c r="D91" i="13"/>
  <c r="XV129" i="1"/>
  <c r="XV52" i="1"/>
  <c r="D27" i="13" s="1"/>
  <c r="XV157" i="1"/>
  <c r="XV99" i="1"/>
  <c r="D50" i="13" s="1"/>
  <c r="D98" i="13"/>
  <c r="D154" i="13"/>
  <c r="D85" i="13"/>
  <c r="D74" i="13"/>
  <c r="D110" i="13"/>
  <c r="D92" i="13"/>
  <c r="AO3" i="17"/>
  <c r="AK3" i="17"/>
  <c r="AK10" i="17"/>
  <c r="AL10" i="17" s="1"/>
  <c r="AO4" i="17"/>
  <c r="AK6" i="17"/>
  <c r="AK9" i="17"/>
  <c r="D118" i="13"/>
  <c r="D106" i="13"/>
  <c r="D124" i="13"/>
  <c r="D12" i="13"/>
  <c r="XV20" i="1"/>
  <c r="XV115" i="1"/>
  <c r="D52" i="13"/>
  <c r="D87" i="13"/>
  <c r="XV97" i="1"/>
  <c r="XV67" i="1"/>
  <c r="D37" i="13"/>
  <c r="D67" i="13"/>
  <c r="D126" i="13"/>
  <c r="D149" i="13"/>
  <c r="D76" i="13"/>
  <c r="D127" i="13"/>
  <c r="D122" i="13"/>
  <c r="D97" i="13"/>
  <c r="D78" i="13"/>
  <c r="D45" i="13"/>
  <c r="D86" i="13"/>
  <c r="D101" i="13"/>
  <c r="D14" i="13"/>
  <c r="D81" i="13"/>
  <c r="D138" i="13"/>
  <c r="D96" i="13"/>
  <c r="D66" i="13"/>
  <c r="D44" i="13"/>
  <c r="D90" i="13"/>
  <c r="D61" i="13"/>
  <c r="XV135" i="1"/>
  <c r="XV22" i="1"/>
  <c r="XV34" i="1"/>
  <c r="D152" i="13"/>
  <c r="XV119" i="1"/>
  <c r="D42" i="13" s="1"/>
  <c r="XV93" i="1"/>
  <c r="D56" i="13"/>
  <c r="XV14" i="1"/>
  <c r="D38" i="13" s="1"/>
  <c r="D18" i="13"/>
  <c r="D128" i="13"/>
  <c r="D135" i="13"/>
  <c r="D140" i="13"/>
  <c r="D104" i="13"/>
  <c r="XJ151" i="1" l="1"/>
  <c r="VJ156" i="1"/>
  <c r="WZ73" i="1"/>
  <c r="XJ42" i="1"/>
  <c r="WZ161" i="1"/>
  <c r="WZ94" i="1"/>
  <c r="XJ67" i="1"/>
  <c r="XJ74" i="1"/>
  <c r="WZ16" i="1"/>
  <c r="WZ162" i="1"/>
  <c r="XJ50" i="1"/>
  <c r="XJ146" i="1"/>
  <c r="UO88" i="1"/>
  <c r="XP88" i="1" s="1"/>
  <c r="XR88" i="1" s="1"/>
  <c r="UO119" i="1"/>
  <c r="XP119" i="1" s="1"/>
  <c r="XQ119" i="1" s="1"/>
  <c r="XJ104" i="1"/>
  <c r="XJ30" i="1"/>
  <c r="XJ122" i="1"/>
  <c r="XJ54" i="1"/>
  <c r="XJ55" i="1"/>
  <c r="O207" i="14"/>
  <c r="Z207" i="14" s="1"/>
  <c r="XJ41" i="1"/>
  <c r="WZ57" i="1"/>
  <c r="WX156" i="1"/>
  <c r="WZ156" i="1" s="1"/>
  <c r="XQ156" i="1"/>
  <c r="XD156" i="1"/>
  <c r="XP117" i="1"/>
  <c r="XR117" i="1" s="1"/>
  <c r="VJ158" i="1"/>
  <c r="XJ38" i="1"/>
  <c r="WN95" i="1"/>
  <c r="UO95" i="1" s="1"/>
  <c r="WN145" i="1"/>
  <c r="UO145" i="1" s="1"/>
  <c r="XP145" i="1" s="1"/>
  <c r="XQ145" i="1" s="1"/>
  <c r="J14" i="13" s="1"/>
  <c r="WN123" i="1"/>
  <c r="UO123" i="1" s="1"/>
  <c r="WN81" i="1"/>
  <c r="UO81" i="1" s="1"/>
  <c r="WN141" i="1"/>
  <c r="UO141" i="1" s="1"/>
  <c r="WN149" i="1"/>
  <c r="UO149" i="1" s="1"/>
  <c r="VJ149" i="1" s="1"/>
  <c r="WN150" i="1"/>
  <c r="UO150" i="1" s="1"/>
  <c r="WN128" i="1"/>
  <c r="UO128" i="1" s="1"/>
  <c r="WN124" i="1"/>
  <c r="UO124" i="1" s="1"/>
  <c r="WN105" i="1"/>
  <c r="UO105" i="1" s="1"/>
  <c r="WN77" i="1"/>
  <c r="UO77" i="1" s="1"/>
  <c r="XP77" i="1" s="1"/>
  <c r="XR77" i="1" s="1"/>
  <c r="WN52" i="1"/>
  <c r="UO52" i="1" s="1"/>
  <c r="VJ52" i="1" s="1"/>
  <c r="WN121" i="1"/>
  <c r="UO121" i="1" s="1"/>
  <c r="WN118" i="1"/>
  <c r="UO118" i="1" s="1"/>
  <c r="XP118" i="1" s="1"/>
  <c r="XR118" i="1" s="1"/>
  <c r="WN26" i="1"/>
  <c r="UO26" i="1" s="1"/>
  <c r="WN86" i="1"/>
  <c r="UO86" i="1" s="1"/>
  <c r="WN155" i="1"/>
  <c r="UO155" i="1" s="1"/>
  <c r="VJ155" i="1" s="1"/>
  <c r="WN28" i="1"/>
  <c r="UO28" i="1" s="1"/>
  <c r="WZ90" i="1"/>
  <c r="WZ126" i="1"/>
  <c r="WL53" i="1"/>
  <c r="WL84" i="1"/>
  <c r="UO84" i="1" s="1"/>
  <c r="WL88" i="1"/>
  <c r="WL78" i="1"/>
  <c r="UO78" i="1" s="1"/>
  <c r="WL98" i="1"/>
  <c r="WL106" i="1"/>
  <c r="WL46" i="1"/>
  <c r="UO46" i="1" s="1"/>
  <c r="WL119" i="1"/>
  <c r="WL143" i="1"/>
  <c r="UO143" i="1" s="1"/>
  <c r="WL49" i="1"/>
  <c r="UO49" i="1" s="1"/>
  <c r="XP49" i="1" s="1"/>
  <c r="XQ49" i="1" s="1"/>
  <c r="XJ23" i="1"/>
  <c r="WZ47" i="1"/>
  <c r="XJ115" i="1"/>
  <c r="WN153" i="1"/>
  <c r="UO153" i="1" s="1"/>
  <c r="WN83" i="1"/>
  <c r="UO83" i="1" s="1"/>
  <c r="WN110" i="1"/>
  <c r="UO110" i="1" s="1"/>
  <c r="WN144" i="1"/>
  <c r="UO144" i="1" s="1"/>
  <c r="VJ144" i="1" s="1"/>
  <c r="WN99" i="1"/>
  <c r="UO99" i="1" s="1"/>
  <c r="WN108" i="1"/>
  <c r="UO108" i="1" s="1"/>
  <c r="WN32" i="1"/>
  <c r="UO32" i="1" s="1"/>
  <c r="WN65" i="1"/>
  <c r="UO65" i="1" s="1"/>
  <c r="WN138" i="1"/>
  <c r="UO138" i="1" s="1"/>
  <c r="WN63" i="1"/>
  <c r="UO63" i="1" s="1"/>
  <c r="WN140" i="1"/>
  <c r="UO140" i="1" s="1"/>
  <c r="XP140" i="1" s="1"/>
  <c r="XR140" i="1" s="1"/>
  <c r="WN89" i="1"/>
  <c r="UO89" i="1" s="1"/>
  <c r="WN154" i="1"/>
  <c r="UO154" i="1" s="1"/>
  <c r="WN36" i="1"/>
  <c r="UO36" i="1" s="1"/>
  <c r="WN19" i="1"/>
  <c r="UO19" i="1" s="1"/>
  <c r="WN142" i="1"/>
  <c r="UO142" i="1" s="1"/>
  <c r="VJ142" i="1" s="1"/>
  <c r="WN130" i="1"/>
  <c r="UO130" i="1" s="1"/>
  <c r="WN14" i="1"/>
  <c r="UO14" i="1" s="1"/>
  <c r="WN80" i="1"/>
  <c r="UO80" i="1" s="1"/>
  <c r="WN75" i="1"/>
  <c r="UO75" i="1" s="1"/>
  <c r="VJ159" i="1"/>
  <c r="XP159" i="1"/>
  <c r="WZ45" i="1"/>
  <c r="WZ20" i="1"/>
  <c r="XJ64" i="1"/>
  <c r="WZ91" i="1"/>
  <c r="XJ135" i="1"/>
  <c r="WZ111" i="1"/>
  <c r="WZ152" i="1"/>
  <c r="XJ68" i="1"/>
  <c r="WZ40" i="1"/>
  <c r="WZ109" i="1"/>
  <c r="XJ56" i="1"/>
  <c r="WZ160" i="1"/>
  <c r="VT5" i="1"/>
  <c r="Z112" i="14"/>
  <c r="XJ101" i="1"/>
  <c r="WZ147" i="1"/>
  <c r="XJ132" i="1"/>
  <c r="WZ59" i="1"/>
  <c r="XJ70" i="1"/>
  <c r="XJ92" i="1"/>
  <c r="WZ120" i="1"/>
  <c r="WZ139" i="1"/>
  <c r="XJ61" i="1"/>
  <c r="WZ93" i="1"/>
  <c r="XJ37" i="1"/>
  <c r="XJ51" i="1"/>
  <c r="XJ102" i="1"/>
  <c r="WZ39" i="1"/>
  <c r="XJ35" i="1"/>
  <c r="WZ34" i="1"/>
  <c r="WZ134" i="1"/>
  <c r="WZ113" i="1"/>
  <c r="XJ163" i="1"/>
  <c r="XJ69" i="1"/>
  <c r="WZ97" i="1"/>
  <c r="XJ87" i="1"/>
  <c r="WZ131" i="1"/>
  <c r="WZ12" i="1"/>
  <c r="WZ31" i="1"/>
  <c r="XJ29" i="1"/>
  <c r="XJ85" i="1"/>
  <c r="XJ33" i="1"/>
  <c r="XJ21" i="1"/>
  <c r="WZ25" i="1"/>
  <c r="WZ48" i="1"/>
  <c r="XJ137" i="1"/>
  <c r="XJ125" i="1"/>
  <c r="XJ157" i="1"/>
  <c r="WZ43" i="1"/>
  <c r="WZ133" i="1"/>
  <c r="WZ27" i="1"/>
  <c r="WZ15" i="1"/>
  <c r="XD158" i="1"/>
  <c r="XJ129" i="1"/>
  <c r="WZ129" i="1"/>
  <c r="XQ116" i="1"/>
  <c r="J59" i="13" s="1"/>
  <c r="XD116" i="1"/>
  <c r="XJ114" i="1"/>
  <c r="XJ96" i="1"/>
  <c r="XJ156" i="1"/>
  <c r="XQ158" i="1"/>
  <c r="WX158" i="1"/>
  <c r="XJ158" i="1" s="1"/>
  <c r="WX116" i="1"/>
  <c r="WZ116" i="1" s="1"/>
  <c r="XJ60" i="1"/>
  <c r="T152" i="17"/>
  <c r="AK13" i="17" s="1"/>
  <c r="W153" i="17"/>
  <c r="XR11" i="1"/>
  <c r="XC3" i="1"/>
  <c r="D109" i="13"/>
  <c r="XU25" i="1"/>
  <c r="UJ7" i="1"/>
  <c r="E36" i="2"/>
  <c r="E37" i="2" s="1"/>
  <c r="UJ5" i="1"/>
  <c r="XU120" i="1"/>
  <c r="D108" i="13"/>
  <c r="D79" i="13"/>
  <c r="WX11" i="1"/>
  <c r="XD11" i="1"/>
  <c r="D137" i="13"/>
  <c r="D150" i="13"/>
  <c r="D145" i="13"/>
  <c r="D130" i="13"/>
  <c r="D40" i="13"/>
  <c r="D142" i="13"/>
  <c r="D116" i="13"/>
  <c r="D94" i="13"/>
  <c r="D147" i="13"/>
  <c r="D119" i="13"/>
  <c r="D69" i="13"/>
  <c r="D153" i="13"/>
  <c r="D100" i="13"/>
  <c r="XQ11" i="1"/>
  <c r="AL6" i="17"/>
  <c r="D132" i="13"/>
  <c r="AL9" i="17"/>
  <c r="D47" i="13"/>
  <c r="D84" i="13"/>
  <c r="D83" i="13"/>
  <c r="D148" i="13"/>
  <c r="D141" i="13"/>
  <c r="D93" i="13"/>
  <c r="D99" i="13"/>
  <c r="D125" i="13"/>
  <c r="D123" i="13"/>
  <c r="D136" i="13"/>
  <c r="D114" i="13"/>
  <c r="D73" i="13"/>
  <c r="D117" i="13"/>
  <c r="D58" i="13"/>
  <c r="D144" i="13"/>
  <c r="VJ84" i="1" l="1"/>
  <c r="XP84" i="1"/>
  <c r="XR84" i="1" s="1"/>
  <c r="UO98" i="1"/>
  <c r="XP98" i="1" s="1"/>
  <c r="UO106" i="1"/>
  <c r="XP106" i="1" s="1"/>
  <c r="UO53" i="1"/>
  <c r="XP53" i="1" s="1"/>
  <c r="VJ88" i="1"/>
  <c r="VJ49" i="1"/>
  <c r="XP143" i="1"/>
  <c r="WX143" i="1" s="1"/>
  <c r="VJ119" i="1"/>
  <c r="XD117" i="1"/>
  <c r="XQ117" i="1"/>
  <c r="J5" i="13" s="1"/>
  <c r="WX117" i="1"/>
  <c r="XJ117" i="1" s="1"/>
  <c r="XP121" i="1"/>
  <c r="XR121" i="1" s="1"/>
  <c r="VJ121" i="1"/>
  <c r="VJ123" i="1"/>
  <c r="XP123" i="1"/>
  <c r="XR123" i="1" s="1"/>
  <c r="XP150" i="1"/>
  <c r="XR150" i="1" s="1"/>
  <c r="VJ150" i="1"/>
  <c r="VJ124" i="1"/>
  <c r="XP124" i="1"/>
  <c r="XR124" i="1" s="1"/>
  <c r="XP141" i="1"/>
  <c r="WX141" i="1" s="1"/>
  <c r="XJ141" i="1" s="1"/>
  <c r="VJ141" i="1"/>
  <c r="XP149" i="1"/>
  <c r="XR149" i="1" s="1"/>
  <c r="XP52" i="1"/>
  <c r="XQ52" i="1" s="1"/>
  <c r="J27" i="13" s="1"/>
  <c r="VJ99" i="1"/>
  <c r="XP99" i="1"/>
  <c r="XD99" i="1" s="1"/>
  <c r="VJ77" i="1"/>
  <c r="XP155" i="1"/>
  <c r="XR155" i="1" s="1"/>
  <c r="VJ118" i="1"/>
  <c r="XQ77" i="1"/>
  <c r="J53" i="13" s="1"/>
  <c r="WX145" i="1"/>
  <c r="XJ145" i="1" s="1"/>
  <c r="WX77" i="1"/>
  <c r="WZ77" i="1" s="1"/>
  <c r="XD77" i="1"/>
  <c r="XR145" i="1"/>
  <c r="XQ118" i="1"/>
  <c r="J57" i="13" s="1"/>
  <c r="WX118" i="1"/>
  <c r="XJ118" i="1" s="1"/>
  <c r="XD118" i="1"/>
  <c r="VJ86" i="1"/>
  <c r="XP86" i="1"/>
  <c r="VJ26" i="1"/>
  <c r="XP26" i="1"/>
  <c r="VJ105" i="1"/>
  <c r="XP105" i="1"/>
  <c r="VJ143" i="1"/>
  <c r="WX140" i="1"/>
  <c r="WZ140" i="1" s="1"/>
  <c r="XP78" i="1"/>
  <c r="VJ78" i="1"/>
  <c r="XP46" i="1"/>
  <c r="VJ46" i="1"/>
  <c r="VJ140" i="1"/>
  <c r="XD145" i="1"/>
  <c r="VJ145" i="1"/>
  <c r="XP81" i="1"/>
  <c r="VJ81" i="1"/>
  <c r="XP95" i="1"/>
  <c r="VJ95" i="1"/>
  <c r="VJ14" i="1"/>
  <c r="XP144" i="1"/>
  <c r="XR144" i="1" s="1"/>
  <c r="XP14" i="1"/>
  <c r="XQ14" i="1" s="1"/>
  <c r="J38" i="13" s="1"/>
  <c r="XP142" i="1"/>
  <c r="XR142" i="1" s="1"/>
  <c r="XQ140" i="1"/>
  <c r="J55" i="13" s="1"/>
  <c r="XD140" i="1"/>
  <c r="XP128" i="1"/>
  <c r="VJ128" i="1"/>
  <c r="VJ75" i="1"/>
  <c r="XP75" i="1"/>
  <c r="XP36" i="1"/>
  <c r="VJ36" i="1"/>
  <c r="VJ89" i="1"/>
  <c r="XP89" i="1"/>
  <c r="XP63" i="1"/>
  <c r="VJ63" i="1"/>
  <c r="XP65" i="1"/>
  <c r="VJ65" i="1"/>
  <c r="XP108" i="1"/>
  <c r="VJ108" i="1"/>
  <c r="XP83" i="1"/>
  <c r="VJ83" i="1"/>
  <c r="XP80" i="1"/>
  <c r="VJ80" i="1"/>
  <c r="XP130" i="1"/>
  <c r="VJ130" i="1"/>
  <c r="VJ19" i="1"/>
  <c r="XP19" i="1"/>
  <c r="VJ154" i="1"/>
  <c r="XP154" i="1"/>
  <c r="VJ138" i="1"/>
  <c r="XP138" i="1"/>
  <c r="XP32" i="1"/>
  <c r="VJ32" i="1"/>
  <c r="VJ110" i="1"/>
  <c r="XP110" i="1"/>
  <c r="XP153" i="1"/>
  <c r="VJ153" i="1"/>
  <c r="XR159" i="1"/>
  <c r="WX159" i="1"/>
  <c r="XQ159" i="1"/>
  <c r="XD159" i="1"/>
  <c r="XJ116" i="1"/>
  <c r="XD49" i="1"/>
  <c r="WZ158" i="1"/>
  <c r="XD88" i="1"/>
  <c r="WX119" i="1"/>
  <c r="WZ119" i="1" s="1"/>
  <c r="XQ88" i="1"/>
  <c r="J36" i="13" s="1"/>
  <c r="XD119" i="1"/>
  <c r="WX88" i="1"/>
  <c r="WZ88" i="1" s="1"/>
  <c r="XR119" i="1"/>
  <c r="WX49" i="1"/>
  <c r="WZ49" i="1" s="1"/>
  <c r="XR49" i="1"/>
  <c r="XQ123" i="1"/>
  <c r="J15" i="13" s="1"/>
  <c r="AK14" i="17"/>
  <c r="AK15" i="17" s="1"/>
  <c r="AK4" i="17"/>
  <c r="AK7" i="17"/>
  <c r="AL7" i="17" s="1"/>
  <c r="AK12" i="17"/>
  <c r="XU5" i="1"/>
  <c r="XV120" i="1"/>
  <c r="E48" i="2"/>
  <c r="XK4" i="1"/>
  <c r="XV25" i="1"/>
  <c r="J23" i="13"/>
  <c r="WZ11" i="1"/>
  <c r="XJ11" i="1"/>
  <c r="J156" i="13"/>
  <c r="J42" i="13"/>
  <c r="VJ53" i="1" l="1"/>
  <c r="WX155" i="1"/>
  <c r="WZ155" i="1" s="1"/>
  <c r="XR99" i="1"/>
  <c r="XD84" i="1"/>
  <c r="XQ84" i="1"/>
  <c r="J20" i="13" s="1"/>
  <c r="VJ98" i="1"/>
  <c r="WX84" i="1"/>
  <c r="WZ84" i="1" s="1"/>
  <c r="WZ117" i="1"/>
  <c r="VJ106" i="1"/>
  <c r="XD123" i="1"/>
  <c r="WX106" i="1"/>
  <c r="XR106" i="1"/>
  <c r="XQ106" i="1"/>
  <c r="J7" i="13" s="1"/>
  <c r="XD106" i="1"/>
  <c r="XQ98" i="1"/>
  <c r="J4" i="13" s="1"/>
  <c r="XR98" i="1"/>
  <c r="WX98" i="1"/>
  <c r="XJ98" i="1" s="1"/>
  <c r="XD98" i="1"/>
  <c r="XR53" i="1"/>
  <c r="XD53" i="1"/>
  <c r="XQ53" i="1"/>
  <c r="J3" i="13" s="1"/>
  <c r="WX53" i="1"/>
  <c r="WZ53" i="1" s="1"/>
  <c r="WX99" i="1"/>
  <c r="WZ99" i="1" s="1"/>
  <c r="XQ143" i="1"/>
  <c r="J80" i="13" s="1"/>
  <c r="XQ99" i="1"/>
  <c r="J50" i="13" s="1"/>
  <c r="XD143" i="1"/>
  <c r="XR143" i="1"/>
  <c r="XD149" i="1"/>
  <c r="XQ149" i="1"/>
  <c r="J22" i="13" s="1"/>
  <c r="XQ121" i="1"/>
  <c r="J46" i="13" s="1"/>
  <c r="WX150" i="1"/>
  <c r="XJ150" i="1" s="1"/>
  <c r="WX121" i="1"/>
  <c r="WZ121" i="1" s="1"/>
  <c r="XD121" i="1"/>
  <c r="XQ150" i="1"/>
  <c r="J8" i="13" s="1"/>
  <c r="XD150" i="1"/>
  <c r="WX149" i="1"/>
  <c r="XJ149" i="1" s="1"/>
  <c r="WZ145" i="1"/>
  <c r="WX123" i="1"/>
  <c r="WZ123" i="1" s="1"/>
  <c r="XR141" i="1"/>
  <c r="XQ141" i="1"/>
  <c r="J30" i="13" s="1"/>
  <c r="WZ141" i="1"/>
  <c r="XD141" i="1"/>
  <c r="XD52" i="1"/>
  <c r="XQ124" i="1"/>
  <c r="J19" i="13" s="1"/>
  <c r="WX52" i="1"/>
  <c r="XJ52" i="1" s="1"/>
  <c r="XD124" i="1"/>
  <c r="WX124" i="1"/>
  <c r="XJ124" i="1" s="1"/>
  <c r="XR52" i="1"/>
  <c r="XD155" i="1"/>
  <c r="XJ77" i="1"/>
  <c r="XJ140" i="1"/>
  <c r="XQ155" i="1"/>
  <c r="WZ118" i="1"/>
  <c r="WX105" i="1"/>
  <c r="XD105" i="1"/>
  <c r="XQ105" i="1"/>
  <c r="J31" i="13" s="1"/>
  <c r="XR105" i="1"/>
  <c r="XR26" i="1"/>
  <c r="XD26" i="1"/>
  <c r="XQ26" i="1"/>
  <c r="J34" i="13" s="1"/>
  <c r="WX26" i="1"/>
  <c r="XR86" i="1"/>
  <c r="XD86" i="1"/>
  <c r="WX86" i="1"/>
  <c r="XQ86" i="1"/>
  <c r="J29" i="13" s="1"/>
  <c r="XQ144" i="1"/>
  <c r="J40" i="13" s="1"/>
  <c r="XD46" i="1"/>
  <c r="WX46" i="1"/>
  <c r="XQ46" i="1"/>
  <c r="J32" i="13" s="1"/>
  <c r="XR46" i="1"/>
  <c r="WZ143" i="1"/>
  <c r="XJ143" i="1"/>
  <c r="XD78" i="1"/>
  <c r="XQ78" i="1"/>
  <c r="J39" i="13" s="1"/>
  <c r="WX78" i="1"/>
  <c r="XR78" i="1"/>
  <c r="WX14" i="1"/>
  <c r="WZ14" i="1" s="1"/>
  <c r="XD144" i="1"/>
  <c r="WX144" i="1"/>
  <c r="WZ144" i="1" s="1"/>
  <c r="XD14" i="1"/>
  <c r="WX142" i="1"/>
  <c r="XJ142" i="1" s="1"/>
  <c r="XQ142" i="1"/>
  <c r="J68" i="13" s="1"/>
  <c r="XR81" i="1"/>
  <c r="WX81" i="1"/>
  <c r="XD81" i="1"/>
  <c r="XQ81" i="1"/>
  <c r="J35" i="13" s="1"/>
  <c r="XR95" i="1"/>
  <c r="WX95" i="1"/>
  <c r="XQ95" i="1"/>
  <c r="J13" i="13" s="1"/>
  <c r="XD95" i="1"/>
  <c r="XR14" i="1"/>
  <c r="XD142" i="1"/>
  <c r="XQ128" i="1"/>
  <c r="J78" i="13" s="1"/>
  <c r="XD128" i="1"/>
  <c r="WX128" i="1"/>
  <c r="XR128" i="1"/>
  <c r="XR110" i="1"/>
  <c r="XD110" i="1"/>
  <c r="XQ110" i="1"/>
  <c r="J6" i="13" s="1"/>
  <c r="WX110" i="1"/>
  <c r="XR138" i="1"/>
  <c r="WX138" i="1"/>
  <c r="XD138" i="1"/>
  <c r="XQ138" i="1"/>
  <c r="J65" i="13" s="1"/>
  <c r="XQ19" i="1"/>
  <c r="J63" i="13" s="1"/>
  <c r="XD19" i="1"/>
  <c r="WX19" i="1"/>
  <c r="XR19" i="1"/>
  <c r="XR80" i="1"/>
  <c r="XQ80" i="1"/>
  <c r="J51" i="13" s="1"/>
  <c r="XD80" i="1"/>
  <c r="WX80" i="1"/>
  <c r="XR108" i="1"/>
  <c r="XQ108" i="1"/>
  <c r="J17" i="13" s="1"/>
  <c r="WX108" i="1"/>
  <c r="XD108" i="1"/>
  <c r="XQ63" i="1"/>
  <c r="J21" i="13" s="1"/>
  <c r="XD63" i="1"/>
  <c r="XR63" i="1"/>
  <c r="WX63" i="1"/>
  <c r="WX36" i="1"/>
  <c r="XD36" i="1"/>
  <c r="XR36" i="1"/>
  <c r="XQ36" i="1"/>
  <c r="J25" i="13" s="1"/>
  <c r="XR154" i="1"/>
  <c r="WX154" i="1"/>
  <c r="XD154" i="1"/>
  <c r="XQ154" i="1"/>
  <c r="J18" i="13" s="1"/>
  <c r="WX89" i="1"/>
  <c r="XR89" i="1"/>
  <c r="XQ89" i="1"/>
  <c r="J33" i="13" s="1"/>
  <c r="XD89" i="1"/>
  <c r="XQ75" i="1"/>
  <c r="J26" i="13" s="1"/>
  <c r="XD75" i="1"/>
  <c r="WX75" i="1"/>
  <c r="XR75" i="1"/>
  <c r="WX153" i="1"/>
  <c r="XD153" i="1"/>
  <c r="XR153" i="1"/>
  <c r="XQ153" i="1"/>
  <c r="J104" i="13" s="1"/>
  <c r="XR32" i="1"/>
  <c r="XQ32" i="1"/>
  <c r="J9" i="13" s="1"/>
  <c r="WX32" i="1"/>
  <c r="XD32" i="1"/>
  <c r="XQ130" i="1"/>
  <c r="J52" i="13" s="1"/>
  <c r="XR130" i="1"/>
  <c r="XD130" i="1"/>
  <c r="WX130" i="1"/>
  <c r="XD83" i="1"/>
  <c r="XQ83" i="1"/>
  <c r="J11" i="13" s="1"/>
  <c r="XR83" i="1"/>
  <c r="WX83" i="1"/>
  <c r="XQ65" i="1"/>
  <c r="J16" i="13" s="1"/>
  <c r="WX65" i="1"/>
  <c r="XR65" i="1"/>
  <c r="XD65" i="1"/>
  <c r="XJ159" i="1"/>
  <c r="WZ159" i="1"/>
  <c r="XJ119" i="1"/>
  <c r="XJ49" i="1"/>
  <c r="XJ88" i="1"/>
  <c r="D105" i="13"/>
  <c r="D133" i="13"/>
  <c r="WZ98" i="1" l="1"/>
  <c r="XJ121" i="1"/>
  <c r="XJ99" i="1"/>
  <c r="XJ84" i="1"/>
  <c r="WZ149" i="1"/>
  <c r="XJ155" i="1"/>
  <c r="XJ53" i="1"/>
  <c r="WZ106" i="1"/>
  <c r="XJ106" i="1"/>
  <c r="XJ123" i="1"/>
  <c r="WZ150" i="1"/>
  <c r="WZ124" i="1"/>
  <c r="WZ52" i="1"/>
  <c r="XJ144" i="1"/>
  <c r="WZ26" i="1"/>
  <c r="XJ26" i="1"/>
  <c r="WZ86" i="1"/>
  <c r="XJ86" i="1"/>
  <c r="XJ105" i="1"/>
  <c r="WZ105" i="1"/>
  <c r="XJ14" i="1"/>
  <c r="WZ46" i="1"/>
  <c r="XJ46" i="1"/>
  <c r="WZ78" i="1"/>
  <c r="XJ78" i="1"/>
  <c r="WZ142" i="1"/>
  <c r="WZ81" i="1"/>
  <c r="XJ81" i="1"/>
  <c r="WZ95" i="1"/>
  <c r="XJ95" i="1"/>
  <c r="XJ128" i="1"/>
  <c r="WZ128" i="1"/>
  <c r="WZ83" i="1"/>
  <c r="XJ83" i="1"/>
  <c r="WZ130" i="1"/>
  <c r="XJ130" i="1"/>
  <c r="WZ63" i="1"/>
  <c r="XJ63" i="1"/>
  <c r="WZ80" i="1"/>
  <c r="XJ80" i="1"/>
  <c r="XJ110" i="1"/>
  <c r="WZ110" i="1"/>
  <c r="XJ32" i="1"/>
  <c r="WZ32" i="1"/>
  <c r="WZ75" i="1"/>
  <c r="XJ75" i="1"/>
  <c r="WZ108" i="1"/>
  <c r="XJ108" i="1"/>
  <c r="WZ19" i="1"/>
  <c r="XJ19" i="1"/>
  <c r="WZ65" i="1"/>
  <c r="XJ65" i="1"/>
  <c r="WZ154" i="1"/>
  <c r="XJ154" i="1"/>
  <c r="XJ138" i="1"/>
  <c r="WZ138" i="1"/>
  <c r="XJ153" i="1"/>
  <c r="WZ153" i="1"/>
  <c r="WZ89" i="1"/>
  <c r="XJ89" i="1"/>
  <c r="XJ36" i="1"/>
  <c r="WZ36" i="1"/>
  <c r="XP28" i="1" l="1"/>
  <c r="XR28" i="1" s="1"/>
  <c r="VJ28" i="1"/>
  <c r="XD28" i="1" l="1"/>
  <c r="WX28" i="1"/>
  <c r="XQ28" i="1"/>
  <c r="J43" i="13" s="1"/>
  <c r="WZ28" i="1" l="1"/>
  <c r="XJ28" i="1"/>
  <c r="VJ22" i="1" l="1"/>
  <c r="XP22" i="1"/>
  <c r="XR22" i="1" s="1"/>
  <c r="WX22" i="1" l="1"/>
  <c r="XQ22" i="1"/>
  <c r="J93" i="13" s="1"/>
  <c r="XD22" i="1"/>
  <c r="WZ22" i="1" l="1"/>
  <c r="XJ22" i="1"/>
  <c r="XP24" i="1" l="1"/>
  <c r="XR24" i="1" s="1"/>
  <c r="VJ24" i="1"/>
  <c r="VJ18" i="1"/>
  <c r="XP18" i="1"/>
  <c r="WX18" i="1" s="1"/>
  <c r="XR18" i="1" l="1"/>
  <c r="WZ18" i="1"/>
  <c r="XJ18" i="1"/>
  <c r="XQ18" i="1"/>
  <c r="J101" i="13" s="1"/>
  <c r="XD18" i="1"/>
  <c r="XD24" i="1"/>
  <c r="WX24" i="1"/>
  <c r="XQ24" i="1"/>
  <c r="J127" i="13" s="1"/>
  <c r="WZ24" i="1" l="1"/>
  <c r="XJ24" i="1"/>
  <c r="XP10" i="1" l="1"/>
  <c r="XR10" i="1" s="1"/>
  <c r="VJ10" i="1"/>
  <c r="XQ10" i="1" l="1"/>
  <c r="J155" i="13" s="1"/>
  <c r="XD10" i="1"/>
  <c r="WX10" i="1"/>
  <c r="WZ10" i="1" l="1"/>
  <c r="XJ10" i="1"/>
  <c r="WK13" i="1" l="1"/>
  <c r="WL13" i="1" s="1"/>
  <c r="WM13" i="1"/>
  <c r="WN13" i="1" l="1"/>
  <c r="UO13" i="1" s="1"/>
  <c r="UO3" i="1" s="1"/>
  <c r="XP13" i="1" l="1"/>
  <c r="XP5" i="1" s="1"/>
  <c r="XP2" i="1" s="1"/>
  <c r="XQ2" i="1" s="1"/>
  <c r="UO7" i="1"/>
  <c r="VJ13" i="1"/>
  <c r="E114" i="2"/>
  <c r="E56" i="2"/>
  <c r="XR13" i="1" l="1"/>
  <c r="XR5" i="1" s="1"/>
  <c r="XS2" i="1" s="1"/>
  <c r="XT2" i="1" s="1"/>
  <c r="XQ13" i="1"/>
  <c r="J24" i="13" s="1"/>
  <c r="XD13" i="1"/>
  <c r="XD5" i="1" s="1"/>
  <c r="XD3" i="1" s="1"/>
  <c r="XG3" i="1" s="1"/>
  <c r="WX13" i="1"/>
  <c r="WZ13" i="1" s="1"/>
  <c r="WZ5" i="1" s="1"/>
  <c r="VK1" i="1"/>
  <c r="VK2" i="1" s="1"/>
  <c r="VJ5" i="1"/>
  <c r="VJ3" i="1" s="1"/>
  <c r="F66" i="2"/>
  <c r="F65" i="2"/>
  <c r="F87" i="2"/>
  <c r="F67" i="2"/>
  <c r="F73" i="2"/>
  <c r="F80" i="2"/>
  <c r="F68" i="2"/>
  <c r="F75" i="2"/>
  <c r="F79" i="2"/>
  <c r="F69" i="2"/>
  <c r="F76" i="2"/>
  <c r="F70" i="2"/>
  <c r="F74" i="2"/>
  <c r="E108" i="2"/>
  <c r="VK117" i="1" l="1"/>
  <c r="VS117" i="1" s="1"/>
  <c r="WG117" i="1" s="1"/>
  <c r="VK75" i="1"/>
  <c r="VS75" i="1" s="1"/>
  <c r="WG75" i="1" s="1"/>
  <c r="VK32" i="1"/>
  <c r="VS32" i="1" s="1"/>
  <c r="WG32" i="1" s="1"/>
  <c r="VK110" i="1"/>
  <c r="VS110" i="1" s="1"/>
  <c r="WG110" i="1" s="1"/>
  <c r="VK53" i="1"/>
  <c r="VS53" i="1" s="1"/>
  <c r="WG53" i="1" s="1"/>
  <c r="VK51" i="1"/>
  <c r="VS51" i="1" s="1"/>
  <c r="WG51" i="1" s="1"/>
  <c r="VK116" i="1"/>
  <c r="VS116" i="1" s="1"/>
  <c r="WG116" i="1" s="1"/>
  <c r="VK163" i="1"/>
  <c r="VS163" i="1" s="1"/>
  <c r="WG163" i="1" s="1"/>
  <c r="VK156" i="1"/>
  <c r="VS156" i="1" s="1"/>
  <c r="WG156" i="1" s="1"/>
  <c r="VK159" i="1"/>
  <c r="VS159" i="1" s="1"/>
  <c r="WG159" i="1" s="1"/>
  <c r="VK144" i="1"/>
  <c r="VS144" i="1" s="1"/>
  <c r="WG144" i="1" s="1"/>
  <c r="VK158" i="1"/>
  <c r="VS158" i="1" s="1"/>
  <c r="WG158" i="1" s="1"/>
  <c r="VK149" i="1"/>
  <c r="VS149" i="1" s="1"/>
  <c r="WG149" i="1" s="1"/>
  <c r="VK155" i="1"/>
  <c r="VS155" i="1" s="1"/>
  <c r="WG155" i="1" s="1"/>
  <c r="VK84" i="1"/>
  <c r="VS84" i="1" s="1"/>
  <c r="WG84" i="1" s="1"/>
  <c r="VK88" i="1"/>
  <c r="VS88" i="1" s="1"/>
  <c r="WG88" i="1" s="1"/>
  <c r="VK142" i="1"/>
  <c r="VS142" i="1" s="1"/>
  <c r="WG142" i="1" s="1"/>
  <c r="VK52" i="1"/>
  <c r="VS52" i="1" s="1"/>
  <c r="WG52" i="1" s="1"/>
  <c r="VK80" i="1"/>
  <c r="VS80" i="1" s="1"/>
  <c r="WG80" i="1" s="1"/>
  <c r="VK128" i="1"/>
  <c r="VS128" i="1" s="1"/>
  <c r="WG128" i="1" s="1"/>
  <c r="VK118" i="1"/>
  <c r="VS118" i="1" s="1"/>
  <c r="WG118" i="1" s="1"/>
  <c r="VK19" i="1"/>
  <c r="VS19" i="1" s="1"/>
  <c r="WG19" i="1" s="1"/>
  <c r="VK153" i="1"/>
  <c r="VS153" i="1" s="1"/>
  <c r="WG153" i="1" s="1"/>
  <c r="VK81" i="1"/>
  <c r="VS81" i="1" s="1"/>
  <c r="WG81" i="1" s="1"/>
  <c r="VK124" i="1"/>
  <c r="VS124" i="1" s="1"/>
  <c r="WG124" i="1" s="1"/>
  <c r="VK89" i="1"/>
  <c r="VS89" i="1" s="1"/>
  <c r="WG89" i="1" s="1"/>
  <c r="VK98" i="1"/>
  <c r="VS98" i="1" s="1"/>
  <c r="WG98" i="1" s="1"/>
  <c r="VK108" i="1"/>
  <c r="VS108" i="1" s="1"/>
  <c r="WG108" i="1" s="1"/>
  <c r="VK95" i="1"/>
  <c r="VS95" i="1" s="1"/>
  <c r="WG95" i="1" s="1"/>
  <c r="VK99" i="1"/>
  <c r="VS99" i="1" s="1"/>
  <c r="WG99" i="1" s="1"/>
  <c r="VK78" i="1"/>
  <c r="VS78" i="1" s="1"/>
  <c r="WG78" i="1" s="1"/>
  <c r="VK130" i="1"/>
  <c r="VS130" i="1" s="1"/>
  <c r="WG130" i="1" s="1"/>
  <c r="VK140" i="1"/>
  <c r="VS140" i="1" s="1"/>
  <c r="WG140" i="1" s="1"/>
  <c r="VK123" i="1"/>
  <c r="VS123" i="1" s="1"/>
  <c r="WG123" i="1" s="1"/>
  <c r="VK14" i="1"/>
  <c r="VS14" i="1" s="1"/>
  <c r="WG14" i="1" s="1"/>
  <c r="VK141" i="1"/>
  <c r="VS141" i="1" s="1"/>
  <c r="WG141" i="1" s="1"/>
  <c r="VK63" i="1"/>
  <c r="VS63" i="1" s="1"/>
  <c r="WG63" i="1" s="1"/>
  <c r="VK145" i="1"/>
  <c r="VS145" i="1" s="1"/>
  <c r="WG145" i="1" s="1"/>
  <c r="VK119" i="1"/>
  <c r="VS119" i="1" s="1"/>
  <c r="WG119" i="1" s="1"/>
  <c r="VK143" i="1"/>
  <c r="VS143" i="1" s="1"/>
  <c r="WG143" i="1" s="1"/>
  <c r="VK83" i="1"/>
  <c r="VS83" i="1" s="1"/>
  <c r="WG83" i="1" s="1"/>
  <c r="VK106" i="1"/>
  <c r="VS106" i="1" s="1"/>
  <c r="WG106" i="1" s="1"/>
  <c r="VK49" i="1"/>
  <c r="VS49" i="1" s="1"/>
  <c r="WG49" i="1" s="1"/>
  <c r="VK46" i="1"/>
  <c r="VS46" i="1" s="1"/>
  <c r="WG46" i="1" s="1"/>
  <c r="VK150" i="1"/>
  <c r="VS150" i="1" s="1"/>
  <c r="WG150" i="1" s="1"/>
  <c r="VK36" i="1"/>
  <c r="VS36" i="1" s="1"/>
  <c r="WG36" i="1" s="1"/>
  <c r="VK86" i="1"/>
  <c r="VS86" i="1" s="1"/>
  <c r="WG86" i="1" s="1"/>
  <c r="VK138" i="1"/>
  <c r="VS138" i="1" s="1"/>
  <c r="WG138" i="1" s="1"/>
  <c r="VK26" i="1"/>
  <c r="VS26" i="1" s="1"/>
  <c r="WG26" i="1" s="1"/>
  <c r="VK65" i="1"/>
  <c r="VS65" i="1" s="1"/>
  <c r="WG65" i="1" s="1"/>
  <c r="VK77" i="1"/>
  <c r="VS77" i="1" s="1"/>
  <c r="WG77" i="1" s="1"/>
  <c r="VK154" i="1"/>
  <c r="VS154" i="1" s="1"/>
  <c r="WG154" i="1" s="1"/>
  <c r="VK105" i="1"/>
  <c r="VS105" i="1" s="1"/>
  <c r="WG105" i="1" s="1"/>
  <c r="VK121" i="1"/>
  <c r="VS121" i="1" s="1"/>
  <c r="WG121" i="1" s="1"/>
  <c r="VK28" i="1"/>
  <c r="VS28" i="1" s="1"/>
  <c r="WG28" i="1" s="1"/>
  <c r="VK13" i="1"/>
  <c r="VS13" i="1" s="1"/>
  <c r="VZ13" i="1" s="1"/>
  <c r="WB13" i="1" s="1"/>
  <c r="WX5" i="1"/>
  <c r="WZ3" i="1" s="1"/>
  <c r="XR170" i="1"/>
  <c r="XR171" i="1" s="1"/>
  <c r="XS13" i="1" s="1"/>
  <c r="XT13" i="1" s="1"/>
  <c r="XZ13" i="1" s="1"/>
  <c r="XJ13" i="1"/>
  <c r="XJ5" i="1" s="1"/>
  <c r="XK5" i="1" s="1"/>
  <c r="XK3" i="1"/>
  <c r="VK10" i="1"/>
  <c r="VS10" i="1" s="1"/>
  <c r="WG10" i="1" s="1"/>
  <c r="VK132" i="1"/>
  <c r="VS132" i="1" s="1"/>
  <c r="WG132" i="1" s="1"/>
  <c r="VK61" i="1"/>
  <c r="VS61" i="1" s="1"/>
  <c r="WG61" i="1" s="1"/>
  <c r="VK82" i="1"/>
  <c r="VS82" i="1" s="1"/>
  <c r="N169" i="14" s="1"/>
  <c r="VK22" i="1"/>
  <c r="VS22" i="1" s="1"/>
  <c r="VZ22" i="1" s="1"/>
  <c r="VK69" i="1"/>
  <c r="VS69" i="1" s="1"/>
  <c r="R156" i="14" s="1"/>
  <c r="I144" i="10" s="1"/>
  <c r="VK126" i="1"/>
  <c r="VS126" i="1" s="1"/>
  <c r="WG126" i="1" s="1"/>
  <c r="VK87" i="1"/>
  <c r="VS87" i="1" s="1"/>
  <c r="VK152" i="1"/>
  <c r="VS152" i="1" s="1"/>
  <c r="VK64" i="1"/>
  <c r="VS64" i="1" s="1"/>
  <c r="WG64" i="1" s="1"/>
  <c r="VK20" i="1"/>
  <c r="VS20" i="1" s="1"/>
  <c r="WG20" i="1" s="1"/>
  <c r="VK37" i="1"/>
  <c r="VS37" i="1" s="1"/>
  <c r="R124" i="14" s="1"/>
  <c r="G18" i="14" s="1"/>
  <c r="VK31" i="1"/>
  <c r="VS31" i="1" s="1"/>
  <c r="VK24" i="1"/>
  <c r="VS24" i="1" s="1"/>
  <c r="WG24" i="1" s="1"/>
  <c r="VK56" i="1"/>
  <c r="VS56" i="1" s="1"/>
  <c r="WG56" i="1" s="1"/>
  <c r="VK33" i="1"/>
  <c r="VS33" i="1" s="1"/>
  <c r="VZ33" i="1" s="1"/>
  <c r="VK34" i="1"/>
  <c r="VS34" i="1" s="1"/>
  <c r="N121" i="14" s="1"/>
  <c r="VK93" i="1"/>
  <c r="VS93" i="1" s="1"/>
  <c r="WG93" i="1" s="1"/>
  <c r="VK112" i="1"/>
  <c r="VS112" i="1" s="1"/>
  <c r="WG112" i="1" s="1"/>
  <c r="VK15" i="1"/>
  <c r="VS15" i="1" s="1"/>
  <c r="VK109" i="1"/>
  <c r="VS109" i="1" s="1"/>
  <c r="VK44" i="1"/>
  <c r="VS44" i="1" s="1"/>
  <c r="WG44" i="1" s="1"/>
  <c r="VK120" i="1"/>
  <c r="VS120" i="1" s="1"/>
  <c r="VZ120" i="1" s="1"/>
  <c r="VK59" i="1"/>
  <c r="VS59" i="1" s="1"/>
  <c r="N146" i="14" s="1"/>
  <c r="VK148" i="1"/>
  <c r="VS148" i="1" s="1"/>
  <c r="N235" i="14" s="1"/>
  <c r="VK48" i="1"/>
  <c r="VS48" i="1" s="1"/>
  <c r="VZ48" i="1" s="1"/>
  <c r="VK107" i="1"/>
  <c r="VS107" i="1" s="1"/>
  <c r="WG107" i="1" s="1"/>
  <c r="VK17" i="1"/>
  <c r="VS17" i="1" s="1"/>
  <c r="VK11" i="1"/>
  <c r="VS11" i="1" s="1"/>
  <c r="VK85" i="1"/>
  <c r="VS85" i="1" s="1"/>
  <c r="VK43" i="1"/>
  <c r="VS43" i="1" s="1"/>
  <c r="WG43" i="1" s="1"/>
  <c r="VK90" i="1"/>
  <c r="VS90" i="1" s="1"/>
  <c r="R177" i="14" s="1"/>
  <c r="I165" i="10" s="1"/>
  <c r="VK139" i="1"/>
  <c r="VS139" i="1" s="1"/>
  <c r="WG139" i="1" s="1"/>
  <c r="VK70" i="1"/>
  <c r="VS70" i="1" s="1"/>
  <c r="WG70" i="1" s="1"/>
  <c r="VK101" i="1"/>
  <c r="VS101" i="1" s="1"/>
  <c r="WG101" i="1" s="1"/>
  <c r="VK146" i="1"/>
  <c r="VS146" i="1" s="1"/>
  <c r="N233" i="14" s="1"/>
  <c r="VK16" i="1"/>
  <c r="VS16" i="1" s="1"/>
  <c r="WG16" i="1" s="1"/>
  <c r="VK18" i="1"/>
  <c r="VS18" i="1" s="1"/>
  <c r="WG18" i="1" s="1"/>
  <c r="VK134" i="1"/>
  <c r="VS134" i="1" s="1"/>
  <c r="WG134" i="1" s="1"/>
  <c r="VK97" i="1"/>
  <c r="VS97" i="1" s="1"/>
  <c r="VZ97" i="1" s="1"/>
  <c r="VK136" i="1"/>
  <c r="VS136" i="1" s="1"/>
  <c r="VK92" i="1"/>
  <c r="VS92" i="1" s="1"/>
  <c r="VK129" i="1"/>
  <c r="VS129" i="1" s="1"/>
  <c r="WG129" i="1" s="1"/>
  <c r="VK12" i="1"/>
  <c r="VS12" i="1" s="1"/>
  <c r="VK111" i="1"/>
  <c r="VS111" i="1" s="1"/>
  <c r="VK23" i="1"/>
  <c r="VS23" i="1" s="1"/>
  <c r="WG23" i="1" s="1"/>
  <c r="VK39" i="1"/>
  <c r="VS39" i="1" s="1"/>
  <c r="WG39" i="1" s="1"/>
  <c r="VK103" i="1"/>
  <c r="VS103" i="1" s="1"/>
  <c r="R190" i="14" s="1"/>
  <c r="I178" i="10" s="1"/>
  <c r="VK73" i="1"/>
  <c r="VS73" i="1" s="1"/>
  <c r="WG73" i="1" s="1"/>
  <c r="VK160" i="1"/>
  <c r="VS160" i="1" s="1"/>
  <c r="WG160" i="1" s="1"/>
  <c r="VK147" i="1"/>
  <c r="VS147" i="1" s="1"/>
  <c r="WG147" i="1" s="1"/>
  <c r="VK114" i="1"/>
  <c r="VS114" i="1" s="1"/>
  <c r="N201" i="14" s="1"/>
  <c r="VK35" i="1"/>
  <c r="VS35" i="1" s="1"/>
  <c r="VK122" i="1"/>
  <c r="VS122" i="1" s="1"/>
  <c r="WG122" i="1" s="1"/>
  <c r="VK72" i="1"/>
  <c r="VS72" i="1" s="1"/>
  <c r="WG72" i="1" s="1"/>
  <c r="VK74" i="1"/>
  <c r="VS74" i="1" s="1"/>
  <c r="VK42" i="1"/>
  <c r="VS42" i="1" s="1"/>
  <c r="WG42" i="1" s="1"/>
  <c r="VK54" i="1"/>
  <c r="VS54" i="1" s="1"/>
  <c r="WG54" i="1" s="1"/>
  <c r="VK76" i="1"/>
  <c r="VS76" i="1" s="1"/>
  <c r="WG76" i="1" s="1"/>
  <c r="VK41" i="1"/>
  <c r="VS41" i="1" s="1"/>
  <c r="VK91" i="1"/>
  <c r="VS91" i="1" s="1"/>
  <c r="WG91" i="1" s="1"/>
  <c r="VK25" i="1"/>
  <c r="VS25" i="1" s="1"/>
  <c r="WG25" i="1" s="1"/>
  <c r="VK40" i="1"/>
  <c r="VS40" i="1" s="1"/>
  <c r="WG40" i="1" s="1"/>
  <c r="VK79" i="1"/>
  <c r="VS79" i="1" s="1"/>
  <c r="VZ79" i="1" s="1"/>
  <c r="VK38" i="1"/>
  <c r="VS38" i="1" s="1"/>
  <c r="VK96" i="1"/>
  <c r="VS96" i="1" s="1"/>
  <c r="WG96" i="1" s="1"/>
  <c r="VK133" i="1"/>
  <c r="VS133" i="1" s="1"/>
  <c r="WG133" i="1" s="1"/>
  <c r="VK102" i="1"/>
  <c r="VS102" i="1" s="1"/>
  <c r="VZ102" i="1" s="1"/>
  <c r="VK66" i="1"/>
  <c r="VS66" i="1" s="1"/>
  <c r="VK100" i="1"/>
  <c r="VS100" i="1" s="1"/>
  <c r="WG100" i="1" s="1"/>
  <c r="VK30" i="1"/>
  <c r="VS30" i="1" s="1"/>
  <c r="WG30" i="1" s="1"/>
  <c r="VK71" i="1"/>
  <c r="VS71" i="1" s="1"/>
  <c r="N158" i="14" s="1"/>
  <c r="VK161" i="1"/>
  <c r="VS161" i="1" s="1"/>
  <c r="VK50" i="1"/>
  <c r="VS50" i="1" s="1"/>
  <c r="WG50" i="1" s="1"/>
  <c r="VK45" i="1"/>
  <c r="VS45" i="1" s="1"/>
  <c r="WG45" i="1" s="1"/>
  <c r="VK67" i="1"/>
  <c r="VS67" i="1" s="1"/>
  <c r="VZ67" i="1" s="1"/>
  <c r="VK29" i="1"/>
  <c r="VS29" i="1" s="1"/>
  <c r="VK131" i="1"/>
  <c r="VS131" i="1" s="1"/>
  <c r="WG131" i="1" s="1"/>
  <c r="VK113" i="1"/>
  <c r="VS113" i="1" s="1"/>
  <c r="WG113" i="1" s="1"/>
  <c r="VK21" i="1"/>
  <c r="VS21" i="1" s="1"/>
  <c r="R108" i="14" s="1"/>
  <c r="I96" i="10" s="1"/>
  <c r="VK127" i="1"/>
  <c r="VS127" i="1" s="1"/>
  <c r="WG127" i="1" s="1"/>
  <c r="VK135" i="1"/>
  <c r="VS135" i="1" s="1"/>
  <c r="VK115" i="1"/>
  <c r="VS115" i="1" s="1"/>
  <c r="VZ115" i="1" s="1"/>
  <c r="VK27" i="1"/>
  <c r="VS27" i="1" s="1"/>
  <c r="VZ27" i="1" s="1"/>
  <c r="VK157" i="1"/>
  <c r="VS157" i="1" s="1"/>
  <c r="VK125" i="1"/>
  <c r="VS125" i="1" s="1"/>
  <c r="VK137" i="1"/>
  <c r="VS137" i="1" s="1"/>
  <c r="WG137" i="1" s="1"/>
  <c r="VK47" i="1"/>
  <c r="VS47" i="1" s="1"/>
  <c r="N134" i="14" s="1"/>
  <c r="VK60" i="1"/>
  <c r="VS60" i="1" s="1"/>
  <c r="VK68" i="1"/>
  <c r="VS68" i="1" s="1"/>
  <c r="WG68" i="1" s="1"/>
  <c r="VK104" i="1"/>
  <c r="VS104" i="1" s="1"/>
  <c r="WG104" i="1" s="1"/>
  <c r="VK62" i="1"/>
  <c r="VS62" i="1" s="1"/>
  <c r="N149" i="14" s="1"/>
  <c r="VK151" i="1"/>
  <c r="VS151" i="1" s="1"/>
  <c r="R238" i="14" s="1"/>
  <c r="I226" i="10" s="1"/>
  <c r="VK58" i="1"/>
  <c r="VS58" i="1" s="1"/>
  <c r="WG58" i="1" s="1"/>
  <c r="VK162" i="1"/>
  <c r="VS162" i="1" s="1"/>
  <c r="R249" i="14" s="1"/>
  <c r="I237" i="10" s="1"/>
  <c r="VK57" i="1"/>
  <c r="VS57" i="1" s="1"/>
  <c r="VK55" i="1"/>
  <c r="VS55" i="1" s="1"/>
  <c r="VK94" i="1"/>
  <c r="VS94" i="1" s="1"/>
  <c r="WG94" i="1" s="1"/>
  <c r="VZ51" i="1"/>
  <c r="N138" i="14"/>
  <c r="R138" i="14"/>
  <c r="I126" i="10" s="1"/>
  <c r="VZ99" i="1"/>
  <c r="WB99" i="1" s="1"/>
  <c r="R186" i="14"/>
  <c r="I174" i="10" s="1"/>
  <c r="N186" i="14"/>
  <c r="R250" i="14"/>
  <c r="I238" i="10" s="1"/>
  <c r="VZ65" i="1"/>
  <c r="WB65" i="1" s="1"/>
  <c r="R152" i="14"/>
  <c r="I140" i="10" s="1"/>
  <c r="N152" i="14"/>
  <c r="VZ46" i="1"/>
  <c r="WB46" i="1" s="1"/>
  <c r="R162" i="14"/>
  <c r="I150" i="10" s="1"/>
  <c r="VZ75" i="1"/>
  <c r="WB75" i="1" s="1"/>
  <c r="N162" i="14"/>
  <c r="VZ121" i="1"/>
  <c r="WB121" i="1" s="1"/>
  <c r="R208" i="14"/>
  <c r="I196" i="10" s="1"/>
  <c r="N208" i="14"/>
  <c r="R228" i="14"/>
  <c r="I216" i="10" s="1"/>
  <c r="VZ32" i="1"/>
  <c r="WB32" i="1" s="1"/>
  <c r="R195" i="14"/>
  <c r="R175" i="14"/>
  <c r="I163" i="10" s="1"/>
  <c r="R204" i="14"/>
  <c r="I192" i="10" s="1"/>
  <c r="VZ117" i="1"/>
  <c r="WB117" i="1" s="1"/>
  <c r="N204" i="14"/>
  <c r="R232" i="14"/>
  <c r="I220" i="10" s="1"/>
  <c r="VZ145" i="1"/>
  <c r="WB145" i="1" s="1"/>
  <c r="N232" i="14"/>
  <c r="R215" i="14"/>
  <c r="I203" i="10" s="1"/>
  <c r="VZ110" i="1"/>
  <c r="WB110" i="1" s="1"/>
  <c r="R197" i="14"/>
  <c r="I185" i="10" s="1"/>
  <c r="N197" i="14"/>
  <c r="VZ155" i="1"/>
  <c r="WB155" i="1" s="1"/>
  <c r="R242" i="14"/>
  <c r="I230" i="10" s="1"/>
  <c r="N242" i="14"/>
  <c r="R210" i="14"/>
  <c r="I198" i="10" s="1"/>
  <c r="N210" i="14"/>
  <c r="R245" i="14"/>
  <c r="G20" i="14" s="1"/>
  <c r="VZ130" i="1"/>
  <c r="WB130" i="1" s="1"/>
  <c r="VZ159" i="1"/>
  <c r="WB159" i="1" s="1"/>
  <c r="R246" i="14"/>
  <c r="I234" i="10" s="1"/>
  <c r="N246" i="14"/>
  <c r="R140" i="14"/>
  <c r="I128" i="10" s="1"/>
  <c r="VZ53" i="1"/>
  <c r="WB53" i="1" s="1"/>
  <c r="N140" i="14"/>
  <c r="R106" i="14"/>
  <c r="I94" i="10" s="1"/>
  <c r="VZ19" i="1"/>
  <c r="WB19" i="1" s="1"/>
  <c r="N106" i="14"/>
  <c r="VZ36" i="1"/>
  <c r="WB36" i="1" s="1"/>
  <c r="R123" i="14"/>
  <c r="I111" i="10" s="1"/>
  <c r="N123" i="14"/>
  <c r="VZ52" i="1"/>
  <c r="WB52" i="1" s="1"/>
  <c r="R139" i="14"/>
  <c r="I127" i="10" s="1"/>
  <c r="N139" i="14"/>
  <c r="R176" i="14"/>
  <c r="I164" i="10" s="1"/>
  <c r="VZ89" i="1"/>
  <c r="WB89" i="1" s="1"/>
  <c r="N176" i="14"/>
  <c r="VZ106" i="1"/>
  <c r="WB106" i="1" s="1"/>
  <c r="R193" i="14"/>
  <c r="I181" i="10" s="1"/>
  <c r="N193" i="14"/>
  <c r="R168" i="14"/>
  <c r="I156" i="10" s="1"/>
  <c r="N231" i="14"/>
  <c r="VZ49" i="1" l="1"/>
  <c r="WB49" i="1" s="1"/>
  <c r="N199" i="14"/>
  <c r="R115" i="14"/>
  <c r="I103" i="10" s="1"/>
  <c r="N171" i="14"/>
  <c r="VZ153" i="1"/>
  <c r="WB153" i="1" s="1"/>
  <c r="N216" i="14"/>
  <c r="R240" i="14"/>
  <c r="I228" i="10" s="1"/>
  <c r="VZ119" i="1"/>
  <c r="WB119" i="1" s="1"/>
  <c r="AD206" i="14" s="1"/>
  <c r="M194" i="10" s="1"/>
  <c r="VZ61" i="1"/>
  <c r="N115" i="14"/>
  <c r="N165" i="14"/>
  <c r="N203" i="14"/>
  <c r="R171" i="14"/>
  <c r="I159" i="10" s="1"/>
  <c r="R165" i="14"/>
  <c r="I153" i="10" s="1"/>
  <c r="N194" i="14"/>
  <c r="N173" i="14"/>
  <c r="Q173" i="14" s="1"/>
  <c r="H161" i="10" s="1"/>
  <c r="VZ116" i="1"/>
  <c r="WB116" i="1" s="1"/>
  <c r="VZ78" i="1"/>
  <c r="WB78" i="1" s="1"/>
  <c r="R173" i="14"/>
  <c r="I161" i="10" s="1"/>
  <c r="R203" i="14"/>
  <c r="I191" i="10" s="1"/>
  <c r="R199" i="14"/>
  <c r="I187" i="10" s="1"/>
  <c r="N234" i="14"/>
  <c r="N206" i="14"/>
  <c r="N163" i="14"/>
  <c r="Q163" i="14" s="1"/>
  <c r="H151" i="10" s="1"/>
  <c r="N107" i="14"/>
  <c r="VZ144" i="1"/>
  <c r="WB144" i="1" s="1"/>
  <c r="N101" i="14"/>
  <c r="VZ134" i="1"/>
  <c r="VZ14" i="1"/>
  <c r="WB14" i="1" s="1"/>
  <c r="R185" i="14"/>
  <c r="I173" i="10" s="1"/>
  <c r="N117" i="14"/>
  <c r="VZ123" i="1"/>
  <c r="WB123" i="1" s="1"/>
  <c r="AD210" i="14" s="1"/>
  <c r="M198" i="10" s="1"/>
  <c r="VZ77" i="1"/>
  <c r="WB77" i="1" s="1"/>
  <c r="R119" i="14"/>
  <c r="I107" i="10" s="1"/>
  <c r="R101" i="14"/>
  <c r="I89" i="10" s="1"/>
  <c r="N185" i="14"/>
  <c r="N164" i="14"/>
  <c r="VZ98" i="1"/>
  <c r="WB98" i="1" s="1"/>
  <c r="R117" i="14"/>
  <c r="I105" i="10" s="1"/>
  <c r="N130" i="14"/>
  <c r="Q130" i="14" s="1"/>
  <c r="H118" i="10" s="1"/>
  <c r="N167" i="14"/>
  <c r="R130" i="14"/>
  <c r="I118" i="10" s="1"/>
  <c r="N143" i="14"/>
  <c r="VZ80" i="1"/>
  <c r="WB80" i="1" s="1"/>
  <c r="R231" i="14"/>
  <c r="I219" i="10" s="1"/>
  <c r="N136" i="14"/>
  <c r="N119" i="14"/>
  <c r="R213" i="14"/>
  <c r="I201" i="10" s="1"/>
  <c r="N188" i="14"/>
  <c r="R126" i="14"/>
  <c r="I114" i="10" s="1"/>
  <c r="VZ56" i="1"/>
  <c r="R148" i="14"/>
  <c r="I136" i="10" s="1"/>
  <c r="VZ76" i="1"/>
  <c r="VZ107" i="1"/>
  <c r="N245" i="14"/>
  <c r="N195" i="14"/>
  <c r="Q195" i="14" s="1"/>
  <c r="VZ158" i="1"/>
  <c r="WB158" i="1" s="1"/>
  <c r="N215" i="14"/>
  <c r="VZ104" i="1"/>
  <c r="VZ128" i="1"/>
  <c r="WB128" i="1" s="1"/>
  <c r="R241" i="14"/>
  <c r="I229" i="10" s="1"/>
  <c r="VZ147" i="1"/>
  <c r="R133" i="14"/>
  <c r="I121" i="10" s="1"/>
  <c r="N241" i="14"/>
  <c r="Y241" i="14" s="1"/>
  <c r="AB241" i="14" s="1"/>
  <c r="K229" i="10" s="1"/>
  <c r="VZ108" i="1"/>
  <c r="WB108" i="1" s="1"/>
  <c r="N228" i="14"/>
  <c r="N225" i="14"/>
  <c r="R225" i="14"/>
  <c r="I213" i="10" s="1"/>
  <c r="VZ30" i="1"/>
  <c r="VZ138" i="1"/>
  <c r="WB138" i="1" s="1"/>
  <c r="N217" i="14"/>
  <c r="R217" i="14"/>
  <c r="I205" i="10" s="1"/>
  <c r="R100" i="14"/>
  <c r="I88" i="10" s="1"/>
  <c r="N168" i="14"/>
  <c r="N250" i="14"/>
  <c r="VZ81" i="1"/>
  <c r="WB81" i="1" s="1"/>
  <c r="N175" i="14"/>
  <c r="R230" i="14"/>
  <c r="I218" i="10" s="1"/>
  <c r="VZ163" i="1"/>
  <c r="WB163" i="1" s="1"/>
  <c r="VZ88" i="1"/>
  <c r="WB88" i="1" s="1"/>
  <c r="AD175" i="14" s="1"/>
  <c r="M163" i="10" s="1"/>
  <c r="R200" i="14"/>
  <c r="I188" i="10" s="1"/>
  <c r="N159" i="14"/>
  <c r="N126" i="14"/>
  <c r="VZ141" i="1"/>
  <c r="WB141" i="1" s="1"/>
  <c r="N230" i="14"/>
  <c r="VZ154" i="1"/>
  <c r="WB154" i="1" s="1"/>
  <c r="N100" i="14"/>
  <c r="Y100" i="14" s="1"/>
  <c r="AB100" i="14" s="1"/>
  <c r="K88" i="10" s="1"/>
  <c r="R160" i="14"/>
  <c r="I148" i="10" s="1"/>
  <c r="VZ143" i="1"/>
  <c r="WB143" i="1" s="1"/>
  <c r="N133" i="14"/>
  <c r="VZ113" i="1"/>
  <c r="R216" i="14"/>
  <c r="I204" i="10" s="1"/>
  <c r="R221" i="14"/>
  <c r="I209" i="10" s="1"/>
  <c r="R159" i="14"/>
  <c r="I147" i="10" s="1"/>
  <c r="R136" i="14"/>
  <c r="I124" i="10" s="1"/>
  <c r="VZ133" i="1"/>
  <c r="WA133" i="1" s="1"/>
  <c r="AC220" i="14" s="1"/>
  <c r="VZ28" i="1"/>
  <c r="WB28" i="1" s="1"/>
  <c r="AD115" i="14" s="1"/>
  <c r="M103" i="10" s="1"/>
  <c r="R188" i="14"/>
  <c r="I176" i="10" s="1"/>
  <c r="VZ86" i="1"/>
  <c r="WB86" i="1" s="1"/>
  <c r="VZ20" i="1"/>
  <c r="N240" i="14"/>
  <c r="Y240" i="14" s="1"/>
  <c r="AB240" i="14" s="1"/>
  <c r="K228" i="10" s="1"/>
  <c r="R206" i="14"/>
  <c r="I194" i="10" s="1"/>
  <c r="N213" i="14"/>
  <c r="R164" i="14"/>
  <c r="I152" i="10" s="1"/>
  <c r="R167" i="14"/>
  <c r="I155" i="10" s="1"/>
  <c r="VZ84" i="1"/>
  <c r="WB84" i="1" s="1"/>
  <c r="N200" i="14"/>
  <c r="R163" i="14"/>
  <c r="I151" i="10" s="1"/>
  <c r="VZ129" i="1"/>
  <c r="WA129" i="1" s="1"/>
  <c r="AC216" i="14" s="1"/>
  <c r="VZ112" i="1"/>
  <c r="WA112" i="1" s="1"/>
  <c r="AC199" i="14" s="1"/>
  <c r="N221" i="14"/>
  <c r="R194" i="14"/>
  <c r="I182" i="10" s="1"/>
  <c r="VZ72" i="1"/>
  <c r="WA72" i="1" s="1"/>
  <c r="AC159" i="14" s="1"/>
  <c r="N220" i="14"/>
  <c r="Y220" i="14" s="1"/>
  <c r="AB220" i="14" s="1"/>
  <c r="K208" i="10" s="1"/>
  <c r="VZ43" i="1"/>
  <c r="R234" i="14"/>
  <c r="I222" i="10" s="1"/>
  <c r="VZ101" i="1"/>
  <c r="WA101" i="1" s="1"/>
  <c r="AC188" i="14" s="1"/>
  <c r="R107" i="14"/>
  <c r="I95" i="10" s="1"/>
  <c r="R143" i="14"/>
  <c r="I131" i="10" s="1"/>
  <c r="N148" i="14"/>
  <c r="Y148" i="14" s="1"/>
  <c r="AB148" i="14" s="1"/>
  <c r="K136" i="10" s="1"/>
  <c r="VZ126" i="1"/>
  <c r="WA126" i="1" s="1"/>
  <c r="AC213" i="14" s="1"/>
  <c r="R132" i="14"/>
  <c r="I120" i="10" s="1"/>
  <c r="WG13" i="1"/>
  <c r="R211" i="14"/>
  <c r="I199" i="10" s="1"/>
  <c r="VZ63" i="1"/>
  <c r="WB63" i="1" s="1"/>
  <c r="AD150" i="14" s="1"/>
  <c r="M138" i="10" s="1"/>
  <c r="VZ156" i="1"/>
  <c r="WB156" i="1" s="1"/>
  <c r="VZ26" i="1"/>
  <c r="WB26" i="1" s="1"/>
  <c r="AD113" i="14" s="1"/>
  <c r="M101" i="10" s="1"/>
  <c r="VZ83" i="1"/>
  <c r="WB83" i="1" s="1"/>
  <c r="AD170" i="14" s="1"/>
  <c r="M158" i="10" s="1"/>
  <c r="R192" i="14"/>
  <c r="I180" i="10" s="1"/>
  <c r="VZ150" i="1"/>
  <c r="WB150" i="1" s="1"/>
  <c r="AD237" i="14" s="1"/>
  <c r="M225" i="10" s="1"/>
  <c r="VZ140" i="1"/>
  <c r="WB140" i="1" s="1"/>
  <c r="AD227" i="14" s="1"/>
  <c r="M215" i="10" s="1"/>
  <c r="VZ149" i="1"/>
  <c r="WB149" i="1" s="1"/>
  <c r="N202" i="14"/>
  <c r="Y202" i="14" s="1"/>
  <c r="AB202" i="14" s="1"/>
  <c r="K190" i="10" s="1"/>
  <c r="N182" i="14"/>
  <c r="Q182" i="14" s="1"/>
  <c r="H170" i="10" s="1"/>
  <c r="VZ124" i="1"/>
  <c r="WB124" i="1" s="1"/>
  <c r="AD211" i="14" s="1"/>
  <c r="M199" i="10" s="1"/>
  <c r="R236" i="14"/>
  <c r="I224" i="10" s="1"/>
  <c r="R150" i="14"/>
  <c r="I138" i="10" s="1"/>
  <c r="N205" i="14"/>
  <c r="Y205" i="14" s="1"/>
  <c r="AB205" i="14" s="1"/>
  <c r="K193" i="10" s="1"/>
  <c r="N229" i="14"/>
  <c r="Y229" i="14" s="1"/>
  <c r="AB229" i="14" s="1"/>
  <c r="K217" i="10" s="1"/>
  <c r="VZ105" i="1"/>
  <c r="WB105" i="1" s="1"/>
  <c r="N227" i="14"/>
  <c r="Q227" i="14" s="1"/>
  <c r="H215" i="10" s="1"/>
  <c r="R182" i="14"/>
  <c r="I170" i="10" s="1"/>
  <c r="R113" i="14"/>
  <c r="I101" i="10" s="1"/>
  <c r="R170" i="14"/>
  <c r="I158" i="10" s="1"/>
  <c r="R229" i="14"/>
  <c r="I217" i="10" s="1"/>
  <c r="N243" i="14"/>
  <c r="Q243" i="14" s="1"/>
  <c r="H231" i="10" s="1"/>
  <c r="R237" i="14"/>
  <c r="I225" i="10" s="1"/>
  <c r="R205" i="14"/>
  <c r="I193" i="10" s="1"/>
  <c r="R227" i="14"/>
  <c r="I215" i="10" s="1"/>
  <c r="VZ95" i="1"/>
  <c r="WB95" i="1" s="1"/>
  <c r="AD182" i="14" s="1"/>
  <c r="M170" i="10" s="1"/>
  <c r="N211" i="14"/>
  <c r="Q211" i="14" s="1"/>
  <c r="H199" i="10" s="1"/>
  <c r="N236" i="14"/>
  <c r="Q236" i="14" s="1"/>
  <c r="H224" i="10" s="1"/>
  <c r="N150" i="14"/>
  <c r="Q150" i="14" s="1"/>
  <c r="H138" i="10" s="1"/>
  <c r="VZ118" i="1"/>
  <c r="WB118" i="1" s="1"/>
  <c r="AD205" i="14" s="1"/>
  <c r="M193" i="10" s="1"/>
  <c r="N113" i="14"/>
  <c r="Q113" i="14" s="1"/>
  <c r="H101" i="10" s="1"/>
  <c r="N170" i="14"/>
  <c r="VZ142" i="1"/>
  <c r="WB142" i="1" s="1"/>
  <c r="AD229" i="14" s="1"/>
  <c r="M217" i="10" s="1"/>
  <c r="R243" i="14"/>
  <c r="I231" i="10" s="1"/>
  <c r="N192" i="14"/>
  <c r="Q192" i="14" s="1"/>
  <c r="H180" i="10" s="1"/>
  <c r="N237" i="14"/>
  <c r="Q237" i="14" s="1"/>
  <c r="H225" i="10" s="1"/>
  <c r="R127" i="14"/>
  <c r="I115" i="10" s="1"/>
  <c r="VZ40" i="1"/>
  <c r="WA40" i="1" s="1"/>
  <c r="AC127" i="14" s="1"/>
  <c r="R226" i="14"/>
  <c r="I214" i="10" s="1"/>
  <c r="VZ137" i="1"/>
  <c r="WA137" i="1" s="1"/>
  <c r="AC224" i="14" s="1"/>
  <c r="VZ39" i="1"/>
  <c r="WA39" i="1" s="1"/>
  <c r="AC126" i="14" s="1"/>
  <c r="R129" i="14"/>
  <c r="I117" i="10" s="1"/>
  <c r="XS73" i="1"/>
  <c r="XY73" i="1" s="1"/>
  <c r="VZ96" i="1"/>
  <c r="WB96" i="1" s="1"/>
  <c r="AD183" i="14" s="1"/>
  <c r="M171" i="10" s="1"/>
  <c r="R187" i="14"/>
  <c r="I175" i="10" s="1"/>
  <c r="N191" i="14"/>
  <c r="Y191" i="14" s="1"/>
  <c r="AB191" i="14" s="1"/>
  <c r="K179" i="10" s="1"/>
  <c r="R191" i="14"/>
  <c r="I179" i="10" s="1"/>
  <c r="R220" i="14"/>
  <c r="I208" i="10" s="1"/>
  <c r="XS95" i="1"/>
  <c r="XY95" i="1" s="1"/>
  <c r="N224" i="14"/>
  <c r="Q224" i="14" s="1"/>
  <c r="H212" i="10" s="1"/>
  <c r="N249" i="14"/>
  <c r="Q249" i="14" s="1"/>
  <c r="H237" i="10" s="1"/>
  <c r="N132" i="14"/>
  <c r="Y132" i="14" s="1"/>
  <c r="AB132" i="14" s="1"/>
  <c r="K120" i="10" s="1"/>
  <c r="R224" i="14"/>
  <c r="I212" i="10" s="1"/>
  <c r="N127" i="14"/>
  <c r="Y127" i="14" s="1"/>
  <c r="AB127" i="14" s="1"/>
  <c r="K115" i="10" s="1"/>
  <c r="VZ45" i="1"/>
  <c r="WA45" i="1" s="1"/>
  <c r="AC132" i="14" s="1"/>
  <c r="R151" i="14"/>
  <c r="I139" i="10" s="1"/>
  <c r="XS161" i="1"/>
  <c r="XY161" i="1" s="1"/>
  <c r="XS91" i="1"/>
  <c r="XY91" i="1" s="1"/>
  <c r="R247" i="14"/>
  <c r="I235" i="10" s="1"/>
  <c r="VZ70" i="1"/>
  <c r="WA70" i="1" s="1"/>
  <c r="AC157" i="14" s="1"/>
  <c r="N110" i="14"/>
  <c r="Y110" i="14" s="1"/>
  <c r="AB110" i="14" s="1"/>
  <c r="K98" i="10" s="1"/>
  <c r="VZ93" i="1"/>
  <c r="WA93" i="1" s="1"/>
  <c r="AC180" i="14" s="1"/>
  <c r="XS117" i="1"/>
  <c r="XY117" i="1" s="1"/>
  <c r="XS142" i="1"/>
  <c r="XY142" i="1" s="1"/>
  <c r="XS27" i="1"/>
  <c r="XT27" i="1" s="1"/>
  <c r="XZ27" i="1" s="1"/>
  <c r="XS149" i="1"/>
  <c r="XY149" i="1" s="1"/>
  <c r="N219" i="14"/>
  <c r="Q219" i="14" s="1"/>
  <c r="H207" i="10" s="1"/>
  <c r="VZ94" i="1"/>
  <c r="WA94" i="1" s="1"/>
  <c r="AC181" i="14" s="1"/>
  <c r="VZ50" i="1"/>
  <c r="WB50" i="1" s="1"/>
  <c r="AD137" i="14" s="1"/>
  <c r="M125" i="10" s="1"/>
  <c r="VZ54" i="1"/>
  <c r="WA54" i="1" s="1"/>
  <c r="AC141" i="14" s="1"/>
  <c r="R145" i="14"/>
  <c r="I133" i="10" s="1"/>
  <c r="N218" i="14"/>
  <c r="Q218" i="14" s="1"/>
  <c r="H206" i="10" s="1"/>
  <c r="N187" i="14"/>
  <c r="Q187" i="14" s="1"/>
  <c r="H175" i="10" s="1"/>
  <c r="N247" i="14"/>
  <c r="Y247" i="14" s="1"/>
  <c r="AB247" i="14" s="1"/>
  <c r="K235" i="10" s="1"/>
  <c r="R110" i="14"/>
  <c r="I98" i="10" s="1"/>
  <c r="VZ64" i="1"/>
  <c r="WA64" i="1" s="1"/>
  <c r="AC151" i="14" s="1"/>
  <c r="N209" i="14"/>
  <c r="Q209" i="14" s="1"/>
  <c r="H197" i="10" s="1"/>
  <c r="XS129" i="1"/>
  <c r="XY129" i="1" s="1"/>
  <c r="XS24" i="1"/>
  <c r="XY24" i="1" s="1"/>
  <c r="XS130" i="1"/>
  <c r="XT130" i="1" s="1"/>
  <c r="XZ130" i="1" s="1"/>
  <c r="XS11" i="1"/>
  <c r="XY11" i="1" s="1"/>
  <c r="XS112" i="1"/>
  <c r="XY112" i="1" s="1"/>
  <c r="XS26" i="1"/>
  <c r="XY26" i="1" s="1"/>
  <c r="XS43" i="1"/>
  <c r="XT43" i="1" s="1"/>
  <c r="XZ43" i="1" s="1"/>
  <c r="XS58" i="1"/>
  <c r="XY58" i="1" s="1"/>
  <c r="XS68" i="1"/>
  <c r="XY68" i="1" s="1"/>
  <c r="XS75" i="1"/>
  <c r="XY75" i="1" s="1"/>
  <c r="XS54" i="1"/>
  <c r="XY54" i="1" s="1"/>
  <c r="XS69" i="1"/>
  <c r="XY69" i="1" s="1"/>
  <c r="XS147" i="1"/>
  <c r="XY147" i="1" s="1"/>
  <c r="XS141" i="1"/>
  <c r="XY141" i="1" s="1"/>
  <c r="XS153" i="1"/>
  <c r="XY153" i="1" s="1"/>
  <c r="XS52" i="1"/>
  <c r="XY52" i="1" s="1"/>
  <c r="XS44" i="1"/>
  <c r="XY44" i="1" s="1"/>
  <c r="XS160" i="1"/>
  <c r="XY160" i="1" s="1"/>
  <c r="XS134" i="1"/>
  <c r="XY134" i="1" s="1"/>
  <c r="XS156" i="1"/>
  <c r="XY156" i="1" s="1"/>
  <c r="XS137" i="1"/>
  <c r="XY137" i="1" s="1"/>
  <c r="XS60" i="1"/>
  <c r="XY60" i="1" s="1"/>
  <c r="XS32" i="1"/>
  <c r="XY32" i="1" s="1"/>
  <c r="XS145" i="1"/>
  <c r="XT145" i="1" s="1"/>
  <c r="XZ145" i="1" s="1"/>
  <c r="XS146" i="1"/>
  <c r="XY146" i="1" s="1"/>
  <c r="XS31" i="1"/>
  <c r="XY31" i="1" s="1"/>
  <c r="XS20" i="1"/>
  <c r="XY20" i="1" s="1"/>
  <c r="XS41" i="1"/>
  <c r="XT41" i="1" s="1"/>
  <c r="XZ41" i="1" s="1"/>
  <c r="XS93" i="1"/>
  <c r="XY93" i="1" s="1"/>
  <c r="XS19" i="1"/>
  <c r="XY19" i="1" s="1"/>
  <c r="XS155" i="1"/>
  <c r="XY155" i="1" s="1"/>
  <c r="XS119" i="1"/>
  <c r="XY119" i="1" s="1"/>
  <c r="XS110" i="1"/>
  <c r="XY110" i="1" s="1"/>
  <c r="XS90" i="1"/>
  <c r="XY90" i="1" s="1"/>
  <c r="XS140" i="1"/>
  <c r="XT140" i="1" s="1"/>
  <c r="XZ140" i="1" s="1"/>
  <c r="XS46" i="1"/>
  <c r="XY46" i="1" s="1"/>
  <c r="XS136" i="1"/>
  <c r="XY136" i="1" s="1"/>
  <c r="XS157" i="1"/>
  <c r="XY157" i="1" s="1"/>
  <c r="N131" i="14"/>
  <c r="Y131" i="14" s="1"/>
  <c r="AB131" i="14" s="1"/>
  <c r="K119" i="10" s="1"/>
  <c r="R111" i="14"/>
  <c r="I99" i="10" s="1"/>
  <c r="R219" i="14"/>
  <c r="I207" i="10" s="1"/>
  <c r="WA13" i="1"/>
  <c r="AC100" i="14" s="1"/>
  <c r="L88" i="10" s="1"/>
  <c r="XS83" i="1"/>
  <c r="XT83" i="1" s="1"/>
  <c r="XZ83" i="1" s="1"/>
  <c r="XS40" i="1"/>
  <c r="XY40" i="1" s="1"/>
  <c r="XS30" i="1"/>
  <c r="XT30" i="1" s="1"/>
  <c r="XZ30" i="1" s="1"/>
  <c r="XS36" i="1"/>
  <c r="XY36" i="1" s="1"/>
  <c r="XS29" i="1"/>
  <c r="XY29" i="1" s="1"/>
  <c r="XS71" i="1"/>
  <c r="XY71" i="1" s="1"/>
  <c r="XS116" i="1"/>
  <c r="XT116" i="1" s="1"/>
  <c r="XZ116" i="1" s="1"/>
  <c r="XS120" i="1"/>
  <c r="XY120" i="1" s="1"/>
  <c r="XS106" i="1"/>
  <c r="XT106" i="1" s="1"/>
  <c r="XZ106" i="1" s="1"/>
  <c r="XS105" i="1"/>
  <c r="XY105" i="1" s="1"/>
  <c r="XS88" i="1"/>
  <c r="XT88" i="1" s="1"/>
  <c r="XZ88" i="1" s="1"/>
  <c r="XS114" i="1"/>
  <c r="XT114" i="1" s="1"/>
  <c r="XZ114" i="1" s="1"/>
  <c r="XS135" i="1"/>
  <c r="XY135" i="1" s="1"/>
  <c r="XS124" i="1"/>
  <c r="XT124" i="1" s="1"/>
  <c r="XZ124" i="1" s="1"/>
  <c r="XS15" i="1"/>
  <c r="XT15" i="1" s="1"/>
  <c r="XZ15" i="1" s="1"/>
  <c r="XS118" i="1"/>
  <c r="XY118" i="1" s="1"/>
  <c r="N145" i="14"/>
  <c r="Y145" i="14" s="1"/>
  <c r="AB145" i="14" s="1"/>
  <c r="K133" i="10" s="1"/>
  <c r="R218" i="14"/>
  <c r="I206" i="10" s="1"/>
  <c r="N183" i="14"/>
  <c r="Q183" i="14" s="1"/>
  <c r="H171" i="10" s="1"/>
  <c r="VZ100" i="1"/>
  <c r="WA100" i="1" s="1"/>
  <c r="AC187" i="14" s="1"/>
  <c r="VZ160" i="1"/>
  <c r="WA160" i="1" s="1"/>
  <c r="AC247" i="14" s="1"/>
  <c r="N157" i="14"/>
  <c r="Y157" i="14" s="1"/>
  <c r="AB157" i="14" s="1"/>
  <c r="K145" i="10" s="1"/>
  <c r="VZ23" i="1"/>
  <c r="WB23" i="1" s="1"/>
  <c r="AD110" i="14" s="1"/>
  <c r="M98" i="10" s="1"/>
  <c r="N180" i="14"/>
  <c r="Y180" i="14" s="1"/>
  <c r="AB180" i="14" s="1"/>
  <c r="K168" i="10" s="1"/>
  <c r="R209" i="14"/>
  <c r="I197" i="10" s="1"/>
  <c r="N181" i="14"/>
  <c r="Y181" i="14" s="1"/>
  <c r="AB181" i="14" s="1"/>
  <c r="K169" i="10" s="1"/>
  <c r="XS12" i="1"/>
  <c r="XY12" i="1" s="1"/>
  <c r="XS99" i="1"/>
  <c r="XT99" i="1" s="1"/>
  <c r="XZ99" i="1" s="1"/>
  <c r="XS59" i="1"/>
  <c r="XT59" i="1" s="1"/>
  <c r="XZ59" i="1" s="1"/>
  <c r="XS17" i="1"/>
  <c r="XY17" i="1" s="1"/>
  <c r="XS70" i="1"/>
  <c r="XY70" i="1" s="1"/>
  <c r="XS111" i="1"/>
  <c r="XT111" i="1" s="1"/>
  <c r="XZ111" i="1" s="1"/>
  <c r="XS85" i="1"/>
  <c r="XY85" i="1" s="1"/>
  <c r="XS37" i="1"/>
  <c r="XY37" i="1" s="1"/>
  <c r="XS23" i="1"/>
  <c r="XY23" i="1" s="1"/>
  <c r="XS22" i="1"/>
  <c r="XY22" i="1" s="1"/>
  <c r="XS77" i="1"/>
  <c r="XY77" i="1" s="1"/>
  <c r="XS115" i="1"/>
  <c r="XT115" i="1" s="1"/>
  <c r="XZ115" i="1" s="1"/>
  <c r="XS103" i="1"/>
  <c r="XY103" i="1" s="1"/>
  <c r="XS62" i="1"/>
  <c r="XT62" i="1" s="1"/>
  <c r="XZ62" i="1" s="1"/>
  <c r="XS49" i="1"/>
  <c r="XY49" i="1" s="1"/>
  <c r="XS63" i="1"/>
  <c r="XY63" i="1" s="1"/>
  <c r="XS33" i="1"/>
  <c r="XY33" i="1" s="1"/>
  <c r="XS34" i="1"/>
  <c r="XY34" i="1" s="1"/>
  <c r="XS123" i="1"/>
  <c r="XY123" i="1" s="1"/>
  <c r="XS76" i="1"/>
  <c r="XY76" i="1" s="1"/>
  <c r="XS159" i="1"/>
  <c r="XY159" i="1" s="1"/>
  <c r="XS100" i="1"/>
  <c r="XT100" i="1" s="1"/>
  <c r="XZ100" i="1" s="1"/>
  <c r="XS138" i="1"/>
  <c r="XY138" i="1" s="1"/>
  <c r="XS25" i="1"/>
  <c r="XY25" i="1" s="1"/>
  <c r="XS28" i="1"/>
  <c r="XY28" i="1" s="1"/>
  <c r="XS14" i="1"/>
  <c r="XY14" i="1" s="1"/>
  <c r="XS113" i="1"/>
  <c r="XY113" i="1" s="1"/>
  <c r="XS39" i="1"/>
  <c r="XT39" i="1" s="1"/>
  <c r="XZ39" i="1" s="1"/>
  <c r="XS65" i="1"/>
  <c r="XY65" i="1" s="1"/>
  <c r="XS45" i="1"/>
  <c r="XT45" i="1" s="1"/>
  <c r="XZ45" i="1" s="1"/>
  <c r="XS48" i="1"/>
  <c r="XT48" i="1" s="1"/>
  <c r="XZ48" i="1" s="1"/>
  <c r="XS67" i="1"/>
  <c r="XT67" i="1" s="1"/>
  <c r="XZ67" i="1" s="1"/>
  <c r="XS163" i="1"/>
  <c r="XY163" i="1" s="1"/>
  <c r="XS61" i="1"/>
  <c r="XY61" i="1" s="1"/>
  <c r="XS55" i="1"/>
  <c r="XT55" i="1" s="1"/>
  <c r="XZ55" i="1" s="1"/>
  <c r="XS102" i="1"/>
  <c r="XY102" i="1" s="1"/>
  <c r="XS94" i="1"/>
  <c r="XY94" i="1" s="1"/>
  <c r="XS97" i="1"/>
  <c r="XT97" i="1" s="1"/>
  <c r="XZ97" i="1" s="1"/>
  <c r="R131" i="14"/>
  <c r="I119" i="10" s="1"/>
  <c r="N141" i="14"/>
  <c r="Y141" i="14" s="1"/>
  <c r="AB141" i="14" s="1"/>
  <c r="K129" i="10" s="1"/>
  <c r="N111" i="14"/>
  <c r="Q111" i="14" s="1"/>
  <c r="H99" i="10" s="1"/>
  <c r="VZ132" i="1"/>
  <c r="WA132" i="1" s="1"/>
  <c r="AC219" i="14" s="1"/>
  <c r="XS10" i="1"/>
  <c r="XY10" i="1" s="1"/>
  <c r="XS128" i="1"/>
  <c r="XY128" i="1" s="1"/>
  <c r="XS131" i="1"/>
  <c r="XY131" i="1" s="1"/>
  <c r="XS144" i="1"/>
  <c r="XT144" i="1" s="1"/>
  <c r="XZ144" i="1" s="1"/>
  <c r="XS79" i="1"/>
  <c r="XT79" i="1" s="1"/>
  <c r="XZ79" i="1" s="1"/>
  <c r="XS122" i="1"/>
  <c r="XT122" i="1" s="1"/>
  <c r="XZ122" i="1" s="1"/>
  <c r="XS108" i="1"/>
  <c r="XY108" i="1" s="1"/>
  <c r="XS47" i="1"/>
  <c r="XY47" i="1" s="1"/>
  <c r="XS86" i="1"/>
  <c r="XY86" i="1" s="1"/>
  <c r="XS50" i="1"/>
  <c r="XY50" i="1" s="1"/>
  <c r="XS104" i="1"/>
  <c r="XY104" i="1" s="1"/>
  <c r="XS35" i="1"/>
  <c r="XY35" i="1" s="1"/>
  <c r="XS57" i="1"/>
  <c r="XT57" i="1" s="1"/>
  <c r="XZ57" i="1" s="1"/>
  <c r="XS107" i="1"/>
  <c r="XY107" i="1" s="1"/>
  <c r="VZ58" i="1"/>
  <c r="WA58" i="1" s="1"/>
  <c r="AC145" i="14" s="1"/>
  <c r="VZ131" i="1"/>
  <c r="WA131" i="1" s="1"/>
  <c r="AC218" i="14" s="1"/>
  <c r="R183" i="14"/>
  <c r="I171" i="10" s="1"/>
  <c r="R157" i="14"/>
  <c r="I145" i="10" s="1"/>
  <c r="R180" i="14"/>
  <c r="I168" i="10" s="1"/>
  <c r="N151" i="14"/>
  <c r="Y151" i="14" s="1"/>
  <c r="AB151" i="14" s="1"/>
  <c r="K139" i="10" s="1"/>
  <c r="VZ122" i="1"/>
  <c r="WB122" i="1" s="1"/>
  <c r="AD209" i="14" s="1"/>
  <c r="M197" i="10" s="1"/>
  <c r="R181" i="14"/>
  <c r="I169" i="10" s="1"/>
  <c r="XS151" i="1"/>
  <c r="XY151" i="1" s="1"/>
  <c r="XS82" i="1"/>
  <c r="XY82" i="1" s="1"/>
  <c r="XS92" i="1"/>
  <c r="XY92" i="1" s="1"/>
  <c r="XS98" i="1"/>
  <c r="XY98" i="1" s="1"/>
  <c r="XS87" i="1"/>
  <c r="XY87" i="1" s="1"/>
  <c r="XS78" i="1"/>
  <c r="XT78" i="1" s="1"/>
  <c r="XZ78" i="1" s="1"/>
  <c r="XS56" i="1"/>
  <c r="XY56" i="1" s="1"/>
  <c r="XS89" i="1"/>
  <c r="XY89" i="1" s="1"/>
  <c r="XS127" i="1"/>
  <c r="XY127" i="1" s="1"/>
  <c r="XS38" i="1"/>
  <c r="XY38" i="1" s="1"/>
  <c r="XS143" i="1"/>
  <c r="XY143" i="1" s="1"/>
  <c r="XS150" i="1"/>
  <c r="XT150" i="1" s="1"/>
  <c r="XZ150" i="1" s="1"/>
  <c r="XS72" i="1"/>
  <c r="XY72" i="1" s="1"/>
  <c r="XS132" i="1"/>
  <c r="XY132" i="1" s="1"/>
  <c r="XS101" i="1"/>
  <c r="XT101" i="1" s="1"/>
  <c r="XZ101" i="1" s="1"/>
  <c r="XS74" i="1"/>
  <c r="XT74" i="1" s="1"/>
  <c r="XZ74" i="1" s="1"/>
  <c r="XS126" i="1"/>
  <c r="XY126" i="1" s="1"/>
  <c r="XS109" i="1"/>
  <c r="XY109" i="1" s="1"/>
  <c r="XS125" i="1"/>
  <c r="XY125" i="1" s="1"/>
  <c r="XS121" i="1"/>
  <c r="XY121" i="1" s="1"/>
  <c r="XS21" i="1"/>
  <c r="XY21" i="1" s="1"/>
  <c r="XS162" i="1"/>
  <c r="XT162" i="1" s="1"/>
  <c r="XZ162" i="1" s="1"/>
  <c r="XS53" i="1"/>
  <c r="XY53" i="1" s="1"/>
  <c r="XS133" i="1"/>
  <c r="XT133" i="1" s="1"/>
  <c r="XZ133" i="1" s="1"/>
  <c r="XS148" i="1"/>
  <c r="XY148" i="1" s="1"/>
  <c r="XS84" i="1"/>
  <c r="XY84" i="1" s="1"/>
  <c r="XS18" i="1"/>
  <c r="XY18" i="1" s="1"/>
  <c r="XS152" i="1"/>
  <c r="XT152" i="1" s="1"/>
  <c r="XZ152" i="1" s="1"/>
  <c r="XS139" i="1"/>
  <c r="XY139" i="1" s="1"/>
  <c r="XS66" i="1"/>
  <c r="XY66" i="1" s="1"/>
  <c r="XS64" i="1"/>
  <c r="XY64" i="1" s="1"/>
  <c r="XS158" i="1"/>
  <c r="XY158" i="1" s="1"/>
  <c r="XS42" i="1"/>
  <c r="XY42" i="1" s="1"/>
  <c r="XS96" i="1"/>
  <c r="XY96" i="1" s="1"/>
  <c r="XS81" i="1"/>
  <c r="XY81" i="1" s="1"/>
  <c r="XS80" i="1"/>
  <c r="XY80" i="1" s="1"/>
  <c r="XS16" i="1"/>
  <c r="XY16" i="1" s="1"/>
  <c r="XS154" i="1"/>
  <c r="XT154" i="1" s="1"/>
  <c r="XZ154" i="1" s="1"/>
  <c r="VZ44" i="1"/>
  <c r="WA44" i="1" s="1"/>
  <c r="AC131" i="14" s="1"/>
  <c r="N137" i="14"/>
  <c r="Y137" i="14" s="1"/>
  <c r="AB137" i="14" s="1"/>
  <c r="K125" i="10" s="1"/>
  <c r="R141" i="14"/>
  <c r="I129" i="10" s="1"/>
  <c r="VZ24" i="1"/>
  <c r="WA24" i="1" s="1"/>
  <c r="AC111" i="14" s="1"/>
  <c r="N156" i="14"/>
  <c r="Y156" i="14" s="1"/>
  <c r="AB156" i="14" s="1"/>
  <c r="K144" i="10" s="1"/>
  <c r="R137" i="14"/>
  <c r="I125" i="10" s="1"/>
  <c r="R105" i="14"/>
  <c r="I93" i="10" s="1"/>
  <c r="R212" i="14"/>
  <c r="I200" i="10" s="1"/>
  <c r="WG125" i="1"/>
  <c r="VZ135" i="1"/>
  <c r="WA135" i="1" s="1"/>
  <c r="AC222" i="14" s="1"/>
  <c r="WG135" i="1"/>
  <c r="N179" i="14"/>
  <c r="Y179" i="14" s="1"/>
  <c r="AB179" i="14" s="1"/>
  <c r="K167" i="10" s="1"/>
  <c r="WG92" i="1"/>
  <c r="VZ85" i="1"/>
  <c r="WA85" i="1" s="1"/>
  <c r="AC172" i="14" s="1"/>
  <c r="WG85" i="1"/>
  <c r="N135" i="14"/>
  <c r="Q135" i="14" s="1"/>
  <c r="H123" i="10" s="1"/>
  <c r="WG48" i="1"/>
  <c r="VZ69" i="1"/>
  <c r="WA69" i="1" s="1"/>
  <c r="AC156" i="14" s="1"/>
  <c r="WG69" i="1"/>
  <c r="N212" i="14"/>
  <c r="Y212" i="14" s="1"/>
  <c r="AB212" i="14" s="1"/>
  <c r="K200" i="10" s="1"/>
  <c r="R172" i="14"/>
  <c r="I160" i="10" s="1"/>
  <c r="VZ55" i="1"/>
  <c r="WA55" i="1" s="1"/>
  <c r="AC142" i="14" s="1"/>
  <c r="WG55" i="1"/>
  <c r="N238" i="14"/>
  <c r="Y238" i="14" s="1"/>
  <c r="AB238" i="14" s="1"/>
  <c r="K226" i="10" s="1"/>
  <c r="WG151" i="1"/>
  <c r="N147" i="14"/>
  <c r="Q147" i="14" s="1"/>
  <c r="H135" i="10" s="1"/>
  <c r="WG60" i="1"/>
  <c r="VZ157" i="1"/>
  <c r="WA157" i="1" s="1"/>
  <c r="AC244" i="14" s="1"/>
  <c r="WG157" i="1"/>
  <c r="R116" i="14"/>
  <c r="I104" i="10" s="1"/>
  <c r="WG29" i="1"/>
  <c r="R248" i="14"/>
  <c r="I236" i="10" s="1"/>
  <c r="WG161" i="1"/>
  <c r="R153" i="14"/>
  <c r="I141" i="10" s="1"/>
  <c r="WG66" i="1"/>
  <c r="VZ38" i="1"/>
  <c r="WB38" i="1" s="1"/>
  <c r="WG38" i="1"/>
  <c r="N122" i="14"/>
  <c r="Q122" i="14" s="1"/>
  <c r="H110" i="10" s="1"/>
  <c r="WG35" i="1"/>
  <c r="VZ111" i="1"/>
  <c r="WA111" i="1" s="1"/>
  <c r="AC198" i="14" s="1"/>
  <c r="WG111" i="1"/>
  <c r="R223" i="14"/>
  <c r="I211" i="10" s="1"/>
  <c r="WG136" i="1"/>
  <c r="R98" i="14"/>
  <c r="WG11" i="1"/>
  <c r="R235" i="14"/>
  <c r="I223" i="10" s="1"/>
  <c r="WG148" i="1"/>
  <c r="VZ109" i="1"/>
  <c r="WB109" i="1" s="1"/>
  <c r="AD196" i="14" s="1"/>
  <c r="M184" i="10" s="1"/>
  <c r="WG109" i="1"/>
  <c r="VZ34" i="1"/>
  <c r="WA34" i="1" s="1"/>
  <c r="AC121" i="14" s="1"/>
  <c r="WG34" i="1"/>
  <c r="R118" i="14"/>
  <c r="WG31" i="1"/>
  <c r="R239" i="14"/>
  <c r="WG152" i="1"/>
  <c r="R109" i="14"/>
  <c r="I97" i="10" s="1"/>
  <c r="WG22" i="1"/>
  <c r="N172" i="14"/>
  <c r="Q172" i="14" s="1"/>
  <c r="H160" i="10" s="1"/>
  <c r="R135" i="14"/>
  <c r="I123" i="10" s="1"/>
  <c r="VZ57" i="1"/>
  <c r="WB57" i="1" s="1"/>
  <c r="AD144" i="14" s="1"/>
  <c r="M132" i="10" s="1"/>
  <c r="WG57" i="1"/>
  <c r="VZ62" i="1"/>
  <c r="WA62" i="1" s="1"/>
  <c r="AC149" i="14" s="1"/>
  <c r="WG62" i="1"/>
  <c r="R134" i="14"/>
  <c r="I122" i="10" s="1"/>
  <c r="WG47" i="1"/>
  <c r="N114" i="14"/>
  <c r="Y114" i="14" s="1"/>
  <c r="AB114" i="14" s="1"/>
  <c r="K102" i="10" s="1"/>
  <c r="WG27" i="1"/>
  <c r="N108" i="14"/>
  <c r="Y108" i="14" s="1"/>
  <c r="AB108" i="14" s="1"/>
  <c r="K96" i="10" s="1"/>
  <c r="WG21" i="1"/>
  <c r="R154" i="14"/>
  <c r="I142" i="10" s="1"/>
  <c r="WG67" i="1"/>
  <c r="VZ71" i="1"/>
  <c r="WA71" i="1" s="1"/>
  <c r="AC158" i="14" s="1"/>
  <c r="WG71" i="1"/>
  <c r="R189" i="14"/>
  <c r="I177" i="10" s="1"/>
  <c r="WG102" i="1"/>
  <c r="N166" i="14"/>
  <c r="Q166" i="14" s="1"/>
  <c r="H154" i="10" s="1"/>
  <c r="WG79" i="1"/>
  <c r="VZ41" i="1"/>
  <c r="WA41" i="1" s="1"/>
  <c r="AC128" i="14" s="1"/>
  <c r="WG41" i="1"/>
  <c r="R161" i="14"/>
  <c r="I149" i="10" s="1"/>
  <c r="WG74" i="1"/>
  <c r="VZ114" i="1"/>
  <c r="WA114" i="1" s="1"/>
  <c r="AC201" i="14" s="1"/>
  <c r="WG114" i="1"/>
  <c r="N190" i="14"/>
  <c r="Q190" i="14" s="1"/>
  <c r="H178" i="10" s="1"/>
  <c r="WG103" i="1"/>
  <c r="VZ12" i="1"/>
  <c r="WA12" i="1" s="1"/>
  <c r="AC99" i="14" s="1"/>
  <c r="WG12" i="1"/>
  <c r="R184" i="14"/>
  <c r="I172" i="10" s="1"/>
  <c r="WG97" i="1"/>
  <c r="VZ146" i="1"/>
  <c r="WA146" i="1" s="1"/>
  <c r="AC233" i="14" s="1"/>
  <c r="WG146" i="1"/>
  <c r="N177" i="14"/>
  <c r="Q177" i="14" s="1"/>
  <c r="H165" i="10" s="1"/>
  <c r="WG90" i="1"/>
  <c r="VZ17" i="1"/>
  <c r="WA17" i="1" s="1"/>
  <c r="AC104" i="14" s="1"/>
  <c r="WG17" i="1"/>
  <c r="VZ59" i="1"/>
  <c r="WA59" i="1" s="1"/>
  <c r="AC146" i="14" s="1"/>
  <c r="WG59" i="1"/>
  <c r="VZ15" i="1"/>
  <c r="WA15" i="1" s="1"/>
  <c r="AC102" i="14" s="1"/>
  <c r="WG15" i="1"/>
  <c r="R120" i="14"/>
  <c r="I108" i="10" s="1"/>
  <c r="WG33" i="1"/>
  <c r="VZ37" i="1"/>
  <c r="WA37" i="1" s="1"/>
  <c r="AC124" i="14" s="1"/>
  <c r="H18" i="14" s="1"/>
  <c r="WG37" i="1"/>
  <c r="VZ87" i="1"/>
  <c r="WA87" i="1" s="1"/>
  <c r="AC174" i="14" s="1"/>
  <c r="WG87" i="1"/>
  <c r="VZ82" i="1"/>
  <c r="WA82" i="1" s="1"/>
  <c r="AC169" i="14" s="1"/>
  <c r="WG82" i="1"/>
  <c r="VZ162" i="1"/>
  <c r="WA162" i="1" s="1"/>
  <c r="AC249" i="14" s="1"/>
  <c r="WG162" i="1"/>
  <c r="R202" i="14"/>
  <c r="I190" i="10" s="1"/>
  <c r="WG115" i="1"/>
  <c r="N207" i="14"/>
  <c r="Y207" i="14" s="1"/>
  <c r="AB207" i="14" s="1"/>
  <c r="K195" i="10" s="1"/>
  <c r="WG120" i="1"/>
  <c r="VZ103" i="1"/>
  <c r="WA103" i="1" s="1"/>
  <c r="AC190" i="14" s="1"/>
  <c r="N174" i="14"/>
  <c r="Y174" i="14" s="1"/>
  <c r="AB174" i="14" s="1"/>
  <c r="K162" i="10" s="1"/>
  <c r="R169" i="14"/>
  <c r="I157" i="10" s="1"/>
  <c r="N161" i="14"/>
  <c r="Q161" i="14" s="1"/>
  <c r="H149" i="10" s="1"/>
  <c r="N104" i="14"/>
  <c r="Y104" i="14" s="1"/>
  <c r="AB104" i="14" s="1"/>
  <c r="K92" i="10" s="1"/>
  <c r="R201" i="14"/>
  <c r="I189" i="10" s="1"/>
  <c r="VZ90" i="1"/>
  <c r="WB90" i="1" s="1"/>
  <c r="AD177" i="14" s="1"/>
  <c r="M165" i="10" s="1"/>
  <c r="R146" i="14"/>
  <c r="I134" i="10" s="1"/>
  <c r="VZ21" i="1"/>
  <c r="WA21" i="1" s="1"/>
  <c r="AC108" i="14" s="1"/>
  <c r="R233" i="14"/>
  <c r="I221" i="10" s="1"/>
  <c r="N144" i="14"/>
  <c r="Q144" i="14" s="1"/>
  <c r="H132" i="10" s="1"/>
  <c r="R114" i="14"/>
  <c r="I102" i="10" s="1"/>
  <c r="N124" i="14"/>
  <c r="Q124" i="14" s="1"/>
  <c r="N102" i="14"/>
  <c r="Q102" i="14" s="1"/>
  <c r="H90" i="10" s="1"/>
  <c r="R158" i="14"/>
  <c r="I146" i="10" s="1"/>
  <c r="N184" i="14"/>
  <c r="Y184" i="14" s="1"/>
  <c r="AB184" i="14" s="1"/>
  <c r="K172" i="10" s="1"/>
  <c r="N120" i="14"/>
  <c r="Y120" i="14" s="1"/>
  <c r="AB120" i="14" s="1"/>
  <c r="K108" i="10" s="1"/>
  <c r="R174" i="14"/>
  <c r="I162" i="10" s="1"/>
  <c r="N189" i="14"/>
  <c r="Q189" i="14" s="1"/>
  <c r="H177" i="10" s="1"/>
  <c r="VZ74" i="1"/>
  <c r="WA74" i="1" s="1"/>
  <c r="AC161" i="14" s="1"/>
  <c r="R104" i="14"/>
  <c r="I92" i="10" s="1"/>
  <c r="N154" i="14"/>
  <c r="Q154" i="14" s="1"/>
  <c r="H142" i="10" s="1"/>
  <c r="N128" i="14"/>
  <c r="Y128" i="14" s="1"/>
  <c r="AB128" i="14" s="1"/>
  <c r="K116" i="10" s="1"/>
  <c r="R102" i="14"/>
  <c r="I90" i="10" s="1"/>
  <c r="R166" i="14"/>
  <c r="I154" i="10" s="1"/>
  <c r="R128" i="14"/>
  <c r="I116" i="10" s="1"/>
  <c r="N99" i="14"/>
  <c r="Y99" i="14" s="1"/>
  <c r="AB99" i="14" s="1"/>
  <c r="K87" i="10" s="1"/>
  <c r="WA97" i="1"/>
  <c r="AC184" i="14" s="1"/>
  <c r="WB97" i="1"/>
  <c r="AD184" i="14" s="1"/>
  <c r="M172" i="10" s="1"/>
  <c r="WA33" i="1"/>
  <c r="AC120" i="14" s="1"/>
  <c r="WB33" i="1"/>
  <c r="AD120" i="14" s="1"/>
  <c r="M108" i="10" s="1"/>
  <c r="WA79" i="1"/>
  <c r="AC166" i="14" s="1"/>
  <c r="WB79" i="1"/>
  <c r="AD166" i="14" s="1"/>
  <c r="M154" i="10" s="1"/>
  <c r="WA113" i="1"/>
  <c r="AC200" i="14" s="1"/>
  <c r="WB113" i="1"/>
  <c r="AD200" i="14" s="1"/>
  <c r="M188" i="10" s="1"/>
  <c r="WA102" i="1"/>
  <c r="AC189" i="14" s="1"/>
  <c r="WB102" i="1"/>
  <c r="AD189" i="14" s="1"/>
  <c r="M177" i="10" s="1"/>
  <c r="WA104" i="1"/>
  <c r="AC191" i="14" s="1"/>
  <c r="WB104" i="1"/>
  <c r="AD191" i="14" s="1"/>
  <c r="M179" i="10" s="1"/>
  <c r="WA147" i="1"/>
  <c r="AC234" i="14" s="1"/>
  <c r="WB147" i="1"/>
  <c r="AD234" i="14" s="1"/>
  <c r="M222" i="10" s="1"/>
  <c r="WA67" i="1"/>
  <c r="AC154" i="14" s="1"/>
  <c r="WB67" i="1"/>
  <c r="AD154" i="14" s="1"/>
  <c r="M142" i="10" s="1"/>
  <c r="WA56" i="1"/>
  <c r="AC143" i="14" s="1"/>
  <c r="WB56" i="1"/>
  <c r="AD143" i="14" s="1"/>
  <c r="M131" i="10" s="1"/>
  <c r="WA27" i="1"/>
  <c r="AC114" i="14" s="1"/>
  <c r="WB27" i="1"/>
  <c r="AD114" i="14" s="1"/>
  <c r="M102" i="10" s="1"/>
  <c r="WA48" i="1"/>
  <c r="AC135" i="14" s="1"/>
  <c r="WB48" i="1"/>
  <c r="AD135" i="14" s="1"/>
  <c r="M123" i="10" s="1"/>
  <c r="WA51" i="1"/>
  <c r="AC138" i="14" s="1"/>
  <c r="WB51" i="1"/>
  <c r="AD138" i="14" s="1"/>
  <c r="M126" i="10" s="1"/>
  <c r="WA107" i="1"/>
  <c r="AC194" i="14" s="1"/>
  <c r="WB107" i="1"/>
  <c r="AD194" i="14" s="1"/>
  <c r="M182" i="10" s="1"/>
  <c r="WA43" i="1"/>
  <c r="AC130" i="14" s="1"/>
  <c r="WB43" i="1"/>
  <c r="AD130" i="14" s="1"/>
  <c r="M118" i="10" s="1"/>
  <c r="WA22" i="1"/>
  <c r="AC109" i="14" s="1"/>
  <c r="WB22" i="1"/>
  <c r="AD109" i="14" s="1"/>
  <c r="M97" i="10" s="1"/>
  <c r="WA120" i="1"/>
  <c r="AC207" i="14" s="1"/>
  <c r="WB120" i="1"/>
  <c r="AD207" i="14" s="1"/>
  <c r="M195" i="10" s="1"/>
  <c r="WA76" i="1"/>
  <c r="AC163" i="14" s="1"/>
  <c r="WB76" i="1"/>
  <c r="AD163" i="14" s="1"/>
  <c r="M151" i="10" s="1"/>
  <c r="WA30" i="1"/>
  <c r="AC117" i="14" s="1"/>
  <c r="WB30" i="1"/>
  <c r="AD117" i="14" s="1"/>
  <c r="M105" i="10" s="1"/>
  <c r="WA20" i="1"/>
  <c r="AC107" i="14" s="1"/>
  <c r="WB20" i="1"/>
  <c r="AD107" i="14" s="1"/>
  <c r="M95" i="10" s="1"/>
  <c r="WA115" i="1"/>
  <c r="AC202" i="14" s="1"/>
  <c r="WB115" i="1"/>
  <c r="WA134" i="1"/>
  <c r="AC221" i="14" s="1"/>
  <c r="WB134" i="1"/>
  <c r="AD221" i="14" s="1"/>
  <c r="M209" i="10" s="1"/>
  <c r="WA61" i="1"/>
  <c r="AC148" i="14" s="1"/>
  <c r="WB61" i="1"/>
  <c r="AD148" i="14" s="1"/>
  <c r="M136" i="10" s="1"/>
  <c r="WA144" i="1"/>
  <c r="AC231" i="14" s="1"/>
  <c r="WA138" i="1"/>
  <c r="AC225" i="14" s="1"/>
  <c r="WA36" i="1"/>
  <c r="AC123" i="14" s="1"/>
  <c r="WA49" i="1"/>
  <c r="AC136" i="14" s="1"/>
  <c r="WA110" i="1"/>
  <c r="AC197" i="14" s="1"/>
  <c r="WA86" i="1"/>
  <c r="AC173" i="14" s="1"/>
  <c r="WA153" i="1"/>
  <c r="AC240" i="14" s="1"/>
  <c r="WA46" i="1"/>
  <c r="AC133" i="14" s="1"/>
  <c r="WA99" i="1"/>
  <c r="AC186" i="14" s="1"/>
  <c r="WA106" i="1"/>
  <c r="AC193" i="14" s="1"/>
  <c r="WA89" i="1"/>
  <c r="AC176" i="14" s="1"/>
  <c r="WA78" i="1"/>
  <c r="AC165" i="14" s="1"/>
  <c r="WA130" i="1"/>
  <c r="AC217" i="14" s="1"/>
  <c r="WA155" i="1"/>
  <c r="AC242" i="14" s="1"/>
  <c r="WA128" i="1"/>
  <c r="AC215" i="14" s="1"/>
  <c r="WA14" i="1"/>
  <c r="AC101" i="14" s="1"/>
  <c r="WA121" i="1"/>
  <c r="AC208" i="14" s="1"/>
  <c r="WA75" i="1"/>
  <c r="AC162" i="14" s="1"/>
  <c r="WA77" i="1"/>
  <c r="AC164" i="14" s="1"/>
  <c r="WA80" i="1"/>
  <c r="AC167" i="14" s="1"/>
  <c r="WA84" i="1"/>
  <c r="AC171" i="14" s="1"/>
  <c r="WA163" i="1"/>
  <c r="AC250" i="14" s="1"/>
  <c r="WA52" i="1"/>
  <c r="AC139" i="14" s="1"/>
  <c r="WA53" i="1"/>
  <c r="AC140" i="14" s="1"/>
  <c r="WA159" i="1"/>
  <c r="AC246" i="14" s="1"/>
  <c r="WA117" i="1"/>
  <c r="AC204" i="14" s="1"/>
  <c r="WA32" i="1"/>
  <c r="AC119" i="14" s="1"/>
  <c r="WA141" i="1"/>
  <c r="AC228" i="14" s="1"/>
  <c r="WA116" i="1"/>
  <c r="AC203" i="14" s="1"/>
  <c r="WA143" i="1"/>
  <c r="AC230" i="14" s="1"/>
  <c r="WA154" i="1"/>
  <c r="AC241" i="14" s="1"/>
  <c r="WA81" i="1"/>
  <c r="AC168" i="14" s="1"/>
  <c r="WA98" i="1"/>
  <c r="AC185" i="14" s="1"/>
  <c r="WA19" i="1"/>
  <c r="AC106" i="14" s="1"/>
  <c r="WA158" i="1"/>
  <c r="AC245" i="14" s="1"/>
  <c r="H20" i="14" s="1"/>
  <c r="WA145" i="1"/>
  <c r="AC232" i="14" s="1"/>
  <c r="WA105" i="1"/>
  <c r="AC192" i="14" s="1"/>
  <c r="WA65" i="1"/>
  <c r="AC152" i="14" s="1"/>
  <c r="VZ42" i="1"/>
  <c r="VZ31" i="1"/>
  <c r="VZ148" i="1"/>
  <c r="VZ35" i="1"/>
  <c r="N160" i="14"/>
  <c r="Q160" i="14" s="1"/>
  <c r="H148" i="10" s="1"/>
  <c r="N239" i="14"/>
  <c r="Y239" i="14" s="1"/>
  <c r="AB239" i="14" s="1"/>
  <c r="K227" i="10" s="1"/>
  <c r="N109" i="14"/>
  <c r="Y109" i="14" s="1"/>
  <c r="AB109" i="14" s="1"/>
  <c r="K97" i="10" s="1"/>
  <c r="N129" i="14"/>
  <c r="Q129" i="14" s="1"/>
  <c r="H117" i="10" s="1"/>
  <c r="N118" i="14"/>
  <c r="P19" i="14" s="1"/>
  <c r="R122" i="14"/>
  <c r="I110" i="10" s="1"/>
  <c r="VZ73" i="1"/>
  <c r="VZ152" i="1"/>
  <c r="R147" i="14"/>
  <c r="I135" i="10" s="1"/>
  <c r="VZ127" i="1"/>
  <c r="R144" i="14"/>
  <c r="I132" i="10" s="1"/>
  <c r="VZ47" i="1"/>
  <c r="R149" i="14"/>
  <c r="I137" i="10" s="1"/>
  <c r="R99" i="14"/>
  <c r="I87" i="10" s="1"/>
  <c r="R178" i="14"/>
  <c r="I166" i="10" s="1"/>
  <c r="N248" i="14"/>
  <c r="Y248" i="14" s="1"/>
  <c r="AB248" i="14" s="1"/>
  <c r="K236" i="10" s="1"/>
  <c r="N125" i="14"/>
  <c r="Y125" i="14" s="1"/>
  <c r="AB125" i="14" s="1"/>
  <c r="K113" i="10" s="1"/>
  <c r="AD193" i="14"/>
  <c r="M181" i="10" s="1"/>
  <c r="AD165" i="14"/>
  <c r="M153" i="10" s="1"/>
  <c r="AD185" i="14"/>
  <c r="M173" i="10" s="1"/>
  <c r="AD106" i="14"/>
  <c r="M94" i="10" s="1"/>
  <c r="AD217" i="14"/>
  <c r="M205" i="10" s="1"/>
  <c r="AD136" i="14"/>
  <c r="M124" i="10" s="1"/>
  <c r="AD245" i="14"/>
  <c r="AD242" i="14"/>
  <c r="M230" i="10" s="1"/>
  <c r="AD119" i="14"/>
  <c r="M107" i="10" s="1"/>
  <c r="AD228" i="14"/>
  <c r="M216" i="10" s="1"/>
  <c r="AD208" i="14"/>
  <c r="M196" i="10" s="1"/>
  <c r="AD167" i="14"/>
  <c r="M155" i="10" s="1"/>
  <c r="VZ18" i="1"/>
  <c r="AD152" i="14"/>
  <c r="M140" i="10" s="1"/>
  <c r="AD186" i="14"/>
  <c r="M174" i="10" s="1"/>
  <c r="XS51" i="1"/>
  <c r="XT51" i="1" s="1"/>
  <c r="XZ51" i="1" s="1"/>
  <c r="AD225" i="14"/>
  <c r="M213" i="10" s="1"/>
  <c r="AD123" i="14"/>
  <c r="M111" i="10" s="1"/>
  <c r="AD215" i="14"/>
  <c r="M203" i="10" s="1"/>
  <c r="AD101" i="14"/>
  <c r="M89" i="10" s="1"/>
  <c r="AD232" i="14"/>
  <c r="M220" i="10" s="1"/>
  <c r="AD204" i="14"/>
  <c r="M192" i="10" s="1"/>
  <c r="AD173" i="14"/>
  <c r="M161" i="10" s="1"/>
  <c r="AD133" i="14"/>
  <c r="M121" i="10" s="1"/>
  <c r="R179" i="14"/>
  <c r="I167" i="10" s="1"/>
  <c r="AD231" i="14"/>
  <c r="M219" i="10" s="1"/>
  <c r="AD168" i="14"/>
  <c r="M156" i="10" s="1"/>
  <c r="AD236" i="14"/>
  <c r="M224" i="10" s="1"/>
  <c r="AD176" i="14"/>
  <c r="M164" i="10" s="1"/>
  <c r="AD246" i="14"/>
  <c r="M234" i="10" s="1"/>
  <c r="AD195" i="14"/>
  <c r="M183" i="10" s="1"/>
  <c r="AD162" i="14"/>
  <c r="M150" i="10" s="1"/>
  <c r="AD240" i="14"/>
  <c r="M228" i="10" s="1"/>
  <c r="AD203" i="14"/>
  <c r="M191" i="10" s="1"/>
  <c r="AD230" i="14"/>
  <c r="M218" i="10" s="1"/>
  <c r="AD241" i="14"/>
  <c r="M229" i="10" s="1"/>
  <c r="VZ68" i="1"/>
  <c r="AD100" i="14"/>
  <c r="M88" i="10" s="1"/>
  <c r="AD139" i="14"/>
  <c r="M127" i="10" s="1"/>
  <c r="AD140" i="14"/>
  <c r="M128" i="10" s="1"/>
  <c r="AD197" i="14"/>
  <c r="M185" i="10" s="1"/>
  <c r="AD243" i="14"/>
  <c r="M231" i="10" s="1"/>
  <c r="AD164" i="14"/>
  <c r="M152" i="10" s="1"/>
  <c r="AD192" i="14"/>
  <c r="M180" i="10" s="1"/>
  <c r="AD171" i="14"/>
  <c r="M159" i="10" s="1"/>
  <c r="AD250" i="14"/>
  <c r="M238" i="10" s="1"/>
  <c r="R142" i="14"/>
  <c r="I130" i="10" s="1"/>
  <c r="N103" i="14"/>
  <c r="Q103" i="14" s="1"/>
  <c r="H91" i="10" s="1"/>
  <c r="N222" i="14"/>
  <c r="Y222" i="14" s="1"/>
  <c r="AB222" i="14" s="1"/>
  <c r="K210" i="10" s="1"/>
  <c r="R112" i="14"/>
  <c r="I100" i="10" s="1"/>
  <c r="H8" i="10" s="1"/>
  <c r="R222" i="14"/>
  <c r="I210" i="10" s="1"/>
  <c r="VZ125" i="1"/>
  <c r="R155" i="14"/>
  <c r="I143" i="10" s="1"/>
  <c r="N105" i="14"/>
  <c r="Q105" i="14" s="1"/>
  <c r="H93" i="10" s="1"/>
  <c r="VZ92" i="1"/>
  <c r="VZ25" i="1"/>
  <c r="N155" i="14"/>
  <c r="Y155" i="14" s="1"/>
  <c r="AB155" i="14" s="1"/>
  <c r="K143" i="10" s="1"/>
  <c r="N112" i="14"/>
  <c r="Q112" i="14" s="1"/>
  <c r="H100" i="10" s="1"/>
  <c r="G8" i="10" s="1"/>
  <c r="N198" i="14"/>
  <c r="Y198" i="14" s="1"/>
  <c r="AB198" i="14" s="1"/>
  <c r="K186" i="10" s="1"/>
  <c r="R207" i="14"/>
  <c r="I195" i="10" s="1"/>
  <c r="XY13" i="1"/>
  <c r="N116" i="14"/>
  <c r="Q116" i="14" s="1"/>
  <c r="H104" i="10" s="1"/>
  <c r="VK5" i="1"/>
  <c r="VK3" i="1" s="1"/>
  <c r="VZ151" i="1"/>
  <c r="VZ60" i="1"/>
  <c r="VZ91" i="1"/>
  <c r="VZ139" i="1"/>
  <c r="VZ136" i="1"/>
  <c r="R214" i="14"/>
  <c r="I202" i="10" s="1"/>
  <c r="VZ161" i="1"/>
  <c r="N153" i="14"/>
  <c r="Y153" i="14" s="1"/>
  <c r="AB153" i="14" s="1"/>
  <c r="K141" i="10" s="1"/>
  <c r="N196" i="14"/>
  <c r="Y196" i="14" s="1"/>
  <c r="AB196" i="14" s="1"/>
  <c r="K184" i="10" s="1"/>
  <c r="N244" i="14"/>
  <c r="Y244" i="14" s="1"/>
  <c r="AB244" i="14" s="1"/>
  <c r="K232" i="10" s="1"/>
  <c r="R103" i="14"/>
  <c r="I91" i="10" s="1"/>
  <c r="N98" i="14"/>
  <c r="Y98" i="14" s="1"/>
  <c r="Y17" i="14" s="1"/>
  <c r="I10" i="24" s="1"/>
  <c r="N178" i="14"/>
  <c r="Y178" i="14" s="1"/>
  <c r="AB178" i="14" s="1"/>
  <c r="K166" i="10" s="1"/>
  <c r="N226" i="14"/>
  <c r="Y226" i="14" s="1"/>
  <c r="AB226" i="14" s="1"/>
  <c r="K214" i="10" s="1"/>
  <c r="N223" i="14"/>
  <c r="Q223" i="14" s="1"/>
  <c r="H211" i="10" s="1"/>
  <c r="N214" i="14"/>
  <c r="Y214" i="14" s="1"/>
  <c r="AB214" i="14" s="1"/>
  <c r="K202" i="10" s="1"/>
  <c r="Q100" i="14"/>
  <c r="H88" i="10" s="1"/>
  <c r="R121" i="14"/>
  <c r="I109" i="10" s="1"/>
  <c r="VZ66" i="1"/>
  <c r="N142" i="14"/>
  <c r="Y142" i="14" s="1"/>
  <c r="AB142" i="14" s="1"/>
  <c r="K130" i="10" s="1"/>
  <c r="R125" i="14"/>
  <c r="I113" i="10" s="1"/>
  <c r="R196" i="14"/>
  <c r="I184" i="10" s="1"/>
  <c r="R244" i="14"/>
  <c r="I232" i="10" s="1"/>
  <c r="VZ16" i="1"/>
  <c r="VZ11" i="1"/>
  <c r="R198" i="14"/>
  <c r="I186" i="10" s="1"/>
  <c r="VZ29" i="1"/>
  <c r="Q138" i="14"/>
  <c r="H126" i="10" s="1"/>
  <c r="Y138" i="14"/>
  <c r="AB138" i="14" s="1"/>
  <c r="K126" i="10" s="1"/>
  <c r="Y139" i="14"/>
  <c r="AB139" i="14" s="1"/>
  <c r="K127" i="10" s="1"/>
  <c r="Q139" i="14"/>
  <c r="H127" i="10" s="1"/>
  <c r="Y165" i="14"/>
  <c r="AB165" i="14" s="1"/>
  <c r="K153" i="10" s="1"/>
  <c r="Q165" i="14"/>
  <c r="H153" i="10" s="1"/>
  <c r="Y123" i="14"/>
  <c r="AB123" i="14" s="1"/>
  <c r="K111" i="10" s="1"/>
  <c r="Q123" i="14"/>
  <c r="H111" i="10" s="1"/>
  <c r="Y106" i="14"/>
  <c r="AB106" i="14" s="1"/>
  <c r="K94" i="10" s="1"/>
  <c r="Q106" i="14"/>
  <c r="H94" i="10" s="1"/>
  <c r="Y140" i="14"/>
  <c r="AB140" i="14" s="1"/>
  <c r="K128" i="10" s="1"/>
  <c r="Q140" i="14"/>
  <c r="H128" i="10" s="1"/>
  <c r="Y199" i="14"/>
  <c r="AB199" i="14" s="1"/>
  <c r="K187" i="10" s="1"/>
  <c r="Q199" i="14"/>
  <c r="H187" i="10" s="1"/>
  <c r="Y194" i="14"/>
  <c r="AB194" i="14" s="1"/>
  <c r="K182" i="10" s="1"/>
  <c r="Q194" i="14"/>
  <c r="H182" i="10" s="1"/>
  <c r="Y159" i="14"/>
  <c r="AB159" i="14" s="1"/>
  <c r="K147" i="10" s="1"/>
  <c r="Q159" i="14"/>
  <c r="H147" i="10" s="1"/>
  <c r="Y117" i="14"/>
  <c r="AB117" i="14" s="1"/>
  <c r="K105" i="10" s="1"/>
  <c r="Q117" i="14"/>
  <c r="H105" i="10" s="1"/>
  <c r="Q217" i="14"/>
  <c r="H205" i="10" s="1"/>
  <c r="Y217" i="14"/>
  <c r="AB217" i="14" s="1"/>
  <c r="K205" i="10" s="1"/>
  <c r="Y136" i="14"/>
  <c r="AB136" i="14" s="1"/>
  <c r="K124" i="10" s="1"/>
  <c r="Q136" i="14"/>
  <c r="H124" i="10" s="1"/>
  <c r="Q245" i="14"/>
  <c r="Y245" i="14"/>
  <c r="Y210" i="14"/>
  <c r="AB210" i="14" s="1"/>
  <c r="K198" i="10" s="1"/>
  <c r="Q210" i="14"/>
  <c r="H198" i="10" s="1"/>
  <c r="Y242" i="14"/>
  <c r="AB242" i="14" s="1"/>
  <c r="K230" i="10" s="1"/>
  <c r="Q242" i="14"/>
  <c r="H230" i="10" s="1"/>
  <c r="Y234" i="14"/>
  <c r="AB234" i="14" s="1"/>
  <c r="K222" i="10" s="1"/>
  <c r="Q234" i="14"/>
  <c r="H222" i="10" s="1"/>
  <c r="Q115" i="14"/>
  <c r="H103" i="10" s="1"/>
  <c r="Y115" i="14"/>
  <c r="AB115" i="14" s="1"/>
  <c r="K103" i="10" s="1"/>
  <c r="Y215" i="14"/>
  <c r="AB215" i="14" s="1"/>
  <c r="K203" i="10" s="1"/>
  <c r="Q215" i="14"/>
  <c r="H203" i="10" s="1"/>
  <c r="Y101" i="14"/>
  <c r="AB101" i="14" s="1"/>
  <c r="K89" i="10" s="1"/>
  <c r="Q101" i="14"/>
  <c r="H89" i="10" s="1"/>
  <c r="Y232" i="14"/>
  <c r="AB232" i="14" s="1"/>
  <c r="K220" i="10" s="1"/>
  <c r="Q232" i="14"/>
  <c r="H220" i="10" s="1"/>
  <c r="Y201" i="14"/>
  <c r="AB201" i="14" s="1"/>
  <c r="K189" i="10" s="1"/>
  <c r="Q201" i="14"/>
  <c r="H189" i="10" s="1"/>
  <c r="Y204" i="14"/>
  <c r="AB204" i="14" s="1"/>
  <c r="K192" i="10" s="1"/>
  <c r="Q204" i="14"/>
  <c r="H192" i="10" s="1"/>
  <c r="P20" i="14"/>
  <c r="Y173" i="14"/>
  <c r="AB173" i="14" s="1"/>
  <c r="K161" i="10" s="1"/>
  <c r="Q126" i="14"/>
  <c r="H114" i="10" s="1"/>
  <c r="Y126" i="14"/>
  <c r="AB126" i="14" s="1"/>
  <c r="K114" i="10" s="1"/>
  <c r="Y107" i="14"/>
  <c r="AB107" i="14" s="1"/>
  <c r="K95" i="10" s="1"/>
  <c r="Q107" i="14"/>
  <c r="H95" i="10" s="1"/>
  <c r="Y119" i="14"/>
  <c r="AB119" i="14" s="1"/>
  <c r="K107" i="10" s="1"/>
  <c r="Q119" i="14"/>
  <c r="H107" i="10" s="1"/>
  <c r="Q228" i="14"/>
  <c r="H216" i="10" s="1"/>
  <c r="Y228" i="14"/>
  <c r="AB228" i="14" s="1"/>
  <c r="K216" i="10" s="1"/>
  <c r="Y208" i="14"/>
  <c r="AB208" i="14" s="1"/>
  <c r="K196" i="10" s="1"/>
  <c r="Q208" i="14"/>
  <c r="H196" i="10" s="1"/>
  <c r="Q230" i="14"/>
  <c r="H218" i="10" s="1"/>
  <c r="Y230" i="14"/>
  <c r="AB230" i="14" s="1"/>
  <c r="K218" i="10" s="1"/>
  <c r="Y170" i="14"/>
  <c r="AB170" i="14" s="1"/>
  <c r="K158" i="10" s="1"/>
  <c r="Q170" i="14"/>
  <c r="H158" i="10" s="1"/>
  <c r="Q202" i="14"/>
  <c r="H190" i="10" s="1"/>
  <c r="Y235" i="14"/>
  <c r="AB235" i="14" s="1"/>
  <c r="K223" i="10" s="1"/>
  <c r="Q235" i="14"/>
  <c r="H223" i="10" s="1"/>
  <c r="Y216" i="14"/>
  <c r="AB216" i="14" s="1"/>
  <c r="K204" i="10" s="1"/>
  <c r="Q216" i="14"/>
  <c r="H204" i="10" s="1"/>
  <c r="Y246" i="14"/>
  <c r="AB246" i="14" s="1"/>
  <c r="K234" i="10" s="1"/>
  <c r="Q246" i="14"/>
  <c r="H234" i="10" s="1"/>
  <c r="Q221" i="14"/>
  <c r="H209" i="10" s="1"/>
  <c r="Y221" i="14"/>
  <c r="AB221" i="14" s="1"/>
  <c r="K209" i="10" s="1"/>
  <c r="XY114" i="1"/>
  <c r="I233" i="10"/>
  <c r="Q197" i="14"/>
  <c r="H185" i="10" s="1"/>
  <c r="Y197" i="14"/>
  <c r="AB197" i="14" s="1"/>
  <c r="K185" i="10" s="1"/>
  <c r="Y188" i="14"/>
  <c r="AB188" i="14" s="1"/>
  <c r="K176" i="10" s="1"/>
  <c r="Q188" i="14"/>
  <c r="H176" i="10" s="1"/>
  <c r="Q175" i="14"/>
  <c r="H163" i="10" s="1"/>
  <c r="Y175" i="14"/>
  <c r="AB175" i="14" s="1"/>
  <c r="K163" i="10" s="1"/>
  <c r="I183" i="10"/>
  <c r="Y231" i="14"/>
  <c r="AB231" i="14" s="1"/>
  <c r="K219" i="10" s="1"/>
  <c r="Q231" i="14"/>
  <c r="H219" i="10" s="1"/>
  <c r="Y169" i="14"/>
  <c r="AB169" i="14" s="1"/>
  <c r="K157" i="10" s="1"/>
  <c r="Q169" i="14"/>
  <c r="H157" i="10" s="1"/>
  <c r="Y168" i="14"/>
  <c r="AB168" i="14" s="1"/>
  <c r="K156" i="10" s="1"/>
  <c r="Q168" i="14"/>
  <c r="H156" i="10" s="1"/>
  <c r="Y185" i="14"/>
  <c r="AB185" i="14" s="1"/>
  <c r="K173" i="10" s="1"/>
  <c r="Q185" i="14"/>
  <c r="H173" i="10" s="1"/>
  <c r="Y193" i="14"/>
  <c r="AB193" i="14" s="1"/>
  <c r="K181" i="10" s="1"/>
  <c r="Q193" i="14"/>
  <c r="H181" i="10" s="1"/>
  <c r="Y211" i="14"/>
  <c r="AB211" i="14" s="1"/>
  <c r="K199" i="10" s="1"/>
  <c r="Y176" i="14"/>
  <c r="AB176" i="14" s="1"/>
  <c r="K164" i="10" s="1"/>
  <c r="Q176" i="14"/>
  <c r="H164" i="10" s="1"/>
  <c r="VZ10" i="1"/>
  <c r="VS5" i="1"/>
  <c r="VS1" i="1" s="1"/>
  <c r="N97" i="14"/>
  <c r="Y97" i="14" s="1"/>
  <c r="R97" i="14"/>
  <c r="G16" i="14" s="1"/>
  <c r="XT52" i="1"/>
  <c r="XZ52" i="1" s="1"/>
  <c r="Q143" i="14"/>
  <c r="H131" i="10" s="1"/>
  <c r="Y143" i="14"/>
  <c r="AB143" i="14" s="1"/>
  <c r="K131" i="10" s="1"/>
  <c r="Q121" i="14"/>
  <c r="H109" i="10" s="1"/>
  <c r="Y121" i="14"/>
  <c r="AB121" i="14" s="1"/>
  <c r="K109" i="10" s="1"/>
  <c r="Y162" i="14"/>
  <c r="AB162" i="14" s="1"/>
  <c r="K150" i="10" s="1"/>
  <c r="Q162" i="14"/>
  <c r="H150" i="10" s="1"/>
  <c r="Q240" i="14"/>
  <c r="H228" i="10" s="1"/>
  <c r="Q203" i="14"/>
  <c r="H191" i="10" s="1"/>
  <c r="Y203" i="14"/>
  <c r="AB203" i="14" s="1"/>
  <c r="K191" i="10" s="1"/>
  <c r="Y233" i="14"/>
  <c r="AB233" i="14" s="1"/>
  <c r="K221" i="10" s="1"/>
  <c r="Q233" i="14"/>
  <c r="H221" i="10" s="1"/>
  <c r="Y134" i="14"/>
  <c r="AB134" i="14" s="1"/>
  <c r="K122" i="10" s="1"/>
  <c r="Q134" i="14"/>
  <c r="H122" i="10" s="1"/>
  <c r="Y164" i="14"/>
  <c r="AB164" i="14" s="1"/>
  <c r="K152" i="10" s="1"/>
  <c r="Q164" i="14"/>
  <c r="H152" i="10" s="1"/>
  <c r="Y149" i="14"/>
  <c r="AB149" i="14" s="1"/>
  <c r="K137" i="10" s="1"/>
  <c r="Q149" i="14"/>
  <c r="H137" i="10" s="1"/>
  <c r="Y167" i="14"/>
  <c r="AB167" i="14" s="1"/>
  <c r="K155" i="10" s="1"/>
  <c r="Q167" i="14"/>
  <c r="H155" i="10" s="1"/>
  <c r="Q133" i="14"/>
  <c r="H121" i="10" s="1"/>
  <c r="Y133" i="14"/>
  <c r="AB133" i="14" s="1"/>
  <c r="K121" i="10" s="1"/>
  <c r="I112" i="10"/>
  <c r="Y152" i="14"/>
  <c r="AB152" i="14" s="1"/>
  <c r="K140" i="10" s="1"/>
  <c r="Q152" i="14"/>
  <c r="H140" i="10" s="1"/>
  <c r="Y171" i="14"/>
  <c r="AB171" i="14" s="1"/>
  <c r="K159" i="10" s="1"/>
  <c r="Q171" i="14"/>
  <c r="H159" i="10" s="1"/>
  <c r="Y158" i="14"/>
  <c r="AB158" i="14" s="1"/>
  <c r="K146" i="10" s="1"/>
  <c r="Q158" i="14"/>
  <c r="H146" i="10" s="1"/>
  <c r="Y250" i="14"/>
  <c r="AB250" i="14" s="1"/>
  <c r="K238" i="10" s="1"/>
  <c r="Q250" i="14"/>
  <c r="H238" i="10" s="1"/>
  <c r="Y186" i="14"/>
  <c r="AB186" i="14" s="1"/>
  <c r="K174" i="10" s="1"/>
  <c r="Q186" i="14"/>
  <c r="H174" i="10" s="1"/>
  <c r="YA13" i="1"/>
  <c r="Y225" i="14"/>
  <c r="AB225" i="14" s="1"/>
  <c r="K213" i="10" s="1"/>
  <c r="Q225" i="14"/>
  <c r="H213" i="10" s="1"/>
  <c r="Q200" i="14"/>
  <c r="H188" i="10" s="1"/>
  <c r="Y200" i="14"/>
  <c r="AB200" i="14" s="1"/>
  <c r="K188" i="10" s="1"/>
  <c r="Q146" i="14"/>
  <c r="H134" i="10" s="1"/>
  <c r="Y146" i="14"/>
  <c r="AB146" i="14" s="1"/>
  <c r="K134" i="10" s="1"/>
  <c r="Q206" i="14"/>
  <c r="H194" i="10" s="1"/>
  <c r="Y206" i="14"/>
  <c r="AB206" i="14" s="1"/>
  <c r="K194" i="10" s="1"/>
  <c r="Y213" i="14"/>
  <c r="AB213" i="14" s="1"/>
  <c r="K201" i="10" s="1"/>
  <c r="Q213" i="14"/>
  <c r="H201" i="10" s="1"/>
  <c r="Q132" i="14" l="1"/>
  <c r="H120" i="10" s="1"/>
  <c r="Y163" i="14"/>
  <c r="AB163" i="14" s="1"/>
  <c r="K151" i="10" s="1"/>
  <c r="WA119" i="1"/>
  <c r="AC206" i="14" s="1"/>
  <c r="Y195" i="14"/>
  <c r="Y20" i="14" s="1"/>
  <c r="I13" i="24" s="1"/>
  <c r="WA123" i="1"/>
  <c r="AC210" i="14" s="1"/>
  <c r="WA83" i="1"/>
  <c r="AC170" i="14" s="1"/>
  <c r="Y130" i="14"/>
  <c r="AB130" i="14" s="1"/>
  <c r="K118" i="10" s="1"/>
  <c r="Y237" i="14"/>
  <c r="AB237" i="14" s="1"/>
  <c r="K225" i="10" s="1"/>
  <c r="Q241" i="14"/>
  <c r="H229" i="10" s="1"/>
  <c r="Q148" i="14"/>
  <c r="H136" i="10" s="1"/>
  <c r="Y236" i="14"/>
  <c r="AB236" i="14" s="1"/>
  <c r="K224" i="10" s="1"/>
  <c r="WA88" i="1"/>
  <c r="AC175" i="14" s="1"/>
  <c r="WB133" i="1"/>
  <c r="AD220" i="14" s="1"/>
  <c r="M208" i="10" s="1"/>
  <c r="WA28" i="1"/>
  <c r="AC115" i="14" s="1"/>
  <c r="WA108" i="1"/>
  <c r="AC195" i="14" s="1"/>
  <c r="WB129" i="1"/>
  <c r="AD216" i="14" s="1"/>
  <c r="M204" i="10" s="1"/>
  <c r="WA63" i="1"/>
  <c r="AC150" i="14" s="1"/>
  <c r="WB72" i="1"/>
  <c r="AD159" i="14" s="1"/>
  <c r="M147" i="10" s="1"/>
  <c r="Y227" i="14"/>
  <c r="AB227" i="14" s="1"/>
  <c r="K215" i="10" s="1"/>
  <c r="WA142" i="1"/>
  <c r="AC229" i="14" s="1"/>
  <c r="WB101" i="1"/>
  <c r="AD188" i="14" s="1"/>
  <c r="M176" i="10" s="1"/>
  <c r="WB126" i="1"/>
  <c r="AD213" i="14" s="1"/>
  <c r="M201" i="10" s="1"/>
  <c r="WB112" i="1"/>
  <c r="AD199" i="14" s="1"/>
  <c r="M187" i="10" s="1"/>
  <c r="XT91" i="1"/>
  <c r="XZ91" i="1" s="1"/>
  <c r="Q220" i="14"/>
  <c r="H208" i="10" s="1"/>
  <c r="Y182" i="14"/>
  <c r="AB182" i="14" s="1"/>
  <c r="K170" i="10" s="1"/>
  <c r="WA156" i="1"/>
  <c r="AC243" i="14" s="1"/>
  <c r="XY154" i="1"/>
  <c r="P21" i="14"/>
  <c r="XY48" i="1"/>
  <c r="XT20" i="1"/>
  <c r="XZ20" i="1" s="1"/>
  <c r="YA20" i="1" s="1"/>
  <c r="XT143" i="1"/>
  <c r="XZ143" i="1" s="1"/>
  <c r="XY100" i="1"/>
  <c r="Y166" i="14"/>
  <c r="AB166" i="14" s="1"/>
  <c r="K154" i="10" s="1"/>
  <c r="XT160" i="1"/>
  <c r="XZ160" i="1" s="1"/>
  <c r="XT73" i="1"/>
  <c r="XZ73" i="1" s="1"/>
  <c r="YA73" i="1" s="1"/>
  <c r="Y113" i="14"/>
  <c r="AB113" i="14" s="1"/>
  <c r="K101" i="10" s="1"/>
  <c r="XT38" i="1"/>
  <c r="XZ38" i="1" s="1"/>
  <c r="WA140" i="1"/>
  <c r="AC227" i="14" s="1"/>
  <c r="Q179" i="14"/>
  <c r="H167" i="10" s="1"/>
  <c r="XY62" i="1"/>
  <c r="Q229" i="14"/>
  <c r="H217" i="10" s="1"/>
  <c r="XY97" i="1"/>
  <c r="Y192" i="14"/>
  <c r="AB192" i="14" s="1"/>
  <c r="K180" i="10" s="1"/>
  <c r="Y249" i="14"/>
  <c r="AB249" i="14" s="1"/>
  <c r="K237" i="10" s="1"/>
  <c r="XT90" i="1"/>
  <c r="XZ90" i="1" s="1"/>
  <c r="Y189" i="14"/>
  <c r="AB189" i="14" s="1"/>
  <c r="K177" i="10" s="1"/>
  <c r="WB100" i="1"/>
  <c r="AD187" i="14" s="1"/>
  <c r="M175" i="10" s="1"/>
  <c r="XY111" i="1"/>
  <c r="Q128" i="14"/>
  <c r="H116" i="10" s="1"/>
  <c r="XT120" i="1"/>
  <c r="XZ120" i="1" s="1"/>
  <c r="Y219" i="14"/>
  <c r="AB219" i="14" s="1"/>
  <c r="K207" i="10" s="1"/>
  <c r="XT84" i="1"/>
  <c r="XZ84" i="1" s="1"/>
  <c r="XY78" i="1"/>
  <c r="Q207" i="14"/>
  <c r="H195" i="10" s="1"/>
  <c r="WA149" i="1"/>
  <c r="AC236" i="14" s="1"/>
  <c r="L224" i="10" s="1"/>
  <c r="WA26" i="1"/>
  <c r="AC113" i="14" s="1"/>
  <c r="WA124" i="1"/>
  <c r="AC211" i="14" s="1"/>
  <c r="L199" i="10" s="1"/>
  <c r="WA38" i="1"/>
  <c r="AC125" i="14" s="1"/>
  <c r="WB45" i="1"/>
  <c r="AD132" i="14" s="1"/>
  <c r="M120" i="10" s="1"/>
  <c r="XT75" i="1"/>
  <c r="XZ75" i="1" s="1"/>
  <c r="XY45" i="1"/>
  <c r="Y135" i="14"/>
  <c r="AB135" i="14" s="1"/>
  <c r="K123" i="10" s="1"/>
  <c r="XT31" i="1"/>
  <c r="XZ31" i="1" s="1"/>
  <c r="YA31" i="1" s="1"/>
  <c r="XT24" i="1"/>
  <c r="XZ24" i="1" s="1"/>
  <c r="XY144" i="1"/>
  <c r="XT117" i="1"/>
  <c r="XZ117" i="1" s="1"/>
  <c r="XY162" i="1"/>
  <c r="Q180" i="14"/>
  <c r="H168" i="10" s="1"/>
  <c r="WA96" i="1"/>
  <c r="AC183" i="14" s="1"/>
  <c r="WB94" i="1"/>
  <c r="AD181" i="14" s="1"/>
  <c r="M169" i="10" s="1"/>
  <c r="WB131" i="1"/>
  <c r="AD218" i="14" s="1"/>
  <c r="M206" i="10" s="1"/>
  <c r="Q127" i="14"/>
  <c r="H115" i="10" s="1"/>
  <c r="XT151" i="1"/>
  <c r="XZ151" i="1" s="1"/>
  <c r="YA151" i="1" s="1"/>
  <c r="WB54" i="1"/>
  <c r="AD141" i="14" s="1"/>
  <c r="M129" i="10" s="1"/>
  <c r="WB40" i="1"/>
  <c r="AD127" i="14" s="1"/>
  <c r="M115" i="10" s="1"/>
  <c r="Y243" i="14"/>
  <c r="AB243" i="14" s="1"/>
  <c r="K231" i="10" s="1"/>
  <c r="Q191" i="14"/>
  <c r="H179" i="10" s="1"/>
  <c r="Y224" i="14"/>
  <c r="AB224" i="14" s="1"/>
  <c r="K212" i="10" s="1"/>
  <c r="Q205" i="14"/>
  <c r="H193" i="10" s="1"/>
  <c r="WA118" i="1"/>
  <c r="AC205" i="14" s="1"/>
  <c r="WA95" i="1"/>
  <c r="AC182" i="14" s="1"/>
  <c r="XT42" i="1"/>
  <c r="XZ42" i="1" s="1"/>
  <c r="WA150" i="1"/>
  <c r="AC237" i="14" s="1"/>
  <c r="L225" i="10" s="1"/>
  <c r="XT40" i="1"/>
  <c r="XZ40" i="1" s="1"/>
  <c r="Y150" i="14"/>
  <c r="AB150" i="14" s="1"/>
  <c r="K138" i="10" s="1"/>
  <c r="Q145" i="14"/>
  <c r="H133" i="10" s="1"/>
  <c r="XY140" i="1"/>
  <c r="XY43" i="1"/>
  <c r="XY106" i="1"/>
  <c r="XT53" i="1"/>
  <c r="XZ53" i="1" s="1"/>
  <c r="WB70" i="1"/>
  <c r="AD157" i="14" s="1"/>
  <c r="M145" i="10" s="1"/>
  <c r="XY130" i="1"/>
  <c r="XY83" i="1"/>
  <c r="XT81" i="1"/>
  <c r="XZ81" i="1" s="1"/>
  <c r="WB64" i="1"/>
  <c r="AD151" i="14" s="1"/>
  <c r="M139" i="10" s="1"/>
  <c r="WB137" i="1"/>
  <c r="AD224" i="14" s="1"/>
  <c r="M212" i="10" s="1"/>
  <c r="WA122" i="1"/>
  <c r="AC209" i="14" s="1"/>
  <c r="L197" i="10" s="1"/>
  <c r="XT113" i="1"/>
  <c r="XZ113" i="1" s="1"/>
  <c r="XY55" i="1"/>
  <c r="XT138" i="1"/>
  <c r="XZ138" i="1" s="1"/>
  <c r="XY59" i="1"/>
  <c r="XT155" i="1"/>
  <c r="XZ155" i="1" s="1"/>
  <c r="XY57" i="1"/>
  <c r="XY79" i="1"/>
  <c r="XY101" i="1"/>
  <c r="XT92" i="1"/>
  <c r="XZ92" i="1" s="1"/>
  <c r="Y187" i="14"/>
  <c r="AB187" i="14" s="1"/>
  <c r="K175" i="10" s="1"/>
  <c r="Q181" i="14"/>
  <c r="H169" i="10" s="1"/>
  <c r="XY152" i="1"/>
  <c r="XY115" i="1"/>
  <c r="Y172" i="14"/>
  <c r="AB172" i="14" s="1"/>
  <c r="K160" i="10" s="1"/>
  <c r="Q104" i="14"/>
  <c r="H92" i="10" s="1"/>
  <c r="XT80" i="1"/>
  <c r="XZ80" i="1" s="1"/>
  <c r="YA80" i="1" s="1"/>
  <c r="XY150" i="1"/>
  <c r="P18" i="14"/>
  <c r="XT102" i="1"/>
  <c r="XZ102" i="1" s="1"/>
  <c r="XT119" i="1"/>
  <c r="XZ119" i="1" s="1"/>
  <c r="YA119" i="1" s="1"/>
  <c r="XY122" i="1"/>
  <c r="XY27" i="1"/>
  <c r="XT121" i="1"/>
  <c r="XZ121" i="1" s="1"/>
  <c r="XT98" i="1"/>
  <c r="XZ98" i="1" s="1"/>
  <c r="YA98" i="1" s="1"/>
  <c r="WB39" i="1"/>
  <c r="AD126" i="14" s="1"/>
  <c r="M114" i="10" s="1"/>
  <c r="XY39" i="1"/>
  <c r="XT63" i="1"/>
  <c r="XZ63" i="1" s="1"/>
  <c r="XT17" i="1"/>
  <c r="XZ17" i="1" s="1"/>
  <c r="YA17" i="1" s="1"/>
  <c r="XT46" i="1"/>
  <c r="XZ46" i="1" s="1"/>
  <c r="YA46" i="1" s="1"/>
  <c r="XY145" i="1"/>
  <c r="Q120" i="14"/>
  <c r="H108" i="10" s="1"/>
  <c r="XT50" i="1"/>
  <c r="XZ50" i="1" s="1"/>
  <c r="YA50" i="1" s="1"/>
  <c r="XY133" i="1"/>
  <c r="XY74" i="1"/>
  <c r="WA50" i="1"/>
  <c r="AC137" i="14" s="1"/>
  <c r="XY67" i="1"/>
  <c r="XY41" i="1"/>
  <c r="XT11" i="1"/>
  <c r="XZ11" i="1" s="1"/>
  <c r="YA11" i="1" s="1"/>
  <c r="Y122" i="14"/>
  <c r="AB122" i="14" s="1"/>
  <c r="K110" i="10" s="1"/>
  <c r="XY124" i="1"/>
  <c r="XT158" i="1"/>
  <c r="XZ158" i="1" s="1"/>
  <c r="XT89" i="1"/>
  <c r="XZ89" i="1" s="1"/>
  <c r="YA89" i="1" s="1"/>
  <c r="Y147" i="14"/>
  <c r="AB147" i="14" s="1"/>
  <c r="K135" i="10" s="1"/>
  <c r="WB146" i="1"/>
  <c r="AD233" i="14" s="1"/>
  <c r="M221" i="10" s="1"/>
  <c r="XY15" i="1"/>
  <c r="XY30" i="1"/>
  <c r="XT16" i="1"/>
  <c r="XZ16" i="1" s="1"/>
  <c r="XT148" i="1"/>
  <c r="XZ148" i="1" s="1"/>
  <c r="YA148" i="1" s="1"/>
  <c r="XT21" i="1"/>
  <c r="XZ21" i="1" s="1"/>
  <c r="XT87" i="1"/>
  <c r="XZ87" i="1" s="1"/>
  <c r="YA87" i="1" s="1"/>
  <c r="Q239" i="14"/>
  <c r="H227" i="10" s="1"/>
  <c r="XY88" i="1"/>
  <c r="XY116" i="1"/>
  <c r="Y111" i="14"/>
  <c r="AB111" i="14" s="1"/>
  <c r="K99" i="10" s="1"/>
  <c r="Y183" i="14"/>
  <c r="AB183" i="14" s="1"/>
  <c r="K171" i="10" s="1"/>
  <c r="XT149" i="1"/>
  <c r="XZ149" i="1" s="1"/>
  <c r="YA149" i="1" s="1"/>
  <c r="Q247" i="14"/>
  <c r="H235" i="10" s="1"/>
  <c r="XT139" i="1"/>
  <c r="XZ139" i="1" s="1"/>
  <c r="YA139" i="1" s="1"/>
  <c r="XT72" i="1"/>
  <c r="XZ72" i="1" s="1"/>
  <c r="XT127" i="1"/>
  <c r="XZ127" i="1" s="1"/>
  <c r="YA127" i="1" s="1"/>
  <c r="WB93" i="1"/>
  <c r="AD180" i="14" s="1"/>
  <c r="M168" i="10" s="1"/>
  <c r="XT126" i="1"/>
  <c r="XZ126" i="1" s="1"/>
  <c r="YA126" i="1" s="1"/>
  <c r="Y105" i="14"/>
  <c r="AB105" i="14" s="1"/>
  <c r="K93" i="10" s="1"/>
  <c r="WA23" i="1"/>
  <c r="AC110" i="14" s="1"/>
  <c r="L98" i="10" s="1"/>
  <c r="WA109" i="1"/>
  <c r="AC196" i="14" s="1"/>
  <c r="WA57" i="1"/>
  <c r="AC144" i="14" s="1"/>
  <c r="L132" i="10" s="1"/>
  <c r="WB24" i="1"/>
  <c r="AD111" i="14" s="1"/>
  <c r="M99" i="10" s="1"/>
  <c r="XT37" i="1"/>
  <c r="XZ37" i="1" s="1"/>
  <c r="YA37" i="1" s="1"/>
  <c r="Q110" i="14"/>
  <c r="H98" i="10" s="1"/>
  <c r="Q114" i="14"/>
  <c r="H102" i="10" s="1"/>
  <c r="XT156" i="1"/>
  <c r="XZ156" i="1" s="1"/>
  <c r="YA156" i="1" s="1"/>
  <c r="XT58" i="1"/>
  <c r="XZ58" i="1" s="1"/>
  <c r="YA58" i="1" s="1"/>
  <c r="XT107" i="1"/>
  <c r="XZ107" i="1" s="1"/>
  <c r="XT71" i="1"/>
  <c r="XZ71" i="1" s="1"/>
  <c r="YA71" i="1" s="1"/>
  <c r="XT95" i="1"/>
  <c r="XZ95" i="1" s="1"/>
  <c r="YA95" i="1" s="1"/>
  <c r="Q141" i="14"/>
  <c r="H129" i="10" s="1"/>
  <c r="Q137" i="14"/>
  <c r="H125" i="10" s="1"/>
  <c r="Y209" i="14"/>
  <c r="AB209" i="14" s="1"/>
  <c r="K197" i="10" s="1"/>
  <c r="XT25" i="1"/>
  <c r="XZ25" i="1" s="1"/>
  <c r="YA25" i="1" s="1"/>
  <c r="Q157" i="14"/>
  <c r="H145" i="10" s="1"/>
  <c r="XT105" i="1"/>
  <c r="XZ105" i="1" s="1"/>
  <c r="XT128" i="1"/>
  <c r="XZ128" i="1" s="1"/>
  <c r="YA128" i="1" s="1"/>
  <c r="XT161" i="1"/>
  <c r="XZ161" i="1" s="1"/>
  <c r="YA161" i="1" s="1"/>
  <c r="WB69" i="1"/>
  <c r="AD156" i="14" s="1"/>
  <c r="M144" i="10" s="1"/>
  <c r="WB37" i="1"/>
  <c r="AD124" i="14" s="1"/>
  <c r="M112" i="10" s="1"/>
  <c r="WB103" i="1"/>
  <c r="AD190" i="14" s="1"/>
  <c r="M178" i="10" s="1"/>
  <c r="Y124" i="14"/>
  <c r="Y18" i="14" s="1"/>
  <c r="I11" i="24" s="1"/>
  <c r="XT76" i="1"/>
  <c r="XZ76" i="1" s="1"/>
  <c r="YA76" i="1" s="1"/>
  <c r="XT69" i="1"/>
  <c r="XZ69" i="1" s="1"/>
  <c r="WB55" i="1"/>
  <c r="AD142" i="14" s="1"/>
  <c r="M130" i="10" s="1"/>
  <c r="WB135" i="1"/>
  <c r="AD222" i="14" s="1"/>
  <c r="M210" i="10" s="1"/>
  <c r="WB21" i="1"/>
  <c r="AD108" i="14" s="1"/>
  <c r="M96" i="10" s="1"/>
  <c r="XT123" i="1"/>
  <c r="XZ123" i="1" s="1"/>
  <c r="YA123" i="1" s="1"/>
  <c r="XT49" i="1"/>
  <c r="XZ49" i="1" s="1"/>
  <c r="YA49" i="1" s="1"/>
  <c r="Y103" i="14"/>
  <c r="AB103" i="14" s="1"/>
  <c r="K91" i="10" s="1"/>
  <c r="Q156" i="14"/>
  <c r="H144" i="10" s="1"/>
  <c r="XT32" i="1"/>
  <c r="XZ32" i="1" s="1"/>
  <c r="XT134" i="1"/>
  <c r="XZ134" i="1" s="1"/>
  <c r="YA134" i="1" s="1"/>
  <c r="XT135" i="1"/>
  <c r="XZ135" i="1" s="1"/>
  <c r="XT86" i="1"/>
  <c r="XZ86" i="1" s="1"/>
  <c r="YA86" i="1" s="1"/>
  <c r="XT29" i="1"/>
  <c r="XZ29" i="1" s="1"/>
  <c r="XT10" i="1"/>
  <c r="XZ10" i="1" s="1"/>
  <c r="YA10" i="1" s="1"/>
  <c r="XT142" i="1"/>
  <c r="XZ142" i="1" s="1"/>
  <c r="YA142" i="1" s="1"/>
  <c r="Q131" i="14"/>
  <c r="H119" i="10" s="1"/>
  <c r="XT64" i="1"/>
  <c r="XZ64" i="1" s="1"/>
  <c r="YA64" i="1" s="1"/>
  <c r="WB44" i="1"/>
  <c r="AD131" i="14" s="1"/>
  <c r="M119" i="10" s="1"/>
  <c r="I106" i="10"/>
  <c r="G19" i="14"/>
  <c r="I86" i="10"/>
  <c r="G17" i="14"/>
  <c r="XT77" i="1"/>
  <c r="XZ77" i="1" s="1"/>
  <c r="YA77" i="1" s="1"/>
  <c r="XT85" i="1"/>
  <c r="XZ85" i="1" s="1"/>
  <c r="YA85" i="1" s="1"/>
  <c r="Y218" i="14"/>
  <c r="AB218" i="14" s="1"/>
  <c r="K206" i="10" s="1"/>
  <c r="XT153" i="1"/>
  <c r="XZ153" i="1" s="1"/>
  <c r="YA153" i="1" s="1"/>
  <c r="XT54" i="1"/>
  <c r="XZ54" i="1" s="1"/>
  <c r="YA54" i="1" s="1"/>
  <c r="XT18" i="1"/>
  <c r="XZ18" i="1" s="1"/>
  <c r="YA18" i="1" s="1"/>
  <c r="XT125" i="1"/>
  <c r="XZ125" i="1" s="1"/>
  <c r="XT56" i="1"/>
  <c r="XZ56" i="1" s="1"/>
  <c r="YA56" i="1" s="1"/>
  <c r="WB160" i="1"/>
  <c r="AD247" i="14" s="1"/>
  <c r="M235" i="10" s="1"/>
  <c r="M233" i="10"/>
  <c r="I20" i="14"/>
  <c r="I227" i="10"/>
  <c r="G21" i="14"/>
  <c r="WA90" i="1"/>
  <c r="AC177" i="14" s="1"/>
  <c r="L165" i="10" s="1"/>
  <c r="WB71" i="1"/>
  <c r="AD158" i="14" s="1"/>
  <c r="M146" i="10" s="1"/>
  <c r="XT14" i="1"/>
  <c r="XZ14" i="1" s="1"/>
  <c r="Y177" i="14"/>
  <c r="AB177" i="14" s="1"/>
  <c r="K165" i="10" s="1"/>
  <c r="XT36" i="1"/>
  <c r="XZ36" i="1" s="1"/>
  <c r="YA36" i="1" s="1"/>
  <c r="Q212" i="14"/>
  <c r="H200" i="10" s="1"/>
  <c r="XT66" i="1"/>
  <c r="XZ66" i="1" s="1"/>
  <c r="XT132" i="1"/>
  <c r="XZ132" i="1" s="1"/>
  <c r="YA132" i="1" s="1"/>
  <c r="WB111" i="1"/>
  <c r="AD198" i="14" s="1"/>
  <c r="M186" i="10" s="1"/>
  <c r="WB157" i="1"/>
  <c r="AD244" i="14" s="1"/>
  <c r="M232" i="10" s="1"/>
  <c r="XT61" i="1"/>
  <c r="XZ61" i="1" s="1"/>
  <c r="XT22" i="1"/>
  <c r="XZ22" i="1" s="1"/>
  <c r="XT35" i="1"/>
  <c r="XZ35" i="1" s="1"/>
  <c r="YA35" i="1" s="1"/>
  <c r="Q108" i="14"/>
  <c r="H96" i="10" s="1"/>
  <c r="XY99" i="1"/>
  <c r="Q99" i="14"/>
  <c r="H87" i="10" s="1"/>
  <c r="XT157" i="1"/>
  <c r="XZ157" i="1" s="1"/>
  <c r="YA157" i="1" s="1"/>
  <c r="XT60" i="1"/>
  <c r="XZ60" i="1" s="1"/>
  <c r="YA60" i="1" s="1"/>
  <c r="XT141" i="1"/>
  <c r="XZ141" i="1" s="1"/>
  <c r="XT26" i="1"/>
  <c r="XZ26" i="1" s="1"/>
  <c r="YA26" i="1" s="1"/>
  <c r="Y190" i="14"/>
  <c r="AB190" i="14" s="1"/>
  <c r="K178" i="10" s="1"/>
  <c r="XT96" i="1"/>
  <c r="XZ96" i="1" s="1"/>
  <c r="YA96" i="1" s="1"/>
  <c r="XT109" i="1"/>
  <c r="XZ109" i="1" s="1"/>
  <c r="XT82" i="1"/>
  <c r="XZ82" i="1" s="1"/>
  <c r="YA82" i="1" s="1"/>
  <c r="Q238" i="14"/>
  <c r="H226" i="10" s="1"/>
  <c r="Q151" i="14"/>
  <c r="H139" i="10" s="1"/>
  <c r="WB132" i="1"/>
  <c r="AD219" i="14" s="1"/>
  <c r="M207" i="10" s="1"/>
  <c r="WB87" i="1"/>
  <c r="AD174" i="14" s="1"/>
  <c r="M162" i="10" s="1"/>
  <c r="WB59" i="1"/>
  <c r="AD146" i="14" s="1"/>
  <c r="M134" i="10" s="1"/>
  <c r="WB162" i="1"/>
  <c r="AD249" i="14" s="1"/>
  <c r="M237" i="10" s="1"/>
  <c r="XT34" i="1"/>
  <c r="XZ34" i="1" s="1"/>
  <c r="Y144" i="14"/>
  <c r="AB144" i="14" s="1"/>
  <c r="K132" i="10" s="1"/>
  <c r="XT19" i="1"/>
  <c r="XZ19" i="1" s="1"/>
  <c r="YA19" i="1" s="1"/>
  <c r="XT118" i="1"/>
  <c r="XZ118" i="1" s="1"/>
  <c r="YA118" i="1" s="1"/>
  <c r="XT47" i="1"/>
  <c r="XZ47" i="1" s="1"/>
  <c r="WB12" i="1"/>
  <c r="AD99" i="14" s="1"/>
  <c r="M87" i="10" s="1"/>
  <c r="XT94" i="1"/>
  <c r="XZ94" i="1" s="1"/>
  <c r="YA94" i="1" s="1"/>
  <c r="XT163" i="1"/>
  <c r="XZ163" i="1" s="1"/>
  <c r="YA163" i="1" s="1"/>
  <c r="XT65" i="1"/>
  <c r="XZ65" i="1" s="1"/>
  <c r="XT28" i="1"/>
  <c r="XZ28" i="1" s="1"/>
  <c r="YA28" i="1" s="1"/>
  <c r="XT159" i="1"/>
  <c r="XZ159" i="1" s="1"/>
  <c r="YA159" i="1" s="1"/>
  <c r="XT33" i="1"/>
  <c r="XZ33" i="1" s="1"/>
  <c r="YA33" i="1" s="1"/>
  <c r="XT103" i="1"/>
  <c r="XZ103" i="1" s="1"/>
  <c r="XT23" i="1"/>
  <c r="XZ23" i="1" s="1"/>
  <c r="YA23" i="1" s="1"/>
  <c r="XT70" i="1"/>
  <c r="XZ70" i="1" s="1"/>
  <c r="YA70" i="1" s="1"/>
  <c r="XT12" i="1"/>
  <c r="XZ12" i="1" s="1"/>
  <c r="YA12" i="1" s="1"/>
  <c r="XT136" i="1"/>
  <c r="XZ136" i="1" s="1"/>
  <c r="YA136" i="1" s="1"/>
  <c r="XT110" i="1"/>
  <c r="XZ110" i="1" s="1"/>
  <c r="YA110" i="1" s="1"/>
  <c r="XT93" i="1"/>
  <c r="XZ93" i="1" s="1"/>
  <c r="YA93" i="1" s="1"/>
  <c r="XT146" i="1"/>
  <c r="XZ146" i="1" s="1"/>
  <c r="YA146" i="1" s="1"/>
  <c r="XT137" i="1"/>
  <c r="XZ137" i="1" s="1"/>
  <c r="XT44" i="1"/>
  <c r="XZ44" i="1" s="1"/>
  <c r="YA44" i="1" s="1"/>
  <c r="XT147" i="1"/>
  <c r="XZ147" i="1" s="1"/>
  <c r="YA147" i="1" s="1"/>
  <c r="XT68" i="1"/>
  <c r="XZ68" i="1" s="1"/>
  <c r="YA68" i="1" s="1"/>
  <c r="XT112" i="1"/>
  <c r="XZ112" i="1" s="1"/>
  <c r="XT129" i="1"/>
  <c r="XZ129" i="1" s="1"/>
  <c r="YA129" i="1" s="1"/>
  <c r="Q174" i="14"/>
  <c r="H162" i="10" s="1"/>
  <c r="XT104" i="1"/>
  <c r="XZ104" i="1" s="1"/>
  <c r="YA104" i="1" s="1"/>
  <c r="XT108" i="1"/>
  <c r="XZ108" i="1" s="1"/>
  <c r="XT131" i="1"/>
  <c r="XZ131" i="1" s="1"/>
  <c r="YA131" i="1" s="1"/>
  <c r="Y154" i="14"/>
  <c r="AB154" i="14" s="1"/>
  <c r="K142" i="10" s="1"/>
  <c r="WB58" i="1"/>
  <c r="AD145" i="14" s="1"/>
  <c r="M133" i="10" s="1"/>
  <c r="WB34" i="1"/>
  <c r="AD121" i="14" s="1"/>
  <c r="M109" i="10" s="1"/>
  <c r="WB17" i="1"/>
  <c r="AD104" i="14" s="1"/>
  <c r="M92" i="10" s="1"/>
  <c r="WB85" i="1"/>
  <c r="AD172" i="14" s="1"/>
  <c r="M160" i="10" s="1"/>
  <c r="WB114" i="1"/>
  <c r="AD201" i="14" s="1"/>
  <c r="M189" i="10" s="1"/>
  <c r="WB82" i="1"/>
  <c r="AD169" i="14" s="1"/>
  <c r="M157" i="10" s="1"/>
  <c r="WB15" i="1"/>
  <c r="AD102" i="14" s="1"/>
  <c r="M90" i="10" s="1"/>
  <c r="WB41" i="1"/>
  <c r="AD128" i="14" s="1"/>
  <c r="M116" i="10" s="1"/>
  <c r="WB62" i="1"/>
  <c r="AD149" i="14" s="1"/>
  <c r="M137" i="10" s="1"/>
  <c r="Y21" i="14"/>
  <c r="I14" i="24" s="1"/>
  <c r="AC21" i="14"/>
  <c r="AB21" i="14"/>
  <c r="R18" i="14"/>
  <c r="H11" i="24" s="1"/>
  <c r="Y102" i="14"/>
  <c r="AB102" i="14" s="1"/>
  <c r="K90" i="10" s="1"/>
  <c r="R20" i="14"/>
  <c r="H13" i="24" s="1"/>
  <c r="Y160" i="14"/>
  <c r="AB160" i="14" s="1"/>
  <c r="K148" i="10" s="1"/>
  <c r="Q153" i="14"/>
  <c r="H141" i="10" s="1"/>
  <c r="Q184" i="14"/>
  <c r="H172" i="10" s="1"/>
  <c r="Q98" i="14"/>
  <c r="H86" i="10" s="1"/>
  <c r="Q109" i="14"/>
  <c r="H97" i="10" s="1"/>
  <c r="Q214" i="14"/>
  <c r="H202" i="10" s="1"/>
  <c r="P17" i="14"/>
  <c r="Q142" i="14"/>
  <c r="H130" i="10" s="1"/>
  <c r="Q198" i="14"/>
  <c r="H186" i="10" s="1"/>
  <c r="Q178" i="14"/>
  <c r="H166" i="10" s="1"/>
  <c r="Y129" i="14"/>
  <c r="AB129" i="14" s="1"/>
  <c r="K117" i="10" s="1"/>
  <c r="Q196" i="14"/>
  <c r="H184" i="10" s="1"/>
  <c r="Y161" i="14"/>
  <c r="AB161" i="14" s="1"/>
  <c r="K149" i="10" s="1"/>
  <c r="Q125" i="14"/>
  <c r="H113" i="10" s="1"/>
  <c r="Y118" i="14"/>
  <c r="Y19" i="14" s="1"/>
  <c r="I12" i="24" s="1"/>
  <c r="WB74" i="1"/>
  <c r="AD161" i="14" s="1"/>
  <c r="M149" i="10" s="1"/>
  <c r="Q118" i="14"/>
  <c r="H106" i="10" s="1"/>
  <c r="Q244" i="14"/>
  <c r="H232" i="10" s="1"/>
  <c r="Q222" i="14"/>
  <c r="H210" i="10" s="1"/>
  <c r="D53" i="14"/>
  <c r="R33" i="24" s="1"/>
  <c r="D54" i="14"/>
  <c r="R34" i="24" s="1"/>
  <c r="E53" i="14"/>
  <c r="S33" i="24" s="1"/>
  <c r="E46" i="14"/>
  <c r="S26" i="24" s="1"/>
  <c r="E54" i="14"/>
  <c r="S34" i="24" s="1"/>
  <c r="D46" i="14"/>
  <c r="R26" i="24" s="1"/>
  <c r="Q248" i="14"/>
  <c r="H236" i="10" s="1"/>
  <c r="XS5" i="1"/>
  <c r="XY51" i="1"/>
  <c r="Y223" i="14"/>
  <c r="AB223" i="14" s="1"/>
  <c r="K211" i="10" s="1"/>
  <c r="Y112" i="14"/>
  <c r="AB112" i="14" s="1"/>
  <c r="K100" i="10" s="1"/>
  <c r="J8" i="10" s="1"/>
  <c r="WA16" i="1"/>
  <c r="AC103" i="14" s="1"/>
  <c r="L91" i="10" s="1"/>
  <c r="WB16" i="1"/>
  <c r="AD103" i="14" s="1"/>
  <c r="M91" i="10" s="1"/>
  <c r="WA139" i="1"/>
  <c r="AC226" i="14" s="1"/>
  <c r="L214" i="10" s="1"/>
  <c r="WB139" i="1"/>
  <c r="AD226" i="14" s="1"/>
  <c r="M214" i="10" s="1"/>
  <c r="WA92" i="1"/>
  <c r="AC179" i="14" s="1"/>
  <c r="L167" i="10" s="1"/>
  <c r="WB92" i="1"/>
  <c r="AD179" i="14" s="1"/>
  <c r="M167" i="10" s="1"/>
  <c r="WA18" i="1"/>
  <c r="AC105" i="14" s="1"/>
  <c r="L93" i="10" s="1"/>
  <c r="WB18" i="1"/>
  <c r="AD105" i="14" s="1"/>
  <c r="M93" i="10" s="1"/>
  <c r="WA73" i="1"/>
  <c r="AC160" i="14" s="1"/>
  <c r="L148" i="10" s="1"/>
  <c r="WB73" i="1"/>
  <c r="AD160" i="14" s="1"/>
  <c r="M148" i="10" s="1"/>
  <c r="WA35" i="1"/>
  <c r="AC122" i="14" s="1"/>
  <c r="L110" i="10" s="1"/>
  <c r="WB35" i="1"/>
  <c r="AD122" i="14" s="1"/>
  <c r="M110" i="10" s="1"/>
  <c r="WA29" i="1"/>
  <c r="AC116" i="14" s="1"/>
  <c r="L104" i="10" s="1"/>
  <c r="WB29" i="1"/>
  <c r="AD116" i="14" s="1"/>
  <c r="M104" i="10" s="1"/>
  <c r="WA66" i="1"/>
  <c r="AC153" i="14" s="1"/>
  <c r="L141" i="10" s="1"/>
  <c r="WB66" i="1"/>
  <c r="WA161" i="1"/>
  <c r="AC248" i="14" s="1"/>
  <c r="L236" i="10" s="1"/>
  <c r="WB161" i="1"/>
  <c r="AD248" i="14" s="1"/>
  <c r="M236" i="10" s="1"/>
  <c r="WA91" i="1"/>
  <c r="AC178" i="14" s="1"/>
  <c r="L166" i="10" s="1"/>
  <c r="WB91" i="1"/>
  <c r="AD178" i="14" s="1"/>
  <c r="M166" i="10" s="1"/>
  <c r="WA127" i="1"/>
  <c r="AC214" i="14" s="1"/>
  <c r="L202" i="10" s="1"/>
  <c r="WB127" i="1"/>
  <c r="AD214" i="14" s="1"/>
  <c r="M202" i="10" s="1"/>
  <c r="WA148" i="1"/>
  <c r="AC235" i="14" s="1"/>
  <c r="L223" i="10" s="1"/>
  <c r="WB148" i="1"/>
  <c r="AD235" i="14" s="1"/>
  <c r="M223" i="10" s="1"/>
  <c r="WA60" i="1"/>
  <c r="AC147" i="14" s="1"/>
  <c r="L135" i="10" s="1"/>
  <c r="WB60" i="1"/>
  <c r="AD147" i="14" s="1"/>
  <c r="M135" i="10" s="1"/>
  <c r="WA68" i="1"/>
  <c r="AC155" i="14" s="1"/>
  <c r="L143" i="10" s="1"/>
  <c r="WB68" i="1"/>
  <c r="AD155" i="14" s="1"/>
  <c r="M143" i="10" s="1"/>
  <c r="WA31" i="1"/>
  <c r="AC118" i="14" s="1"/>
  <c r="H19" i="14" s="1"/>
  <c r="WB31" i="1"/>
  <c r="AD118" i="14" s="1"/>
  <c r="E45" i="14"/>
  <c r="S25" i="24" s="1"/>
  <c r="D45" i="14"/>
  <c r="R25" i="24" s="1"/>
  <c r="WB10" i="1"/>
  <c r="AD97" i="14" s="1"/>
  <c r="I16" i="14" s="1"/>
  <c r="WA11" i="1"/>
  <c r="AC98" i="14" s="1"/>
  <c r="H17" i="14" s="1"/>
  <c r="WB11" i="1"/>
  <c r="AD98" i="14" s="1"/>
  <c r="WA136" i="1"/>
  <c r="AC223" i="14" s="1"/>
  <c r="L211" i="10" s="1"/>
  <c r="WB136" i="1"/>
  <c r="AD223" i="14" s="1"/>
  <c r="M211" i="10" s="1"/>
  <c r="WA151" i="1"/>
  <c r="AC238" i="14" s="1"/>
  <c r="L226" i="10" s="1"/>
  <c r="WB151" i="1"/>
  <c r="AD238" i="14" s="1"/>
  <c r="M226" i="10" s="1"/>
  <c r="WA25" i="1"/>
  <c r="AC112" i="14" s="1"/>
  <c r="L100" i="10" s="1"/>
  <c r="K8" i="10" s="1"/>
  <c r="WB25" i="1"/>
  <c r="AD112" i="14" s="1"/>
  <c r="M100" i="10" s="1"/>
  <c r="L8" i="10" s="1"/>
  <c r="WA125" i="1"/>
  <c r="AC212" i="14" s="1"/>
  <c r="L200" i="10" s="1"/>
  <c r="WB125" i="1"/>
  <c r="AD212" i="14" s="1"/>
  <c r="M200" i="10" s="1"/>
  <c r="WA47" i="1"/>
  <c r="AC134" i="14" s="1"/>
  <c r="L122" i="10" s="1"/>
  <c r="WB47" i="1"/>
  <c r="AD134" i="14" s="1"/>
  <c r="M122" i="10" s="1"/>
  <c r="WA152" i="1"/>
  <c r="AC239" i="14" s="1"/>
  <c r="WB152" i="1"/>
  <c r="AD239" i="14" s="1"/>
  <c r="WA42" i="1"/>
  <c r="AC129" i="14" s="1"/>
  <c r="L117" i="10" s="1"/>
  <c r="WB42" i="1"/>
  <c r="AD129" i="14" s="1"/>
  <c r="M117" i="10" s="1"/>
  <c r="G37" i="14"/>
  <c r="E37" i="14" s="1"/>
  <c r="S17" i="24" s="1"/>
  <c r="F37" i="14"/>
  <c r="Q155" i="14"/>
  <c r="H143" i="10" s="1"/>
  <c r="D38" i="14"/>
  <c r="R18" i="24" s="1"/>
  <c r="E29" i="14"/>
  <c r="S9" i="24" s="1"/>
  <c r="D37" i="14"/>
  <c r="R17" i="24" s="1"/>
  <c r="D29" i="14"/>
  <c r="R9" i="24" s="1"/>
  <c r="E30" i="14"/>
  <c r="S10" i="24" s="1"/>
  <c r="D30" i="14"/>
  <c r="R10" i="24" s="1"/>
  <c r="WA10" i="1"/>
  <c r="AD202" i="14"/>
  <c r="M190" i="10" s="1"/>
  <c r="AD125" i="14"/>
  <c r="M113" i="10" s="1"/>
  <c r="AD153" i="14"/>
  <c r="M141" i="10" s="1"/>
  <c r="AB97" i="14"/>
  <c r="Y16" i="14"/>
  <c r="I9" i="24" s="1"/>
  <c r="Z20" i="14"/>
  <c r="AB195" i="14"/>
  <c r="Z21" i="14"/>
  <c r="AB245" i="14"/>
  <c r="AA21" i="14" s="1"/>
  <c r="Z17" i="14"/>
  <c r="AB98" i="14"/>
  <c r="D38" i="10" a="1"/>
  <c r="Q226" i="14"/>
  <c r="H214" i="10" s="1"/>
  <c r="Y116" i="14"/>
  <c r="AB116" i="14" s="1"/>
  <c r="K104" i="10" s="1"/>
  <c r="L126" i="10"/>
  <c r="YA51" i="1"/>
  <c r="L171" i="10"/>
  <c r="YA152" i="1"/>
  <c r="L196" i="10"/>
  <c r="YA121" i="1"/>
  <c r="YA150" i="1"/>
  <c r="L164" i="10"/>
  <c r="YA78" i="1"/>
  <c r="L153" i="10"/>
  <c r="L173" i="10"/>
  <c r="L217" i="10"/>
  <c r="YA117" i="1"/>
  <c r="L192" i="10"/>
  <c r="YA55" i="1"/>
  <c r="L130" i="10"/>
  <c r="YA138" i="1"/>
  <c r="L213" i="10"/>
  <c r="YA140" i="1"/>
  <c r="L215" i="10"/>
  <c r="L185" i="10"/>
  <c r="YA155" i="1"/>
  <c r="L230" i="10"/>
  <c r="L168" i="10"/>
  <c r="L95" i="10"/>
  <c r="L221" i="10"/>
  <c r="L107" i="10"/>
  <c r="YA32" i="1"/>
  <c r="YA137" i="1"/>
  <c r="L212" i="10"/>
  <c r="L209" i="10"/>
  <c r="L119" i="10"/>
  <c r="L228" i="10"/>
  <c r="L222" i="10"/>
  <c r="L129" i="10"/>
  <c r="YA43" i="1"/>
  <c r="L118" i="10"/>
  <c r="YA112" i="1"/>
  <c r="L187" i="10"/>
  <c r="YA130" i="1"/>
  <c r="L205" i="10"/>
  <c r="L204" i="10"/>
  <c r="L90" i="10"/>
  <c r="YA15" i="1"/>
  <c r="YA124" i="1"/>
  <c r="YA135" i="1"/>
  <c r="L210" i="10"/>
  <c r="L189" i="10"/>
  <c r="YA114" i="1"/>
  <c r="YA88" i="1"/>
  <c r="L163" i="10"/>
  <c r="L180" i="10"/>
  <c r="YA105" i="1"/>
  <c r="L181" i="10"/>
  <c r="YA106" i="1"/>
  <c r="YA120" i="1"/>
  <c r="L195" i="10"/>
  <c r="L191" i="10"/>
  <c r="YA116" i="1"/>
  <c r="L146" i="10"/>
  <c r="YA29" i="1"/>
  <c r="L111" i="10"/>
  <c r="YA30" i="1"/>
  <c r="L105" i="10"/>
  <c r="YA40" i="1"/>
  <c r="L115" i="10"/>
  <c r="H233" i="10"/>
  <c r="L155" i="10"/>
  <c r="YA66" i="1"/>
  <c r="L208" i="10"/>
  <c r="YA133" i="1"/>
  <c r="YA109" i="1"/>
  <c r="L184" i="10"/>
  <c r="L207" i="10"/>
  <c r="YA38" i="1"/>
  <c r="L113" i="10"/>
  <c r="L169" i="10"/>
  <c r="L238" i="10"/>
  <c r="YA48" i="1"/>
  <c r="L123" i="10"/>
  <c r="L140" i="10"/>
  <c r="YA65" i="1"/>
  <c r="L188" i="10"/>
  <c r="YA113" i="1"/>
  <c r="L103" i="10"/>
  <c r="L234" i="10"/>
  <c r="L198" i="10"/>
  <c r="L108" i="10"/>
  <c r="L124" i="10"/>
  <c r="YA103" i="1"/>
  <c r="L178" i="10"/>
  <c r="L152" i="10"/>
  <c r="L160" i="10"/>
  <c r="L145" i="10"/>
  <c r="YA59" i="1"/>
  <c r="L134" i="10"/>
  <c r="L87" i="10"/>
  <c r="YA83" i="1"/>
  <c r="L158" i="10"/>
  <c r="YA91" i="1"/>
  <c r="L102" i="10"/>
  <c r="YA27" i="1"/>
  <c r="H183" i="10"/>
  <c r="YA16" i="1"/>
  <c r="YA81" i="1"/>
  <c r="L156" i="10"/>
  <c r="YA42" i="1"/>
  <c r="L139" i="10"/>
  <c r="YA53" i="1"/>
  <c r="L128" i="10"/>
  <c r="YA21" i="1"/>
  <c r="L96" i="10"/>
  <c r="YA125" i="1"/>
  <c r="L201" i="10"/>
  <c r="YA101" i="1"/>
  <c r="L176" i="10"/>
  <c r="YA72" i="1"/>
  <c r="L147" i="10"/>
  <c r="YA143" i="1"/>
  <c r="L218" i="10"/>
  <c r="L131" i="10"/>
  <c r="L162" i="10"/>
  <c r="YA92" i="1"/>
  <c r="P16" i="14"/>
  <c r="Z16" i="14"/>
  <c r="Q97" i="14"/>
  <c r="L170" i="10"/>
  <c r="YA154" i="1"/>
  <c r="L229" i="10"/>
  <c r="YA158" i="1"/>
  <c r="YA84" i="1"/>
  <c r="L159" i="10"/>
  <c r="YA162" i="1"/>
  <c r="L237" i="10"/>
  <c r="YA74" i="1"/>
  <c r="L149" i="10"/>
  <c r="L157" i="10"/>
  <c r="H112" i="10"/>
  <c r="L172" i="10"/>
  <c r="YA97" i="1"/>
  <c r="YA102" i="1"/>
  <c r="L177" i="10"/>
  <c r="YA61" i="1"/>
  <c r="L136" i="10"/>
  <c r="L142" i="10"/>
  <c r="YA67" i="1"/>
  <c r="L120" i="10"/>
  <c r="YA45" i="1"/>
  <c r="YA39" i="1"/>
  <c r="L114" i="10"/>
  <c r="YA14" i="1"/>
  <c r="L89" i="10"/>
  <c r="L175" i="10"/>
  <c r="YA100" i="1"/>
  <c r="L151" i="10"/>
  <c r="YA34" i="1"/>
  <c r="L109" i="10"/>
  <c r="YA63" i="1"/>
  <c r="L138" i="10"/>
  <c r="YA62" i="1"/>
  <c r="L137" i="10"/>
  <c r="L190" i="10"/>
  <c r="YA115" i="1"/>
  <c r="L97" i="10"/>
  <c r="YA111" i="1"/>
  <c r="L186" i="10"/>
  <c r="L92" i="10"/>
  <c r="YA99" i="1"/>
  <c r="L174" i="10"/>
  <c r="L232" i="10"/>
  <c r="L121" i="10"/>
  <c r="YA90" i="1"/>
  <c r="L194" i="10"/>
  <c r="L94" i="10"/>
  <c r="YA41" i="1"/>
  <c r="L116" i="10"/>
  <c r="YA145" i="1"/>
  <c r="L220" i="10"/>
  <c r="L231" i="10"/>
  <c r="YA160" i="1"/>
  <c r="L235" i="10"/>
  <c r="YA52" i="1"/>
  <c r="L127" i="10"/>
  <c r="L216" i="10"/>
  <c r="YA141" i="1"/>
  <c r="YA69" i="1"/>
  <c r="L144" i="10"/>
  <c r="L150" i="10"/>
  <c r="YA75" i="1"/>
  <c r="L133" i="10"/>
  <c r="L101" i="10"/>
  <c r="YA24" i="1"/>
  <c r="L99" i="10"/>
  <c r="I85" i="10"/>
  <c r="H7" i="10" s="1"/>
  <c r="L193" i="10"/>
  <c r="YA107" i="1"/>
  <c r="L182" i="10"/>
  <c r="YA57" i="1"/>
  <c r="L179" i="10"/>
  <c r="L125" i="10"/>
  <c r="L161" i="10"/>
  <c r="YA47" i="1"/>
  <c r="YA108" i="1"/>
  <c r="YA122" i="1"/>
  <c r="YA79" i="1"/>
  <c r="L154" i="10"/>
  <c r="YA144" i="1"/>
  <c r="L219" i="10"/>
  <c r="L206" i="10"/>
  <c r="L203" i="10"/>
  <c r="R21" i="14" l="1"/>
  <c r="H15" i="24" s="1"/>
  <c r="I15" i="24"/>
  <c r="I18" i="14"/>
  <c r="E27" i="10"/>
  <c r="D46" i="10"/>
  <c r="AB124" i="14"/>
  <c r="Z18" i="14"/>
  <c r="M227" i="10"/>
  <c r="I21" i="14"/>
  <c r="L227" i="10"/>
  <c r="H21" i="14"/>
  <c r="M106" i="10"/>
  <c r="I19" i="14"/>
  <c r="M86" i="10"/>
  <c r="I17" i="14"/>
  <c r="F74" i="10"/>
  <c r="D20" i="10" a="1"/>
  <c r="D20" i="10" s="1"/>
  <c r="F36" i="10" s="1"/>
  <c r="YA22" i="1"/>
  <c r="D39" i="10" s="1"/>
  <c r="E35" i="10"/>
  <c r="E44" i="10" a="1"/>
  <c r="E44" i="10" s="1"/>
  <c r="I37" i="10" s="1"/>
  <c r="D30" i="10"/>
  <c r="E36" i="10" a="1"/>
  <c r="E36" i="10" s="1"/>
  <c r="H37" i="10" s="1"/>
  <c r="D18" i="10"/>
  <c r="F76" i="10"/>
  <c r="E46" i="10"/>
  <c r="E42" i="10"/>
  <c r="D28" i="10" a="1"/>
  <c r="D28" i="10" s="1"/>
  <c r="G36" i="10" s="1"/>
  <c r="F75" i="10"/>
  <c r="D34" i="10"/>
  <c r="E30" i="10"/>
  <c r="D42" i="10"/>
  <c r="D41" i="14"/>
  <c r="R21" i="24" s="1"/>
  <c r="D36" i="10" a="1"/>
  <c r="D36" i="10" s="1"/>
  <c r="H36" i="10" s="1"/>
  <c r="E28" i="10" a="1"/>
  <c r="E28" i="10" s="1"/>
  <c r="G37" i="10" s="1"/>
  <c r="E34" i="10"/>
  <c r="D22" i="10"/>
  <c r="E18" i="10"/>
  <c r="E26" i="10"/>
  <c r="F73" i="10"/>
  <c r="E41" i="14"/>
  <c r="S21" i="24" s="1"/>
  <c r="D44" i="10" a="1"/>
  <c r="D44" i="10" s="1"/>
  <c r="I36" i="10" s="1"/>
  <c r="D38" i="10"/>
  <c r="D26" i="10"/>
  <c r="E22" i="10"/>
  <c r="E38" i="10"/>
  <c r="G88" i="14"/>
  <c r="H47" i="24" s="1"/>
  <c r="AA17" i="14"/>
  <c r="AB17" i="14"/>
  <c r="AA20" i="14"/>
  <c r="AB20" i="14"/>
  <c r="AA16" i="14"/>
  <c r="AB16" i="14"/>
  <c r="AA18" i="14"/>
  <c r="AB18" i="14"/>
  <c r="R17" i="14"/>
  <c r="H10" i="24" s="1"/>
  <c r="R16" i="14"/>
  <c r="H9" i="24" s="1"/>
  <c r="R19" i="14"/>
  <c r="H12" i="24" s="1"/>
  <c r="G87" i="14"/>
  <c r="H46" i="24" s="1"/>
  <c r="E20" i="10" a="1"/>
  <c r="E20" i="10" s="1"/>
  <c r="F37" i="10" s="1"/>
  <c r="D19" i="10"/>
  <c r="D35" i="10"/>
  <c r="F77" i="10"/>
  <c r="D27" i="10"/>
  <c r="G84" i="14"/>
  <c r="E47" i="10"/>
  <c r="XY5" i="1"/>
  <c r="XY2" i="1" s="1"/>
  <c r="D43" i="10"/>
  <c r="AB118" i="14"/>
  <c r="K106" i="10" s="1"/>
  <c r="Z19" i="14"/>
  <c r="G83" i="14"/>
  <c r="H42" i="24" s="1"/>
  <c r="D47" i="10"/>
  <c r="D32" i="14" a="1"/>
  <c r="D32" i="14" s="1"/>
  <c r="R12" i="24" s="1"/>
  <c r="D58" i="14"/>
  <c r="R38" i="24" s="1"/>
  <c r="E50" i="14"/>
  <c r="S30" i="24" s="1"/>
  <c r="E48" i="14" a="1"/>
  <c r="E48" i="14" s="1"/>
  <c r="S28" i="24" s="1"/>
  <c r="D34" i="14" a="1"/>
  <c r="D34" i="14" s="1"/>
  <c r="R14" i="24" s="1"/>
  <c r="E34" i="14" a="1"/>
  <c r="E34" i="14" s="1"/>
  <c r="S14" i="24" s="1"/>
  <c r="D50" i="14"/>
  <c r="R30" i="24" s="1"/>
  <c r="D48" i="14" a="1"/>
  <c r="D48" i="14" s="1"/>
  <c r="R28" i="24" s="1"/>
  <c r="E58" i="14"/>
  <c r="S38" i="24" s="1"/>
  <c r="E56" i="14" a="1"/>
  <c r="E56" i="14" s="1"/>
  <c r="S36" i="24" s="1"/>
  <c r="D56" i="14" a="1"/>
  <c r="D56" i="14" s="1"/>
  <c r="R36" i="24" s="1"/>
  <c r="F38" i="14"/>
  <c r="E55" i="14" a="1"/>
  <c r="E55" i="14" s="1"/>
  <c r="I56" i="14" s="1"/>
  <c r="D47" i="14" a="1"/>
  <c r="D47" i="14" s="1"/>
  <c r="H55" i="14" s="1"/>
  <c r="E57" i="14"/>
  <c r="S37" i="24" s="1"/>
  <c r="D49" i="14"/>
  <c r="R29" i="24" s="1"/>
  <c r="D57" i="14"/>
  <c r="R37" i="24" s="1"/>
  <c r="D55" i="14" a="1"/>
  <c r="D55" i="14" s="1"/>
  <c r="H56" i="14" s="1"/>
  <c r="E33" i="14" a="1"/>
  <c r="E33" i="14" s="1"/>
  <c r="S13" i="24" s="1"/>
  <c r="E49" i="14"/>
  <c r="S29" i="24" s="1"/>
  <c r="E47" i="14" a="1"/>
  <c r="E47" i="14" s="1"/>
  <c r="I55" i="14" s="1"/>
  <c r="D33" i="14" a="1"/>
  <c r="D33" i="14" s="1"/>
  <c r="R13" i="24" s="1"/>
  <c r="F40" i="14" a="1"/>
  <c r="F40" i="14" s="1"/>
  <c r="D40" i="14" s="1"/>
  <c r="R20" i="24" s="1"/>
  <c r="G86" i="14"/>
  <c r="H45" i="24" s="1"/>
  <c r="H43" i="24"/>
  <c r="G38" i="14"/>
  <c r="E38" i="14" s="1"/>
  <c r="S18" i="24" s="1"/>
  <c r="E19" i="10"/>
  <c r="E43" i="10"/>
  <c r="E32" i="14" a="1"/>
  <c r="E32" i="14" s="1"/>
  <c r="S12" i="24" s="1"/>
  <c r="G85" i="14"/>
  <c r="H44" i="24" s="1"/>
  <c r="D42" i="14"/>
  <c r="R22" i="24" s="1"/>
  <c r="E42" i="14"/>
  <c r="S22" i="24" s="1"/>
  <c r="G40" i="14" a="1"/>
  <c r="G40" i="14" s="1"/>
  <c r="E40" i="14" s="1"/>
  <c r="S20" i="24" s="1"/>
  <c r="K85" i="10"/>
  <c r="J7" i="10" s="1"/>
  <c r="E31" i="14" a="1"/>
  <c r="E31" i="14" s="1"/>
  <c r="S11" i="24" s="1"/>
  <c r="D31" i="14" a="1"/>
  <c r="D31" i="14" s="1"/>
  <c r="H53" i="14" s="1"/>
  <c r="F39" i="14" a="1"/>
  <c r="F39" i="14" s="1"/>
  <c r="D39" i="14" s="1"/>
  <c r="G39" i="14" a="1"/>
  <c r="G39" i="14" s="1"/>
  <c r="E39" i="14" s="1"/>
  <c r="AC97" i="14"/>
  <c r="H16" i="14" s="1"/>
  <c r="K183" i="10"/>
  <c r="K86" i="10"/>
  <c r="K233" i="10"/>
  <c r="K112" i="10"/>
  <c r="D31" i="10"/>
  <c r="E39" i="10"/>
  <c r="E31" i="10"/>
  <c r="L106" i="10"/>
  <c r="L112" i="10"/>
  <c r="H85" i="10"/>
  <c r="G7" i="10" s="1"/>
  <c r="L233" i="10"/>
  <c r="M85" i="10"/>
  <c r="L183" i="10"/>
  <c r="E29" i="10" a="1"/>
  <c r="E29" i="10" s="1"/>
  <c r="L86" i="10"/>
  <c r="H14" i="24" l="1"/>
  <c r="E37" i="10" a="1"/>
  <c r="E37" i="10" s="1"/>
  <c r="D21" i="10" a="1"/>
  <c r="D21" i="10" s="1"/>
  <c r="D37" i="10" a="1"/>
  <c r="D37" i="10" s="1"/>
  <c r="D29" i="10" a="1"/>
  <c r="D29" i="10" s="1"/>
  <c r="E23" i="10"/>
  <c r="D23" i="10"/>
  <c r="E45" i="10" a="1"/>
  <c r="E45" i="10" s="1"/>
  <c r="D45" i="10" a="1"/>
  <c r="D45" i="10" s="1"/>
  <c r="E21" i="10" a="1"/>
  <c r="E21" i="10" s="1"/>
  <c r="AA19" i="14"/>
  <c r="AB19" i="14"/>
  <c r="R35" i="24"/>
  <c r="J48" i="14"/>
  <c r="S27" i="24"/>
  <c r="S35" i="24"/>
  <c r="R11" i="24"/>
  <c r="I47" i="14"/>
  <c r="G47" i="14"/>
  <c r="R27" i="24"/>
  <c r="J47" i="14"/>
  <c r="L85" i="10"/>
  <c r="K7" i="10" s="1"/>
  <c r="I48" i="14"/>
  <c r="H48" i="14"/>
  <c r="I54" i="14"/>
  <c r="R19" i="24"/>
  <c r="H54" i="14"/>
  <c r="I53" i="14"/>
  <c r="G48" i="14"/>
  <c r="S19" i="24"/>
  <c r="H47" i="14"/>
  <c r="F72" i="10"/>
  <c r="L7" i="10"/>
</calcChain>
</file>

<file path=xl/comments1.xml><?xml version="1.0" encoding="utf-8"?>
<comments xmlns="http://schemas.openxmlformats.org/spreadsheetml/2006/main">
  <authors>
    <author>Daniela</author>
  </authors>
  <commentList>
    <comment ref="SF4" authorId="0" shapeId="0">
      <text>
        <r>
          <rPr>
            <b/>
            <sz val="9"/>
            <color indexed="81"/>
            <rFont val="Tahoma"/>
            <family val="2"/>
          </rPr>
          <t>Daniela:</t>
        </r>
        <r>
          <rPr>
            <sz val="9"/>
            <color indexed="81"/>
            <rFont val="Tahoma"/>
            <family val="2"/>
          </rPr>
          <t xml:space="preserve">
Includes all levies</t>
        </r>
      </text>
    </comment>
    <comment ref="SI4" authorId="0" shapeId="0">
      <text>
        <r>
          <rPr>
            <b/>
            <sz val="9"/>
            <color indexed="81"/>
            <rFont val="Tahoma"/>
            <family val="2"/>
          </rPr>
          <t>Daniela:</t>
        </r>
        <r>
          <rPr>
            <sz val="9"/>
            <color indexed="81"/>
            <rFont val="Tahoma"/>
            <family val="2"/>
          </rPr>
          <t xml:space="preserve">
Note: Mill rate * property wealth is generally less than local revenue (suggested property wealth is actually higher) = conservative est.</t>
        </r>
      </text>
    </comment>
    <comment ref="SU4" authorId="0" shapeId="0">
      <text>
        <r>
          <rPr>
            <b/>
            <sz val="9"/>
            <color indexed="81"/>
            <rFont val="Tahoma"/>
            <family val="2"/>
          </rPr>
          <t>Daniela:</t>
        </r>
        <r>
          <rPr>
            <sz val="9"/>
            <color indexed="81"/>
            <rFont val="Tahoma"/>
            <family val="2"/>
          </rPr>
          <t xml:space="preserve">
Note: Value = 0 if not in file or value is blank in file</t>
        </r>
      </text>
    </comment>
    <comment ref="SV4" authorId="0" shapeId="0">
      <text>
        <r>
          <rPr>
            <b/>
            <sz val="9"/>
            <color indexed="81"/>
            <rFont val="Tahoma"/>
            <family val="2"/>
          </rPr>
          <t>Daniela:</t>
        </r>
        <r>
          <rPr>
            <sz val="9"/>
            <color indexed="81"/>
            <rFont val="Tahoma"/>
            <family val="2"/>
          </rPr>
          <t xml:space="preserve">
Based on 2016-17 data because of irregularities in the 2015-16 data
</t>
        </r>
      </text>
    </comment>
    <comment ref="SW4" authorId="0" shapeId="0">
      <text>
        <r>
          <rPr>
            <b/>
            <sz val="9"/>
            <color indexed="81"/>
            <rFont val="Tahoma"/>
            <family val="2"/>
          </rPr>
          <t>Daniela:</t>
        </r>
        <r>
          <rPr>
            <sz val="9"/>
            <color indexed="81"/>
            <rFont val="Tahoma"/>
            <family val="2"/>
          </rPr>
          <t xml:space="preserve">
Note: If ** then 5
</t>
        </r>
      </text>
    </comment>
    <comment ref="TL4" authorId="0" shapeId="0">
      <text>
        <r>
          <rPr>
            <b/>
            <sz val="9"/>
            <color indexed="81"/>
            <rFont val="Tahoma"/>
            <family val="2"/>
          </rPr>
          <t>Daniela:</t>
        </r>
        <r>
          <rPr>
            <sz val="9"/>
            <color indexed="81"/>
            <rFont val="Tahoma"/>
            <family val="2"/>
          </rPr>
          <t xml:space="preserve">
*** input as 0%
</t>
        </r>
      </text>
    </comment>
    <comment ref="TN4" authorId="0" shapeId="0">
      <text>
        <r>
          <rPr>
            <b/>
            <sz val="9"/>
            <color indexed="81"/>
            <rFont val="Tahoma"/>
            <family val="2"/>
          </rPr>
          <t>Daniela:</t>
        </r>
        <r>
          <rPr>
            <sz val="9"/>
            <color indexed="81"/>
            <rFont val="Tahoma"/>
            <family val="2"/>
          </rPr>
          <t xml:space="preserve">
If ***, then 0%
</t>
        </r>
      </text>
    </comment>
    <comment ref="TP4" authorId="0" shapeId="0">
      <text>
        <r>
          <rPr>
            <b/>
            <sz val="9"/>
            <color indexed="81"/>
            <rFont val="Tahoma"/>
            <family val="2"/>
          </rPr>
          <t>Daniela:</t>
        </r>
        <r>
          <rPr>
            <sz val="9"/>
            <color indexed="81"/>
            <rFont val="Tahoma"/>
            <family val="2"/>
          </rPr>
          <t xml:space="preserve">
If ** = 5; If missing = 0</t>
        </r>
      </text>
    </comment>
    <comment ref="UE4" authorId="0" shapeId="0">
      <text>
        <r>
          <rPr>
            <b/>
            <sz val="9"/>
            <color indexed="81"/>
            <rFont val="Tahoma"/>
            <family val="2"/>
          </rPr>
          <t>Daniela:</t>
        </r>
        <r>
          <rPr>
            <sz val="9"/>
            <color indexed="81"/>
            <rFont val="Tahoma"/>
            <family val="2"/>
          </rPr>
          <t xml:space="preserve">
currently counts charters as small schools</t>
        </r>
      </text>
    </comment>
    <comment ref="SW5" authorId="0" shapeId="0">
      <text>
        <r>
          <rPr>
            <b/>
            <sz val="9"/>
            <color indexed="81"/>
            <rFont val="Tahoma"/>
            <family val="2"/>
          </rPr>
          <t>Daniela:</t>
        </r>
        <r>
          <rPr>
            <sz val="9"/>
            <color indexed="81"/>
            <rFont val="Tahoma"/>
            <family val="2"/>
          </rPr>
          <t xml:space="preserve">
Note: This figure is nearly twice that of 2014-15</t>
        </r>
      </text>
    </comment>
  </commentList>
</comments>
</file>

<file path=xl/comments2.xml><?xml version="1.0" encoding="utf-8"?>
<comments xmlns="http://schemas.openxmlformats.org/spreadsheetml/2006/main">
  <authors>
    <author>Daniela</author>
  </authors>
  <commentList>
    <comment ref="A1" authorId="0" shapeId="0">
      <text>
        <r>
          <rPr>
            <b/>
            <sz val="9"/>
            <color indexed="81"/>
            <rFont val="Tahoma"/>
            <family val="2"/>
          </rPr>
          <t>Daniela:</t>
        </r>
        <r>
          <rPr>
            <sz val="9"/>
            <color indexed="81"/>
            <rFont val="Tahoma"/>
            <family val="2"/>
          </rPr>
          <t xml:space="preserve">
Note: Enroll for all in-district charters seem to be included in the district counts except for Pocatello Community charter - which I hand calculated.
 </t>
        </r>
      </text>
    </comment>
    <comment ref="B14" authorId="0" shapeId="0">
      <text>
        <r>
          <rPr>
            <b/>
            <sz val="9"/>
            <color indexed="81"/>
            <rFont val="Tahoma"/>
            <family val="2"/>
          </rPr>
          <t xml:space="preserve">Daniela:Manually removed LEA to combine Pocatello with Pocatello Charter in new code below to account for fact Pocatello charter is an in-district charter
</t>
        </r>
      </text>
    </comment>
  </commentList>
</comments>
</file>

<file path=xl/comments3.xml><?xml version="1.0" encoding="utf-8"?>
<comments xmlns="http://schemas.openxmlformats.org/spreadsheetml/2006/main">
  <authors>
    <author>Daniela</author>
  </authors>
  <commentList>
    <comment ref="A1" authorId="0" shapeId="0">
      <text>
        <r>
          <rPr>
            <b/>
            <sz val="9"/>
            <color indexed="81"/>
            <rFont val="Tahoma"/>
            <family val="2"/>
          </rPr>
          <t>Daniela:</t>
        </r>
        <r>
          <rPr>
            <sz val="9"/>
            <color indexed="81"/>
            <rFont val="Tahoma"/>
            <family val="2"/>
          </rPr>
          <t xml:space="preserve">
Note: Enroll for all in-district charters seem to be included in the district counts except for Pocatello Community charter. I changed that ID by hand so it is included in Pocatello SD'd count</t>
        </r>
      </text>
    </comment>
    <comment ref="C808" authorId="0" shapeId="0">
      <text>
        <r>
          <rPr>
            <b/>
            <sz val="9"/>
            <color indexed="81"/>
            <rFont val="Tahoma"/>
            <family val="2"/>
          </rPr>
          <t>Daniela:</t>
        </r>
        <r>
          <rPr>
            <sz val="9"/>
            <color indexed="81"/>
            <rFont val="Tahoma"/>
            <family val="2"/>
          </rPr>
          <t xml:space="preserve">
Changed by hand from 494
</t>
        </r>
      </text>
    </comment>
  </commentList>
</comments>
</file>

<file path=xl/comments4.xml><?xml version="1.0" encoding="utf-8"?>
<comments xmlns="http://schemas.openxmlformats.org/spreadsheetml/2006/main">
  <authors>
    <author>Daniela</author>
  </authors>
  <commentList>
    <comment ref="B803" authorId="0" shapeId="0">
      <text>
        <r>
          <rPr>
            <b/>
            <sz val="9"/>
            <color indexed="81"/>
            <rFont val="Tahoma"/>
            <family val="2"/>
          </rPr>
          <t>Daniela:</t>
        </r>
        <r>
          <rPr>
            <sz val="9"/>
            <color indexed="81"/>
            <rFont val="Tahoma"/>
            <family val="2"/>
          </rPr>
          <t xml:space="preserve">
Changed by hand from 494
</t>
        </r>
      </text>
    </comment>
  </commentList>
</comments>
</file>

<file path=xl/sharedStrings.xml><?xml version="1.0" encoding="utf-8"?>
<sst xmlns="http://schemas.openxmlformats.org/spreadsheetml/2006/main" count="24985" uniqueCount="2828">
  <si>
    <t>Fund code</t>
  </si>
  <si>
    <t>Fund name</t>
  </si>
  <si>
    <t>GENERAL M &amp; O</t>
  </si>
  <si>
    <t>BOND REDEMPTION &amp; INTEREST</t>
  </si>
  <si>
    <t>PLANT FACILITIES</t>
  </si>
  <si>
    <t>Special Local</t>
  </si>
  <si>
    <t>FEDERAL FOREST RESERVE</t>
  </si>
  <si>
    <t>PLANT FACILITIES - SCHOOL BLDG MAINT - STUDENT OCCUPIED</t>
  </si>
  <si>
    <t>DRIVERS EDUCATION</t>
  </si>
  <si>
    <t>SCHOOL BUILDING MAINTENANCE - STUDENT OCCUPIED</t>
  </si>
  <si>
    <t>TECHNOLOGY - STATE</t>
  </si>
  <si>
    <t>Special State</t>
  </si>
  <si>
    <t>Special Federal Project</t>
  </si>
  <si>
    <t>CHILD NUTRITION</t>
  </si>
  <si>
    <t>CAPITAL  CONSTRUCTION  PROJECTS</t>
  </si>
  <si>
    <t>TRUST FUNDS</t>
  </si>
  <si>
    <t>STATE PROFESSIONAL TECHNICAL</t>
  </si>
  <si>
    <t>TITLE VI - B IDEA  -  PRESCHOOL</t>
  </si>
  <si>
    <t>TITLE IV-A, ESEA   -  SAFE &amp; DRUG-FREE SCHOOLS &amp; COMMUNITIES</t>
  </si>
  <si>
    <t>SUBSTANCE ABUSE - STATE</t>
  </si>
  <si>
    <t>TITLE I-A, ESEA - IMPROVING BASIC PROGRAMS</t>
  </si>
  <si>
    <t>TITLE I-C, ESEA - EDUCATION OF MIGRATORY CHILDREN</t>
  </si>
  <si>
    <t>IDEA Part B (School Age &amp; Preschool),  IDEA  -   SCHOOL-AGE</t>
  </si>
  <si>
    <t>TITLE III, ESEA - LANGUAGE INSTRUCTION FOR LEP &amp; IMMIGRANT</t>
  </si>
  <si>
    <t>PERKINS III - PROFESSIONAL TECHNICAL ACT</t>
  </si>
  <si>
    <t>IDEA Part B (School Age &amp; Preschool), ESEA - RURAL EDUCATION ACHIEVEMENT PROGRAMS</t>
  </si>
  <si>
    <t>TITLE II-A, ESEA  - IMPROVING TEACHER QUALITY</t>
  </si>
  <si>
    <t>TITLE I-D, ESEA - NEGLECTED &amp; DELINQUENT CHILDREN</t>
  </si>
  <si>
    <t>Revenue code</t>
  </si>
  <si>
    <t>Revenue name</t>
  </si>
  <si>
    <t>Taxes - General M &amp; O</t>
  </si>
  <si>
    <t>Taxes - Supplemental</t>
  </si>
  <si>
    <t>Taxes - Emergency</t>
  </si>
  <si>
    <t>Taxes - Tort</t>
  </si>
  <si>
    <t>Taxes - Cooperative</t>
  </si>
  <si>
    <t>Taxes - Tuition</t>
  </si>
  <si>
    <t>Taxes - Migrant</t>
  </si>
  <si>
    <t>Taxes - Other</t>
  </si>
  <si>
    <t>Taxes - Plant Facility</t>
  </si>
  <si>
    <t>Taxes - Bond &amp; Interest</t>
  </si>
  <si>
    <t>Penalty: Delinquent Taxes</t>
  </si>
  <si>
    <t>Tuition From Individuals</t>
  </si>
  <si>
    <t>Tuition From Districts in Idaho</t>
  </si>
  <si>
    <t>Tuition From Out of State Districts</t>
  </si>
  <si>
    <t>Earnings on Investments</t>
  </si>
  <si>
    <t>School Food Service</t>
  </si>
  <si>
    <t>Meal Sales: Non-reimbursable</t>
  </si>
  <si>
    <t>Other Food Sales</t>
  </si>
  <si>
    <t>Admissions/Activities</t>
  </si>
  <si>
    <t>Bookstore Sales</t>
  </si>
  <si>
    <t>Clubs/Organization Dues, Etc.</t>
  </si>
  <si>
    <t>School Fees and Charges</t>
  </si>
  <si>
    <t>Other Student Revenues</t>
  </si>
  <si>
    <t>Community Service</t>
  </si>
  <si>
    <t>Rentals</t>
  </si>
  <si>
    <t>Contributions/Donations</t>
  </si>
  <si>
    <t>Transportation Fees</t>
  </si>
  <si>
    <t>Other Local</t>
  </si>
  <si>
    <t>Other County</t>
  </si>
  <si>
    <t>Base Support Program</t>
  </si>
  <si>
    <t>Transportation Support</t>
  </si>
  <si>
    <t>Exceptional Child Support</t>
  </si>
  <si>
    <t>Border Tuition Support</t>
  </si>
  <si>
    <t>Tuition Equivalency</t>
  </si>
  <si>
    <t>Benefit Apportionment</t>
  </si>
  <si>
    <t>Other State Support</t>
  </si>
  <si>
    <t>Driver Education Program</t>
  </si>
  <si>
    <t>Professional Technical Program</t>
  </si>
  <si>
    <t>Lottery/Additional State Maintenance</t>
  </si>
  <si>
    <t>Revenue in Lieu of/Ag Equip. Taxes</t>
  </si>
  <si>
    <t>Other State Revenue</t>
  </si>
  <si>
    <t>Indirect Unrestricted Federal</t>
  </si>
  <si>
    <t>Direct Restricted Federal</t>
  </si>
  <si>
    <t>Title I - ESEA</t>
  </si>
  <si>
    <t xml:space="preserve">Title VI, ESEA - Innovative Practices </t>
  </si>
  <si>
    <t>Perkins III - Vocational Technical Act</t>
  </si>
  <si>
    <t>Adult Education</t>
  </si>
  <si>
    <t>Child Nutrition Reimbursement</t>
  </si>
  <si>
    <t>Title VI-B IDEA  Part B (School Age &amp; Preschool)</t>
  </si>
  <si>
    <t>Other Indirect Restricted Federal</t>
  </si>
  <si>
    <t>Impact Aid - P.L. 874</t>
  </si>
  <si>
    <t>Proceeds: Bonds, Cap Leases, et al</t>
  </si>
  <si>
    <t xml:space="preserve">Sale or Compensation for Loss of </t>
  </si>
  <si>
    <t>Transfers - In</t>
  </si>
  <si>
    <t>Funding Source (local, county, state, federal, other)</t>
  </si>
  <si>
    <t>Local Revenue</t>
  </si>
  <si>
    <t>County Revenue</t>
  </si>
  <si>
    <t>State Revenue</t>
  </si>
  <si>
    <t>Federal Revenue</t>
  </si>
  <si>
    <t>Other</t>
  </si>
  <si>
    <t>Funding Stream (Summary)</t>
  </si>
  <si>
    <t/>
  </si>
  <si>
    <t>Base Support</t>
  </si>
  <si>
    <t>Transportation</t>
  </si>
  <si>
    <t>Base Support - Benefits</t>
  </si>
  <si>
    <t>District Code</t>
  </si>
  <si>
    <t>District/Charter school name</t>
  </si>
  <si>
    <t>Boise Independent</t>
  </si>
  <si>
    <t>ANSER Charter School</t>
  </si>
  <si>
    <t>Meridian Joint</t>
  </si>
  <si>
    <t>Meridian Charter High School</t>
  </si>
  <si>
    <t>Meridian Medical Arts Charter School</t>
  </si>
  <si>
    <t>Kuna Joint</t>
  </si>
  <si>
    <t>Meadows Valley</t>
  </si>
  <si>
    <t>Council</t>
  </si>
  <si>
    <t>Marsh Valley Joint</t>
  </si>
  <si>
    <t>Pocatello</t>
  </si>
  <si>
    <t>Pocatello Community Charter School</t>
  </si>
  <si>
    <t>Bear Lake County</t>
  </si>
  <si>
    <t>St. Maries Joint</t>
  </si>
  <si>
    <t>Plummer / Worley Joint</t>
  </si>
  <si>
    <t>Snake River</t>
  </si>
  <si>
    <t>Blackfoot</t>
  </si>
  <si>
    <t>Aberdeen</t>
  </si>
  <si>
    <t>Firth</t>
  </si>
  <si>
    <t>Shelley Joint</t>
  </si>
  <si>
    <t>Blaine County</t>
  </si>
  <si>
    <t>Garden Valley</t>
  </si>
  <si>
    <t>Basin</t>
  </si>
  <si>
    <t>Horseshoe Bend</t>
  </si>
  <si>
    <t>West Bonner County</t>
  </si>
  <si>
    <t>Lake Pend Oreille</t>
  </si>
  <si>
    <t>Idaho Falls</t>
  </si>
  <si>
    <t>Swan Valley Elementary</t>
  </si>
  <si>
    <t>Bonneville Joint</t>
  </si>
  <si>
    <t>Boundary County</t>
  </si>
  <si>
    <t>Butte County</t>
  </si>
  <si>
    <t>Camas County</t>
  </si>
  <si>
    <t>Nampa</t>
  </si>
  <si>
    <t>Idaho Arts Charter School</t>
  </si>
  <si>
    <t>Caldwell</t>
  </si>
  <si>
    <t>Wilder</t>
  </si>
  <si>
    <t>Middleton</t>
  </si>
  <si>
    <t>Notus</t>
  </si>
  <si>
    <t>Melba Joint</t>
  </si>
  <si>
    <t>Parma</t>
  </si>
  <si>
    <t>Vallivue</t>
  </si>
  <si>
    <t>Thomas Jefferson Charter School</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</si>
  <si>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</si>
  <si>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</si>
  <si>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</si>
  <si>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</si>
  <si>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</si>
  <si>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</si>
  <si>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</si>
  <si>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</si>
  <si>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</si>
  <si>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</si>
  <si>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</si>
  <si>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</si>
  <si>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SEI Tech</t>
  </si>
  <si>
    <t>West Side Joint</t>
  </si>
  <si>
    <t>Fremont County Joint</t>
  </si>
  <si>
    <t>Emmett Independent</t>
  </si>
  <si>
    <t>Payette River Technical</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</si>
  <si>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</si>
  <si>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</si>
  <si>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</si>
  <si>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</si>
  <si>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</si>
  <si>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</si>
  <si>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</si>
  <si>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</si>
  <si>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</si>
  <si>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</si>
  <si>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</si>
  <si>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</si>
  <si>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</si>
  <si>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</si>
  <si>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</si>
  <si>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</si>
  <si>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</si>
  <si>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Moscow Charter School</t>
  </si>
  <si>
    <t>Genesee Joint</t>
  </si>
  <si>
    <t>Kendrick Joint</t>
  </si>
  <si>
    <t>Potlatch</t>
  </si>
  <si>
    <t>Troy</t>
  </si>
  <si>
    <t xml:space="preserve">Whitepine Joint </t>
  </si>
  <si>
    <t>Salmon</t>
  </si>
  <si>
    <t>South Lemhi</t>
  </si>
  <si>
    <t>Nezperce Joint</t>
  </si>
  <si>
    <t>Kamiah Joint</t>
  </si>
  <si>
    <t>Highland Joint</t>
  </si>
  <si>
    <t>Shoshone Joint</t>
  </si>
  <si>
    <t>Dietrich</t>
  </si>
  <si>
    <t>Richfield</t>
  </si>
  <si>
    <t>Madison</t>
  </si>
  <si>
    <t>Sugar-Salem Joint</t>
  </si>
  <si>
    <t>Minidoka County Joint</t>
  </si>
  <si>
    <t>ARTEC Charter School</t>
  </si>
  <si>
    <t>Lewiston Independent</t>
  </si>
  <si>
    <t>Lapwai</t>
  </si>
  <si>
    <t>Culdesac Joint</t>
  </si>
  <si>
    <t>Oneida County</t>
  </si>
  <si>
    <t>Marsing Joint</t>
  </si>
  <si>
    <t>Pleasant Valley Elementary</t>
  </si>
  <si>
    <t>Bruneau-Grand View Joint</t>
  </si>
  <si>
    <t>Homedale Joint</t>
  </si>
  <si>
    <t>Payette Joint</t>
  </si>
  <si>
    <t>New Plymouth</t>
  </si>
  <si>
    <t>Fruitland</t>
  </si>
  <si>
    <t>American Falls Joint</t>
  </si>
  <si>
    <t>Rockland</t>
  </si>
  <si>
    <t>Arbon Elementary</t>
  </si>
  <si>
    <t>Kellogg</t>
  </si>
  <si>
    <t>Mullan</t>
  </si>
  <si>
    <t>Wallace</t>
  </si>
  <si>
    <t>Avery</t>
  </si>
  <si>
    <t>Teton County</t>
  </si>
  <si>
    <t>Twin Falls</t>
  </si>
  <si>
    <t>Buhl Joint</t>
  </si>
  <si>
    <t>Filer</t>
  </si>
  <si>
    <t>Kimberly</t>
  </si>
  <si>
    <t>Hansen</t>
  </si>
  <si>
    <t>Three Creek Joint Elementary</t>
  </si>
  <si>
    <t>Castleford Joint</t>
  </si>
  <si>
    <t>Murtaugh Joint</t>
  </si>
  <si>
    <t>McCall-Donnelly Joint</t>
  </si>
  <si>
    <t>Cascade</t>
  </si>
  <si>
    <t>Weiser</t>
  </si>
  <si>
    <t>Cambridge Joint</t>
  </si>
  <si>
    <t>Midvale</t>
  </si>
  <si>
    <t>Victory Charter School</t>
  </si>
  <si>
    <t>Idaho Virtual Academy</t>
  </si>
  <si>
    <t>Richard McKenna Charter High School</t>
  </si>
  <si>
    <t>Rolling Hills Charter School</t>
  </si>
  <si>
    <t>Compass Charter School</t>
  </si>
  <si>
    <t>Falcon Ridge Charter School</t>
  </si>
  <si>
    <t>Inspire Virtual Charter School</t>
  </si>
  <si>
    <t>Liberty Charter School</t>
  </si>
  <si>
    <t>Academy at the Roosevelt Center</t>
  </si>
  <si>
    <t>Taylor's Crossing Charter School</t>
  </si>
  <si>
    <t>Xavier Charter School</t>
  </si>
  <si>
    <t>Vision Charter School</t>
  </si>
  <si>
    <t>Whitepine Charter School</t>
  </si>
  <si>
    <t>North Valley Academy</t>
  </si>
  <si>
    <t xml:space="preserve">iSucceed Charter High </t>
  </si>
  <si>
    <t>Idaho Science &amp; Technology</t>
  </si>
  <si>
    <t>Idaho Connects Online (ICON)</t>
  </si>
  <si>
    <t>Kootenai Bridge Academy</t>
  </si>
  <si>
    <t>Palouse Prairie School</t>
  </si>
  <si>
    <t>The Village Charter School</t>
  </si>
  <si>
    <t>Monticello Montessori Charter School</t>
  </si>
  <si>
    <t>Sage International School of Boise</t>
  </si>
  <si>
    <t>Another Choice Virtual Charter District</t>
  </si>
  <si>
    <t>Blackfoot Community Learning Center</t>
  </si>
  <si>
    <t>Legacy Charter School</t>
  </si>
  <si>
    <t>Heritage Academy</t>
  </si>
  <si>
    <t>North Idaho STEM Charter</t>
  </si>
  <si>
    <t>Heritage Community Charter School</t>
  </si>
  <si>
    <t>American Heritage Charter School</t>
  </si>
  <si>
    <t>Chief Tahgee Elementary Acad Charter</t>
  </si>
  <si>
    <t>Bingham Academy Charter</t>
  </si>
  <si>
    <t>Upper Carmen Charter School</t>
  </si>
  <si>
    <t>Forrest M. Bird Charter School</t>
  </si>
  <si>
    <t>Syringa Mountain Charter</t>
  </si>
  <si>
    <t>Idaho College &amp; Career Readiness Charter</t>
  </si>
  <si>
    <t>Idaho Distance Education Academy</t>
  </si>
  <si>
    <t>Coeur d' Alene Charter Academy</t>
  </si>
  <si>
    <t>North Star Charter School</t>
  </si>
  <si>
    <t>COSSA</t>
  </si>
  <si>
    <t>By State Funding Stream</t>
  </si>
  <si>
    <t>Step 1 Output</t>
  </si>
  <si>
    <t>Funding Stream</t>
  </si>
  <si>
    <t>Include? 
(From Simulator)</t>
  </si>
  <si>
    <t>Totals</t>
  </si>
  <si>
    <t>Total</t>
  </si>
  <si>
    <t>Idaho Student-Based Budgeting (SBB) Simulator</t>
  </si>
  <si>
    <t>Step 1. Choose which funding streams to include in the formula.</t>
  </si>
  <si>
    <t>Include in SBB Formula?</t>
  </si>
  <si>
    <t>X</t>
  </si>
  <si>
    <t>CURRENT FUNDING</t>
  </si>
  <si>
    <t>Current Total State Funding</t>
  </si>
  <si>
    <t>Not Included in SBB</t>
  </si>
  <si>
    <t>% Included in SBB formula</t>
  </si>
  <si>
    <t>IDAHO DEPARTMENT OF EDUCATION</t>
  </si>
  <si>
    <t>From http://www.sde.idaho.gov/finance/</t>
  </si>
  <si>
    <t>HISTORICAL FALL ENROLLMENT BY DISTRICT BY BUILDING BY GRADE</t>
  </si>
  <si>
    <t>School</t>
  </si>
  <si>
    <t xml:space="preserve">Pre-K  </t>
  </si>
  <si>
    <t xml:space="preserve">Kinder- </t>
  </si>
  <si>
    <t>Year</t>
  </si>
  <si>
    <t>Membership</t>
  </si>
  <si>
    <t xml:space="preserve">Hdcpd </t>
  </si>
  <si>
    <t xml:space="preserve">garten  </t>
  </si>
  <si>
    <t xml:space="preserve">1st </t>
  </si>
  <si>
    <t xml:space="preserve">2nd </t>
  </si>
  <si>
    <t xml:space="preserve">3rd </t>
  </si>
  <si>
    <t xml:space="preserve">4th </t>
  </si>
  <si>
    <t xml:space="preserve">5th </t>
  </si>
  <si>
    <t xml:space="preserve">6th </t>
  </si>
  <si>
    <t xml:space="preserve">7th </t>
  </si>
  <si>
    <t xml:space="preserve">8th </t>
  </si>
  <si>
    <t xml:space="preserve">9th </t>
  </si>
  <si>
    <t xml:space="preserve">10th </t>
  </si>
  <si>
    <t xml:space="preserve">11th </t>
  </si>
  <si>
    <t xml:space="preserve">12th </t>
  </si>
  <si>
    <t>Pre-K enrollment</t>
  </si>
  <si>
    <t>Kindergarten enrollment</t>
  </si>
  <si>
    <t>1-3 enrollment</t>
  </si>
  <si>
    <t>4-5 enrollment</t>
  </si>
  <si>
    <t>6-8 enrollment</t>
  </si>
  <si>
    <t>9-12 enrollment</t>
  </si>
  <si>
    <t>BOISE INDEPENDENT DISTRICT</t>
  </si>
  <si>
    <t>MERIDIAN JOINT DISTRICT</t>
  </si>
  <si>
    <t>KUNA JOINT DISTRICT</t>
  </si>
  <si>
    <t>MEADOWS VALLEY DISTRICT</t>
  </si>
  <si>
    <t>COUNCIL DISTRICT</t>
  </si>
  <si>
    <t>MARSH VALLEY JOINT DISTRICT</t>
  </si>
  <si>
    <t>POCATELLO DISTRICT</t>
  </si>
  <si>
    <t>BEAR LAKE COUNTY DISTRICT</t>
  </si>
  <si>
    <t>ST MARIES JOINT DISTRICT</t>
  </si>
  <si>
    <t>PLUMMER-WORLEY JOINT DISTRICT</t>
  </si>
  <si>
    <t>SNAKE RIVER DISTRICT</t>
  </si>
  <si>
    <t>BLACKFOOT DISTRICT</t>
  </si>
  <si>
    <t>ABERDEEN DISTRICT</t>
  </si>
  <si>
    <t>FIRTH DISTRICT</t>
  </si>
  <si>
    <t>SHELLEY JOINT DISTRICT</t>
  </si>
  <si>
    <t>BLAINE COUNTY DISTRICT</t>
  </si>
  <si>
    <t>GARDEN VALLEY DISTRICT</t>
  </si>
  <si>
    <t>BASIN SCHOOL DISTRICT</t>
  </si>
  <si>
    <t>HORSESHOE BEND SCHOOL DISTRICT</t>
  </si>
  <si>
    <t>WEST BONNER COUNTY DISTRICT</t>
  </si>
  <si>
    <t>LAKE PEND OREILLE DISTRICT</t>
  </si>
  <si>
    <t>IDAHO FALLS DISTRICT</t>
  </si>
  <si>
    <t>SWAN VALLEY ELEMENTARY DIST</t>
  </si>
  <si>
    <t>BONNEVILLE JOINT DISTRICT</t>
  </si>
  <si>
    <t>BOUNDARY COUNTY DISTRICT</t>
  </si>
  <si>
    <t>BUTTE COUNTY JOINT DISTRICT</t>
  </si>
  <si>
    <t>CAMAS COUNTY DISTRICT</t>
  </si>
  <si>
    <t>NAMPA SCHOOL DISTRICT</t>
  </si>
  <si>
    <t>CALDWELL DISTRICT</t>
  </si>
  <si>
    <t>WILDER DISTRICT</t>
  </si>
  <si>
    <t>MIDDLETON DISTRICT</t>
  </si>
  <si>
    <t>NOTUS DISTRICT</t>
  </si>
  <si>
    <t>MELBA JOINT DISTRICT</t>
  </si>
  <si>
    <t>PARMA DISTRICT</t>
  </si>
  <si>
    <t>VALLIVUE SCHOOL DISTRICT</t>
  </si>
  <si>
    <t>GRACE JOINT DISTRICT</t>
  </si>
  <si>
    <t>NORTH GEM DISTRICT</t>
  </si>
  <si>
    <t>SODA SPRINGS JOINT DISTRICT</t>
  </si>
  <si>
    <t>CASSIA COUNTY JOINT DISTRICT</t>
  </si>
  <si>
    <t>CLARK COUNTY DISTRICT</t>
  </si>
  <si>
    <t>OROFINO JOINT DISTRICT</t>
  </si>
  <si>
    <t>CHALLIS JOINT DISTRICT</t>
  </si>
  <si>
    <t>MACKAY JOINT DISTRICT</t>
  </si>
  <si>
    <t>PRAIRIE ELEMENTARY DISTRICT</t>
  </si>
  <si>
    <t>GLENNS FERRY JOINT DISTRICT</t>
  </si>
  <si>
    <t>MOUNTAIN HOME DISTRICT</t>
  </si>
  <si>
    <t>PRESTON JOINT DISTRICT</t>
  </si>
  <si>
    <t>WEST SIDE JOINT DISTRICT</t>
  </si>
  <si>
    <t>FREMONT COUNTY JOINT DISTRICT</t>
  </si>
  <si>
    <t>EMMETT INDEPENDENT DIST</t>
  </si>
  <si>
    <t>GOODING JOINT DISTRICT</t>
  </si>
  <si>
    <t>WENDELL DISTRICT</t>
  </si>
  <si>
    <t>HAGERMAN JOINT DISTRICT</t>
  </si>
  <si>
    <t>BLISS JOINT DISTRICT</t>
  </si>
  <si>
    <t>COTTONWOOD JOINT DISTRICT</t>
  </si>
  <si>
    <t>SALMON RIVER JOINT SCHOOL DIST</t>
  </si>
  <si>
    <t>MOUNTAIN VIEW SCHOOL DISTRICT</t>
  </si>
  <si>
    <t>JEFFERSON COUNTY JT DISTRICT</t>
  </si>
  <si>
    <t>RIRIE JOINT DISTRICT</t>
  </si>
  <si>
    <t>WEST JEFFERSON DISTRICT</t>
  </si>
  <si>
    <t>JEROME JOINT DISTRICT</t>
  </si>
  <si>
    <t>VALLEY DISTRICT</t>
  </si>
  <si>
    <t>COEUR D ALENE DISTRICT</t>
  </si>
  <si>
    <t>LAKELAND DISTRICT</t>
  </si>
  <si>
    <t>POST FALLS DISTRICT</t>
  </si>
  <si>
    <t>KOOTENAI DISTRICT</t>
  </si>
  <si>
    <t>MOSCOW DISTRICT</t>
  </si>
  <si>
    <t>GENESEE JOINT DISTRICT</t>
  </si>
  <si>
    <t>KENDRICK JOINT DISTRICT</t>
  </si>
  <si>
    <t>POTLATCH DISTRICT</t>
  </si>
  <si>
    <t>TROY SCHOOL DISTRICT</t>
  </si>
  <si>
    <t>WHITEPINE JT SCHOOL DISTRICT</t>
  </si>
  <si>
    <t>SALMON DISTRICT</t>
  </si>
  <si>
    <t>SOUTH LEMHI DISTRICT</t>
  </si>
  <si>
    <t>NEZPERCE JOINT DISTRICT</t>
  </si>
  <si>
    <t>KAMIAH JOINT DISTRICT</t>
  </si>
  <si>
    <t>HIGHLAND JOINT DISTRICT</t>
  </si>
  <si>
    <t>SHOSHONE JOINT DISTRICT</t>
  </si>
  <si>
    <t>DIETRICH DISTRICT</t>
  </si>
  <si>
    <t>RICHFIELD DISTRICT</t>
  </si>
  <si>
    <t>MADISON DISTRICT</t>
  </si>
  <si>
    <t>SUGAR-SALEM JOINT DISTRICT</t>
  </si>
  <si>
    <t>MINIDOKA COUNTY JOINT DISTRICT</t>
  </si>
  <si>
    <t>LEWISTON INDEPENDENT DISTRICT</t>
  </si>
  <si>
    <t>LAPWAI DISTRICT</t>
  </si>
  <si>
    <t>CULDESAC JOINT DISTRICT</t>
  </si>
  <si>
    <t>ONEIDA COUNTY DISTRICT</t>
  </si>
  <si>
    <t>MARSING JOINT DISTRICT</t>
  </si>
  <si>
    <t>PLEASANT VALLEY ELEM DIST</t>
  </si>
  <si>
    <t>BRUNEAU-GRAND VIEW JOINT DIST</t>
  </si>
  <si>
    <t>HOMEDALE JOINT DISTRICT</t>
  </si>
  <si>
    <t>PAYETTE JOINT DISTRICT</t>
  </si>
  <si>
    <t>NEW PLYMOUTH DISTRICT</t>
  </si>
  <si>
    <t>FRUITLAND DISTRICT</t>
  </si>
  <si>
    <t>AMERICAN FALLS JOINT DISTRICT</t>
  </si>
  <si>
    <t>ROCKLAND DISTRICT</t>
  </si>
  <si>
    <t>ARBON ELEMENTARY DISTRICT</t>
  </si>
  <si>
    <t>KELLOGG JOINT DISTRICT</t>
  </si>
  <si>
    <t>MULLAN DISTRICT</t>
  </si>
  <si>
    <t>WALLACE DISTRICT</t>
  </si>
  <si>
    <t>AVERY SCHOOL DISTRICT</t>
  </si>
  <si>
    <t>TETON COUNTY DISTRICT</t>
  </si>
  <si>
    <t>TWIN FALLS DISTRICT</t>
  </si>
  <si>
    <t>BUHL JOINT DISTRICT</t>
  </si>
  <si>
    <t>FILER DISTRICT</t>
  </si>
  <si>
    <t>KIMBERLY DISTRICT</t>
  </si>
  <si>
    <t>HANSEN DISTRICT</t>
  </si>
  <si>
    <t>THREE CREEK JT ELEM DISTRICT</t>
  </si>
  <si>
    <t>CASTLEFORD DISTRICT</t>
  </si>
  <si>
    <t>MURTAUGH JOINT DISTRICT</t>
  </si>
  <si>
    <t>MC CALL-DONNELLY DISTRICT</t>
  </si>
  <si>
    <t>CASCADE DISTRICT</t>
  </si>
  <si>
    <t>WEISER DISTRICT</t>
  </si>
  <si>
    <t>CAMBRIDGE JOINT DISTRICT</t>
  </si>
  <si>
    <t>MIDVALE DISTRICT</t>
  </si>
  <si>
    <t>VICTORY CHARTER SCHOOL</t>
  </si>
  <si>
    <t>IDAHO VIRTUAL ACADEMY</t>
  </si>
  <si>
    <t>RICHARD MCKENNA CHARTER HIGH</t>
  </si>
  <si>
    <t>ROLLING HILLS PUBLIC CHARTER</t>
  </si>
  <si>
    <t>COMPAS PUBLIC CHARTER SCHOOL</t>
  </si>
  <si>
    <t>FALCON RIDGE PUBLIC CHARTER</t>
  </si>
  <si>
    <t>INSPIRE VIRTUAL CHARTER LEA</t>
  </si>
  <si>
    <t>LIBERTY CHARTER LEA</t>
  </si>
  <si>
    <t>TAYLORS CROSSING CHARTER SCHOO</t>
  </si>
  <si>
    <t>XAVIER CHARTER SCHOOL</t>
  </si>
  <si>
    <t>VISION CHARTER SCHOOL</t>
  </si>
  <si>
    <t>WHITE PINE CHARTER SCHOOL</t>
  </si>
  <si>
    <t>NORTH VALLEY ACADEMY</t>
  </si>
  <si>
    <t>iSUCCEED VIRTUAL HIGH SCHOOL</t>
  </si>
  <si>
    <t>IDAHO SCIENCE &amp; TECHNOLOGY</t>
  </si>
  <si>
    <t>IDAHO CONNECTS ONLINE CHARTER</t>
  </si>
  <si>
    <t>KOOTENAI BRIDGE ACADEMY</t>
  </si>
  <si>
    <t>PALOUSE PRAIRIE SCHOOL</t>
  </si>
  <si>
    <t>THE VILLAGE CHARTER SCHOOL</t>
  </si>
  <si>
    <t>MONTICELLO MONTESSORI</t>
  </si>
  <si>
    <t>SAGE INTERNATIONAL SCHOOL OF BOISE</t>
  </si>
  <si>
    <t>ANOTHER CHOICE VIRTUAL CHARTER SCHOOL</t>
  </si>
  <si>
    <t>BLACKFOOT CHARTER COMMUNITY LEARNING CENTER</t>
  </si>
  <si>
    <t>LEGACY CHARTER SCHOOL</t>
  </si>
  <si>
    <t>HERITAGE ACADEMY</t>
  </si>
  <si>
    <t>NORTH IDAHO STEM CHARTER</t>
  </si>
  <si>
    <t>HERITAGE COMMUNITY CHARTER</t>
  </si>
  <si>
    <t>AMERICAN HERITAGE CHARTER SCHOOL</t>
  </si>
  <si>
    <t>CHIEF TAHGEE ELEMENTARY ACADEMY</t>
  </si>
  <si>
    <t>BINGHAM ACADEMY CHARTER</t>
  </si>
  <si>
    <t>UPPER CARMEN CHARTER</t>
  </si>
  <si>
    <t>FORREST M BIRD CHARTER SCHOOL</t>
  </si>
  <si>
    <t>SYRINGA MOUNTAIN CHARTER SCHOOL</t>
  </si>
  <si>
    <t>IDAHO COLLEGE &amp; CAREER READINESS ACAD CH</t>
  </si>
  <si>
    <t>IDAHO DISTANCE EDUCATION ACADEMY</t>
  </si>
  <si>
    <t>COEUR D'ALENE CHARTER ACADEMY</t>
  </si>
  <si>
    <t>NORTH STAR CHARTER</t>
  </si>
  <si>
    <t>ANSER CHARTER SCHOOL</t>
  </si>
  <si>
    <t>MERIDIAN MEDICAL ARTS CHARTER</t>
  </si>
  <si>
    <t>POCATELLO COMMUNITY CHARTER</t>
  </si>
  <si>
    <t>IDAHO ARTS CHARTER SCHOOL</t>
  </si>
  <si>
    <t>THOMAS JEFFERSON CHARTER</t>
  </si>
  <si>
    <t>MOSCOW CHARTER SCHOOL</t>
  </si>
  <si>
    <t>ARTEC CHARTER SCHOOL</t>
  </si>
  <si>
    <t>State Funding Totals &amp; Increase</t>
  </si>
  <si>
    <t>Step 3.1 Output</t>
  </si>
  <si>
    <t>Student Enrollment - Characteristics</t>
  </si>
  <si>
    <t>Step 5 Input</t>
  </si>
  <si>
    <t>Grade Level Enrollment</t>
  </si>
  <si>
    <t>Math Acheviement</t>
  </si>
  <si>
    <t>ELA Achievement</t>
  </si>
  <si>
    <t>Total enrollment (Excl PreK)</t>
  </si>
  <si>
    <t>Title I Enrollment</t>
  </si>
  <si>
    <t>% Title I Enrollment</t>
  </si>
  <si>
    <t>Total ELL enrollment</t>
  </si>
  <si>
    <t>% ELL</t>
  </si>
  <si>
    <t>Total SPED enrollment</t>
  </si>
  <si>
    <t>Sped Category I</t>
  </si>
  <si>
    <t>Sped Category II</t>
  </si>
  <si>
    <t>Sped Category III</t>
  </si>
  <si>
    <t>Sped Category IV</t>
  </si>
  <si>
    <t>% Low-performing</t>
  </si>
  <si>
    <t>Low-performing (intervention and remedial enrollment)</t>
  </si>
  <si>
    <t>Data downloaded from: http://apps.sde.idaho.gov/CFSGA/ViewReport?reportName=Title1SchoolStatus&amp;selectedYear=2014-2015</t>
  </si>
  <si>
    <t>District Name</t>
  </si>
  <si>
    <t>School Code</t>
  </si>
  <si>
    <t>School Name</t>
  </si>
  <si>
    <t>Grade Span</t>
  </si>
  <si>
    <t>Low Income Enrollment</t>
  </si>
  <si>
    <t>Total Enrollment</t>
  </si>
  <si>
    <t>Poverty Rate</t>
  </si>
  <si>
    <t>School Eligibility</t>
  </si>
  <si>
    <t>School Program Type</t>
  </si>
  <si>
    <t>School Improvement Status</t>
  </si>
  <si>
    <t>Allocation</t>
  </si>
  <si>
    <t>Act PPE</t>
  </si>
  <si>
    <t>FAIRMONT JUNIOR HIGH SCHOOL</t>
  </si>
  <si>
    <t>7,8,9</t>
  </si>
  <si>
    <t>Eligible</t>
  </si>
  <si>
    <t>Not Serving</t>
  </si>
  <si>
    <t>Continuous Improvement Plan Required</t>
  </si>
  <si>
    <t>HILLSIDE JUNIOR HIGH SCHOOL</t>
  </si>
  <si>
    <t>NORTH JUNIOR HIGH SCHOOL</t>
  </si>
  <si>
    <t>Not Eligible</t>
  </si>
  <si>
    <t>SOUTH JUNIOR HIGH SCHOOL</t>
  </si>
  <si>
    <t>BOISE SENIOR HIGH SCHOOL</t>
  </si>
  <si>
    <t>10,11,12</t>
  </si>
  <si>
    <t>AMO Continuous Improvement Plan Required</t>
  </si>
  <si>
    <t>BORAH SENIOR HIGH SCHOOL</t>
  </si>
  <si>
    <t>CAPITAL SENIOR HIGH SCHOOL</t>
  </si>
  <si>
    <t>LES BOIS JUNIOR HIGH SCHOOL</t>
  </si>
  <si>
    <t>Achievement met – No Plan Required</t>
  </si>
  <si>
    <t>TIMBERLINE HIGH SCHOOL</t>
  </si>
  <si>
    <t>TRAIL WIND ELEMENTARY</t>
  </si>
  <si>
    <t>EC,PK,KG,1,2,3,4,5,6</t>
  </si>
  <si>
    <t>SHADOW HILLS ELEMENTARY</t>
  </si>
  <si>
    <t>AMITY ELEMENTARY SCHOOL</t>
  </si>
  <si>
    <t>MAPLE GROVE ELEMENTARY SCH</t>
  </si>
  <si>
    <t>HIGHLANDS ELEMENTARY SCHOOL</t>
  </si>
  <si>
    <t>GARFIELD ELEMENTARY SCHOOL</t>
  </si>
  <si>
    <t>Schoolwide</t>
  </si>
  <si>
    <t>WASHINGTON ELEMENTARY SCHOOL</t>
  </si>
  <si>
    <t>WHITNEY ELEMENTARY SCHOOL</t>
  </si>
  <si>
    <t>Rapid Improvement Plan Required</t>
  </si>
  <si>
    <t>HILLCREST ELEMENTARY SCHOOL</t>
  </si>
  <si>
    <t>HAWTHORNE ELEMENTARY SCHOOL</t>
  </si>
  <si>
    <t>ROOSEVELT ELEMENTARY SCHOOL</t>
  </si>
  <si>
    <t>PIERCE PARK ELEMENTARY SCHOOL</t>
  </si>
  <si>
    <t>OWYHEE ELEMENTARY SCHOOL</t>
  </si>
  <si>
    <t>ADAMS ELEMENTARY SCHOOL</t>
  </si>
  <si>
    <t>LIBERTY ELEMENTARY SCHOOL</t>
  </si>
  <si>
    <t>JEFFERSON ELEMENTARY SCHOOL</t>
  </si>
  <si>
    <t>LOWELL ELEMENTARY SCHOOL</t>
  </si>
  <si>
    <t>VALLEY VIEW ELEMENTARY SCHOOL</t>
  </si>
  <si>
    <t>WILLIAM HOWARD TAFT ELEMENTARY</t>
  </si>
  <si>
    <t>MOUNTAIN VIEW ELEMENTARY SCH</t>
  </si>
  <si>
    <t>LONGFELLOW ELEMENTARY SCHOOL</t>
  </si>
  <si>
    <t>MONROE ELEMENTARY SCHOOL</t>
  </si>
  <si>
    <t>KOELSCH ELEMENTARY SCHOOL</t>
  </si>
  <si>
    <t>COLLISTER ELEMENTARY SCHOOL</t>
  </si>
  <si>
    <t>WHITTIER ELEMENTARY SCHOOL</t>
  </si>
  <si>
    <t>RIVERSIDE ELEMENTARY SCHOOL</t>
  </si>
  <si>
    <t>HORIZON ELEMENTARY SCHOOL</t>
  </si>
  <si>
    <t>CYNTHIA MANN ELEMENTARY SCHOOL</t>
  </si>
  <si>
    <t>WHITE PINE ELEMENTARY SCHOOL</t>
  </si>
  <si>
    <t>MORLEY NELSON ELEMENTARY</t>
  </si>
  <si>
    <t>GRACE JORDAN ELEMENTARY</t>
  </si>
  <si>
    <t>FRANK CHURCH HIGH (ALTERN)</t>
  </si>
  <si>
    <t>7,8,9,10,11,12</t>
  </si>
  <si>
    <t>Turnaround Plan Required</t>
  </si>
  <si>
    <t>WEST JUNIOR HIGH</t>
  </si>
  <si>
    <t>EAST JUNIOR HIGH SCHOOL</t>
  </si>
  <si>
    <t>HIDDEN SPRINGS ELEMENTARY SCHOOL</t>
  </si>
  <si>
    <t>EC,PK,KG,1,2,3,4,5,6,7,8</t>
  </si>
  <si>
    <t>JOINT SCHOOL DISTRICT NO. 2</t>
  </si>
  <si>
    <t>LOWELL SCOTT MIDDLE SCHOOL</t>
  </si>
  <si>
    <t>6,7,8</t>
  </si>
  <si>
    <t>MERIDIAN MIDDLE SCHOOL</t>
  </si>
  <si>
    <t>MERIDIAN HIGH SCHOOL</t>
  </si>
  <si>
    <t>9,10,11,12</t>
  </si>
  <si>
    <t>CENTENNIAL HIGH SCHOOL</t>
  </si>
  <si>
    <t>EAGLE MIDDLE SCHOOL</t>
  </si>
  <si>
    <t>EAGLE HIGH SCHOOL</t>
  </si>
  <si>
    <t>LAKE HAZEL MIDDLE SCHOOL</t>
  </si>
  <si>
    <t>LEWIS &amp; CLARK MIDDLE SCHOOL</t>
  </si>
  <si>
    <t>PEREGRINE ELEMENTARY SCHOOL</t>
  </si>
  <si>
    <t>EC,PK,KG,1,2,3,4,5</t>
  </si>
  <si>
    <t>RIVER VALLEY ELEMENTARY SCHOOL</t>
  </si>
  <si>
    <t>MERIDIAN TECHNICAL CHARTR HIGH</t>
  </si>
  <si>
    <t>PEPPER RIDGE ELEMENTARY</t>
  </si>
  <si>
    <t>SAWTOOTH MIDDLE SCHOOL</t>
  </si>
  <si>
    <t>HUNTER ELEMENTARY SCHOOL</t>
  </si>
  <si>
    <t>FRONTIER ELEMENTARY SCHOOL</t>
  </si>
  <si>
    <t>CHIEF JOSEPH ELEMENTARY SCHOOL</t>
  </si>
  <si>
    <t>SILVER SAGE ELEMENTARY SCHOOL</t>
  </si>
  <si>
    <t>LAKE HAZEL ELEMENTARY SCHOOL</t>
  </si>
  <si>
    <t>EAGLE ELEMENTARY SCHOOL of the ARTS</t>
  </si>
  <si>
    <t>SUMMERWIND ELEMENTARY SCHOOL</t>
  </si>
  <si>
    <t>STAR ELEMENTARY SCHOOL</t>
  </si>
  <si>
    <t>USTICK ELEMENTARY SCHOOL</t>
  </si>
  <si>
    <t>MERIDIAN ELEMENTARY SCHOOL</t>
  </si>
  <si>
    <t>GATEWAY SCHOOL OF LANGUAGE &amp; CULTURE</t>
  </si>
  <si>
    <t>CHRISTINE DONNELL SCH OF ARTS</t>
  </si>
  <si>
    <t>BARBARA MORGAN STEM ACADEMY</t>
  </si>
  <si>
    <t>EAGLE HILLS ELEMENTARY SCHOOL</t>
  </si>
  <si>
    <t>MARY MC PHERSON ELEMENTARY</t>
  </si>
  <si>
    <t>JOPLIN ELEMENTARY SCHOOL</t>
  </si>
  <si>
    <t>PONDEROSA ELEMENTARY SCHOOL</t>
  </si>
  <si>
    <t>PIONEER ELEMENTARY SCHOOL</t>
  </si>
  <si>
    <t>DISCOVERY ELEMENTARY SCHOOL</t>
  </si>
  <si>
    <t>CECIL D ANDRUS ELEMENTARY</t>
  </si>
  <si>
    <t>CHAPARRAL ELEMENTARY</t>
  </si>
  <si>
    <t>SPALDING ELEMENTARY SCHOOL</t>
  </si>
  <si>
    <t>SEVEN OAKS ELEMENTARY</t>
  </si>
  <si>
    <t>MOUNTAIN VIEW HIGH SCHOOL</t>
  </si>
  <si>
    <t>DESERT SAGE ELEMENTARY SCHOOL</t>
  </si>
  <si>
    <t>PROSPECT ELEMENTARY SCHOOL</t>
  </si>
  <si>
    <t>PATHWAYS MIDDLE SCHOOL</t>
  </si>
  <si>
    <t>7,8</t>
  </si>
  <si>
    <t>CENTRAL ACADEMY (ALT)</t>
  </si>
  <si>
    <t>ROCKY MOUNTAIN HIGH SCHOOL</t>
  </si>
  <si>
    <t>SIENA ELEMENTARY</t>
  </si>
  <si>
    <t>EAGLE ACADEMY</t>
  </si>
  <si>
    <t>CROSSROADS MIDDLE SCHOOL</t>
  </si>
  <si>
    <t>MERIDIAN ACADEMY</t>
  </si>
  <si>
    <t>RENAISSANCE HIGH SCHOOL</t>
  </si>
  <si>
    <t>PARAMOUNT ELEMENTARY SCHOOL</t>
  </si>
  <si>
    <t>REBOUND SCHOOL OF OPPORTUNITY ALT</t>
  </si>
  <si>
    <t>GALILEO MAGNET SCHOOL</t>
  </si>
  <si>
    <t>HERITAGE MIDDLE SCHOOL</t>
  </si>
  <si>
    <t>KUNA MIDDLE SCHOOL</t>
  </si>
  <si>
    <t>KUNA HIGH SCHOOL</t>
  </si>
  <si>
    <t>Feeder Pattern</t>
  </si>
  <si>
    <t>HUBBARD ELEMENTARY SCHOOL</t>
  </si>
  <si>
    <t>EC,PK,KG,1,2,3</t>
  </si>
  <si>
    <t>REED ELEMENTARY SCHOOL</t>
  </si>
  <si>
    <t>INDIAN CREEK ELEMENTARY</t>
  </si>
  <si>
    <t>ROSS ELEMENTARY SCHOOL</t>
  </si>
  <si>
    <t>PK,3,4,5,6</t>
  </si>
  <si>
    <t>FREMONT H TEED ELEMENTARY SCH</t>
  </si>
  <si>
    <t>4,5,6</t>
  </si>
  <si>
    <t>CRIMSON POINT ELEMENTARY SCHOO</t>
  </si>
  <si>
    <t>Initial Point High School</t>
  </si>
  <si>
    <t>KG,1,2,3,4,5,6</t>
  </si>
  <si>
    <t>MEADOWS VALLEY SCHOOL</t>
  </si>
  <si>
    <t>EC,PK,KG,1,2,3,4,5,6,7,8,9,10,11,12</t>
  </si>
  <si>
    <t>Targeted Assistance</t>
  </si>
  <si>
    <t>COUNCIL JR-SR HIGH SCHOOL</t>
  </si>
  <si>
    <t>COUNCIL ELEMENTARY SCHOOL</t>
  </si>
  <si>
    <t>MARSH VALLEY MIDDLE SCHOOL</t>
  </si>
  <si>
    <t>MARSH VALLEY HIGH SCHOOL</t>
  </si>
  <si>
    <t>LAVA ELEMENTARY SCHOOL</t>
  </si>
  <si>
    <t>DOWNEY ELEMENTARY SCHOOL</t>
  </si>
  <si>
    <t>INKOM ELEMENTARY SCHOOL</t>
  </si>
  <si>
    <t>FRANKLIN MIDDLE SCHOOL</t>
  </si>
  <si>
    <t>HAWTHORNE MIDDLE SCHOOL</t>
  </si>
  <si>
    <t>IRVING MIDDLE SCHOOL</t>
  </si>
  <si>
    <t>ALAMEDA MIDDLE SCHOOL</t>
  </si>
  <si>
    <t>POCATELLO HIGH SCHOOL</t>
  </si>
  <si>
    <t>HIGHLAND HIGH SCHOOL</t>
  </si>
  <si>
    <t>EDAHOW ELEMENTARY SCHOOL</t>
  </si>
  <si>
    <t>GREENACRES ELEMENTARY SCHOOL</t>
  </si>
  <si>
    <t>INDIAN HILLS ELEMENTARY SCHOOL</t>
  </si>
  <si>
    <t>CHUBBUCK ELEMENTARY SCHOOL</t>
  </si>
  <si>
    <t>GATE CITY ELEMENTARY SCHOOL</t>
  </si>
  <si>
    <t>RULON M ELLIS ELEM SCHOOL</t>
  </si>
  <si>
    <t>TYHEE ELEMENTARY SCHOOL</t>
  </si>
  <si>
    <t>SYRINGA ELEMENTARY SCHOOL</t>
  </si>
  <si>
    <t>CLAUDE A WILCOX ELEM SCHOOL</t>
  </si>
  <si>
    <t>TENDOY ELEMENTARY SCHOOL</t>
  </si>
  <si>
    <t>LEWIS &amp; CLARK ELEMENTARY SCH</t>
  </si>
  <si>
    <t>CENTURY HIGH SCHOOL</t>
  </si>
  <si>
    <t>Kinport Academy</t>
  </si>
  <si>
    <t>NEW HORIZONS HIGH SCHOOL (ALT)</t>
  </si>
  <si>
    <t>BEAR LAKE MIDDLE SCHOOL</t>
  </si>
  <si>
    <t>BEAR LAKE HIGH SCHOOL</t>
  </si>
  <si>
    <t>A J WINTERS ELEMENTARY SCHOOL</t>
  </si>
  <si>
    <t>GEORGETOWN ELEMENTARY SCHOOL</t>
  </si>
  <si>
    <t>PARIS ELEMENTARY SCHOOL</t>
  </si>
  <si>
    <t>ST MARIES MIDDLE SCHOOL</t>
  </si>
  <si>
    <t>ST MARIES HIGH SCHOOL</t>
  </si>
  <si>
    <t>HEYBURN ELEMENTARY SCHOOL</t>
  </si>
  <si>
    <t>UPRIVER ELEM-JR HIGH SCHOOL</t>
  </si>
  <si>
    <t>LAKESIDE HIGH SCHOOL</t>
  </si>
  <si>
    <t>Consolidated Schoolwide</t>
  </si>
  <si>
    <t>LAKESIDE ELEMENTARY SCHOOL</t>
  </si>
  <si>
    <t>SNAKE RIVER JR HIGH SCHOOL</t>
  </si>
  <si>
    <t>SNAKE RIVER HIGH SCHOOL</t>
  </si>
  <si>
    <t>EC,PK,2,3</t>
  </si>
  <si>
    <t>MORELAND ELEMENTARY SCHOOL</t>
  </si>
  <si>
    <t>EC,PK,KG,1</t>
  </si>
  <si>
    <t>ROCKFORD ELEMENTARY SCHOOL</t>
  </si>
  <si>
    <t>SNAKE RIVER MIDDLE SCHOOL</t>
  </si>
  <si>
    <t>5,6</t>
  </si>
  <si>
    <t>MOUNTAIN VIEW MIDDLE SCHOOL</t>
  </si>
  <si>
    <t>BLACKFOOT HIGH SCHOOL</t>
  </si>
  <si>
    <t>BLACKFOOT SIXTH GRADE ELEM</t>
  </si>
  <si>
    <t>DONALD D. STALKER ELEMENTARY</t>
  </si>
  <si>
    <t>EC,PK,1,2,3,4,5</t>
  </si>
  <si>
    <t>IRVING KINDERGARTEN CENTER</t>
  </si>
  <si>
    <t>EC,PK,KG</t>
  </si>
  <si>
    <t>RIDGE CREST ELEMENTARY SCHOOL</t>
  </si>
  <si>
    <t>WAPELLO ELEMENTARY SCHOOL</t>
  </si>
  <si>
    <t>1,2,3,4,5</t>
  </si>
  <si>
    <t>GROVELAND ELEMENTARY SCHOOL</t>
  </si>
  <si>
    <t>FORT HALL ELEMENTARY SCHOOL</t>
  </si>
  <si>
    <t>I T STODDARD ELEMENTARY SCHOOL</t>
  </si>
  <si>
    <t>INDEPENDENCE ALTERNATE HIGH</t>
  </si>
  <si>
    <t>ABERDEEN HIGH SCHOOL</t>
  </si>
  <si>
    <t>ABERDEEN ELEMENTARY SCHOOL</t>
  </si>
  <si>
    <t>ABERDEEN MIDDLE SCHOOL</t>
  </si>
  <si>
    <t>FIRTH HIGH SCHOOL</t>
  </si>
  <si>
    <t>FIRTH MIDDLE SCHOOL</t>
  </si>
  <si>
    <t>5,6,7,8</t>
  </si>
  <si>
    <t>A W JOHNSON ELEMENTARY SCHOOL</t>
  </si>
  <si>
    <t>EC,PK,KG,1,2,3,4</t>
  </si>
  <si>
    <t>SHELLEY SENIOR HIGH SCHOOL</t>
  </si>
  <si>
    <t>DONALD J HOBBS MIDDLE SCHOOL</t>
  </si>
  <si>
    <t>SUNRISE ELEMENTARY SCHOOL</t>
  </si>
  <si>
    <t>EC,PK,KG,1,2</t>
  </si>
  <si>
    <t>HAZEL STUART ELEMENTARY SCHOOL</t>
  </si>
  <si>
    <t>RIVERVIEW ELEMENTARY SCHOOL</t>
  </si>
  <si>
    <t>WOOD RIVER HIGH SCHOOL</t>
  </si>
  <si>
    <t>CAREY PUBLIC SCHOOL</t>
  </si>
  <si>
    <t>BELLEVUE ELEMENTARY SCHOOL</t>
  </si>
  <si>
    <t>ERNEST HEMINGWAY ELEMENTARY</t>
  </si>
  <si>
    <t>HAILEY ELEMENTARY SCHOOL</t>
  </si>
  <si>
    <t>ALTURAS ELEMENTARY SCHOOL</t>
  </si>
  <si>
    <t>KG,1,2,3,4,5</t>
  </si>
  <si>
    <t>WOOD RIVER MIDDLE SCHOOL</t>
  </si>
  <si>
    <t>SILVER CREEK HIGH SCHOOL</t>
  </si>
  <si>
    <t>GARDEN VALLEY SCHOOL</t>
  </si>
  <si>
    <t>LOWMAN ELEMENTARY SCHOOL</t>
  </si>
  <si>
    <t>BASIN ELEMENTARY SCHOOL</t>
  </si>
  <si>
    <t>IDAHO CITY HIGH SCHOOL</t>
  </si>
  <si>
    <t>HORSESHOE BEND ELEMENTARY</t>
  </si>
  <si>
    <t>HORSESHOE BEND MIDDLE-SR HIGH</t>
  </si>
  <si>
    <t>6,7,8,9,10,11,12</t>
  </si>
  <si>
    <t>PRIEST RIVER JR HIGH SCHOOL</t>
  </si>
  <si>
    <t>PRIEST RIVER LAMANNA HIGH</t>
  </si>
  <si>
    <t>PRIEST LAKE ELEMENTARY SCHOOL</t>
  </si>
  <si>
    <t>PRIEST RIVER ELEMENTARY SCHOOL</t>
  </si>
  <si>
    <t>IDAHO HILL ELEMENTARY SCHOOL</t>
  </si>
  <si>
    <t>LAKE PEND OREILLE SCHOOL DISTRICT</t>
  </si>
  <si>
    <t>SANDPOINT MIDDLE SCHOOL</t>
  </si>
  <si>
    <t>CLARK FORK JR-SR HIGH SCHOOL</t>
  </si>
  <si>
    <t>SANDPOINT HIGH SCHOOL</t>
  </si>
  <si>
    <t>KOOTENAI ELEMENTARY SCHOOL</t>
  </si>
  <si>
    <t>HOPE ELEMENTARY SCHOOL</t>
  </si>
  <si>
    <t>SAGLE ELEMENTARY SCHOOL</t>
  </si>
  <si>
    <t>FARMIN STIDWELL ELEMENTARY SCH</t>
  </si>
  <si>
    <t>SOUTHSIDE ELEMENTARY SCHOOL</t>
  </si>
  <si>
    <t>NORTHSIDE ELEMENTARY SCHOOL</t>
  </si>
  <si>
    <t>LAKE PEND OREILLE ALT HIGH SCH</t>
  </si>
  <si>
    <t>EAGLE ROCK JUNIOR HIGH SCHOOL</t>
  </si>
  <si>
    <t>SKYLINE SENIOR HIGH SCHOOL</t>
  </si>
  <si>
    <t>IDAHO FALLS SENIOR HIGH SCHOOL</t>
  </si>
  <si>
    <t>TAYLORVIEW JUNIOR HIGH SCHOOL</t>
  </si>
  <si>
    <t>TEMPLE VIEW ELEMENTARY SCHOOL</t>
  </si>
  <si>
    <t>A H BUSH ELEMENTARY SCHOOL</t>
  </si>
  <si>
    <t>EDGEMONT GARDENS ELEMENTARY</t>
  </si>
  <si>
    <t>THERESA BUNKER ELEMENTARY</t>
  </si>
  <si>
    <t>ETHEL BOYES ELEMENTARY SCHOOL</t>
  </si>
  <si>
    <t>WESTSIDE ELEMENTARY SCHOOL</t>
  </si>
  <si>
    <t>DORA ERICKSON ELEM SCHOOL</t>
  </si>
  <si>
    <t>LINDEN PARK ELEMENTARY SCHOOL</t>
  </si>
  <si>
    <t>FOXHOLLOW ELEMENTARY SCHOOL</t>
  </si>
  <si>
    <t>SUNNYSIDE ELEMENTARY SCHOOL</t>
  </si>
  <si>
    <t>EMERSON HIGH SCHOOL ALTERN</t>
  </si>
  <si>
    <t>COMPASS ACADEMY</t>
  </si>
  <si>
    <t>SWAN VALLEY ELEMENTARY SCHOOL</t>
  </si>
  <si>
    <t>SANDCREEK MIDDLE SCHOOL</t>
  </si>
  <si>
    <t>BONNEVILLE HIGH SCHOOL</t>
  </si>
  <si>
    <t>HILLCREST HIGH SCHOOL</t>
  </si>
  <si>
    <t>ROCKY MOUNTAIN MIDDLE SCHOOL</t>
  </si>
  <si>
    <t>EC,PK,7,8</t>
  </si>
  <si>
    <t>FALLS VALLEY ELEMENTARY SCHOOL</t>
  </si>
  <si>
    <t>AMMON ELEMENTARY SCHOOL</t>
  </si>
  <si>
    <t>IONA ELEMENTARY SCHOOL</t>
  </si>
  <si>
    <t>HILLVIEW ELEMENTARY SCHOOL</t>
  </si>
  <si>
    <t>UCON ELEMENTARY SCHOOL</t>
  </si>
  <si>
    <t>CLOVERDALE ELEMENTARY SCHOOL</t>
  </si>
  <si>
    <t>FAIRVIEW ELEMENTARY SCHOOL</t>
  </si>
  <si>
    <t>TIEBREAKER ELEMENTARY SCHOOL</t>
  </si>
  <si>
    <t>WOODLAND HILLS ELEMENTARY</t>
  </si>
  <si>
    <t>LINCOLN HIGH SCHOOL (ALT)</t>
  </si>
  <si>
    <t>TELFORD ACADEMY (ALT)</t>
  </si>
  <si>
    <t>Bonneville Online Elementary</t>
  </si>
  <si>
    <t>MOUNTAIN VALLEY ELEMENTARY SCH</t>
  </si>
  <si>
    <t>RIMROCK ELEMENTARY</t>
  </si>
  <si>
    <t>BONNEVILLE ONLINE HIGH SCHOOL</t>
  </si>
  <si>
    <t>SUMMIT HILLS ELEMENTARY SCHOOL</t>
  </si>
  <si>
    <t>BRIDGEWATER ELEMENTARY SCHOOL</t>
  </si>
  <si>
    <t>BONNERS FERRY HIGH SCHOOL</t>
  </si>
  <si>
    <t>BOUNDARY COUNTY MIDDLE SCHOOL</t>
  </si>
  <si>
    <t>NAPLES ELEMENTARY SCHOOL</t>
  </si>
  <si>
    <t>MOUNT HALL ELEMENTARY SCHOOL</t>
  </si>
  <si>
    <t>BUTTE COUNTY MIDDLE SCHOOL</t>
  </si>
  <si>
    <t>BUTTE COUNTY HIGH SCHOOL</t>
  </si>
  <si>
    <t>HOWE ELEMENTARY SCHOOL</t>
  </si>
  <si>
    <t>ARCO ELEMENTARY SCHOOL</t>
  </si>
  <si>
    <t>CAMAS COUNTY HIGH SCHOOL</t>
  </si>
  <si>
    <t>CAMAS COUNTY ELEM-JR HIGH SCH</t>
  </si>
  <si>
    <t>WEST MIDDLE SCHOOL</t>
  </si>
  <si>
    <t>SOUTH MIDDLE SCHOOL</t>
  </si>
  <si>
    <t>IOWA ELEMENTARY</t>
  </si>
  <si>
    <t>SHERMAN ELEMENTARY</t>
  </si>
  <si>
    <t>PARK RIDGE ELEMENTARY</t>
  </si>
  <si>
    <t>CENTENNIAL ELEMENTARY SCHOOL</t>
  </si>
  <si>
    <t>CENTRAL ELEMENTARY</t>
  </si>
  <si>
    <t>GREENHURST ELEMENTARY SCHOOL</t>
  </si>
  <si>
    <t>REAGAN ELEMENTARY SCHOOL</t>
  </si>
  <si>
    <t>WILLOW CREEK ELEMENTARY</t>
  </si>
  <si>
    <t>COLUMBIA HIGH SCHOOL</t>
  </si>
  <si>
    <t>LAKE RIDGE ELEMENTARY</t>
  </si>
  <si>
    <t>LONE STAR MIDDLE SCHOOL</t>
  </si>
  <si>
    <t>ENDEAVOR ELEMENTARY SCHOOL</t>
  </si>
  <si>
    <t>SKYVIEW HIGH SCHOOL</t>
  </si>
  <si>
    <t>SNAKE RIVER ELEMENTARY</t>
  </si>
  <si>
    <t>NAMPA SENIOR HIGH SCHOOL</t>
  </si>
  <si>
    <t>EAST VALLEY MIDDLE SCHOOL</t>
  </si>
  <si>
    <t>RIDGELINE HiGH SCHOOL (Alt)</t>
  </si>
  <si>
    <t>NEW HORIZON MAGNET SCHOOL</t>
  </si>
  <si>
    <t>JEFFERSON MIDDLE SCHOOL</t>
  </si>
  <si>
    <t>CALDWELL SENIOR HIGH SCHOOL</t>
  </si>
  <si>
    <t>LEWIS AND CLARK ELEMENTARY</t>
  </si>
  <si>
    <t>SYRINGA MIDDLE SCHOOL</t>
  </si>
  <si>
    <t>WILSON ELEMENTARY SCHOOL</t>
  </si>
  <si>
    <t>LINCOLN ELEMENTARY SCHOOL</t>
  </si>
  <si>
    <t>VAN BUREN ELEMENTARY SCHOOL</t>
  </si>
  <si>
    <t>SACAJAWEA ELEMENTARY SCHOOL</t>
  </si>
  <si>
    <t>CANYON SPRINGS ALT HIGH SCH</t>
  </si>
  <si>
    <t>WILDER MIDDLE/HIGH SCHOOL</t>
  </si>
  <si>
    <t>Wilder Elementary</t>
  </si>
  <si>
    <t>MIDDLETON MIDDLE SCHOOL</t>
  </si>
  <si>
    <t>MIDDLETON HIGH SCHOOL</t>
  </si>
  <si>
    <t>MIDDLETON MILL CREEK ELEMENTAR</t>
  </si>
  <si>
    <t>MIDDLETON HEIGHTS ELEMENTARY</t>
  </si>
  <si>
    <t>PURPLE SAGE ELEMENTARY</t>
  </si>
  <si>
    <t>THE ATLAS SCHOOL</t>
  </si>
  <si>
    <t>NOTUS JR-SR HIGH SCHOOL</t>
  </si>
  <si>
    <t>NOTUS ELEMENTARY SCHOOL</t>
  </si>
  <si>
    <t>MELBA HIGH SCHOOL</t>
  </si>
  <si>
    <t>KG,7,8,9,10,11,12</t>
  </si>
  <si>
    <t>MELBA ELEMENTARY SCHOOL</t>
  </si>
  <si>
    <t>PARMA HIGH SCHOOL</t>
  </si>
  <si>
    <t>PARMA MIDDLE SCHOOL</t>
  </si>
  <si>
    <t>MAXINE JOHNSON ELEMENTARY</t>
  </si>
  <si>
    <t>VALLIVUE HIGH SCHOOL</t>
  </si>
  <si>
    <t>EAST CANYON ELEMENTARY SCHOOL</t>
  </si>
  <si>
    <t>WEST CANYON ELEMENTARY SCHOOL</t>
  </si>
  <si>
    <t>CENTRAL CANYON ELEMENTARY SCH</t>
  </si>
  <si>
    <t>BIRCH ELEMENTARY SCHOOL</t>
  </si>
  <si>
    <t>SAGE VALLEY MIDDLE SCHOOL</t>
  </si>
  <si>
    <t>LAKEVUE ELEMENTARY SCHOOL</t>
  </si>
  <si>
    <t>DESERT SPRINGS ELEMENTARY SCHO</t>
  </si>
  <si>
    <t>VALLIVUE MIDDLE SCHOOL</t>
  </si>
  <si>
    <t>RIVERVUE MIDDLE SCHOOL ALTERN</t>
  </si>
  <si>
    <t>VALLIVUE ACADEMY (ALT)</t>
  </si>
  <si>
    <t>GRACE JR/SR HIGH SCHOOL</t>
  </si>
  <si>
    <t>THATCHER ELEMENTARY SCHOOL</t>
  </si>
  <si>
    <t>GRACE ELEMENTARY SCHOOL</t>
  </si>
  <si>
    <t>NORTH GEM SENIOR HIGH SCHOOL</t>
  </si>
  <si>
    <t>NORTH GEM ELEM/JR HIGH</t>
  </si>
  <si>
    <t>TIGERT MIDDLE SCHOOL</t>
  </si>
  <si>
    <t>SODA SPRINGS HIGH SCHOOL</t>
  </si>
  <si>
    <t>HOWARD E THIRKILL PRIMARY SCH</t>
  </si>
  <si>
    <t>BURLEY JUNIOR HIGH SCHOOL</t>
  </si>
  <si>
    <t>BURLEY SENIOR HIGH SCHOOL</t>
  </si>
  <si>
    <t>OAKLEY JR-SR HIGH SCHOOL</t>
  </si>
  <si>
    <t>RAFT RIVER JR-SR HIGH SCHOOL</t>
  </si>
  <si>
    <t>DECLO SENIOR HIGH SCHOOL</t>
  </si>
  <si>
    <t>WHITE PINE ELEMENTARY</t>
  </si>
  <si>
    <t>PRESCHOOL CENTER</t>
  </si>
  <si>
    <t>DECLO JR HIGH SCHOOL</t>
  </si>
  <si>
    <t>ALMO ELEMENTARY SCHOOL</t>
  </si>
  <si>
    <t>DECLO ELEMENTARY SCHOOL</t>
  </si>
  <si>
    <t>MOUNTAIN VIEW ELEMENTARY</t>
  </si>
  <si>
    <t>RAFT RIVER ELEMENTARY SCHOOL</t>
  </si>
  <si>
    <t>OAKLEY ELEMENTARY SCHOOL</t>
  </si>
  <si>
    <t>DWORSHAK ELEMENTARY SCHOOL</t>
  </si>
  <si>
    <t>ALBION ELEMENTARY SCHOOL</t>
  </si>
  <si>
    <t>CASSIA EDUCATION CENTER (ALT)</t>
  </si>
  <si>
    <t>CLARK COUNTY JR-SR HIGH SCHOOL</t>
  </si>
  <si>
    <t>LINDY ROSS ELEMENTARY SCHOOL</t>
  </si>
  <si>
    <t>OROFINO HIGH SCHOOL</t>
  </si>
  <si>
    <t>OROFINO ELEMENTARY SCHOOL</t>
  </si>
  <si>
    <t>CAVENDISH-TEAKEAN ELEM SCHOOL</t>
  </si>
  <si>
    <t>PECK ELEMENTARY SCHOOL</t>
  </si>
  <si>
    <t>IDAHO NATIONAL GUARD YOUTH FALL ChallNGe ACADEMY</t>
  </si>
  <si>
    <t>TIMBERLINE ELEMENTARY</t>
  </si>
  <si>
    <t>CHALLIS JR-SR HIGH SCHOOL</t>
  </si>
  <si>
    <t>STANLEY ELEM-JR HIGH SCHOOL</t>
  </si>
  <si>
    <t>PATTERSON ELEMENTARY SCHOOL</t>
  </si>
  <si>
    <t>CHALLIS ELEMENTARY SCHOOL</t>
  </si>
  <si>
    <t>MACKAY ELEMENTARY SCHOOL</t>
  </si>
  <si>
    <t>PRAIRIE ELEM-JR HIGH SCHOOL</t>
  </si>
  <si>
    <t>GLENNS FERRY HIGH SCHOOL</t>
  </si>
  <si>
    <t>GLENNS FERRY MIDDLE SCHOOL</t>
  </si>
  <si>
    <t>GLENNS FERRY ELEMENTARY SCHOOL</t>
  </si>
  <si>
    <t>MOUNTAIN HOME JUNIOR HIGH SCH</t>
  </si>
  <si>
    <t>MOUNTAIN HOME SR HIGH SCHOOL</t>
  </si>
  <si>
    <t>WEST ELEMENTARY SCHOOL</t>
  </si>
  <si>
    <t>EAST ELEMENTARY SCHOOL</t>
  </si>
  <si>
    <t>NORTH ELEMENTARY SCHOOL</t>
  </si>
  <si>
    <t>STEPHENSEN ELEMENTARY SCHOOL</t>
  </si>
  <si>
    <t>PINE ELEM-JR HIGH SCHOOL</t>
  </si>
  <si>
    <t>HACKER MIDDLE SCHOOL</t>
  </si>
  <si>
    <t>BENNETT MOUNTAIN HIGH ALT</t>
  </si>
  <si>
    <t>PRESTON HIGH SCHOOL</t>
  </si>
  <si>
    <t>PRESTON JR HIGH SCHOOL</t>
  </si>
  <si>
    <t>OAKWOOD ELEMENTARY SCHOOL</t>
  </si>
  <si>
    <t>EC,PK,3,4,5</t>
  </si>
  <si>
    <t>FRANKLIN COUNTY (ALT) HIGH</t>
  </si>
  <si>
    <t>HAROLD B LEE MIDDLE SCHOOL</t>
  </si>
  <si>
    <t>WEST SIDE SENIOR HIGH SCHOOL</t>
  </si>
  <si>
    <t>HAROLD B LEE ELEMENTARY SCH</t>
  </si>
  <si>
    <t>SOUTH FREMONT JR HIGH</t>
  </si>
  <si>
    <t>SOUTH FREMONT HIGH SCHOOL</t>
  </si>
  <si>
    <t>NORTH FREMONT JR-SR HIGH SCH</t>
  </si>
  <si>
    <t>HENRYS FORK ELEMENTARY</t>
  </si>
  <si>
    <t>PARKER-EGIN ELEMENTARY SCHOOL</t>
  </si>
  <si>
    <t>ASHTON ELEMENTARY SCHOOL</t>
  </si>
  <si>
    <t>TETON ELEMENTARY SCHOOL</t>
  </si>
  <si>
    <t>EMMETT HIGH SCHOOL</t>
  </si>
  <si>
    <t>EMMETT JUNIOR HIGH SCHOOL</t>
  </si>
  <si>
    <t>KENNETH CARBERRY INTERMEDIATE</t>
  </si>
  <si>
    <t>KG,1,2,3,4</t>
  </si>
  <si>
    <t>SHADOW BUTTE ELEMENTARY SCH</t>
  </si>
  <si>
    <t>SWEET-MONTOUR ELEM-JR HIGH SCH</t>
  </si>
  <si>
    <t>OLA ELEMENTARY SCHOOL</t>
  </si>
  <si>
    <t>PATRIOT CENTER (AT MATR)</t>
  </si>
  <si>
    <t>BLACK CANYON HIGH SCHOOL</t>
  </si>
  <si>
    <t>GOODING MIDDLE SCHOOL</t>
  </si>
  <si>
    <t>GOODING HIGH SCHOOL</t>
  </si>
  <si>
    <t>GOODING ELEMENTARY SCHOOL</t>
  </si>
  <si>
    <t>WENDELL MIDDLE SCHOOL</t>
  </si>
  <si>
    <t>WENDELL HIGH SCHOOL</t>
  </si>
  <si>
    <t>WENDELL ELEMENTARY SCHOOL</t>
  </si>
  <si>
    <t>HAGERMAN SCHOOL</t>
  </si>
  <si>
    <t>BLISS SCHOOL</t>
  </si>
  <si>
    <t>PRAIRIE JUNIOR/SENIOR HIGH SCHOOL</t>
  </si>
  <si>
    <t>PRAIRIE ELEMENTARY SCHOOL</t>
  </si>
  <si>
    <t>RIGGINS ELEMENTARY SCHOOL</t>
  </si>
  <si>
    <t>SALMON RIVER JR-SR HIGH SCHOOL</t>
  </si>
  <si>
    <t>CLEARWATER VALLEY JR-SR</t>
  </si>
  <si>
    <t>GRANGEVILLE HIGH SCHOOL</t>
  </si>
  <si>
    <t>CLEARWATER VALLEY ELEMENTARY</t>
  </si>
  <si>
    <t>GRANGEVILLE ELEM-JR HIGH SCH</t>
  </si>
  <si>
    <t>ELK CITY PUBLIC SCHOOL</t>
  </si>
  <si>
    <t>RIGBY SENIOR HIGH SCHOOL</t>
  </si>
  <si>
    <t>HARWOOD ELEMENTARY SCHOOL</t>
  </si>
  <si>
    <t>MIDWAY ELEMENTARY SCHOOL</t>
  </si>
  <si>
    <t>KG,1,2</t>
  </si>
  <si>
    <t>ROBERTS ELEMENTARY SCHOOL</t>
  </si>
  <si>
    <t>South Fork Elementary School</t>
  </si>
  <si>
    <t>JEFFERSON ALTERNATIVE HIGH</t>
  </si>
  <si>
    <t>Rigby Middle School</t>
  </si>
  <si>
    <t>Philo T. Farnsworth Elementary School</t>
  </si>
  <si>
    <t>3,4,5</t>
  </si>
  <si>
    <t>RIRIE HIGH SCHOOL</t>
  </si>
  <si>
    <t>PK,KG,1,9,10,11,12</t>
  </si>
  <si>
    <t>RIRIE MIDDLE SCHOOL</t>
  </si>
  <si>
    <t>2,3,4,5,6,7,8</t>
  </si>
  <si>
    <t>WEST JEFFERSON HIGH SCHOOL</t>
  </si>
  <si>
    <t>TERRETON ELEM-JR HIGH SCHOOL</t>
  </si>
  <si>
    <t>HAMER ELEMENTARY SCHOOL</t>
  </si>
  <si>
    <t>JEROME MIDDLE SCHOOL</t>
  </si>
  <si>
    <t>JEROME HIGH SCHOOL</t>
  </si>
  <si>
    <t>EC,KG,1,2,3</t>
  </si>
  <si>
    <t>SUMMIT ELEMENTARY</t>
  </si>
  <si>
    <t>4,5</t>
  </si>
  <si>
    <t>VALLEY SCHOOL</t>
  </si>
  <si>
    <t>COEUR D'ALENE DISTRICT</t>
  </si>
  <si>
    <t>CANFIELD MIDDLE SCHOOL</t>
  </si>
  <si>
    <t>LAKES MIDDLE SCHOOL</t>
  </si>
  <si>
    <t>COEUR D'ALENE HIGH SCHOOL</t>
  </si>
  <si>
    <t>SKYWAY ELEMENTARY SCHOOL</t>
  </si>
  <si>
    <t>LAKE CITY HIGH SCHOOL</t>
  </si>
  <si>
    <t>WOODLAND MIDDLE SCHOOL</t>
  </si>
  <si>
    <t>HAYDEN MEADOWS ELEMENTARY SCH</t>
  </si>
  <si>
    <t>FERNAN ELEMENTARY SCHOOL</t>
  </si>
  <si>
    <t>BORAH ELEMENTARY SCHOOL</t>
  </si>
  <si>
    <t>RAMSEY ELEMENTARY SCHOOL</t>
  </si>
  <si>
    <t>DALTON ELEMENTARY SCHOOL</t>
  </si>
  <si>
    <t>ATLAS ELEMENTARY SCHOOL</t>
  </si>
  <si>
    <t>BRYAN ELEMENTARY SCHOOL</t>
  </si>
  <si>
    <t>SORENSEN ELEMENTARY SCHOOL</t>
  </si>
  <si>
    <t>WINTON ELEMENTARY SCHOOL</t>
  </si>
  <si>
    <t>VENTURE ALT HIGH SCHOOL</t>
  </si>
  <si>
    <t>LAKELAND JUNIOR HIGH SCHOOL</t>
  </si>
  <si>
    <t>LAKELAND SENIOR HIGH SCHOOL</t>
  </si>
  <si>
    <t>BETTY KIEFER ELEMENTARY SCHOOL</t>
  </si>
  <si>
    <t>TIMBERLAKE JUNIOR HIGH SCHOOL</t>
  </si>
  <si>
    <t>TIMBERLAKE SENIOR HIGH SCHOOL</t>
  </si>
  <si>
    <t>SPIRIT LAKE ELEMENTARY SCHOOL</t>
  </si>
  <si>
    <t>JOHN BROWN ELEMENTARY SCHOOL</t>
  </si>
  <si>
    <t>ATHOL ELEMENTARY SCHOOL</t>
  </si>
  <si>
    <t>GARWOOD ELEMENTARY SCHOOL</t>
  </si>
  <si>
    <t>TWIN LAKES ELEMENTARY SCHOOL</t>
  </si>
  <si>
    <t>MOUNTAINVIEW ALTERNATVE HIGH</t>
  </si>
  <si>
    <t>POST FALLS MIDDLE SCHOOL</t>
  </si>
  <si>
    <t>POST FALLS HIGH SCHOOL</t>
  </si>
  <si>
    <t>MULLAN TRAIL ELEMENTARY SCHOOL</t>
  </si>
  <si>
    <t>RIVER CITY MIDDLE SCHOOL</t>
  </si>
  <si>
    <t>PRAIRIE VIEW ELEMENTARY</t>
  </si>
  <si>
    <t>SELTICE ELEMENTARY SCHOOL</t>
  </si>
  <si>
    <t>FREDERICK POST KINDER CENTER</t>
  </si>
  <si>
    <t>KG</t>
  </si>
  <si>
    <t>WEST RIDGE ELEMENTARY SCHOOL</t>
  </si>
  <si>
    <t>KOOTENAI JR-SR HIGH SCHOOL</t>
  </si>
  <si>
    <t>HARRISON ELEMENTARY SCHOOL</t>
  </si>
  <si>
    <t>MOSCOW MIDDLE SCHOOL</t>
  </si>
  <si>
    <t>MOSCOW SENIOR HIGH SCHOOL</t>
  </si>
  <si>
    <t>PARADISE CREEK REGIONAL ALT</t>
  </si>
  <si>
    <t>J. RUSSELL ELEMENTARY SCHOOL</t>
  </si>
  <si>
    <t>LENA WHITMORE ELEMENTARY SCH</t>
  </si>
  <si>
    <t>WEST PARK ELEMENTARY SCHOOL</t>
  </si>
  <si>
    <t>A.B. MC DONALD ELEMENTARY SCH</t>
  </si>
  <si>
    <t>PK,KG,1,2,3,4,5,6,7,8</t>
  </si>
  <si>
    <t>GENESEE SCHOOL</t>
  </si>
  <si>
    <t>KENDRICK JR-SR HIGH SCHOOL</t>
  </si>
  <si>
    <t>JULIAETTA ELEMENTARY SCHOOL</t>
  </si>
  <si>
    <t>POTLATCH JR-SR HIGH SCHOOL</t>
  </si>
  <si>
    <t>POTLATCH ELEMENTARY SCHOOL</t>
  </si>
  <si>
    <t>TROY ELEMENTARY SCHOOL</t>
  </si>
  <si>
    <t>TROY JR-SR HIGH SCHOOL</t>
  </si>
  <si>
    <t>BOVILL ELEMENTARY SCHOOL</t>
  </si>
  <si>
    <t>DEARY SCHOOL</t>
  </si>
  <si>
    <t>4,5,6,7,8,9,10,11,12</t>
  </si>
  <si>
    <t>SALMON JR./SR. HIGH SCHOOL</t>
  </si>
  <si>
    <t>SALMON PIONEER PRIMARY SCHOOL</t>
  </si>
  <si>
    <t>LEADORE SCHOOL</t>
  </si>
  <si>
    <t>NEZPERCE SCHOOL</t>
  </si>
  <si>
    <t>KAMIAH HIGH SCHOOL</t>
  </si>
  <si>
    <t>KAMIAH MIDDLE SCHOOL</t>
  </si>
  <si>
    <t>KAMIAH ELEMENTARY SCHOOL</t>
  </si>
  <si>
    <t>HIGHLAND SCHOOL</t>
  </si>
  <si>
    <t>SHOSHONE MIDDLE SCHOOL</t>
  </si>
  <si>
    <t>SHOSHONE HIGH SCHOOL</t>
  </si>
  <si>
    <t>SHOSHONE ELEMENTARY SCHOOL</t>
  </si>
  <si>
    <t>DIETRICH SCHOOL</t>
  </si>
  <si>
    <t>RICHFIELD SCHOOL</t>
  </si>
  <si>
    <t>MADISON JUNIOR HIGH SCHOOL</t>
  </si>
  <si>
    <t>8,9</t>
  </si>
  <si>
    <t>MADISON SENIOR HIGH SCHOOL</t>
  </si>
  <si>
    <t>MADISON MIDDLE SCHOOL</t>
  </si>
  <si>
    <t>5,6,7</t>
  </si>
  <si>
    <t>KENNEDY ELEMENTARY SCHOOL</t>
  </si>
  <si>
    <t>BURTON ELEMENTARY SCHOOL</t>
  </si>
  <si>
    <t>HIBBARD ELEMENTARY SCHOOL</t>
  </si>
  <si>
    <t>SOUTH FORK ELEMENTARY</t>
  </si>
  <si>
    <t>SUGAR-SALEM HIGH SCHOOL</t>
  </si>
  <si>
    <t>KERSHAW INTERMEDIATE SCHOOL</t>
  </si>
  <si>
    <t>SUGAR-SALEM JUNIOR HIGH SCHOOL</t>
  </si>
  <si>
    <t>CENTRAL ELEMENTARY SCHOOL</t>
  </si>
  <si>
    <t>VALLEY VIEW ALTERNATIVE HIGH</t>
  </si>
  <si>
    <t>EAST MINICO MIDDLE SCHOOL</t>
  </si>
  <si>
    <t>WEST MINICO MIDDLE SCHOOL</t>
  </si>
  <si>
    <t>MINICO SENIOR HIGH SCHOOL</t>
  </si>
  <si>
    <t>PAUL ELEMENTARY SCHOOL</t>
  </si>
  <si>
    <t>ACEQUIA ELEMENTARY SCHOOL</t>
  </si>
  <si>
    <t>RUPERT ELEMENTARY SCHOOL</t>
  </si>
  <si>
    <t>MT HARRISON JR/SR HIGH SCHOOL</t>
  </si>
  <si>
    <t>SACAJAWEA JUNIOR HIGH SCHOOL</t>
  </si>
  <si>
    <t>JENIFER JUNIOR HIGH SCHOOL</t>
  </si>
  <si>
    <t>LEWISTON SENIOR HIGH SCHOOL</t>
  </si>
  <si>
    <t>CAMELOT ELEMENTARY SCHOOL</t>
  </si>
  <si>
    <t>MC GHEE ELEMENTARY SCHOOL</t>
  </si>
  <si>
    <t>ORCHARDS ELEMENTARY SCHOOL</t>
  </si>
  <si>
    <t>MC SORLEY ELEMENTARY SCHOOL</t>
  </si>
  <si>
    <t>WHITMAN ELEMENTARY SCHOOL</t>
  </si>
  <si>
    <t>WEBSTER ELEMENTARY SCHOOL</t>
  </si>
  <si>
    <t>TAMMANY ALTER LEARNING CENTER</t>
  </si>
  <si>
    <t>LAPWAI HIGH SCHOOL</t>
  </si>
  <si>
    <t>LAPWAI ELEMENTARY SCHOOL</t>
  </si>
  <si>
    <t>CULDESAC SCHOOL</t>
  </si>
  <si>
    <t>MALAD SENIOR HIGH SCHOOL</t>
  </si>
  <si>
    <t>ONEIDA (ALT) HIGH SCHOOL</t>
  </si>
  <si>
    <t>MALAD MIDDLE SCHOOL</t>
  </si>
  <si>
    <t>STONE ELEMENTARY SCHOOL</t>
  </si>
  <si>
    <t>MALAD ELEMENTARY SCHOOL</t>
  </si>
  <si>
    <t>MARSING HIGH SCHOOL</t>
  </si>
  <si>
    <t>MARSING MIDDLE SCHOOL</t>
  </si>
  <si>
    <t>MARSING ELEMENTARY SCHOOL</t>
  </si>
  <si>
    <t>BRUNEAU-GRAND VIEW JOINT SCHOOL DISTRICT</t>
  </si>
  <si>
    <t>RIMROCK JR-SR HIGH SCHOOL</t>
  </si>
  <si>
    <t>BRUNEAU ELEMENTARY SCHOOL</t>
  </si>
  <si>
    <t>PK,KG,1,2,3,4,5</t>
  </si>
  <si>
    <t>GRAND VIEW ELEMENTARY SCHOOL</t>
  </si>
  <si>
    <t>HOMEDALE HIGH SCHOOL</t>
  </si>
  <si>
    <t>HOMEDALE MIDDLE SCHOOL</t>
  </si>
  <si>
    <t>HOMEDALE ELEMENTARY SCHOOL</t>
  </si>
  <si>
    <t>MC CAIN MIDDLE SCHOOL</t>
  </si>
  <si>
    <t>PAYETTE HIGH SCHOOL</t>
  </si>
  <si>
    <t>PAYETTE PRIMARY SCHOOL</t>
  </si>
  <si>
    <t>NEW PLYMOUTH HIGH SCHOOL</t>
  </si>
  <si>
    <t>NEW PLYMOUTH ELEMENTARY</t>
  </si>
  <si>
    <t>NEW PLYMOUTH MIDDLE SCHOOL</t>
  </si>
  <si>
    <t>FRUITLAND MIDDLE SCHOOL</t>
  </si>
  <si>
    <t>FRUITLAND HIGH SCHOOL</t>
  </si>
  <si>
    <t>FRUITLAND ELEMENTARY SCHOOL</t>
  </si>
  <si>
    <t>WILLIAM THOMAS MIDDLE SCHOOL</t>
  </si>
  <si>
    <t>AMERICAN FALLS HIGH SCHOOL</t>
  </si>
  <si>
    <t>A F INTERMEDIATE SCHOOL</t>
  </si>
  <si>
    <t>ROCKLAND PUBLIC SCHOOL</t>
  </si>
  <si>
    <t>KELLOGG MIDDLE SCHOOL</t>
  </si>
  <si>
    <t>KELLOGG HIGH SCHOOL</t>
  </si>
  <si>
    <t>PINEHURST ELEMENTARY SCHOOL</t>
  </si>
  <si>
    <t>CANYON ELEMENTARY SCHOOL</t>
  </si>
  <si>
    <t>MULLAN JR-SR HIGH SCHOOL</t>
  </si>
  <si>
    <t>JOHN MULLAN ELEMENTARY SCHOOL</t>
  </si>
  <si>
    <t>SILVER HILLS ELEMENTARY SCHOOL</t>
  </si>
  <si>
    <t>WALLACE JR/SR HIGH SCHOOL</t>
  </si>
  <si>
    <t>Calder Elementary Jr High</t>
  </si>
  <si>
    <t>TETON HIGH SCHOOL</t>
  </si>
  <si>
    <t>TETON MIDDLE SCHOOL</t>
  </si>
  <si>
    <t>DRIGGS ELEMENTARY SCHOOL</t>
  </si>
  <si>
    <t>KG,1,2,3</t>
  </si>
  <si>
    <t>TETONIA ELEMENTARY SCHOOL</t>
  </si>
  <si>
    <t>VICTOR ELEMENTARY SCHOOL</t>
  </si>
  <si>
    <t>Rendezvous Upper Elementary School</t>
  </si>
  <si>
    <t>ROBERT STUART JR HIGH SCHOOL</t>
  </si>
  <si>
    <t>VERA C O'LEARY JR HIGH SCHOOL</t>
  </si>
  <si>
    <t>TWIN FALLS SENIOR HIGH</t>
  </si>
  <si>
    <t>OREGON TRAIL ELEMENTARY SCHOOL</t>
  </si>
  <si>
    <t>I B PERRINE ELEMENTARY SCHOOL</t>
  </si>
  <si>
    <t>MORNINGSIDE ELEMENTARY SCHOOL</t>
  </si>
  <si>
    <t>SAWTOOTH ELEMENTARY SCHOOL</t>
  </si>
  <si>
    <t>BICKEL ELEMENTARY SCHOOL</t>
  </si>
  <si>
    <t>MAGIC VALLEY ALTERNATIVE HIGH</t>
  </si>
  <si>
    <t>TWIN FALLS BRIDGE ACADEMY</t>
  </si>
  <si>
    <t>Canyon ridge High School</t>
  </si>
  <si>
    <t>BUHL MIDDLE SCHOOL</t>
  </si>
  <si>
    <t>BUHL HIGH SCHOOL</t>
  </si>
  <si>
    <t>POPPLEWELL ELEMENTARY SCHOOL</t>
  </si>
  <si>
    <t>FILER HIGH SCHOOL</t>
  </si>
  <si>
    <t>FILER MIDDLE SCHOOL</t>
  </si>
  <si>
    <t>FILER ELEMENTARY SCHOOL</t>
  </si>
  <si>
    <t>HOLLISTER ELEMENTARY SCHOOL</t>
  </si>
  <si>
    <t>FILER INTERMEDIATE SCHOOL</t>
  </si>
  <si>
    <t>KIMBERLY HIGH SCHOOL</t>
  </si>
  <si>
    <t>KIMBERLY MIDDLE SCHOOL</t>
  </si>
  <si>
    <t>KIMBERLY ELEMENTARY SCHOOL</t>
  </si>
  <si>
    <t>HANSEN JR/SR HIGH SCHOOL</t>
  </si>
  <si>
    <t>HANSEN ELEMENTARY SCHOOL</t>
  </si>
  <si>
    <t>CASTLEFORD SCHOOL</t>
  </si>
  <si>
    <t>MURTAUGH SCHOOL</t>
  </si>
  <si>
    <t>KG,1,2,3,4,5,6,7,8,9,10,11,12</t>
  </si>
  <si>
    <t>MCCALL-DONNELLY JT. SCHOOL DISTRICT</t>
  </si>
  <si>
    <t>MC CALL-DONNELLY HIGH SCHOOL</t>
  </si>
  <si>
    <t>PAYETTE LAKES MIDDLE SCHOOL</t>
  </si>
  <si>
    <t>BARBARA R MORGAN ELEMENTARY</t>
  </si>
  <si>
    <t>DONNELLY ELEMENTARY</t>
  </si>
  <si>
    <t>CASCADE JR-SR HIGH SCHOOL</t>
  </si>
  <si>
    <t>CASCADE ELEMENTARY SCHOOL</t>
  </si>
  <si>
    <t>WEISER MIDDLE SCHOOL</t>
  </si>
  <si>
    <t>WEISER HIGH SCHOOL</t>
  </si>
  <si>
    <t>PIONEER PRIMARY SCHOOL</t>
  </si>
  <si>
    <t>PARK INTERMEDIATE SCHOOL</t>
  </si>
  <si>
    <t>CAMBRIDGE JR-SR HIGH SCHOOL</t>
  </si>
  <si>
    <t>CAMBRIDGE ELEMENTARY SCHOOL</t>
  </si>
  <si>
    <t>MIDVALE SCHOOL</t>
  </si>
  <si>
    <t>Idaho Virtual Acadamy Alt HS</t>
  </si>
  <si>
    <t>IDAHO VIRTUAL HIGH SCHOOL DISTRICT</t>
  </si>
  <si>
    <t>RICHARD McKENNA CHARTER HIGH</t>
  </si>
  <si>
    <t>ROLLING HILLS CHARTER SCHOOL</t>
  </si>
  <si>
    <t>EC,PK,KG,1,2,3,4,5,6,7,8,9</t>
  </si>
  <si>
    <t>FALCON RIDGE CHARTER SCHOOL</t>
  </si>
  <si>
    <t>INSPIRE VIRTUAL CHARTER</t>
  </si>
  <si>
    <t>INSPIRE VIRTUAL CHARTER SCHOO</t>
  </si>
  <si>
    <t>LIBERTY CHARTER</t>
  </si>
  <si>
    <t>LIBERTY CHARTER SCHOOL</t>
  </si>
  <si>
    <t>THE ACADEMY DISTRICT</t>
  </si>
  <si>
    <t>THE ACADEMY AT ROOSEVELT CNTR</t>
  </si>
  <si>
    <t>TAYLORS CROSSING CHARTER SCHOOL</t>
  </si>
  <si>
    <t>EC,IT,TK,KG,1,2,3,4,5,6,7,8,9,10,13,AE</t>
  </si>
  <si>
    <t>IDAHO SCIENCE &amp; TECHNOLOGY CHARTER</t>
  </si>
  <si>
    <t>Idaho Science &amp; Technology Charter School</t>
  </si>
  <si>
    <t>4,5,6,7,8</t>
  </si>
  <si>
    <t>PALOUSE PRAIRIE CHARTER</t>
  </si>
  <si>
    <t>Palouse Prairie Charter School</t>
  </si>
  <si>
    <t>THE VILLAGE CHARTER SCHOOL DISTRICT</t>
  </si>
  <si>
    <t>Village Charter School</t>
  </si>
  <si>
    <t>MONTICELLO MONTESSORI CHARTER SCHOOL</t>
  </si>
  <si>
    <t>Monticello Montessori Charter</t>
  </si>
  <si>
    <t>ANOTHER CHOICE VIRTUAL CHARTER DISTRICT</t>
  </si>
  <si>
    <t>ANOTHER CHOICE VIRTUAL CHARTER</t>
  </si>
  <si>
    <t>Blackfoot Charter Community</t>
  </si>
  <si>
    <t>LEGACY CHARTER SCHOOL DISTRICT</t>
  </si>
  <si>
    <t>KG,1,2,3,4,5,6,7,8</t>
  </si>
  <si>
    <t>HERITAGE ACADEMY DISTRICT</t>
  </si>
  <si>
    <t>HERITAGE COMMUNITY CHARTER DISTRICT</t>
  </si>
  <si>
    <t>Heritage Community Charter</t>
  </si>
  <si>
    <t>AMERICAN HERITAGE CHARTER DISTRICT</t>
  </si>
  <si>
    <t>1,2,3,4,5,6,7,8</t>
  </si>
  <si>
    <t>CHIEF TAHGEE ELEMENTARY ACADEMY DISTRICT</t>
  </si>
  <si>
    <t>Chief Tahgee Elementary Academy</t>
  </si>
  <si>
    <t>FORREST M. BIRD CHARTER DISTRICT</t>
  </si>
  <si>
    <t>Forrest Bird Charter School</t>
  </si>
  <si>
    <t>6,7,8,9,10,11</t>
  </si>
  <si>
    <t>WOOD RIVER WALDORF METHODS SCHOOL, A PUBLIC CHARTER SCHOOL DISTRICT</t>
  </si>
  <si>
    <t>IDAHO COLLEGE &amp; CAREER READINESS ACADEMY</t>
  </si>
  <si>
    <t>IDAHO DISTANCE EDUCATION ACADEMY DISTRICT</t>
  </si>
  <si>
    <t>IDAHO DISTANCE EDUCATION ACAD</t>
  </si>
  <si>
    <t>GEM PREP: POCATELLO SCHOOL</t>
  </si>
  <si>
    <t>KG,1</t>
  </si>
  <si>
    <t>District</t>
  </si>
  <si>
    <t>**</t>
  </si>
  <si>
    <t>Salmon River</t>
  </si>
  <si>
    <t>West Jefferson District</t>
  </si>
  <si>
    <t>District #</t>
  </si>
  <si>
    <t>COMPASS CHARTER SCHOOL</t>
  </si>
  <si>
    <t>IDAHO CONNECTS ONLINE CHARTER DISTRICT</t>
  </si>
  <si>
    <t>NORTH IDAHO STEM CHARTER ACADEMY DISTRICT</t>
  </si>
  <si>
    <t>IDAHO STEM ACADEMY DISTRICT</t>
  </si>
  <si>
    <t>UPPER CARMEN PUBLIC CHARTER DISTRICT</t>
  </si>
  <si>
    <t>COEUR D'ALENE CHARTER ACADEMY DISTRICT</t>
  </si>
  <si>
    <t>NORTH STAR CHARTER DISTRICT</t>
  </si>
  <si>
    <t>CANYON-OWYHEE SCHOOL SERVICE AGENCY (COSSA)</t>
  </si>
  <si>
    <t>IDAHO BUREAU OF EDUCATIONAL SERVICES FOR THE DEAF AND THE BLIND</t>
  </si>
  <si>
    <t>MERIDIAN TECHNICAL CHARTER DISTRICT</t>
  </si>
  <si>
    <t>% SPED</t>
  </si>
  <si>
    <t>SPED Enrollment</t>
  </si>
  <si>
    <t>Assumed Ratio:</t>
  </si>
  <si>
    <t>ELL Enrollment</t>
  </si>
  <si>
    <t>Low-Income Enrollment</t>
  </si>
  <si>
    <t>Enrollment</t>
  </si>
  <si>
    <t>ELA</t>
  </si>
  <si>
    <t>DistrictId</t>
  </si>
  <si>
    <t>DistrictName</t>
  </si>
  <si>
    <t>SubjectName</t>
  </si>
  <si>
    <t>Display</t>
  </si>
  <si>
    <t>PopulationName</t>
  </si>
  <si>
    <t>Advanced</t>
  </si>
  <si>
    <t>Proficient</t>
  </si>
  <si>
    <t>Basic</t>
  </si>
  <si>
    <t>BelowBasic</t>
  </si>
  <si>
    <t>Participation</t>
  </si>
  <si>
    <t>Math</t>
  </si>
  <si>
    <t>All Grades</t>
  </si>
  <si>
    <t>All Students</t>
  </si>
  <si>
    <t>***</t>
  </si>
  <si>
    <t xml:space="preserve">KOOTENAI BRIDGE ACADEMY </t>
  </si>
  <si>
    <t>002</t>
  </si>
  <si>
    <t>0257</t>
  </si>
  <si>
    <t>0547</t>
  </si>
  <si>
    <t>131</t>
  </si>
  <si>
    <t>0577</t>
  </si>
  <si>
    <t>139</t>
  </si>
  <si>
    <t>0559</t>
  </si>
  <si>
    <t>281</t>
  </si>
  <si>
    <t>0813</t>
  </si>
  <si>
    <t>331</t>
  </si>
  <si>
    <t>0639</t>
  </si>
  <si>
    <t>3-10 enrollment</t>
  </si>
  <si>
    <t>G&amp;T</t>
  </si>
  <si>
    <t>Gifted &amp; Talented Counts from State</t>
  </si>
  <si>
    <t>6% of all students</t>
  </si>
  <si>
    <t>Low-Performing</t>
  </si>
  <si>
    <t>Gifted &amp; Talented</t>
  </si>
  <si>
    <t>Low Estimate</t>
  </si>
  <si>
    <t>High Estimate</t>
  </si>
  <si>
    <t>Small district status per simulator</t>
  </si>
  <si>
    <t>Data received from data request (Kelly Everitt @ Idaho SDE)</t>
  </si>
  <si>
    <t>DistrictID</t>
  </si>
  <si>
    <t>221</t>
  </si>
  <si>
    <t>485</t>
  </si>
  <si>
    <t>232</t>
  </si>
  <si>
    <t>PAYETTE RIVER TECHNICAL ACADEMY CHARTER</t>
  </si>
  <si>
    <t>Base Funding</t>
  </si>
  <si>
    <t>Low-Income Supplement</t>
  </si>
  <si>
    <t>ELL Supplement</t>
  </si>
  <si>
    <t>Low-Performing Supplement</t>
  </si>
  <si>
    <t>SPED I Supplement</t>
  </si>
  <si>
    <t>SPED II Supplement</t>
  </si>
  <si>
    <t>SPED III Supplement</t>
  </si>
  <si>
    <t>SPED IV Supplement</t>
  </si>
  <si>
    <t>G&amp;T Supplement</t>
  </si>
  <si>
    <t>K Supplement</t>
  </si>
  <si>
    <t>1-3 Supplement</t>
  </si>
  <si>
    <t>9-12 Supplement</t>
  </si>
  <si>
    <t xml:space="preserve">School District
(1)
</t>
  </si>
  <si>
    <t xml:space="preserve">Market Value
(2)
</t>
  </si>
  <si>
    <t xml:space="preserve">M &amp; O /
Budget
Stabilization
(4)
</t>
  </si>
  <si>
    <t xml:space="preserve">Supplemental
M &amp; O
(5)
</t>
  </si>
  <si>
    <t xml:space="preserve">Emergency
(6)
</t>
  </si>
  <si>
    <t xml:space="preserve">Tort
(7)
</t>
  </si>
  <si>
    <t xml:space="preserve">School
District
Subtotal
(9)
</t>
  </si>
  <si>
    <t xml:space="preserve">Bond
(10)
</t>
  </si>
  <si>
    <t xml:space="preserve">Plant
Facility
(11)
</t>
  </si>
  <si>
    <t xml:space="preserve">School
District
Total
(12)
</t>
  </si>
  <si>
    <t>State Authorized Plant Facility</t>
  </si>
  <si>
    <t xml:space="preserve">Total </t>
  </si>
  <si>
    <t>Property Wealth (Total)</t>
  </si>
  <si>
    <t>Property Wealth (Per Pupil)</t>
  </si>
  <si>
    <t>Yes</t>
  </si>
  <si>
    <t>No</t>
  </si>
  <si>
    <t>If districts choose to levy more than the minimum rate, how much of that additional funding should they be able to keep?</t>
  </si>
  <si>
    <t>Current Mill Rate</t>
  </si>
  <si>
    <t>Minimum mill rate 
(from simulator)</t>
  </si>
  <si>
    <t>Remaining local funds</t>
  </si>
  <si>
    <t>Local contribution per equalization minimum</t>
  </si>
  <si>
    <t>Add'l local contribution per equalization formula</t>
  </si>
  <si>
    <t>Set the base amount of funding every child should receive in the green cell. The blue cell will indicate the maximum amount of funding you can allocate to every student without exceeding the current state budget. If the funding level you set requires more funding than the state's budget has available, the blue cell will turn red. Lower the base amount to return to an amount within budget.</t>
  </si>
  <si>
    <t>Value for Simulator</t>
  </si>
  <si>
    <t>Maximum Addition within Budget</t>
  </si>
  <si>
    <t>Per-Pupil Base Funding</t>
  </si>
  <si>
    <t>Student Weights</t>
  </si>
  <si>
    <t>Low-Income</t>
  </si>
  <si>
    <t>English Language Learner</t>
  </si>
  <si>
    <t>Special Education Category I</t>
  </si>
  <si>
    <t>Special Education Category II</t>
  </si>
  <si>
    <t>Special Education Category III</t>
  </si>
  <si>
    <t>Special Education Category IV</t>
  </si>
  <si>
    <t>Grade-Level Weights</t>
  </si>
  <si>
    <t>1st - 3rd Grade</t>
  </si>
  <si>
    <t>9th - 12th Grade</t>
  </si>
  <si>
    <t>Student Performance</t>
  </si>
  <si>
    <t>Remediation</t>
  </si>
  <si>
    <t xml:space="preserve">Write the amount of additional funding you would like to allocate to each small district (up to its current funding level) in dollars. The blue cell will indicate the maximum amount of funding you can allocate to every small district without exceeding the state's budget. If the amount you set requires more funding than the state's budget has available, the blue cell will turn red. To get back under budget, reduce one or more settings, including the base amount, student weights, and / or small district grant. </t>
  </si>
  <si>
    <t>Adjust the values above as desired. The "remainder" below indicates how much funding is still available. If the criteria you select require more funding than the budget has available, the blue cell will turn red. To get back under budget, reduce one or more settings, including the base funding amount or student weights, or increase the budget addition.</t>
  </si>
  <si>
    <t>Step 8. Set a timeline for the transition.</t>
  </si>
  <si>
    <t>Click on the green cell below to select from the drop-down  menu the number of years to make the full transition to the student-based budget model.</t>
  </si>
  <si>
    <t>Length of Transition</t>
  </si>
  <si>
    <t>Click on the "Results" tab below to see the outcomes from the student-based budget model you created.</t>
  </si>
  <si>
    <t>State funding available for SBB</t>
  </si>
  <si>
    <t>SBB Pot</t>
  </si>
  <si>
    <t>Small district grant</t>
  </si>
  <si>
    <t>Available Funding</t>
  </si>
  <si>
    <t>High / Low Est</t>
  </si>
  <si>
    <t>High / Low Est.</t>
  </si>
  <si>
    <t>High</t>
  </si>
  <si>
    <t>Output 1. Selected district-level results</t>
  </si>
  <si>
    <t>See how the SBB model would affect up to five districts by clicking on the green cells to select districts from the drop-down menu.</t>
  </si>
  <si>
    <t>Total Funding From Selected Funding Streams</t>
  </si>
  <si>
    <t>Total Per-Pupil Funding From Selected Funding Streams</t>
  </si>
  <si>
    <t>Current Model</t>
  </si>
  <si>
    <t>SBB Model</t>
  </si>
  <si>
    <t>Difference</t>
  </si>
  <si>
    <t>Output 6. Summary table, all districts</t>
  </si>
  <si>
    <t>The table below summarizes the results for all districts in the state.</t>
  </si>
  <si>
    <t>Total Funding - Selected Funding Streams</t>
  </si>
  <si>
    <t>Total Per-Pupil Funding - Selected Funding Streams</t>
  </si>
  <si>
    <t>Small District</t>
  </si>
  <si>
    <t xml:space="preserve"> Current Model</t>
  </si>
  <si>
    <t>% Change</t>
  </si>
  <si>
    <t>Original allocation from SBB Pot</t>
  </si>
  <si>
    <t>New allocation from SBB Pot</t>
  </si>
  <si>
    <t>SBB Funding Pot</t>
  </si>
  <si>
    <t>Federal Funds</t>
  </si>
  <si>
    <t>Non-SBB state funds</t>
  </si>
  <si>
    <t>Non-SBB local funds</t>
  </si>
  <si>
    <t>Other funds</t>
  </si>
  <si>
    <t>New Allocation from SBB Pot PP</t>
  </si>
  <si>
    <t>Original allocation from SBB Pot PP</t>
  </si>
  <si>
    <t>Difference from SBB Pot</t>
  </si>
  <si>
    <t>Difference as % of Total</t>
  </si>
  <si>
    <t>Difference from SBB Pot Total as %</t>
  </si>
  <si>
    <t>New Total 
(local, state, &amp; federal - exc. "other)</t>
  </si>
  <si>
    <t>New Total PP 
(local, state, &amp; federal - exc. "other)</t>
  </si>
  <si>
    <t>Original Total
(local, state, &amp; federal - exc. "other)</t>
  </si>
  <si>
    <t>Original Total PP (local, state, &amp; federal - exc. "other)</t>
  </si>
  <si>
    <t>Property Wealth Per Pupil</t>
  </si>
  <si>
    <t>% Low-Income</t>
  </si>
  <si>
    <t>Descriptive Data</t>
  </si>
  <si>
    <t>Enollment</t>
  </si>
  <si>
    <t>% Low Income</t>
  </si>
  <si>
    <t>Property Wealth PP</t>
  </si>
  <si>
    <t>Total Enroll</t>
  </si>
  <si>
    <t>Output 2. Effects on districts statewide</t>
  </si>
  <si>
    <t>The table below summarizes the results across all districts, small districts, medium to large districts,</t>
  </si>
  <si>
    <t>and charter systems.</t>
  </si>
  <si>
    <t>Districts that Gain or Maintain Funding</t>
  </si>
  <si>
    <t>Districts Losing Funding</t>
  </si>
  <si>
    <t>All Districts</t>
  </si>
  <si>
    <t>Number of Districts</t>
  </si>
  <si>
    <t>Percentage of Students</t>
  </si>
  <si>
    <t>Median Per-Pupil Change</t>
  </si>
  <si>
    <t>Median Percent Change</t>
  </si>
  <si>
    <t>Average Per-Pupil Gain</t>
  </si>
  <si>
    <t>Average Percent Change</t>
  </si>
  <si>
    <t>Average Per-Pupil Change</t>
  </si>
  <si>
    <t>Small Districts</t>
  </si>
  <si>
    <t>Number of Small Districts</t>
  </si>
  <si>
    <t>Medan Per-Pupil Gain</t>
  </si>
  <si>
    <t>Medium to Large Districts</t>
  </si>
  <si>
    <t>Number of Medium to Large Districts</t>
  </si>
  <si>
    <t>Median Per-Pupil Gain</t>
  </si>
  <si>
    <t>Charter?</t>
  </si>
  <si>
    <t>Output 3. Funding gains analysis</t>
  </si>
  <si>
    <t>The table below shows the percentage of districts, students, and select student sub-groups gaining funds or losing less than 2% from relevant sources, as well as the additional funding required to implement the formula without taking funding away from any district (holding them harmless).</t>
  </si>
  <si>
    <t>SBB Formula</t>
  </si>
  <si>
    <t>Districts gaining funding from relevant sources, or losing less than 2%</t>
  </si>
  <si>
    <t>Percent of all students in districts gaining funding from relevant sources, or losing less than 2%</t>
  </si>
  <si>
    <t>Percent of FRL students in districts receiving more funding</t>
  </si>
  <si>
    <t>Percent of ELL students in districts receiving more funding</t>
  </si>
  <si>
    <t>Percent of total SPED students in districts receiving more funding</t>
  </si>
  <si>
    <t>Additional funding needed to implement with hold harmless</t>
  </si>
  <si>
    <t>Enroll</t>
  </si>
  <si>
    <t>Current Per Pupil Funding</t>
  </si>
  <si>
    <t>SBB Per Pupil Funding</t>
  </si>
  <si>
    <t>Charter Schools</t>
  </si>
  <si>
    <t>Number of Charter Schools</t>
  </si>
  <si>
    <t>Total Funding (exc. "Other")</t>
  </si>
  <si>
    <t>Total Per-Pupil Funding - (exc. "Other")</t>
  </si>
  <si>
    <t>Results of Idaho Student-Based Budgeting Simulator</t>
  </si>
  <si>
    <t xml:space="preserve">Data downloaded from: </t>
  </si>
  <si>
    <t>Tax Levy Data</t>
  </si>
  <si>
    <t>http://www.sde.idaho.gov/finance/</t>
  </si>
  <si>
    <t>Special Education Enrollment Data</t>
  </si>
  <si>
    <t>Title I Economically Disadvantaged Student Enrollment</t>
  </si>
  <si>
    <t>Data Downloaded from:</t>
  </si>
  <si>
    <t>English Language Learner Enrollment</t>
  </si>
  <si>
    <t>Requested from Idaho SDE</t>
  </si>
  <si>
    <t>Enrollment by District and Charter School</t>
  </si>
  <si>
    <t>Gifted and Talented Enrollment</t>
  </si>
  <si>
    <t>Data Requested from Idaho SDE; Received</t>
  </si>
  <si>
    <t>Requested from Idaho SDE; Received</t>
  </si>
  <si>
    <t xml:space="preserve">Federal </t>
  </si>
  <si>
    <t>State</t>
  </si>
  <si>
    <t>Local</t>
  </si>
  <si>
    <t>Mill Rate</t>
  </si>
  <si>
    <t>Funding Per Pupil from State and federal</t>
  </si>
  <si>
    <t>Small</t>
  </si>
  <si>
    <t>PP small district</t>
  </si>
  <si>
    <t>PP all other districts</t>
  </si>
  <si>
    <t>Charter</t>
  </si>
  <si>
    <t>Percent of all state funding</t>
  </si>
  <si>
    <t>Place an "X" in the green cells next to any state funding stream you want to allocate through the SBB formula. The gray cells indicate the amount of funding included in the SBB formula and the percentage of all state funding that the selected streams comprise.</t>
  </si>
  <si>
    <t xml:space="preserve">Step 2. Choose whether and how to equalize local funding. </t>
  </si>
  <si>
    <t>Do you want to equalize local funding?</t>
  </si>
  <si>
    <t>Amount of funding available for SBB formula</t>
  </si>
  <si>
    <t>Percent of all state and local funding</t>
  </si>
  <si>
    <t>Step 3. Add or subtract funding.</t>
  </si>
  <si>
    <t>Do you want to add or subtract funding?</t>
  </si>
  <si>
    <t>Add</t>
  </si>
  <si>
    <t>Subtract</t>
  </si>
  <si>
    <t>Choose whether to add or subtract funding to account for potential budget increases, new taxes, surpluses, or cutbacks.</t>
  </si>
  <si>
    <t xml:space="preserve">How much do you want to add subtract? </t>
  </si>
  <si>
    <t>Amount of Funding Student Would Generate</t>
  </si>
  <si>
    <t>The left side of the table lists student characteristics that you can include in the student-based budgeting model. For any characteristic you want to include, enter the percent of the base amount you want to the supplement to be. The gray cells indicate how much funding each student with that characteristic would generate. The blue cells will indicate how much you can increase the weight without exceeding the current state budget. If the criteria you set requires a funding amount that exceeds the state's budget, the blue cells will turn red. Reduce one or more weights, including the base amount in Step 3, to get back within budget.</t>
  </si>
  <si>
    <t>Step 4. Choose base funding amount.</t>
  </si>
  <si>
    <t>Step 5. Choose student characteristics to weight in the formula.</t>
  </si>
  <si>
    <t>Idaho does not consider a district's capacity to raise local funding in its formula. As a result, the amount of funding available to schools reflects district wealth to some degree; districts with greater property wealth have the capacity to raise more than districts with less property wealth -- and they often do.
To address this inequity, most states "equalize" local funding by assuming a minimum amount of effort (tax rate) from each district, calculating the revenue that tax rate will generate, and deducting that revenue from the state contribution. As a result, poorer districts receive more state funding compared to wealthier districts.
In the Idaho context where local dollars are entirely left out of any state allocations, equalization would effectively increase the amount of funding included in the state's formula, but acknowledging some portion of local dollars.</t>
  </si>
  <si>
    <t>(use positive values only)</t>
  </si>
  <si>
    <t>Difference from SBB Pot PP</t>
  </si>
  <si>
    <t>Weighted Funds (no small district grant)</t>
  </si>
  <si>
    <t>4th - 6th Grade</t>
  </si>
  <si>
    <t>7th - 8th Grade</t>
  </si>
  <si>
    <t>4-6 Supplement</t>
  </si>
  <si>
    <t>7-8 Supplement</t>
  </si>
  <si>
    <t xml:space="preserve">  Small-district grant (per district)</t>
  </si>
  <si>
    <t xml:space="preserve">  Remainder</t>
  </si>
  <si>
    <t>yes</t>
  </si>
  <si>
    <t>Total Funding</t>
  </si>
  <si>
    <t>Total Per-Pupil Funding</t>
  </si>
  <si>
    <t>Slide 14</t>
  </si>
  <si>
    <t>Small districts</t>
  </si>
  <si>
    <t>No small districts</t>
  </si>
  <si>
    <t>Small LEAs (including charters)</t>
  </si>
  <si>
    <t>Small charters</t>
  </si>
  <si>
    <t>Base Support Only; $3342 base funding; 40% FRL weight</t>
  </si>
  <si>
    <t>Current funding from SBB Pot and Local</t>
  </si>
  <si>
    <t>3 mill; Base support; 40% FRL</t>
  </si>
  <si>
    <t xml:space="preserve">Our research shows that small districts receive the most funding from the state on a per pupil basis. As a result, small districts stand to lose the most funding under SBB. Since many small districts cannot consolidate with other districts, however, it may be desireable to offset some of those losses. </t>
  </si>
  <si>
    <t>Hold harmless</t>
  </si>
  <si>
    <t>Appx. Addition within Budget</t>
  </si>
  <si>
    <t>How would you like to provide additional support for small districts?</t>
  </si>
  <si>
    <t>students or less</t>
  </si>
  <si>
    <t>Property Wealth PP Rank</t>
  </si>
  <si>
    <t>Output 4. Funding gains analysis</t>
  </si>
  <si>
    <t>Medan Per-Pupil Change</t>
  </si>
  <si>
    <t>Districts gaining funding from relevant sources, or losing up to 2%</t>
  </si>
  <si>
    <t xml:space="preserve">Additional funding needed to hold harmless any remaining districts and schools losing funding </t>
  </si>
  <si>
    <t xml:space="preserve">Step 6. Choose how to fund kindergarten. </t>
  </si>
  <si>
    <t xml:space="preserve">Currently, Idaho funds kindergarten at half the rate of other students. At what percentage of the base funding amount should Idaho fund kindergarten students moving forward. </t>
  </si>
  <si>
    <t>Step 7. Address small districts</t>
  </si>
  <si>
    <t>Step 8. Adjust values if needed.</t>
  </si>
  <si>
    <t>Step 9. See results.</t>
  </si>
  <si>
    <r>
      <t xml:space="preserve">Kindergarten funding
</t>
    </r>
    <r>
      <rPr>
        <i/>
        <sz val="11"/>
        <color theme="1"/>
        <rFont val="Arial"/>
        <family val="2"/>
      </rPr>
      <t>(as a percentage of base funding)</t>
    </r>
  </si>
  <si>
    <t>Revenue data</t>
  </si>
  <si>
    <t>By request from Julie Oberle @ Idaho SDE</t>
  </si>
  <si>
    <t>Both</t>
  </si>
  <si>
    <t>Per Pupil</t>
  </si>
  <si>
    <t>Independent Charter</t>
  </si>
  <si>
    <t>District Schools</t>
  </si>
  <si>
    <t>or losing up to 2%</t>
  </si>
  <si>
    <t>Output 4. Effects on districts statewide</t>
  </si>
  <si>
    <t>Total enrollment (Excl PreK &amp; K)</t>
  </si>
  <si>
    <t>Percent of low-income students in districts receiving more funding</t>
  </si>
  <si>
    <t>Percent of all students in districts gaining funding from relevant sources, or losing</t>
  </si>
  <si>
    <t>State PP</t>
  </si>
  <si>
    <t>FY 2016 Tax Levies</t>
  </si>
  <si>
    <t>UPDATED</t>
  </si>
  <si>
    <t xml:space="preserve"> - Sent new request 7/20</t>
  </si>
  <si>
    <t>2015-16</t>
  </si>
  <si>
    <t>2015-2016</t>
  </si>
  <si>
    <t>CONNER ACADEMY</t>
  </si>
  <si>
    <t>IDEA Part B (School-Age, Preschool)</t>
  </si>
  <si>
    <t>Impact Aid - Public Law 874</t>
  </si>
  <si>
    <t>County</t>
  </si>
  <si>
    <t>Federal</t>
  </si>
  <si>
    <t>Whitepine Joint</t>
  </si>
  <si>
    <t>Richard McKenna Charter School</t>
  </si>
  <si>
    <t>Inspire Charter School</t>
  </si>
  <si>
    <t>White Pine Charter School</t>
  </si>
  <si>
    <t>iSucceed Virtual Charter School</t>
  </si>
  <si>
    <t>Idaho Science &amp; Tech. Charter Sch</t>
  </si>
  <si>
    <t>Idaho Connects Online School</t>
  </si>
  <si>
    <t>Monticello Montessori</t>
  </si>
  <si>
    <t>Sage International Charter</t>
  </si>
  <si>
    <t>Another Choice Charter School</t>
  </si>
  <si>
    <t>Blackfoot Charter Comm. Learning Ctr</t>
  </si>
  <si>
    <t>N. Idaho STEM Charter</t>
  </si>
  <si>
    <t>Heritage Community Charter Sch</t>
  </si>
  <si>
    <t>Bingham Academy</t>
  </si>
  <si>
    <t>Syringa Mountain School</t>
  </si>
  <si>
    <t>Idaho College &amp; Career Readiness Acad</t>
  </si>
  <si>
    <t>Idaho Distance Education Acad.</t>
  </si>
  <si>
    <t>COSSA  Academy</t>
  </si>
  <si>
    <t>Type of Revenue</t>
  </si>
  <si>
    <t xml:space="preserve">Market Value
including
Urban Renewal Increment Value
(3)
</t>
  </si>
  <si>
    <t xml:space="preserve">COSA (c)
Tuition (t)
Judgement (j)
(8)
</t>
  </si>
  <si>
    <t>West Ada Joint</t>
  </si>
  <si>
    <t>Plummer / Worley Jt</t>
  </si>
  <si>
    <t>Swan Valley Elem</t>
  </si>
  <si>
    <t>t</t>
  </si>
  <si>
    <t>Butte County Joint</t>
  </si>
  <si>
    <t>c</t>
  </si>
  <si>
    <t>j</t>
  </si>
  <si>
    <t>Jefferson County Jt</t>
  </si>
  <si>
    <t>Lakeland Joint</t>
  </si>
  <si>
    <t>Minidoka County Jt</t>
  </si>
  <si>
    <t>Pleasant Valley Elem</t>
  </si>
  <si>
    <t>Bruneau-Grand View Jt</t>
  </si>
  <si>
    <t>Kellogg Joint</t>
  </si>
  <si>
    <t>Three Creek Jt Elem</t>
  </si>
  <si>
    <t>4-6 enrollment</t>
  </si>
  <si>
    <t>7-8 enrollment</t>
  </si>
  <si>
    <t>Grades 3 - 10 Enrollment</t>
  </si>
  <si>
    <t>Total Enrollment 
(Excl Pre-K)</t>
  </si>
  <si>
    <t>Total Enrollment 
(Excl Pre-K &amp; K)</t>
  </si>
  <si>
    <t>Data downloaded from: http://apps.sde.idaho.gov/CFSGA/ViewReport?reportName=Title1SchoolStatus&amp;selectedYear=2015-2016</t>
  </si>
  <si>
    <t>RIVERGLEN JR HIGH SCHOOL</t>
  </si>
  <si>
    <t> </t>
  </si>
  <si>
    <t>WILLOW CREEK ELEMENTARY SCHOOL</t>
  </si>
  <si>
    <t>PK,KG,1,2,3</t>
  </si>
  <si>
    <t>IDAHO FINE ARTS ACADEMY</t>
  </si>
  <si>
    <t>MOUNTAIN VIEW MIDDLE SCH (ALT)</t>
  </si>
  <si>
    <t>MACKAY JR-SR HIGH SCHOOL</t>
  </si>
  <si>
    <t>JEFFERSON COUNTY JOINT DISTRICT</t>
  </si>
  <si>
    <t>WEST JEFFERSON JUNIOR HIGH SCHOOL</t>
  </si>
  <si>
    <t>NEW VISION ALTERNATIVE</t>
  </si>
  <si>
    <t>WHITEPINE JOINT SCHOOL DISTRICT</t>
  </si>
  <si>
    <t>HIGH DESERT HIGH SCHOOL</t>
  </si>
  <si>
    <t>MCCALL-DONNELLY JOINT SCHOOL DISTRICT</t>
  </si>
  <si>
    <t>VICTORY CHARTER SCHOOL, INC.</t>
  </si>
  <si>
    <t>IDAHO VIRTUAL ACADEMY, INC.</t>
  </si>
  <si>
    <t>ROLLING HILLS PUBLIC CHARTER SCHOOL, INC.</t>
  </si>
  <si>
    <t>COMPASS PUBLIC CHARTER SCHOOL, INC.</t>
  </si>
  <si>
    <t>COMPASS PUBLIC CHARTER SCHOOL</t>
  </si>
  <si>
    <t>FALCON RIDGE PUBLIC CHARTER SCHOOL, INC.</t>
  </si>
  <si>
    <t>INSPIRE ACADEMICS, INC.</t>
  </si>
  <si>
    <t>LIBERTY CHARTER SCHOOL, INC.</t>
  </si>
  <si>
    <t>THE ACADEMY, INC.</t>
  </si>
  <si>
    <t>TAYLOR'S CROSSING PUBLIC CHARTER SCHOOL, INC.</t>
  </si>
  <si>
    <t>XAVIER CHARTER SCHOOL, INC.</t>
  </si>
  <si>
    <t>VISION CHARTER SCHOOL, INC.</t>
  </si>
  <si>
    <t>WHITE PINE CHARTER SCHOOL, INC.</t>
  </si>
  <si>
    <t>NORTH VALLEY ACADEMY, INC.</t>
  </si>
  <si>
    <t>ISUCCEED VIRTUAL HIGH SCHOOL, INC.</t>
  </si>
  <si>
    <t>IDAHO SCIENCE AND TECHNOLOGY CHARTER SCHOOL, INC.</t>
  </si>
  <si>
    <t>THE KOOTENAI BRIDGE ACADEMY, INC.</t>
  </si>
  <si>
    <t>Kootenai Bridge Academy School</t>
  </si>
  <si>
    <t>11,12</t>
  </si>
  <si>
    <t>PALOUSE PRAIRIE EDUCATIONAL ORGANIZATION, INC.</t>
  </si>
  <si>
    <t>THE VILLAGE CHARTER SCHOOL, INC.</t>
  </si>
  <si>
    <t>MONTICELLO MONTESSORI CHARTER SCHOOL, INC.</t>
  </si>
  <si>
    <t>THE SAGE INTERNATIONAL SCHOOL OF BOISE, A PUBLIC CHARTER SCHOOL, INC.</t>
  </si>
  <si>
    <t>ANOTHER CHOICE VIRTUAL CHARTER SCHOOL, INC.</t>
  </si>
  <si>
    <t>BLACKFOOT CHARTER COMMUNITY LEARNING CENTER, INC.</t>
  </si>
  <si>
    <t>LEGACY PUBLIC CHARTER SCHOOL, INC.</t>
  </si>
  <si>
    <t>HERITAGE ACADEMY, INC.</t>
  </si>
  <si>
    <t>NORTH IDAHO STEM CHARTER ACADEMY, INC.</t>
  </si>
  <si>
    <t>North Idaho STEM Community Charter</t>
  </si>
  <si>
    <t>HERITAGE COMMUNITY CHARTER SCHOOL, INC.</t>
  </si>
  <si>
    <t>AMERICAN HERITAGE CHARTER SCHOOL, INC.</t>
  </si>
  <si>
    <t>CHIEF TAHGEE ELEMENTARY ACADEMY, INC.</t>
  </si>
  <si>
    <t>IDAHO STEM ACADEMY, INC.</t>
  </si>
  <si>
    <t>IDAHO STEM DBA BINGHAM ACADEMY CHARTER SCHOOL</t>
  </si>
  <si>
    <t>9,10,11,12,A</t>
  </si>
  <si>
    <t>SANDPOINT CHARTER SCHOOL, INC.</t>
  </si>
  <si>
    <t>SYRINGA MOUNTAIN SCHOOL, INC.</t>
  </si>
  <si>
    <t>IDAHO COLLEGE AND CAREER READINESS ACADEMY, INC.</t>
  </si>
  <si>
    <t>IDAHO DISTANCE EDUCATION ACADEMY, INC.</t>
  </si>
  <si>
    <t>THE POCATELLO COMMUNITY CHARTER SCHOOL, INC.</t>
  </si>
  <si>
    <t>LI Enroll</t>
  </si>
  <si>
    <t>% LI</t>
  </si>
  <si>
    <t>LeaNumber</t>
  </si>
  <si>
    <t>LeaName</t>
  </si>
  <si>
    <t>SchoolNumber</t>
  </si>
  <si>
    <t>LEA charter schools</t>
  </si>
  <si>
    <t>isLEP</t>
  </si>
  <si>
    <t>001</t>
  </si>
  <si>
    <t>0002</t>
  </si>
  <si>
    <t>0003</t>
  </si>
  <si>
    <t>0004</t>
  </si>
  <si>
    <t>0005</t>
  </si>
  <si>
    <t>0007</t>
  </si>
  <si>
    <t>0008</t>
  </si>
  <si>
    <t>0009</t>
  </si>
  <si>
    <t>0206</t>
  </si>
  <si>
    <t>0242</t>
  </si>
  <si>
    <t>0243</t>
  </si>
  <si>
    <t>0287</t>
  </si>
  <si>
    <t>0288</t>
  </si>
  <si>
    <t>0300</t>
  </si>
  <si>
    <t>0301</t>
  </si>
  <si>
    <t>MAPLE GROVE ELEMENTARY SCHOOL</t>
  </si>
  <si>
    <t>0302</t>
  </si>
  <si>
    <t>0303</t>
  </si>
  <si>
    <t>0305</t>
  </si>
  <si>
    <t>0306</t>
  </si>
  <si>
    <t>0307</t>
  </si>
  <si>
    <t>0308</t>
  </si>
  <si>
    <t>0309</t>
  </si>
  <si>
    <t>0310</t>
  </si>
  <si>
    <t>0313</t>
  </si>
  <si>
    <t>0315</t>
  </si>
  <si>
    <t>0316</t>
  </si>
  <si>
    <t>0317</t>
  </si>
  <si>
    <t>0319</t>
  </si>
  <si>
    <t>0320</t>
  </si>
  <si>
    <t>0321</t>
  </si>
  <si>
    <t>Taft Elementary School</t>
  </si>
  <si>
    <t>0322</t>
  </si>
  <si>
    <t>MOUNTAIN VIEW ELEMENTARY SCHOOL</t>
  </si>
  <si>
    <t>0323</t>
  </si>
  <si>
    <t>0324</t>
  </si>
  <si>
    <t>0325</t>
  </si>
  <si>
    <t>0326</t>
  </si>
  <si>
    <t>0327</t>
  </si>
  <si>
    <t>0509</t>
  </si>
  <si>
    <t>0510</t>
  </si>
  <si>
    <t>0563</t>
  </si>
  <si>
    <t>DEHRYL A DENNIS PROF-TECH CTR</t>
  </si>
  <si>
    <t>0573</t>
  </si>
  <si>
    <t>TREASURE VALLEY MATH/SCIENCE</t>
  </si>
  <si>
    <t>0665</t>
  </si>
  <si>
    <t>0666</t>
  </si>
  <si>
    <t>0673</t>
  </si>
  <si>
    <t>0674</t>
  </si>
  <si>
    <t>0675</t>
  </si>
  <si>
    <t>FRANK CHURCH HIGH SCHOOL ALTERNATIVE</t>
  </si>
  <si>
    <t>0676</t>
  </si>
  <si>
    <t>0677</t>
  </si>
  <si>
    <t>0679</t>
  </si>
  <si>
    <t>9002</t>
  </si>
  <si>
    <t>ADA COUNTY JUVENILE CENTER</t>
  </si>
  <si>
    <t>0010</t>
  </si>
  <si>
    <t>0011</t>
  </si>
  <si>
    <t>0012</t>
  </si>
  <si>
    <t>0015</t>
  </si>
  <si>
    <t>0106</t>
  </si>
  <si>
    <t>0112</t>
  </si>
  <si>
    <t>0207</t>
  </si>
  <si>
    <t>0235</t>
  </si>
  <si>
    <t>0239</t>
  </si>
  <si>
    <t>0240</t>
  </si>
  <si>
    <t>0283</t>
  </si>
  <si>
    <t>0284</t>
  </si>
  <si>
    <t>0296</t>
  </si>
  <si>
    <t>0328</t>
  </si>
  <si>
    <t>0329</t>
  </si>
  <si>
    <t>CHIEF JOSEPH SCHOOL OF THE ARTS</t>
  </si>
  <si>
    <t>0330</t>
  </si>
  <si>
    <t>0331</t>
  </si>
  <si>
    <t>0332</t>
  </si>
  <si>
    <t>EAGLE ELEMENTARY SCHOOL OF THE ARTS</t>
  </si>
  <si>
    <t>0333</t>
  </si>
  <si>
    <t>SUMMERWIND SCHOOL OF MATH AND SCIENCE</t>
  </si>
  <si>
    <t>0334</t>
  </si>
  <si>
    <t>0335</t>
  </si>
  <si>
    <t>0336</t>
  </si>
  <si>
    <t>0337</t>
  </si>
  <si>
    <t>0338</t>
  </si>
  <si>
    <t>0339</t>
  </si>
  <si>
    <t>0340</t>
  </si>
  <si>
    <t>0341</t>
  </si>
  <si>
    <t>0343</t>
  </si>
  <si>
    <t>0504</t>
  </si>
  <si>
    <t>0507</t>
  </si>
  <si>
    <t>PIONEER SCHOOL OF THE ARTS</t>
  </si>
  <si>
    <t>0521</t>
  </si>
  <si>
    <t>0523</t>
  </si>
  <si>
    <t>0524</t>
  </si>
  <si>
    <t>0525</t>
  </si>
  <si>
    <t>ELIZA HART SPALDING STEM ACADEMY</t>
  </si>
  <si>
    <t>0526</t>
  </si>
  <si>
    <t>0545</t>
  </si>
  <si>
    <t>0592</t>
  </si>
  <si>
    <t>0593</t>
  </si>
  <si>
    <t>0594</t>
  </si>
  <si>
    <t>PATHWAYS MIDDLE SCHOOL ALTERNATIVE</t>
  </si>
  <si>
    <t>0597</t>
  </si>
  <si>
    <t>CENTRAL ACADEMY HIGH SCHOOL ALTERNATIVE</t>
  </si>
  <si>
    <t>0898</t>
  </si>
  <si>
    <t>0899</t>
  </si>
  <si>
    <t>0982</t>
  </si>
  <si>
    <t>EAGLE ACADEMY ALTERNATIVE</t>
  </si>
  <si>
    <t>1145</t>
  </si>
  <si>
    <t>CROSSROADS MIDDLE SCHOOL ALTERNATIVE</t>
  </si>
  <si>
    <t>1228</t>
  </si>
  <si>
    <t>MERIDIAN ACADEMY ALTERNATIVE</t>
  </si>
  <si>
    <t>1235</t>
  </si>
  <si>
    <t>1290</t>
  </si>
  <si>
    <t>1297</t>
  </si>
  <si>
    <t>REBOUND SCHOOL OF OPPORTUNITY ALTERNATIVE</t>
  </si>
  <si>
    <t>1356</t>
  </si>
  <si>
    <t>1374</t>
  </si>
  <si>
    <t>VIRTUAL SCHOOL HOUSE</t>
  </si>
  <si>
    <t>1375</t>
  </si>
  <si>
    <t>2511</t>
  </si>
  <si>
    <t>2513</t>
  </si>
  <si>
    <t>0013</t>
  </si>
  <si>
    <t>0014</t>
  </si>
  <si>
    <t>0345</t>
  </si>
  <si>
    <t>0595</t>
  </si>
  <si>
    <t>0596</t>
  </si>
  <si>
    <t>0635</t>
  </si>
  <si>
    <t>0850</t>
  </si>
  <si>
    <t>FREMONT H TEED ELEMENTARY SCHOOL</t>
  </si>
  <si>
    <t>0887</t>
  </si>
  <si>
    <t>CRIMSON POINT ELEMENTARY SCHOOL</t>
  </si>
  <si>
    <t>1115</t>
  </si>
  <si>
    <t>INITIAL POINT HIGH SCHOOL ALTERNATIVE</t>
  </si>
  <si>
    <t>1308</t>
  </si>
  <si>
    <t>SILVER TRAIL ELEMENTARY SCHOOL</t>
  </si>
  <si>
    <t>011</t>
  </si>
  <si>
    <t>0342</t>
  </si>
  <si>
    <t>013</t>
  </si>
  <si>
    <t>0017</t>
  </si>
  <si>
    <t>0348</t>
  </si>
  <si>
    <t>021</t>
  </si>
  <si>
    <t>0018</t>
  </si>
  <si>
    <t>0019</t>
  </si>
  <si>
    <t>0349</t>
  </si>
  <si>
    <t>0350</t>
  </si>
  <si>
    <t>0351</t>
  </si>
  <si>
    <t>0352</t>
  </si>
  <si>
    <t>025</t>
  </si>
  <si>
    <t>0020</t>
  </si>
  <si>
    <t>0021</t>
  </si>
  <si>
    <t>0022</t>
  </si>
  <si>
    <t>0023</t>
  </si>
  <si>
    <t>0024</t>
  </si>
  <si>
    <t>0025</t>
  </si>
  <si>
    <t>0353</t>
  </si>
  <si>
    <t>0354</t>
  </si>
  <si>
    <t>0355</t>
  </si>
  <si>
    <t>0356</t>
  </si>
  <si>
    <t>0357</t>
  </si>
  <si>
    <t>0358</t>
  </si>
  <si>
    <t>0359</t>
  </si>
  <si>
    <t>0360</t>
  </si>
  <si>
    <t>0361</t>
  </si>
  <si>
    <t>0362</t>
  </si>
  <si>
    <t>0365</t>
  </si>
  <si>
    <t>0366</t>
  </si>
  <si>
    <t>0368</t>
  </si>
  <si>
    <t>0956</t>
  </si>
  <si>
    <t>1002</t>
  </si>
  <si>
    <t>KINPORT ACADEMY ALTERNATIVE</t>
  </si>
  <si>
    <t>1141</t>
  </si>
  <si>
    <t>NEW HORISON HIGH SCHOOL ALTERNATIVE</t>
  </si>
  <si>
    <t>9034</t>
  </si>
  <si>
    <t>POCATELLO JUVENILE DETENTION</t>
  </si>
  <si>
    <t>033</t>
  </si>
  <si>
    <t>0026</t>
  </si>
  <si>
    <t>0027</t>
  </si>
  <si>
    <t>0370</t>
  </si>
  <si>
    <t>0371</t>
  </si>
  <si>
    <t>0372</t>
  </si>
  <si>
    <t>0404</t>
  </si>
  <si>
    <t>CLOVER CREEK HIGH SCHOOL ALTERNATIVE</t>
  </si>
  <si>
    <t>041</t>
  </si>
  <si>
    <t>0028</t>
  </si>
  <si>
    <t>0029</t>
  </si>
  <si>
    <t>0254</t>
  </si>
  <si>
    <t>0374</t>
  </si>
  <si>
    <t>UPRIVER ELEMENTARY SCHOOL</t>
  </si>
  <si>
    <t>1138</t>
  </si>
  <si>
    <t>ST. MARIES COMMUNITY EDUCATION ALTERNATIVE</t>
  </si>
  <si>
    <t>044</t>
  </si>
  <si>
    <t>0030</t>
  </si>
  <si>
    <t>0128</t>
  </si>
  <si>
    <t>LAKESIDE JR HIGH SCHOOL</t>
  </si>
  <si>
    <t>0752</t>
  </si>
  <si>
    <t>052</t>
  </si>
  <si>
    <t>0031</t>
  </si>
  <si>
    <t>0032</t>
  </si>
  <si>
    <t>0376</t>
  </si>
  <si>
    <t>0377</t>
  </si>
  <si>
    <t>0378</t>
  </si>
  <si>
    <t>0380</t>
  </si>
  <si>
    <t>055</t>
  </si>
  <si>
    <t>0033</t>
  </si>
  <si>
    <t>0034</t>
  </si>
  <si>
    <t>0381</t>
  </si>
  <si>
    <t>BLACKFOOT HERITAGE SIXTH GRADE</t>
  </si>
  <si>
    <t>0382</t>
  </si>
  <si>
    <t>0383</t>
  </si>
  <si>
    <t>0384</t>
  </si>
  <si>
    <t>0385</t>
  </si>
  <si>
    <t>0386</t>
  </si>
  <si>
    <t>0387</t>
  </si>
  <si>
    <t>0388</t>
  </si>
  <si>
    <t>1149</t>
  </si>
  <si>
    <t>SUMMIT ACADEMY (Alt)</t>
  </si>
  <si>
    <t>9006</t>
  </si>
  <si>
    <t>INDEPENDENCE ALTERNATIVE HIGH SCHOOL</t>
  </si>
  <si>
    <t>058</t>
  </si>
  <si>
    <t>0036</t>
  </si>
  <si>
    <t>0298</t>
  </si>
  <si>
    <t>0299</t>
  </si>
  <si>
    <t>059</t>
  </si>
  <si>
    <t>0038</t>
  </si>
  <si>
    <t>0155</t>
  </si>
  <si>
    <t>0390</t>
  </si>
  <si>
    <t>060</t>
  </si>
  <si>
    <t>0035</t>
  </si>
  <si>
    <t>0039</t>
  </si>
  <si>
    <t>0391</t>
  </si>
  <si>
    <t>0392</t>
  </si>
  <si>
    <t>1251</t>
  </si>
  <si>
    <t xml:space="preserve">RIVERVIEW ELEMENTARY SCHOOL   </t>
  </si>
  <si>
    <t>061</t>
  </si>
  <si>
    <t>0042</t>
  </si>
  <si>
    <t>0197</t>
  </si>
  <si>
    <t>0394</t>
  </si>
  <si>
    <t>0395</t>
  </si>
  <si>
    <t>0396</t>
  </si>
  <si>
    <t>0636</t>
  </si>
  <si>
    <t>0984</t>
  </si>
  <si>
    <t>1102</t>
  </si>
  <si>
    <t>SILVER CREEK HIGH SCHOOL ALTERNATIVE</t>
  </si>
  <si>
    <t>071</t>
  </si>
  <si>
    <t>0274</t>
  </si>
  <si>
    <t>0398</t>
  </si>
  <si>
    <t>072</t>
  </si>
  <si>
    <t>0159</t>
  </si>
  <si>
    <t>0183</t>
  </si>
  <si>
    <t>073</t>
  </si>
  <si>
    <t>0256</t>
  </si>
  <si>
    <t>0278</t>
  </si>
  <si>
    <t>083</t>
  </si>
  <si>
    <t>0044</t>
  </si>
  <si>
    <t>0048</t>
  </si>
  <si>
    <t>0406</t>
  </si>
  <si>
    <t>0407</t>
  </si>
  <si>
    <t>0411</t>
  </si>
  <si>
    <t>1172</t>
  </si>
  <si>
    <t>PRIEST RIVER EDUCATIONAL PROGRAM (PREP) ALTERNATIVE</t>
  </si>
  <si>
    <t>084</t>
  </si>
  <si>
    <t>0047</t>
  </si>
  <si>
    <t>0049</t>
  </si>
  <si>
    <t>0202</t>
  </si>
  <si>
    <t>0293</t>
  </si>
  <si>
    <t>0401</t>
  </si>
  <si>
    <t>0402</t>
  </si>
  <si>
    <t>0403</t>
  </si>
  <si>
    <t>FARMIN STIDWELL ELEMENTARY SCHOOL</t>
  </si>
  <si>
    <t>0405</t>
  </si>
  <si>
    <t>0408</t>
  </si>
  <si>
    <t>0410</t>
  </si>
  <si>
    <t>0997</t>
  </si>
  <si>
    <t>SANDPOINT JUVENILE DETENTION</t>
  </si>
  <si>
    <t>1045</t>
  </si>
  <si>
    <t>LAKE PEND OREILLE HIGH SCHOOL ALTERNATIVE</t>
  </si>
  <si>
    <t>091</t>
  </si>
  <si>
    <t>0050</t>
  </si>
  <si>
    <t>EAGLE ROCK MIDDLE SCHOOL</t>
  </si>
  <si>
    <t>0053</t>
  </si>
  <si>
    <t>0054</t>
  </si>
  <si>
    <t>0199</t>
  </si>
  <si>
    <t>TAYLORVIEW MIDDLE SCHOOL</t>
  </si>
  <si>
    <t>0412</t>
  </si>
  <si>
    <t>0413</t>
  </si>
  <si>
    <t>0414</t>
  </si>
  <si>
    <t>0415</t>
  </si>
  <si>
    <t>0416</t>
  </si>
  <si>
    <t>0419</t>
  </si>
  <si>
    <t>0420</t>
  </si>
  <si>
    <t>0421</t>
  </si>
  <si>
    <t>0422</t>
  </si>
  <si>
    <t>0423</t>
  </si>
  <si>
    <t>0667</t>
  </si>
  <si>
    <t>0668</t>
  </si>
  <si>
    <t>1048</t>
  </si>
  <si>
    <t>EMERSON HIGH SCHOOL ALTERNATIVE</t>
  </si>
  <si>
    <t>1152</t>
  </si>
  <si>
    <t>3B JUVENILE DETENTION CENTER</t>
  </si>
  <si>
    <t>1350</t>
  </si>
  <si>
    <t>092</t>
  </si>
  <si>
    <t>0424</t>
  </si>
  <si>
    <t>1014</t>
  </si>
  <si>
    <t>STAR VALLEY ELEMENTARY SCHOOL</t>
  </si>
  <si>
    <t>1015</t>
  </si>
  <si>
    <t>STAR VALLEY JR-SR HIGH SCHOOL</t>
  </si>
  <si>
    <t>093</t>
  </si>
  <si>
    <t>0055</t>
  </si>
  <si>
    <t>0056</t>
  </si>
  <si>
    <t>0200</t>
  </si>
  <si>
    <t>0219</t>
  </si>
  <si>
    <t>0425</t>
  </si>
  <si>
    <t>0426</t>
  </si>
  <si>
    <t>0427</t>
  </si>
  <si>
    <t>0428</t>
  </si>
  <si>
    <t>0429</t>
  </si>
  <si>
    <t>0431</t>
  </si>
  <si>
    <t>0432</t>
  </si>
  <si>
    <t>0501</t>
  </si>
  <si>
    <t>0630</t>
  </si>
  <si>
    <t>LINCOLN HIGH SCHOOL SUMMER ALTERNATIVE</t>
  </si>
  <si>
    <t>0637</t>
  </si>
  <si>
    <t>1053</t>
  </si>
  <si>
    <t>LINCOLN HIGH SCHOOL ALTERNATIVE</t>
  </si>
  <si>
    <t>1159</t>
  </si>
  <si>
    <t>1238</t>
  </si>
  <si>
    <t>BONNEVILLE ONLINE ELEMENTARY</t>
  </si>
  <si>
    <t>1250</t>
  </si>
  <si>
    <t>MOUNTAIN VALLEY ELEMENTARY SCHOOL</t>
  </si>
  <si>
    <t>1255</t>
  </si>
  <si>
    <t>1319</t>
  </si>
  <si>
    <t>1357</t>
  </si>
  <si>
    <t>TECHNICAL CAREERS HIGH SCHOOL</t>
  </si>
  <si>
    <t>1360</t>
  </si>
  <si>
    <t>2518</t>
  </si>
  <si>
    <t>2519</t>
  </si>
  <si>
    <t>101</t>
  </si>
  <si>
    <t>0057</t>
  </si>
  <si>
    <t>0201</t>
  </si>
  <si>
    <t>0433</t>
  </si>
  <si>
    <t>0434</t>
  </si>
  <si>
    <t>0437</t>
  </si>
  <si>
    <t>111</t>
  </si>
  <si>
    <t>0058</t>
  </si>
  <si>
    <t>0059</t>
  </si>
  <si>
    <t>0438</t>
  </si>
  <si>
    <t>0439</t>
  </si>
  <si>
    <t>121</t>
  </si>
  <si>
    <t>0060</t>
  </si>
  <si>
    <t>0440</t>
  </si>
  <si>
    <t>0061</t>
  </si>
  <si>
    <t>0062</t>
  </si>
  <si>
    <t>0213</t>
  </si>
  <si>
    <t>0214</t>
  </si>
  <si>
    <t>0215</t>
  </si>
  <si>
    <t>0444</t>
  </si>
  <si>
    <t>0447</t>
  </si>
  <si>
    <t>0450</t>
  </si>
  <si>
    <t>0527</t>
  </si>
  <si>
    <t>0528</t>
  </si>
  <si>
    <t>0529</t>
  </si>
  <si>
    <t>0581</t>
  </si>
  <si>
    <t>0638</t>
  </si>
  <si>
    <t>0647</t>
  </si>
  <si>
    <t>0648</t>
  </si>
  <si>
    <t>0890</t>
  </si>
  <si>
    <t>0994</t>
  </si>
  <si>
    <t>0996</t>
  </si>
  <si>
    <t>0998</t>
  </si>
  <si>
    <t>1109</t>
  </si>
  <si>
    <t>1154</t>
  </si>
  <si>
    <t>UNION HIGH SCHOOL ALTERNATIVE</t>
  </si>
  <si>
    <t>2889</t>
  </si>
  <si>
    <t>132</t>
  </si>
  <si>
    <t>0064</t>
  </si>
  <si>
    <t>0065</t>
  </si>
  <si>
    <t>0076</t>
  </si>
  <si>
    <t>0281</t>
  </si>
  <si>
    <t>0289</t>
  </si>
  <si>
    <t>0448</t>
  </si>
  <si>
    <t>0449</t>
  </si>
  <si>
    <t>0451</t>
  </si>
  <si>
    <t>0457</t>
  </si>
  <si>
    <t>1087</t>
  </si>
  <si>
    <t>SOUTHWEST IDAHO JUVENILE DET</t>
  </si>
  <si>
    <t>1090</t>
  </si>
  <si>
    <t>CANYON SPRINGS ALT HIGH SCHOOL</t>
  </si>
  <si>
    <t>133</t>
  </si>
  <si>
    <t>0233</t>
  </si>
  <si>
    <t>WILDER HIGH SCHOOL</t>
  </si>
  <si>
    <t>0452</t>
  </si>
  <si>
    <t>WILDER ELEMENTARY SCHOOL</t>
  </si>
  <si>
    <t>134</t>
  </si>
  <si>
    <t>0067</t>
  </si>
  <si>
    <t>0068</t>
  </si>
  <si>
    <t>0453</t>
  </si>
  <si>
    <t>0500</t>
  </si>
  <si>
    <t>0546</t>
  </si>
  <si>
    <t>1168</t>
  </si>
  <si>
    <t>ATLAS HIGH SCHOOL ALTERNATIVE</t>
  </si>
  <si>
    <t>135</t>
  </si>
  <si>
    <t>0234</t>
  </si>
  <si>
    <t>0520</t>
  </si>
  <si>
    <t>136</t>
  </si>
  <si>
    <t>0070</t>
  </si>
  <si>
    <t>0455</t>
  </si>
  <si>
    <t>137</t>
  </si>
  <si>
    <t>0072</t>
  </si>
  <si>
    <t>0282</t>
  </si>
  <si>
    <t>0456</t>
  </si>
  <si>
    <t>0074</t>
  </si>
  <si>
    <t>0460</t>
  </si>
  <si>
    <t>0461</t>
  </si>
  <si>
    <t>0505</t>
  </si>
  <si>
    <t>CENTRAL CANYON ELEMENTARY SCHOOL</t>
  </si>
  <si>
    <t>0519</t>
  </si>
  <si>
    <t>0582</t>
  </si>
  <si>
    <t>0646</t>
  </si>
  <si>
    <t>0892</t>
  </si>
  <si>
    <t>DESERT SPRINGS ELEMENTARY SCHOOL</t>
  </si>
  <si>
    <t>0985</t>
  </si>
  <si>
    <t>1295</t>
  </si>
  <si>
    <t>RIVERVUE MIDDLE SCHOOL ALTERNATIVE</t>
  </si>
  <si>
    <t>9017</t>
  </si>
  <si>
    <t>VALLIVUE ACADEMY ALTERNATIVE</t>
  </si>
  <si>
    <t>148</t>
  </si>
  <si>
    <t>0245</t>
  </si>
  <si>
    <t>0462</t>
  </si>
  <si>
    <t>0463</t>
  </si>
  <si>
    <t>149</t>
  </si>
  <si>
    <t>0077</t>
  </si>
  <si>
    <t>0464</t>
  </si>
  <si>
    <t>150</t>
  </si>
  <si>
    <t>0078</t>
  </si>
  <si>
    <t>0079</t>
  </si>
  <si>
    <t>0466</t>
  </si>
  <si>
    <t>HOWARD E THIRKILL PRIMARY SCHOOL</t>
  </si>
  <si>
    <t>151</t>
  </si>
  <si>
    <t>0080</t>
  </si>
  <si>
    <t>0081</t>
  </si>
  <si>
    <t>0082</t>
  </si>
  <si>
    <t>0083</t>
  </si>
  <si>
    <t>0084</t>
  </si>
  <si>
    <t>0216</t>
  </si>
  <si>
    <t>0292</t>
  </si>
  <si>
    <t>0468</t>
  </si>
  <si>
    <t>0469</t>
  </si>
  <si>
    <t>0470</t>
  </si>
  <si>
    <t>0471</t>
  </si>
  <si>
    <t>0473</t>
  </si>
  <si>
    <t>0474</t>
  </si>
  <si>
    <t>0475</t>
  </si>
  <si>
    <t>0990</t>
  </si>
  <si>
    <t>CASSIA JR/SR HIGH SCHOOL ALTERNATIVE</t>
  </si>
  <si>
    <t>1377</t>
  </si>
  <si>
    <t>CASSIA COUNTY DAY TREATMENT CENTER</t>
  </si>
  <si>
    <t>161</t>
  </si>
  <si>
    <t>0085</t>
  </si>
  <si>
    <t>0478</t>
  </si>
  <si>
    <t>171</t>
  </si>
  <si>
    <t>0087</t>
  </si>
  <si>
    <t>0088</t>
  </si>
  <si>
    <t>0479</t>
  </si>
  <si>
    <t>0481</t>
  </si>
  <si>
    <t>0482</t>
  </si>
  <si>
    <t>1362</t>
  </si>
  <si>
    <t>IDAHO YOUTH CHALLENGE ACADEMY FALL ALTERNATIVE</t>
  </si>
  <si>
    <t>2520</t>
  </si>
  <si>
    <t>181</t>
  </si>
  <si>
    <t>0089</t>
  </si>
  <si>
    <t>0486</t>
  </si>
  <si>
    <t>0487</t>
  </si>
  <si>
    <t>0489</t>
  </si>
  <si>
    <t>182</t>
  </si>
  <si>
    <t>0090</t>
  </si>
  <si>
    <t>0490</t>
  </si>
  <si>
    <t>191</t>
  </si>
  <si>
    <t>0491</t>
  </si>
  <si>
    <t>192</t>
  </si>
  <si>
    <t>0092</t>
  </si>
  <si>
    <t>0241</t>
  </si>
  <si>
    <t>0492</t>
  </si>
  <si>
    <t>193</t>
  </si>
  <si>
    <t>0093</t>
  </si>
  <si>
    <t>0095</t>
  </si>
  <si>
    <t>0493</t>
  </si>
  <si>
    <t>0494</t>
  </si>
  <si>
    <t>0495</t>
  </si>
  <si>
    <t>0502</t>
  </si>
  <si>
    <t>0517</t>
  </si>
  <si>
    <t>0556</t>
  </si>
  <si>
    <t>1317</t>
  </si>
  <si>
    <t>BENNETTE MOUNTAIN HIGH SCHOOL ALTERNATIVE</t>
  </si>
  <si>
    <t>201</t>
  </si>
  <si>
    <t>0096</t>
  </si>
  <si>
    <t>0291</t>
  </si>
  <si>
    <t>0497</t>
  </si>
  <si>
    <t>0499</t>
  </si>
  <si>
    <t>8844</t>
  </si>
  <si>
    <t>FRANKLIN COUNTY HIGH SCHOOOL ALTERNATIVE</t>
  </si>
  <si>
    <t>202</t>
  </si>
  <si>
    <t>0223</t>
  </si>
  <si>
    <t>BEUTLER MIDDLE SCHOOL</t>
  </si>
  <si>
    <t>0227</t>
  </si>
  <si>
    <t>0987</t>
  </si>
  <si>
    <t>215</t>
  </si>
  <si>
    <t>0098</t>
  </si>
  <si>
    <t>0099</t>
  </si>
  <si>
    <t>0100</t>
  </si>
  <si>
    <t>NORTH FREMONT JR-SR HIGH SCHOOL</t>
  </si>
  <si>
    <t>0290</t>
  </si>
  <si>
    <t>0700</t>
  </si>
  <si>
    <t>0701</t>
  </si>
  <si>
    <t>0703</t>
  </si>
  <si>
    <t>1271</t>
  </si>
  <si>
    <t>FIVE-COUNTY DETENTION CENTER</t>
  </si>
  <si>
    <t>0101</t>
  </si>
  <si>
    <t>0224</t>
  </si>
  <si>
    <t>EMMETT MIDDLE SCHOOL</t>
  </si>
  <si>
    <t>0230</t>
  </si>
  <si>
    <t>KENNETH J. CARBERRY ELEMENTARY</t>
  </si>
  <si>
    <t>0251</t>
  </si>
  <si>
    <t>SHADOW BUTTE ELEMENTARY SCHOOL</t>
  </si>
  <si>
    <t>0707</t>
  </si>
  <si>
    <t>SWEET MONTOUR ELEMENTARY SCHOOL</t>
  </si>
  <si>
    <t>0710</t>
  </si>
  <si>
    <t>1111</t>
  </si>
  <si>
    <t>THE PATRIOT CENTER ALTERNATIVE</t>
  </si>
  <si>
    <t>1265</t>
  </si>
  <si>
    <t>BLACK CANYON HIGH SCHOOL ALTERNATIVE</t>
  </si>
  <si>
    <t>231</t>
  </si>
  <si>
    <t>0102</t>
  </si>
  <si>
    <t>0103</t>
  </si>
  <si>
    <t>0711</t>
  </si>
  <si>
    <t>0104</t>
  </si>
  <si>
    <t>0209</t>
  </si>
  <si>
    <t>0712</t>
  </si>
  <si>
    <t>1363</t>
  </si>
  <si>
    <t>HUB CITY ALTERNATIVE HIGH SCHOOL</t>
  </si>
  <si>
    <t>233</t>
  </si>
  <si>
    <t>0280</t>
  </si>
  <si>
    <t>234</t>
  </si>
  <si>
    <t>0714</t>
  </si>
  <si>
    <t>242</t>
  </si>
  <si>
    <t>0111</t>
  </si>
  <si>
    <t>PRAIRIE JR-SR HIGH SCHOOL</t>
  </si>
  <si>
    <t>0722</t>
  </si>
  <si>
    <t>243</t>
  </si>
  <si>
    <t>1280</t>
  </si>
  <si>
    <t>1281</t>
  </si>
  <si>
    <t>244</t>
  </si>
  <si>
    <t>1283</t>
  </si>
  <si>
    <t>1284</t>
  </si>
  <si>
    <t>1285</t>
  </si>
  <si>
    <t>1286</t>
  </si>
  <si>
    <t>GRANGEVILLE ELEM/MIDDLE SCHOOL</t>
  </si>
  <si>
    <t>1287</t>
  </si>
  <si>
    <t>251</t>
  </si>
  <si>
    <t>0114</t>
  </si>
  <si>
    <t>RIGBY HIGH SCHOOL</t>
  </si>
  <si>
    <t>0723</t>
  </si>
  <si>
    <t>0724</t>
  </si>
  <si>
    <t>0725</t>
  </si>
  <si>
    <t>0726</t>
  </si>
  <si>
    <t>1110</t>
  </si>
  <si>
    <t>SOUTH FORK ELEMENTARY SCHOOL</t>
  </si>
  <si>
    <t>1143</t>
  </si>
  <si>
    <t>JEFFERSON HIGH SCHOOL ALTERNATIVE</t>
  </si>
  <si>
    <t>1358</t>
  </si>
  <si>
    <t>RIGBY MIDDLE SCHOOL</t>
  </si>
  <si>
    <t>1359</t>
  </si>
  <si>
    <t>PHILO T. FARNSWORTH ELEMENTARY SCHOOL</t>
  </si>
  <si>
    <t>252</t>
  </si>
  <si>
    <t>0228</t>
  </si>
  <si>
    <t>RIRIE JR/SR HIGH SCHOOL</t>
  </si>
  <si>
    <t>0229</t>
  </si>
  <si>
    <t>RIRIE ELEMENTARY SCHOOL</t>
  </si>
  <si>
    <t>253</t>
  </si>
  <si>
    <t>0115</t>
  </si>
  <si>
    <t>0728</t>
  </si>
  <si>
    <t>TERRETON ELEMENTARY SCHOOL</t>
  </si>
  <si>
    <t>0729</t>
  </si>
  <si>
    <t>1315</t>
  </si>
  <si>
    <t>261</t>
  </si>
  <si>
    <t>0117</t>
  </si>
  <si>
    <t>0118</t>
  </si>
  <si>
    <t>0297</t>
  </si>
  <si>
    <t>DAY TREATMENT PROGRAM</t>
  </si>
  <si>
    <t>0516</t>
  </si>
  <si>
    <t>0731</t>
  </si>
  <si>
    <t>1272</t>
  </si>
  <si>
    <t>NORTHSIDE JR/SR HIGH SCHOOL ALTERNATIVE</t>
  </si>
  <si>
    <t>2516</t>
  </si>
  <si>
    <t>262</t>
  </si>
  <si>
    <t>0119</t>
  </si>
  <si>
    <t>271</t>
  </si>
  <si>
    <t>0120</t>
  </si>
  <si>
    <t>0121</t>
  </si>
  <si>
    <t>LAKES MAGNET SCHOOL</t>
  </si>
  <si>
    <t>0122</t>
  </si>
  <si>
    <t>0217</t>
  </si>
  <si>
    <t>0220</t>
  </si>
  <si>
    <t>0246</t>
  </si>
  <si>
    <t>0506</t>
  </si>
  <si>
    <t>0514</t>
  </si>
  <si>
    <t>FERNAN STEM ACADEMY</t>
  </si>
  <si>
    <t>0735</t>
  </si>
  <si>
    <t>0738</t>
  </si>
  <si>
    <t>RAMSEY MAGNET SCHOOL OF SCIENCE</t>
  </si>
  <si>
    <t>0739</t>
  </si>
  <si>
    <t>0740</t>
  </si>
  <si>
    <t>0741</t>
  </si>
  <si>
    <t>0742</t>
  </si>
  <si>
    <t>SORENSEN MAGNET SCHOOL OF THE ARTS AND HUMANITIES</t>
  </si>
  <si>
    <t>0743</t>
  </si>
  <si>
    <t>1037</t>
  </si>
  <si>
    <t>VENTURE HIGH SCHOOL ALTERNATIVE</t>
  </si>
  <si>
    <t>1038</t>
  </si>
  <si>
    <t>CDA JUVENILE DETENTION CENTER</t>
  </si>
  <si>
    <t>272</t>
  </si>
  <si>
    <t>0123</t>
  </si>
  <si>
    <t>0124</t>
  </si>
  <si>
    <t>0513</t>
  </si>
  <si>
    <t>0585</t>
  </si>
  <si>
    <t>0586</t>
  </si>
  <si>
    <t>0745</t>
  </si>
  <si>
    <t>0746</t>
  </si>
  <si>
    <t>0747</t>
  </si>
  <si>
    <t>0761</t>
  </si>
  <si>
    <t>0891</t>
  </si>
  <si>
    <t>1104</t>
  </si>
  <si>
    <t>MOUNTAINVIEW ALTERNATIVE HIGH SCHOOL</t>
  </si>
  <si>
    <t>273</t>
  </si>
  <si>
    <t>0125</t>
  </si>
  <si>
    <t>0126</t>
  </si>
  <si>
    <t>0253</t>
  </si>
  <si>
    <t>0268</t>
  </si>
  <si>
    <t>0736</t>
  </si>
  <si>
    <t>0748</t>
  </si>
  <si>
    <t>0749</t>
  </si>
  <si>
    <t>0750</t>
  </si>
  <si>
    <t>1084</t>
  </si>
  <si>
    <t>NEW VISION HIGH SCHOOL ALTERNATIVE</t>
  </si>
  <si>
    <t>2517</t>
  </si>
  <si>
    <t>274</t>
  </si>
  <si>
    <t>0127</t>
  </si>
  <si>
    <t>0751</t>
  </si>
  <si>
    <t>0129</t>
  </si>
  <si>
    <t>0130</t>
  </si>
  <si>
    <t>MOSCOW HIGH SCHOOL</t>
  </si>
  <si>
    <t>0612</t>
  </si>
  <si>
    <t>PARADISE CREEK REGIONAL HIGH SCHOOL ALTERNATIVE</t>
  </si>
  <si>
    <t>0753</t>
  </si>
  <si>
    <t>0754</t>
  </si>
  <si>
    <t>LENA WHITMORE ELEMENTARY SCHOOL</t>
  </si>
  <si>
    <t>0755</t>
  </si>
  <si>
    <t>0756</t>
  </si>
  <si>
    <t>282</t>
  </si>
  <si>
    <t>0269</t>
  </si>
  <si>
    <t>283</t>
  </si>
  <si>
    <t>0132</t>
  </si>
  <si>
    <t>0758</t>
  </si>
  <si>
    <t>285</t>
  </si>
  <si>
    <t>0135</t>
  </si>
  <si>
    <t>0762</t>
  </si>
  <si>
    <t>287</t>
  </si>
  <si>
    <t>0766</t>
  </si>
  <si>
    <t>0772</t>
  </si>
  <si>
    <t>288</t>
  </si>
  <si>
    <t>0771</t>
  </si>
  <si>
    <t>0794</t>
  </si>
  <si>
    <t>291</t>
  </si>
  <si>
    <t>0136</t>
  </si>
  <si>
    <t>0764</t>
  </si>
  <si>
    <t>9014</t>
  </si>
  <si>
    <t>SALMON ALTERNATIVE HIGH SCHOOL</t>
  </si>
  <si>
    <t>292</t>
  </si>
  <si>
    <t>0137</t>
  </si>
  <si>
    <t>0765</t>
  </si>
  <si>
    <t>302</t>
  </si>
  <si>
    <t>0272</t>
  </si>
  <si>
    <t>304</t>
  </si>
  <si>
    <t>0231</t>
  </si>
  <si>
    <t>0232</t>
  </si>
  <si>
    <t>0768</t>
  </si>
  <si>
    <t>305</t>
  </si>
  <si>
    <t>0285</t>
  </si>
  <si>
    <t>312</t>
  </si>
  <si>
    <t>0294</t>
  </si>
  <si>
    <t>0295</t>
  </si>
  <si>
    <t>0770</t>
  </si>
  <si>
    <t>0846</t>
  </si>
  <si>
    <t>HIGH DESERT ALTERNATIVE</t>
  </si>
  <si>
    <t>314</t>
  </si>
  <si>
    <t>0143</t>
  </si>
  <si>
    <t>316</t>
  </si>
  <si>
    <t>0144</t>
  </si>
  <si>
    <t>321</t>
  </si>
  <si>
    <t>0145</t>
  </si>
  <si>
    <t>0146</t>
  </si>
  <si>
    <t>0250</t>
  </si>
  <si>
    <t>0773</t>
  </si>
  <si>
    <t>0775</t>
  </si>
  <si>
    <t>0777</t>
  </si>
  <si>
    <t>0779</t>
  </si>
  <si>
    <t>0780</t>
  </si>
  <si>
    <t>1225</t>
  </si>
  <si>
    <t>9015</t>
  </si>
  <si>
    <t>CENTRAL HIGH SCHOOL ALTERNATIVE</t>
  </si>
  <si>
    <t>322</t>
  </si>
  <si>
    <t>0147</t>
  </si>
  <si>
    <t>0225</t>
  </si>
  <si>
    <t>0226</t>
  </si>
  <si>
    <t>0781</t>
  </si>
  <si>
    <t>0874</t>
  </si>
  <si>
    <t>VALLEY VIEW ALTERNATIVE HIGH SCHOOL</t>
  </si>
  <si>
    <t>0148</t>
  </si>
  <si>
    <t>0149</t>
  </si>
  <si>
    <t>0150</t>
  </si>
  <si>
    <t>0783</t>
  </si>
  <si>
    <t>0785</t>
  </si>
  <si>
    <t>0786</t>
  </si>
  <si>
    <t>0845</t>
  </si>
  <si>
    <t>1046</t>
  </si>
  <si>
    <t>MT. HARRISON JR.-SR. HIGH ALTERNATIVE</t>
  </si>
  <si>
    <t>1100</t>
  </si>
  <si>
    <t>MINI-CASSIA JUVENILE DET CTR</t>
  </si>
  <si>
    <t>1263</t>
  </si>
  <si>
    <t>DAY TREATMENT ELEMENTARY</t>
  </si>
  <si>
    <t>340</t>
  </si>
  <si>
    <t>0151</t>
  </si>
  <si>
    <t>0152</t>
  </si>
  <si>
    <t>0153</t>
  </si>
  <si>
    <t>LEWISTON HIGH SCHOOL</t>
  </si>
  <si>
    <t>0611</t>
  </si>
  <si>
    <t>NORTHWEST CHILDRENS HOME</t>
  </si>
  <si>
    <t>0787</t>
  </si>
  <si>
    <t>0788</t>
  </si>
  <si>
    <t>0789</t>
  </si>
  <si>
    <t>0790</t>
  </si>
  <si>
    <t>0791</t>
  </si>
  <si>
    <t>0792</t>
  </si>
  <si>
    <t>0793</t>
  </si>
  <si>
    <t>1034</t>
  </si>
  <si>
    <t>TAMMANY ALTERNATIVE SCHOOL</t>
  </si>
  <si>
    <t>1266</t>
  </si>
  <si>
    <t>REGION 2 JUVENILE DET CENTER</t>
  </si>
  <si>
    <t>341</t>
  </si>
  <si>
    <t>0583</t>
  </si>
  <si>
    <t>0844</t>
  </si>
  <si>
    <t>342</t>
  </si>
  <si>
    <t>0795</t>
  </si>
  <si>
    <t>351</t>
  </si>
  <si>
    <t>0156</t>
  </si>
  <si>
    <t>0580</t>
  </si>
  <si>
    <t>ONEIDA HIGH SCHOOL ALTERNATIVE</t>
  </si>
  <si>
    <t>0618</t>
  </si>
  <si>
    <t>0797</t>
  </si>
  <si>
    <t>0798</t>
  </si>
  <si>
    <t>363</t>
  </si>
  <si>
    <t>0157</t>
  </si>
  <si>
    <t>0530</t>
  </si>
  <si>
    <t>0799</t>
  </si>
  <si>
    <t>364</t>
  </si>
  <si>
    <t>0800</t>
  </si>
  <si>
    <t>PLEASANT VALLEY ELEM-JR HIGH</t>
  </si>
  <si>
    <t>1056</t>
  </si>
  <si>
    <t>BORDER DIST-JORDAN VALLEY-SEC</t>
  </si>
  <si>
    <t>365</t>
  </si>
  <si>
    <t>0158</t>
  </si>
  <si>
    <t>0801</t>
  </si>
  <si>
    <t>0802</t>
  </si>
  <si>
    <t>370</t>
  </si>
  <si>
    <t>0160</t>
  </si>
  <si>
    <t>0260</t>
  </si>
  <si>
    <t>0803</t>
  </si>
  <si>
    <t>371</t>
  </si>
  <si>
    <t>0161</t>
  </si>
  <si>
    <t>0162</t>
  </si>
  <si>
    <t>0508</t>
  </si>
  <si>
    <t>0805</t>
  </si>
  <si>
    <t>1064</t>
  </si>
  <si>
    <t>PAYETTE ALTERNATIVE HIGH SCHOOL</t>
  </si>
  <si>
    <t>1318</t>
  </si>
  <si>
    <t>PAYETTE ALTERNATIVE CENTER</t>
  </si>
  <si>
    <t>372</t>
  </si>
  <si>
    <t>0164</t>
  </si>
  <si>
    <t>0806</t>
  </si>
  <si>
    <t>0986</t>
  </si>
  <si>
    <t>373</t>
  </si>
  <si>
    <t>0165</t>
  </si>
  <si>
    <t>0166</t>
  </si>
  <si>
    <t>0807</t>
  </si>
  <si>
    <t>1332</t>
  </si>
  <si>
    <t>FRUITLAND PREPARATORY ACADEMY ALTERNATIVE</t>
  </si>
  <si>
    <t>381</t>
  </si>
  <si>
    <t>0167</t>
  </si>
  <si>
    <t>0168</t>
  </si>
  <si>
    <t>0261</t>
  </si>
  <si>
    <t>AMERICAN FALLS ACAEDMY ALTERNATIVE</t>
  </si>
  <si>
    <t>0808</t>
  </si>
  <si>
    <t>0849</t>
  </si>
  <si>
    <t>AMERICAN FALLS INTERMEDIATE SCHOOL</t>
  </si>
  <si>
    <t>382</t>
  </si>
  <si>
    <t>0169</t>
  </si>
  <si>
    <t>383</t>
  </si>
  <si>
    <t>0810</t>
  </si>
  <si>
    <t>ARBON ELEMENTARY SCHOOL</t>
  </si>
  <si>
    <t>391</t>
  </si>
  <si>
    <t>0170</t>
  </si>
  <si>
    <t>0171</t>
  </si>
  <si>
    <t>0811</t>
  </si>
  <si>
    <t>0812</t>
  </si>
  <si>
    <t>392</t>
  </si>
  <si>
    <t>0172</t>
  </si>
  <si>
    <t>0815</t>
  </si>
  <si>
    <t>393</t>
  </si>
  <si>
    <t>0173</t>
  </si>
  <si>
    <t>0174</t>
  </si>
  <si>
    <t>394</t>
  </si>
  <si>
    <t>0820</t>
  </si>
  <si>
    <t>CALDER SCHOOL</t>
  </si>
  <si>
    <t>401</t>
  </si>
  <si>
    <t>0175</t>
  </si>
  <si>
    <t>0195</t>
  </si>
  <si>
    <t>0249</t>
  </si>
  <si>
    <t>0822</t>
  </si>
  <si>
    <t>0823</t>
  </si>
  <si>
    <t>0875</t>
  </si>
  <si>
    <t>Basin Alternative High School</t>
  </si>
  <si>
    <t>1236</t>
  </si>
  <si>
    <t>RENDEZVOUS UPPER ELEMENTARY SCHOOL</t>
  </si>
  <si>
    <t>411</t>
  </si>
  <si>
    <t>0176</t>
  </si>
  <si>
    <t>0177</t>
  </si>
  <si>
    <t>0178</t>
  </si>
  <si>
    <t>0515</t>
  </si>
  <si>
    <t>0824</t>
  </si>
  <si>
    <t>0825</t>
  </si>
  <si>
    <t>0826</t>
  </si>
  <si>
    <t>0827</t>
  </si>
  <si>
    <t>0828</t>
  </si>
  <si>
    <t>0829</t>
  </si>
  <si>
    <t>1066</t>
  </si>
  <si>
    <t>MAGIC VALLEY HIGH SCHOOL ALTERNATIVE</t>
  </si>
  <si>
    <t>1147</t>
  </si>
  <si>
    <t>BRIDGE ACADEMY ALTERNATIVE</t>
  </si>
  <si>
    <t>1237</t>
  </si>
  <si>
    <t>CANYON RIDGE HIGH SCHOOL</t>
  </si>
  <si>
    <t>412</t>
  </si>
  <si>
    <t>0179</t>
  </si>
  <si>
    <t>0180</t>
  </si>
  <si>
    <t>0830</t>
  </si>
  <si>
    <t>413</t>
  </si>
  <si>
    <t>0181</t>
  </si>
  <si>
    <t>0196</t>
  </si>
  <si>
    <t>0831</t>
  </si>
  <si>
    <t>0832</t>
  </si>
  <si>
    <t>1244</t>
  </si>
  <si>
    <t xml:space="preserve">FILER INTERMEDIATE SCHOOL    </t>
  </si>
  <si>
    <t>414</t>
  </si>
  <si>
    <t>0182</t>
  </si>
  <si>
    <t>0512</t>
  </si>
  <si>
    <t>0833</t>
  </si>
  <si>
    <t>415</t>
  </si>
  <si>
    <t>0620</t>
  </si>
  <si>
    <t>0834</t>
  </si>
  <si>
    <t>416</t>
  </si>
  <si>
    <t>0835</t>
  </si>
  <si>
    <t>THREE CREEK ELEM-JR HI SCHOOL</t>
  </si>
  <si>
    <t>417</t>
  </si>
  <si>
    <t>0185</t>
  </si>
  <si>
    <t>418</t>
  </si>
  <si>
    <t>1344</t>
  </si>
  <si>
    <t>MURTAUGH SCHOOLS</t>
  </si>
  <si>
    <t>421</t>
  </si>
  <si>
    <t>0189</t>
  </si>
  <si>
    <t>McCALL-DONNELLY HIGH SCHOOL</t>
  </si>
  <si>
    <t>0236</t>
  </si>
  <si>
    <t>0837</t>
  </si>
  <si>
    <t>0988</t>
  </si>
  <si>
    <t>1264</t>
  </si>
  <si>
    <t>HEARTLAND HIGH SCHOOL ALTERNATIVE</t>
  </si>
  <si>
    <t>422</t>
  </si>
  <si>
    <t>0190</t>
  </si>
  <si>
    <t>0838</t>
  </si>
  <si>
    <t>431</t>
  </si>
  <si>
    <t>0191</t>
  </si>
  <si>
    <t>0192</t>
  </si>
  <si>
    <t>0839</t>
  </si>
  <si>
    <t>0840</t>
  </si>
  <si>
    <t>1067</t>
  </si>
  <si>
    <t>INDIANHEAD ACADEMY HIGH SCHOOL ALTERNATIVE</t>
  </si>
  <si>
    <t>432</t>
  </si>
  <si>
    <t>0193</t>
  </si>
  <si>
    <t>0841</t>
  </si>
  <si>
    <t>433</t>
  </si>
  <si>
    <t>0286</t>
  </si>
  <si>
    <t>1113</t>
  </si>
  <si>
    <t>MIDVALE ALTERNATIVE SCHOOL</t>
  </si>
  <si>
    <t>451</t>
  </si>
  <si>
    <t>0868</t>
  </si>
  <si>
    <t>452</t>
  </si>
  <si>
    <t>0869</t>
  </si>
  <si>
    <t>1302</t>
  </si>
  <si>
    <t>IDAHO VISION HIGH SCHOOL ALTERNATIVE</t>
  </si>
  <si>
    <t>453</t>
  </si>
  <si>
    <t>IDAHO VIRTUAL HIGH SCHOOL, INC.</t>
  </si>
  <si>
    <t>0870</t>
  </si>
  <si>
    <t>0871</t>
  </si>
  <si>
    <t>RICHARD MCKENNA CHARTER HIGH SCHOOL ALTERNATIVE</t>
  </si>
  <si>
    <t>454</t>
  </si>
  <si>
    <t>0574</t>
  </si>
  <si>
    <t>455</t>
  </si>
  <si>
    <t>0575</t>
  </si>
  <si>
    <t>1379</t>
  </si>
  <si>
    <t>COMPASS PUBLIC CHARTER SCHOOL JR./SR. HIGH</t>
  </si>
  <si>
    <t>456</t>
  </si>
  <si>
    <t>0576</t>
  </si>
  <si>
    <t>457</t>
  </si>
  <si>
    <t>0578</t>
  </si>
  <si>
    <t>INSPIRE VIRTUAL CHARTER SCHOOL</t>
  </si>
  <si>
    <t>458</t>
  </si>
  <si>
    <t>0587</t>
  </si>
  <si>
    <t>460</t>
  </si>
  <si>
    <t>0641</t>
  </si>
  <si>
    <t>CONNOR ACADEMY</t>
  </si>
  <si>
    <t>461</t>
  </si>
  <si>
    <t>0642</t>
  </si>
  <si>
    <t>462</t>
  </si>
  <si>
    <t>2512</t>
  </si>
  <si>
    <t>463</t>
  </si>
  <si>
    <t>0888</t>
  </si>
  <si>
    <t>464</t>
  </si>
  <si>
    <t>2514</t>
  </si>
  <si>
    <t>465</t>
  </si>
  <si>
    <t>0653</t>
  </si>
  <si>
    <t>466</t>
  </si>
  <si>
    <t>0654</t>
  </si>
  <si>
    <t>468</t>
  </si>
  <si>
    <t>1217</t>
  </si>
  <si>
    <t>IDAHO SCIENCE &amp; TECHNOLOGY CHARTER SCHOOL</t>
  </si>
  <si>
    <t>469</t>
  </si>
  <si>
    <t>IDAHO VIRTUAL EDUCATION PARTNERS, INC.</t>
  </si>
  <si>
    <t>1221</t>
  </si>
  <si>
    <t>IDAHO CONNECTS ONLINE SCHOOL</t>
  </si>
  <si>
    <t>1303</t>
  </si>
  <si>
    <t>IDAHO CONNECTS ONLINE ALTERNATIVE SCHOOL</t>
  </si>
  <si>
    <t>470</t>
  </si>
  <si>
    <t>1232</t>
  </si>
  <si>
    <t>KOOTENAI BRIDGE ACADEMY ALTERNATIVE</t>
  </si>
  <si>
    <t>472</t>
  </si>
  <si>
    <t>1234</t>
  </si>
  <si>
    <t>PALOUSE PRAIRIE CHARTER SCHOOL</t>
  </si>
  <si>
    <t>473</t>
  </si>
  <si>
    <t>1339</t>
  </si>
  <si>
    <t>474</t>
  </si>
  <si>
    <t>1246</t>
  </si>
  <si>
    <t>475</t>
  </si>
  <si>
    <t>1248</t>
  </si>
  <si>
    <t>476</t>
  </si>
  <si>
    <t>1247</t>
  </si>
  <si>
    <t>477</t>
  </si>
  <si>
    <t>1294</t>
  </si>
  <si>
    <t>BLACKFOOT CHARTER COMMUNITY</t>
  </si>
  <si>
    <t>478</t>
  </si>
  <si>
    <t>1340</t>
  </si>
  <si>
    <t>479</t>
  </si>
  <si>
    <t>1341</t>
  </si>
  <si>
    <t>480</t>
  </si>
  <si>
    <t>1342</t>
  </si>
  <si>
    <t>NORTH IDAHO STEM CHARTER ACADEMY</t>
  </si>
  <si>
    <t>481</t>
  </si>
  <si>
    <t>1343</t>
  </si>
  <si>
    <t>482</t>
  </si>
  <si>
    <t>1346</t>
  </si>
  <si>
    <t>483</t>
  </si>
  <si>
    <t>1347</t>
  </si>
  <si>
    <t>1364</t>
  </si>
  <si>
    <t>BINGHAM ACADEMY</t>
  </si>
  <si>
    <t>486</t>
  </si>
  <si>
    <t>UPPER CARMEN PUBLIC CHARTER SCHOOL, INC.</t>
  </si>
  <si>
    <t>1366</t>
  </si>
  <si>
    <t>UPPER CARMEN PUBLIC CHARTER SCHOOL</t>
  </si>
  <si>
    <t>1378</t>
  </si>
  <si>
    <t>UPPER CARMEN CHARTER HIGH SCHOOL</t>
  </si>
  <si>
    <t>487</t>
  </si>
  <si>
    <t>1365</t>
  </si>
  <si>
    <t>FORREST M. BIRD CHARTER SCHOOL</t>
  </si>
  <si>
    <t>488</t>
  </si>
  <si>
    <t>WOOD RIVER WALDORF METHODS SCHOOL, A PUBLIC CHARTER SCHOOL, INC.</t>
  </si>
  <si>
    <t>1367</t>
  </si>
  <si>
    <t>489</t>
  </si>
  <si>
    <t>1368</t>
  </si>
  <si>
    <t>490</t>
  </si>
  <si>
    <t>GEM INNOVATION SCHOOLS, INC.</t>
  </si>
  <si>
    <t>1369</t>
  </si>
  <si>
    <t>1376</t>
  </si>
  <si>
    <t>491</t>
  </si>
  <si>
    <t>COEUR D'ALENE CHARTER ACADEMY, INC.</t>
  </si>
  <si>
    <t>1370</t>
  </si>
  <si>
    <t>COEUR D'ALENE CHARTER ACADEMY SCHOOL</t>
  </si>
  <si>
    <t>492</t>
  </si>
  <si>
    <t>ANSER OF IDAHO, INC.</t>
  </si>
  <si>
    <t>0819</t>
  </si>
  <si>
    <t>493</t>
  </si>
  <si>
    <t>NORTH STAR CHARTER SCHOOL, INC.</t>
  </si>
  <si>
    <t>1371</t>
  </si>
  <si>
    <t>NORTH STAR CHARTER SCHOOL</t>
  </si>
  <si>
    <t>494</t>
  </si>
  <si>
    <t>0623</t>
  </si>
  <si>
    <t>555</t>
  </si>
  <si>
    <t>1291</t>
  </si>
  <si>
    <t>COSSA ACADEMY ALTERNATIVE</t>
  </si>
  <si>
    <t>559</t>
  </si>
  <si>
    <t>THOMAS JEFFERSON CHARTER SCHOOL, INC.</t>
  </si>
  <si>
    <t>596</t>
  </si>
  <si>
    <t>0948</t>
  </si>
  <si>
    <t>IDAHO SCHOOL FOR THE DEAF AND THE BLIND</t>
  </si>
  <si>
    <t>751</t>
  </si>
  <si>
    <t>S E I TEC CHARTER SCHOOL, INC.</t>
  </si>
  <si>
    <t>1349</t>
  </si>
  <si>
    <t>SOUTHEAST IDAHO PROFESSIONAL TECHNICAL SCHOOL</t>
  </si>
  <si>
    <t>768</t>
  </si>
  <si>
    <t>MERIDIAN TECHNICAL CHARTER HIGH SCHOOL, INC.</t>
  </si>
  <si>
    <t>MERIDIAN TECHNICAL CHARTER HIGH</t>
  </si>
  <si>
    <t>771</t>
  </si>
  <si>
    <t>Idaho Digital Learning Academy</t>
  </si>
  <si>
    <t>1082</t>
  </si>
  <si>
    <t>IDLA School</t>
  </si>
  <si>
    <t>785</t>
  </si>
  <si>
    <t>MERIDIAN MEDICAL ARTS CHARTER HIGH SCHOOL, INC.</t>
  </si>
  <si>
    <t>790</t>
  </si>
  <si>
    <t>ADVANCED REGIONAL TECHNICAL EDUCATION, INC.</t>
  </si>
  <si>
    <t>794</t>
  </si>
  <si>
    <t>PAYETTE RIVER TECHNICAL ACADEMY, INC.</t>
  </si>
  <si>
    <t>1249</t>
  </si>
  <si>
    <t>PAYETTE RIVER TECHNICAL ACADEMY</t>
  </si>
  <si>
    <t>795</t>
  </si>
  <si>
    <t>IDAHO ARTS CHARTER SCHOOL, INC.</t>
  </si>
  <si>
    <t>813</t>
  </si>
  <si>
    <t>MOSCOW CHARTER SCHOOL, INC.</t>
  </si>
  <si>
    <t>Changes Distirct ID for In-District Charters</t>
  </si>
  <si>
    <t>Boise Independent District</t>
  </si>
  <si>
    <t>Joint School District #2</t>
  </si>
  <si>
    <t xml:space="preserve">003 </t>
  </si>
  <si>
    <t>Kuna Joint District</t>
  </si>
  <si>
    <t>March Valley Joint District</t>
  </si>
  <si>
    <t>Pocatello District</t>
  </si>
  <si>
    <t>Bear Lake County District</t>
  </si>
  <si>
    <t>St Maries Joint District</t>
  </si>
  <si>
    <t>Plummer-Worley Joint District</t>
  </si>
  <si>
    <t>Snake River District</t>
  </si>
  <si>
    <t>Blackfoot District</t>
  </si>
  <si>
    <t>Aberdeen District</t>
  </si>
  <si>
    <t>Firth District</t>
  </si>
  <si>
    <t>Shelley Joint District</t>
  </si>
  <si>
    <t>Blaine County District</t>
  </si>
  <si>
    <t>Basin School District</t>
  </si>
  <si>
    <t>West Bonner County District</t>
  </si>
  <si>
    <t>Lake Pend Oreille School District</t>
  </si>
  <si>
    <t>Idaho Falls District</t>
  </si>
  <si>
    <t>Bonneville Joint District</t>
  </si>
  <si>
    <t>Boundary County District</t>
  </si>
  <si>
    <t>Nampa School District</t>
  </si>
  <si>
    <t>Caldwell District</t>
  </si>
  <si>
    <t>Wilder District</t>
  </si>
  <si>
    <t>Middleton District</t>
  </si>
  <si>
    <t>Melba Joint District</t>
  </si>
  <si>
    <t>Parma District</t>
  </si>
  <si>
    <t>Vallivue School District</t>
  </si>
  <si>
    <t>Soda Springs Joint District</t>
  </si>
  <si>
    <t>Cassia County Joint District</t>
  </si>
  <si>
    <t>Orofino Joint District</t>
  </si>
  <si>
    <t>Glenns Ferry Joint District</t>
  </si>
  <si>
    <t>Mountain Home District</t>
  </si>
  <si>
    <t>Preston Joint District</t>
  </si>
  <si>
    <t>Fremont County Joint District</t>
  </si>
  <si>
    <t>Emmett Independent District</t>
  </si>
  <si>
    <t>Gooding Joint District</t>
  </si>
  <si>
    <t>Wendell District</t>
  </si>
  <si>
    <t>Mountian View School District</t>
  </si>
  <si>
    <t>Jefferson County JT District</t>
  </si>
  <si>
    <t>Ririe Joint District</t>
  </si>
  <si>
    <t>Jerome Joint District</t>
  </si>
  <si>
    <t>Coeur d'Alene District</t>
  </si>
  <si>
    <t>Lakeland District</t>
  </si>
  <si>
    <t>Post Falls District</t>
  </si>
  <si>
    <t>Moscow District</t>
  </si>
  <si>
    <t>Potlatch District</t>
  </si>
  <si>
    <t>Salmon District</t>
  </si>
  <si>
    <t>Kamiah Joint District</t>
  </si>
  <si>
    <t>Shoshone Joint District</t>
  </si>
  <si>
    <t>Madison District</t>
  </si>
  <si>
    <t>Sugar-Salem Joint District</t>
  </si>
  <si>
    <t>Minidoka County Joint District</t>
  </si>
  <si>
    <t>Lewiston Independent District</t>
  </si>
  <si>
    <t>Lapwai District</t>
  </si>
  <si>
    <t>Oneida County District</t>
  </si>
  <si>
    <t>Marsing Joint District</t>
  </si>
  <si>
    <t>Homedale Joint District</t>
  </si>
  <si>
    <t>Payette Joint District</t>
  </si>
  <si>
    <t>New Plymouth District</t>
  </si>
  <si>
    <t>Fruitland District</t>
  </si>
  <si>
    <t>American Falls Joint District</t>
  </si>
  <si>
    <t>Kellogg Joint District</t>
  </si>
  <si>
    <t>Wallace District</t>
  </si>
  <si>
    <t>Teton County District</t>
  </si>
  <si>
    <t>Twin Falls District</t>
  </si>
  <si>
    <t>Buhl Joint District</t>
  </si>
  <si>
    <t>Filer District</t>
  </si>
  <si>
    <t>Kimberly District</t>
  </si>
  <si>
    <t>Hansen District</t>
  </si>
  <si>
    <t>McCall-Donnelly JT School District</t>
  </si>
  <si>
    <t>Weiser District</t>
  </si>
  <si>
    <t>Inspire Virtual Charter</t>
  </si>
  <si>
    <t>Another Choice Virtual Charter School</t>
  </si>
  <si>
    <t>Syringa Mountain School, Inc.</t>
  </si>
  <si>
    <t>North Star Charter District</t>
  </si>
  <si>
    <t>Idaho Bureau of Educational Services for the Deaf and the Blind</t>
  </si>
  <si>
    <t>671</t>
  </si>
  <si>
    <t>Idaho Department of Corrections</t>
  </si>
  <si>
    <t>709</t>
  </si>
  <si>
    <t>Idaho Department of Juvenile Corrections</t>
  </si>
  <si>
    <t>SOUTHEAST IDAHO PROFESSIONAL TECHNICAL DISTRICT</t>
  </si>
  <si>
    <t>ARTEC CHARTER DISTRICT</t>
  </si>
  <si>
    <t>By special request from ID DOE; Received 1/3 (forwarded to DD from OP)</t>
  </si>
  <si>
    <t>District (to include in-dirstrict charters)</t>
  </si>
  <si>
    <t>Received from Kelly Everitt @ ID DOE by request; 7/27/17</t>
  </si>
  <si>
    <t>Base support - benefits</t>
  </si>
  <si>
    <t>Note: Does not include about $133k in County funds</t>
  </si>
  <si>
    <t>Original</t>
  </si>
  <si>
    <t>DistrictID adjusted for in-district charters</t>
  </si>
  <si>
    <t>Replacing ** with 5</t>
  </si>
  <si>
    <t>Summing by district</t>
  </si>
  <si>
    <t>Amount of Funding Each K Student Would Generate</t>
  </si>
  <si>
    <t>***=5</t>
  </si>
  <si>
    <t>District Only</t>
  </si>
  <si>
    <t>islep</t>
  </si>
  <si>
    <t>islep ; if ** = 5</t>
  </si>
  <si>
    <t>In-district charters re-coded</t>
  </si>
  <si>
    <t>Total * = 5</t>
  </si>
  <si>
    <t>Total with in-district charters inc. in district count</t>
  </si>
  <si>
    <t>Data Requested from Idaho SDE</t>
  </si>
  <si>
    <t xml:space="preserve"> School Academic Performance Data</t>
  </si>
  <si>
    <r>
      <t xml:space="preserve"> </t>
    </r>
    <r>
      <rPr>
        <b/>
        <sz val="11"/>
        <rFont val="Calibri"/>
        <family val="2"/>
        <scheme val="minor"/>
      </rPr>
      <t xml:space="preserve">Notes:
 </t>
    </r>
    <r>
      <rPr>
        <sz val="11"/>
        <rFont val="Calibri"/>
        <family val="2"/>
        <scheme val="minor"/>
      </rPr>
      <t xml:space="preserve">Replaced * with 5
 In-district charters reported separately; Re-coded to include in counts for corresponding charter (cells highlighted yellow)
 </t>
    </r>
  </si>
  <si>
    <r>
      <t xml:space="preserve"> </t>
    </r>
    <r>
      <rPr>
        <b/>
        <sz val="11"/>
        <rFont val="Calibri"/>
        <family val="2"/>
        <scheme val="minor"/>
      </rPr>
      <t xml:space="preserve">Notes:
 </t>
    </r>
    <r>
      <rPr>
        <sz val="11"/>
        <rFont val="Calibri"/>
        <family val="2"/>
        <scheme val="minor"/>
      </rPr>
      <t xml:space="preserve">Replaced * with 5
 In-district charters reported separately; Re-coded in Column G to include in counts for corresponding charter (cells highlighted yellow)
 </t>
    </r>
  </si>
  <si>
    <t>Note: Islep for all in-district charters seem to be included in the district counts except for Pocatello Community charter. I changed that ID by hand so it is included in Pocatello SD's count</t>
  </si>
  <si>
    <t>TitleI School Status</t>
  </si>
  <si>
    <r>
      <t xml:space="preserve">2016-2017
</t>
    </r>
    <r>
      <rPr>
        <sz val="10"/>
        <color indexed="10"/>
        <rFont val="Tahoma"/>
        <family val="2"/>
      </rPr>
      <t>(as of 8/7/2017)</t>
    </r>
  </si>
  <si>
    <t>Met all targets</t>
  </si>
  <si>
    <t>Identified as Focus school</t>
  </si>
  <si>
    <t>Missed one or more targets</t>
  </si>
  <si>
    <t>Identified as Priority school</t>
  </si>
  <si>
    <t>LAKESIDE MIDDLE SCHOOL</t>
  </si>
  <si>
    <t>4</t>
  </si>
  <si>
    <t>6</t>
  </si>
  <si>
    <t>PREP (ALT) HIGH SCHOOL</t>
  </si>
  <si>
    <t>EMERSON  HIGH SCHOOL ALTERN</t>
  </si>
  <si>
    <t xml:space="preserve">RIVERVUE MIDDLE SCHOOL ALTERN </t>
  </si>
  <si>
    <t>1296</t>
  </si>
  <si>
    <t xml:space="preserve">VALLIVUE VIRTUAL ACADEMY      </t>
  </si>
  <si>
    <t>0238</t>
  </si>
  <si>
    <t>Special Exception</t>
  </si>
  <si>
    <t>CENTRAL ALTERNATIVE HIGH</t>
  </si>
  <si>
    <t xml:space="preserve">Calder Elementary Jr High </t>
  </si>
  <si>
    <t>BASIN JR/SR HIGH SCHOOL (ALT)</t>
  </si>
  <si>
    <t>2016-2017
(as of 8/7/2017)</t>
  </si>
  <si>
    <t>% LowIncome</t>
  </si>
  <si>
    <r>
      <t xml:space="preserve">1. The </t>
    </r>
    <r>
      <rPr>
        <b/>
        <sz val="11"/>
        <color theme="1"/>
        <rFont val="Calibri"/>
        <family val="2"/>
        <scheme val="minor"/>
      </rPr>
      <t>Simulator Input tab</t>
    </r>
    <r>
      <rPr>
        <sz val="11"/>
        <color theme="1"/>
        <rFont val="Calibri"/>
        <family val="2"/>
        <scheme val="minor"/>
      </rPr>
      <t xml:space="preserve"> allows users to customize the SBB formula by answering a series of questions and adjusting dials for various components, including tax equalization, the base funding amount, and student weights.</t>
    </r>
  </si>
  <si>
    <r>
      <t xml:space="preserve">2. The </t>
    </r>
    <r>
      <rPr>
        <b/>
        <sz val="11"/>
        <color theme="1"/>
        <rFont val="Calibri"/>
        <family val="2"/>
        <scheme val="minor"/>
      </rPr>
      <t xml:space="preserve">Results tab </t>
    </r>
    <r>
      <rPr>
        <sz val="11"/>
        <color theme="1"/>
        <rFont val="Calibri"/>
        <family val="2"/>
        <scheme val="minor"/>
      </rPr>
      <t>shows how the formula devised would impact students and districts across the state.</t>
    </r>
  </si>
  <si>
    <t xml:space="preserve">This tool was created by Public Impact for Bluum. Public Impact encourages the free use, reproduction, and distribution of our materials, but we require attribution for all use. </t>
  </si>
  <si>
    <t>This tool allows users to experiment with a student-based budgeting (SBB) model by developing their own formula based on data from the 2015-16 school year*. In consists of two pieces.</t>
  </si>
  <si>
    <t>* The tool draws on Title I data from the 2016-17 school year due to irregularities in the 2015-16 data. Namely, some districts appeared to experience large drops in their Title I enrollment from 2014-15 to 2015-16, and then rebound again in 2016-17.</t>
  </si>
  <si>
    <t>Current</t>
  </si>
  <si>
    <t>SBB</t>
  </si>
  <si>
    <t>Difference (Per Pupil)</t>
  </si>
  <si>
    <t>Difference 
(Total)</t>
  </si>
  <si>
    <t>Summary Data</t>
  </si>
  <si>
    <t>Per-Pupil Funding</t>
  </si>
  <si>
    <t>State non-SBB</t>
  </si>
  <si>
    <t>State SBB</t>
  </si>
  <si>
    <t>State Total</t>
  </si>
  <si>
    <t>Total ALL</t>
  </si>
  <si>
    <t>Non-SBB Local</t>
  </si>
  <si>
    <t>SBB Local</t>
  </si>
  <si>
    <t>Local Total</t>
  </si>
  <si>
    <t>Overage</t>
  </si>
  <si>
    <t>Total w/ remainder (UI3) - Overage (WN5)</t>
  </si>
  <si>
    <t>SBB Pot (UF3)</t>
  </si>
  <si>
    <t>% of SBB pot that overage accounts for</t>
  </si>
  <si>
    <t>There are two options for addressing small districts. We can give them a special grant (up to their current state funding level), or we can hold them "harmless" by ensuring that they receive no less state funding than they currently receive.</t>
  </si>
  <si>
    <t>Adjustment for Blaine / McCall</t>
  </si>
  <si>
    <t xml:space="preserve">Would you like to provide small districts additional support? </t>
  </si>
  <si>
    <t>Expected contribution
(from simulator)</t>
  </si>
  <si>
    <t>Local contribution with ceiling</t>
  </si>
  <si>
    <t>Included in SBB</t>
  </si>
  <si>
    <r>
      <t xml:space="preserve">Original </t>
    </r>
    <r>
      <rPr>
        <i/>
        <sz val="11"/>
        <color rgb="FFFF0000"/>
        <rFont val="Calibri"/>
        <family val="2"/>
        <scheme val="minor"/>
      </rPr>
      <t xml:space="preserve">Assumed </t>
    </r>
    <r>
      <rPr>
        <sz val="11"/>
        <color theme="1"/>
        <rFont val="Calibri"/>
        <family val="2"/>
        <scheme val="minor"/>
      </rPr>
      <t>allocation from SBB Pot</t>
    </r>
  </si>
  <si>
    <t>ACTUAL Original from SBB Pot</t>
  </si>
  <si>
    <t>ACTUAL Original from SBB Pot PP</t>
  </si>
  <si>
    <t>New ACTUAL allocation from SBB Pot</t>
  </si>
  <si>
    <t>New ACTUAL Allocation from SBB Pot PP</t>
  </si>
  <si>
    <r>
      <t xml:space="preserve">New </t>
    </r>
    <r>
      <rPr>
        <i/>
        <sz val="11"/>
        <color theme="1"/>
        <rFont val="Calibri"/>
        <family val="2"/>
        <scheme val="minor"/>
      </rPr>
      <t xml:space="preserve">assumed </t>
    </r>
    <r>
      <rPr>
        <sz val="11"/>
        <color theme="1"/>
        <rFont val="Calibri"/>
        <family val="2"/>
        <scheme val="minor"/>
      </rPr>
      <t>allocation from SBB Pot</t>
    </r>
  </si>
  <si>
    <r>
      <t xml:space="preserve">New </t>
    </r>
    <r>
      <rPr>
        <i/>
        <sz val="11"/>
        <color theme="1"/>
        <rFont val="Calibri"/>
        <family val="2"/>
        <scheme val="minor"/>
      </rPr>
      <t>assumed</t>
    </r>
    <r>
      <rPr>
        <sz val="11"/>
        <color theme="1"/>
        <rFont val="Calibri"/>
        <family val="2"/>
        <scheme val="minor"/>
      </rPr>
      <t xml:space="preserve"> Allocation from SBB Pot PP</t>
    </r>
  </si>
  <si>
    <r>
      <t xml:space="preserve">Original </t>
    </r>
    <r>
      <rPr>
        <i/>
        <sz val="11"/>
        <color rgb="FFFF0000"/>
        <rFont val="Calibri"/>
        <family val="2"/>
        <scheme val="minor"/>
      </rPr>
      <t>assumed</t>
    </r>
    <r>
      <rPr>
        <sz val="11"/>
        <color theme="1"/>
        <rFont val="Calibri"/>
        <family val="2"/>
        <scheme val="minor"/>
      </rPr>
      <t>allocation from SBB Pot PP</t>
    </r>
  </si>
  <si>
    <t>Plus Remainder</t>
  </si>
  <si>
    <t>Adjustment</t>
  </si>
  <si>
    <t>New ACTUAL allocation from SBB Pot with ceiling for negative values and adjustment for overage</t>
  </si>
  <si>
    <t>Check</t>
  </si>
  <si>
    <t>Non-SBB Funds</t>
  </si>
  <si>
    <t>Assumed local contribution</t>
  </si>
  <si>
    <t>Actual local contribution</t>
  </si>
  <si>
    <t>State contribution (based on assumed local)</t>
  </si>
  <si>
    <t>Local funding per pupil</t>
  </si>
  <si>
    <t>Adjusted state contribution
(set floor on loss and removes overage from negative values in Column VI)</t>
  </si>
  <si>
    <t>Original Federal</t>
  </si>
  <si>
    <t>Original State</t>
  </si>
  <si>
    <t>Original Local</t>
  </si>
  <si>
    <t>New Federal</t>
  </si>
  <si>
    <t>New State
(SBB and Non-SBB)</t>
  </si>
  <si>
    <t>New Local
(SBB and Non-SBB)</t>
  </si>
  <si>
    <t>Check: (adds remainder)</t>
  </si>
  <si>
    <t>Additional Assumed local</t>
  </si>
  <si>
    <t>New state without small district grant</t>
  </si>
  <si>
    <t>Small district grant
if new state SBB &lt; old state</t>
  </si>
  <si>
    <t>Hold harmless if new state &lt; old state</t>
  </si>
  <si>
    <t>Old state from SBB pot</t>
  </si>
  <si>
    <t>Hold Harmless less difference in expected contribution</t>
  </si>
  <si>
    <t>Small district grant less difference in expected local</t>
  </si>
  <si>
    <t>SBB before small grant</t>
  </si>
  <si>
    <t>Indicate the maximum number of students a district can enroll and still be eligible (the size of the "small" district)</t>
  </si>
  <si>
    <t xml:space="preserve">Would you like to hold small districts responsible for raising additional local funds as determined by the mill rate entered above in E35? (Note: Doing so may result in some small districts losing state funding despite providing additional support.) </t>
  </si>
  <si>
    <t>no</t>
  </si>
  <si>
    <t>Small district supplement</t>
  </si>
  <si>
    <t>For Results Table</t>
  </si>
  <si>
    <t>Difference PP</t>
  </si>
  <si>
    <t>Current PP</t>
  </si>
  <si>
    <t>New PP</t>
  </si>
  <si>
    <t>Districts gaining funding from relevant sources, or losing no more than 2%</t>
  </si>
  <si>
    <t>Additional Local from Higher Mill Rate</t>
  </si>
  <si>
    <t>Additional Local Funding Required by New Mill Rate</t>
  </si>
  <si>
    <t>Levy rates are based on mills - the amount per $1,000 of the assessed property value. For example, a 1 mill levy would generate $1,000 in taxes on a $100,0000 home.  In 2015-16, the median levy rate was about 3.35 mills. How many mills should the state set as the minimum for each district?</t>
  </si>
  <si>
    <t>Percent of all students in districts gaining funding from relevant sources, or losing no more than 2%</t>
  </si>
  <si>
    <t>PP Adjustment</t>
  </si>
  <si>
    <r>
      <rPr>
        <b/>
        <sz val="11"/>
        <color theme="1"/>
        <rFont val="Calibri"/>
        <family val="2"/>
        <scheme val="minor"/>
      </rPr>
      <t xml:space="preserve">State Funding Floor. </t>
    </r>
    <r>
      <rPr>
        <sz val="11"/>
        <color theme="1"/>
        <rFont val="Calibri"/>
        <family val="2"/>
        <scheme val="minor"/>
      </rPr>
      <t xml:space="preserve">In some rare instances when local funds are included in the SBB calculation, a district's property wealth may be so great that the amount of local funding the district can raise at the required effort exceeds the amount of state </t>
    </r>
    <r>
      <rPr>
        <i/>
        <sz val="11"/>
        <color theme="1"/>
        <rFont val="Calibri"/>
        <family val="2"/>
        <scheme val="minor"/>
      </rPr>
      <t>and</t>
    </r>
    <r>
      <rPr>
        <sz val="11"/>
        <color theme="1"/>
        <rFont val="Calibri"/>
        <family val="2"/>
        <scheme val="minor"/>
      </rPr>
      <t xml:space="preserve"> local funding the formula identifies for the district. In those cases, the the formula institutes a floor ($0) on the amount of state funding a district can receive. </t>
    </r>
  </si>
  <si>
    <t>In such instances, the formula also includes an adjustment to account for the difference between that floor and the amount of eadditional local dollars the district is expected to raise. The adjustment reduces funding for all districts equally on a per pupil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</si>
</sst>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_(* #,##0.0_);_(* \(#,##0.0\);_(* &quot;-&quot;??_);_(@_)"/>
    <numFmt numFmtId="168" formatCode="0.0%"/>
    <numFmt numFmtId="169" formatCode="_(* #,##0_);_(* \(#,##0\);_(* &quot;-&quot;?_);_(@_)"/>
    <numFmt numFmtId="170" formatCode="000"/>
    <numFmt numFmtId="171" formatCode="&quot;$&quot;#,##0"/>
    <numFmt numFmtId="172" formatCode="#,###;;&quot;0&quot;"/>
    <numFmt numFmtId="173" formatCode="_(&quot;$&quot;* #,##0.0_);_(&quot;$&quot;* \(#,##0.0\);_(&quot;$&quot;* &quot;-&quot;??_);_(@_)"/>
    <numFmt numFmtId="174" formatCode="0.000000000"/>
    <numFmt numFmtId="175" formatCode="[$-10409]0.000;\(0.000\)"/>
    <numFmt numFmtId="176" formatCode="[$-10409]&quot;$&quot;#,##0;\(&quot;$&quot;#,##0\)"/>
    <numFmt numFmtId="177" formatCode="_(&quot;$&quot;* #,##0.0000000000_);_(&quot;$&quot;* \(#,##0.0000000000\);_(&quot;$&quot;* &quot;-&quot;??_);_(@_)"/>
  </numFmts>
  <fonts count="6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16"/>
      <color theme="1"/>
      <name val="Arial"/>
      <family val="2"/>
    </font>
    <font>
      <b/>
      <sz val="9"/>
      <color theme="1"/>
      <name val="Arial"/>
      <family val="2"/>
    </font>
    <font>
      <sz val="9"/>
      <color theme="1"/>
      <name val="Arial"/>
      <family val="2"/>
    </font>
    <font>
      <b/>
      <sz val="11"/>
      <color theme="1"/>
      <name val="Arial"/>
      <family val="2"/>
    </font>
    <font>
      <sz val="10"/>
      <color theme="1"/>
      <name val="Arial"/>
      <family val="2"/>
    </font>
    <font>
      <sz val="10"/>
      <color theme="1"/>
      <name val="Calibri"/>
      <family val="2"/>
      <scheme val="minor"/>
    </font>
    <font>
      <b/>
      <sz val="10"/>
      <name val="Arial"/>
      <family val="2"/>
    </font>
    <font>
      <sz val="10"/>
      <name val="Arial"/>
      <family val="2"/>
    </font>
    <font>
      <sz val="8"/>
      <name val="Arial"/>
      <family val="2"/>
    </font>
    <font>
      <b/>
      <sz val="8"/>
      <name val="Arial MT"/>
      <family val="2"/>
    </font>
    <font>
      <b/>
      <sz val="8"/>
      <name val="Arial"/>
      <family val="2"/>
    </font>
    <font>
      <b/>
      <sz val="8"/>
      <color indexed="12"/>
      <name val="Arial"/>
      <family val="2"/>
    </font>
    <font>
      <b/>
      <sz val="10"/>
      <color indexed="12"/>
      <name val="Arial"/>
      <family val="2"/>
    </font>
    <font>
      <b/>
      <sz val="8"/>
      <color rgb="FF0000FF"/>
      <name val="Arial"/>
      <family val="2"/>
    </font>
    <font>
      <sz val="8"/>
      <color indexed="12"/>
      <name val="Arial"/>
      <family val="2"/>
    </font>
    <font>
      <b/>
      <sz val="8"/>
      <color rgb="FF0000CC"/>
      <name val="Arial"/>
      <family val="2"/>
    </font>
    <font>
      <b/>
      <sz val="8"/>
      <name val="Arial MT"/>
    </font>
    <font>
      <sz val="8"/>
      <color indexed="8"/>
      <name val="Arial"/>
      <family val="2"/>
    </font>
    <font>
      <b/>
      <sz val="8"/>
      <color theme="1"/>
      <name val="Arial"/>
      <family val="2"/>
    </font>
    <font>
      <sz val="9"/>
      <color theme="3" tint="0.59999389629810485"/>
      <name val="Arial"/>
      <family val="2"/>
    </font>
    <font>
      <b/>
      <sz val="11"/>
      <color rgb="FFFFFFFF"/>
      <name val="Tahoma"/>
      <family val="2"/>
    </font>
    <font>
      <sz val="11"/>
      <color theme="1"/>
      <name val="Times New Roman"/>
      <family val="1"/>
    </font>
    <font>
      <sz val="10"/>
      <color rgb="FF000000"/>
      <name val="Tahoma"/>
      <family val="2"/>
    </font>
    <font>
      <sz val="9"/>
      <color indexed="81"/>
      <name val="Tahoma"/>
      <family val="2"/>
    </font>
    <font>
      <b/>
      <sz val="9"/>
      <color indexed="81"/>
      <name val="Tahoma"/>
      <family val="2"/>
    </font>
    <font>
      <b/>
      <sz val="12"/>
      <name val="Arial"/>
      <family val="2"/>
    </font>
    <font>
      <sz val="11"/>
      <color theme="9" tint="-0.499984740745262"/>
      <name val="Calibri"/>
      <family val="2"/>
      <scheme val="minor"/>
    </font>
    <font>
      <sz val="8"/>
      <color theme="1"/>
      <name val="Arial"/>
      <family val="2"/>
    </font>
    <font>
      <sz val="11"/>
      <color theme="0"/>
      <name val="Calibri"/>
      <family val="2"/>
      <scheme val="minor"/>
    </font>
    <font>
      <sz val="20"/>
      <color theme="1"/>
      <name val="Calibri"/>
      <family val="2"/>
      <scheme val="minor"/>
    </font>
    <font>
      <b/>
      <sz val="20"/>
      <name val="Calibri"/>
      <family val="2"/>
      <scheme val="minor"/>
    </font>
    <font>
      <b/>
      <sz val="10"/>
      <color theme="1"/>
      <name val="Arial"/>
      <family val="2"/>
    </font>
    <font>
      <sz val="12"/>
      <color theme="1"/>
      <name val="Calibri"/>
      <family val="2"/>
      <scheme val="minor"/>
    </font>
    <font>
      <sz val="10"/>
      <color theme="1"/>
      <name val="Times New Roman"/>
      <family val="1"/>
    </font>
    <font>
      <sz val="11"/>
      <color rgb="FF000000"/>
      <name val="Calibri"/>
      <family val="2"/>
    </font>
    <font>
      <u/>
      <sz val="11"/>
      <color theme="10"/>
      <name val="Calibri"/>
      <family val="2"/>
      <scheme val="minor"/>
    </font>
    <font>
      <sz val="8"/>
      <name val="Zurich Cn BT"/>
      <family val="2"/>
    </font>
    <font>
      <b/>
      <sz val="12"/>
      <color theme="1"/>
      <name val="Arial"/>
      <family val="2"/>
    </font>
    <font>
      <sz val="11"/>
      <color theme="1"/>
      <name val="Arial"/>
      <family val="2"/>
    </font>
    <font>
      <i/>
      <sz val="11"/>
      <color theme="1"/>
      <name val="Arial"/>
      <family val="2"/>
    </font>
    <font>
      <b/>
      <sz val="12"/>
      <color theme="0"/>
      <name val="Arial"/>
      <family val="2"/>
    </font>
    <font>
      <sz val="11"/>
      <name val="Arial"/>
      <family val="2"/>
    </font>
    <font>
      <b/>
      <sz val="11"/>
      <name val="Arial"/>
      <family val="2"/>
    </font>
    <font>
      <i/>
      <sz val="11"/>
      <name val="Arial"/>
      <family val="2"/>
    </font>
    <font>
      <b/>
      <i/>
      <sz val="11"/>
      <color theme="1"/>
      <name val="Arial"/>
      <family val="2"/>
    </font>
    <font>
      <sz val="11"/>
      <color theme="0" tint="-4.9989318521683403E-2"/>
      <name val="Calibri"/>
      <family val="2"/>
      <scheme val="minor"/>
    </font>
    <font>
      <b/>
      <sz val="11"/>
      <color theme="1"/>
      <name val="Arial 11"/>
    </font>
    <font>
      <sz val="13.5"/>
      <color rgb="FF000000"/>
      <name val="Times New Roman"/>
      <family val="1"/>
    </font>
    <font>
      <b/>
      <sz val="11"/>
      <name val="Calibri"/>
      <family val="2"/>
      <scheme val="minor"/>
    </font>
    <font>
      <b/>
      <sz val="20"/>
      <color indexed="9"/>
      <name val="Tahoma"/>
      <family val="2"/>
    </font>
    <font>
      <sz val="14"/>
      <color indexed="10"/>
      <name val="Tahoma"/>
      <family val="2"/>
    </font>
    <font>
      <sz val="10"/>
      <color indexed="10"/>
      <name val="Tahoma"/>
      <family val="2"/>
    </font>
    <font>
      <b/>
      <sz val="11"/>
      <color indexed="12"/>
      <name val="Tahoma"/>
      <family val="2"/>
    </font>
    <font>
      <sz val="10"/>
      <color indexed="8"/>
      <name val="Tahoma"/>
      <family val="2"/>
    </font>
    <font>
      <sz val="11"/>
      <color rgb="FF444444"/>
      <name val="Calibri"/>
      <family val="2"/>
      <scheme val="minor"/>
    </font>
    <font>
      <b/>
      <sz val="20"/>
      <color theme="1"/>
      <name val="Calibri"/>
      <family val="2"/>
      <scheme val="minor"/>
    </font>
    <font>
      <i/>
      <sz val="11"/>
      <color rgb="FFFF0000"/>
      <name val="Calibri"/>
      <family val="2"/>
      <scheme val="minor"/>
    </font>
    <font>
      <sz val="9"/>
      <name val="Arial"/>
      <family val="2"/>
    </font>
  </fonts>
  <fills count="2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
      <patternFill patternType="solid">
        <fgColor rgb="FF4682B4"/>
        <bgColor indexed="64"/>
      </patternFill>
    </fill>
    <fill>
      <patternFill patternType="solid">
        <fgColor rgb="FF6495ED"/>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6"/>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5"/>
        <bgColor indexed="64"/>
      </patternFill>
    </fill>
    <fill>
      <patternFill patternType="solid">
        <fgColor indexed="9"/>
        <bgColor indexed="0"/>
      </patternFill>
    </fill>
    <fill>
      <patternFill patternType="solid">
        <fgColor indexed="13"/>
        <bgColor indexed="0"/>
      </patternFill>
    </fill>
    <fill>
      <patternFill patternType="solid">
        <fgColor theme="3" tint="0.79998168889431442"/>
        <bgColor indexed="64"/>
      </patternFill>
    </fill>
    <fill>
      <patternFill patternType="solid">
        <fgColor rgb="FF00B0F0"/>
        <bgColor indexed="64"/>
      </patternFill>
    </fill>
  </fills>
  <borders count="63">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8"/>
      </bottom>
      <diagonal/>
    </border>
    <border>
      <left style="medium">
        <color rgb="FFD3D3D3"/>
      </left>
      <right style="medium">
        <color rgb="FFD3D3D3"/>
      </right>
      <top style="medium">
        <color rgb="FFD3D3D3"/>
      </top>
      <bottom style="medium">
        <color rgb="FFD3D3D3"/>
      </bottom>
      <diagonal/>
    </border>
    <border>
      <left/>
      <right/>
      <top/>
      <bottom style="medium">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11"/>
      </left>
      <right style="thin">
        <color indexed="11"/>
      </right>
      <top style="thin">
        <color indexed="11"/>
      </top>
      <bottom style="thin">
        <color indexed="11"/>
      </bottom>
      <diagonal/>
    </border>
    <border>
      <left/>
      <right/>
      <top style="thin">
        <color auto="1"/>
      </top>
      <bottom/>
      <diagonal/>
    </border>
    <border>
      <left style="thin">
        <color indexed="64"/>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s>
  <cellStyleXfs count="1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xf numFmtId="0" fontId="1" fillId="0" borderId="0"/>
    <xf numFmtId="0" fontId="16" fillId="0" borderId="0"/>
    <xf numFmtId="0" fontId="16" fillId="0" borderId="0"/>
    <xf numFmtId="43" fontId="16" fillId="0" borderId="0" applyFont="0" applyFill="0" applyBorder="0" applyAlignment="0" applyProtection="0"/>
    <xf numFmtId="0" fontId="1" fillId="0" borderId="0"/>
    <xf numFmtId="0" fontId="41" fillId="0" borderId="0"/>
    <xf numFmtId="0" fontId="44" fillId="0" borderId="0" applyNumberFormat="0" applyFill="0" applyBorder="0" applyAlignment="0" applyProtection="0"/>
    <xf numFmtId="0" fontId="16" fillId="0" borderId="0"/>
  </cellStyleXfs>
  <cellXfs count="1095">
    <xf numFmtId="0" fontId="0" fillId="0" borderId="0" xfId="0"/>
    <xf numFmtId="0" fontId="0" fillId="0" borderId="0" xfId="0" applyNumberFormat="1" applyFont="1" applyFill="1" applyAlignment="1">
      <alignment horizontal="center"/>
    </xf>
    <xf numFmtId="0" fontId="0" fillId="0" borderId="0" xfId="0" applyFont="1" applyFill="1"/>
    <xf numFmtId="1" fontId="0" fillId="0" borderId="0" xfId="0" applyNumberFormat="1" applyFont="1" applyFill="1" applyAlignment="1">
      <alignment horizontal="center"/>
    </xf>
    <xf numFmtId="0" fontId="0" fillId="0" borderId="0" xfId="0" applyFill="1"/>
    <xf numFmtId="0" fontId="0" fillId="2" borderId="0" xfId="0" applyFill="1"/>
    <xf numFmtId="0" fontId="4" fillId="0" borderId="0" xfId="0" applyNumberFormat="1" applyFont="1" applyFill="1" applyAlignment="1">
      <alignment horizontal="center"/>
    </xf>
    <xf numFmtId="0" fontId="4" fillId="0" borderId="0" xfId="0" applyFont="1" applyAlignment="1">
      <alignment horizontal="left" vertical="top"/>
    </xf>
    <xf numFmtId="0" fontId="4" fillId="2" borderId="0" xfId="0" applyFont="1" applyFill="1" applyAlignment="1">
      <alignment horizontal="center"/>
    </xf>
    <xf numFmtId="0" fontId="6" fillId="3" borderId="0" xfId="0" applyFont="1" applyFill="1" applyAlignment="1">
      <alignment wrapText="1"/>
    </xf>
    <xf numFmtId="0" fontId="6" fillId="2" borderId="0" xfId="0" applyFont="1" applyFill="1" applyAlignment="1">
      <alignment horizontal="center"/>
    </xf>
    <xf numFmtId="0" fontId="8" fillId="0" borderId="0" xfId="0" applyFont="1" applyAlignment="1">
      <alignment horizontal="left" vertical="top"/>
    </xf>
    <xf numFmtId="0" fontId="6" fillId="0" borderId="0" xfId="0" applyFont="1" applyFill="1" applyAlignment="1">
      <alignment wrapText="1"/>
    </xf>
    <xf numFmtId="0" fontId="4" fillId="0" borderId="0" xfId="0" applyNumberFormat="1" applyFont="1" applyFill="1" applyAlignment="1">
      <alignment horizontal="left"/>
    </xf>
    <xf numFmtId="0" fontId="4" fillId="0" borderId="0" xfId="0" applyFont="1" applyAlignment="1">
      <alignment horizontal="left" vertical="top" wrapText="1"/>
    </xf>
    <xf numFmtId="0" fontId="6" fillId="0" borderId="0" xfId="0" applyFont="1" applyFill="1" applyAlignment="1">
      <alignment horizontal="left" wrapText="1"/>
    </xf>
    <xf numFmtId="0" fontId="4" fillId="0" borderId="0" xfId="0" applyFont="1" applyAlignment="1">
      <alignment horizontal="left"/>
    </xf>
    <xf numFmtId="0" fontId="4" fillId="2" borderId="0" xfId="0" applyFont="1" applyFill="1" applyAlignment="1">
      <alignment horizontal="left"/>
    </xf>
    <xf numFmtId="0" fontId="4" fillId="0" borderId="0" xfId="0" applyFont="1" applyAlignment="1">
      <alignment horizontal="left" wrapText="1"/>
    </xf>
    <xf numFmtId="0" fontId="4" fillId="0" borderId="0" xfId="0" applyNumberFormat="1" applyFont="1" applyFill="1" applyBorder="1" applyAlignment="1">
      <alignment horizontal="center"/>
    </xf>
    <xf numFmtId="0" fontId="4" fillId="0" borderId="0" xfId="0" applyFont="1" applyFill="1" applyAlignment="1">
      <alignment horizontal="center"/>
    </xf>
    <xf numFmtId="0" fontId="0" fillId="0" borderId="0" xfId="0" applyFill="1" applyAlignment="1">
      <alignment horizontal="left" vertical="top"/>
    </xf>
    <xf numFmtId="0" fontId="3" fillId="0" borderId="0" xfId="0" applyNumberFormat="1" applyFont="1" applyFill="1" applyAlignment="1">
      <alignment horizontal="center" vertical="top" wrapText="1"/>
    </xf>
    <xf numFmtId="0" fontId="3" fillId="0" borderId="0" xfId="0" applyFont="1" applyFill="1" applyAlignment="1">
      <alignment horizontal="center" vertical="top" wrapText="1"/>
    </xf>
    <xf numFmtId="164" fontId="0" fillId="0" borderId="0" xfId="2" applyNumberFormat="1" applyFont="1" applyFill="1" applyAlignment="1">
      <alignment horizontal="left" vertical="top"/>
    </xf>
    <xf numFmtId="44" fontId="0" fillId="0" borderId="0" xfId="2" applyFont="1" applyFill="1"/>
    <xf numFmtId="165" fontId="0" fillId="0" borderId="0" xfId="0" applyNumberFormat="1" applyFont="1" applyFill="1" applyAlignment="1">
      <alignment horizontal="center"/>
    </xf>
    <xf numFmtId="0" fontId="0" fillId="0" borderId="0" xfId="0" applyNumberFormat="1" applyFont="1" applyFill="1"/>
    <xf numFmtId="0" fontId="2" fillId="2" borderId="0" xfId="0" applyFont="1" applyFill="1" applyAlignment="1">
      <alignment horizontal="center"/>
    </xf>
    <xf numFmtId="0" fontId="6" fillId="0" borderId="0" xfId="0" applyFont="1" applyFill="1" applyAlignment="1">
      <alignment horizontal="center" textRotation="90" wrapText="1"/>
    </xf>
    <xf numFmtId="0" fontId="0" fillId="0" borderId="0" xfId="0" applyFont="1" applyAlignment="1">
      <alignment horizontal="center" wrapText="1"/>
    </xf>
    <xf numFmtId="0" fontId="0" fillId="0" borderId="0" xfId="0" applyFont="1" applyFill="1" applyAlignment="1">
      <alignment horizontal="center" wrapText="1"/>
    </xf>
    <xf numFmtId="0" fontId="6" fillId="0" borderId="0" xfId="0" applyFont="1" applyFill="1" applyAlignment="1">
      <alignment horizontal="center"/>
    </xf>
    <xf numFmtId="0" fontId="4" fillId="0" borderId="0" xfId="0" applyFont="1" applyBorder="1" applyAlignment="1">
      <alignment horizontal="center"/>
    </xf>
    <xf numFmtId="0" fontId="4" fillId="5" borderId="2" xfId="0" applyFont="1" applyFill="1" applyBorder="1" applyAlignment="1">
      <alignment textRotation="90"/>
    </xf>
    <xf numFmtId="164" fontId="0" fillId="5" borderId="3" xfId="0" applyNumberFormat="1" applyFill="1" applyBorder="1"/>
    <xf numFmtId="0" fontId="4" fillId="5" borderId="2" xfId="0" applyFont="1" applyFill="1" applyBorder="1" applyAlignment="1">
      <alignment horizontal="center" textRotation="90"/>
    </xf>
    <xf numFmtId="0" fontId="4" fillId="0" borderId="0" xfId="0" applyFont="1" applyFill="1" applyAlignment="1">
      <alignment horizontal="left"/>
    </xf>
    <xf numFmtId="164" fontId="4" fillId="0" borderId="0" xfId="0" applyNumberFormat="1" applyFont="1" applyFill="1" applyAlignment="1">
      <alignment horizontal="left"/>
    </xf>
    <xf numFmtId="164" fontId="0" fillId="0" borderId="0" xfId="2" applyNumberFormat="1" applyFont="1" applyFill="1"/>
    <xf numFmtId="0" fontId="0" fillId="6" borderId="0" xfId="0" applyFill="1"/>
    <xf numFmtId="0" fontId="9" fillId="6" borderId="0" xfId="0" applyFont="1" applyFill="1" applyProtection="1">
      <protection locked="0"/>
    </xf>
    <xf numFmtId="0" fontId="10" fillId="6" borderId="0" xfId="0" applyFont="1" applyFill="1" applyProtection="1">
      <protection locked="0"/>
    </xf>
    <xf numFmtId="0" fontId="11" fillId="6" borderId="0" xfId="0" applyFont="1" applyFill="1" applyProtection="1">
      <protection locked="0"/>
    </xf>
    <xf numFmtId="0" fontId="11" fillId="6" borderId="1" xfId="0" applyFont="1" applyFill="1" applyBorder="1" applyProtection="1">
      <protection locked="0"/>
    </xf>
    <xf numFmtId="0" fontId="11" fillId="6" borderId="7" xfId="0" applyFont="1" applyFill="1" applyBorder="1" applyProtection="1">
      <protection locked="0"/>
    </xf>
    <xf numFmtId="0" fontId="11" fillId="0" borderId="0" xfId="0" applyFont="1" applyBorder="1" applyAlignment="1">
      <alignment horizontal="center" wrapText="1"/>
    </xf>
    <xf numFmtId="164" fontId="0" fillId="5" borderId="3" xfId="2" applyNumberFormat="1" applyFont="1" applyFill="1" applyBorder="1" applyAlignment="1">
      <alignment horizontal="center"/>
    </xf>
    <xf numFmtId="44" fontId="4" fillId="0" borderId="0" xfId="2" applyFont="1" applyAlignment="1">
      <alignment horizontal="left"/>
    </xf>
    <xf numFmtId="164" fontId="4" fillId="0" borderId="0" xfId="0" applyNumberFormat="1" applyFont="1" applyAlignment="1">
      <alignment horizontal="left"/>
    </xf>
    <xf numFmtId="9" fontId="0" fillId="0" borderId="0" xfId="3" applyFont="1" applyFill="1"/>
    <xf numFmtId="0" fontId="6" fillId="6" borderId="0" xfId="0" applyFont="1" applyFill="1" applyAlignment="1">
      <alignment horizontal="center"/>
    </xf>
    <xf numFmtId="0" fontId="7" fillId="0" borderId="0" xfId="0" applyFont="1" applyFill="1" applyAlignment="1">
      <alignment horizontal="left" vertical="top"/>
    </xf>
    <xf numFmtId="0" fontId="6" fillId="0" borderId="0" xfId="0" applyNumberFormat="1" applyFont="1" applyFill="1" applyAlignment="1">
      <alignment horizontal="center"/>
    </xf>
    <xf numFmtId="0" fontId="4" fillId="0" borderId="0" xfId="0" applyFont="1" applyFill="1" applyAlignment="1">
      <alignment horizontal="left" vertical="top"/>
    </xf>
    <xf numFmtId="0" fontId="4" fillId="5" borderId="2" xfId="0" applyFont="1" applyFill="1" applyBorder="1" applyAlignment="1">
      <alignment vertical="center" textRotation="90"/>
    </xf>
    <xf numFmtId="9" fontId="4" fillId="5" borderId="3" xfId="3" applyFont="1" applyFill="1" applyBorder="1" applyAlignment="1">
      <alignment horizontal="center"/>
    </xf>
    <xf numFmtId="0" fontId="0" fillId="5" borderId="9" xfId="0" applyFill="1" applyBorder="1"/>
    <xf numFmtId="3" fontId="16" fillId="0" borderId="0" xfId="0" applyNumberFormat="1" applyFont="1" applyFill="1"/>
    <xf numFmtId="3" fontId="17" fillId="0" borderId="0" xfId="4" applyNumberFormat="1" applyFont="1" applyFill="1"/>
    <xf numFmtId="0" fontId="17" fillId="0" borderId="0" xfId="4" applyNumberFormat="1" applyFont="1" applyFill="1"/>
    <xf numFmtId="0" fontId="17" fillId="0" borderId="0" xfId="4" applyFont="1" applyFill="1"/>
    <xf numFmtId="0" fontId="18" fillId="0" borderId="0" xfId="0" applyFont="1" applyFill="1" applyAlignment="1" applyProtection="1">
      <alignment horizontal="left"/>
    </xf>
    <xf numFmtId="0" fontId="17" fillId="0" borderId="0" xfId="0" applyFont="1" applyFill="1" applyAlignment="1">
      <alignment horizontal="center"/>
    </xf>
    <xf numFmtId="0" fontId="11" fillId="0" borderId="0" xfId="0" applyFont="1" applyAlignment="1">
      <alignment horizontal="center" wrapText="1"/>
    </xf>
    <xf numFmtId="3" fontId="20" fillId="0" borderId="0" xfId="0" applyNumberFormat="1" applyFont="1" applyFill="1"/>
    <xf numFmtId="3" fontId="20" fillId="0" borderId="0" xfId="0" applyNumberFormat="1" applyFont="1" applyFill="1" applyAlignment="1">
      <alignment horizontal="left"/>
    </xf>
    <xf numFmtId="0" fontId="20" fillId="0" borderId="0" xfId="0" applyFont="1" applyFill="1" applyAlignment="1">
      <alignment horizontal="center"/>
    </xf>
    <xf numFmtId="3" fontId="20" fillId="0" borderId="0" xfId="0" applyNumberFormat="1" applyFont="1" applyFill="1" applyBorder="1" applyAlignment="1">
      <alignment horizontal="right"/>
    </xf>
    <xf numFmtId="3" fontId="0" fillId="0" borderId="0" xfId="0" applyNumberFormat="1" applyFill="1"/>
    <xf numFmtId="165" fontId="20" fillId="0" borderId="0" xfId="0" applyNumberFormat="1" applyFont="1" applyFill="1"/>
    <xf numFmtId="165" fontId="20" fillId="0" borderId="0" xfId="0" applyNumberFormat="1" applyFont="1" applyFill="1" applyAlignment="1">
      <alignment horizontal="left"/>
    </xf>
    <xf numFmtId="3" fontId="21" fillId="0" borderId="0" xfId="0" applyNumberFormat="1" applyFont="1" applyFill="1" applyAlignment="1"/>
    <xf numFmtId="3" fontId="17" fillId="0" borderId="0" xfId="0" applyNumberFormat="1" applyFont="1" applyFill="1"/>
    <xf numFmtId="0" fontId="17" fillId="0" borderId="0" xfId="0" applyNumberFormat="1" applyFont="1" applyFill="1"/>
    <xf numFmtId="0" fontId="17" fillId="0" borderId="0" xfId="0" applyFont="1" applyFill="1"/>
    <xf numFmtId="49" fontId="22" fillId="0" borderId="0" xfId="0" applyNumberFormat="1" applyFont="1" applyFill="1" applyAlignment="1">
      <alignment horizontal="center"/>
    </xf>
    <xf numFmtId="3" fontId="22" fillId="0" borderId="0" xfId="0" applyNumberFormat="1" applyFont="1" applyFill="1" applyAlignment="1">
      <alignment horizontal="right"/>
    </xf>
    <xf numFmtId="0" fontId="22" fillId="0" borderId="0" xfId="0" applyFont="1" applyFill="1" applyAlignment="1" applyProtection="1">
      <alignment horizontal="right" wrapText="1" readingOrder="1"/>
      <protection locked="0"/>
    </xf>
    <xf numFmtId="3" fontId="20" fillId="0" borderId="0" xfId="4" applyNumberFormat="1" applyFont="1" applyFill="1" applyAlignment="1"/>
    <xf numFmtId="0" fontId="16" fillId="0" borderId="0" xfId="0" applyFont="1" applyFill="1"/>
    <xf numFmtId="3" fontId="16" fillId="0" borderId="0" xfId="0" applyNumberFormat="1" applyFont="1" applyFill="1" applyAlignment="1"/>
    <xf numFmtId="3" fontId="20" fillId="0" borderId="0" xfId="0" applyNumberFormat="1" applyFont="1" applyFill="1" applyBorder="1"/>
    <xf numFmtId="0" fontId="20" fillId="0" borderId="0" xfId="0" applyNumberFormat="1" applyFont="1" applyFill="1" applyBorder="1"/>
    <xf numFmtId="0" fontId="20" fillId="0" borderId="0" xfId="0" applyFont="1" applyFill="1" applyBorder="1"/>
    <xf numFmtId="0" fontId="17" fillId="0" borderId="0" xfId="0" applyFont="1" applyFill="1" applyBorder="1"/>
    <xf numFmtId="3" fontId="20" fillId="0" borderId="0" xfId="0" applyNumberFormat="1" applyFont="1" applyFill="1" applyAlignment="1"/>
    <xf numFmtId="3" fontId="17" fillId="0" borderId="0" xfId="0" applyNumberFormat="1" applyFont="1" applyFill="1" applyBorder="1"/>
    <xf numFmtId="0" fontId="17" fillId="0" borderId="0" xfId="0" applyNumberFormat="1" applyFont="1" applyFill="1" applyBorder="1"/>
    <xf numFmtId="3" fontId="19" fillId="0" borderId="0" xfId="0" applyNumberFormat="1" applyFont="1" applyFill="1" applyAlignment="1">
      <alignment horizontal="right"/>
    </xf>
    <xf numFmtId="0" fontId="20" fillId="0" borderId="0" xfId="0" applyFont="1" applyFill="1"/>
    <xf numFmtId="1" fontId="23" fillId="0" borderId="0" xfId="0" applyNumberFormat="1" applyFont="1" applyFill="1"/>
    <xf numFmtId="0" fontId="19" fillId="0" borderId="0" xfId="0" applyFont="1" applyFill="1" applyAlignment="1">
      <alignment horizontal="left"/>
    </xf>
    <xf numFmtId="0" fontId="20" fillId="0" borderId="0" xfId="0" applyNumberFormat="1" applyFont="1" applyFill="1"/>
    <xf numFmtId="1" fontId="17" fillId="0" borderId="0" xfId="0" applyNumberFormat="1" applyFont="1" applyFill="1"/>
    <xf numFmtId="3" fontId="17" fillId="0" borderId="0" xfId="0" applyNumberFormat="1" applyFont="1" applyFill="1" applyAlignment="1"/>
    <xf numFmtId="3" fontId="17" fillId="0" borderId="0" xfId="4" applyNumberFormat="1" applyFont="1" applyFill="1" applyAlignment="1"/>
    <xf numFmtId="0" fontId="22" fillId="0" borderId="0" xfId="0" applyFont="1" applyFill="1" applyBorder="1"/>
    <xf numFmtId="3" fontId="22" fillId="0" borderId="0" xfId="0" applyNumberFormat="1" applyFont="1" applyFill="1" applyAlignment="1"/>
    <xf numFmtId="0" fontId="22" fillId="0" borderId="0" xfId="0" applyFont="1" applyFill="1" applyAlignment="1" applyProtection="1">
      <alignment wrapText="1" readingOrder="1"/>
      <protection locked="0"/>
    </xf>
    <xf numFmtId="0" fontId="15" fillId="0" borderId="0" xfId="0" applyFont="1" applyFill="1"/>
    <xf numFmtId="0" fontId="22" fillId="0" borderId="0" xfId="5" applyFont="1" applyFill="1" applyAlignment="1" applyProtection="1">
      <alignment horizontal="right" wrapText="1" readingOrder="1"/>
      <protection locked="0"/>
    </xf>
    <xf numFmtId="3" fontId="22" fillId="0" borderId="0" xfId="0" applyNumberFormat="1" applyFont="1" applyFill="1" applyBorder="1" applyAlignment="1">
      <alignment horizontal="right" readingOrder="1"/>
    </xf>
    <xf numFmtId="165" fontId="22" fillId="0" borderId="0" xfId="0" applyNumberFormat="1" applyFont="1" applyFill="1" applyAlignment="1" applyProtection="1">
      <alignment horizontal="left"/>
      <protection locked="0"/>
    </xf>
    <xf numFmtId="0" fontId="22" fillId="0" borderId="0" xfId="0" applyFont="1" applyFill="1" applyAlignment="1">
      <alignment horizontal="left"/>
    </xf>
    <xf numFmtId="0" fontId="24" fillId="0" borderId="0" xfId="0" applyFont="1" applyFill="1" applyAlignment="1" applyProtection="1">
      <alignment horizontal="right" wrapText="1" readingOrder="1"/>
      <protection locked="0"/>
    </xf>
    <xf numFmtId="0" fontId="22" fillId="0" borderId="0" xfId="0" applyFont="1" applyFill="1" applyBorder="1" applyAlignment="1" applyProtection="1">
      <alignment horizontal="right" wrapText="1" readingOrder="1"/>
      <protection locked="0"/>
    </xf>
    <xf numFmtId="1" fontId="19" fillId="0" borderId="0" xfId="0" applyNumberFormat="1" applyFont="1" applyFill="1" applyAlignment="1">
      <alignment horizontal="left"/>
    </xf>
    <xf numFmtId="3" fontId="17" fillId="0" borderId="0" xfId="0" applyNumberFormat="1" applyFont="1" applyFill="1" applyAlignment="1">
      <alignment horizontal="right"/>
    </xf>
    <xf numFmtId="0" fontId="17" fillId="0" borderId="0" xfId="7" quotePrefix="1" applyNumberFormat="1" applyFont="1" applyAlignment="1">
      <alignment horizontal="left"/>
    </xf>
    <xf numFmtId="49" fontId="17" fillId="0" borderId="0" xfId="7" applyNumberFormat="1" applyFont="1" applyAlignment="1">
      <alignment horizontal="left"/>
    </xf>
    <xf numFmtId="49" fontId="17" fillId="0" borderId="0" xfId="7" applyNumberFormat="1" applyFont="1"/>
    <xf numFmtId="0" fontId="17" fillId="0" borderId="0" xfId="7" applyNumberFormat="1" applyFont="1" applyAlignment="1">
      <alignment horizontal="left"/>
    </xf>
    <xf numFmtId="0" fontId="26" fillId="0" borderId="0" xfId="7" applyNumberFormat="1" applyFont="1" applyBorder="1" applyAlignment="1" applyProtection="1">
      <alignment horizontal="left" vertical="center" readingOrder="1"/>
      <protection locked="0"/>
    </xf>
    <xf numFmtId="165" fontId="17" fillId="0" borderId="0" xfId="7" applyNumberFormat="1" applyFont="1" applyAlignment="1">
      <alignment horizontal="left"/>
    </xf>
    <xf numFmtId="0" fontId="0" fillId="4" borderId="0" xfId="0" applyFill="1"/>
    <xf numFmtId="0" fontId="4" fillId="4" borderId="0" xfId="0" applyFont="1" applyFill="1" applyAlignment="1">
      <alignment horizontal="center"/>
    </xf>
    <xf numFmtId="0" fontId="28" fillId="0" borderId="0" xfId="0" applyFont="1" applyFill="1"/>
    <xf numFmtId="0" fontId="28" fillId="0" borderId="0" xfId="0" applyFont="1" applyFill="1" applyBorder="1"/>
    <xf numFmtId="0" fontId="11" fillId="0" borderId="0" xfId="0" applyFont="1" applyAlignment="1">
      <alignment horizontal="center"/>
    </xf>
    <xf numFmtId="166" fontId="0" fillId="5" borderId="3" xfId="1" applyNumberFormat="1" applyFont="1" applyFill="1" applyBorder="1" applyAlignment="1">
      <alignment horizontal="center"/>
    </xf>
    <xf numFmtId="9" fontId="1" fillId="5" borderId="3" xfId="3" applyFont="1" applyFill="1" applyBorder="1" applyAlignment="1">
      <alignment horizontal="center"/>
    </xf>
    <xf numFmtId="166" fontId="0" fillId="5" borderId="3" xfId="1" applyNumberFormat="1" applyFont="1" applyFill="1" applyBorder="1" applyAlignment="1">
      <alignment horizontal="left"/>
    </xf>
    <xf numFmtId="166" fontId="1" fillId="5" borderId="3" xfId="1" applyNumberFormat="1" applyFont="1" applyFill="1" applyBorder="1" applyAlignment="1">
      <alignment horizontal="center"/>
    </xf>
    <xf numFmtId="166" fontId="0" fillId="0" borderId="0" xfId="1" applyNumberFormat="1" applyFont="1"/>
    <xf numFmtId="15" fontId="0" fillId="0" borderId="0" xfId="0" applyNumberFormat="1"/>
    <xf numFmtId="0" fontId="30" fillId="7" borderId="0" xfId="0" applyFont="1" applyFill="1" applyAlignment="1">
      <alignment vertical="center" wrapText="1"/>
    </xf>
    <xf numFmtId="166" fontId="0" fillId="0" borderId="0" xfId="1" applyNumberFormat="1" applyFont="1" applyAlignment="1"/>
    <xf numFmtId="0" fontId="0" fillId="0" borderId="0" xfId="0" applyAlignment="1">
      <alignment wrapText="1"/>
    </xf>
    <xf numFmtId="0" fontId="0" fillId="0" borderId="0" xfId="0" applyAlignment="1">
      <alignment horizontal="center"/>
    </xf>
    <xf numFmtId="0" fontId="0" fillId="0" borderId="0" xfId="0" applyAlignment="1">
      <alignment horizontal="center"/>
    </xf>
    <xf numFmtId="9" fontId="0" fillId="0" borderId="0" xfId="3" applyFont="1"/>
    <xf numFmtId="0" fontId="0" fillId="0" borderId="0" xfId="0" applyAlignment="1">
      <alignment horizontal="right"/>
    </xf>
    <xf numFmtId="1" fontId="0" fillId="0" borderId="0" xfId="0" applyNumberFormat="1"/>
    <xf numFmtId="166" fontId="0" fillId="0" borderId="0" xfId="0" applyNumberFormat="1"/>
    <xf numFmtId="43" fontId="0" fillId="0" borderId="0" xfId="0" applyNumberFormat="1"/>
    <xf numFmtId="49" fontId="0" fillId="0" borderId="0" xfId="0" applyNumberFormat="1"/>
    <xf numFmtId="49" fontId="4" fillId="0" borderId="0" xfId="0" applyNumberFormat="1" applyFont="1"/>
    <xf numFmtId="0" fontId="4" fillId="0" borderId="0" xfId="0" applyFont="1"/>
    <xf numFmtId="0" fontId="0" fillId="0" borderId="0" xfId="0" applyNumberFormat="1" applyAlignment="1">
      <alignment horizontal="right"/>
    </xf>
    <xf numFmtId="0" fontId="0" fillId="0" borderId="0" xfId="0" applyNumberFormat="1"/>
    <xf numFmtId="168" fontId="0" fillId="5" borderId="3" xfId="3" applyNumberFormat="1" applyFont="1" applyFill="1" applyBorder="1" applyAlignment="1">
      <alignment horizontal="right"/>
    </xf>
    <xf numFmtId="169" fontId="0" fillId="0" borderId="0" xfId="0" applyNumberFormat="1"/>
    <xf numFmtId="9" fontId="4" fillId="3" borderId="6" xfId="0" applyNumberFormat="1" applyFont="1" applyFill="1" applyBorder="1" applyAlignment="1">
      <alignment horizontal="center"/>
    </xf>
    <xf numFmtId="0" fontId="0" fillId="2" borderId="0" xfId="0" applyFill="1" applyAlignment="1">
      <alignment horizontal="center"/>
    </xf>
    <xf numFmtId="0" fontId="0" fillId="3" borderId="0" xfId="0" applyFill="1"/>
    <xf numFmtId="167" fontId="0" fillId="0" borderId="0" xfId="0" applyNumberFormat="1"/>
    <xf numFmtId="0" fontId="4" fillId="4" borderId="0" xfId="0" applyFont="1" applyFill="1" applyBorder="1"/>
    <xf numFmtId="0" fontId="10" fillId="2" borderId="0" xfId="0" applyFont="1" applyFill="1" applyAlignment="1">
      <alignment horizontal="center"/>
    </xf>
    <xf numFmtId="0" fontId="11" fillId="0" borderId="0" xfId="0" applyFont="1" applyFill="1"/>
    <xf numFmtId="0" fontId="11" fillId="2" borderId="0" xfId="0" applyFont="1" applyFill="1"/>
    <xf numFmtId="0" fontId="11" fillId="2" borderId="0" xfId="0" applyFont="1" applyFill="1" applyAlignment="1">
      <alignment horizontal="center" wrapText="1"/>
    </xf>
    <xf numFmtId="0" fontId="14" fillId="0" borderId="0" xfId="0" applyFont="1" applyFill="1" applyAlignment="1">
      <alignment horizontal="center" wrapText="1"/>
    </xf>
    <xf numFmtId="0" fontId="11" fillId="2" borderId="7" xfId="0" applyFont="1" applyFill="1" applyBorder="1"/>
    <xf numFmtId="0" fontId="11" fillId="0" borderId="0" xfId="0" applyFont="1" applyFill="1" applyBorder="1"/>
    <xf numFmtId="166" fontId="0" fillId="5" borderId="9" xfId="1" applyNumberFormat="1" applyFont="1" applyFill="1" applyBorder="1" applyAlignment="1">
      <alignment horizontal="center"/>
    </xf>
    <xf numFmtId="166" fontId="0" fillId="2" borderId="3" xfId="1" applyNumberFormat="1" applyFont="1" applyFill="1" applyBorder="1" applyAlignment="1">
      <alignment horizontal="center"/>
    </xf>
    <xf numFmtId="166" fontId="0" fillId="5" borderId="2" xfId="1" applyNumberFormat="1" applyFont="1" applyFill="1" applyBorder="1" applyAlignment="1">
      <alignment horizontal="center"/>
    </xf>
    <xf numFmtId="0" fontId="4" fillId="5" borderId="9" xfId="0" applyFont="1" applyFill="1" applyBorder="1" applyAlignment="1">
      <alignment horizontal="center"/>
    </xf>
    <xf numFmtId="0" fontId="4" fillId="5" borderId="2" xfId="0" applyFont="1" applyFill="1" applyBorder="1" applyAlignment="1">
      <alignment horizontal="center"/>
    </xf>
    <xf numFmtId="49" fontId="0" fillId="0" borderId="0" xfId="0" applyNumberFormat="1" applyAlignment="1">
      <alignment horizontal="right"/>
    </xf>
    <xf numFmtId="2" fontId="17" fillId="0" borderId="0" xfId="7" applyNumberFormat="1" applyFont="1" applyBorder="1"/>
    <xf numFmtId="49" fontId="35" fillId="0" borderId="0" xfId="0" applyNumberFormat="1" applyFont="1"/>
    <xf numFmtId="49" fontId="36" fillId="0" borderId="0" xfId="9" applyNumberFormat="1" applyFont="1"/>
    <xf numFmtId="49" fontId="0" fillId="11" borderId="0" xfId="0" applyNumberFormat="1" applyFill="1"/>
    <xf numFmtId="0" fontId="0" fillId="11" borderId="0" xfId="0" applyFill="1"/>
    <xf numFmtId="0" fontId="0" fillId="11" borderId="0" xfId="0" applyFill="1" applyAlignment="1">
      <alignment horizontal="right"/>
    </xf>
    <xf numFmtId="2" fontId="17" fillId="0" borderId="0" xfId="7" applyNumberFormat="1" applyFont="1" applyAlignment="1">
      <alignment horizontal="left"/>
    </xf>
    <xf numFmtId="166"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center" wrapText="1"/>
    </xf>
    <xf numFmtId="16" fontId="0" fillId="0" borderId="0" xfId="0" applyNumberFormat="1" applyAlignment="1">
      <alignment horizontal="center" wrapText="1"/>
    </xf>
    <xf numFmtId="0" fontId="16" fillId="0" borderId="0" xfId="0" applyFont="1"/>
    <xf numFmtId="41" fontId="16" fillId="0" borderId="0" xfId="0" applyNumberFormat="1" applyFont="1" applyAlignment="1"/>
    <xf numFmtId="41" fontId="16" fillId="0" borderId="0" xfId="0" applyNumberFormat="1" applyFont="1"/>
    <xf numFmtId="0" fontId="16" fillId="0" borderId="0" xfId="0" applyFont="1" applyAlignment="1">
      <alignment horizontal="center"/>
    </xf>
    <xf numFmtId="0" fontId="2" fillId="4" borderId="0" xfId="0" applyFont="1" applyFill="1" applyAlignment="1"/>
    <xf numFmtId="0" fontId="2" fillId="2" borderId="0" xfId="0" applyFont="1" applyFill="1" applyAlignment="1"/>
    <xf numFmtId="0" fontId="0" fillId="2" borderId="0" xfId="0" applyFont="1" applyFill="1" applyAlignment="1">
      <alignment horizontal="center" wrapText="1"/>
    </xf>
    <xf numFmtId="0" fontId="4" fillId="2" borderId="13" xfId="0" applyFont="1" applyFill="1" applyBorder="1" applyAlignment="1">
      <alignment horizontal="center"/>
    </xf>
    <xf numFmtId="164" fontId="0" fillId="2" borderId="12" xfId="0" applyNumberFormat="1" applyFill="1" applyBorder="1"/>
    <xf numFmtId="164" fontId="4" fillId="2" borderId="0" xfId="0" applyNumberFormat="1" applyFont="1" applyFill="1" applyAlignment="1">
      <alignment horizontal="left"/>
    </xf>
    <xf numFmtId="164" fontId="0" fillId="2" borderId="0" xfId="2" applyNumberFormat="1" applyFont="1" applyFill="1"/>
    <xf numFmtId="0" fontId="4" fillId="0" borderId="2" xfId="0" applyFont="1" applyBorder="1" applyAlignment="1">
      <alignment horizontal="center" textRotation="90" wrapText="1"/>
    </xf>
    <xf numFmtId="0" fontId="4" fillId="3" borderId="3" xfId="0" applyFont="1" applyFill="1" applyBorder="1" applyAlignment="1">
      <alignment horizontal="center"/>
    </xf>
    <xf numFmtId="0" fontId="4" fillId="3" borderId="9" xfId="0" applyFont="1" applyFill="1" applyBorder="1" applyAlignment="1">
      <alignment horizontal="center"/>
    </xf>
    <xf numFmtId="164" fontId="0" fillId="5" borderId="9" xfId="0" applyNumberFormat="1" applyFill="1" applyBorder="1"/>
    <xf numFmtId="43" fontId="0" fillId="0" borderId="0" xfId="1" applyFont="1" applyFill="1"/>
    <xf numFmtId="0" fontId="12" fillId="6" borderId="0" xfId="0" applyFont="1" applyFill="1"/>
    <xf numFmtId="0" fontId="4" fillId="0" borderId="0" xfId="0" applyFont="1" applyAlignment="1">
      <alignment horizontal="center"/>
    </xf>
    <xf numFmtId="164" fontId="0" fillId="0" borderId="0" xfId="0" applyNumberFormat="1" applyFill="1"/>
    <xf numFmtId="164" fontId="0" fillId="5" borderId="2" xfId="0" applyNumberFormat="1" applyFill="1" applyBorder="1"/>
    <xf numFmtId="0" fontId="4" fillId="0" borderId="13" xfId="0" applyFont="1" applyBorder="1" applyAlignment="1">
      <alignment horizontal="center"/>
    </xf>
    <xf numFmtId="0" fontId="0" fillId="3" borderId="0" xfId="0" applyFill="1" applyAlignment="1">
      <alignment horizontal="center" wrapText="1"/>
    </xf>
    <xf numFmtId="0" fontId="0" fillId="2" borderId="0" xfId="0" applyFill="1" applyAlignment="1">
      <alignment horizontal="center" wrapText="1"/>
    </xf>
    <xf numFmtId="0" fontId="0" fillId="0" borderId="0" xfId="0" applyFill="1" applyAlignment="1">
      <alignment horizontal="center" wrapText="1"/>
    </xf>
    <xf numFmtId="166" fontId="4" fillId="0" borderId="0" xfId="1" applyNumberFormat="1" applyFont="1" applyFill="1" applyAlignment="1">
      <alignment horizontal="center"/>
    </xf>
    <xf numFmtId="0" fontId="0" fillId="6" borderId="0" xfId="0" applyFill="1" applyAlignment="1">
      <alignment horizontal="center"/>
    </xf>
    <xf numFmtId="9" fontId="0" fillId="6" borderId="0" xfId="0" applyNumberFormat="1" applyFill="1" applyAlignment="1">
      <alignment horizontal="center"/>
    </xf>
    <xf numFmtId="164" fontId="0" fillId="0" borderId="0" xfId="0" applyNumberFormat="1"/>
    <xf numFmtId="164" fontId="0" fillId="0" borderId="0" xfId="2" applyNumberFormat="1" applyFont="1"/>
    <xf numFmtId="0" fontId="37" fillId="6" borderId="0" xfId="0" applyFont="1" applyFill="1"/>
    <xf numFmtId="0" fontId="4" fillId="0" borderId="0" xfId="0" applyFont="1" applyFill="1" applyBorder="1" applyAlignment="1"/>
    <xf numFmtId="0" fontId="0" fillId="0" borderId="0" xfId="0" applyFill="1" applyBorder="1" applyAlignment="1"/>
    <xf numFmtId="164" fontId="0" fillId="0" borderId="0" xfId="2" applyNumberFormat="1" applyFont="1" applyAlignment="1">
      <alignment horizontal="right"/>
    </xf>
    <xf numFmtId="166" fontId="0" fillId="0" borderId="0" xfId="1" applyNumberFormat="1" applyFont="1" applyAlignment="1">
      <alignment horizontal="center"/>
    </xf>
    <xf numFmtId="0" fontId="11" fillId="3" borderId="0" xfId="0" applyFont="1" applyFill="1" applyAlignment="1">
      <alignment horizontal="center" wrapText="1"/>
    </xf>
    <xf numFmtId="0" fontId="11" fillId="0" borderId="0" xfId="0" applyFont="1" applyFill="1" applyAlignment="1">
      <alignment wrapText="1"/>
    </xf>
    <xf numFmtId="0" fontId="11" fillId="3" borderId="0" xfId="0" applyFont="1" applyFill="1" applyBorder="1" applyAlignment="1">
      <alignment horizontal="center"/>
    </xf>
    <xf numFmtId="0" fontId="12" fillId="7" borderId="0" xfId="0" applyFont="1" applyFill="1" applyBorder="1" applyProtection="1">
      <protection locked="0"/>
    </xf>
    <xf numFmtId="0" fontId="11" fillId="6" borderId="0" xfId="0" applyFont="1" applyFill="1"/>
    <xf numFmtId="171" fontId="11" fillId="6" borderId="0" xfId="0" applyNumberFormat="1" applyFont="1" applyFill="1"/>
    <xf numFmtId="0" fontId="11" fillId="6" borderId="6" xfId="0" applyFont="1" applyFill="1" applyBorder="1"/>
    <xf numFmtId="0" fontId="10" fillId="6" borderId="6" xfId="0" applyFont="1" applyFill="1" applyBorder="1"/>
    <xf numFmtId="0" fontId="10" fillId="6" borderId="6" xfId="0" applyFont="1" applyFill="1" applyBorder="1" applyAlignment="1">
      <alignment horizontal="center"/>
    </xf>
    <xf numFmtId="0" fontId="10" fillId="12" borderId="6" xfId="0" applyFont="1" applyFill="1" applyBorder="1"/>
    <xf numFmtId="0" fontId="11" fillId="6" borderId="4" xfId="0" applyFont="1" applyFill="1" applyBorder="1"/>
    <xf numFmtId="0" fontId="11" fillId="6" borderId="17" xfId="0" applyFont="1" applyFill="1" applyBorder="1"/>
    <xf numFmtId="0" fontId="10" fillId="6" borderId="16" xfId="0" applyFont="1" applyFill="1" applyBorder="1" applyAlignment="1">
      <alignment horizontal="center"/>
    </xf>
    <xf numFmtId="0" fontId="10" fillId="6" borderId="17" xfId="0" applyFont="1" applyFill="1" applyBorder="1" applyAlignment="1">
      <alignment horizontal="center"/>
    </xf>
    <xf numFmtId="0" fontId="10" fillId="6" borderId="13" xfId="0" applyFont="1" applyFill="1" applyBorder="1" applyAlignment="1">
      <alignment horizontal="center"/>
    </xf>
    <xf numFmtId="164" fontId="0" fillId="2" borderId="0" xfId="0" applyNumberFormat="1" applyFill="1"/>
    <xf numFmtId="6" fontId="0" fillId="6" borderId="0" xfId="0" applyNumberFormat="1" applyFill="1" applyAlignment="1">
      <alignment horizontal="center"/>
    </xf>
    <xf numFmtId="171" fontId="0" fillId="6" borderId="0" xfId="2" applyNumberFormat="1" applyFont="1" applyFill="1" applyAlignment="1">
      <alignment horizontal="center"/>
    </xf>
    <xf numFmtId="171" fontId="0" fillId="6" borderId="0" xfId="0" applyNumberFormat="1" applyFill="1"/>
    <xf numFmtId="171" fontId="0" fillId="6" borderId="0" xfId="0" applyNumberFormat="1" applyFill="1" applyAlignment="1">
      <alignment horizontal="center"/>
    </xf>
    <xf numFmtId="166" fontId="0" fillId="6" borderId="0" xfId="1" applyNumberFormat="1" applyFont="1" applyFill="1" applyAlignment="1">
      <alignment horizontal="center"/>
    </xf>
    <xf numFmtId="0" fontId="0" fillId="6" borderId="16" xfId="0" applyFill="1" applyBorder="1"/>
    <xf numFmtId="0" fontId="0" fillId="6" borderId="19" xfId="0" applyFill="1" applyBorder="1"/>
    <xf numFmtId="171" fontId="0" fillId="6" borderId="0" xfId="0" applyNumberFormat="1" applyFill="1" applyBorder="1" applyAlignment="1">
      <alignment horizontal="center"/>
    </xf>
    <xf numFmtId="171" fontId="0" fillId="6" borderId="0" xfId="2" applyNumberFormat="1" applyFont="1" applyFill="1" applyBorder="1" applyAlignment="1">
      <alignment horizontal="center"/>
    </xf>
    <xf numFmtId="6" fontId="0" fillId="6" borderId="0" xfId="0" applyNumberFormat="1" applyFill="1" applyBorder="1" applyAlignment="1">
      <alignment horizontal="center"/>
    </xf>
    <xf numFmtId="0" fontId="0" fillId="6" borderId="14" xfId="0" applyFill="1" applyBorder="1"/>
    <xf numFmtId="171" fontId="0" fillId="6" borderId="7" xfId="0" applyNumberFormat="1" applyFill="1" applyBorder="1" applyAlignment="1">
      <alignment horizontal="center"/>
    </xf>
    <xf numFmtId="171" fontId="0" fillId="6" borderId="7" xfId="2" applyNumberFormat="1" applyFont="1" applyFill="1" applyBorder="1" applyAlignment="1">
      <alignment horizontal="center"/>
    </xf>
    <xf numFmtId="6" fontId="0" fillId="6" borderId="7" xfId="0" applyNumberFormat="1" applyFill="1" applyBorder="1" applyAlignment="1">
      <alignment horizontal="center"/>
    </xf>
    <xf numFmtId="0" fontId="11" fillId="6" borderId="1" xfId="0" applyFont="1" applyFill="1" applyBorder="1"/>
    <xf numFmtId="171" fontId="11" fillId="6" borderId="6" xfId="0" applyNumberFormat="1" applyFont="1" applyFill="1" applyBorder="1" applyAlignment="1">
      <alignment horizontal="center"/>
    </xf>
    <xf numFmtId="6" fontId="11" fillId="6" borderId="6" xfId="0" applyNumberFormat="1" applyFont="1" applyFill="1" applyBorder="1" applyAlignment="1">
      <alignment horizontal="center"/>
    </xf>
    <xf numFmtId="0" fontId="10" fillId="6" borderId="13" xfId="0" applyFont="1" applyFill="1" applyBorder="1" applyAlignment="1">
      <alignment horizontal="center" wrapText="1"/>
    </xf>
    <xf numFmtId="9" fontId="0" fillId="6" borderId="13" xfId="3" applyFont="1" applyFill="1" applyBorder="1" applyAlignment="1">
      <alignment horizontal="center"/>
    </xf>
    <xf numFmtId="171" fontId="0" fillId="6" borderId="13" xfId="1" applyNumberFormat="1" applyFont="1" applyFill="1" applyBorder="1" applyAlignment="1">
      <alignment horizontal="center"/>
    </xf>
    <xf numFmtId="171" fontId="0" fillId="6" borderId="0" xfId="1" applyNumberFormat="1" applyFont="1" applyFill="1" applyBorder="1" applyAlignment="1">
      <alignment horizontal="center"/>
    </xf>
    <xf numFmtId="9" fontId="0" fillId="6" borderId="0" xfId="3" applyFont="1" applyFill="1" applyBorder="1" applyAlignment="1">
      <alignment horizontal="center"/>
    </xf>
    <xf numFmtId="171" fontId="0" fillId="6" borderId="7" xfId="1" applyNumberFormat="1" applyFont="1" applyFill="1" applyBorder="1" applyAlignment="1">
      <alignment horizontal="center"/>
    </xf>
    <xf numFmtId="9" fontId="0" fillId="6" borderId="7" xfId="3" applyFont="1" applyFill="1" applyBorder="1" applyAlignment="1">
      <alignment horizontal="center"/>
    </xf>
    <xf numFmtId="0" fontId="37" fillId="6" borderId="0" xfId="0" applyFont="1" applyFill="1" applyBorder="1"/>
    <xf numFmtId="9" fontId="11" fillId="6" borderId="6" xfId="3" applyFont="1" applyFill="1" applyBorder="1" applyAlignment="1">
      <alignment horizontal="center"/>
    </xf>
    <xf numFmtId="166" fontId="11" fillId="6" borderId="6" xfId="1" applyNumberFormat="1" applyFont="1" applyFill="1" applyBorder="1" applyAlignment="1">
      <alignment horizontal="center"/>
    </xf>
    <xf numFmtId="171" fontId="11" fillId="6" borderId="6" xfId="2" applyNumberFormat="1" applyFont="1" applyFill="1" applyBorder="1" applyAlignment="1">
      <alignment horizontal="center"/>
    </xf>
    <xf numFmtId="0" fontId="4" fillId="6" borderId="6" xfId="0" applyFont="1" applyFill="1" applyBorder="1" applyAlignment="1">
      <alignment horizontal="center"/>
    </xf>
    <xf numFmtId="0" fontId="11" fillId="6" borderId="0" xfId="0" applyFont="1" applyFill="1" applyAlignment="1">
      <alignment horizontal="left" vertical="top"/>
    </xf>
    <xf numFmtId="0" fontId="10" fillId="6" borderId="6" xfId="0" applyFont="1" applyFill="1" applyBorder="1" applyAlignment="1">
      <alignment horizontal="center" wrapText="1"/>
    </xf>
    <xf numFmtId="0" fontId="10" fillId="6" borderId="5" xfId="0" applyFont="1" applyFill="1" applyBorder="1" applyAlignment="1">
      <alignment horizontal="center" wrapText="1"/>
    </xf>
    <xf numFmtId="0" fontId="10" fillId="6" borderId="16" xfId="0" applyFont="1" applyFill="1" applyBorder="1"/>
    <xf numFmtId="0" fontId="11" fillId="6" borderId="13" xfId="0" applyFont="1" applyFill="1" applyBorder="1"/>
    <xf numFmtId="0" fontId="11" fillId="6" borderId="19" xfId="0" applyFont="1" applyFill="1" applyBorder="1"/>
    <xf numFmtId="0" fontId="11" fillId="6" borderId="0" xfId="0" applyFont="1" applyFill="1" applyBorder="1"/>
    <xf numFmtId="0" fontId="11" fillId="6" borderId="21" xfId="0" applyFont="1" applyFill="1" applyBorder="1" applyAlignment="1">
      <alignment horizontal="center"/>
    </xf>
    <xf numFmtId="0" fontId="11" fillId="6" borderId="22" xfId="0" applyFont="1" applyFill="1" applyBorder="1" applyAlignment="1">
      <alignment horizontal="center"/>
    </xf>
    <xf numFmtId="0" fontId="11" fillId="6" borderId="23" xfId="0" applyFont="1" applyFill="1" applyBorder="1"/>
    <xf numFmtId="0" fontId="11" fillId="6" borderId="24" xfId="0" applyFont="1" applyFill="1" applyBorder="1"/>
    <xf numFmtId="9" fontId="11" fillId="6" borderId="0" xfId="3" applyFont="1" applyFill="1" applyBorder="1" applyAlignment="1">
      <alignment horizontal="center"/>
    </xf>
    <xf numFmtId="9" fontId="11" fillId="6" borderId="20" xfId="3" applyFont="1" applyFill="1" applyBorder="1" applyAlignment="1">
      <alignment horizontal="center"/>
    </xf>
    <xf numFmtId="171" fontId="11" fillId="6" borderId="24" xfId="2" applyNumberFormat="1" applyFont="1" applyFill="1" applyBorder="1" applyAlignment="1">
      <alignment horizontal="center"/>
    </xf>
    <xf numFmtId="9" fontId="11" fillId="6" borderId="24" xfId="3" applyFont="1" applyFill="1" applyBorder="1" applyAlignment="1">
      <alignment horizontal="center"/>
    </xf>
    <xf numFmtId="9" fontId="11" fillId="6" borderId="25" xfId="3" applyFont="1" applyFill="1" applyBorder="1" applyAlignment="1">
      <alignment horizontal="center"/>
    </xf>
    <xf numFmtId="0" fontId="11" fillId="6" borderId="14" xfId="0" applyFont="1" applyFill="1" applyBorder="1"/>
    <xf numFmtId="0" fontId="11" fillId="6" borderId="7" xfId="0" applyFont="1" applyFill="1" applyBorder="1"/>
    <xf numFmtId="9" fontId="11" fillId="6" borderId="26" xfId="3" applyFont="1" applyFill="1" applyBorder="1" applyAlignment="1">
      <alignment horizontal="center"/>
    </xf>
    <xf numFmtId="9" fontId="11" fillId="6" borderId="27" xfId="3" applyFont="1" applyFill="1" applyBorder="1" applyAlignment="1">
      <alignment horizontal="center"/>
    </xf>
    <xf numFmtId="6" fontId="11" fillId="6" borderId="25" xfId="0" applyNumberFormat="1" applyFont="1" applyFill="1" applyBorder="1" applyAlignment="1">
      <alignment horizontal="center"/>
    </xf>
    <xf numFmtId="9" fontId="11" fillId="6" borderId="22" xfId="3" applyFont="1" applyFill="1" applyBorder="1" applyAlignment="1">
      <alignment horizontal="center"/>
    </xf>
    <xf numFmtId="0" fontId="11" fillId="6" borderId="16" xfId="0" applyFont="1" applyFill="1" applyBorder="1"/>
    <xf numFmtId="0" fontId="10" fillId="6" borderId="19" xfId="0" applyFont="1" applyFill="1" applyBorder="1"/>
    <xf numFmtId="0" fontId="11" fillId="6" borderId="20" xfId="0" applyFont="1" applyFill="1" applyBorder="1"/>
    <xf numFmtId="6" fontId="11" fillId="6" borderId="25" xfId="2" applyNumberFormat="1" applyFont="1" applyFill="1" applyBorder="1" applyAlignment="1">
      <alignment horizontal="center"/>
    </xf>
    <xf numFmtId="0" fontId="10" fillId="6" borderId="5" xfId="0" applyFont="1" applyFill="1" applyBorder="1" applyAlignment="1">
      <alignment horizontal="center"/>
    </xf>
    <xf numFmtId="0" fontId="11" fillId="6" borderId="28" xfId="0" applyFont="1" applyFill="1" applyBorder="1" applyAlignment="1"/>
    <xf numFmtId="0" fontId="11" fillId="6" borderId="29" xfId="0" applyFont="1" applyFill="1" applyBorder="1" applyAlignment="1"/>
    <xf numFmtId="9" fontId="11" fillId="6" borderId="25" xfId="0" applyNumberFormat="1" applyFont="1" applyFill="1" applyBorder="1"/>
    <xf numFmtId="9" fontId="11" fillId="6" borderId="22" xfId="0" applyNumberFormat="1" applyFont="1" applyFill="1" applyBorder="1"/>
    <xf numFmtId="0" fontId="11" fillId="6" borderId="31" xfId="0" applyFont="1" applyFill="1" applyBorder="1"/>
    <xf numFmtId="0" fontId="11" fillId="6" borderId="26" xfId="0" applyFont="1" applyFill="1" applyBorder="1"/>
    <xf numFmtId="9" fontId="11" fillId="6" borderId="27" xfId="0" applyNumberFormat="1" applyFont="1" applyFill="1" applyBorder="1"/>
    <xf numFmtId="0" fontId="4" fillId="0" borderId="0" xfId="0" applyFont="1" applyAlignment="1">
      <alignment horizontal="center" vertical="top"/>
    </xf>
    <xf numFmtId="0" fontId="4" fillId="0" borderId="0" xfId="0" applyFont="1" applyAlignment="1">
      <alignment horizontal="center" vertical="top" wrapText="1"/>
    </xf>
    <xf numFmtId="9" fontId="0" fillId="0" borderId="0" xfId="0" applyNumberFormat="1"/>
    <xf numFmtId="166" fontId="4" fillId="0" borderId="0" xfId="1" applyNumberFormat="1" applyFont="1" applyAlignment="1">
      <alignment horizontal="center" vertical="top"/>
    </xf>
    <xf numFmtId="0" fontId="0" fillId="6" borderId="0" xfId="0" applyFill="1" applyAlignment="1">
      <alignment horizontal="right"/>
    </xf>
    <xf numFmtId="171" fontId="0" fillId="6" borderId="0" xfId="0" applyNumberFormat="1" applyFill="1" applyAlignment="1">
      <alignment horizontal="right"/>
    </xf>
    <xf numFmtId="6" fontId="0" fillId="6" borderId="0" xfId="0" applyNumberFormat="1" applyFill="1" applyAlignment="1">
      <alignment horizontal="right"/>
    </xf>
    <xf numFmtId="171" fontId="11" fillId="3" borderId="15" xfId="0" applyNumberFormat="1" applyFont="1" applyFill="1" applyBorder="1"/>
    <xf numFmtId="0" fontId="0" fillId="0" borderId="0" xfId="0" applyAlignment="1">
      <alignment horizontal="center"/>
    </xf>
    <xf numFmtId="0" fontId="10" fillId="0" borderId="0" xfId="0" applyFont="1" applyAlignment="1">
      <alignment horizontal="center"/>
    </xf>
    <xf numFmtId="0" fontId="2" fillId="4" borderId="0" xfId="0" applyFont="1" applyFill="1" applyAlignment="1">
      <alignment horizontal="center"/>
    </xf>
    <xf numFmtId="0" fontId="4" fillId="0" borderId="0" xfId="0" applyFont="1" applyAlignment="1">
      <alignment horizontal="center"/>
    </xf>
    <xf numFmtId="0" fontId="9" fillId="6" borderId="0" xfId="0" applyFont="1" applyFill="1"/>
    <xf numFmtId="9" fontId="4" fillId="0" borderId="0" xfId="3" applyFont="1" applyFill="1" applyAlignment="1">
      <alignment horizontal="left"/>
    </xf>
    <xf numFmtId="9" fontId="0" fillId="5" borderId="3" xfId="3" applyFont="1" applyFill="1" applyBorder="1"/>
    <xf numFmtId="172" fontId="45" fillId="0" borderId="0" xfId="0" applyNumberFormat="1" applyFont="1" applyBorder="1" applyAlignment="1">
      <alignment horizontal="right"/>
    </xf>
    <xf numFmtId="44" fontId="0" fillId="0" borderId="0" xfId="2" applyFont="1"/>
    <xf numFmtId="0" fontId="4" fillId="0" borderId="0" xfId="0" applyFont="1" applyAlignment="1">
      <alignment horizontal="center"/>
    </xf>
    <xf numFmtId="44" fontId="0" fillId="0" borderId="0" xfId="0" applyNumberFormat="1"/>
    <xf numFmtId="173" fontId="0" fillId="0" borderId="0" xfId="0" applyNumberFormat="1"/>
    <xf numFmtId="168" fontId="0" fillId="0" borderId="0" xfId="3" applyNumberFormat="1" applyFont="1"/>
    <xf numFmtId="9" fontId="47" fillId="6" borderId="6" xfId="3" applyFont="1" applyFill="1" applyBorder="1" applyAlignment="1">
      <alignment horizontal="center"/>
    </xf>
    <xf numFmtId="171" fontId="49" fillId="15" borderId="6" xfId="2" applyNumberFormat="1" applyFont="1" applyFill="1" applyBorder="1" applyAlignment="1" applyProtection="1">
      <alignment horizontal="center"/>
      <protection locked="0"/>
    </xf>
    <xf numFmtId="9" fontId="49" fillId="15" borderId="6" xfId="3" applyFont="1" applyFill="1" applyBorder="1" applyAlignment="1">
      <alignment horizontal="center"/>
    </xf>
    <xf numFmtId="9" fontId="0" fillId="16" borderId="6" xfId="0" applyNumberFormat="1" applyFill="1" applyBorder="1" applyAlignment="1">
      <alignment horizontal="center"/>
    </xf>
    <xf numFmtId="171" fontId="49" fillId="17" borderId="5" xfId="0" applyNumberFormat="1" applyFont="1" applyFill="1" applyBorder="1" applyAlignment="1">
      <alignment horizontal="center" vertical="center"/>
    </xf>
    <xf numFmtId="9" fontId="49" fillId="17" borderId="5" xfId="3" applyFont="1" applyFill="1" applyBorder="1" applyAlignment="1">
      <alignment horizontal="center"/>
    </xf>
    <xf numFmtId="43" fontId="4" fillId="0" borderId="0" xfId="3" applyNumberFormat="1" applyFont="1" applyAlignment="1">
      <alignment horizontal="left"/>
    </xf>
    <xf numFmtId="167" fontId="4" fillId="3" borderId="0" xfId="1" applyNumberFormat="1" applyFont="1" applyFill="1" applyAlignment="1">
      <alignment horizontal="center"/>
    </xf>
    <xf numFmtId="164" fontId="0" fillId="5" borderId="3" xfId="2" applyNumberFormat="1" applyFont="1" applyFill="1" applyBorder="1"/>
    <xf numFmtId="0" fontId="47" fillId="6" borderId="4" xfId="0" applyFont="1" applyFill="1" applyBorder="1" applyProtection="1">
      <protection locked="0"/>
    </xf>
    <xf numFmtId="0" fontId="12" fillId="6" borderId="4" xfId="0" applyFont="1" applyFill="1" applyBorder="1" applyProtection="1">
      <protection locked="0"/>
    </xf>
    <xf numFmtId="0" fontId="12" fillId="6" borderId="1" xfId="0" applyFont="1" applyFill="1" applyBorder="1" applyProtection="1">
      <protection locked="0"/>
    </xf>
    <xf numFmtId="0" fontId="12" fillId="6" borderId="6" xfId="0" applyFont="1" applyFill="1" applyBorder="1" applyAlignment="1" applyProtection="1">
      <alignment horizontal="center"/>
      <protection locked="0"/>
    </xf>
    <xf numFmtId="0" fontId="47" fillId="6" borderId="0" xfId="0" applyFont="1" applyFill="1"/>
    <xf numFmtId="0" fontId="47" fillId="7" borderId="4" xfId="0" applyFont="1" applyFill="1" applyBorder="1" applyProtection="1">
      <protection locked="0"/>
    </xf>
    <xf numFmtId="0" fontId="12" fillId="7" borderId="1"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47" fillId="7" borderId="4" xfId="0" applyFont="1" applyFill="1" applyBorder="1" applyAlignment="1" applyProtection="1">
      <alignment horizontal="left" indent="1"/>
      <protection locked="0"/>
    </xf>
    <xf numFmtId="0" fontId="47" fillId="2" borderId="4" xfId="0" applyFont="1" applyFill="1" applyBorder="1" applyProtection="1">
      <protection locked="0"/>
    </xf>
    <xf numFmtId="0" fontId="47" fillId="2" borderId="1" xfId="0" applyFont="1" applyFill="1" applyBorder="1" applyProtection="1">
      <protection locked="0"/>
    </xf>
    <xf numFmtId="0" fontId="47" fillId="2" borderId="5" xfId="0" applyFont="1" applyFill="1" applyBorder="1" applyProtection="1">
      <protection locked="0"/>
    </xf>
    <xf numFmtId="0" fontId="12" fillId="7" borderId="4" xfId="0" applyFont="1" applyFill="1" applyBorder="1" applyProtection="1">
      <protection locked="0"/>
    </xf>
    <xf numFmtId="0" fontId="47" fillId="7" borderId="1" xfId="0" applyFont="1" applyFill="1" applyBorder="1" applyProtection="1">
      <protection locked="0"/>
    </xf>
    <xf numFmtId="0" fontId="47" fillId="7" borderId="5" xfId="0" applyFont="1" applyFill="1" applyBorder="1" applyProtection="1">
      <protection locked="0"/>
    </xf>
    <xf numFmtId="0" fontId="12" fillId="7" borderId="1" xfId="0" applyFont="1" applyFill="1" applyBorder="1" applyAlignment="1" applyProtection="1">
      <alignment horizontal="center" wrapText="1"/>
      <protection locked="0"/>
    </xf>
    <xf numFmtId="0" fontId="12" fillId="7" borderId="5" xfId="0" applyFont="1" applyFill="1" applyBorder="1" applyAlignment="1" applyProtection="1">
      <alignment horizontal="center" wrapText="1"/>
      <protection locked="0"/>
    </xf>
    <xf numFmtId="0" fontId="12" fillId="6" borderId="1" xfId="0" applyFont="1" applyFill="1" applyBorder="1" applyAlignment="1">
      <alignment horizontal="center" wrapText="1"/>
    </xf>
    <xf numFmtId="0" fontId="47" fillId="7" borderId="14" xfId="0" applyFont="1" applyFill="1" applyBorder="1" applyAlignment="1" applyProtection="1">
      <alignment horizontal="left" indent="1"/>
      <protection locked="0"/>
    </xf>
    <xf numFmtId="0" fontId="47" fillId="6" borderId="1" xfId="0" applyFont="1" applyFill="1" applyBorder="1"/>
    <xf numFmtId="9" fontId="12" fillId="16" borderId="14" xfId="0" applyNumberFormat="1" applyFont="1" applyFill="1" applyBorder="1" applyAlignment="1" applyProtection="1">
      <alignment horizontal="center"/>
      <protection locked="0"/>
    </xf>
    <xf numFmtId="9" fontId="12" fillId="16" borderId="4" xfId="0" applyNumberFormat="1" applyFont="1" applyFill="1" applyBorder="1" applyAlignment="1" applyProtection="1">
      <alignment horizontal="center"/>
      <protection locked="0"/>
    </xf>
    <xf numFmtId="9" fontId="12" fillId="8" borderId="15" xfId="3" applyFont="1" applyFill="1" applyBorder="1" applyAlignment="1" applyProtection="1">
      <alignment horizontal="center"/>
      <protection locked="0"/>
    </xf>
    <xf numFmtId="9" fontId="12" fillId="8" borderId="5" xfId="3" applyFont="1" applyFill="1" applyBorder="1" applyAlignment="1" applyProtection="1">
      <alignment horizontal="center"/>
      <protection locked="0"/>
    </xf>
    <xf numFmtId="171" fontId="47" fillId="2" borderId="6" xfId="0" applyNumberFormat="1" applyFont="1" applyFill="1" applyBorder="1" applyAlignment="1">
      <alignment horizontal="center"/>
    </xf>
    <xf numFmtId="0" fontId="47" fillId="6" borderId="4" xfId="0" applyFont="1" applyFill="1" applyBorder="1" applyAlignment="1">
      <alignment wrapText="1"/>
    </xf>
    <xf numFmtId="0" fontId="47" fillId="6" borderId="5" xfId="0" applyFont="1" applyFill="1" applyBorder="1" applyAlignment="1">
      <alignment wrapText="1"/>
    </xf>
    <xf numFmtId="0" fontId="47" fillId="7" borderId="14" xfId="0" applyFont="1" applyFill="1" applyBorder="1" applyProtection="1">
      <protection locked="0"/>
    </xf>
    <xf numFmtId="171" fontId="12" fillId="16" borderId="6" xfId="2" applyNumberFormat="1" applyFont="1" applyFill="1" applyBorder="1" applyAlignment="1" applyProtection="1">
      <alignment horizontal="center"/>
      <protection locked="0"/>
    </xf>
    <xf numFmtId="0" fontId="12" fillId="16" borderId="6" xfId="0" applyFont="1" applyFill="1" applyBorder="1" applyAlignment="1" applyProtection="1">
      <alignment horizontal="center"/>
      <protection locked="0"/>
    </xf>
    <xf numFmtId="3" fontId="51" fillId="16" borderId="6" xfId="0" applyNumberFormat="1" applyFont="1" applyFill="1" applyBorder="1" applyAlignment="1" applyProtection="1">
      <alignment horizontal="center" vertical="center"/>
      <protection locked="0"/>
    </xf>
    <xf numFmtId="0" fontId="47" fillId="7" borderId="0" xfId="0" applyFont="1" applyFill="1" applyBorder="1" applyProtection="1">
      <protection locked="0"/>
    </xf>
    <xf numFmtId="171" fontId="12" fillId="8" borderId="6" xfId="2" applyNumberFormat="1" applyFont="1" applyFill="1" applyBorder="1" applyAlignment="1" applyProtection="1">
      <alignment horizontal="center"/>
      <protection locked="0"/>
    </xf>
    <xf numFmtId="0" fontId="47" fillId="7" borderId="0" xfId="0" applyFont="1" applyFill="1" applyProtection="1">
      <protection locked="0"/>
    </xf>
    <xf numFmtId="0" fontId="12" fillId="12" borderId="6" xfId="0" applyFont="1" applyFill="1" applyBorder="1" applyAlignment="1" applyProtection="1">
      <alignment horizontal="center"/>
      <protection locked="0"/>
    </xf>
    <xf numFmtId="0" fontId="47" fillId="6" borderId="0" xfId="0" applyFont="1" applyFill="1" applyProtection="1">
      <protection locked="0"/>
    </xf>
    <xf numFmtId="0" fontId="0" fillId="6" borderId="0" xfId="0" applyFill="1" applyBorder="1"/>
    <xf numFmtId="0" fontId="37" fillId="7" borderId="0" xfId="0" applyFont="1" applyFill="1" applyBorder="1" applyProtection="1">
      <protection locked="0"/>
    </xf>
    <xf numFmtId="5" fontId="4" fillId="3" borderId="0" xfId="0" applyNumberFormat="1" applyFont="1" applyFill="1" applyAlignment="1">
      <alignment horizontal="center"/>
    </xf>
    <xf numFmtId="171" fontId="0" fillId="0" borderId="0" xfId="0" applyNumberFormat="1"/>
    <xf numFmtId="171" fontId="0" fillId="0" borderId="0" xfId="2" applyNumberFormat="1" applyFont="1"/>
    <xf numFmtId="5" fontId="0" fillId="0" borderId="0" xfId="0" applyNumberFormat="1"/>
    <xf numFmtId="164" fontId="4" fillId="0" borderId="0" xfId="0" applyNumberFormat="1" applyFont="1" applyBorder="1" applyAlignment="1">
      <alignment horizontal="center"/>
    </xf>
    <xf numFmtId="164" fontId="0" fillId="0" borderId="0" xfId="0" applyNumberFormat="1" applyFill="1" applyBorder="1" applyAlignment="1">
      <alignment horizontal="center"/>
    </xf>
    <xf numFmtId="0" fontId="0" fillId="13" borderId="16" xfId="0" applyFill="1" applyBorder="1"/>
    <xf numFmtId="0" fontId="0" fillId="13" borderId="13" xfId="0" applyFill="1" applyBorder="1"/>
    <xf numFmtId="0" fontId="0" fillId="13" borderId="17" xfId="0" applyFill="1" applyBorder="1"/>
    <xf numFmtId="0" fontId="0" fillId="13" borderId="19" xfId="0" applyFill="1" applyBorder="1"/>
    <xf numFmtId="0" fontId="12" fillId="13" borderId="0" xfId="0" applyFont="1" applyFill="1" applyBorder="1"/>
    <xf numFmtId="0" fontId="0" fillId="13" borderId="0" xfId="0" applyFill="1" applyBorder="1"/>
    <xf numFmtId="0" fontId="0" fillId="13" borderId="20" xfId="0" applyFill="1" applyBorder="1"/>
    <xf numFmtId="0" fontId="0" fillId="13" borderId="0" xfId="0" applyFont="1" applyFill="1" applyBorder="1"/>
    <xf numFmtId="0" fontId="0" fillId="13" borderId="7" xfId="0" applyFill="1" applyBorder="1"/>
    <xf numFmtId="0" fontId="0" fillId="13" borderId="15" xfId="0" applyFill="1" applyBorder="1"/>
    <xf numFmtId="0" fontId="0" fillId="13" borderId="14" xfId="0" applyFill="1" applyBorder="1"/>
    <xf numFmtId="0" fontId="11" fillId="13" borderId="13" xfId="0" applyFont="1" applyFill="1" applyBorder="1" applyProtection="1">
      <protection locked="0"/>
    </xf>
    <xf numFmtId="0" fontId="12" fillId="13" borderId="0" xfId="0" applyFont="1" applyFill="1" applyBorder="1" applyProtection="1">
      <protection locked="0"/>
    </xf>
    <xf numFmtId="0" fontId="13" fillId="13" borderId="0" xfId="0" applyFont="1" applyFill="1" applyBorder="1" applyProtection="1">
      <protection locked="0"/>
    </xf>
    <xf numFmtId="0" fontId="11" fillId="13" borderId="0" xfId="0" applyFont="1" applyFill="1" applyBorder="1" applyProtection="1">
      <protection locked="0"/>
    </xf>
    <xf numFmtId="0" fontId="8" fillId="13" borderId="0" xfId="0" applyFont="1" applyFill="1" applyBorder="1" applyAlignment="1">
      <alignment horizontal="left" wrapText="1"/>
    </xf>
    <xf numFmtId="0" fontId="37" fillId="13" borderId="0" xfId="0" applyFont="1" applyFill="1" applyBorder="1"/>
    <xf numFmtId="0" fontId="37" fillId="13" borderId="20" xfId="0" applyFont="1" applyFill="1" applyBorder="1"/>
    <xf numFmtId="0" fontId="47" fillId="13" borderId="13" xfId="0" applyFont="1" applyFill="1" applyBorder="1" applyProtection="1">
      <protection locked="0"/>
    </xf>
    <xf numFmtId="0" fontId="47" fillId="13" borderId="0" xfId="0" applyFont="1" applyFill="1" applyBorder="1" applyProtection="1">
      <protection locked="0"/>
    </xf>
    <xf numFmtId="0" fontId="48" fillId="13" borderId="0" xfId="0" applyFont="1" applyFill="1" applyBorder="1" applyProtection="1">
      <protection locked="0"/>
    </xf>
    <xf numFmtId="0" fontId="47" fillId="13" borderId="7" xfId="0" applyFont="1" applyFill="1" applyBorder="1" applyProtection="1">
      <protection locked="0"/>
    </xf>
    <xf numFmtId="0" fontId="5" fillId="6" borderId="0" xfId="0" applyFont="1" applyFill="1"/>
    <xf numFmtId="0" fontId="5" fillId="6" borderId="0" xfId="0" applyFont="1" applyFill="1" applyBorder="1"/>
    <xf numFmtId="0" fontId="11" fillId="13" borderId="0" xfId="0" applyFont="1" applyFill="1" applyBorder="1" applyAlignment="1" applyProtection="1">
      <alignment wrapText="1"/>
      <protection locked="0"/>
    </xf>
    <xf numFmtId="0" fontId="0" fillId="13" borderId="0" xfId="0" applyFill="1" applyBorder="1" applyAlignment="1">
      <alignment wrapText="1"/>
    </xf>
    <xf numFmtId="171" fontId="0" fillId="13" borderId="20" xfId="0" applyNumberFormat="1" applyFill="1" applyBorder="1"/>
    <xf numFmtId="0" fontId="47" fillId="13" borderId="0" xfId="0" applyFont="1" applyFill="1" applyBorder="1" applyAlignment="1" applyProtection="1">
      <alignment horizontal="left" wrapText="1"/>
      <protection locked="0"/>
    </xf>
    <xf numFmtId="0" fontId="0" fillId="13" borderId="0" xfId="0" applyFill="1"/>
    <xf numFmtId="0" fontId="5" fillId="13" borderId="20" xfId="0" applyFont="1" applyFill="1" applyBorder="1"/>
    <xf numFmtId="0" fontId="0" fillId="13" borderId="0" xfId="0" applyFont="1" applyFill="1" applyBorder="1" applyProtection="1">
      <protection locked="0"/>
    </xf>
    <xf numFmtId="0" fontId="37" fillId="13" borderId="0" xfId="0" applyFont="1" applyFill="1" applyBorder="1" applyProtection="1">
      <protection locked="0"/>
    </xf>
    <xf numFmtId="0" fontId="50" fillId="7" borderId="16" xfId="0" applyFont="1" applyFill="1" applyBorder="1" applyProtection="1">
      <protection locked="0"/>
    </xf>
    <xf numFmtId="0" fontId="51" fillId="7" borderId="13" xfId="0" applyFont="1" applyFill="1" applyBorder="1" applyAlignment="1" applyProtection="1">
      <alignment horizontal="center" vertical="center" wrapText="1"/>
      <protection locked="0"/>
    </xf>
    <xf numFmtId="5" fontId="51" fillId="16" borderId="6" xfId="2" applyNumberFormat="1" applyFont="1" applyFill="1" applyBorder="1" applyAlignment="1" applyProtection="1">
      <alignment horizontal="center"/>
      <protection locked="0"/>
    </xf>
    <xf numFmtId="0" fontId="50" fillId="7" borderId="6" xfId="0" applyFont="1" applyFill="1" applyBorder="1" applyAlignment="1" applyProtection="1">
      <alignment horizontal="left"/>
      <protection locked="0"/>
    </xf>
    <xf numFmtId="171" fontId="12" fillId="16" borderId="6" xfId="0" applyNumberFormat="1" applyFont="1" applyFill="1" applyBorder="1" applyAlignment="1">
      <alignment horizontal="center" wrapText="1"/>
    </xf>
    <xf numFmtId="0" fontId="12" fillId="16" borderId="6" xfId="0" applyFont="1" applyFill="1" applyBorder="1" applyAlignment="1">
      <alignment horizontal="center"/>
    </xf>
    <xf numFmtId="0" fontId="12" fillId="16" borderId="6" xfId="0" applyFont="1" applyFill="1" applyBorder="1" applyAlignment="1">
      <alignment horizontal="center" wrapText="1"/>
    </xf>
    <xf numFmtId="0" fontId="12" fillId="16" borderId="6" xfId="0" applyFont="1" applyFill="1" applyBorder="1" applyAlignment="1" applyProtection="1">
      <alignment horizontal="center"/>
    </xf>
    <xf numFmtId="0" fontId="12" fillId="16" borderId="8" xfId="0" applyFont="1" applyFill="1" applyBorder="1" applyAlignment="1" applyProtection="1">
      <alignment horizontal="center"/>
      <protection locked="0"/>
    </xf>
    <xf numFmtId="164" fontId="0" fillId="18" borderId="0" xfId="2" applyNumberFormat="1" applyFont="1" applyFill="1" applyAlignment="1">
      <alignment horizontal="left" vertical="top"/>
    </xf>
    <xf numFmtId="0" fontId="0" fillId="18" borderId="0" xfId="0" applyNumberFormat="1" applyFont="1" applyFill="1" applyAlignment="1">
      <alignment horizontal="center"/>
    </xf>
    <xf numFmtId="0" fontId="0" fillId="2" borderId="0" xfId="0" applyFont="1" applyFill="1"/>
    <xf numFmtId="0" fontId="0" fillId="2" borderId="0" xfId="0" applyNumberFormat="1" applyFont="1" applyFill="1" applyAlignment="1">
      <alignment horizontal="center"/>
    </xf>
    <xf numFmtId="166" fontId="0" fillId="6" borderId="16" xfId="1" applyNumberFormat="1" applyFont="1" applyFill="1" applyBorder="1" applyAlignment="1">
      <alignment horizontal="center"/>
    </xf>
    <xf numFmtId="166" fontId="0" fillId="6" borderId="19" xfId="1" applyNumberFormat="1" applyFont="1" applyFill="1" applyBorder="1" applyAlignment="1">
      <alignment horizontal="center"/>
    </xf>
    <xf numFmtId="166" fontId="0" fillId="6" borderId="14" xfId="1" applyNumberFormat="1" applyFont="1" applyFill="1" applyBorder="1" applyAlignment="1">
      <alignment horizontal="center"/>
    </xf>
    <xf numFmtId="0" fontId="47" fillId="11" borderId="6" xfId="0" applyFont="1" applyFill="1" applyBorder="1"/>
    <xf numFmtId="0" fontId="53" fillId="13" borderId="6" xfId="0" applyFont="1" applyFill="1" applyBorder="1"/>
    <xf numFmtId="0" fontId="53" fillId="13" borderId="6" xfId="0" applyFont="1" applyFill="1" applyBorder="1" applyAlignment="1">
      <alignment horizontal="center"/>
    </xf>
    <xf numFmtId="166" fontId="47" fillId="6" borderId="6" xfId="1" applyNumberFormat="1" applyFont="1" applyFill="1" applyBorder="1" applyAlignment="1">
      <alignment horizontal="center"/>
    </xf>
    <xf numFmtId="171" fontId="47" fillId="6" borderId="6" xfId="2" applyNumberFormat="1" applyFont="1" applyFill="1" applyBorder="1" applyAlignment="1">
      <alignment horizontal="center"/>
    </xf>
    <xf numFmtId="0" fontId="12" fillId="16" borderId="6" xfId="0" applyFont="1" applyFill="1" applyBorder="1"/>
    <xf numFmtId="0" fontId="54" fillId="13" borderId="0" xfId="0" applyFont="1" applyFill="1" applyBorder="1" applyAlignment="1">
      <alignment horizontal="center"/>
    </xf>
    <xf numFmtId="0" fontId="54" fillId="13" borderId="20" xfId="0" applyFont="1" applyFill="1" applyBorder="1" applyAlignment="1">
      <alignment horizontal="center"/>
    </xf>
    <xf numFmtId="0" fontId="54" fillId="13" borderId="0" xfId="0" applyFont="1" applyFill="1" applyBorder="1"/>
    <xf numFmtId="0" fontId="51" fillId="16" borderId="6" xfId="0" applyFont="1" applyFill="1" applyBorder="1" applyAlignment="1">
      <alignment horizontal="center" vertical="center"/>
    </xf>
    <xf numFmtId="0" fontId="54" fillId="13" borderId="20" xfId="0" applyFont="1" applyFill="1" applyBorder="1"/>
    <xf numFmtId="0" fontId="48" fillId="13" borderId="0" xfId="0" applyFont="1" applyFill="1" applyBorder="1" applyAlignment="1" applyProtection="1">
      <alignment horizontal="left" wrapText="1"/>
      <protection locked="0"/>
    </xf>
    <xf numFmtId="0" fontId="47" fillId="6" borderId="0" xfId="0" applyFont="1" applyFill="1" applyAlignment="1">
      <alignment horizontal="left" vertical="top"/>
    </xf>
    <xf numFmtId="0" fontId="47" fillId="14" borderId="4" xfId="0" applyFont="1" applyFill="1" applyBorder="1"/>
    <xf numFmtId="0" fontId="47" fillId="14" borderId="1" xfId="0" applyFont="1" applyFill="1" applyBorder="1"/>
    <xf numFmtId="0" fontId="12" fillId="14" borderId="6" xfId="0" applyFont="1" applyFill="1" applyBorder="1" applyAlignment="1">
      <alignment horizontal="center" vertical="top" wrapText="1"/>
    </xf>
    <xf numFmtId="0" fontId="12" fillId="14" borderId="5" xfId="0" applyFont="1" applyFill="1" applyBorder="1" applyAlignment="1">
      <alignment horizontal="center" vertical="top" wrapText="1"/>
    </xf>
    <xf numFmtId="0" fontId="12" fillId="6" borderId="16" xfId="0" applyFont="1" applyFill="1" applyBorder="1"/>
    <xf numFmtId="0" fontId="47" fillId="6" borderId="13" xfId="0" applyFont="1" applyFill="1" applyBorder="1"/>
    <xf numFmtId="0" fontId="47" fillId="6" borderId="17" xfId="0" applyFont="1" applyFill="1" applyBorder="1"/>
    <xf numFmtId="0" fontId="47" fillId="6" borderId="19" xfId="0" applyFont="1" applyFill="1" applyBorder="1"/>
    <xf numFmtId="0" fontId="47" fillId="6" borderId="0" xfId="0" applyFont="1" applyFill="1" applyBorder="1"/>
    <xf numFmtId="0" fontId="47" fillId="6" borderId="21" xfId="0" applyFont="1" applyFill="1" applyBorder="1" applyAlignment="1">
      <alignment horizontal="center"/>
    </xf>
    <xf numFmtId="0" fontId="47" fillId="6" borderId="22" xfId="0" applyFont="1" applyFill="1" applyBorder="1" applyAlignment="1">
      <alignment horizontal="center"/>
    </xf>
    <xf numFmtId="0" fontId="47" fillId="6" borderId="23" xfId="0" applyFont="1" applyFill="1" applyBorder="1"/>
    <xf numFmtId="0" fontId="47" fillId="6" borderId="24" xfId="0" applyFont="1" applyFill="1" applyBorder="1"/>
    <xf numFmtId="9" fontId="47" fillId="6" borderId="0" xfId="3" applyFont="1" applyFill="1" applyBorder="1" applyAlignment="1">
      <alignment horizontal="center"/>
    </xf>
    <xf numFmtId="9" fontId="47" fillId="6" borderId="20" xfId="3" applyFont="1" applyFill="1" applyBorder="1" applyAlignment="1">
      <alignment horizontal="center"/>
    </xf>
    <xf numFmtId="171" fontId="47" fillId="6" borderId="24" xfId="2" applyNumberFormat="1" applyFont="1" applyFill="1" applyBorder="1" applyAlignment="1">
      <alignment horizontal="center"/>
    </xf>
    <xf numFmtId="6" fontId="47" fillId="6" borderId="25" xfId="0" applyNumberFormat="1" applyFont="1" applyFill="1" applyBorder="1" applyAlignment="1">
      <alignment horizontal="center"/>
    </xf>
    <xf numFmtId="9" fontId="47" fillId="6" borderId="24" xfId="3" applyFont="1" applyFill="1" applyBorder="1" applyAlignment="1">
      <alignment horizontal="center"/>
    </xf>
    <xf numFmtId="9" fontId="47" fillId="6" borderId="22" xfId="3" applyFont="1" applyFill="1" applyBorder="1" applyAlignment="1">
      <alignment horizontal="center"/>
    </xf>
    <xf numFmtId="6" fontId="47" fillId="6" borderId="25" xfId="2" applyNumberFormat="1" applyFont="1" applyFill="1" applyBorder="1" applyAlignment="1">
      <alignment horizontal="center"/>
    </xf>
    <xf numFmtId="0" fontId="47" fillId="6" borderId="14" xfId="0" applyFont="1" applyFill="1" applyBorder="1"/>
    <xf numFmtId="0" fontId="47" fillId="6" borderId="7" xfId="0" applyFont="1" applyFill="1" applyBorder="1"/>
    <xf numFmtId="9" fontId="47" fillId="6" borderId="26" xfId="3" applyFont="1" applyFill="1" applyBorder="1" applyAlignment="1">
      <alignment horizontal="center"/>
    </xf>
    <xf numFmtId="9" fontId="47" fillId="6" borderId="27" xfId="3" applyFont="1" applyFill="1" applyBorder="1" applyAlignment="1">
      <alignment horizontal="center"/>
    </xf>
    <xf numFmtId="0" fontId="47" fillId="6" borderId="16" xfId="0" applyFont="1" applyFill="1" applyBorder="1"/>
    <xf numFmtId="0" fontId="12" fillId="6" borderId="19" xfId="0" applyFont="1" applyFill="1" applyBorder="1"/>
    <xf numFmtId="0" fontId="47" fillId="6" borderId="20" xfId="0" applyFont="1" applyFill="1" applyBorder="1"/>
    <xf numFmtId="9" fontId="47" fillId="6" borderId="25" xfId="3" applyFont="1" applyFill="1" applyBorder="1" applyAlignment="1">
      <alignment horizontal="center"/>
    </xf>
    <xf numFmtId="0" fontId="47" fillId="6" borderId="4" xfId="0" applyFont="1" applyFill="1" applyBorder="1"/>
    <xf numFmtId="0" fontId="12" fillId="6" borderId="5" xfId="0" applyFont="1" applyFill="1" applyBorder="1" applyAlignment="1">
      <alignment horizontal="center"/>
    </xf>
    <xf numFmtId="0" fontId="47" fillId="6" borderId="28" xfId="0" applyFont="1" applyFill="1" applyBorder="1" applyAlignment="1"/>
    <xf numFmtId="0" fontId="47" fillId="6" borderId="29" xfId="0" applyFont="1" applyFill="1" applyBorder="1" applyAlignment="1"/>
    <xf numFmtId="9" fontId="47" fillId="6" borderId="30" xfId="0" applyNumberFormat="1" applyFont="1" applyFill="1" applyBorder="1"/>
    <xf numFmtId="9" fontId="47" fillId="6" borderId="22" xfId="0" applyNumberFormat="1" applyFont="1" applyFill="1" applyBorder="1"/>
    <xf numFmtId="9" fontId="47" fillId="6" borderId="25" xfId="0" applyNumberFormat="1" applyFont="1" applyFill="1" applyBorder="1"/>
    <xf numFmtId="0" fontId="47" fillId="6" borderId="31" xfId="0" applyFont="1" applyFill="1" applyBorder="1"/>
    <xf numFmtId="0" fontId="47" fillId="6" borderId="26" xfId="0" applyFont="1" applyFill="1" applyBorder="1"/>
    <xf numFmtId="9" fontId="47" fillId="6" borderId="27" xfId="0" applyNumberFormat="1" applyFont="1" applyFill="1" applyBorder="1"/>
    <xf numFmtId="171" fontId="47" fillId="3" borderId="15" xfId="0" applyNumberFormat="1" applyFont="1" applyFill="1" applyBorder="1"/>
    <xf numFmtId="165" fontId="0" fillId="0" borderId="0" xfId="0" applyNumberFormat="1"/>
    <xf numFmtId="9" fontId="0" fillId="6" borderId="0" xfId="3" applyFont="1" applyFill="1"/>
    <xf numFmtId="171" fontId="0" fillId="2" borderId="0" xfId="0" applyNumberFormat="1" applyFill="1"/>
    <xf numFmtId="0" fontId="54" fillId="13" borderId="0" xfId="0" applyFont="1" applyFill="1"/>
    <xf numFmtId="0" fontId="12" fillId="16" borderId="6" xfId="0" applyFont="1" applyFill="1" applyBorder="1" applyAlignment="1" applyProtection="1">
      <alignment horizontal="center" vertical="top" wrapText="1"/>
      <protection locked="0"/>
    </xf>
    <xf numFmtId="3" fontId="12" fillId="6" borderId="0" xfId="0" applyNumberFormat="1" applyFont="1" applyFill="1" applyBorder="1" applyAlignment="1">
      <alignment horizontal="right"/>
    </xf>
    <xf numFmtId="0" fontId="12" fillId="6" borderId="0" xfId="0" applyFont="1" applyFill="1" applyBorder="1"/>
    <xf numFmtId="44" fontId="0" fillId="0" borderId="0" xfId="2" applyNumberFormat="1" applyFont="1"/>
    <xf numFmtId="164" fontId="0" fillId="0" borderId="0" xfId="2" applyNumberFormat="1" applyFont="1" applyFill="1" applyAlignment="1">
      <alignment horizontal="center"/>
    </xf>
    <xf numFmtId="0" fontId="12" fillId="6" borderId="1" xfId="0" applyFont="1" applyFill="1" applyBorder="1" applyAlignment="1" applyProtection="1">
      <alignment horizontal="center"/>
      <protection locked="0"/>
    </xf>
    <xf numFmtId="0" fontId="12" fillId="6" borderId="5" xfId="0" applyFont="1" applyFill="1" applyBorder="1" applyAlignment="1" applyProtection="1">
      <alignment horizontal="center"/>
      <protection locked="0"/>
    </xf>
    <xf numFmtId="0" fontId="0" fillId="19" borderId="16" xfId="0" applyFill="1" applyBorder="1"/>
    <xf numFmtId="0" fontId="0" fillId="19" borderId="13" xfId="0" applyFill="1" applyBorder="1"/>
    <xf numFmtId="0" fontId="0" fillId="19" borderId="17" xfId="0" applyFill="1" applyBorder="1"/>
    <xf numFmtId="0" fontId="0" fillId="19" borderId="19" xfId="0" applyFill="1" applyBorder="1"/>
    <xf numFmtId="0" fontId="55" fillId="19" borderId="0" xfId="0" applyFont="1" applyFill="1" applyBorder="1"/>
    <xf numFmtId="0" fontId="0" fillId="19" borderId="0" xfId="0" applyFill="1" applyBorder="1"/>
    <xf numFmtId="0" fontId="0" fillId="19" borderId="20" xfId="0" applyFill="1" applyBorder="1"/>
    <xf numFmtId="0" fontId="0" fillId="19" borderId="14" xfId="0" applyFill="1" applyBorder="1"/>
    <xf numFmtId="0" fontId="47" fillId="19" borderId="7" xfId="0" applyFont="1" applyFill="1" applyBorder="1" applyProtection="1">
      <protection locked="0"/>
    </xf>
    <xf numFmtId="0" fontId="0" fillId="19" borderId="7" xfId="0" applyFill="1" applyBorder="1"/>
    <xf numFmtId="171" fontId="12" fillId="19" borderId="7" xfId="2" applyNumberFormat="1" applyFont="1" applyFill="1" applyBorder="1" applyAlignment="1" applyProtection="1">
      <alignment horizontal="center"/>
      <protection locked="0"/>
    </xf>
    <xf numFmtId="0" fontId="0" fillId="19" borderId="15" xfId="0" applyFill="1" applyBorder="1"/>
    <xf numFmtId="171" fontId="51" fillId="20" borderId="6" xfId="0" applyNumberFormat="1" applyFont="1" applyFill="1" applyBorder="1" applyAlignment="1">
      <alignment horizontal="center"/>
    </xf>
    <xf numFmtId="171" fontId="12" fillId="20" borderId="6" xfId="0" applyNumberFormat="1" applyFont="1" applyFill="1" applyBorder="1" applyAlignment="1">
      <alignment horizontal="center"/>
    </xf>
    <xf numFmtId="0" fontId="47" fillId="7" borderId="4" xfId="0" applyFont="1" applyFill="1" applyBorder="1" applyAlignment="1" applyProtection="1">
      <alignment horizontal="left" wrapText="1" indent="1"/>
      <protection locked="0"/>
    </xf>
    <xf numFmtId="1" fontId="0" fillId="0" borderId="0" xfId="0" applyNumberFormat="1" applyFill="1"/>
    <xf numFmtId="44" fontId="0" fillId="0" borderId="0" xfId="0" applyNumberFormat="1" applyFill="1"/>
    <xf numFmtId="171" fontId="47" fillId="6" borderId="6" xfId="2" applyNumberFormat="1" applyFont="1" applyFill="1" applyBorder="1" applyAlignment="1">
      <alignment horizontal="right"/>
    </xf>
    <xf numFmtId="6" fontId="47" fillId="6" borderId="6" xfId="1" applyNumberFormat="1" applyFont="1" applyFill="1" applyBorder="1" applyAlignment="1">
      <alignment horizontal="right"/>
    </xf>
    <xf numFmtId="0" fontId="0" fillId="6" borderId="0" xfId="0" applyFill="1" applyAlignment="1">
      <alignment wrapText="1"/>
    </xf>
    <xf numFmtId="0" fontId="53" fillId="13" borderId="6" xfId="0" applyFont="1" applyFill="1" applyBorder="1" applyAlignment="1">
      <alignment wrapText="1"/>
    </xf>
    <xf numFmtId="0" fontId="53" fillId="13" borderId="6" xfId="0" applyFont="1" applyFill="1" applyBorder="1" applyAlignment="1">
      <alignment horizontal="center" vertical="top" wrapText="1"/>
    </xf>
    <xf numFmtId="166" fontId="47" fillId="6" borderId="6" xfId="1" applyNumberFormat="1" applyFont="1" applyFill="1" applyBorder="1" applyAlignment="1">
      <alignment horizontal="right"/>
    </xf>
    <xf numFmtId="9" fontId="47" fillId="6" borderId="6" xfId="3" applyFont="1" applyFill="1" applyBorder="1" applyAlignment="1">
      <alignment horizontal="right"/>
    </xf>
    <xf numFmtId="0" fontId="0" fillId="6" borderId="1" xfId="0" applyFill="1" applyBorder="1"/>
    <xf numFmtId="171" fontId="47" fillId="3" borderId="5" xfId="0" applyNumberFormat="1" applyFont="1" applyFill="1" applyBorder="1"/>
    <xf numFmtId="0" fontId="47" fillId="6" borderId="0" xfId="0" applyFont="1" applyFill="1" applyAlignment="1">
      <alignment vertical="top" wrapText="1"/>
    </xf>
    <xf numFmtId="43" fontId="0" fillId="0" borderId="0" xfId="1" applyNumberFormat="1" applyFont="1"/>
    <xf numFmtId="0" fontId="16" fillId="0" borderId="6" xfId="0" applyFont="1" applyBorder="1" applyAlignment="1">
      <alignment horizontal="center" wrapText="1"/>
    </xf>
    <xf numFmtId="9" fontId="47" fillId="6" borderId="6" xfId="3" applyNumberFormat="1" applyFont="1" applyFill="1" applyBorder="1" applyAlignment="1">
      <alignment horizontal="right"/>
    </xf>
    <xf numFmtId="9" fontId="47" fillId="6" borderId="7" xfId="3" applyFont="1" applyFill="1" applyBorder="1" applyAlignment="1">
      <alignment horizontal="center"/>
    </xf>
    <xf numFmtId="5" fontId="47" fillId="6" borderId="24" xfId="2" applyNumberFormat="1" applyFont="1" applyFill="1" applyBorder="1" applyAlignment="1">
      <alignment horizontal="center"/>
    </xf>
    <xf numFmtId="3" fontId="16" fillId="0" borderId="0" xfId="0" applyNumberFormat="1" applyFont="1"/>
    <xf numFmtId="37" fontId="25" fillId="0" borderId="0" xfId="0" applyNumberFormat="1" applyFont="1" applyFill="1" applyAlignment="1" applyProtection="1">
      <alignment horizontal="center"/>
    </xf>
    <xf numFmtId="3" fontId="25" fillId="0" borderId="0" xfId="0" applyNumberFormat="1" applyFont="1" applyFill="1" applyAlignment="1" applyProtection="1">
      <alignment horizontal="center"/>
    </xf>
    <xf numFmtId="3" fontId="25" fillId="0" borderId="0" xfId="0" applyNumberFormat="1" applyFont="1" applyFill="1" applyAlignment="1" applyProtection="1">
      <alignment horizontal="right"/>
    </xf>
    <xf numFmtId="37" fontId="25" fillId="0" borderId="10" xfId="0" applyNumberFormat="1" applyFont="1" applyFill="1" applyBorder="1" applyAlignment="1" applyProtection="1">
      <alignment horizontal="center"/>
    </xf>
    <xf numFmtId="3" fontId="25" fillId="0" borderId="10" xfId="0" applyNumberFormat="1" applyFont="1" applyFill="1" applyBorder="1" applyAlignment="1" applyProtection="1">
      <alignment horizontal="center"/>
    </xf>
    <xf numFmtId="3" fontId="25" fillId="0" borderId="10" xfId="0" applyNumberFormat="1" applyFont="1" applyFill="1" applyBorder="1" applyAlignment="1" applyProtection="1">
      <alignment horizontal="right"/>
    </xf>
    <xf numFmtId="0" fontId="18" fillId="0" borderId="0" xfId="0" applyFont="1" applyFill="1" applyAlignment="1" applyProtection="1">
      <alignment horizontal="right"/>
    </xf>
    <xf numFmtId="3" fontId="20" fillId="0" borderId="0" xfId="0" applyNumberFormat="1" applyFont="1" applyFill="1" applyAlignment="1">
      <alignment horizontal="right"/>
    </xf>
    <xf numFmtId="0" fontId="22" fillId="0" borderId="0" xfId="0" applyFont="1" applyFill="1" applyAlignment="1">
      <alignment horizontal="right"/>
    </xf>
    <xf numFmtId="1" fontId="19" fillId="0" borderId="0" xfId="0" applyNumberFormat="1" applyFont="1" applyFill="1" applyAlignment="1">
      <alignment horizontal="right"/>
    </xf>
    <xf numFmtId="0" fontId="27" fillId="0" borderId="0" xfId="0" applyFont="1" applyFill="1"/>
    <xf numFmtId="0" fontId="0" fillId="0" borderId="0" xfId="0" applyAlignment="1">
      <alignment horizontal="center"/>
    </xf>
    <xf numFmtId="0" fontId="4" fillId="0" borderId="0" xfId="0" applyFont="1" applyAlignment="1">
      <alignment horizontal="center"/>
    </xf>
    <xf numFmtId="1" fontId="0" fillId="0" borderId="0" xfId="0" applyNumberFormat="1" applyFont="1" applyFill="1" applyAlignment="1">
      <alignment horizontal="center" vertical="center"/>
    </xf>
    <xf numFmtId="0" fontId="2" fillId="2" borderId="0" xfId="0" applyFont="1" applyFill="1" applyAlignment="1">
      <alignment horizontal="center" vertical="center"/>
    </xf>
    <xf numFmtId="0" fontId="2" fillId="4" borderId="0" xfId="0" applyFont="1" applyFill="1" applyAlignment="1">
      <alignment horizontal="center" vertical="center"/>
    </xf>
    <xf numFmtId="0" fontId="0" fillId="0" borderId="0" xfId="0" applyFont="1" applyFill="1" applyAlignment="1">
      <alignment horizontal="center" vertical="center"/>
    </xf>
    <xf numFmtId="0" fontId="5" fillId="0" borderId="0" xfId="0" applyFont="1" applyFill="1" applyAlignment="1">
      <alignment horizontal="center" vertical="center" wrapText="1"/>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4" borderId="0" xfId="0" applyFill="1" applyAlignment="1">
      <alignment horizontal="center" vertical="center"/>
    </xf>
    <xf numFmtId="164" fontId="0" fillId="0" borderId="0" xfId="2" applyNumberFormat="1" applyFont="1" applyAlignment="1">
      <alignment horizontal="center" vertical="center"/>
    </xf>
    <xf numFmtId="0" fontId="4" fillId="0" borderId="0" xfId="0" applyNumberFormat="1" applyFont="1" applyFill="1" applyAlignment="1">
      <alignment horizontal="center" vertical="top"/>
    </xf>
    <xf numFmtId="0" fontId="0" fillId="0" borderId="0" xfId="0" applyAlignment="1">
      <alignment horizontal="center" vertical="top"/>
    </xf>
    <xf numFmtId="0" fontId="4" fillId="0" borderId="0" xfId="0" applyFont="1" applyFill="1" applyAlignment="1">
      <alignment horizontal="center" vertical="top"/>
    </xf>
    <xf numFmtId="0" fontId="4" fillId="2" borderId="0" xfId="0" applyFont="1" applyFill="1" applyAlignment="1">
      <alignment horizontal="center" vertical="top"/>
    </xf>
    <xf numFmtId="0" fontId="2" fillId="4" borderId="0" xfId="0" applyFont="1" applyFill="1" applyAlignment="1">
      <alignment horizontal="center" vertical="top"/>
    </xf>
    <xf numFmtId="0" fontId="2" fillId="2" borderId="0" xfId="0" applyFont="1" applyFill="1" applyAlignment="1">
      <alignment horizontal="center" vertical="top"/>
    </xf>
    <xf numFmtId="0" fontId="0" fillId="2" borderId="0" xfId="0" applyFill="1" applyAlignment="1">
      <alignment horizontal="center" vertical="top"/>
    </xf>
    <xf numFmtId="0" fontId="4" fillId="4" borderId="0" xfId="0" applyFont="1" applyFill="1" applyAlignment="1">
      <alignment horizontal="center" vertical="top"/>
    </xf>
    <xf numFmtId="0" fontId="4" fillId="4" borderId="0" xfId="0" applyFont="1" applyFill="1" applyBorder="1" applyAlignment="1">
      <alignment horizontal="center" vertical="top"/>
    </xf>
    <xf numFmtId="0" fontId="0" fillId="4" borderId="0" xfId="0" applyFill="1" applyAlignment="1">
      <alignment horizontal="center" vertical="top"/>
    </xf>
    <xf numFmtId="0" fontId="4" fillId="0" borderId="0" xfId="0" applyFont="1" applyFill="1" applyBorder="1" applyAlignment="1">
      <alignment horizontal="center" vertical="top"/>
    </xf>
    <xf numFmtId="0" fontId="6" fillId="0" borderId="0" xfId="0" applyNumberFormat="1" applyFont="1" applyFill="1" applyAlignment="1">
      <alignment horizontal="center" vertical="top"/>
    </xf>
    <xf numFmtId="0" fontId="6" fillId="0" borderId="0" xfId="0" applyFont="1" applyFill="1" applyAlignment="1">
      <alignment horizontal="center" vertical="top"/>
    </xf>
    <xf numFmtId="0" fontId="6" fillId="2" borderId="0" xfId="0" applyFont="1" applyFill="1" applyAlignment="1">
      <alignment horizontal="center" vertical="top"/>
    </xf>
    <xf numFmtId="0" fontId="0" fillId="0" borderId="0" xfId="0" applyAlignment="1">
      <alignment vertical="top"/>
    </xf>
    <xf numFmtId="0" fontId="0" fillId="0" borderId="0" xfId="0" applyFont="1" applyAlignment="1">
      <alignment horizontal="center" vertical="top" wrapText="1"/>
    </xf>
    <xf numFmtId="0" fontId="0" fillId="0" borderId="0" xfId="0" applyFont="1" applyFill="1" applyAlignment="1">
      <alignment horizontal="center" vertical="top" wrapText="1"/>
    </xf>
    <xf numFmtId="0" fontId="0" fillId="2" borderId="0" xfId="0" applyFont="1" applyFill="1" applyAlignment="1">
      <alignment horizontal="center" vertical="top" wrapText="1"/>
    </xf>
    <xf numFmtId="0" fontId="0" fillId="2" borderId="0" xfId="0" applyFill="1" applyAlignment="1">
      <alignment vertical="top"/>
    </xf>
    <xf numFmtId="0" fontId="28" fillId="0" borderId="0" xfId="0" applyFont="1" applyFill="1" applyAlignment="1">
      <alignment vertical="top"/>
    </xf>
    <xf numFmtId="0" fontId="10" fillId="0" borderId="0" xfId="0" applyFont="1" applyAlignment="1">
      <alignment horizontal="center" vertical="top"/>
    </xf>
    <xf numFmtId="0" fontId="10" fillId="2" borderId="0" xfId="0" applyFont="1" applyFill="1" applyAlignment="1">
      <alignment horizontal="center" vertical="top"/>
    </xf>
    <xf numFmtId="0" fontId="11" fillId="2" borderId="0" xfId="0" applyFont="1" applyFill="1" applyAlignment="1">
      <alignment vertical="top"/>
    </xf>
    <xf numFmtId="0" fontId="11" fillId="0" borderId="0" xfId="0" applyFont="1" applyFill="1" applyAlignment="1">
      <alignment vertical="top"/>
    </xf>
    <xf numFmtId="164" fontId="0" fillId="0" borderId="0" xfId="2" applyNumberFormat="1" applyFont="1" applyAlignment="1">
      <alignment vertical="top"/>
    </xf>
    <xf numFmtId="0" fontId="4" fillId="3" borderId="9" xfId="0" applyFont="1" applyFill="1" applyBorder="1" applyAlignment="1">
      <alignment horizontal="center" vertical="top"/>
    </xf>
    <xf numFmtId="0" fontId="4" fillId="2" borderId="13" xfId="0" applyFont="1" applyFill="1" applyBorder="1" applyAlignment="1">
      <alignment horizontal="center" vertical="top"/>
    </xf>
    <xf numFmtId="0" fontId="0" fillId="0" borderId="0" xfId="0" applyAlignment="1">
      <alignment horizontal="center" vertical="top" wrapText="1"/>
    </xf>
    <xf numFmtId="0" fontId="0" fillId="3" borderId="0" xfId="0" applyFill="1" applyAlignment="1">
      <alignment horizontal="center" vertical="top" wrapText="1"/>
    </xf>
    <xf numFmtId="0" fontId="0" fillId="0" borderId="0" xfId="0" applyFill="1" applyAlignment="1">
      <alignment horizontal="center" vertical="top" wrapText="1"/>
    </xf>
    <xf numFmtId="0" fontId="4" fillId="0" borderId="13" xfId="0" applyFont="1" applyBorder="1" applyAlignment="1">
      <alignment horizontal="center" vertical="top"/>
    </xf>
    <xf numFmtId="0" fontId="4" fillId="0" borderId="0" xfId="0" applyFont="1" applyBorder="1" applyAlignment="1">
      <alignment horizontal="center" vertical="top"/>
    </xf>
    <xf numFmtId="0" fontId="11" fillId="0" borderId="0" xfId="0" applyFont="1" applyBorder="1" applyAlignment="1">
      <alignment horizontal="center" vertical="top" wrapText="1"/>
    </xf>
    <xf numFmtId="0" fontId="28" fillId="0" borderId="0" xfId="0" applyFont="1" applyFill="1" applyBorder="1" applyAlignment="1">
      <alignment vertical="top"/>
    </xf>
    <xf numFmtId="0" fontId="11" fillId="0" borderId="0" xfId="0" applyFont="1" applyAlignment="1">
      <alignment horizontal="center" vertical="top" wrapText="1"/>
    </xf>
    <xf numFmtId="0" fontId="11" fillId="0" borderId="0" xfId="0" applyFont="1" applyAlignment="1">
      <alignment horizontal="center" vertical="top"/>
    </xf>
    <xf numFmtId="0" fontId="11" fillId="2" borderId="0" xfId="0" applyFont="1" applyFill="1" applyAlignment="1">
      <alignment horizontal="center" vertical="top" wrapText="1"/>
    </xf>
    <xf numFmtId="0" fontId="14" fillId="0" borderId="0" xfId="0" applyFont="1" applyFill="1" applyAlignment="1">
      <alignment horizontal="center" vertical="top" wrapText="1"/>
    </xf>
    <xf numFmtId="0" fontId="11" fillId="3" borderId="0" xfId="0" applyFont="1" applyFill="1" applyAlignment="1">
      <alignment horizontal="center" vertical="top" wrapText="1"/>
    </xf>
    <xf numFmtId="0" fontId="11" fillId="2" borderId="7" xfId="0" applyFont="1" applyFill="1" applyBorder="1" applyAlignment="1">
      <alignment vertical="top"/>
    </xf>
    <xf numFmtId="0" fontId="11" fillId="0" borderId="0" xfId="0" applyFont="1" applyFill="1" applyBorder="1" applyAlignment="1">
      <alignment vertical="top"/>
    </xf>
    <xf numFmtId="0" fontId="11" fillId="3" borderId="0" xfId="0" applyFont="1" applyFill="1" applyBorder="1" applyAlignment="1">
      <alignment horizontal="center" vertical="top"/>
    </xf>
    <xf numFmtId="164" fontId="0" fillId="0" borderId="0" xfId="2" applyNumberFormat="1" applyFont="1" applyAlignment="1">
      <alignment horizontal="center" vertical="top" wrapText="1"/>
    </xf>
    <xf numFmtId="16" fontId="0" fillId="0" borderId="0" xfId="0" applyNumberFormat="1" applyAlignment="1">
      <alignment horizontal="center" vertical="top" wrapText="1"/>
    </xf>
    <xf numFmtId="0" fontId="0" fillId="2" borderId="0" xfId="0" applyFill="1" applyAlignment="1">
      <alignment horizontal="center" vertical="top" wrapText="1"/>
    </xf>
    <xf numFmtId="164" fontId="0" fillId="0" borderId="0" xfId="0" applyNumberFormat="1" applyAlignment="1">
      <alignment vertical="top"/>
    </xf>
    <xf numFmtId="0" fontId="4" fillId="0" borderId="0" xfId="0" applyNumberFormat="1" applyFont="1" applyFill="1" applyAlignment="1">
      <alignment horizontal="left" vertical="top"/>
    </xf>
    <xf numFmtId="0" fontId="4" fillId="2" borderId="0" xfId="0" applyFont="1" applyFill="1" applyAlignment="1">
      <alignment horizontal="left" vertical="top"/>
    </xf>
    <xf numFmtId="164" fontId="4" fillId="0" borderId="0" xfId="0" applyNumberFormat="1" applyFont="1" applyFill="1" applyAlignment="1">
      <alignment horizontal="left" vertical="top"/>
    </xf>
    <xf numFmtId="164" fontId="4" fillId="2" borderId="0" xfId="0" applyNumberFormat="1" applyFont="1" applyFill="1" applyAlignment="1">
      <alignment horizontal="left" vertical="top"/>
    </xf>
    <xf numFmtId="9" fontId="4" fillId="0" borderId="0" xfId="3" applyFont="1" applyFill="1" applyAlignment="1">
      <alignment horizontal="left" vertical="top"/>
    </xf>
    <xf numFmtId="43" fontId="4" fillId="0" borderId="0" xfId="3" applyNumberFormat="1" applyFont="1" applyAlignment="1">
      <alignment horizontal="left" vertical="top"/>
    </xf>
    <xf numFmtId="167" fontId="4" fillId="3" borderId="0" xfId="1" applyNumberFormat="1" applyFont="1" applyFill="1" applyAlignment="1">
      <alignment horizontal="center" vertical="top"/>
    </xf>
    <xf numFmtId="166" fontId="4" fillId="0" borderId="0" xfId="1" applyNumberFormat="1" applyFont="1" applyFill="1" applyAlignment="1">
      <alignment horizontal="center" vertical="top"/>
    </xf>
    <xf numFmtId="44" fontId="4" fillId="0" borderId="0" xfId="2" applyFont="1" applyAlignment="1">
      <alignment horizontal="left" vertical="top"/>
    </xf>
    <xf numFmtId="164" fontId="4" fillId="0" borderId="0" xfId="0" applyNumberFormat="1" applyFont="1" applyAlignment="1">
      <alignment horizontal="left" vertical="top"/>
    </xf>
    <xf numFmtId="166" fontId="0" fillId="0" borderId="0" xfId="0" applyNumberFormat="1" applyAlignment="1">
      <alignment vertical="top"/>
    </xf>
    <xf numFmtId="5" fontId="0" fillId="0" borderId="0" xfId="0" applyNumberFormat="1" applyAlignment="1">
      <alignment vertical="top"/>
    </xf>
    <xf numFmtId="164" fontId="0" fillId="0" borderId="0" xfId="0" applyNumberFormat="1" applyFill="1" applyAlignment="1">
      <alignment vertical="top"/>
    </xf>
    <xf numFmtId="42" fontId="16" fillId="0" borderId="0" xfId="0" applyNumberFormat="1" applyFont="1" applyAlignment="1"/>
    <xf numFmtId="174" fontId="16" fillId="0" borderId="34" xfId="0" applyNumberFormat="1" applyFont="1" applyBorder="1"/>
    <xf numFmtId="174" fontId="16" fillId="0" borderId="34" xfId="0" applyNumberFormat="1" applyFont="1" applyBorder="1" applyAlignment="1">
      <alignment horizontal="center"/>
    </xf>
    <xf numFmtId="174" fontId="16" fillId="0" borderId="38" xfId="0" applyNumberFormat="1" applyFont="1" applyBorder="1"/>
    <xf numFmtId="174" fontId="16" fillId="0" borderId="0" xfId="0" applyNumberFormat="1" applyFont="1" applyBorder="1"/>
    <xf numFmtId="174" fontId="16" fillId="0" borderId="38" xfId="0" applyNumberFormat="1" applyFont="1" applyBorder="1" applyAlignment="1">
      <alignment horizontal="center"/>
    </xf>
    <xf numFmtId="41" fontId="16" fillId="0" borderId="0" xfId="0" applyNumberFormat="1" applyFont="1" applyFill="1" applyAlignment="1"/>
    <xf numFmtId="174" fontId="16" fillId="0" borderId="44" xfId="0" applyNumberFormat="1" applyFont="1" applyFill="1" applyBorder="1"/>
    <xf numFmtId="174" fontId="16" fillId="0" borderId="44" xfId="0" applyNumberFormat="1" applyFont="1" applyFill="1" applyBorder="1" applyAlignment="1">
      <alignment horizontal="center"/>
    </xf>
    <xf numFmtId="170" fontId="16" fillId="0" borderId="46" xfId="0" applyNumberFormat="1" applyFont="1" applyFill="1" applyBorder="1" applyAlignment="1">
      <alignment horizontal="center"/>
    </xf>
    <xf numFmtId="170" fontId="16" fillId="0" borderId="44" xfId="0" quotePrefix="1" applyNumberFormat="1" applyFont="1" applyFill="1" applyBorder="1" applyAlignment="1"/>
    <xf numFmtId="174" fontId="16" fillId="0" borderId="47" xfId="0" applyNumberFormat="1" applyFont="1" applyFill="1" applyBorder="1"/>
    <xf numFmtId="174" fontId="16" fillId="0" borderId="44" xfId="0" applyNumberFormat="1" applyFont="1" applyBorder="1"/>
    <xf numFmtId="174" fontId="16" fillId="0" borderId="44" xfId="0" applyNumberFormat="1" applyFont="1" applyBorder="1" applyAlignment="1">
      <alignment horizontal="center"/>
    </xf>
    <xf numFmtId="174" fontId="16" fillId="0" borderId="47" xfId="0" applyNumberFormat="1" applyFont="1" applyBorder="1"/>
    <xf numFmtId="170" fontId="16" fillId="0" borderId="44" xfId="0" applyNumberFormat="1" applyFont="1" applyFill="1" applyBorder="1" applyAlignment="1"/>
    <xf numFmtId="0" fontId="16" fillId="0" borderId="44" xfId="0" applyFont="1" applyBorder="1"/>
    <xf numFmtId="0" fontId="16" fillId="0" borderId="0" xfId="0" applyFont="1" applyFill="1" applyBorder="1"/>
    <xf numFmtId="170" fontId="17" fillId="0" borderId="44" xfId="0" quotePrefix="1" applyNumberFormat="1" applyFont="1" applyFill="1" applyBorder="1" applyAlignment="1"/>
    <xf numFmtId="170" fontId="16" fillId="0" borderId="42" xfId="0" applyNumberFormat="1" applyFont="1" applyFill="1" applyBorder="1" applyAlignment="1">
      <alignment horizontal="left" vertical="center"/>
    </xf>
    <xf numFmtId="170" fontId="16" fillId="0" borderId="43" xfId="0" quotePrefix="1" applyNumberFormat="1" applyFont="1" applyFill="1" applyBorder="1" applyAlignment="1">
      <alignment horizontal="left" vertical="center"/>
    </xf>
    <xf numFmtId="174" fontId="16" fillId="0" borderId="43" xfId="0" applyNumberFormat="1" applyFont="1" applyFill="1" applyBorder="1" applyAlignment="1">
      <alignment horizontal="right" vertical="center"/>
    </xf>
    <xf numFmtId="174" fontId="16" fillId="0" borderId="45" xfId="0" applyNumberFormat="1" applyFont="1" applyFill="1" applyBorder="1" applyAlignment="1">
      <alignment horizontal="right" vertical="center"/>
    </xf>
    <xf numFmtId="174" fontId="16" fillId="0" borderId="0" xfId="0" applyNumberFormat="1" applyFont="1" applyFill="1" applyBorder="1"/>
    <xf numFmtId="170" fontId="16" fillId="0" borderId="42" xfId="0" applyNumberFormat="1" applyFont="1" applyFill="1" applyBorder="1" applyAlignment="1">
      <alignment horizontal="center" vertical="center"/>
    </xf>
    <xf numFmtId="170" fontId="16" fillId="0" borderId="43" xfId="0" applyNumberFormat="1" applyFont="1" applyFill="1" applyBorder="1" applyAlignment="1">
      <alignment vertical="center"/>
    </xf>
    <xf numFmtId="174" fontId="16" fillId="0" borderId="43" xfId="0" applyNumberFormat="1" applyFont="1" applyFill="1" applyBorder="1" applyAlignment="1">
      <alignment vertical="center"/>
    </xf>
    <xf numFmtId="174" fontId="16" fillId="0" borderId="45" xfId="0" applyNumberFormat="1" applyFont="1" applyFill="1" applyBorder="1" applyAlignment="1">
      <alignment vertical="center"/>
    </xf>
    <xf numFmtId="174" fontId="16" fillId="0" borderId="0" xfId="0" applyNumberFormat="1" applyFont="1" applyFill="1"/>
    <xf numFmtId="41" fontId="16" fillId="0" borderId="0" xfId="12" applyNumberFormat="1" applyFont="1" applyFill="1" applyAlignment="1"/>
    <xf numFmtId="174" fontId="16" fillId="0" borderId="44" xfId="12" applyNumberFormat="1" applyFont="1" applyFill="1" applyBorder="1"/>
    <xf numFmtId="0" fontId="16" fillId="0" borderId="0" xfId="12" applyFont="1" applyFill="1"/>
    <xf numFmtId="174" fontId="16" fillId="0" borderId="44" xfId="12" applyNumberFormat="1" applyFont="1" applyFill="1" applyBorder="1" applyAlignment="1">
      <alignment horizontal="center"/>
    </xf>
    <xf numFmtId="170" fontId="16" fillId="0" borderId="48" xfId="0" applyNumberFormat="1" applyFont="1" applyFill="1" applyBorder="1" applyAlignment="1">
      <alignment horizontal="center"/>
    </xf>
    <xf numFmtId="170" fontId="16" fillId="0" borderId="49" xfId="0" applyNumberFormat="1" applyFont="1" applyFill="1" applyBorder="1" applyAlignment="1"/>
    <xf numFmtId="174" fontId="16" fillId="0" borderId="49" xfId="0" applyNumberFormat="1" applyFont="1" applyBorder="1"/>
    <xf numFmtId="174" fontId="16" fillId="0" borderId="49" xfId="0" applyNumberFormat="1" applyFont="1" applyBorder="1" applyAlignment="1">
      <alignment horizontal="center"/>
    </xf>
    <xf numFmtId="174" fontId="16" fillId="0" borderId="50" xfId="0" applyNumberFormat="1" applyFont="1" applyBorder="1"/>
    <xf numFmtId="0" fontId="16" fillId="0" borderId="4" xfId="0" applyFont="1" applyBorder="1"/>
    <xf numFmtId="170" fontId="16" fillId="0" borderId="1" xfId="0" applyNumberFormat="1" applyFont="1" applyBorder="1" applyAlignment="1"/>
    <xf numFmtId="42" fontId="16" fillId="0" borderId="1" xfId="0" applyNumberFormat="1" applyFont="1" applyBorder="1"/>
    <xf numFmtId="42" fontId="17" fillId="0" borderId="1" xfId="0" applyNumberFormat="1" applyFont="1" applyBorder="1"/>
    <xf numFmtId="0" fontId="16" fillId="0" borderId="1" xfId="0" applyFont="1" applyBorder="1"/>
    <xf numFmtId="0" fontId="16" fillId="0" borderId="1" xfId="0" applyFont="1" applyBorder="1" applyAlignment="1">
      <alignment horizontal="center"/>
    </xf>
    <xf numFmtId="0" fontId="16" fillId="0" borderId="5" xfId="0" applyFont="1" applyBorder="1"/>
    <xf numFmtId="174" fontId="16" fillId="0" borderId="0" xfId="0" applyNumberFormat="1" applyFont="1"/>
    <xf numFmtId="43" fontId="0" fillId="0" borderId="0" xfId="1" applyNumberFormat="1" applyFont="1" applyFill="1"/>
    <xf numFmtId="0" fontId="5" fillId="0" borderId="0" xfId="0" applyFont="1" applyFill="1" applyAlignment="1">
      <alignment horizontal="center" vertical="top" wrapText="1"/>
    </xf>
    <xf numFmtId="1" fontId="19" fillId="0" borderId="0" xfId="0" applyNumberFormat="1" applyFont="1" applyFill="1" applyAlignment="1">
      <alignment horizontal="center"/>
    </xf>
    <xf numFmtId="0" fontId="19" fillId="0" borderId="0" xfId="0" applyFont="1" applyFill="1" applyAlignment="1">
      <alignment horizontal="center"/>
    </xf>
    <xf numFmtId="3" fontId="17" fillId="0" borderId="0" xfId="0" applyNumberFormat="1" applyFont="1" applyFill="1" applyAlignment="1">
      <alignment horizontal="center"/>
    </xf>
    <xf numFmtId="0" fontId="17" fillId="0" borderId="0" xfId="0" applyNumberFormat="1" applyFont="1" applyFill="1" applyAlignment="1">
      <alignment horizontal="center"/>
    </xf>
    <xf numFmtId="0" fontId="36" fillId="0" borderId="0" xfId="0" applyFont="1" applyAlignment="1">
      <alignment horizontal="center" vertical="top" wrapText="1"/>
    </xf>
    <xf numFmtId="3" fontId="17" fillId="0" borderId="0" xfId="0" applyNumberFormat="1" applyFont="1" applyFill="1" applyAlignment="1">
      <alignment horizontal="center" vertical="top" wrapText="1"/>
    </xf>
    <xf numFmtId="3" fontId="36" fillId="0" borderId="0" xfId="0" applyNumberFormat="1" applyFont="1" applyFill="1" applyAlignment="1">
      <alignment vertical="top"/>
    </xf>
    <xf numFmtId="0" fontId="0" fillId="0" borderId="0" xfId="0" applyFill="1" applyAlignment="1">
      <alignment horizontal="center" vertical="top"/>
    </xf>
    <xf numFmtId="164" fontId="0" fillId="0" borderId="0" xfId="0" applyNumberFormat="1" applyFill="1" applyAlignment="1">
      <alignment horizontal="left" vertical="top"/>
    </xf>
    <xf numFmtId="0" fontId="10" fillId="0" borderId="0" xfId="0" applyFont="1" applyFill="1" applyAlignment="1">
      <alignment horizontal="center" vertical="top"/>
    </xf>
    <xf numFmtId="0" fontId="29" fillId="9" borderId="11" xfId="0" applyFont="1" applyFill="1" applyBorder="1" applyAlignment="1">
      <alignment wrapText="1" readingOrder="1"/>
    </xf>
    <xf numFmtId="0" fontId="56" fillId="7" borderId="0" xfId="0" applyFont="1" applyFill="1" applyAlignment="1">
      <alignment wrapText="1"/>
    </xf>
    <xf numFmtId="0" fontId="31" fillId="7" borderId="11" xfId="0" applyFont="1" applyFill="1" applyBorder="1" applyAlignment="1">
      <alignment wrapText="1" readingOrder="1"/>
    </xf>
    <xf numFmtId="6" fontId="31" fillId="7" borderId="11" xfId="0" applyNumberFormat="1" applyFont="1" applyFill="1" applyBorder="1" applyAlignment="1">
      <alignment wrapText="1" readingOrder="1"/>
    </xf>
    <xf numFmtId="0" fontId="56" fillId="7" borderId="11" xfId="0" applyFont="1" applyFill="1" applyBorder="1" applyAlignment="1">
      <alignment wrapText="1" readingOrder="1"/>
    </xf>
    <xf numFmtId="0" fontId="56" fillId="10" borderId="11" xfId="0" applyFont="1" applyFill="1" applyBorder="1" applyAlignment="1">
      <alignment wrapText="1" readingOrder="1"/>
    </xf>
    <xf numFmtId="0" fontId="29" fillId="9" borderId="0" xfId="0" applyFont="1" applyFill="1" applyBorder="1" applyAlignment="1">
      <alignment wrapText="1" readingOrder="1"/>
    </xf>
    <xf numFmtId="0" fontId="0" fillId="13" borderId="0" xfId="0" applyFill="1" applyAlignment="1">
      <alignment horizontal="right"/>
    </xf>
    <xf numFmtId="0" fontId="0" fillId="3" borderId="0" xfId="0" applyNumberFormat="1" applyFill="1"/>
    <xf numFmtId="49" fontId="0" fillId="0" borderId="0" xfId="0" applyNumberFormat="1" applyFill="1"/>
    <xf numFmtId="0" fontId="4" fillId="0" borderId="0" xfId="0" applyFont="1" applyFill="1" applyAlignment="1">
      <alignment horizontal="center" wrapText="1"/>
    </xf>
    <xf numFmtId="0" fontId="4" fillId="0" borderId="0" xfId="0" applyFont="1" applyFill="1" applyAlignment="1">
      <alignment horizontal="left" indent="1"/>
    </xf>
    <xf numFmtId="0" fontId="0" fillId="0" borderId="0" xfId="0" applyNumberFormat="1" applyFill="1" applyAlignment="1">
      <alignment horizontal="right"/>
    </xf>
    <xf numFmtId="0" fontId="0" fillId="0" borderId="0" xfId="0" applyFill="1" applyAlignment="1">
      <alignment horizontal="right"/>
    </xf>
    <xf numFmtId="0" fontId="0" fillId="0" borderId="0" xfId="0" applyFill="1" applyBorder="1"/>
    <xf numFmtId="49" fontId="0" fillId="0" borderId="0" xfId="0" applyNumberFormat="1" applyFill="1" applyBorder="1" applyAlignment="1">
      <alignment wrapText="1"/>
    </xf>
    <xf numFmtId="49" fontId="0" fillId="0" borderId="0" xfId="0" applyNumberFormat="1" applyFill="1" applyBorder="1"/>
    <xf numFmtId="0" fontId="0" fillId="0" borderId="0" xfId="0" applyNumberFormat="1" applyFont="1" applyFill="1" applyBorder="1" applyAlignment="1" applyProtection="1">
      <alignment horizontal="right"/>
    </xf>
    <xf numFmtId="0" fontId="0" fillId="0" borderId="0" xfId="0" applyFill="1" applyBorder="1" applyAlignment="1">
      <alignment horizontal="left"/>
    </xf>
    <xf numFmtId="166" fontId="0" fillId="0" borderId="0" xfId="1" applyNumberFormat="1" applyFont="1" applyFill="1" applyAlignment="1">
      <alignment horizontal="center"/>
    </xf>
    <xf numFmtId="166" fontId="0" fillId="0" borderId="0" xfId="1" applyNumberFormat="1" applyFont="1" applyFill="1" applyBorder="1" applyAlignment="1">
      <alignment horizontal="center" wrapText="1"/>
    </xf>
    <xf numFmtId="166" fontId="0" fillId="0" borderId="0" xfId="1" applyNumberFormat="1" applyFont="1" applyFill="1" applyBorder="1" applyAlignment="1">
      <alignment horizontal="center"/>
    </xf>
    <xf numFmtId="166" fontId="0" fillId="3" borderId="0" xfId="1" applyNumberFormat="1" applyFont="1" applyFill="1" applyBorder="1" applyAlignment="1">
      <alignment horizontal="center"/>
    </xf>
    <xf numFmtId="0" fontId="2" fillId="2" borderId="18" xfId="0" applyFont="1" applyFill="1" applyBorder="1" applyAlignment="1">
      <alignment horizontal="center" vertical="center"/>
    </xf>
    <xf numFmtId="0" fontId="2" fillId="2" borderId="8" xfId="0" applyFont="1" applyFill="1" applyBorder="1" applyAlignment="1">
      <alignment horizontal="center" vertical="top"/>
    </xf>
    <xf numFmtId="0" fontId="31" fillId="3" borderId="11" xfId="0" applyFont="1" applyFill="1" applyBorder="1" applyAlignment="1">
      <alignment wrapText="1" readingOrder="1"/>
    </xf>
    <xf numFmtId="3" fontId="0" fillId="0" borderId="0" xfId="0" applyNumberFormat="1"/>
    <xf numFmtId="165" fontId="20" fillId="3" borderId="0" xfId="0" applyNumberFormat="1" applyFont="1" applyFill="1"/>
    <xf numFmtId="3" fontId="20" fillId="3" borderId="0" xfId="0" applyNumberFormat="1" applyFont="1" applyFill="1" applyAlignment="1">
      <alignment horizontal="right"/>
    </xf>
    <xf numFmtId="3" fontId="20" fillId="3" borderId="0" xfId="0" applyNumberFormat="1" applyFont="1" applyFill="1" applyAlignment="1">
      <alignment horizontal="left"/>
    </xf>
    <xf numFmtId="49" fontId="22" fillId="3" borderId="0" xfId="0" applyNumberFormat="1" applyFont="1" applyFill="1" applyAlignment="1">
      <alignment horizontal="center"/>
    </xf>
    <xf numFmtId="3" fontId="22" fillId="3" borderId="0" xfId="0" applyNumberFormat="1" applyFont="1" applyFill="1" applyAlignment="1">
      <alignment horizontal="right"/>
    </xf>
    <xf numFmtId="3" fontId="16" fillId="3" borderId="0" xfId="0" applyNumberFormat="1" applyFont="1" applyFill="1" applyAlignment="1"/>
    <xf numFmtId="3" fontId="36" fillId="3" borderId="0" xfId="0" applyNumberFormat="1" applyFont="1" applyFill="1" applyAlignment="1">
      <alignment vertical="top"/>
    </xf>
    <xf numFmtId="3" fontId="17" fillId="3" borderId="0" xfId="0" applyNumberFormat="1" applyFont="1" applyFill="1"/>
    <xf numFmtId="0" fontId="17" fillId="3" borderId="0" xfId="0" applyNumberFormat="1" applyFont="1" applyFill="1"/>
    <xf numFmtId="0" fontId="17" fillId="3" borderId="0" xfId="0" applyFont="1" applyFill="1"/>
    <xf numFmtId="165" fontId="20" fillId="3" borderId="0" xfId="0" applyNumberFormat="1" applyFont="1" applyFill="1" applyAlignment="1">
      <alignment horizontal="left"/>
    </xf>
    <xf numFmtId="0" fontId="27" fillId="3" borderId="0" xfId="0" applyFont="1" applyFill="1"/>
    <xf numFmtId="0" fontId="20" fillId="3" borderId="0" xfId="0" applyFont="1" applyFill="1" applyAlignment="1">
      <alignment horizontal="center"/>
    </xf>
    <xf numFmtId="3" fontId="20" fillId="3" borderId="0" xfId="0" applyNumberFormat="1" applyFont="1" applyFill="1" applyBorder="1" applyAlignment="1">
      <alignment horizontal="right"/>
    </xf>
    <xf numFmtId="0" fontId="22" fillId="3" borderId="0" xfId="0" applyFont="1" applyFill="1" applyAlignment="1" applyProtection="1">
      <alignment horizontal="right" wrapText="1" readingOrder="1"/>
      <protection locked="0"/>
    </xf>
    <xf numFmtId="164" fontId="0" fillId="0" borderId="0" xfId="0" applyNumberFormat="1" applyFont="1" applyFill="1" applyAlignment="1">
      <alignment horizontal="center" vertical="center"/>
    </xf>
    <xf numFmtId="0" fontId="11" fillId="0" borderId="0" xfId="0" applyFont="1" applyFill="1" applyAlignment="1">
      <alignment horizontal="center" vertical="top" wrapText="1"/>
    </xf>
    <xf numFmtId="0" fontId="10" fillId="0" borderId="0" xfId="0" applyFont="1" applyFill="1" applyAlignment="1">
      <alignment horizontal="center" vertical="top" wrapText="1"/>
    </xf>
    <xf numFmtId="0" fontId="0" fillId="0" borderId="0" xfId="0" applyAlignment="1">
      <alignment horizontal="center"/>
    </xf>
    <xf numFmtId="0" fontId="0" fillId="0" borderId="0" xfId="0" applyAlignment="1">
      <alignment horizontal="right" vertical="top"/>
    </xf>
    <xf numFmtId="0" fontId="6" fillId="3" borderId="0" xfId="0" applyFont="1" applyFill="1" applyAlignment="1">
      <alignment horizontal="right" vertical="top" wrapText="1"/>
    </xf>
    <xf numFmtId="0" fontId="6" fillId="0" borderId="0" xfId="0" applyFont="1" applyFill="1" applyAlignment="1">
      <alignment horizontal="right" vertical="top" wrapText="1"/>
    </xf>
    <xf numFmtId="0" fontId="4" fillId="0" borderId="2" xfId="0" applyFont="1" applyBorder="1" applyAlignment="1">
      <alignment horizontal="center" vertical="center" textRotation="90" wrapText="1"/>
    </xf>
    <xf numFmtId="0" fontId="4" fillId="0" borderId="0" xfId="0" applyNumberFormat="1" applyFont="1" applyFill="1" applyAlignment="1">
      <alignment horizontal="center" vertical="center"/>
    </xf>
    <xf numFmtId="0" fontId="8" fillId="0" borderId="0" xfId="0" applyFont="1" applyAlignment="1">
      <alignment horizontal="left" vertical="center"/>
    </xf>
    <xf numFmtId="0" fontId="6" fillId="0" borderId="0" xfId="0" applyFont="1" applyFill="1" applyAlignment="1">
      <alignment horizontal="right" vertical="center" wrapText="1"/>
    </xf>
    <xf numFmtId="0" fontId="4" fillId="0" borderId="0" xfId="0" applyFont="1" applyAlignment="1">
      <alignment horizontal="center" vertical="center"/>
    </xf>
    <xf numFmtId="0" fontId="4" fillId="2" borderId="0" xfId="0" applyFont="1" applyFill="1" applyAlignment="1">
      <alignment horizontal="center" vertical="center"/>
    </xf>
    <xf numFmtId="0" fontId="0" fillId="0" borderId="0" xfId="0" applyAlignment="1">
      <alignment vertical="center"/>
    </xf>
    <xf numFmtId="164" fontId="0" fillId="5" borderId="3" xfId="0" applyNumberFormat="1" applyFill="1" applyBorder="1" applyAlignment="1">
      <alignment vertical="center"/>
    </xf>
    <xf numFmtId="164" fontId="0" fillId="5" borderId="9" xfId="0" applyNumberFormat="1" applyFill="1" applyBorder="1" applyAlignment="1">
      <alignment vertical="center"/>
    </xf>
    <xf numFmtId="164" fontId="0" fillId="2" borderId="12" xfId="0" applyNumberFormat="1" applyFill="1" applyBorder="1" applyAlignment="1">
      <alignment vertical="center"/>
    </xf>
    <xf numFmtId="164" fontId="0" fillId="5" borderId="2" xfId="0" applyNumberFormat="1" applyFill="1" applyBorder="1" applyAlignment="1">
      <alignment vertical="center"/>
    </xf>
    <xf numFmtId="9" fontId="0" fillId="5" borderId="3" xfId="3" applyFont="1" applyFill="1" applyBorder="1" applyAlignment="1">
      <alignment vertical="center"/>
    </xf>
    <xf numFmtId="164" fontId="0" fillId="5" borderId="3" xfId="2" applyNumberFormat="1" applyFont="1" applyFill="1" applyBorder="1" applyAlignment="1">
      <alignment vertical="center"/>
    </xf>
    <xf numFmtId="0" fontId="4" fillId="5" borderId="9" xfId="0" applyFont="1" applyFill="1" applyBorder="1" applyAlignment="1">
      <alignment horizontal="center" vertical="center"/>
    </xf>
    <xf numFmtId="164" fontId="0" fillId="5" borderId="3" xfId="2" applyNumberFormat="1" applyFont="1" applyFill="1" applyBorder="1" applyAlignment="1">
      <alignment horizontal="center" vertical="center"/>
    </xf>
    <xf numFmtId="9" fontId="4" fillId="5" borderId="3" xfId="3" applyFont="1" applyFill="1" applyBorder="1" applyAlignment="1">
      <alignment horizontal="center" vertical="center"/>
    </xf>
    <xf numFmtId="0" fontId="0" fillId="5" borderId="9" xfId="0" applyFill="1" applyBorder="1" applyAlignment="1">
      <alignment vertical="center"/>
    </xf>
    <xf numFmtId="0" fontId="0" fillId="2" borderId="0" xfId="0" applyFill="1" applyAlignment="1">
      <alignment vertical="center"/>
    </xf>
    <xf numFmtId="0" fontId="4" fillId="5" borderId="2" xfId="0" applyFont="1" applyFill="1" applyBorder="1" applyAlignment="1">
      <alignment horizontal="center" vertical="center" textRotation="90"/>
    </xf>
    <xf numFmtId="166" fontId="0" fillId="5" borderId="3" xfId="1" applyNumberFormat="1" applyFont="1" applyFill="1" applyBorder="1" applyAlignment="1">
      <alignment horizontal="center" vertical="center"/>
    </xf>
    <xf numFmtId="9" fontId="1" fillId="5" borderId="3" xfId="3" applyFont="1" applyFill="1" applyBorder="1" applyAlignment="1">
      <alignment horizontal="center" vertical="center"/>
    </xf>
    <xf numFmtId="166" fontId="0" fillId="5" borderId="3" xfId="1" applyNumberFormat="1" applyFont="1" applyFill="1" applyBorder="1" applyAlignment="1">
      <alignment horizontal="left" vertical="center"/>
    </xf>
    <xf numFmtId="168" fontId="0" fillId="5" borderId="3" xfId="3" applyNumberFormat="1" applyFont="1" applyFill="1" applyBorder="1" applyAlignment="1">
      <alignment horizontal="right" vertical="center"/>
    </xf>
    <xf numFmtId="166" fontId="1" fillId="5" borderId="3" xfId="1" applyNumberFormat="1" applyFont="1" applyFill="1" applyBorder="1" applyAlignment="1">
      <alignment horizontal="center" vertical="center"/>
    </xf>
    <xf numFmtId="166" fontId="0" fillId="5" borderId="9" xfId="1" applyNumberFormat="1" applyFont="1" applyFill="1" applyBorder="1" applyAlignment="1">
      <alignment horizontal="center" vertical="center"/>
    </xf>
    <xf numFmtId="166" fontId="0" fillId="2" borderId="3" xfId="1" applyNumberFormat="1" applyFont="1" applyFill="1" applyBorder="1" applyAlignment="1">
      <alignment horizontal="center" vertical="center"/>
    </xf>
    <xf numFmtId="166" fontId="0" fillId="5" borderId="2" xfId="1" applyNumberFormat="1" applyFont="1" applyFill="1" applyBorder="1" applyAlignment="1">
      <alignment horizontal="center" vertical="center"/>
    </xf>
    <xf numFmtId="0" fontId="4" fillId="5" borderId="2" xfId="0" applyFont="1" applyFill="1" applyBorder="1" applyAlignment="1">
      <alignment horizontal="center" vertical="center"/>
    </xf>
    <xf numFmtId="0" fontId="4" fillId="0" borderId="0" xfId="0" applyFont="1" applyFill="1" applyAlignment="1">
      <alignment horizontal="center" vertical="center"/>
    </xf>
    <xf numFmtId="5" fontId="4" fillId="3" borderId="0" xfId="0" applyNumberFormat="1" applyFont="1" applyFill="1" applyAlignment="1">
      <alignment horizontal="center" vertical="center"/>
    </xf>
    <xf numFmtId="164" fontId="0" fillId="0" borderId="0" xfId="0" applyNumberFormat="1" applyAlignment="1">
      <alignment vertical="center"/>
    </xf>
    <xf numFmtId="164" fontId="0" fillId="0" borderId="0" xfId="2" applyNumberFormat="1" applyFont="1" applyAlignment="1">
      <alignment vertical="center"/>
    </xf>
    <xf numFmtId="0" fontId="4" fillId="3" borderId="3" xfId="0" applyFont="1" applyFill="1" applyBorder="1" applyAlignment="1">
      <alignment horizontal="center" vertical="center"/>
    </xf>
    <xf numFmtId="0" fontId="6" fillId="0" borderId="0" xfId="0" applyFont="1" applyFill="1" applyAlignment="1">
      <alignment horizontal="center" vertical="center" textRotation="90" wrapText="1"/>
    </xf>
    <xf numFmtId="0" fontId="6" fillId="0" borderId="0" xfId="0" applyFont="1" applyAlignment="1">
      <alignment horizontal="right" vertical="top" wrapText="1"/>
    </xf>
    <xf numFmtId="0" fontId="0" fillId="21" borderId="0" xfId="0" applyFill="1"/>
    <xf numFmtId="166" fontId="0" fillId="0" borderId="0" xfId="1" applyNumberFormat="1" applyFont="1" applyFill="1"/>
    <xf numFmtId="166" fontId="0" fillId="0" borderId="0" xfId="1" applyNumberFormat="1" applyFont="1" applyAlignment="1">
      <alignment horizontal="right"/>
    </xf>
    <xf numFmtId="0" fontId="4" fillId="3" borderId="0" xfId="0" applyFont="1" applyFill="1" applyAlignment="1">
      <alignment horizontal="center"/>
    </xf>
    <xf numFmtId="0" fontId="0" fillId="3" borderId="0" xfId="0" applyFill="1" applyAlignment="1">
      <alignment horizontal="center"/>
    </xf>
    <xf numFmtId="1" fontId="15" fillId="0" borderId="0" xfId="0" applyNumberFormat="1" applyFont="1" applyFill="1" applyBorder="1" applyAlignment="1"/>
    <xf numFmtId="49" fontId="0" fillId="3" borderId="0" xfId="0" applyNumberFormat="1" applyFill="1"/>
    <xf numFmtId="0" fontId="0" fillId="3" borderId="0" xfId="0" applyFill="1" applyAlignment="1">
      <alignment horizontal="right"/>
    </xf>
    <xf numFmtId="0" fontId="0" fillId="0" borderId="0" xfId="0" applyFill="1" applyAlignment="1"/>
    <xf numFmtId="0" fontId="0" fillId="3" borderId="0" xfId="0" applyFill="1" applyBorder="1"/>
    <xf numFmtId="49" fontId="0" fillId="3" borderId="0" xfId="0" applyNumberFormat="1" applyFill="1" applyBorder="1" applyAlignment="1">
      <alignment wrapText="1"/>
    </xf>
    <xf numFmtId="0" fontId="0" fillId="3" borderId="0" xfId="0" applyNumberFormat="1" applyFill="1" applyBorder="1"/>
    <xf numFmtId="49" fontId="0" fillId="3" borderId="0" xfId="0" applyNumberFormat="1" applyFill="1" applyBorder="1"/>
    <xf numFmtId="0" fontId="0" fillId="3" borderId="0" xfId="0" applyNumberFormat="1" applyFont="1" applyFill="1" applyBorder="1" applyAlignment="1" applyProtection="1">
      <alignment horizontal="right"/>
    </xf>
    <xf numFmtId="0" fontId="0" fillId="3" borderId="0" xfId="0" applyFill="1" applyBorder="1" applyAlignment="1">
      <alignment horizontal="left"/>
    </xf>
    <xf numFmtId="166" fontId="0" fillId="3" borderId="0" xfId="1" applyNumberFormat="1" applyFont="1" applyFill="1" applyAlignment="1">
      <alignment horizontal="center"/>
    </xf>
    <xf numFmtId="166" fontId="0" fillId="3" borderId="0" xfId="1" applyNumberFormat="1" applyFont="1" applyFill="1" applyBorder="1" applyAlignment="1">
      <alignment horizontal="center" wrapText="1"/>
    </xf>
    <xf numFmtId="0" fontId="0" fillId="3" borderId="0" xfId="0" applyFill="1" applyAlignment="1">
      <alignment horizontal="left"/>
    </xf>
    <xf numFmtId="0" fontId="0" fillId="3" borderId="0" xfId="1" applyNumberFormat="1" applyFont="1" applyFill="1" applyBorder="1" applyAlignment="1">
      <alignment horizontal="center"/>
    </xf>
    <xf numFmtId="0" fontId="43" fillId="0" borderId="0" xfId="0" applyFont="1" applyFill="1" applyAlignment="1">
      <alignment horizontal="left" vertical="center"/>
    </xf>
    <xf numFmtId="0" fontId="44" fillId="0" borderId="0" xfId="11" applyFill="1" applyAlignment="1">
      <alignment horizontal="left" vertical="center"/>
    </xf>
    <xf numFmtId="15" fontId="43" fillId="0" borderId="0" xfId="0" applyNumberFormat="1" applyFont="1" applyFill="1" applyAlignment="1">
      <alignment horizontal="left" vertical="center"/>
    </xf>
    <xf numFmtId="0" fontId="42" fillId="0" borderId="0" xfId="0" applyFont="1" applyFill="1" applyAlignment="1">
      <alignment horizontal="left"/>
    </xf>
    <xf numFmtId="14" fontId="43" fillId="0" borderId="0" xfId="0" applyNumberFormat="1" applyFont="1" applyFill="1" applyAlignment="1">
      <alignment horizontal="left" vertical="center"/>
    </xf>
    <xf numFmtId="14" fontId="0" fillId="0" borderId="0" xfId="0" applyNumberFormat="1" applyFill="1"/>
    <xf numFmtId="171" fontId="0" fillId="6" borderId="17" xfId="1" applyNumberFormat="1" applyFont="1" applyFill="1" applyBorder="1" applyAlignment="1">
      <alignment horizontal="center"/>
    </xf>
    <xf numFmtId="171" fontId="0" fillId="6" borderId="20" xfId="1" applyNumberFormat="1" applyFont="1" applyFill="1" applyBorder="1" applyAlignment="1">
      <alignment horizontal="center"/>
    </xf>
    <xf numFmtId="171" fontId="0" fillId="6" borderId="15" xfId="1" applyNumberFormat="1" applyFont="1" applyFill="1" applyBorder="1" applyAlignment="1">
      <alignment horizontal="center"/>
    </xf>
    <xf numFmtId="6" fontId="0" fillId="6" borderId="16" xfId="1" applyNumberFormat="1" applyFont="1" applyFill="1" applyBorder="1" applyAlignment="1">
      <alignment horizontal="center"/>
    </xf>
    <xf numFmtId="6" fontId="0" fillId="6" borderId="13" xfId="1" applyNumberFormat="1" applyFont="1" applyFill="1" applyBorder="1" applyAlignment="1">
      <alignment horizontal="center"/>
    </xf>
    <xf numFmtId="6" fontId="0" fillId="6" borderId="17" xfId="1" applyNumberFormat="1" applyFont="1" applyFill="1" applyBorder="1" applyAlignment="1">
      <alignment horizontal="center"/>
    </xf>
    <xf numFmtId="6" fontId="0" fillId="6" borderId="19" xfId="1" applyNumberFormat="1" applyFont="1" applyFill="1" applyBorder="1" applyAlignment="1">
      <alignment horizontal="center"/>
    </xf>
    <xf numFmtId="6" fontId="0" fillId="6" borderId="0" xfId="1" applyNumberFormat="1" applyFont="1" applyFill="1" applyBorder="1" applyAlignment="1">
      <alignment horizontal="center"/>
    </xf>
    <xf numFmtId="6" fontId="0" fillId="6" borderId="20" xfId="1" applyNumberFormat="1" applyFont="1" applyFill="1" applyBorder="1" applyAlignment="1">
      <alignment horizontal="center"/>
    </xf>
    <xf numFmtId="6" fontId="0" fillId="6" borderId="14" xfId="1" applyNumberFormat="1" applyFont="1" applyFill="1" applyBorder="1" applyAlignment="1">
      <alignment horizontal="center"/>
    </xf>
    <xf numFmtId="6" fontId="0" fillId="6" borderId="7" xfId="1" applyNumberFormat="1" applyFont="1" applyFill="1" applyBorder="1" applyAlignment="1">
      <alignment horizontal="center"/>
    </xf>
    <xf numFmtId="6" fontId="0" fillId="6" borderId="15" xfId="1" applyNumberFormat="1" applyFont="1" applyFill="1" applyBorder="1" applyAlignment="1">
      <alignment horizontal="center"/>
    </xf>
    <xf numFmtId="9" fontId="0" fillId="6" borderId="17" xfId="3" applyFont="1" applyFill="1" applyBorder="1" applyAlignment="1">
      <alignment horizontal="center"/>
    </xf>
    <xf numFmtId="9" fontId="0" fillId="6" borderId="20" xfId="3" applyFont="1" applyFill="1" applyBorder="1" applyAlignment="1">
      <alignment horizontal="center"/>
    </xf>
    <xf numFmtId="9" fontId="0" fillId="6" borderId="15" xfId="3" applyFont="1" applyFill="1" applyBorder="1" applyAlignment="1">
      <alignment horizontal="center"/>
    </xf>
    <xf numFmtId="9" fontId="11" fillId="6" borderId="30" xfId="3" applyFont="1" applyFill="1" applyBorder="1"/>
    <xf numFmtId="0" fontId="61" fillId="22" borderId="58" xfId="0" applyFont="1" applyFill="1" applyBorder="1" applyAlignment="1" applyProtection="1">
      <alignment vertical="top" wrapText="1" readingOrder="1"/>
      <protection locked="0"/>
    </xf>
    <xf numFmtId="0" fontId="61" fillId="22" borderId="58" xfId="0" applyFont="1" applyFill="1" applyBorder="1" applyAlignment="1" applyProtection="1">
      <alignment horizontal="right" vertical="top" wrapText="1" readingOrder="1"/>
      <protection locked="0"/>
    </xf>
    <xf numFmtId="0" fontId="62" fillId="0" borderId="58" xfId="0" applyFont="1" applyBorder="1" applyAlignment="1" applyProtection="1">
      <alignment vertical="top" wrapText="1" readingOrder="1"/>
      <protection locked="0"/>
    </xf>
    <xf numFmtId="175" fontId="62" fillId="0" borderId="58" xfId="0" applyNumberFormat="1" applyFont="1" applyBorder="1" applyAlignment="1" applyProtection="1">
      <alignment vertical="top" wrapText="1" readingOrder="1"/>
      <protection locked="0"/>
    </xf>
    <xf numFmtId="176" fontId="62" fillId="0" borderId="58" xfId="0" applyNumberFormat="1" applyFont="1" applyBorder="1" applyAlignment="1" applyProtection="1">
      <alignment vertical="top" wrapText="1" readingOrder="1"/>
      <protection locked="0"/>
    </xf>
    <xf numFmtId="0" fontId="62" fillId="23" borderId="58" xfId="0" applyFont="1" applyFill="1" applyBorder="1" applyAlignment="1" applyProtection="1">
      <alignment vertical="top" wrapText="1" readingOrder="1"/>
      <protection locked="0"/>
    </xf>
    <xf numFmtId="0" fontId="62" fillId="0" borderId="58" xfId="0" applyNumberFormat="1" applyFont="1" applyBorder="1" applyAlignment="1" applyProtection="1">
      <alignment vertical="top" wrapText="1" readingOrder="1"/>
      <protection locked="0"/>
    </xf>
    <xf numFmtId="0" fontId="0" fillId="6" borderId="54" xfId="0" applyFill="1" applyBorder="1"/>
    <xf numFmtId="0" fontId="0" fillId="6" borderId="55" xfId="0" applyFill="1" applyBorder="1"/>
    <xf numFmtId="0" fontId="0" fillId="6" borderId="54" xfId="0" applyFill="1" applyBorder="1" applyAlignment="1">
      <alignment horizontal="left" wrapText="1" indent="1"/>
    </xf>
    <xf numFmtId="0" fontId="0" fillId="6" borderId="0" xfId="0" applyFill="1" applyBorder="1" applyAlignment="1">
      <alignment horizontal="left" wrapText="1" indent="1"/>
    </xf>
    <xf numFmtId="0" fontId="0" fillId="6" borderId="54" xfId="0" applyFill="1" applyBorder="1" applyAlignment="1">
      <alignment horizontal="left" indent="1"/>
    </xf>
    <xf numFmtId="0" fontId="0" fillId="6" borderId="51" xfId="0" applyFill="1" applyBorder="1"/>
    <xf numFmtId="0" fontId="0" fillId="6" borderId="52" xfId="0" applyFill="1" applyBorder="1"/>
    <xf numFmtId="0" fontId="0" fillId="6" borderId="53" xfId="0" applyFill="1" applyBorder="1"/>
    <xf numFmtId="0" fontId="9" fillId="6" borderId="54" xfId="0" applyFont="1" applyFill="1" applyBorder="1" applyAlignment="1" applyProtection="1">
      <alignment horizontal="left" indent="1"/>
      <protection locked="0"/>
    </xf>
    <xf numFmtId="0" fontId="63" fillId="0" borderId="54" xfId="0" applyFont="1" applyBorder="1" applyAlignment="1">
      <alignment wrapText="1"/>
    </xf>
    <xf numFmtId="0" fontId="0" fillId="6" borderId="56" xfId="0" applyFill="1" applyBorder="1"/>
    <xf numFmtId="0" fontId="0" fillId="6" borderId="12" xfId="0" applyFill="1" applyBorder="1"/>
    <xf numFmtId="0" fontId="0" fillId="6" borderId="57" xfId="0" applyFill="1" applyBorder="1"/>
    <xf numFmtId="0" fontId="12" fillId="11" borderId="4" xfId="0" applyFont="1" applyFill="1" applyBorder="1" applyAlignment="1">
      <alignment horizontal="center"/>
    </xf>
    <xf numFmtId="0" fontId="12" fillId="11" borderId="1" xfId="0" applyFont="1" applyFill="1" applyBorder="1" applyAlignment="1">
      <alignment horizontal="center"/>
    </xf>
    <xf numFmtId="0" fontId="12" fillId="11" borderId="5" xfId="0" applyFont="1" applyFill="1" applyBorder="1" applyAlignment="1">
      <alignment horizontal="center"/>
    </xf>
    <xf numFmtId="0" fontId="10" fillId="6" borderId="1" xfId="0" applyFont="1" applyFill="1" applyBorder="1" applyAlignment="1">
      <alignment horizontal="center"/>
    </xf>
    <xf numFmtId="0" fontId="10" fillId="6" borderId="5" xfId="0" applyFont="1" applyFill="1" applyBorder="1" applyAlignment="1"/>
    <xf numFmtId="0" fontId="10" fillId="6" borderId="59" xfId="0" applyFont="1" applyFill="1" applyBorder="1" applyAlignment="1">
      <alignment horizontal="center"/>
    </xf>
    <xf numFmtId="0" fontId="0" fillId="6" borderId="0" xfId="0" applyFill="1" applyBorder="1" applyAlignment="1">
      <alignment horizontal="center"/>
    </xf>
    <xf numFmtId="0" fontId="0" fillId="6" borderId="7" xfId="0" applyFill="1" applyBorder="1" applyAlignment="1">
      <alignment horizontal="center"/>
    </xf>
    <xf numFmtId="164" fontId="11" fillId="6" borderId="0" xfId="0" applyNumberFormat="1" applyFont="1" applyFill="1"/>
    <xf numFmtId="0" fontId="0" fillId="0" borderId="0" xfId="0" applyAlignment="1">
      <alignment horizontal="center" vertical="top"/>
    </xf>
    <xf numFmtId="0" fontId="0" fillId="0" borderId="0" xfId="0"/>
    <xf numFmtId="0" fontId="0" fillId="6" borderId="13" xfId="0" applyFill="1" applyBorder="1" applyAlignment="1">
      <alignment horizontal="center"/>
    </xf>
    <xf numFmtId="164" fontId="0" fillId="6" borderId="0" xfId="2" applyNumberFormat="1" applyFont="1" applyFill="1" applyBorder="1" applyAlignment="1">
      <alignment horizontal="center"/>
    </xf>
    <xf numFmtId="164" fontId="0" fillId="6" borderId="19" xfId="2" applyNumberFormat="1" applyFont="1" applyFill="1" applyBorder="1" applyAlignment="1">
      <alignment horizontal="center"/>
    </xf>
    <xf numFmtId="164" fontId="0" fillId="6" borderId="14" xfId="2" applyNumberFormat="1" applyFont="1" applyFill="1" applyBorder="1" applyAlignment="1">
      <alignment horizontal="center"/>
    </xf>
    <xf numFmtId="164" fontId="0" fillId="6" borderId="7" xfId="2" applyNumberFormat="1" applyFont="1" applyFill="1" applyBorder="1" applyAlignment="1">
      <alignment horizontal="center"/>
    </xf>
    <xf numFmtId="171" fontId="0" fillId="13" borderId="13" xfId="0" applyNumberFormat="1" applyFill="1" applyBorder="1" applyAlignment="1">
      <alignment horizontal="center"/>
    </xf>
    <xf numFmtId="171" fontId="0" fillId="13" borderId="0" xfId="0" applyNumberFormat="1" applyFill="1" applyBorder="1" applyAlignment="1">
      <alignment horizontal="center"/>
    </xf>
    <xf numFmtId="171" fontId="0" fillId="13" borderId="7" xfId="0" applyNumberFormat="1" applyFill="1" applyBorder="1" applyAlignment="1">
      <alignment horizontal="center"/>
    </xf>
    <xf numFmtId="171" fontId="0" fillId="13" borderId="0" xfId="2" applyNumberFormat="1" applyFont="1" applyFill="1" applyBorder="1" applyAlignment="1">
      <alignment horizontal="center"/>
    </xf>
    <xf numFmtId="171" fontId="0" fillId="13" borderId="7" xfId="2" applyNumberFormat="1" applyFont="1" applyFill="1" applyBorder="1" applyAlignment="1">
      <alignment horizontal="center"/>
    </xf>
    <xf numFmtId="0" fontId="47" fillId="6" borderId="13" xfId="0" applyFont="1" applyFill="1" applyBorder="1" applyAlignment="1"/>
    <xf numFmtId="0" fontId="47" fillId="6" borderId="21" xfId="0" applyFont="1" applyFill="1" applyBorder="1" applyAlignment="1"/>
    <xf numFmtId="0" fontId="47" fillId="6" borderId="24" xfId="0" applyFont="1" applyFill="1" applyBorder="1" applyAlignment="1"/>
    <xf numFmtId="0" fontId="0" fillId="6" borderId="26" xfId="0" applyFill="1" applyBorder="1"/>
    <xf numFmtId="0" fontId="53" fillId="13" borderId="4" xfId="0" applyFont="1" applyFill="1" applyBorder="1" applyAlignment="1">
      <alignment horizontal="center"/>
    </xf>
    <xf numFmtId="0" fontId="53" fillId="13" borderId="6" xfId="0" applyFont="1" applyFill="1" applyBorder="1" applyAlignment="1">
      <alignment horizontal="center" vertical="top"/>
    </xf>
    <xf numFmtId="0" fontId="0" fillId="11" borderId="4" xfId="0" applyFill="1" applyBorder="1"/>
    <xf numFmtId="0" fontId="0" fillId="11" borderId="1" xfId="0" applyFill="1" applyBorder="1"/>
    <xf numFmtId="0" fontId="0" fillId="11" borderId="5" xfId="0" applyFill="1" applyBorder="1"/>
    <xf numFmtId="0" fontId="0" fillId="6" borderId="7" xfId="0" applyFill="1" applyBorder="1"/>
    <xf numFmtId="0" fontId="10" fillId="6" borderId="7" xfId="0" applyFont="1" applyFill="1" applyBorder="1" applyAlignment="1"/>
    <xf numFmtId="0" fontId="10" fillId="6" borderId="6" xfId="0" applyFont="1" applyFill="1" applyBorder="1" applyAlignment="1"/>
    <xf numFmtId="0" fontId="10" fillId="13" borderId="8" xfId="0" applyFont="1" applyFill="1" applyBorder="1" applyAlignment="1"/>
    <xf numFmtId="0" fontId="10" fillId="13" borderId="6" xfId="0" applyFont="1" applyFill="1" applyBorder="1" applyAlignment="1">
      <alignment horizontal="center"/>
    </xf>
    <xf numFmtId="9" fontId="0" fillId="13" borderId="60" xfId="0" applyNumberFormat="1" applyFill="1" applyBorder="1" applyAlignment="1">
      <alignment horizontal="center"/>
    </xf>
    <xf numFmtId="9" fontId="0" fillId="13" borderId="8" xfId="0" applyNumberFormat="1" applyFill="1" applyBorder="1" applyAlignment="1">
      <alignment horizontal="center"/>
    </xf>
    <xf numFmtId="1" fontId="37" fillId="6" borderId="0" xfId="0" applyNumberFormat="1" applyFont="1" applyFill="1"/>
    <xf numFmtId="1" fontId="37" fillId="6" borderId="0" xfId="1" applyNumberFormat="1" applyFont="1" applyFill="1" applyAlignment="1">
      <alignment horizontal="center"/>
    </xf>
    <xf numFmtId="1" fontId="37" fillId="6" borderId="0" xfId="0" applyNumberFormat="1" applyFont="1" applyFill="1" applyAlignment="1">
      <alignment horizontal="center"/>
    </xf>
    <xf numFmtId="164" fontId="47" fillId="6" borderId="6" xfId="2" applyNumberFormat="1" applyFont="1" applyFill="1" applyBorder="1"/>
    <xf numFmtId="164" fontId="47" fillId="6" borderId="4" xfId="2" applyNumberFormat="1" applyFont="1" applyFill="1" applyBorder="1"/>
    <xf numFmtId="6" fontId="47" fillId="6" borderId="6" xfId="2" applyNumberFormat="1" applyFont="1" applyFill="1" applyBorder="1"/>
    <xf numFmtId="0" fontId="4" fillId="0" borderId="0" xfId="0" applyFont="1" applyAlignment="1">
      <alignment horizontal="center" vertical="top"/>
    </xf>
    <xf numFmtId="0" fontId="0" fillId="0" borderId="0" xfId="0" applyAlignment="1">
      <alignment horizontal="center" vertical="top"/>
    </xf>
    <xf numFmtId="0" fontId="0" fillId="0" borderId="0" xfId="0"/>
    <xf numFmtId="171" fontId="5" fillId="6" borderId="0" xfId="0" applyNumberFormat="1" applyFont="1" applyFill="1"/>
    <xf numFmtId="0" fontId="5" fillId="13" borderId="0" xfId="0" applyFont="1" applyFill="1" applyBorder="1"/>
    <xf numFmtId="0" fontId="51" fillId="7" borderId="5" xfId="0" applyFont="1" applyFill="1" applyBorder="1" applyAlignment="1" applyProtection="1">
      <alignment horizontal="center"/>
      <protection locked="0"/>
    </xf>
    <xf numFmtId="171" fontId="51" fillId="8" borderId="6" xfId="2" applyNumberFormat="1" applyFont="1" applyFill="1" applyBorder="1" applyAlignment="1" applyProtection="1">
      <alignment horizontal="center"/>
      <protection locked="0"/>
    </xf>
    <xf numFmtId="0" fontId="5" fillId="13" borderId="7" xfId="0" applyFont="1" applyFill="1" applyBorder="1" applyProtection="1">
      <protection locked="0"/>
    </xf>
    <xf numFmtId="0" fontId="5" fillId="13" borderId="7" xfId="0" applyFont="1" applyFill="1" applyBorder="1"/>
    <xf numFmtId="0" fontId="5" fillId="13" borderId="15" xfId="0" applyFont="1" applyFill="1" applyBorder="1"/>
    <xf numFmtId="9" fontId="0" fillId="0" borderId="0" xfId="3" applyFont="1" applyAlignment="1">
      <alignment vertical="top"/>
    </xf>
    <xf numFmtId="0" fontId="48" fillId="13" borderId="0" xfId="0" applyFont="1" applyFill="1" applyBorder="1" applyAlignment="1" applyProtection="1">
      <alignment horizontal="left" vertical="top" wrapText="1"/>
      <protection locked="0"/>
    </xf>
    <xf numFmtId="0" fontId="48" fillId="13" borderId="0" xfId="0" applyFont="1" applyFill="1" applyBorder="1" applyAlignment="1" applyProtection="1">
      <alignment vertical="top" wrapText="1"/>
      <protection locked="0"/>
    </xf>
    <xf numFmtId="0" fontId="47" fillId="13" borderId="0" xfId="0" applyFont="1" applyFill="1" applyBorder="1" applyAlignment="1" applyProtection="1">
      <alignment horizontal="left" wrapText="1"/>
      <protection locked="0"/>
    </xf>
    <xf numFmtId="0" fontId="10" fillId="6" borderId="4" xfId="0" applyFont="1" applyFill="1" applyBorder="1" applyAlignment="1">
      <alignment horizontal="center"/>
    </xf>
    <xf numFmtId="0" fontId="10" fillId="6" borderId="1" xfId="0" applyFont="1" applyFill="1" applyBorder="1" applyAlignment="1">
      <alignment horizontal="center"/>
    </xf>
    <xf numFmtId="0" fontId="10" fillId="6" borderId="5" xfId="0" applyFont="1" applyFill="1" applyBorder="1" applyAlignment="1">
      <alignment horizontal="center"/>
    </xf>
    <xf numFmtId="0" fontId="10" fillId="13" borderId="1" xfId="0" applyFont="1" applyFill="1" applyBorder="1" applyAlignment="1">
      <alignment horizontal="center"/>
    </xf>
    <xf numFmtId="0" fontId="2" fillId="4" borderId="0" xfId="0" applyFont="1" applyFill="1" applyAlignment="1">
      <alignment horizontal="center" vertical="center"/>
    </xf>
    <xf numFmtId="0" fontId="2" fillId="4" borderId="0" xfId="0" applyFont="1" applyFill="1" applyAlignment="1">
      <alignment horizontal="center" vertical="top"/>
    </xf>
    <xf numFmtId="0" fontId="0" fillId="0" borderId="0" xfId="0" applyFont="1" applyAlignment="1">
      <alignment horizontal="center" vertical="top" wrapText="1"/>
    </xf>
    <xf numFmtId="0" fontId="0" fillId="0" borderId="0" xfId="0" applyAlignment="1">
      <alignment horizontal="center" vertical="top"/>
    </xf>
    <xf numFmtId="0" fontId="0" fillId="0" borderId="0" xfId="0" applyAlignment="1">
      <alignment horizontal="center"/>
    </xf>
    <xf numFmtId="0" fontId="0" fillId="0" borderId="0" xfId="0"/>
    <xf numFmtId="164" fontId="0" fillId="0" borderId="0" xfId="0" applyNumberFormat="1" applyAlignment="1">
      <alignment horizontal="center" vertical="center"/>
    </xf>
    <xf numFmtId="164" fontId="0" fillId="0" borderId="0" xfId="0" applyNumberFormat="1" applyAlignment="1">
      <alignment horizontal="center" vertical="top"/>
    </xf>
    <xf numFmtId="0" fontId="48" fillId="13" borderId="0" xfId="0" applyFont="1" applyFill="1" applyBorder="1" applyAlignment="1" applyProtection="1">
      <alignment vertical="top"/>
      <protection locked="0"/>
    </xf>
    <xf numFmtId="0" fontId="12" fillId="16" borderId="6" xfId="0" applyFont="1" applyFill="1" applyBorder="1" applyAlignment="1" applyProtection="1">
      <alignment horizontal="center" vertical="center" wrapText="1"/>
      <protection locked="0"/>
    </xf>
    <xf numFmtId="167" fontId="4" fillId="3" borderId="0" xfId="3" applyNumberFormat="1" applyFont="1" applyFill="1" applyAlignment="1">
      <alignment horizontal="left" vertical="top"/>
    </xf>
    <xf numFmtId="0" fontId="4" fillId="2" borderId="0" xfId="0" applyFont="1" applyFill="1" applyBorder="1" applyAlignment="1">
      <alignment horizontal="center" vertical="top"/>
    </xf>
    <xf numFmtId="164" fontId="64" fillId="2" borderId="0" xfId="0" applyNumberFormat="1" applyFont="1" applyFill="1" applyBorder="1" applyAlignment="1">
      <alignment horizontal="center" vertical="top"/>
    </xf>
    <xf numFmtId="166" fontId="0" fillId="2" borderId="0" xfId="1" applyNumberFormat="1" applyFont="1" applyFill="1" applyBorder="1" applyAlignment="1">
      <alignment horizontal="center" vertical="center"/>
    </xf>
    <xf numFmtId="5" fontId="0" fillId="2" borderId="0" xfId="0" applyNumberFormat="1" applyFill="1" applyAlignment="1">
      <alignment vertical="top"/>
    </xf>
    <xf numFmtId="164" fontId="64" fillId="0" borderId="0" xfId="0" applyNumberFormat="1" applyFont="1" applyFill="1" applyBorder="1" applyAlignment="1">
      <alignment horizontal="center" vertical="top"/>
    </xf>
    <xf numFmtId="166" fontId="0" fillId="0" borderId="0" xfId="1" applyNumberFormat="1" applyFont="1" applyFill="1" applyBorder="1" applyAlignment="1">
      <alignment horizontal="center" vertical="center"/>
    </xf>
    <xf numFmtId="5" fontId="0" fillId="0" borderId="0" xfId="0" applyNumberFormat="1" applyFill="1" applyAlignment="1">
      <alignment vertical="top"/>
    </xf>
    <xf numFmtId="164" fontId="0" fillId="0" borderId="0" xfId="0" applyNumberFormat="1" applyFont="1" applyAlignment="1">
      <alignment horizontal="center" vertical="top" wrapText="1"/>
    </xf>
    <xf numFmtId="164" fontId="0" fillId="18" borderId="0" xfId="0" applyNumberFormat="1" applyFill="1" applyAlignment="1">
      <alignment horizontal="center" vertical="top"/>
    </xf>
    <xf numFmtId="164" fontId="0" fillId="18" borderId="0" xfId="0" applyNumberFormat="1" applyFill="1" applyAlignment="1">
      <alignment vertical="center"/>
    </xf>
    <xf numFmtId="164" fontId="0" fillId="16" borderId="0" xfId="0" applyNumberFormat="1" applyFill="1" applyAlignment="1">
      <alignment vertical="center"/>
    </xf>
    <xf numFmtId="164" fontId="0" fillId="16" borderId="0" xfId="0" applyNumberFormat="1" applyFill="1" applyAlignment="1">
      <alignment horizontal="center" vertical="top"/>
    </xf>
    <xf numFmtId="44" fontId="0" fillId="0" borderId="0" xfId="0" applyNumberFormat="1" applyAlignment="1">
      <alignment vertical="center"/>
    </xf>
    <xf numFmtId="177" fontId="0" fillId="0" borderId="0" xfId="0" applyNumberFormat="1" applyAlignment="1">
      <alignment horizontal="center" vertical="top"/>
    </xf>
    <xf numFmtId="0" fontId="0" fillId="5" borderId="2" xfId="0" applyFill="1" applyBorder="1" applyAlignment="1">
      <alignment horizontal="center" vertical="top" wrapText="1"/>
    </xf>
    <xf numFmtId="0" fontId="0" fillId="5" borderId="3" xfId="0" applyFill="1" applyBorder="1" applyAlignment="1">
      <alignment horizontal="center" vertical="top" wrapText="1"/>
    </xf>
    <xf numFmtId="0" fontId="0" fillId="5" borderId="9" xfId="0" applyFill="1" applyBorder="1" applyAlignment="1">
      <alignment horizontal="center" vertical="top" wrapText="1"/>
    </xf>
    <xf numFmtId="0" fontId="0" fillId="5" borderId="0" xfId="0" applyFill="1" applyAlignment="1">
      <alignment horizontal="center" vertical="top" wrapText="1"/>
    </xf>
    <xf numFmtId="43" fontId="0" fillId="5" borderId="3" xfId="1" applyFont="1" applyFill="1" applyBorder="1" applyAlignment="1">
      <alignment vertical="center"/>
    </xf>
    <xf numFmtId="164" fontId="0" fillId="16" borderId="0" xfId="0" applyNumberFormat="1" applyFill="1" applyAlignment="1">
      <alignment vertical="top"/>
    </xf>
    <xf numFmtId="164" fontId="0" fillId="16" borderId="0" xfId="2" applyNumberFormat="1" applyFont="1" applyFill="1" applyAlignment="1">
      <alignment vertical="top"/>
    </xf>
    <xf numFmtId="164" fontId="0" fillId="2" borderId="0" xfId="0" applyNumberFormat="1" applyFill="1" applyAlignment="1">
      <alignment vertical="center"/>
    </xf>
    <xf numFmtId="164" fontId="0" fillId="16" borderId="0" xfId="0" applyNumberFormat="1" applyFill="1" applyAlignment="1">
      <alignment horizontal="center" vertical="center"/>
    </xf>
    <xf numFmtId="0" fontId="0" fillId="0" borderId="0" xfId="0" applyAlignment="1">
      <alignment vertical="top" wrapText="1"/>
    </xf>
    <xf numFmtId="0" fontId="4" fillId="5" borderId="0" xfId="0" applyFont="1" applyFill="1" applyAlignment="1">
      <alignment horizontal="center" vertical="top" wrapText="1"/>
    </xf>
    <xf numFmtId="164" fontId="0" fillId="0" borderId="0" xfId="0" applyNumberFormat="1" applyFill="1" applyAlignment="1">
      <alignment horizontal="center" vertical="center"/>
    </xf>
    <xf numFmtId="164" fontId="0" fillId="0" borderId="0" xfId="0" applyNumberFormat="1" applyFill="1" applyAlignment="1">
      <alignment horizontal="center" vertical="top"/>
    </xf>
    <xf numFmtId="0" fontId="0" fillId="0" borderId="0" xfId="0" applyFill="1" applyAlignment="1">
      <alignment vertical="top"/>
    </xf>
    <xf numFmtId="0" fontId="4" fillId="0" borderId="0" xfId="0" applyFont="1" applyFill="1" applyAlignment="1">
      <alignment horizontal="center" vertical="top" wrapText="1"/>
    </xf>
    <xf numFmtId="0" fontId="0" fillId="0" borderId="0" xfId="0" applyFill="1" applyAlignment="1">
      <alignment vertical="center"/>
    </xf>
    <xf numFmtId="164" fontId="0" fillId="2" borderId="0" xfId="0" applyNumberFormat="1" applyFill="1" applyAlignment="1">
      <alignment horizontal="center" vertical="center"/>
    </xf>
    <xf numFmtId="164" fontId="0" fillId="2" borderId="0" xfId="0" applyNumberFormat="1" applyFill="1" applyAlignment="1">
      <alignment horizontal="center" vertical="top"/>
    </xf>
    <xf numFmtId="0" fontId="4" fillId="2" borderId="0" xfId="0" applyFont="1" applyFill="1" applyAlignment="1">
      <alignment horizontal="center" vertical="top" wrapText="1"/>
    </xf>
    <xf numFmtId="171" fontId="0" fillId="0" borderId="0" xfId="0" applyNumberFormat="1" applyFill="1"/>
    <xf numFmtId="164" fontId="0" fillId="6" borderId="16" xfId="2" applyNumberFormat="1" applyFont="1" applyFill="1" applyBorder="1" applyAlignment="1">
      <alignment horizontal="center"/>
    </xf>
    <xf numFmtId="164" fontId="0" fillId="6" borderId="13" xfId="2" applyNumberFormat="1" applyFont="1" applyFill="1" applyBorder="1" applyAlignment="1">
      <alignment horizontal="center"/>
    </xf>
    <xf numFmtId="171" fontId="0" fillId="6" borderId="13" xfId="0" applyNumberFormat="1" applyFill="1" applyBorder="1" applyAlignment="1">
      <alignment horizontal="center"/>
    </xf>
    <xf numFmtId="6" fontId="0" fillId="6" borderId="17" xfId="0" applyNumberFormat="1" applyFill="1" applyBorder="1" applyAlignment="1">
      <alignment horizontal="center"/>
    </xf>
    <xf numFmtId="6" fontId="0" fillId="6" borderId="20" xfId="0" applyNumberFormat="1" applyFill="1" applyBorder="1" applyAlignment="1">
      <alignment horizontal="center"/>
    </xf>
    <xf numFmtId="6" fontId="0" fillId="6" borderId="15" xfId="0" applyNumberFormat="1" applyFill="1" applyBorder="1" applyAlignment="1">
      <alignment horizontal="center"/>
    </xf>
    <xf numFmtId="0" fontId="37" fillId="6" borderId="0" xfId="0" applyFont="1" applyFill="1" applyBorder="1" applyProtection="1">
      <protection locked="0"/>
    </xf>
    <xf numFmtId="0" fontId="5" fillId="0" borderId="0" xfId="0" applyFont="1"/>
    <xf numFmtId="0" fontId="0" fillId="5" borderId="0" xfId="0" applyFill="1" applyAlignment="1">
      <alignment horizontal="center" vertical="top"/>
    </xf>
    <xf numFmtId="9" fontId="37" fillId="6" borderId="0" xfId="3" applyFont="1" applyFill="1"/>
    <xf numFmtId="171" fontId="37" fillId="6" borderId="0" xfId="0" applyNumberFormat="1" applyFont="1" applyFill="1"/>
    <xf numFmtId="7" fontId="37" fillId="6" borderId="0" xfId="0" applyNumberFormat="1" applyFont="1" applyFill="1"/>
    <xf numFmtId="9" fontId="0" fillId="13" borderId="18" xfId="0" applyNumberFormat="1" applyFill="1" applyBorder="1" applyAlignment="1">
      <alignment horizontal="center"/>
    </xf>
    <xf numFmtId="171" fontId="0" fillId="6" borderId="13" xfId="2" applyNumberFormat="1" applyFont="1" applyFill="1" applyBorder="1" applyAlignment="1">
      <alignment horizontal="center"/>
    </xf>
    <xf numFmtId="0" fontId="10" fillId="6" borderId="1" xfId="0" applyFont="1" applyFill="1" applyBorder="1" applyAlignment="1">
      <alignment horizontal="center" wrapText="1"/>
    </xf>
    <xf numFmtId="9" fontId="0" fillId="0" borderId="0" xfId="3" applyFont="1" applyAlignment="1">
      <alignment horizontal="center" vertical="center"/>
    </xf>
    <xf numFmtId="9" fontId="0" fillId="0" borderId="0" xfId="3" applyFont="1" applyAlignment="1">
      <alignment horizontal="center" vertical="top"/>
    </xf>
    <xf numFmtId="9" fontId="0" fillId="5" borderId="0" xfId="3" applyFont="1" applyFill="1" applyAlignment="1">
      <alignment horizontal="center" vertical="top" wrapText="1"/>
    </xf>
    <xf numFmtId="9" fontId="0" fillId="0" borderId="0" xfId="3" applyFont="1" applyAlignment="1">
      <alignment vertical="center"/>
    </xf>
    <xf numFmtId="166" fontId="0" fillId="0" borderId="0" xfId="1" applyNumberFormat="1" applyFont="1" applyFill="1" applyAlignment="1">
      <alignment horizontal="left" vertical="top"/>
    </xf>
    <xf numFmtId="0" fontId="5" fillId="6" borderId="0" xfId="0" applyFont="1" applyFill="1" applyAlignment="1">
      <alignment horizontal="right"/>
    </xf>
    <xf numFmtId="171" fontId="5" fillId="6" borderId="0" xfId="0" applyNumberFormat="1" applyFont="1" applyFill="1" applyAlignment="1">
      <alignment horizontal="right"/>
    </xf>
    <xf numFmtId="6" fontId="5" fillId="6" borderId="0" xfId="0" applyNumberFormat="1" applyFont="1" applyFill="1" applyAlignment="1">
      <alignment horizontal="right"/>
    </xf>
    <xf numFmtId="6" fontId="0" fillId="6" borderId="0" xfId="0" applyNumberFormat="1" applyFill="1"/>
    <xf numFmtId="5" fontId="0" fillId="6" borderId="0" xfId="0" applyNumberFormat="1" applyFill="1"/>
    <xf numFmtId="9" fontId="47" fillId="6" borderId="30" xfId="3" applyFont="1" applyFill="1" applyBorder="1"/>
    <xf numFmtId="0" fontId="10" fillId="13" borderId="1" xfId="0" applyFont="1" applyFill="1" applyBorder="1" applyAlignment="1">
      <alignment horizontal="center" wrapText="1"/>
    </xf>
    <xf numFmtId="0" fontId="10" fillId="6" borderId="7" xfId="0" applyFont="1" applyFill="1" applyBorder="1" applyAlignment="1">
      <alignment horizontal="center"/>
    </xf>
    <xf numFmtId="171" fontId="0" fillId="13" borderId="13" xfId="2" applyNumberFormat="1" applyFont="1" applyFill="1" applyBorder="1" applyAlignment="1">
      <alignment horizontal="center"/>
    </xf>
    <xf numFmtId="0" fontId="0" fillId="25" borderId="0" xfId="0" applyFill="1" applyAlignment="1">
      <alignment vertical="top"/>
    </xf>
    <xf numFmtId="9" fontId="0" fillId="25" borderId="0" xfId="3" applyFont="1" applyFill="1" applyAlignment="1">
      <alignment vertical="top"/>
    </xf>
    <xf numFmtId="0" fontId="66" fillId="6" borderId="0" xfId="0" applyFont="1" applyFill="1"/>
    <xf numFmtId="9" fontId="47" fillId="6" borderId="6" xfId="3" applyNumberFormat="1" applyFont="1" applyFill="1" applyBorder="1"/>
    <xf numFmtId="0" fontId="53" fillId="24" borderId="61" xfId="0" applyFont="1" applyFill="1" applyBorder="1" applyAlignment="1">
      <alignment horizontal="center"/>
    </xf>
    <xf numFmtId="0" fontId="53" fillId="24" borderId="6" xfId="0" applyFont="1" applyFill="1" applyBorder="1" applyAlignment="1">
      <alignment horizontal="center"/>
    </xf>
    <xf numFmtId="0" fontId="53" fillId="24" borderId="6" xfId="0" applyFont="1" applyFill="1" applyBorder="1" applyAlignment="1">
      <alignment horizontal="center" wrapText="1"/>
    </xf>
    <xf numFmtId="164" fontId="47" fillId="24" borderId="61" xfId="2" applyNumberFormat="1" applyFont="1" applyFill="1" applyBorder="1"/>
    <xf numFmtId="164" fontId="47" fillId="24" borderId="6" xfId="2" applyNumberFormat="1" applyFont="1" applyFill="1" applyBorder="1"/>
    <xf numFmtId="164" fontId="0" fillId="0" borderId="6" xfId="2" applyNumberFormat="1" applyFont="1" applyBorder="1"/>
    <xf numFmtId="44" fontId="0" fillId="0" borderId="6" xfId="2" applyNumberFormat="1" applyFont="1" applyBorder="1"/>
    <xf numFmtId="0" fontId="4" fillId="0" borderId="6" xfId="0" applyFont="1" applyBorder="1"/>
    <xf numFmtId="0" fontId="0" fillId="6" borderId="54" xfId="0" applyFill="1" applyBorder="1" applyAlignment="1">
      <alignment horizontal="left" wrapText="1" indent="1"/>
    </xf>
    <xf numFmtId="0" fontId="0" fillId="6" borderId="0" xfId="0" applyFill="1" applyBorder="1" applyAlignment="1">
      <alignment horizontal="left" wrapText="1" indent="1"/>
    </xf>
    <xf numFmtId="0" fontId="8" fillId="6" borderId="54" xfId="0" applyFont="1" applyFill="1" applyBorder="1" applyAlignment="1">
      <alignment horizontal="left" wrapText="1" indent="1"/>
    </xf>
    <xf numFmtId="0" fontId="14" fillId="6" borderId="0" xfId="0" applyFont="1" applyFill="1" applyAlignment="1">
      <alignment horizontal="left" wrapText="1" indent="1"/>
    </xf>
    <xf numFmtId="0" fontId="48" fillId="13" borderId="0" xfId="0" applyFont="1" applyFill="1" applyBorder="1" applyAlignment="1">
      <alignment horizontal="left" wrapText="1"/>
    </xf>
    <xf numFmtId="0" fontId="46" fillId="7" borderId="4" xfId="0" applyFont="1" applyFill="1" applyBorder="1" applyAlignment="1" applyProtection="1">
      <alignment horizontal="left"/>
      <protection locked="0"/>
    </xf>
    <xf numFmtId="0" fontId="46" fillId="7" borderId="5" xfId="0" applyFont="1" applyFill="1" applyBorder="1" applyAlignment="1" applyProtection="1">
      <alignment horizontal="left"/>
      <protection locked="0"/>
    </xf>
    <xf numFmtId="0" fontId="46" fillId="6" borderId="4" xfId="0" applyFont="1" applyFill="1" applyBorder="1" applyAlignment="1">
      <alignment horizontal="left"/>
    </xf>
    <xf numFmtId="0" fontId="46" fillId="6" borderId="5" xfId="0" applyFont="1" applyFill="1" applyBorder="1" applyAlignment="1">
      <alignment horizontal="left"/>
    </xf>
    <xf numFmtId="0" fontId="47" fillId="13" borderId="0" xfId="0" applyFont="1" applyFill="1" applyBorder="1" applyAlignment="1" applyProtection="1">
      <alignment horizontal="left" wrapText="1"/>
      <protection locked="0"/>
    </xf>
    <xf numFmtId="0" fontId="48" fillId="13" borderId="0" xfId="0" applyFont="1" applyFill="1" applyBorder="1" applyAlignment="1" applyProtection="1">
      <alignment horizontal="left" vertical="top" wrapText="1"/>
      <protection locked="0"/>
    </xf>
    <xf numFmtId="0" fontId="48" fillId="13" borderId="0" xfId="0" applyFont="1" applyFill="1" applyBorder="1" applyAlignment="1" applyProtection="1">
      <alignment horizontal="left" wrapText="1"/>
      <protection locked="0"/>
    </xf>
    <xf numFmtId="0" fontId="47" fillId="6" borderId="4" xfId="0" applyFont="1" applyFill="1" applyBorder="1" applyAlignment="1">
      <alignment horizontal="left" wrapText="1"/>
    </xf>
    <xf numFmtId="0" fontId="47" fillId="6" borderId="5" xfId="0" applyFont="1" applyFill="1" applyBorder="1" applyAlignment="1">
      <alignment horizontal="left" wrapText="1"/>
    </xf>
    <xf numFmtId="0" fontId="48" fillId="19" borderId="0" xfId="0" applyFont="1" applyFill="1" applyBorder="1" applyAlignment="1">
      <alignment horizontal="left" wrapText="1"/>
    </xf>
    <xf numFmtId="0" fontId="48" fillId="7" borderId="0" xfId="0" applyFont="1" applyFill="1" applyBorder="1" applyAlignment="1" applyProtection="1">
      <alignment wrapText="1"/>
      <protection locked="0"/>
    </xf>
    <xf numFmtId="0" fontId="47" fillId="6" borderId="6" xfId="0" applyFont="1" applyFill="1" applyBorder="1" applyAlignment="1">
      <alignment horizontal="left"/>
    </xf>
    <xf numFmtId="0" fontId="50" fillId="6" borderId="6" xfId="0" applyFont="1" applyFill="1" applyBorder="1" applyAlignment="1">
      <alignment horizontal="left" vertical="top" wrapText="1"/>
    </xf>
    <xf numFmtId="0" fontId="8" fillId="6" borderId="0" xfId="0" applyFont="1" applyFill="1" applyBorder="1" applyAlignment="1">
      <alignment horizontal="left" vertical="top" wrapText="1"/>
    </xf>
    <xf numFmtId="0" fontId="34" fillId="6" borderId="6" xfId="0" applyFont="1" applyFill="1" applyBorder="1" applyAlignment="1" applyProtection="1">
      <alignment horizontal="left"/>
      <protection locked="0"/>
    </xf>
    <xf numFmtId="0" fontId="34" fillId="6" borderId="6" xfId="0" applyFont="1" applyFill="1" applyBorder="1" applyAlignment="1">
      <alignment horizontal="left"/>
    </xf>
    <xf numFmtId="0" fontId="46" fillId="7" borderId="6"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1"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52" fillId="13" borderId="0" xfId="0" applyFont="1" applyFill="1" applyBorder="1" applyAlignment="1" applyProtection="1">
      <alignment horizontal="left" vertical="top" wrapText="1"/>
      <protection locked="0"/>
    </xf>
    <xf numFmtId="0" fontId="47" fillId="6" borderId="23" xfId="0" applyFont="1" applyFill="1" applyBorder="1" applyAlignment="1">
      <alignment wrapText="1"/>
    </xf>
    <xf numFmtId="0" fontId="47" fillId="6" borderId="24" xfId="0" applyFont="1" applyFill="1" applyBorder="1" applyAlignment="1">
      <alignment wrapText="1"/>
    </xf>
    <xf numFmtId="0" fontId="47" fillId="6" borderId="0" xfId="0" applyFont="1" applyFill="1" applyAlignment="1">
      <alignment horizontal="left" vertical="top" wrapText="1"/>
    </xf>
    <xf numFmtId="0" fontId="12" fillId="11" borderId="4" xfId="0" applyFont="1" applyFill="1" applyBorder="1" applyAlignment="1">
      <alignment horizontal="center"/>
    </xf>
    <xf numFmtId="0" fontId="12" fillId="11" borderId="1" xfId="0" applyFont="1" applyFill="1" applyBorder="1" applyAlignment="1">
      <alignment horizontal="center"/>
    </xf>
    <xf numFmtId="0" fontId="12" fillId="11" borderId="5" xfId="0" applyFont="1" applyFill="1" applyBorder="1" applyAlignment="1">
      <alignment horizontal="center"/>
    </xf>
    <xf numFmtId="0" fontId="12" fillId="11" borderId="6" xfId="0" applyFont="1" applyFill="1" applyBorder="1" applyAlignment="1">
      <alignment horizontal="center"/>
    </xf>
    <xf numFmtId="0" fontId="53" fillId="13" borderId="14" xfId="0" applyFont="1" applyFill="1" applyBorder="1" applyAlignment="1">
      <alignment horizontal="center"/>
    </xf>
    <xf numFmtId="0" fontId="53" fillId="13" borderId="7" xfId="0" applyFont="1" applyFill="1" applyBorder="1" applyAlignment="1">
      <alignment horizontal="center"/>
    </xf>
    <xf numFmtId="0" fontId="47" fillId="6" borderId="0" xfId="0" applyFont="1" applyFill="1" applyAlignment="1">
      <alignment horizontal="left" wrapText="1"/>
    </xf>
    <xf numFmtId="0" fontId="10" fillId="6" borderId="4" xfId="0" applyFont="1" applyFill="1" applyBorder="1" applyAlignment="1">
      <alignment horizontal="center"/>
    </xf>
    <xf numFmtId="0" fontId="10" fillId="6" borderId="1" xfId="0" applyFont="1" applyFill="1" applyBorder="1" applyAlignment="1">
      <alignment horizontal="center"/>
    </xf>
    <xf numFmtId="0" fontId="10" fillId="6" borderId="5" xfId="0" applyFont="1" applyFill="1" applyBorder="1" applyAlignment="1">
      <alignment horizontal="center"/>
    </xf>
    <xf numFmtId="0" fontId="10" fillId="13" borderId="1" xfId="0" applyFont="1" applyFill="1" applyBorder="1" applyAlignment="1">
      <alignment horizontal="center"/>
    </xf>
    <xf numFmtId="0" fontId="53" fillId="24" borderId="62" xfId="0" applyFont="1" applyFill="1" applyBorder="1" applyAlignment="1">
      <alignment horizontal="center"/>
    </xf>
    <xf numFmtId="0" fontId="53" fillId="24" borderId="1" xfId="0" applyFont="1" applyFill="1" applyBorder="1" applyAlignment="1">
      <alignment horizontal="center"/>
    </xf>
    <xf numFmtId="0" fontId="53" fillId="24" borderId="5" xfId="0" applyFont="1" applyFill="1" applyBorder="1" applyAlignment="1">
      <alignment horizontal="center"/>
    </xf>
    <xf numFmtId="0" fontId="4" fillId="3" borderId="6" xfId="0" applyFont="1" applyFill="1" applyBorder="1" applyAlignment="1">
      <alignment horizontal="center"/>
    </xf>
    <xf numFmtId="166" fontId="10" fillId="0" borderId="0" xfId="0" applyNumberFormat="1" applyFont="1" applyAlignment="1">
      <alignment horizontal="center" vertical="top"/>
    </xf>
    <xf numFmtId="0" fontId="10" fillId="0" borderId="0" xfId="0" applyFont="1" applyAlignment="1">
      <alignment horizontal="center" vertical="top" wrapText="1"/>
    </xf>
    <xf numFmtId="0" fontId="10" fillId="0" borderId="0" xfId="0" applyFont="1" applyAlignment="1">
      <alignment horizontal="center" vertical="top"/>
    </xf>
    <xf numFmtId="0" fontId="2" fillId="4" borderId="0" xfId="0" applyFont="1" applyFill="1" applyAlignment="1">
      <alignment horizontal="center" vertical="center"/>
    </xf>
    <xf numFmtId="0" fontId="2" fillId="4" borderId="0" xfId="0" applyFont="1" applyFill="1" applyAlignment="1">
      <alignment horizontal="center" vertical="top"/>
    </xf>
    <xf numFmtId="0" fontId="4" fillId="0" borderId="0" xfId="0" applyFont="1" applyAlignment="1">
      <alignment horizontal="center" vertical="top"/>
    </xf>
    <xf numFmtId="0" fontId="10" fillId="0" borderId="0" xfId="0" applyFont="1" applyFill="1" applyAlignment="1">
      <alignment horizontal="center" vertical="top"/>
    </xf>
    <xf numFmtId="0" fontId="0" fillId="0" borderId="0" xfId="0" applyFont="1" applyAlignment="1">
      <alignment horizontal="center" vertical="top" wrapText="1"/>
    </xf>
    <xf numFmtId="0" fontId="0" fillId="25" borderId="0" xfId="0" applyFill="1" applyAlignment="1">
      <alignment horizontal="center" vertical="top"/>
    </xf>
    <xf numFmtId="9" fontId="4" fillId="4" borderId="0" xfId="0" applyNumberFormat="1" applyFont="1" applyFill="1" applyBorder="1" applyAlignment="1">
      <alignment horizontal="center" vertical="center"/>
    </xf>
    <xf numFmtId="1" fontId="6" fillId="0" borderId="0" xfId="0" applyNumberFormat="1" applyFont="1" applyFill="1" applyBorder="1" applyAlignment="1">
      <alignment horizontal="center" vertical="top"/>
    </xf>
    <xf numFmtId="0" fontId="4" fillId="0" borderId="16" xfId="0" applyFont="1" applyBorder="1" applyAlignment="1">
      <alignment horizontal="center" vertical="top"/>
    </xf>
    <xf numFmtId="164" fontId="4" fillId="0" borderId="17" xfId="2" applyNumberFormat="1" applyFont="1" applyBorder="1" applyAlignment="1">
      <alignment horizontal="center" vertical="top"/>
    </xf>
    <xf numFmtId="164" fontId="39" fillId="3" borderId="14" xfId="0" applyNumberFormat="1" applyFont="1" applyFill="1" applyBorder="1" applyAlignment="1">
      <alignment horizontal="center" vertical="top"/>
    </xf>
    <xf numFmtId="164" fontId="39" fillId="3" borderId="15" xfId="2" applyNumberFormat="1" applyFont="1" applyFill="1" applyBorder="1" applyAlignment="1">
      <alignment horizontal="center" vertical="top"/>
    </xf>
    <xf numFmtId="164" fontId="64" fillId="3" borderId="4" xfId="0" applyNumberFormat="1" applyFont="1" applyFill="1" applyBorder="1" applyAlignment="1">
      <alignment horizontal="center" vertical="top"/>
    </xf>
    <xf numFmtId="164" fontId="64" fillId="3" borderId="1" xfId="0" applyNumberFormat="1" applyFont="1" applyFill="1" applyBorder="1" applyAlignment="1">
      <alignment horizontal="center" vertical="top"/>
    </xf>
    <xf numFmtId="164" fontId="64" fillId="3" borderId="5" xfId="0" applyNumberFormat="1" applyFont="1" applyFill="1" applyBorder="1" applyAlignment="1">
      <alignment horizontal="center" vertical="top"/>
    </xf>
    <xf numFmtId="0" fontId="4" fillId="0" borderId="4" xfId="0" applyFont="1" applyBorder="1" applyAlignment="1">
      <alignment horizontal="center" vertical="top"/>
    </xf>
    <xf numFmtId="0" fontId="4" fillId="0" borderId="1" xfId="0" applyFont="1" applyBorder="1" applyAlignment="1">
      <alignment horizontal="center" vertical="top"/>
    </xf>
    <xf numFmtId="0" fontId="4" fillId="0" borderId="5" xfId="0" applyFont="1" applyBorder="1" applyAlignment="1">
      <alignment horizontal="center" vertical="top"/>
    </xf>
    <xf numFmtId="0" fontId="0" fillId="6" borderId="0" xfId="0" applyFill="1" applyAlignment="1">
      <alignment horizontal="left" wrapText="1" indent="1"/>
    </xf>
    <xf numFmtId="164" fontId="39" fillId="3" borderId="14" xfId="0" applyNumberFormat="1" applyFont="1" applyFill="1" applyBorder="1" applyAlignment="1">
      <alignment horizontal="center"/>
    </xf>
    <xf numFmtId="164" fontId="39" fillId="3" borderId="15" xfId="0" applyNumberFormat="1"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1" fontId="6" fillId="0" borderId="0" xfId="0" applyNumberFormat="1" applyFont="1" applyFill="1" applyBorder="1" applyAlignment="1">
      <alignment horizontal="center"/>
    </xf>
    <xf numFmtId="164" fontId="38" fillId="3" borderId="14" xfId="0" applyNumberFormat="1" applyFont="1" applyFill="1" applyBorder="1" applyAlignment="1">
      <alignment horizontal="center"/>
    </xf>
    <xf numFmtId="164" fontId="38" fillId="3" borderId="15" xfId="0" applyNumberFormat="1" applyFont="1" applyFill="1" applyBorder="1" applyAlignment="1">
      <alignment horizontal="center"/>
    </xf>
    <xf numFmtId="0" fontId="2" fillId="4" borderId="0" xfId="0" applyFont="1" applyFill="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10" fillId="0" borderId="0" xfId="0" applyFont="1" applyAlignment="1">
      <alignment horizontal="center" wrapText="1"/>
    </xf>
    <xf numFmtId="166" fontId="10" fillId="0" borderId="0" xfId="0" applyNumberFormat="1" applyFont="1" applyAlignment="1">
      <alignment horizontal="center"/>
    </xf>
    <xf numFmtId="0" fontId="4" fillId="0" borderId="0" xfId="0" applyFont="1" applyAlignment="1">
      <alignment horizontal="center"/>
    </xf>
    <xf numFmtId="0" fontId="40" fillId="6" borderId="6" xfId="0" applyFont="1" applyFill="1" applyBorder="1" applyAlignment="1">
      <alignment horizontal="center"/>
    </xf>
    <xf numFmtId="0" fontId="11" fillId="6" borderId="0" xfId="0" applyFont="1" applyFill="1" applyAlignment="1">
      <alignment horizontal="left" wrapText="1"/>
    </xf>
    <xf numFmtId="0" fontId="11" fillId="6" borderId="23" xfId="0" applyFont="1" applyFill="1" applyBorder="1" applyAlignment="1">
      <alignment wrapText="1"/>
    </xf>
    <xf numFmtId="0" fontId="11" fillId="6" borderId="24" xfId="0" applyFont="1" applyFill="1" applyBorder="1" applyAlignment="1">
      <alignment wrapText="1"/>
    </xf>
    <xf numFmtId="174" fontId="16" fillId="0" borderId="33" xfId="0" applyNumberFormat="1" applyFont="1" applyBorder="1" applyAlignment="1">
      <alignment vertical="center"/>
    </xf>
    <xf numFmtId="174" fontId="16" fillId="0" borderId="37" xfId="0" applyNumberFormat="1" applyFont="1" applyBorder="1" applyAlignment="1">
      <alignment vertical="center"/>
    </xf>
    <xf numFmtId="174" fontId="16" fillId="0" borderId="38" xfId="0" applyNumberFormat="1" applyFont="1" applyBorder="1" applyAlignment="1">
      <alignment vertical="center"/>
    </xf>
    <xf numFmtId="174" fontId="16" fillId="0" borderId="35" xfId="0" applyNumberFormat="1" applyFont="1" applyBorder="1" applyAlignment="1">
      <alignment vertical="center"/>
    </xf>
    <xf numFmtId="174" fontId="16" fillId="0" borderId="39" xfId="0" applyNumberFormat="1" applyFont="1" applyBorder="1" applyAlignment="1">
      <alignment vertical="center"/>
    </xf>
    <xf numFmtId="174" fontId="16" fillId="0" borderId="41" xfId="0" applyNumberFormat="1" applyFont="1" applyBorder="1" applyAlignment="1">
      <alignment vertical="center"/>
    </xf>
    <xf numFmtId="170" fontId="16" fillId="0" borderId="42" xfId="0" applyNumberFormat="1" applyFont="1" applyFill="1" applyBorder="1" applyAlignment="1">
      <alignment horizontal="center" vertical="center"/>
    </xf>
    <xf numFmtId="170" fontId="16" fillId="0" borderId="40" xfId="0" applyNumberFormat="1" applyFont="1" applyFill="1" applyBorder="1" applyAlignment="1">
      <alignment horizontal="center" vertical="center"/>
    </xf>
    <xf numFmtId="170" fontId="16" fillId="0" borderId="43" xfId="0" quotePrefix="1" applyNumberFormat="1" applyFont="1" applyFill="1" applyBorder="1" applyAlignment="1">
      <alignment vertical="center"/>
    </xf>
    <xf numFmtId="170" fontId="16" fillId="0" borderId="38" xfId="0" quotePrefix="1" applyNumberFormat="1" applyFont="1" applyFill="1" applyBorder="1" applyAlignment="1">
      <alignment vertical="center"/>
    </xf>
    <xf numFmtId="174" fontId="16" fillId="0" borderId="43" xfId="0" applyNumberFormat="1" applyFont="1" applyFill="1" applyBorder="1" applyAlignment="1">
      <alignment vertical="center"/>
    </xf>
    <xf numFmtId="174" fontId="16" fillId="0" borderId="38" xfId="0" applyNumberFormat="1" applyFont="1" applyFill="1" applyBorder="1" applyAlignment="1">
      <alignment vertical="center"/>
    </xf>
    <xf numFmtId="174" fontId="16" fillId="0" borderId="45" xfId="0" applyNumberFormat="1" applyFont="1" applyFill="1" applyBorder="1" applyAlignment="1">
      <alignment vertical="center"/>
    </xf>
    <xf numFmtId="174" fontId="16" fillId="0" borderId="41" xfId="0" applyNumberFormat="1" applyFont="1" applyFill="1" applyBorder="1" applyAlignment="1">
      <alignment vertical="center"/>
    </xf>
    <xf numFmtId="0" fontId="16" fillId="0" borderId="6" xfId="0" applyFont="1" applyBorder="1" applyAlignment="1">
      <alignment horizontal="center" wrapText="1"/>
    </xf>
    <xf numFmtId="0" fontId="16" fillId="0" borderId="6" xfId="0" applyFont="1" applyBorder="1" applyAlignment="1">
      <alignment horizontal="center"/>
    </xf>
    <xf numFmtId="0" fontId="16" fillId="0" borderId="4" xfId="0" applyFont="1" applyBorder="1" applyAlignment="1">
      <alignment horizontal="center" wrapText="1"/>
    </xf>
    <xf numFmtId="0" fontId="16" fillId="0" borderId="5" xfId="0" applyFont="1" applyBorder="1" applyAlignment="1">
      <alignment horizontal="center" wrapText="1"/>
    </xf>
    <xf numFmtId="170" fontId="16" fillId="0" borderId="32" xfId="0" applyNumberFormat="1" applyFont="1" applyFill="1" applyBorder="1" applyAlignment="1">
      <alignment horizontal="center" vertical="center"/>
    </xf>
    <xf numFmtId="170" fontId="16" fillId="0" borderId="36" xfId="0" applyNumberFormat="1" applyFont="1" applyFill="1" applyBorder="1" applyAlignment="1">
      <alignment horizontal="center" vertical="center"/>
    </xf>
    <xf numFmtId="0" fontId="16" fillId="0" borderId="40" xfId="0" applyFont="1" applyFill="1" applyBorder="1" applyAlignment="1">
      <alignment horizontal="center" vertical="center"/>
    </xf>
    <xf numFmtId="170" fontId="16" fillId="0" borderId="33" xfId="0" quotePrefix="1" applyNumberFormat="1" applyFont="1" applyFill="1" applyBorder="1" applyAlignment="1">
      <alignment vertical="center"/>
    </xf>
    <xf numFmtId="170" fontId="16" fillId="0" borderId="37" xfId="0" quotePrefix="1" applyNumberFormat="1" applyFont="1" applyFill="1" applyBorder="1" applyAlignment="1">
      <alignment vertical="center"/>
    </xf>
    <xf numFmtId="0" fontId="16" fillId="0" borderId="38" xfId="0" applyFont="1" applyFill="1" applyBorder="1" applyAlignment="1">
      <alignment vertical="center"/>
    </xf>
    <xf numFmtId="174" fontId="16" fillId="0" borderId="43" xfId="0" applyNumberFormat="1" applyFont="1" applyFill="1" applyBorder="1" applyAlignment="1">
      <alignment horizontal="right" vertical="center"/>
    </xf>
    <xf numFmtId="174" fontId="16" fillId="0" borderId="37" xfId="0" applyNumberFormat="1" applyFont="1" applyFill="1" applyBorder="1" applyAlignment="1">
      <alignment horizontal="right" vertical="center"/>
    </xf>
    <xf numFmtId="174" fontId="16" fillId="0" borderId="38" xfId="0" applyNumberFormat="1" applyFont="1" applyFill="1" applyBorder="1" applyAlignment="1">
      <alignment horizontal="right" vertical="center"/>
    </xf>
    <xf numFmtId="174" fontId="16" fillId="0" borderId="45" xfId="0" applyNumberFormat="1" applyFont="1" applyFill="1" applyBorder="1" applyAlignment="1">
      <alignment horizontal="right" vertical="center"/>
    </xf>
    <xf numFmtId="174" fontId="16" fillId="0" borderId="39" xfId="0" applyNumberFormat="1" applyFont="1" applyFill="1" applyBorder="1" applyAlignment="1">
      <alignment horizontal="right" vertical="center"/>
    </xf>
    <xf numFmtId="174" fontId="16" fillId="0" borderId="41" xfId="0" applyNumberFormat="1" applyFont="1" applyFill="1" applyBorder="1" applyAlignment="1">
      <alignment horizontal="right" vertical="center"/>
    </xf>
    <xf numFmtId="170" fontId="16" fillId="0" borderId="43" xfId="0" applyNumberFormat="1" applyFont="1" applyFill="1" applyBorder="1" applyAlignment="1">
      <alignment vertical="center"/>
    </xf>
    <xf numFmtId="170" fontId="16" fillId="0" borderId="38" xfId="0" applyNumberFormat="1" applyFont="1" applyFill="1" applyBorder="1" applyAlignment="1">
      <alignment vertical="center"/>
    </xf>
    <xf numFmtId="174" fontId="16" fillId="0" borderId="43" xfId="0" applyNumberFormat="1" applyFont="1" applyFill="1" applyBorder="1" applyAlignment="1">
      <alignment horizontal="center" vertical="center"/>
    </xf>
    <xf numFmtId="174" fontId="16" fillId="0" borderId="38" xfId="0" applyNumberFormat="1" applyFont="1" applyFill="1" applyBorder="1" applyAlignment="1">
      <alignment horizontal="center" vertical="center"/>
    </xf>
    <xf numFmtId="174" fontId="16" fillId="0" borderId="37" xfId="0" applyNumberFormat="1" applyFont="1" applyFill="1" applyBorder="1" applyAlignment="1">
      <alignment vertical="center"/>
    </xf>
    <xf numFmtId="174" fontId="16" fillId="0" borderId="39" xfId="0" applyNumberFormat="1" applyFont="1" applyFill="1" applyBorder="1" applyAlignment="1">
      <alignment vertical="center"/>
    </xf>
    <xf numFmtId="170" fontId="16" fillId="0" borderId="37" xfId="0" applyNumberFormat="1" applyFont="1" applyFill="1" applyBorder="1" applyAlignment="1">
      <alignment vertical="center"/>
    </xf>
    <xf numFmtId="170" fontId="16" fillId="0" borderId="42" xfId="0" applyNumberFormat="1" applyFont="1" applyFill="1" applyBorder="1" applyAlignment="1">
      <alignment horizontal="left" vertical="center"/>
    </xf>
    <xf numFmtId="170" fontId="16" fillId="0" borderId="36" xfId="0" applyNumberFormat="1" applyFont="1" applyFill="1" applyBorder="1" applyAlignment="1">
      <alignment horizontal="left" vertical="center"/>
    </xf>
    <xf numFmtId="0" fontId="16" fillId="0" borderId="40" xfId="0" applyFont="1" applyFill="1" applyBorder="1" applyAlignment="1">
      <alignment horizontal="left" vertical="center"/>
    </xf>
    <xf numFmtId="170" fontId="16" fillId="0" borderId="43" xfId="0" quotePrefix="1" applyNumberFormat="1" applyFont="1" applyFill="1" applyBorder="1" applyAlignment="1">
      <alignment horizontal="left" vertical="center"/>
    </xf>
    <xf numFmtId="170" fontId="16" fillId="0" borderId="37" xfId="0" quotePrefix="1" applyNumberFormat="1" applyFont="1" applyFill="1" applyBorder="1" applyAlignment="1">
      <alignment horizontal="left" vertical="center"/>
    </xf>
    <xf numFmtId="0" fontId="16" fillId="0" borderId="38" xfId="0" applyFont="1" applyFill="1" applyBorder="1" applyAlignment="1">
      <alignment horizontal="left" vertical="center"/>
    </xf>
    <xf numFmtId="174" fontId="16" fillId="0" borderId="43" xfId="0" applyNumberFormat="1" applyFont="1" applyBorder="1" applyAlignment="1">
      <alignment vertical="center"/>
    </xf>
    <xf numFmtId="174" fontId="16" fillId="0" borderId="37" xfId="0" applyNumberFormat="1" applyFont="1" applyFill="1" applyBorder="1" applyAlignment="1">
      <alignment horizontal="center" vertical="center"/>
    </xf>
    <xf numFmtId="174" fontId="16" fillId="0" borderId="45" xfId="0" applyNumberFormat="1" applyFont="1" applyFill="1" applyBorder="1" applyAlignment="1">
      <alignment horizontal="center" vertical="center"/>
    </xf>
    <xf numFmtId="174" fontId="16" fillId="0" borderId="39" xfId="0" applyNumberFormat="1" applyFont="1" applyFill="1" applyBorder="1" applyAlignment="1">
      <alignment horizontal="center" vertical="center"/>
    </xf>
    <xf numFmtId="174" fontId="16" fillId="0" borderId="41" xfId="0" applyNumberFormat="1" applyFont="1" applyFill="1" applyBorder="1" applyAlignment="1">
      <alignment horizontal="center" vertical="center"/>
    </xf>
    <xf numFmtId="170" fontId="16" fillId="0" borderId="43" xfId="0" applyNumberFormat="1" applyFont="1" applyFill="1" applyBorder="1" applyAlignment="1">
      <alignment horizontal="left" vertical="center"/>
    </xf>
    <xf numFmtId="170" fontId="16" fillId="0" borderId="37" xfId="0" applyNumberFormat="1" applyFont="1" applyFill="1" applyBorder="1" applyAlignment="1">
      <alignment horizontal="left" vertical="center"/>
    </xf>
    <xf numFmtId="170" fontId="16" fillId="0" borderId="40" xfId="0" applyNumberFormat="1" applyFont="1" applyFill="1" applyBorder="1" applyAlignment="1">
      <alignment horizontal="left" vertical="center"/>
    </xf>
    <xf numFmtId="170" fontId="16" fillId="0" borderId="38" xfId="0" quotePrefix="1" applyNumberFormat="1" applyFont="1" applyFill="1" applyBorder="1" applyAlignment="1">
      <alignment horizontal="left" vertical="center"/>
    </xf>
    <xf numFmtId="174" fontId="16" fillId="0" borderId="45" xfId="0" applyNumberFormat="1" applyFont="1" applyBorder="1" applyAlignment="1">
      <alignment vertical="center"/>
    </xf>
    <xf numFmtId="0" fontId="16" fillId="0" borderId="36" xfId="0" applyFont="1" applyFill="1" applyBorder="1" applyAlignment="1">
      <alignment horizontal="center" vertical="center"/>
    </xf>
    <xf numFmtId="0" fontId="16" fillId="0" borderId="37" xfId="0" applyFont="1" applyFill="1" applyBorder="1" applyAlignment="1">
      <alignment horizontal="left" vertical="center"/>
    </xf>
    <xf numFmtId="174" fontId="16" fillId="0" borderId="45" xfId="12" applyNumberFormat="1" applyFont="1" applyFill="1" applyBorder="1" applyAlignment="1">
      <alignment vertical="center"/>
    </xf>
    <xf numFmtId="174" fontId="16" fillId="0" borderId="39" xfId="12" applyNumberFormat="1" applyFont="1" applyFill="1" applyBorder="1" applyAlignment="1">
      <alignment vertical="center"/>
    </xf>
    <xf numFmtId="174" fontId="16" fillId="0" borderId="41" xfId="12" applyNumberFormat="1" applyFont="1" applyFill="1" applyBorder="1" applyAlignment="1">
      <alignment vertical="center"/>
    </xf>
    <xf numFmtId="174" fontId="16" fillId="0" borderId="43" xfId="12" applyNumberFormat="1" applyFont="1" applyFill="1" applyBorder="1" applyAlignment="1">
      <alignment vertical="center"/>
    </xf>
    <xf numFmtId="174" fontId="16" fillId="0" borderId="37" xfId="12" applyNumberFormat="1" applyFont="1" applyFill="1" applyBorder="1" applyAlignment="1">
      <alignment vertical="center"/>
    </xf>
    <xf numFmtId="174" fontId="16" fillId="0" borderId="38" xfId="12" applyNumberFormat="1" applyFont="1" applyFill="1" applyBorder="1" applyAlignment="1">
      <alignment vertical="center"/>
    </xf>
    <xf numFmtId="1" fontId="15" fillId="0" borderId="0" xfId="0" applyNumberFormat="1" applyFont="1" applyFill="1" applyBorder="1" applyAlignment="1">
      <alignment horizontal="center"/>
    </xf>
    <xf numFmtId="0" fontId="58" fillId="0" borderId="0" xfId="0" applyFont="1" applyAlignment="1" applyProtection="1">
      <alignment vertical="top" wrapText="1" readingOrder="1"/>
      <protection locked="0"/>
    </xf>
    <xf numFmtId="0" fontId="0" fillId="0" borderId="0" xfId="0"/>
    <xf numFmtId="0" fontId="59" fillId="0" borderId="0" xfId="0" applyFont="1" applyAlignment="1" applyProtection="1">
      <alignment vertical="top" wrapText="1" readingOrder="1"/>
      <protection locked="0"/>
    </xf>
    <xf numFmtId="49" fontId="0" fillId="0" borderId="0" xfId="0" applyNumberFormat="1" applyAlignment="1">
      <alignment horizontal="center"/>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0"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12" xfId="0" applyBorder="1" applyAlignment="1">
      <alignment horizontal="center" vertical="center" wrapText="1"/>
    </xf>
    <xf numFmtId="0" fontId="0" fillId="0" borderId="57" xfId="0" applyBorder="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cellXfs>
  <cellStyles count="13">
    <cellStyle name="Comma" xfId="1" builtinId="3"/>
    <cellStyle name="Comma 2 2" xfId="8"/>
    <cellStyle name="Currency" xfId="2" builtinId="4"/>
    <cellStyle name="Hyperlink" xfId="11" builtinId="8"/>
    <cellStyle name="Normal" xfId="0" builtinId="0"/>
    <cellStyle name="Normal 10" xfId="7"/>
    <cellStyle name="Normal 10 2" xfId="12"/>
    <cellStyle name="Normal 2" xfId="6"/>
    <cellStyle name="Normal 2 2" xfId="9"/>
    <cellStyle name="Normal 3" xfId="10"/>
    <cellStyle name="Normal 8" xfId="5"/>
    <cellStyle name="Normal_ZEKEdata" xfId="4"/>
    <cellStyle name="Percent" xfId="3" builtinId="5"/>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0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style="thin">
          <color auto="1"/>
        </top>
        <bottom/>
        <vertical/>
        <horizontal/>
      </border>
    </dxf>
    <dxf>
      <font>
        <color theme="0"/>
      </font>
      <fill>
        <patternFill>
          <bgColor rgb="FFFF0000"/>
        </patternFill>
      </fill>
    </dxf>
    <dxf>
      <fill>
        <patternFill>
          <bgColor rgb="FFFF0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style="thin">
          <color auto="1"/>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Per Pupil Funding by Percent Low-Income</a:t>
            </a:r>
          </a:p>
          <a:p>
            <a:pPr>
              <a:defRPr sz="1400" b="0" i="0" u="none" strike="noStrike" kern="1200" spc="0" baseline="0">
                <a:solidFill>
                  <a:schemeClr val="tx1"/>
                </a:solidFill>
                <a:latin typeface="+mn-lt"/>
                <a:ea typeface="+mn-ea"/>
                <a:cs typeface="+mn-cs"/>
              </a:defRPr>
            </a:pPr>
            <a:r>
              <a:rPr lang="en-US" sz="1000">
                <a:solidFill>
                  <a:schemeClr val="tx1"/>
                </a:solidFill>
              </a:rPr>
              <a:t>(all schools with per-pupil &lt;=$20,000)</a:t>
            </a:r>
          </a:p>
        </c:rich>
      </c:tx>
      <c:overlay val="0"/>
      <c:spPr>
        <a:noFill/>
        <a:ln>
          <a:noFill/>
        </a:ln>
        <a:effectLst/>
      </c:spPr>
    </c:title>
    <c:autoTitleDeleted val="0"/>
    <c:plotArea>
      <c:layout/>
      <c:scatterChart>
        <c:scatterStyle val="lineMarker"/>
        <c:varyColors val="0"/>
        <c:ser>
          <c:idx val="0"/>
          <c:order val="0"/>
          <c:tx>
            <c:v>Current Per Pupil </c:v>
          </c:tx>
          <c:spPr>
            <a:ln w="19050" cap="rnd">
              <a:noFill/>
              <a:round/>
            </a:ln>
            <a:effectLst/>
          </c:spPr>
          <c:marker>
            <c:symbol val="circle"/>
            <c:size val="5"/>
            <c:spPr>
              <a:solidFill>
                <a:schemeClr val="accent1"/>
              </a:solidFill>
              <a:ln w="9525">
                <a:solidFill>
                  <a:schemeClr val="accent1"/>
                </a:solidFill>
              </a:ln>
              <a:effectLst/>
            </c:spPr>
          </c:marker>
          <c:xVal>
            <c:numRef>
              <c:f>'Graph Data all $'!$C$3:$C$156</c:f>
              <c:numCache>
                <c:formatCode>0%</c:formatCode>
                <c:ptCount val="154"/>
                <c:pt idx="0">
                  <c:v>0.3524982351556985</c:v>
                </c:pt>
                <c:pt idx="1">
                  <c:v>0.26971913320101143</c:v>
                </c:pt>
                <c:pt idx="2">
                  <c:v>0.40529575058723039</c:v>
                </c:pt>
                <c:pt idx="3">
                  <c:v>0.65189873417721522</c:v>
                </c:pt>
                <c:pt idx="4">
                  <c:v>0.54085603112840464</c:v>
                </c:pt>
                <c:pt idx="5">
                  <c:v>0.48328025477707004</c:v>
                </c:pt>
                <c:pt idx="6">
                  <c:v>0.49444620755315771</c:v>
                </c:pt>
                <c:pt idx="7">
                  <c:v>0.46146872166817771</c:v>
                </c:pt>
                <c:pt idx="8">
                  <c:v>0.50708833151581245</c:v>
                </c:pt>
                <c:pt idx="9">
                  <c:v>0.67791411042944782</c:v>
                </c:pt>
                <c:pt idx="10">
                  <c:v>0.44536326048434732</c:v>
                </c:pt>
                <c:pt idx="11">
                  <c:v>0.56882480957562565</c:v>
                </c:pt>
                <c:pt idx="12">
                  <c:v>0.70292887029288698</c:v>
                </c:pt>
                <c:pt idx="13">
                  <c:v>0.55466666666666664</c:v>
                </c:pt>
                <c:pt idx="14">
                  <c:v>0.42863574966231427</c:v>
                </c:pt>
                <c:pt idx="15">
                  <c:v>0.41674221819280749</c:v>
                </c:pt>
                <c:pt idx="16">
                  <c:v>0.50622406639004147</c:v>
                </c:pt>
                <c:pt idx="17">
                  <c:v>0.45454545454545453</c:v>
                </c:pt>
                <c:pt idx="18">
                  <c:v>0.66816143497757852</c:v>
                </c:pt>
                <c:pt idx="19">
                  <c:v>0.5542056074766355</c:v>
                </c:pt>
                <c:pt idx="20">
                  <c:v>0.45081266039349871</c:v>
                </c:pt>
                <c:pt idx="21">
                  <c:v>0.49492940942533309</c:v>
                </c:pt>
                <c:pt idx="22">
                  <c:v>0.55102040816326525</c:v>
                </c:pt>
                <c:pt idx="23">
                  <c:v>0.42962774094849565</c:v>
                </c:pt>
                <c:pt idx="24">
                  <c:v>0.56206896551724139</c:v>
                </c:pt>
                <c:pt idx="25">
                  <c:v>0.46186440677966101</c:v>
                </c:pt>
                <c:pt idx="26">
                  <c:v>0.40799999999999997</c:v>
                </c:pt>
                <c:pt idx="27">
                  <c:v>0.60365717683788001</c:v>
                </c:pt>
                <c:pt idx="28">
                  <c:v>0.82184634840341453</c:v>
                </c:pt>
                <c:pt idx="29">
                  <c:v>0</c:v>
                </c:pt>
                <c:pt idx="30">
                  <c:v>0.45277127244340359</c:v>
                </c:pt>
                <c:pt idx="31">
                  <c:v>0.67007672634271098</c:v>
                </c:pt>
                <c:pt idx="32">
                  <c:v>0.50686641697877655</c:v>
                </c:pt>
                <c:pt idx="33">
                  <c:v>0.69078014184397163</c:v>
                </c:pt>
                <c:pt idx="34">
                  <c:v>0.66835269993164725</c:v>
                </c:pt>
                <c:pt idx="35">
                  <c:v>0.47544204322200395</c:v>
                </c:pt>
                <c:pt idx="36">
                  <c:v>0.41025641025641024</c:v>
                </c:pt>
                <c:pt idx="37">
                  <c:v>0.34972677595628415</c:v>
                </c:pt>
                <c:pt idx="38">
                  <c:v>0.53291901340066028</c:v>
                </c:pt>
                <c:pt idx="39">
                  <c:v>0.76100628930817615</c:v>
                </c:pt>
                <c:pt idx="40">
                  <c:v>0.57473684210526321</c:v>
                </c:pt>
                <c:pt idx="41">
                  <c:v>0.38095238095238093</c:v>
                </c:pt>
                <c:pt idx="42">
                  <c:v>0.5</c:v>
                </c:pt>
                <c:pt idx="43">
                  <c:v>0</c:v>
                </c:pt>
                <c:pt idx="44">
                  <c:v>0.67441860465116277</c:v>
                </c:pt>
                <c:pt idx="45">
                  <c:v>0.52148337595907923</c:v>
                </c:pt>
                <c:pt idx="46">
                  <c:v>0.43193069306930693</c:v>
                </c:pt>
                <c:pt idx="47">
                  <c:v>0.47807017543859648</c:v>
                </c:pt>
                <c:pt idx="48">
                  <c:v>0.54722222222222228</c:v>
                </c:pt>
                <c:pt idx="49">
                  <c:v>0.57480946650621745</c:v>
                </c:pt>
                <c:pt idx="50">
                  <c:v>0.67711598746081503</c:v>
                </c:pt>
                <c:pt idx="51">
                  <c:v>0.77683854606931535</c:v>
                </c:pt>
                <c:pt idx="52">
                  <c:v>0.71084337349397586</c:v>
                </c:pt>
                <c:pt idx="53">
                  <c:v>0.81967213114754101</c:v>
                </c:pt>
                <c:pt idx="54">
                  <c:v>0.38141809290953543</c:v>
                </c:pt>
                <c:pt idx="55">
                  <c:v>0.60431654676258995</c:v>
                </c:pt>
                <c:pt idx="56">
                  <c:v>0.51584786053882725</c:v>
                </c:pt>
                <c:pt idx="57">
                  <c:v>0.4140067592940293</c:v>
                </c:pt>
                <c:pt idx="58">
                  <c:v>0.47520661157024796</c:v>
                </c:pt>
                <c:pt idx="59">
                  <c:v>0.5088282504012841</c:v>
                </c:pt>
                <c:pt idx="60">
                  <c:v>0.67589662447257381</c:v>
                </c:pt>
                <c:pt idx="61">
                  <c:v>0.60273972602739723</c:v>
                </c:pt>
                <c:pt idx="62">
                  <c:v>0.41819390371284776</c:v>
                </c:pt>
                <c:pt idx="63">
                  <c:v>0.44638583054092867</c:v>
                </c:pt>
                <c:pt idx="64">
                  <c:v>0.47652366046768552</c:v>
                </c:pt>
                <c:pt idx="65">
                  <c:v>0.5</c:v>
                </c:pt>
                <c:pt idx="66">
                  <c:v>0.3125</c:v>
                </c:pt>
                <c:pt idx="67">
                  <c:v>0.21069182389937108</c:v>
                </c:pt>
                <c:pt idx="68">
                  <c:v>0.42016806722689076</c:v>
                </c:pt>
                <c:pt idx="69">
                  <c:v>0.43973214285714285</c:v>
                </c:pt>
                <c:pt idx="70">
                  <c:v>0.35546875</c:v>
                </c:pt>
                <c:pt idx="71">
                  <c:v>0.44019138755980863</c:v>
                </c:pt>
                <c:pt idx="72">
                  <c:v>0.62875816993464051</c:v>
                </c:pt>
                <c:pt idx="73">
                  <c:v>0.64</c:v>
                </c:pt>
                <c:pt idx="74">
                  <c:v>0.47651006711409394</c:v>
                </c:pt>
                <c:pt idx="75">
                  <c:v>0.93548387096774188</c:v>
                </c:pt>
                <c:pt idx="76">
                  <c:v>0.52439024390243905</c:v>
                </c:pt>
                <c:pt idx="77">
                  <c:v>0.6987951807228916</c:v>
                </c:pt>
                <c:pt idx="78">
                  <c:v>0.70940170940170943</c:v>
                </c:pt>
                <c:pt idx="79">
                  <c:v>0.49624060150375937</c:v>
                </c:pt>
                <c:pt idx="80">
                  <c:v>0.3919336163643381</c:v>
                </c:pt>
                <c:pt idx="81">
                  <c:v>0.46358454718176062</c:v>
                </c:pt>
                <c:pt idx="82">
                  <c:v>0.63497081712062253</c:v>
                </c:pt>
                <c:pt idx="83">
                  <c:v>0.39093242087254065</c:v>
                </c:pt>
                <c:pt idx="84">
                  <c:v>0.8899253731343284</c:v>
                </c:pt>
                <c:pt idx="85">
                  <c:v>0.59340659340659341</c:v>
                </c:pt>
                <c:pt idx="86">
                  <c:v>0.46754675467546752</c:v>
                </c:pt>
                <c:pt idx="87">
                  <c:v>0.66383495145631066</c:v>
                </c:pt>
                <c:pt idx="88">
                  <c:v>0</c:v>
                </c:pt>
                <c:pt idx="89">
                  <c:v>0.64</c:v>
                </c:pt>
                <c:pt idx="90">
                  <c:v>0.60843881856540083</c:v>
                </c:pt>
                <c:pt idx="91">
                  <c:v>0.76732358550540369</c:v>
                </c:pt>
                <c:pt idx="92">
                  <c:v>0.46262626262626261</c:v>
                </c:pt>
                <c:pt idx="93">
                  <c:v>0.46642899584076053</c:v>
                </c:pt>
                <c:pt idx="94">
                  <c:v>0.68577348066298338</c:v>
                </c:pt>
                <c:pt idx="95">
                  <c:v>0</c:v>
                </c:pt>
                <c:pt idx="96">
                  <c:v>0</c:v>
                </c:pt>
                <c:pt idx="97">
                  <c:v>0.49909420289855072</c:v>
                </c:pt>
                <c:pt idx="98">
                  <c:v>0.45794392523364486</c:v>
                </c:pt>
                <c:pt idx="99">
                  <c:v>0.50819672131147542</c:v>
                </c:pt>
                <c:pt idx="100">
                  <c:v>0</c:v>
                </c:pt>
                <c:pt idx="101">
                  <c:v>0.46718576195773082</c:v>
                </c:pt>
                <c:pt idx="102">
                  <c:v>0.59374306634124696</c:v>
                </c:pt>
                <c:pt idx="103">
                  <c:v>0.66640502354788067</c:v>
                </c:pt>
                <c:pt idx="104">
                  <c:v>0.46276923076923077</c:v>
                </c:pt>
                <c:pt idx="105">
                  <c:v>0.34390112842557763</c:v>
                </c:pt>
                <c:pt idx="106">
                  <c:v>0.78333333333333333</c:v>
                </c:pt>
                <c:pt idx="107">
                  <c:v>0</c:v>
                </c:pt>
                <c:pt idx="108">
                  <c:v>0.65346534653465349</c:v>
                </c:pt>
                <c:pt idx="109">
                  <c:v>0.75163398692810457</c:v>
                </c:pt>
                <c:pt idx="110">
                  <c:v>0.33653846153846156</c:v>
                </c:pt>
                <c:pt idx="111">
                  <c:v>0.6</c:v>
                </c:pt>
                <c:pt idx="112">
                  <c:v>0.59727385377942999</c:v>
                </c:pt>
                <c:pt idx="113">
                  <c:v>0.50420168067226889</c:v>
                </c:pt>
                <c:pt idx="114">
                  <c:v>0.6097560975609756</c:v>
                </c:pt>
                <c:pt idx="115">
                  <c:v>0.36138613861386137</c:v>
                </c:pt>
                <c:pt idx="116">
                  <c:v>0.53649105848235867</c:v>
                </c:pt>
                <c:pt idx="117">
                  <c:v>0</c:v>
                </c:pt>
                <c:pt idx="118">
                  <c:v>0.35080645161290325</c:v>
                </c:pt>
                <c:pt idx="119">
                  <c:v>0</c:v>
                </c:pt>
                <c:pt idx="120">
                  <c:v>0.22222222222222221</c:v>
                </c:pt>
                <c:pt idx="121">
                  <c:v>0.52716143840856922</c:v>
                </c:pt>
                <c:pt idx="122">
                  <c:v>0.35971223021582732</c:v>
                </c:pt>
                <c:pt idx="123">
                  <c:v>0.36680327868852458</c:v>
                </c:pt>
                <c:pt idx="124">
                  <c:v>0.4375</c:v>
                </c:pt>
                <c:pt idx="125">
                  <c:v>0.28235294117647058</c:v>
                </c:pt>
                <c:pt idx="126">
                  <c:v>0.42899850523168909</c:v>
                </c:pt>
                <c:pt idx="127">
                  <c:v>0.30804597701149428</c:v>
                </c:pt>
                <c:pt idx="128">
                  <c:v>0.5761316872427984</c:v>
                </c:pt>
                <c:pt idx="129">
                  <c:v>0.46889952153110048</c:v>
                </c:pt>
                <c:pt idx="130">
                  <c:v>0.38695652173913042</c:v>
                </c:pt>
                <c:pt idx="131">
                  <c:v>0</c:v>
                </c:pt>
                <c:pt idx="132">
                  <c:v>0</c:v>
                </c:pt>
                <c:pt idx="133">
                  <c:v>0.30857142857142855</c:v>
                </c:pt>
                <c:pt idx="134">
                  <c:v>0.14613180515759314</c:v>
                </c:pt>
                <c:pt idx="135">
                  <c:v>0.54450261780104714</c:v>
                </c:pt>
                <c:pt idx="136">
                  <c:v>0.17647058823529413</c:v>
                </c:pt>
                <c:pt idx="137">
                  <c:v>0.56399999999999995</c:v>
                </c:pt>
                <c:pt idx="138">
                  <c:v>0.48063380281690143</c:v>
                </c:pt>
                <c:pt idx="139">
                  <c:v>0.38305084745762713</c:v>
                </c:pt>
                <c:pt idx="140">
                  <c:v>0.9101123595505618</c:v>
                </c:pt>
                <c:pt idx="141">
                  <c:v>0</c:v>
                </c:pt>
                <c:pt idx="142">
                  <c:v>0.71296296296296291</c:v>
                </c:pt>
                <c:pt idx="143">
                  <c:v>0.2857142857142857</c:v>
                </c:pt>
                <c:pt idx="144">
                  <c:v>0.90476190476190477</c:v>
                </c:pt>
                <c:pt idx="145">
                  <c:v>0.58888888888888891</c:v>
                </c:pt>
                <c:pt idx="146">
                  <c:v>0</c:v>
                </c:pt>
                <c:pt idx="147">
                  <c:v>0.49315068493150682</c:v>
                </c:pt>
                <c:pt idx="148">
                  <c:v>0.31538461538461537</c:v>
                </c:pt>
                <c:pt idx="149">
                  <c:v>0</c:v>
                </c:pt>
                <c:pt idx="150">
                  <c:v>0.50928792569659442</c:v>
                </c:pt>
                <c:pt idx="151">
                  <c:v>0</c:v>
                </c:pt>
                <c:pt idx="152">
                  <c:v>0</c:v>
                </c:pt>
                <c:pt idx="153">
                  <c:v>0</c:v>
                </c:pt>
              </c:numCache>
            </c:numRef>
          </c:xVal>
          <c:yVal>
            <c:numRef>
              <c:f>'Graph Data all $'!$D$3:$D$156</c:f>
              <c:numCache>
                <c:formatCode>_("$"* #,##0_);_("$"* \(#,##0\);_("$"* "-"??_);_(@_)</c:formatCode>
                <c:ptCount val="154"/>
                <c:pt idx="0">
                  <c:v>10197.474874164534</c:v>
                </c:pt>
                <c:pt idx="1">
                  <c:v>8072.8495030219701</c:v>
                </c:pt>
                <c:pt idx="2">
                  <c:v>7893.825562372188</c:v>
                </c:pt>
                <c:pt idx="3">
                  <c:v>14978</c:v>
                </c:pt>
                <c:pt idx="4">
                  <c:v>10321.101265822785</c:v>
                </c:pt>
                <c:pt idx="5">
                  <c:v>8450.7289719626169</c:v>
                </c:pt>
                <c:pt idx="6">
                  <c:v>7851.5888650963598</c:v>
                </c:pt>
                <c:pt idx="7">
                  <c:v>8717.6010101010106</c:v>
                </c:pt>
                <c:pt idx="8">
                  <c:v>10439.495848161328</c:v>
                </c:pt>
                <c:pt idx="9">
                  <c:v>18033.351535836176</c:v>
                </c:pt>
                <c:pt idx="10">
                  <c:v>8421.7719072164946</c:v>
                </c:pt>
                <c:pt idx="11">
                  <c:v>8217.2696877590497</c:v>
                </c:pt>
                <c:pt idx="12">
                  <c:v>10739.219548872181</c:v>
                </c:pt>
                <c:pt idx="13">
                  <c:v>7929.0976331360944</c:v>
                </c:pt>
                <c:pt idx="14">
                  <c:v>7176.0004906771346</c:v>
                </c:pt>
                <c:pt idx="15">
                  <c:v>19337.364440078585</c:v>
                </c:pt>
                <c:pt idx="16">
                  <c:v>17345.251162790697</c:v>
                </c:pt>
                <c:pt idx="17">
                  <c:v>9774.0993975903621</c:v>
                </c:pt>
                <c:pt idx="18">
                  <c:v>13941.777777777777</c:v>
                </c:pt>
                <c:pt idx="19">
                  <c:v>11391.240556660039</c:v>
                </c:pt>
                <c:pt idx="20">
                  <c:v>9437.0283328362657</c:v>
                </c:pt>
                <c:pt idx="21">
                  <c:v>7762.499789251844</c:v>
                </c:pt>
                <c:pt idx="22">
                  <c:v>20296.816326530614</c:v>
                </c:pt>
                <c:pt idx="23">
                  <c:v>7617.3242770307606</c:v>
                </c:pt>
                <c:pt idx="24">
                  <c:v>9987.7362385321103</c:v>
                </c:pt>
                <c:pt idx="25">
                  <c:v>10656.073979591836</c:v>
                </c:pt>
                <c:pt idx="26">
                  <c:v>18095.798449612405</c:v>
                </c:pt>
                <c:pt idx="27">
                  <c:v>8136.7575105807255</c:v>
                </c:pt>
                <c:pt idx="28">
                  <c:v>8494.5389326334207</c:v>
                </c:pt>
                <c:pt idx="29">
                  <c:v>13106.452088452088</c:v>
                </c:pt>
                <c:pt idx="30">
                  <c:v>7988.5085825027681</c:v>
                </c:pt>
                <c:pt idx="31">
                  <c:v>10033.610666666667</c:v>
                </c:pt>
                <c:pt idx="32">
                  <c:v>8259.543507362785</c:v>
                </c:pt>
                <c:pt idx="33">
                  <c:v>9302.3142250530782</c:v>
                </c:pt>
                <c:pt idx="34">
                  <c:v>8304.0500063783638</c:v>
                </c:pt>
                <c:pt idx="35">
                  <c:v>9459.9483870967742</c:v>
                </c:pt>
                <c:pt idx="36">
                  <c:v>12561.240963855422</c:v>
                </c:pt>
                <c:pt idx="37">
                  <c:v>9251.7194805194813</c:v>
                </c:pt>
                <c:pt idx="38">
                  <c:v>8229.9099796334012</c:v>
                </c:pt>
                <c:pt idx="39">
                  <c:v>18358.179856115108</c:v>
                </c:pt>
                <c:pt idx="40">
                  <c:v>13671.763794772507</c:v>
                </c:pt>
                <c:pt idx="41">
                  <c:v>11528.833802816902</c:v>
                </c:pt>
                <c:pt idx="42">
                  <c:v>14282.26582278481</c:v>
                </c:pt>
                <c:pt idx="43">
                  <c:v>25348.5</c:v>
                </c:pt>
                <c:pt idx="44">
                  <c:v>10598.710594315246</c:v>
                </c:pt>
                <c:pt idx="45">
                  <c:v>7913.9046658986172</c:v>
                </c:pt>
                <c:pt idx="46">
                  <c:v>6786.70745776679</c:v>
                </c:pt>
                <c:pt idx="47">
                  <c:v>8044.3430034129697</c:v>
                </c:pt>
                <c:pt idx="48">
                  <c:v>9108.8365914786973</c:v>
                </c:pt>
                <c:pt idx="49">
                  <c:v>9226.6476190476187</c:v>
                </c:pt>
                <c:pt idx="50">
                  <c:v>8551.9616040955625</c:v>
                </c:pt>
                <c:pt idx="51">
                  <c:v>8259.1892411143126</c:v>
                </c:pt>
                <c:pt idx="52">
                  <c:v>10783.863192182411</c:v>
                </c:pt>
                <c:pt idx="53">
                  <c:v>16320.6</c:v>
                </c:pt>
                <c:pt idx="54">
                  <c:v>13472.257294429708</c:v>
                </c:pt>
                <c:pt idx="55">
                  <c:v>22025.698113207549</c:v>
                </c:pt>
                <c:pt idx="56">
                  <c:v>12039.920792079209</c:v>
                </c:pt>
                <c:pt idx="57">
                  <c:v>7154.2248784440844</c:v>
                </c:pt>
                <c:pt idx="58">
                  <c:v>9177.4296296296288</c:v>
                </c:pt>
                <c:pt idx="59">
                  <c:v>9609.5570698466781</c:v>
                </c:pt>
                <c:pt idx="60">
                  <c:v>8051.123186344239</c:v>
                </c:pt>
                <c:pt idx="61">
                  <c:v>9050</c:v>
                </c:pt>
                <c:pt idx="62">
                  <c:v>8291.6877855619859</c:v>
                </c:pt>
                <c:pt idx="63">
                  <c:v>8313.0209130323892</c:v>
                </c:pt>
                <c:pt idx="64">
                  <c:v>7797.5668947168379</c:v>
                </c:pt>
                <c:pt idx="65">
                  <c:v>21804.748251748253</c:v>
                </c:pt>
                <c:pt idx="66">
                  <c:v>11619.981874447392</c:v>
                </c:pt>
                <c:pt idx="67">
                  <c:v>13320.195205479453</c:v>
                </c:pt>
                <c:pt idx="68">
                  <c:v>15081.293859649122</c:v>
                </c:pt>
                <c:pt idx="69">
                  <c:v>11834.04326923077</c:v>
                </c:pt>
                <c:pt idx="70">
                  <c:v>14939.616666666667</c:v>
                </c:pt>
                <c:pt idx="71">
                  <c:v>15745.478672985782</c:v>
                </c:pt>
                <c:pt idx="72">
                  <c:v>9868.0849194729144</c:v>
                </c:pt>
                <c:pt idx="73">
                  <c:v>22821.083333333332</c:v>
                </c:pt>
                <c:pt idx="74">
                  <c:v>18417.159090909092</c:v>
                </c:pt>
                <c:pt idx="75">
                  <c:v>10512.581863979849</c:v>
                </c:pt>
                <c:pt idx="76">
                  <c:v>17204.66891891892</c:v>
                </c:pt>
                <c:pt idx="77">
                  <c:v>10202.639830508475</c:v>
                </c:pt>
                <c:pt idx="78">
                  <c:v>11458.348837209302</c:v>
                </c:pt>
                <c:pt idx="79">
                  <c:v>11377</c:v>
                </c:pt>
                <c:pt idx="80">
                  <c:v>8447.3390602359759</c:v>
                </c:pt>
                <c:pt idx="81">
                  <c:v>8091.61000685401</c:v>
                </c:pt>
                <c:pt idx="82">
                  <c:v>8316.42200908632</c:v>
                </c:pt>
                <c:pt idx="83">
                  <c:v>9749.7338986935592</c:v>
                </c:pt>
                <c:pt idx="84">
                  <c:v>17233.581291759467</c:v>
                </c:pt>
                <c:pt idx="85">
                  <c:v>24645.211267605635</c:v>
                </c:pt>
                <c:pt idx="86">
                  <c:v>8027.5112499999996</c:v>
                </c:pt>
                <c:pt idx="87">
                  <c:v>9030.0775193798454</c:v>
                </c:pt>
                <c:pt idx="88">
                  <c:v>23757</c:v>
                </c:pt>
                <c:pt idx="89">
                  <c:v>17699.882142857143</c:v>
                </c:pt>
                <c:pt idx="90">
                  <c:v>7494.7752909579231</c:v>
                </c:pt>
                <c:pt idx="91">
                  <c:v>8410.1161103047889</c:v>
                </c:pt>
                <c:pt idx="92">
                  <c:v>8425.6851642129113</c:v>
                </c:pt>
                <c:pt idx="93">
                  <c:v>7674.5502544529263</c:v>
                </c:pt>
                <c:pt idx="94">
                  <c:v>10971.983667409057</c:v>
                </c:pt>
                <c:pt idx="95">
                  <c:v>12552.333333333334</c:v>
                </c:pt>
                <c:pt idx="96">
                  <c:v>19401.722222222223</c:v>
                </c:pt>
                <c:pt idx="97">
                  <c:v>12149.192422731805</c:v>
                </c:pt>
                <c:pt idx="98">
                  <c:v>21921.57894736842</c:v>
                </c:pt>
                <c:pt idx="99">
                  <c:v>13398.028384279476</c:v>
                </c:pt>
                <c:pt idx="100">
                  <c:v>100112.6</c:v>
                </c:pt>
                <c:pt idx="101">
                  <c:v>10169.931692307693</c:v>
                </c:pt>
                <c:pt idx="102">
                  <c:v>9166.7160718621017</c:v>
                </c:pt>
                <c:pt idx="103">
                  <c:v>9170.3460884353735</c:v>
                </c:pt>
                <c:pt idx="104">
                  <c:v>8346.2193979933108</c:v>
                </c:pt>
                <c:pt idx="105">
                  <c:v>7553.4084848484845</c:v>
                </c:pt>
                <c:pt idx="106">
                  <c:v>12149.501779359431</c:v>
                </c:pt>
                <c:pt idx="107">
                  <c:v>20255.333333333332</c:v>
                </c:pt>
                <c:pt idx="108">
                  <c:v>10813.964285714286</c:v>
                </c:pt>
                <c:pt idx="109">
                  <c:v>11737.445736434109</c:v>
                </c:pt>
                <c:pt idx="110">
                  <c:v>15865.987616099072</c:v>
                </c:pt>
                <c:pt idx="111">
                  <c:v>12025.727626459144</c:v>
                </c:pt>
                <c:pt idx="112">
                  <c:v>7731.2074542897326</c:v>
                </c:pt>
                <c:pt idx="113">
                  <c:v>16685.372727272726</c:v>
                </c:pt>
                <c:pt idx="114">
                  <c:v>15480.548672566372</c:v>
                </c:pt>
                <c:pt idx="115">
                  <c:v>7762.6292428198431</c:v>
                </c:pt>
                <c:pt idx="116">
                  <c:v>6049.1982480405713</c:v>
                </c:pt>
                <c:pt idx="117">
                  <c:v>7150.8011869436205</c:v>
                </c:pt>
                <c:pt idx="118">
                  <c:v>10808.657534246575</c:v>
                </c:pt>
                <c:pt idx="119">
                  <c:v>7037.9746514575409</c:v>
                </c:pt>
                <c:pt idx="120">
                  <c:v>6847.4759999999997</c:v>
                </c:pt>
                <c:pt idx="121">
                  <c:v>5192.5715835141</c:v>
                </c:pt>
                <c:pt idx="122">
                  <c:v>8332.1700507614205</c:v>
                </c:pt>
                <c:pt idx="123">
                  <c:v>5726.1464530892445</c:v>
                </c:pt>
                <c:pt idx="124">
                  <c:v>7872.921875</c:v>
                </c:pt>
                <c:pt idx="125">
                  <c:v>6214.1502347417836</c:v>
                </c:pt>
                <c:pt idx="126">
                  <c:v>6889.8437001594893</c:v>
                </c:pt>
                <c:pt idx="127">
                  <c:v>6739.425068119891</c:v>
                </c:pt>
                <c:pt idx="128">
                  <c:v>8829.7623318385649</c:v>
                </c:pt>
                <c:pt idx="129">
                  <c:v>5005.6792873051227</c:v>
                </c:pt>
                <c:pt idx="130">
                  <c:v>7735.1412213740459</c:v>
                </c:pt>
                <c:pt idx="131">
                  <c:v>7478.4208333333336</c:v>
                </c:pt>
                <c:pt idx="132">
                  <c:v>6517.7950819672133</c:v>
                </c:pt>
                <c:pt idx="133">
                  <c:v>8059.6530612244896</c:v>
                </c:pt>
                <c:pt idx="134">
                  <c:v>6741.525362318841</c:v>
                </c:pt>
                <c:pt idx="135">
                  <c:v>7429.7683615819205</c:v>
                </c:pt>
                <c:pt idx="136">
                  <c:v>7040.4953161592503</c:v>
                </c:pt>
                <c:pt idx="137">
                  <c:v>8867.6029776674932</c:v>
                </c:pt>
                <c:pt idx="138">
                  <c:v>5513.9375</c:v>
                </c:pt>
                <c:pt idx="139">
                  <c:v>6457.097826086957</c:v>
                </c:pt>
                <c:pt idx="140">
                  <c:v>8973.7707006369419</c:v>
                </c:pt>
                <c:pt idx="141">
                  <c:v>6464.9638242894052</c:v>
                </c:pt>
                <c:pt idx="142">
                  <c:v>6771.5184381778745</c:v>
                </c:pt>
                <c:pt idx="143">
                  <c:v>7054.4788135593217</c:v>
                </c:pt>
                <c:pt idx="144">
                  <c:v>26572.354430379746</c:v>
                </c:pt>
                <c:pt idx="145">
                  <c:v>12426.556962025317</c:v>
                </c:pt>
                <c:pt idx="146">
                  <c:v>9130.4148936170204</c:v>
                </c:pt>
                <c:pt idx="147">
                  <c:v>13976.684365781712</c:v>
                </c:pt>
                <c:pt idx="148">
                  <c:v>9968.0423728813566</c:v>
                </c:pt>
                <c:pt idx="149">
                  <c:v>9645.5932203389839</c:v>
                </c:pt>
                <c:pt idx="150">
                  <c:v>6868.1806020066888</c:v>
                </c:pt>
                <c:pt idx="151">
                  <c:v>6481.4341192787797</c:v>
                </c:pt>
                <c:pt idx="152">
                  <c:v>6272.4949037372589</c:v>
                </c:pt>
                <c:pt idx="153">
                  <c:v>8603.1875</c:v>
                </c:pt>
              </c:numCache>
            </c:numRef>
          </c:yVal>
          <c:smooth val="0"/>
          <c:extLst>
            <c:ext xmlns:c16="http://schemas.microsoft.com/office/drawing/2014/chart" uri="{C3380CC4-5D6E-409C-BE32-E72D297353CC}">
              <c16:uniqueId val="{00000000-BE91-4BA7-B5C4-B7C86FF103EC}"/>
            </c:ext>
          </c:extLst>
        </c:ser>
        <c:ser>
          <c:idx val="1"/>
          <c:order val="1"/>
          <c:tx>
            <c:v>Per Pupil with SBB</c:v>
          </c:tx>
          <c:spPr>
            <a:ln w="25400" cap="rnd">
              <a:noFill/>
              <a:round/>
            </a:ln>
            <a:effectLst/>
          </c:spPr>
          <c:marker>
            <c:symbol val="circle"/>
            <c:size val="5"/>
            <c:spPr>
              <a:solidFill>
                <a:schemeClr val="accent2"/>
              </a:solidFill>
              <a:ln w="9525">
                <a:solidFill>
                  <a:schemeClr val="accent2"/>
                </a:solidFill>
              </a:ln>
              <a:effectLst/>
            </c:spPr>
          </c:marker>
          <c:xVal>
            <c:numRef>
              <c:f>'Graph Data all $'!$C$3:$C$156</c:f>
              <c:numCache>
                <c:formatCode>0%</c:formatCode>
                <c:ptCount val="154"/>
                <c:pt idx="0">
                  <c:v>0.3524982351556985</c:v>
                </c:pt>
                <c:pt idx="1">
                  <c:v>0.26971913320101143</c:v>
                </c:pt>
                <c:pt idx="2">
                  <c:v>0.40529575058723039</c:v>
                </c:pt>
                <c:pt idx="3">
                  <c:v>0.65189873417721522</c:v>
                </c:pt>
                <c:pt idx="4">
                  <c:v>0.54085603112840464</c:v>
                </c:pt>
                <c:pt idx="5">
                  <c:v>0.48328025477707004</c:v>
                </c:pt>
                <c:pt idx="6">
                  <c:v>0.49444620755315771</c:v>
                </c:pt>
                <c:pt idx="7">
                  <c:v>0.46146872166817771</c:v>
                </c:pt>
                <c:pt idx="8">
                  <c:v>0.50708833151581245</c:v>
                </c:pt>
                <c:pt idx="9">
                  <c:v>0.67791411042944782</c:v>
                </c:pt>
                <c:pt idx="10">
                  <c:v>0.44536326048434732</c:v>
                </c:pt>
                <c:pt idx="11">
                  <c:v>0.56882480957562565</c:v>
                </c:pt>
                <c:pt idx="12">
                  <c:v>0.70292887029288698</c:v>
                </c:pt>
                <c:pt idx="13">
                  <c:v>0.55466666666666664</c:v>
                </c:pt>
                <c:pt idx="14">
                  <c:v>0.42863574966231427</c:v>
                </c:pt>
                <c:pt idx="15">
                  <c:v>0.41674221819280749</c:v>
                </c:pt>
                <c:pt idx="16">
                  <c:v>0.50622406639004147</c:v>
                </c:pt>
                <c:pt idx="17">
                  <c:v>0.45454545454545453</c:v>
                </c:pt>
                <c:pt idx="18">
                  <c:v>0.66816143497757852</c:v>
                </c:pt>
                <c:pt idx="19">
                  <c:v>0.5542056074766355</c:v>
                </c:pt>
                <c:pt idx="20">
                  <c:v>0.45081266039349871</c:v>
                </c:pt>
                <c:pt idx="21">
                  <c:v>0.49492940942533309</c:v>
                </c:pt>
                <c:pt idx="22">
                  <c:v>0.55102040816326525</c:v>
                </c:pt>
                <c:pt idx="23">
                  <c:v>0.42962774094849565</c:v>
                </c:pt>
                <c:pt idx="24">
                  <c:v>0.56206896551724139</c:v>
                </c:pt>
                <c:pt idx="25">
                  <c:v>0.46186440677966101</c:v>
                </c:pt>
                <c:pt idx="26">
                  <c:v>0.40799999999999997</c:v>
                </c:pt>
                <c:pt idx="27">
                  <c:v>0.60365717683788001</c:v>
                </c:pt>
                <c:pt idx="28">
                  <c:v>0.82184634840341453</c:v>
                </c:pt>
                <c:pt idx="29">
                  <c:v>0</c:v>
                </c:pt>
                <c:pt idx="30">
                  <c:v>0.45277127244340359</c:v>
                </c:pt>
                <c:pt idx="31">
                  <c:v>0.67007672634271098</c:v>
                </c:pt>
                <c:pt idx="32">
                  <c:v>0.50686641697877655</c:v>
                </c:pt>
                <c:pt idx="33">
                  <c:v>0.69078014184397163</c:v>
                </c:pt>
                <c:pt idx="34">
                  <c:v>0.66835269993164725</c:v>
                </c:pt>
                <c:pt idx="35">
                  <c:v>0.47544204322200395</c:v>
                </c:pt>
                <c:pt idx="36">
                  <c:v>0.41025641025641024</c:v>
                </c:pt>
                <c:pt idx="37">
                  <c:v>0.34972677595628415</c:v>
                </c:pt>
                <c:pt idx="38">
                  <c:v>0.53291901340066028</c:v>
                </c:pt>
                <c:pt idx="39">
                  <c:v>0.76100628930817615</c:v>
                </c:pt>
                <c:pt idx="40">
                  <c:v>0.57473684210526321</c:v>
                </c:pt>
                <c:pt idx="41">
                  <c:v>0.38095238095238093</c:v>
                </c:pt>
                <c:pt idx="42">
                  <c:v>0.5</c:v>
                </c:pt>
                <c:pt idx="43">
                  <c:v>0</c:v>
                </c:pt>
                <c:pt idx="44">
                  <c:v>0.67441860465116277</c:v>
                </c:pt>
                <c:pt idx="45">
                  <c:v>0.52148337595907923</c:v>
                </c:pt>
                <c:pt idx="46">
                  <c:v>0.43193069306930693</c:v>
                </c:pt>
                <c:pt idx="47">
                  <c:v>0.47807017543859648</c:v>
                </c:pt>
                <c:pt idx="48">
                  <c:v>0.54722222222222228</c:v>
                </c:pt>
                <c:pt idx="49">
                  <c:v>0.57480946650621745</c:v>
                </c:pt>
                <c:pt idx="50">
                  <c:v>0.67711598746081503</c:v>
                </c:pt>
                <c:pt idx="51">
                  <c:v>0.77683854606931535</c:v>
                </c:pt>
                <c:pt idx="52">
                  <c:v>0.71084337349397586</c:v>
                </c:pt>
                <c:pt idx="53">
                  <c:v>0.81967213114754101</c:v>
                </c:pt>
                <c:pt idx="54">
                  <c:v>0.38141809290953543</c:v>
                </c:pt>
                <c:pt idx="55">
                  <c:v>0.60431654676258995</c:v>
                </c:pt>
                <c:pt idx="56">
                  <c:v>0.51584786053882725</c:v>
                </c:pt>
                <c:pt idx="57">
                  <c:v>0.4140067592940293</c:v>
                </c:pt>
                <c:pt idx="58">
                  <c:v>0.47520661157024796</c:v>
                </c:pt>
                <c:pt idx="59">
                  <c:v>0.5088282504012841</c:v>
                </c:pt>
                <c:pt idx="60">
                  <c:v>0.67589662447257381</c:v>
                </c:pt>
                <c:pt idx="61">
                  <c:v>0.60273972602739723</c:v>
                </c:pt>
                <c:pt idx="62">
                  <c:v>0.41819390371284776</c:v>
                </c:pt>
                <c:pt idx="63">
                  <c:v>0.44638583054092867</c:v>
                </c:pt>
                <c:pt idx="64">
                  <c:v>0.47652366046768552</c:v>
                </c:pt>
                <c:pt idx="65">
                  <c:v>0.5</c:v>
                </c:pt>
                <c:pt idx="66">
                  <c:v>0.3125</c:v>
                </c:pt>
                <c:pt idx="67">
                  <c:v>0.21069182389937108</c:v>
                </c:pt>
                <c:pt idx="68">
                  <c:v>0.42016806722689076</c:v>
                </c:pt>
                <c:pt idx="69">
                  <c:v>0.43973214285714285</c:v>
                </c:pt>
                <c:pt idx="70">
                  <c:v>0.35546875</c:v>
                </c:pt>
                <c:pt idx="71">
                  <c:v>0.44019138755980863</c:v>
                </c:pt>
                <c:pt idx="72">
                  <c:v>0.62875816993464051</c:v>
                </c:pt>
                <c:pt idx="73">
                  <c:v>0.64</c:v>
                </c:pt>
                <c:pt idx="74">
                  <c:v>0.47651006711409394</c:v>
                </c:pt>
                <c:pt idx="75">
                  <c:v>0.93548387096774188</c:v>
                </c:pt>
                <c:pt idx="76">
                  <c:v>0.52439024390243905</c:v>
                </c:pt>
                <c:pt idx="77">
                  <c:v>0.6987951807228916</c:v>
                </c:pt>
                <c:pt idx="78">
                  <c:v>0.70940170940170943</c:v>
                </c:pt>
                <c:pt idx="79">
                  <c:v>0.49624060150375937</c:v>
                </c:pt>
                <c:pt idx="80">
                  <c:v>0.3919336163643381</c:v>
                </c:pt>
                <c:pt idx="81">
                  <c:v>0.46358454718176062</c:v>
                </c:pt>
                <c:pt idx="82">
                  <c:v>0.63497081712062253</c:v>
                </c:pt>
                <c:pt idx="83">
                  <c:v>0.39093242087254065</c:v>
                </c:pt>
                <c:pt idx="84">
                  <c:v>0.8899253731343284</c:v>
                </c:pt>
                <c:pt idx="85">
                  <c:v>0.59340659340659341</c:v>
                </c:pt>
                <c:pt idx="86">
                  <c:v>0.46754675467546752</c:v>
                </c:pt>
                <c:pt idx="87">
                  <c:v>0.66383495145631066</c:v>
                </c:pt>
                <c:pt idx="88">
                  <c:v>0</c:v>
                </c:pt>
                <c:pt idx="89">
                  <c:v>0.64</c:v>
                </c:pt>
                <c:pt idx="90">
                  <c:v>0.60843881856540083</c:v>
                </c:pt>
                <c:pt idx="91">
                  <c:v>0.76732358550540369</c:v>
                </c:pt>
                <c:pt idx="92">
                  <c:v>0.46262626262626261</c:v>
                </c:pt>
                <c:pt idx="93">
                  <c:v>0.46642899584076053</c:v>
                </c:pt>
                <c:pt idx="94">
                  <c:v>0.68577348066298338</c:v>
                </c:pt>
                <c:pt idx="95">
                  <c:v>0</c:v>
                </c:pt>
                <c:pt idx="96">
                  <c:v>0</c:v>
                </c:pt>
                <c:pt idx="97">
                  <c:v>0.49909420289855072</c:v>
                </c:pt>
                <c:pt idx="98">
                  <c:v>0.45794392523364486</c:v>
                </c:pt>
                <c:pt idx="99">
                  <c:v>0.50819672131147542</c:v>
                </c:pt>
                <c:pt idx="100">
                  <c:v>0</c:v>
                </c:pt>
                <c:pt idx="101">
                  <c:v>0.46718576195773082</c:v>
                </c:pt>
                <c:pt idx="102">
                  <c:v>0.59374306634124696</c:v>
                </c:pt>
                <c:pt idx="103">
                  <c:v>0.66640502354788067</c:v>
                </c:pt>
                <c:pt idx="104">
                  <c:v>0.46276923076923077</c:v>
                </c:pt>
                <c:pt idx="105">
                  <c:v>0.34390112842557763</c:v>
                </c:pt>
                <c:pt idx="106">
                  <c:v>0.78333333333333333</c:v>
                </c:pt>
                <c:pt idx="107">
                  <c:v>0</c:v>
                </c:pt>
                <c:pt idx="108">
                  <c:v>0.65346534653465349</c:v>
                </c:pt>
                <c:pt idx="109">
                  <c:v>0.75163398692810457</c:v>
                </c:pt>
                <c:pt idx="110">
                  <c:v>0.33653846153846156</c:v>
                </c:pt>
                <c:pt idx="111">
                  <c:v>0.6</c:v>
                </c:pt>
                <c:pt idx="112">
                  <c:v>0.59727385377942999</c:v>
                </c:pt>
                <c:pt idx="113">
                  <c:v>0.50420168067226889</c:v>
                </c:pt>
                <c:pt idx="114">
                  <c:v>0.6097560975609756</c:v>
                </c:pt>
                <c:pt idx="115">
                  <c:v>0.36138613861386137</c:v>
                </c:pt>
                <c:pt idx="116">
                  <c:v>0.53649105848235867</c:v>
                </c:pt>
                <c:pt idx="117">
                  <c:v>0</c:v>
                </c:pt>
                <c:pt idx="118">
                  <c:v>0.35080645161290325</c:v>
                </c:pt>
                <c:pt idx="119">
                  <c:v>0</c:v>
                </c:pt>
                <c:pt idx="120">
                  <c:v>0.22222222222222221</c:v>
                </c:pt>
                <c:pt idx="121">
                  <c:v>0.52716143840856922</c:v>
                </c:pt>
                <c:pt idx="122">
                  <c:v>0.35971223021582732</c:v>
                </c:pt>
                <c:pt idx="123">
                  <c:v>0.36680327868852458</c:v>
                </c:pt>
                <c:pt idx="124">
                  <c:v>0.4375</c:v>
                </c:pt>
                <c:pt idx="125">
                  <c:v>0.28235294117647058</c:v>
                </c:pt>
                <c:pt idx="126">
                  <c:v>0.42899850523168909</c:v>
                </c:pt>
                <c:pt idx="127">
                  <c:v>0.30804597701149428</c:v>
                </c:pt>
                <c:pt idx="128">
                  <c:v>0.5761316872427984</c:v>
                </c:pt>
                <c:pt idx="129">
                  <c:v>0.46889952153110048</c:v>
                </c:pt>
                <c:pt idx="130">
                  <c:v>0.38695652173913042</c:v>
                </c:pt>
                <c:pt idx="131">
                  <c:v>0</c:v>
                </c:pt>
                <c:pt idx="132">
                  <c:v>0</c:v>
                </c:pt>
                <c:pt idx="133">
                  <c:v>0.30857142857142855</c:v>
                </c:pt>
                <c:pt idx="134">
                  <c:v>0.14613180515759314</c:v>
                </c:pt>
                <c:pt idx="135">
                  <c:v>0.54450261780104714</c:v>
                </c:pt>
                <c:pt idx="136">
                  <c:v>0.17647058823529413</c:v>
                </c:pt>
                <c:pt idx="137">
                  <c:v>0.56399999999999995</c:v>
                </c:pt>
                <c:pt idx="138">
                  <c:v>0.48063380281690143</c:v>
                </c:pt>
                <c:pt idx="139">
                  <c:v>0.38305084745762713</c:v>
                </c:pt>
                <c:pt idx="140">
                  <c:v>0.9101123595505618</c:v>
                </c:pt>
                <c:pt idx="141">
                  <c:v>0</c:v>
                </c:pt>
                <c:pt idx="142">
                  <c:v>0.71296296296296291</c:v>
                </c:pt>
                <c:pt idx="143">
                  <c:v>0.2857142857142857</c:v>
                </c:pt>
                <c:pt idx="144">
                  <c:v>0.90476190476190477</c:v>
                </c:pt>
                <c:pt idx="145">
                  <c:v>0.58888888888888891</c:v>
                </c:pt>
                <c:pt idx="146">
                  <c:v>0</c:v>
                </c:pt>
                <c:pt idx="147">
                  <c:v>0.49315068493150682</c:v>
                </c:pt>
                <c:pt idx="148">
                  <c:v>0.31538461538461537</c:v>
                </c:pt>
                <c:pt idx="149">
                  <c:v>0</c:v>
                </c:pt>
                <c:pt idx="150">
                  <c:v>0.50928792569659442</c:v>
                </c:pt>
                <c:pt idx="151">
                  <c:v>0</c:v>
                </c:pt>
                <c:pt idx="152">
                  <c:v>0</c:v>
                </c:pt>
                <c:pt idx="153">
                  <c:v>0</c:v>
                </c:pt>
              </c:numCache>
            </c:numRef>
          </c:xVal>
          <c:yVal>
            <c:numRef>
              <c:f>'Graph Data all $'!$G$3:$G$156</c:f>
              <c:numCache>
                <c:formatCode>_("$"* #,##0_);_("$"* \(#,##0\);_("$"* "-"??_);_(@_)</c:formatCode>
                <c:ptCount val="154"/>
                <c:pt idx="0">
                  <c:v>8909.9439250803298</c:v>
                </c:pt>
                <c:pt idx="1">
                  <c:v>7649.784059194134</c:v>
                </c:pt>
                <c:pt idx="2">
                  <c:v>8728.0113325957846</c:v>
                </c:pt>
                <c:pt idx="3">
                  <c:v>14978</c:v>
                </c:pt>
                <c:pt idx="4">
                  <c:v>10321.101265822785</c:v>
                </c:pt>
                <c:pt idx="5">
                  <c:v>7776.2943186725479</c:v>
                </c:pt>
                <c:pt idx="6">
                  <c:v>8744.6023004106737</c:v>
                </c:pt>
                <c:pt idx="7">
                  <c:v>6587.1153222671146</c:v>
                </c:pt>
                <c:pt idx="8">
                  <c:v>9632.0645928057602</c:v>
                </c:pt>
                <c:pt idx="9">
                  <c:v>18033.351535836176</c:v>
                </c:pt>
                <c:pt idx="10">
                  <c:v>8987.9126636117762</c:v>
                </c:pt>
                <c:pt idx="11">
                  <c:v>9441.9549432330605</c:v>
                </c:pt>
                <c:pt idx="12">
                  <c:v>11115.739760064505</c:v>
                </c:pt>
                <c:pt idx="13">
                  <c:v>8120.5609279653781</c:v>
                </c:pt>
                <c:pt idx="14">
                  <c:v>7962.8177715396632</c:v>
                </c:pt>
                <c:pt idx="15">
                  <c:v>14210.076948264572</c:v>
                </c:pt>
                <c:pt idx="16">
                  <c:v>17345.251162790697</c:v>
                </c:pt>
                <c:pt idx="17">
                  <c:v>6843.4261548784089</c:v>
                </c:pt>
                <c:pt idx="18">
                  <c:v>13941.777777777777</c:v>
                </c:pt>
                <c:pt idx="19">
                  <c:v>6368.0225650845414</c:v>
                </c:pt>
                <c:pt idx="20">
                  <c:v>6072.6884032929784</c:v>
                </c:pt>
                <c:pt idx="21">
                  <c:v>8519.8251295629343</c:v>
                </c:pt>
                <c:pt idx="22">
                  <c:v>20296.816326530614</c:v>
                </c:pt>
                <c:pt idx="23">
                  <c:v>8434.7893390140653</c:v>
                </c:pt>
                <c:pt idx="24">
                  <c:v>9226.3025354367364</c:v>
                </c:pt>
                <c:pt idx="25">
                  <c:v>9108.3859231995157</c:v>
                </c:pt>
                <c:pt idx="26">
                  <c:v>18095.798449612405</c:v>
                </c:pt>
                <c:pt idx="27">
                  <c:v>9172.875429944319</c:v>
                </c:pt>
                <c:pt idx="28">
                  <c:v>10306.360073222801</c:v>
                </c:pt>
                <c:pt idx="29">
                  <c:v>10416.850225509828</c:v>
                </c:pt>
                <c:pt idx="30">
                  <c:v>8513.1773458398766</c:v>
                </c:pt>
                <c:pt idx="31">
                  <c:v>9500.039290316663</c:v>
                </c:pt>
                <c:pt idx="32">
                  <c:v>8168.3779121615426</c:v>
                </c:pt>
                <c:pt idx="33">
                  <c:v>10006.31115008861</c:v>
                </c:pt>
                <c:pt idx="34">
                  <c:v>9773.0122991322824</c:v>
                </c:pt>
                <c:pt idx="35">
                  <c:v>8587.0504017933126</c:v>
                </c:pt>
                <c:pt idx="36">
                  <c:v>12561.240963855422</c:v>
                </c:pt>
                <c:pt idx="37">
                  <c:v>7234.8981620903942</c:v>
                </c:pt>
                <c:pt idx="38">
                  <c:v>8652.8684190513213</c:v>
                </c:pt>
                <c:pt idx="39">
                  <c:v>18358.179856115108</c:v>
                </c:pt>
                <c:pt idx="40">
                  <c:v>11641.113016586505</c:v>
                </c:pt>
                <c:pt idx="41">
                  <c:v>4433.2732394366194</c:v>
                </c:pt>
                <c:pt idx="42">
                  <c:v>14282.26582278481</c:v>
                </c:pt>
                <c:pt idx="43">
                  <c:v>25348.5</c:v>
                </c:pt>
                <c:pt idx="44">
                  <c:v>8873.5913608354276</c:v>
                </c:pt>
                <c:pt idx="45">
                  <c:v>8695.1358581439454</c:v>
                </c:pt>
                <c:pt idx="46">
                  <c:v>7704.9528815609929</c:v>
                </c:pt>
                <c:pt idx="47">
                  <c:v>8323.8744430920269</c:v>
                </c:pt>
                <c:pt idx="48">
                  <c:v>7651.3701083379055</c:v>
                </c:pt>
                <c:pt idx="49">
                  <c:v>9294.4723043503382</c:v>
                </c:pt>
                <c:pt idx="50">
                  <c:v>8986.7253347109654</c:v>
                </c:pt>
                <c:pt idx="51">
                  <c:v>9499.0407102842182</c:v>
                </c:pt>
                <c:pt idx="52">
                  <c:v>8720.7453694589713</c:v>
                </c:pt>
                <c:pt idx="53">
                  <c:v>16320.6</c:v>
                </c:pt>
                <c:pt idx="54">
                  <c:v>10706.786852400239</c:v>
                </c:pt>
                <c:pt idx="55">
                  <c:v>22025.698113207549</c:v>
                </c:pt>
                <c:pt idx="56">
                  <c:v>10255.631679369277</c:v>
                </c:pt>
                <c:pt idx="57">
                  <c:v>8236.0539061490581</c:v>
                </c:pt>
                <c:pt idx="58">
                  <c:v>9139.6335147249938</c:v>
                </c:pt>
                <c:pt idx="59">
                  <c:v>9306.1098008425779</c:v>
                </c:pt>
                <c:pt idx="60">
                  <c:v>9244.304261834588</c:v>
                </c:pt>
                <c:pt idx="61">
                  <c:v>8511.0129292961101</c:v>
                </c:pt>
                <c:pt idx="62">
                  <c:v>7236.1760420711198</c:v>
                </c:pt>
                <c:pt idx="63">
                  <c:v>7826.0444179302067</c:v>
                </c:pt>
                <c:pt idx="64">
                  <c:v>7856.4136953449088</c:v>
                </c:pt>
                <c:pt idx="65">
                  <c:v>21804.748251748253</c:v>
                </c:pt>
                <c:pt idx="66">
                  <c:v>10709.703641884305</c:v>
                </c:pt>
                <c:pt idx="67">
                  <c:v>13320.195205479453</c:v>
                </c:pt>
                <c:pt idx="68">
                  <c:v>15081.293859649122</c:v>
                </c:pt>
                <c:pt idx="69">
                  <c:v>9893.5328535253939</c:v>
                </c:pt>
                <c:pt idx="70">
                  <c:v>14939.616666666667</c:v>
                </c:pt>
                <c:pt idx="71">
                  <c:v>15745.478672985781</c:v>
                </c:pt>
                <c:pt idx="72">
                  <c:v>7740.7170241285239</c:v>
                </c:pt>
                <c:pt idx="73">
                  <c:v>22821.083333333336</c:v>
                </c:pt>
                <c:pt idx="74">
                  <c:v>18417.159090909092</c:v>
                </c:pt>
                <c:pt idx="75">
                  <c:v>10343.517635784519</c:v>
                </c:pt>
                <c:pt idx="76">
                  <c:v>17204.66891891892</c:v>
                </c:pt>
                <c:pt idx="77">
                  <c:v>9711.3829813213142</c:v>
                </c:pt>
                <c:pt idx="78">
                  <c:v>11458.348837209302</c:v>
                </c:pt>
                <c:pt idx="79">
                  <c:v>11377</c:v>
                </c:pt>
                <c:pt idx="80">
                  <c:v>9078.630951613095</c:v>
                </c:pt>
                <c:pt idx="81">
                  <c:v>8791.2606058079728</c:v>
                </c:pt>
                <c:pt idx="82">
                  <c:v>8981.3659218104658</c:v>
                </c:pt>
                <c:pt idx="83">
                  <c:v>9115.6591028382209</c:v>
                </c:pt>
                <c:pt idx="84">
                  <c:v>17396.759463930175</c:v>
                </c:pt>
                <c:pt idx="85">
                  <c:v>24645.211267605635</c:v>
                </c:pt>
                <c:pt idx="86">
                  <c:v>8015.7916513158953</c:v>
                </c:pt>
                <c:pt idx="87">
                  <c:v>9737.7614911507753</c:v>
                </c:pt>
                <c:pt idx="88">
                  <c:v>23757</c:v>
                </c:pt>
                <c:pt idx="89">
                  <c:v>17699.882142857143</c:v>
                </c:pt>
                <c:pt idx="90">
                  <c:v>8789.1052340205297</c:v>
                </c:pt>
                <c:pt idx="91">
                  <c:v>9492.907107064415</c:v>
                </c:pt>
                <c:pt idx="92">
                  <c:v>7574.2828982443361</c:v>
                </c:pt>
                <c:pt idx="93">
                  <c:v>7874.5151293057343</c:v>
                </c:pt>
                <c:pt idx="94">
                  <c:v>10740.697147994993</c:v>
                </c:pt>
                <c:pt idx="95">
                  <c:v>12552.333333333334</c:v>
                </c:pt>
                <c:pt idx="96">
                  <c:v>19401.722222222223</c:v>
                </c:pt>
                <c:pt idx="97">
                  <c:v>11682.057016990238</c:v>
                </c:pt>
                <c:pt idx="98">
                  <c:v>21921.57894736842</c:v>
                </c:pt>
                <c:pt idx="99">
                  <c:v>12149.097861541033</c:v>
                </c:pt>
                <c:pt idx="100">
                  <c:v>100112.6</c:v>
                </c:pt>
                <c:pt idx="101">
                  <c:v>8612.888937958176</c:v>
                </c:pt>
                <c:pt idx="102">
                  <c:v>9800.028233265788</c:v>
                </c:pt>
                <c:pt idx="103">
                  <c:v>9310.194765384369</c:v>
                </c:pt>
                <c:pt idx="104">
                  <c:v>8580.8533793674869</c:v>
                </c:pt>
                <c:pt idx="105">
                  <c:v>7809.8751557906517</c:v>
                </c:pt>
                <c:pt idx="106">
                  <c:v>12149.501779359431</c:v>
                </c:pt>
                <c:pt idx="107">
                  <c:v>20255.333333333332</c:v>
                </c:pt>
                <c:pt idx="108">
                  <c:v>10813.964285714286</c:v>
                </c:pt>
                <c:pt idx="109">
                  <c:v>11737.445736434109</c:v>
                </c:pt>
                <c:pt idx="110">
                  <c:v>10225.498452012383</c:v>
                </c:pt>
                <c:pt idx="111">
                  <c:v>12025.727626459144</c:v>
                </c:pt>
                <c:pt idx="112">
                  <c:v>8359.8918512185537</c:v>
                </c:pt>
                <c:pt idx="113">
                  <c:v>16685.372727272726</c:v>
                </c:pt>
                <c:pt idx="114">
                  <c:v>15480.54867256637</c:v>
                </c:pt>
                <c:pt idx="115">
                  <c:v>7840.7687005858597</c:v>
                </c:pt>
                <c:pt idx="116">
                  <c:v>8620.6240830487295</c:v>
                </c:pt>
                <c:pt idx="117">
                  <c:v>5528.4891507280063</c:v>
                </c:pt>
                <c:pt idx="118">
                  <c:v>11583.758405140668</c:v>
                </c:pt>
                <c:pt idx="119">
                  <c:v>7116.4607238796125</c:v>
                </c:pt>
                <c:pt idx="120">
                  <c:v>7058.5640000000003</c:v>
                </c:pt>
                <c:pt idx="121">
                  <c:v>7908.2321937377283</c:v>
                </c:pt>
                <c:pt idx="122">
                  <c:v>8265.8228540014206</c:v>
                </c:pt>
                <c:pt idx="123">
                  <c:v>7201.2586613823141</c:v>
                </c:pt>
                <c:pt idx="124">
                  <c:v>8264.1017944594605</c:v>
                </c:pt>
                <c:pt idx="125">
                  <c:v>7013.1018184802188</c:v>
                </c:pt>
                <c:pt idx="126">
                  <c:v>7813.4731094465687</c:v>
                </c:pt>
                <c:pt idx="127">
                  <c:v>7818.983986246315</c:v>
                </c:pt>
                <c:pt idx="128">
                  <c:v>9554.3695399435328</c:v>
                </c:pt>
                <c:pt idx="129">
                  <c:v>7062.6759575551487</c:v>
                </c:pt>
                <c:pt idx="130">
                  <c:v>7735.1412213740459</c:v>
                </c:pt>
                <c:pt idx="131">
                  <c:v>7478.4208333333336</c:v>
                </c:pt>
                <c:pt idx="132">
                  <c:v>6517.7950819672133</c:v>
                </c:pt>
                <c:pt idx="133">
                  <c:v>8332.9084353741491</c:v>
                </c:pt>
                <c:pt idx="134">
                  <c:v>7534.4559715128107</c:v>
                </c:pt>
                <c:pt idx="135">
                  <c:v>9373.6702753867539</c:v>
                </c:pt>
                <c:pt idx="136">
                  <c:v>7669.5883187310537</c:v>
                </c:pt>
                <c:pt idx="137">
                  <c:v>9156.2956038577231</c:v>
                </c:pt>
                <c:pt idx="138">
                  <c:v>7839.3934470190479</c:v>
                </c:pt>
                <c:pt idx="139">
                  <c:v>7672.9573446327677</c:v>
                </c:pt>
                <c:pt idx="140">
                  <c:v>10957.417412152006</c:v>
                </c:pt>
                <c:pt idx="141">
                  <c:v>6600.9460895175998</c:v>
                </c:pt>
                <c:pt idx="142">
                  <c:v>9250.8579574656069</c:v>
                </c:pt>
                <c:pt idx="143">
                  <c:v>7619.0780871670704</c:v>
                </c:pt>
                <c:pt idx="144">
                  <c:v>27245.103074141047</c:v>
                </c:pt>
                <c:pt idx="145">
                  <c:v>12426.556962025317</c:v>
                </c:pt>
                <c:pt idx="146">
                  <c:v>9130.4148936170204</c:v>
                </c:pt>
                <c:pt idx="147">
                  <c:v>13979.863777919576</c:v>
                </c:pt>
                <c:pt idx="148">
                  <c:v>10656.678096479791</c:v>
                </c:pt>
                <c:pt idx="149">
                  <c:v>9645.5932203389839</c:v>
                </c:pt>
                <c:pt idx="150">
                  <c:v>7976.3397358333132</c:v>
                </c:pt>
                <c:pt idx="151">
                  <c:v>6118.7433188179903</c:v>
                </c:pt>
                <c:pt idx="152">
                  <c:v>6654.8754266083843</c:v>
                </c:pt>
                <c:pt idx="153">
                  <c:v>8603.1875</c:v>
                </c:pt>
              </c:numCache>
            </c:numRef>
          </c:yVal>
          <c:smooth val="0"/>
          <c:extLst>
            <c:ext xmlns:c16="http://schemas.microsoft.com/office/drawing/2014/chart" uri="{C3380CC4-5D6E-409C-BE32-E72D297353CC}">
              <c16:uniqueId val="{00000001-BE91-4BA7-B5C4-B7C86FF103EC}"/>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18518518517E-2"/>
              <c:y val="0.29051728533933258"/>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majorUnit val="5000"/>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Per Pupil Funding by Percent</a:t>
            </a:r>
            <a:r>
              <a:rPr lang="en-US" baseline="0">
                <a:solidFill>
                  <a:schemeClr val="tx1"/>
                </a:solidFill>
              </a:rPr>
              <a:t> Low-Income</a:t>
            </a:r>
          </a:p>
          <a:p>
            <a:pPr>
              <a:defRPr>
                <a:solidFill>
                  <a:schemeClr val="tx1"/>
                </a:solidFill>
              </a:defRPr>
            </a:pPr>
            <a:r>
              <a:rPr lang="en-US" sz="1000" baseline="0">
                <a:solidFill>
                  <a:schemeClr val="tx1"/>
                </a:solidFill>
              </a:rPr>
              <a:t>(schools enrolling more than 300 students, only)</a:t>
            </a:r>
            <a:endParaRPr lang="en-US" sz="10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v>Current Per Pupil</c:v>
          </c:tx>
          <c:spPr>
            <a:ln w="19050" cap="rnd">
              <a:noFill/>
              <a:round/>
            </a:ln>
            <a:effectLst/>
          </c:spPr>
          <c:marker>
            <c:symbol val="circle"/>
            <c:size val="5"/>
            <c:spPr>
              <a:solidFill>
                <a:schemeClr val="accent1"/>
              </a:solidFill>
              <a:ln w="9525">
                <a:solidFill>
                  <a:schemeClr val="accent1"/>
                </a:solidFill>
              </a:ln>
              <a:effectLst/>
            </c:spPr>
          </c:marker>
          <c:xVal>
            <c:numRef>
              <c:f>'Graph Data SBB $ only'!$C$55:$C$156</c:f>
              <c:numCache>
                <c:formatCode>0%</c:formatCode>
                <c:ptCount val="102"/>
                <c:pt idx="0">
                  <c:v>0.38695652173913042</c:v>
                </c:pt>
                <c:pt idx="1">
                  <c:v>0.52716143840856922</c:v>
                </c:pt>
                <c:pt idx="2">
                  <c:v>0.65346534653465349</c:v>
                </c:pt>
                <c:pt idx="3">
                  <c:v>0.28235294117647058</c:v>
                </c:pt>
                <c:pt idx="4">
                  <c:v>0.78333333333333333</c:v>
                </c:pt>
                <c:pt idx="5">
                  <c:v>0.48063380281690143</c:v>
                </c:pt>
                <c:pt idx="6">
                  <c:v>0.46889952153110048</c:v>
                </c:pt>
                <c:pt idx="7">
                  <c:v>0.71084337349397586</c:v>
                </c:pt>
                <c:pt idx="8">
                  <c:v>0.67791411042944782</c:v>
                </c:pt>
                <c:pt idx="9">
                  <c:v>0.45454545454545453</c:v>
                </c:pt>
                <c:pt idx="10">
                  <c:v>0.5761316872427984</c:v>
                </c:pt>
                <c:pt idx="11">
                  <c:v>0.67007672634271098</c:v>
                </c:pt>
                <c:pt idx="12">
                  <c:v>0.38141809290953543</c:v>
                </c:pt>
                <c:pt idx="13">
                  <c:v>0</c:v>
                </c:pt>
                <c:pt idx="14">
                  <c:v>0.38095238095238093</c:v>
                </c:pt>
                <c:pt idx="15">
                  <c:v>0</c:v>
                </c:pt>
                <c:pt idx="16">
                  <c:v>0.36138613861386137</c:v>
                </c:pt>
                <c:pt idx="17">
                  <c:v>0</c:v>
                </c:pt>
                <c:pt idx="18">
                  <c:v>0.67441860465116277</c:v>
                </c:pt>
                <c:pt idx="19">
                  <c:v>0.46186440677966101</c:v>
                </c:pt>
                <c:pt idx="20">
                  <c:v>0</c:v>
                </c:pt>
                <c:pt idx="21">
                  <c:v>0.93548387096774188</c:v>
                </c:pt>
                <c:pt idx="22">
                  <c:v>0.47544204322200395</c:v>
                </c:pt>
                <c:pt idx="23">
                  <c:v>0.35080645161290325</c:v>
                </c:pt>
                <c:pt idx="24">
                  <c:v>0.43973214285714285</c:v>
                </c:pt>
                <c:pt idx="25">
                  <c:v>0.30857142857142855</c:v>
                </c:pt>
                <c:pt idx="26">
                  <c:v>0.8899253731343284</c:v>
                </c:pt>
                <c:pt idx="27">
                  <c:v>0.50819672131147542</c:v>
                </c:pt>
                <c:pt idx="28">
                  <c:v>0.6987951807228916</c:v>
                </c:pt>
                <c:pt idx="29">
                  <c:v>0.60273972602739723</c:v>
                </c:pt>
                <c:pt idx="30">
                  <c:v>0.47807017543859648</c:v>
                </c:pt>
                <c:pt idx="31">
                  <c:v>0.5088282504012841</c:v>
                </c:pt>
                <c:pt idx="32">
                  <c:v>0.53649105848235867</c:v>
                </c:pt>
                <c:pt idx="33">
                  <c:v>0</c:v>
                </c:pt>
                <c:pt idx="34">
                  <c:v>0</c:v>
                </c:pt>
                <c:pt idx="35">
                  <c:v>0.47520661157024796</c:v>
                </c:pt>
                <c:pt idx="36">
                  <c:v>0.71296296296296291</c:v>
                </c:pt>
                <c:pt idx="37">
                  <c:v>0</c:v>
                </c:pt>
                <c:pt idx="38">
                  <c:v>0.70292887029288698</c:v>
                </c:pt>
                <c:pt idx="39">
                  <c:v>0.55466666666666664</c:v>
                </c:pt>
                <c:pt idx="40">
                  <c:v>0.62875816993464051</c:v>
                </c:pt>
                <c:pt idx="41">
                  <c:v>0.34972677595628415</c:v>
                </c:pt>
                <c:pt idx="42">
                  <c:v>0.50686641697877655</c:v>
                </c:pt>
                <c:pt idx="43">
                  <c:v>0.30804597701149428</c:v>
                </c:pt>
                <c:pt idx="44">
                  <c:v>0.66383495145631066</c:v>
                </c:pt>
                <c:pt idx="45">
                  <c:v>0.46754675467546752</c:v>
                </c:pt>
                <c:pt idx="46">
                  <c:v>0.50708833151581245</c:v>
                </c:pt>
                <c:pt idx="47">
                  <c:v>0.46262626262626261</c:v>
                </c:pt>
                <c:pt idx="48">
                  <c:v>0</c:v>
                </c:pt>
                <c:pt idx="49">
                  <c:v>0.2857142857142857</c:v>
                </c:pt>
                <c:pt idx="50">
                  <c:v>0.33653846153846156</c:v>
                </c:pt>
                <c:pt idx="51">
                  <c:v>0.69078014184397163</c:v>
                </c:pt>
                <c:pt idx="52">
                  <c:v>0.57473684210526321</c:v>
                </c:pt>
                <c:pt idx="53">
                  <c:v>0.46146872166817771</c:v>
                </c:pt>
                <c:pt idx="54">
                  <c:v>0.5542056074766355</c:v>
                </c:pt>
                <c:pt idx="55">
                  <c:v>0.77683854606931535</c:v>
                </c:pt>
                <c:pt idx="56">
                  <c:v>0.49909420289855072</c:v>
                </c:pt>
                <c:pt idx="57">
                  <c:v>0.51584786053882725</c:v>
                </c:pt>
                <c:pt idx="58">
                  <c:v>0.60843881856540083</c:v>
                </c:pt>
                <c:pt idx="59">
                  <c:v>0.66640502354788067</c:v>
                </c:pt>
                <c:pt idx="60">
                  <c:v>0.67711598746081503</c:v>
                </c:pt>
                <c:pt idx="61">
                  <c:v>0.48328025477707004</c:v>
                </c:pt>
                <c:pt idx="62">
                  <c:v>0.56206896551724139</c:v>
                </c:pt>
                <c:pt idx="63">
                  <c:v>0.68577348066298338</c:v>
                </c:pt>
                <c:pt idx="64">
                  <c:v>0.59727385377942999</c:v>
                </c:pt>
                <c:pt idx="65">
                  <c:v>0.46276923076923077</c:v>
                </c:pt>
                <c:pt idx="66">
                  <c:v>0.76732358550540369</c:v>
                </c:pt>
                <c:pt idx="67">
                  <c:v>0.46358454718176062</c:v>
                </c:pt>
                <c:pt idx="68">
                  <c:v>0.44536326048434732</c:v>
                </c:pt>
                <c:pt idx="69">
                  <c:v>0.46718576195773082</c:v>
                </c:pt>
                <c:pt idx="70">
                  <c:v>0.34390112842557763</c:v>
                </c:pt>
                <c:pt idx="71">
                  <c:v>0.46642899584076053</c:v>
                </c:pt>
                <c:pt idx="72">
                  <c:v>0.42863574966231427</c:v>
                </c:pt>
                <c:pt idx="73">
                  <c:v>0.54722222222222228</c:v>
                </c:pt>
                <c:pt idx="74">
                  <c:v>0</c:v>
                </c:pt>
                <c:pt idx="75">
                  <c:v>0.3125</c:v>
                </c:pt>
                <c:pt idx="76">
                  <c:v>0.57480946650621745</c:v>
                </c:pt>
                <c:pt idx="77">
                  <c:v>0.43193069306930693</c:v>
                </c:pt>
                <c:pt idx="78">
                  <c:v>0.41674221819280749</c:v>
                </c:pt>
                <c:pt idx="79">
                  <c:v>0.45081266039349871</c:v>
                </c:pt>
                <c:pt idx="80">
                  <c:v>0.67589662447257381</c:v>
                </c:pt>
                <c:pt idx="81">
                  <c:v>0.45277127244340359</c:v>
                </c:pt>
                <c:pt idx="82">
                  <c:v>0.52148337595907923</c:v>
                </c:pt>
                <c:pt idx="83">
                  <c:v>0.56882480957562565</c:v>
                </c:pt>
                <c:pt idx="84">
                  <c:v>0.44638583054092867</c:v>
                </c:pt>
                <c:pt idx="85">
                  <c:v>0.63497081712062253</c:v>
                </c:pt>
                <c:pt idx="86">
                  <c:v>0.39093242087254065</c:v>
                </c:pt>
                <c:pt idx="87">
                  <c:v>0.3919336163643381</c:v>
                </c:pt>
                <c:pt idx="88">
                  <c:v>0.40529575058723039</c:v>
                </c:pt>
                <c:pt idx="89">
                  <c:v>0.4140067592940293</c:v>
                </c:pt>
                <c:pt idx="90">
                  <c:v>0.53291901340066028</c:v>
                </c:pt>
                <c:pt idx="91">
                  <c:v>0.47652366046768552</c:v>
                </c:pt>
                <c:pt idx="92">
                  <c:v>0.82184634840341453</c:v>
                </c:pt>
                <c:pt idx="93">
                  <c:v>0.66835269993164725</c:v>
                </c:pt>
                <c:pt idx="94">
                  <c:v>0.59374306634124696</c:v>
                </c:pt>
                <c:pt idx="95">
                  <c:v>0.49492940942533309</c:v>
                </c:pt>
                <c:pt idx="96">
                  <c:v>0.41819390371284776</c:v>
                </c:pt>
                <c:pt idx="97">
                  <c:v>0.42962774094849565</c:v>
                </c:pt>
                <c:pt idx="98">
                  <c:v>0.49444620755315771</c:v>
                </c:pt>
                <c:pt idx="99">
                  <c:v>0.60365717683788001</c:v>
                </c:pt>
                <c:pt idx="100">
                  <c:v>0.3524982351556985</c:v>
                </c:pt>
                <c:pt idx="101">
                  <c:v>0.26971913320101143</c:v>
                </c:pt>
              </c:numCache>
            </c:numRef>
          </c:xVal>
          <c:yVal>
            <c:numRef>
              <c:f>'Graph Data SBB $ only'!$D$55:$D$156</c:f>
              <c:numCache>
                <c:formatCode>_("$"* #,##0_);_("$"* \(#,##0\);_("$"* "-"??_);_(@_)</c:formatCode>
                <c:ptCount val="102"/>
                <c:pt idx="0">
                  <c:v>7153.3740458015263</c:v>
                </c:pt>
                <c:pt idx="1">
                  <c:v>4807.1138828633402</c:v>
                </c:pt>
                <c:pt idx="2">
                  <c:v>8147.1142857142859</c:v>
                </c:pt>
                <c:pt idx="3">
                  <c:v>5912.2050078247257</c:v>
                </c:pt>
                <c:pt idx="4">
                  <c:v>7710.021352313167</c:v>
                </c:pt>
                <c:pt idx="5">
                  <c:v>5105.1322115384619</c:v>
                </c:pt>
                <c:pt idx="6">
                  <c:v>4755.9910913140311</c:v>
                </c:pt>
                <c:pt idx="7">
                  <c:v>8061.8859934853417</c:v>
                </c:pt>
                <c:pt idx="8">
                  <c:v>7972.1467576791811</c:v>
                </c:pt>
                <c:pt idx="9">
                  <c:v>6932.4487951807232</c:v>
                </c:pt>
                <c:pt idx="10">
                  <c:v>7167.1973094170407</c:v>
                </c:pt>
                <c:pt idx="11">
                  <c:v>7417.4719999999998</c:v>
                </c:pt>
                <c:pt idx="12">
                  <c:v>8255.7665782493368</c:v>
                </c:pt>
                <c:pt idx="13">
                  <c:v>6302.1065573770493</c:v>
                </c:pt>
                <c:pt idx="14">
                  <c:v>7750.2253521126759</c:v>
                </c:pt>
                <c:pt idx="15">
                  <c:v>0</c:v>
                </c:pt>
                <c:pt idx="16">
                  <c:v>6863.5691906005222</c:v>
                </c:pt>
                <c:pt idx="17">
                  <c:v>0</c:v>
                </c:pt>
                <c:pt idx="18">
                  <c:v>7010.4005167958658</c:v>
                </c:pt>
                <c:pt idx="19">
                  <c:v>7628.0841836734689</c:v>
                </c:pt>
                <c:pt idx="20">
                  <c:v>7065.8255528255531</c:v>
                </c:pt>
                <c:pt idx="21">
                  <c:v>6913.005037783375</c:v>
                </c:pt>
                <c:pt idx="22">
                  <c:v>7376.0881720430107</c:v>
                </c:pt>
                <c:pt idx="23">
                  <c:v>6056.1872146118722</c:v>
                </c:pt>
                <c:pt idx="24">
                  <c:v>7381.3052884615381</c:v>
                </c:pt>
                <c:pt idx="25">
                  <c:v>6600.5374149659865</c:v>
                </c:pt>
                <c:pt idx="26">
                  <c:v>7226.6258351893093</c:v>
                </c:pt>
                <c:pt idx="27">
                  <c:v>6935.1768558951962</c:v>
                </c:pt>
                <c:pt idx="28">
                  <c:v>7169.6906779661012</c:v>
                </c:pt>
                <c:pt idx="29">
                  <c:v>6856.8345323741005</c:v>
                </c:pt>
                <c:pt idx="30">
                  <c:v>6179.1092150170653</c:v>
                </c:pt>
                <c:pt idx="31">
                  <c:v>6925.6098807495737</c:v>
                </c:pt>
                <c:pt idx="32">
                  <c:v>5106.1802674043338</c:v>
                </c:pt>
                <c:pt idx="33">
                  <c:v>0</c:v>
                </c:pt>
                <c:pt idx="34">
                  <c:v>7100.8278931750738</c:v>
                </c:pt>
                <c:pt idx="35">
                  <c:v>6609.5377777777776</c:v>
                </c:pt>
                <c:pt idx="36">
                  <c:v>5695.4425162689804</c:v>
                </c:pt>
                <c:pt idx="37">
                  <c:v>5740.6537467700255</c:v>
                </c:pt>
                <c:pt idx="38">
                  <c:v>6599.3187969924811</c:v>
                </c:pt>
                <c:pt idx="39">
                  <c:v>6390.5517751479292</c:v>
                </c:pt>
                <c:pt idx="40">
                  <c:v>6811.7935578330889</c:v>
                </c:pt>
                <c:pt idx="41">
                  <c:v>6306.1610389610387</c:v>
                </c:pt>
                <c:pt idx="42">
                  <c:v>6399.2971887550202</c:v>
                </c:pt>
                <c:pt idx="43">
                  <c:v>6040.3269754768389</c:v>
                </c:pt>
                <c:pt idx="44">
                  <c:v>5988.2157622739014</c:v>
                </c:pt>
                <c:pt idx="45">
                  <c:v>5927.1212500000001</c:v>
                </c:pt>
                <c:pt idx="46">
                  <c:v>6517.6405693950182</c:v>
                </c:pt>
                <c:pt idx="47">
                  <c:v>6389.7621744054359</c:v>
                </c:pt>
                <c:pt idx="48">
                  <c:v>0</c:v>
                </c:pt>
                <c:pt idx="49">
                  <c:v>6064.0423728813557</c:v>
                </c:pt>
                <c:pt idx="50">
                  <c:v>6222.62951496388</c:v>
                </c:pt>
                <c:pt idx="51">
                  <c:v>6243.4522292993634</c:v>
                </c:pt>
                <c:pt idx="52">
                  <c:v>7731.6989351403681</c:v>
                </c:pt>
                <c:pt idx="53">
                  <c:v>6294.3838383838383</c:v>
                </c:pt>
                <c:pt idx="54">
                  <c:v>6095.9105367793245</c:v>
                </c:pt>
                <c:pt idx="55">
                  <c:v>5959.7809798270891</c:v>
                </c:pt>
                <c:pt idx="56">
                  <c:v>6153.0099700897308</c:v>
                </c:pt>
                <c:pt idx="57">
                  <c:v>6697.7443744374441</c:v>
                </c:pt>
                <c:pt idx="58">
                  <c:v>5574.1235452103847</c:v>
                </c:pt>
                <c:pt idx="59">
                  <c:v>5778.2738095238092</c:v>
                </c:pt>
                <c:pt idx="60">
                  <c:v>6091.2372013651875</c:v>
                </c:pt>
                <c:pt idx="61">
                  <c:v>5934.583687340697</c:v>
                </c:pt>
                <c:pt idx="62">
                  <c:v>5852.8952599388376</c:v>
                </c:pt>
                <c:pt idx="63">
                  <c:v>5894.3934669636228</c:v>
                </c:pt>
                <c:pt idx="64">
                  <c:v>5746.5829817158929</c:v>
                </c:pt>
                <c:pt idx="65">
                  <c:v>5857.2862876254185</c:v>
                </c:pt>
                <c:pt idx="66">
                  <c:v>6059.5580551523944</c:v>
                </c:pt>
                <c:pt idx="67">
                  <c:v>5850.684715558602</c:v>
                </c:pt>
                <c:pt idx="68">
                  <c:v>6032.2332474226805</c:v>
                </c:pt>
                <c:pt idx="69">
                  <c:v>5492.7501538461538</c:v>
                </c:pt>
                <c:pt idx="70">
                  <c:v>5721.9206060606057</c:v>
                </c:pt>
                <c:pt idx="71">
                  <c:v>5680.4961832061072</c:v>
                </c:pt>
                <c:pt idx="72">
                  <c:v>5467.6786064769385</c:v>
                </c:pt>
                <c:pt idx="73">
                  <c:v>5906.737844611529</c:v>
                </c:pt>
                <c:pt idx="74">
                  <c:v>0</c:v>
                </c:pt>
                <c:pt idx="75">
                  <c:v>5449.8152077807254</c:v>
                </c:pt>
                <c:pt idx="76">
                  <c:v>6414.9909090909086</c:v>
                </c:pt>
                <c:pt idx="77">
                  <c:v>5440.0515039142974</c:v>
                </c:pt>
                <c:pt idx="78">
                  <c:v>5502.0540275049116</c:v>
                </c:pt>
                <c:pt idx="79">
                  <c:v>5738.377572323293</c:v>
                </c:pt>
                <c:pt idx="80">
                  <c:v>5717.0998577524897</c:v>
                </c:pt>
                <c:pt idx="81">
                  <c:v>5853.0761351052051</c:v>
                </c:pt>
                <c:pt idx="82">
                  <c:v>5499.0002880184329</c:v>
                </c:pt>
                <c:pt idx="83">
                  <c:v>5647.7938657087598</c:v>
                </c:pt>
                <c:pt idx="84">
                  <c:v>5449.7569497577151</c:v>
                </c:pt>
                <c:pt idx="85">
                  <c:v>5990.7637556789505</c:v>
                </c:pt>
                <c:pt idx="86">
                  <c:v>5434.6756818702725</c:v>
                </c:pt>
                <c:pt idx="87">
                  <c:v>5305.0095218381284</c:v>
                </c:pt>
                <c:pt idx="88">
                  <c:v>5228.584867075665</c:v>
                </c:pt>
                <c:pt idx="89">
                  <c:v>5441.6023095623987</c:v>
                </c:pt>
                <c:pt idx="90">
                  <c:v>6105.8714867617109</c:v>
                </c:pt>
                <c:pt idx="91">
                  <c:v>5423.7540858988978</c:v>
                </c:pt>
                <c:pt idx="92">
                  <c:v>5568.3312335958008</c:v>
                </c:pt>
                <c:pt idx="93">
                  <c:v>5628.8908023982649</c:v>
                </c:pt>
                <c:pt idx="94">
                  <c:v>5658.8205875212434</c:v>
                </c:pt>
                <c:pt idx="95">
                  <c:v>5379.9733403582723</c:v>
                </c:pt>
                <c:pt idx="96">
                  <c:v>5131.7222053000305</c:v>
                </c:pt>
                <c:pt idx="97">
                  <c:v>5471.4335973475781</c:v>
                </c:pt>
                <c:pt idx="98">
                  <c:v>5211.8870235546037</c:v>
                </c:pt>
                <c:pt idx="99">
                  <c:v>5650.2778741414004</c:v>
                </c:pt>
                <c:pt idx="100">
                  <c:v>5423.7372307946198</c:v>
                </c:pt>
                <c:pt idx="101">
                  <c:v>5431.1702328778892</c:v>
                </c:pt>
              </c:numCache>
            </c:numRef>
          </c:yVal>
          <c:smooth val="0"/>
          <c:extLst>
            <c:ext xmlns:c16="http://schemas.microsoft.com/office/drawing/2014/chart" uri="{C3380CC4-5D6E-409C-BE32-E72D297353CC}">
              <c16:uniqueId val="{00000000-9CBE-493E-9E8F-3F4DEEAC1F46}"/>
            </c:ext>
          </c:extLst>
        </c:ser>
        <c:ser>
          <c:idx val="1"/>
          <c:order val="1"/>
          <c:tx>
            <c:v>Per Pupil with WSF</c:v>
          </c:tx>
          <c:spPr>
            <a:ln w="25400" cap="rnd">
              <a:noFill/>
              <a:round/>
            </a:ln>
            <a:effectLst/>
          </c:spPr>
          <c:marker>
            <c:symbol val="circle"/>
            <c:size val="5"/>
            <c:spPr>
              <a:solidFill>
                <a:schemeClr val="accent2"/>
              </a:solidFill>
              <a:ln w="9525">
                <a:solidFill>
                  <a:schemeClr val="accent2"/>
                </a:solidFill>
              </a:ln>
              <a:effectLst/>
            </c:spPr>
          </c:marker>
          <c:xVal>
            <c:numRef>
              <c:f>'Graph Data SBB $ only'!$C$55:$C$156</c:f>
              <c:numCache>
                <c:formatCode>0%</c:formatCode>
                <c:ptCount val="102"/>
                <c:pt idx="0">
                  <c:v>0.38695652173913042</c:v>
                </c:pt>
                <c:pt idx="1">
                  <c:v>0.52716143840856922</c:v>
                </c:pt>
                <c:pt idx="2">
                  <c:v>0.65346534653465349</c:v>
                </c:pt>
                <c:pt idx="3">
                  <c:v>0.28235294117647058</c:v>
                </c:pt>
                <c:pt idx="4">
                  <c:v>0.78333333333333333</c:v>
                </c:pt>
                <c:pt idx="5">
                  <c:v>0.48063380281690143</c:v>
                </c:pt>
                <c:pt idx="6">
                  <c:v>0.46889952153110048</c:v>
                </c:pt>
                <c:pt idx="7">
                  <c:v>0.71084337349397586</c:v>
                </c:pt>
                <c:pt idx="8">
                  <c:v>0.67791411042944782</c:v>
                </c:pt>
                <c:pt idx="9">
                  <c:v>0.45454545454545453</c:v>
                </c:pt>
                <c:pt idx="10">
                  <c:v>0.5761316872427984</c:v>
                </c:pt>
                <c:pt idx="11">
                  <c:v>0.67007672634271098</c:v>
                </c:pt>
                <c:pt idx="12">
                  <c:v>0.38141809290953543</c:v>
                </c:pt>
                <c:pt idx="13">
                  <c:v>0</c:v>
                </c:pt>
                <c:pt idx="14">
                  <c:v>0.38095238095238093</c:v>
                </c:pt>
                <c:pt idx="15">
                  <c:v>0</c:v>
                </c:pt>
                <c:pt idx="16">
                  <c:v>0.36138613861386137</c:v>
                </c:pt>
                <c:pt idx="17">
                  <c:v>0</c:v>
                </c:pt>
                <c:pt idx="18">
                  <c:v>0.67441860465116277</c:v>
                </c:pt>
                <c:pt idx="19">
                  <c:v>0.46186440677966101</c:v>
                </c:pt>
                <c:pt idx="20">
                  <c:v>0</c:v>
                </c:pt>
                <c:pt idx="21">
                  <c:v>0.93548387096774188</c:v>
                </c:pt>
                <c:pt idx="22">
                  <c:v>0.47544204322200395</c:v>
                </c:pt>
                <c:pt idx="23">
                  <c:v>0.35080645161290325</c:v>
                </c:pt>
                <c:pt idx="24">
                  <c:v>0.43973214285714285</c:v>
                </c:pt>
                <c:pt idx="25">
                  <c:v>0.30857142857142855</c:v>
                </c:pt>
                <c:pt idx="26">
                  <c:v>0.8899253731343284</c:v>
                </c:pt>
                <c:pt idx="27">
                  <c:v>0.50819672131147542</c:v>
                </c:pt>
                <c:pt idx="28">
                  <c:v>0.6987951807228916</c:v>
                </c:pt>
                <c:pt idx="29">
                  <c:v>0.60273972602739723</c:v>
                </c:pt>
                <c:pt idx="30">
                  <c:v>0.47807017543859648</c:v>
                </c:pt>
                <c:pt idx="31">
                  <c:v>0.5088282504012841</c:v>
                </c:pt>
                <c:pt idx="32">
                  <c:v>0.53649105848235867</c:v>
                </c:pt>
                <c:pt idx="33">
                  <c:v>0</c:v>
                </c:pt>
                <c:pt idx="34">
                  <c:v>0</c:v>
                </c:pt>
                <c:pt idx="35">
                  <c:v>0.47520661157024796</c:v>
                </c:pt>
                <c:pt idx="36">
                  <c:v>0.71296296296296291</c:v>
                </c:pt>
                <c:pt idx="37">
                  <c:v>0</c:v>
                </c:pt>
                <c:pt idx="38">
                  <c:v>0.70292887029288698</c:v>
                </c:pt>
                <c:pt idx="39">
                  <c:v>0.55466666666666664</c:v>
                </c:pt>
                <c:pt idx="40">
                  <c:v>0.62875816993464051</c:v>
                </c:pt>
                <c:pt idx="41">
                  <c:v>0.34972677595628415</c:v>
                </c:pt>
                <c:pt idx="42">
                  <c:v>0.50686641697877655</c:v>
                </c:pt>
                <c:pt idx="43">
                  <c:v>0.30804597701149428</c:v>
                </c:pt>
                <c:pt idx="44">
                  <c:v>0.66383495145631066</c:v>
                </c:pt>
                <c:pt idx="45">
                  <c:v>0.46754675467546752</c:v>
                </c:pt>
                <c:pt idx="46">
                  <c:v>0.50708833151581245</c:v>
                </c:pt>
                <c:pt idx="47">
                  <c:v>0.46262626262626261</c:v>
                </c:pt>
                <c:pt idx="48">
                  <c:v>0</c:v>
                </c:pt>
                <c:pt idx="49">
                  <c:v>0.2857142857142857</c:v>
                </c:pt>
                <c:pt idx="50">
                  <c:v>0.33653846153846156</c:v>
                </c:pt>
                <c:pt idx="51">
                  <c:v>0.69078014184397163</c:v>
                </c:pt>
                <c:pt idx="52">
                  <c:v>0.57473684210526321</c:v>
                </c:pt>
                <c:pt idx="53">
                  <c:v>0.46146872166817771</c:v>
                </c:pt>
                <c:pt idx="54">
                  <c:v>0.5542056074766355</c:v>
                </c:pt>
                <c:pt idx="55">
                  <c:v>0.77683854606931535</c:v>
                </c:pt>
                <c:pt idx="56">
                  <c:v>0.49909420289855072</c:v>
                </c:pt>
                <c:pt idx="57">
                  <c:v>0.51584786053882725</c:v>
                </c:pt>
                <c:pt idx="58">
                  <c:v>0.60843881856540083</c:v>
                </c:pt>
                <c:pt idx="59">
                  <c:v>0.66640502354788067</c:v>
                </c:pt>
                <c:pt idx="60">
                  <c:v>0.67711598746081503</c:v>
                </c:pt>
                <c:pt idx="61">
                  <c:v>0.48328025477707004</c:v>
                </c:pt>
                <c:pt idx="62">
                  <c:v>0.56206896551724139</c:v>
                </c:pt>
                <c:pt idx="63">
                  <c:v>0.68577348066298338</c:v>
                </c:pt>
                <c:pt idx="64">
                  <c:v>0.59727385377942999</c:v>
                </c:pt>
                <c:pt idx="65">
                  <c:v>0.46276923076923077</c:v>
                </c:pt>
                <c:pt idx="66">
                  <c:v>0.76732358550540369</c:v>
                </c:pt>
                <c:pt idx="67">
                  <c:v>0.46358454718176062</c:v>
                </c:pt>
                <c:pt idx="68">
                  <c:v>0.44536326048434732</c:v>
                </c:pt>
                <c:pt idx="69">
                  <c:v>0.46718576195773082</c:v>
                </c:pt>
                <c:pt idx="70">
                  <c:v>0.34390112842557763</c:v>
                </c:pt>
                <c:pt idx="71">
                  <c:v>0.46642899584076053</c:v>
                </c:pt>
                <c:pt idx="72">
                  <c:v>0.42863574966231427</c:v>
                </c:pt>
                <c:pt idx="73">
                  <c:v>0.54722222222222228</c:v>
                </c:pt>
                <c:pt idx="74">
                  <c:v>0</c:v>
                </c:pt>
                <c:pt idx="75">
                  <c:v>0.3125</c:v>
                </c:pt>
                <c:pt idx="76">
                  <c:v>0.57480946650621745</c:v>
                </c:pt>
                <c:pt idx="77">
                  <c:v>0.43193069306930693</c:v>
                </c:pt>
                <c:pt idx="78">
                  <c:v>0.41674221819280749</c:v>
                </c:pt>
                <c:pt idx="79">
                  <c:v>0.45081266039349871</c:v>
                </c:pt>
                <c:pt idx="80">
                  <c:v>0.67589662447257381</c:v>
                </c:pt>
                <c:pt idx="81">
                  <c:v>0.45277127244340359</c:v>
                </c:pt>
                <c:pt idx="82">
                  <c:v>0.52148337595907923</c:v>
                </c:pt>
                <c:pt idx="83">
                  <c:v>0.56882480957562565</c:v>
                </c:pt>
                <c:pt idx="84">
                  <c:v>0.44638583054092867</c:v>
                </c:pt>
                <c:pt idx="85">
                  <c:v>0.63497081712062253</c:v>
                </c:pt>
                <c:pt idx="86">
                  <c:v>0.39093242087254065</c:v>
                </c:pt>
                <c:pt idx="87">
                  <c:v>0.3919336163643381</c:v>
                </c:pt>
                <c:pt idx="88">
                  <c:v>0.40529575058723039</c:v>
                </c:pt>
                <c:pt idx="89">
                  <c:v>0.4140067592940293</c:v>
                </c:pt>
                <c:pt idx="90">
                  <c:v>0.53291901340066028</c:v>
                </c:pt>
                <c:pt idx="91">
                  <c:v>0.47652366046768552</c:v>
                </c:pt>
                <c:pt idx="92">
                  <c:v>0.82184634840341453</c:v>
                </c:pt>
                <c:pt idx="93">
                  <c:v>0.66835269993164725</c:v>
                </c:pt>
                <c:pt idx="94">
                  <c:v>0.59374306634124696</c:v>
                </c:pt>
                <c:pt idx="95">
                  <c:v>0.49492940942533309</c:v>
                </c:pt>
                <c:pt idx="96">
                  <c:v>0.41819390371284776</c:v>
                </c:pt>
                <c:pt idx="97">
                  <c:v>0.42962774094849565</c:v>
                </c:pt>
                <c:pt idx="98">
                  <c:v>0.49444620755315771</c:v>
                </c:pt>
                <c:pt idx="99">
                  <c:v>0.60365717683788001</c:v>
                </c:pt>
                <c:pt idx="100">
                  <c:v>0.3524982351556985</c:v>
                </c:pt>
                <c:pt idx="101">
                  <c:v>0.26971913320101143</c:v>
                </c:pt>
              </c:numCache>
            </c:numRef>
          </c:xVal>
          <c:yVal>
            <c:numRef>
              <c:f>'Graph Data SBB $ only'!$J$55:$J$156</c:f>
              <c:numCache>
                <c:formatCode>_("$"* #,##0_);_("$"* \(#,##0\);_("$"* "-"??_);_(@_)</c:formatCode>
                <c:ptCount val="102"/>
                <c:pt idx="0">
                  <c:v>5526</c:v>
                </c:pt>
                <c:pt idx="1">
                  <c:v>5630.8861171366598</c:v>
                </c:pt>
                <c:pt idx="2">
                  <c:v>5841.7714285714283</c:v>
                </c:pt>
                <c:pt idx="3">
                  <c:v>5729.2253521126759</c:v>
                </c:pt>
                <c:pt idx="4">
                  <c:v>5850.4804270462637</c:v>
                </c:pt>
                <c:pt idx="5">
                  <c:v>6090.5552884615381</c:v>
                </c:pt>
                <c:pt idx="6">
                  <c:v>5526</c:v>
                </c:pt>
                <c:pt idx="7">
                  <c:v>5841</c:v>
                </c:pt>
                <c:pt idx="8">
                  <c:v>5874.9112627986351</c:v>
                </c:pt>
                <c:pt idx="9">
                  <c:v>5659.1566265060237</c:v>
                </c:pt>
                <c:pt idx="10">
                  <c:v>5823.3632286995517</c:v>
                </c:pt>
                <c:pt idx="11">
                  <c:v>5724.9359999999997</c:v>
                </c:pt>
                <c:pt idx="12">
                  <c:v>5731.2095490716183</c:v>
                </c:pt>
                <c:pt idx="13">
                  <c:v>5526</c:v>
                </c:pt>
                <c:pt idx="14">
                  <c:v>5650.5295774647884</c:v>
                </c:pt>
                <c:pt idx="15">
                  <c:v>0</c:v>
                </c:pt>
                <c:pt idx="16">
                  <c:v>5699.1383812010445</c:v>
                </c:pt>
                <c:pt idx="17">
                  <c:v>0</c:v>
                </c:pt>
                <c:pt idx="18">
                  <c:v>5697.3488372093025</c:v>
                </c:pt>
                <c:pt idx="19">
                  <c:v>5779.7448979591836</c:v>
                </c:pt>
                <c:pt idx="20">
                  <c:v>5817.9140049140051</c:v>
                </c:pt>
                <c:pt idx="21">
                  <c:v>5748.7103274559195</c:v>
                </c:pt>
                <c:pt idx="22">
                  <c:v>5823.0967741935483</c:v>
                </c:pt>
                <c:pt idx="23">
                  <c:v>5828.7945205479455</c:v>
                </c:pt>
                <c:pt idx="24">
                  <c:v>5791.6730769230771</c:v>
                </c:pt>
                <c:pt idx="25">
                  <c:v>5920.7142857142853</c:v>
                </c:pt>
                <c:pt idx="26">
                  <c:v>5759.8396436525609</c:v>
                </c:pt>
                <c:pt idx="27">
                  <c:v>5694.9170305676853</c:v>
                </c:pt>
                <c:pt idx="28">
                  <c:v>5783.5677966101694</c:v>
                </c:pt>
                <c:pt idx="29">
                  <c:v>5714.8381294964029</c:v>
                </c:pt>
                <c:pt idx="30">
                  <c:v>5775.8959044368603</c:v>
                </c:pt>
                <c:pt idx="31">
                  <c:v>5695.4514480408861</c:v>
                </c:pt>
                <c:pt idx="32">
                  <c:v>5673.767634854772</c:v>
                </c:pt>
                <c:pt idx="33">
                  <c:v>0</c:v>
                </c:pt>
                <c:pt idx="34">
                  <c:v>5526</c:v>
                </c:pt>
                <c:pt idx="35">
                  <c:v>5648.8</c:v>
                </c:pt>
                <c:pt idx="36">
                  <c:v>5885.609544468547</c:v>
                </c:pt>
                <c:pt idx="37">
                  <c:v>5861.5581395348836</c:v>
                </c:pt>
                <c:pt idx="38">
                  <c:v>5783.6030075187973</c:v>
                </c:pt>
                <c:pt idx="39">
                  <c:v>5787.5857988165681</c:v>
                </c:pt>
                <c:pt idx="40">
                  <c:v>5776.8140556368962</c:v>
                </c:pt>
                <c:pt idx="41">
                  <c:v>5755.6519480519482</c:v>
                </c:pt>
                <c:pt idx="42">
                  <c:v>5710.939759036145</c:v>
                </c:pt>
                <c:pt idx="43">
                  <c:v>6045.4741144414165</c:v>
                </c:pt>
                <c:pt idx="44">
                  <c:v>5722.3372093023254</c:v>
                </c:pt>
                <c:pt idx="45">
                  <c:v>5781.5775000000003</c:v>
                </c:pt>
                <c:pt idx="46">
                  <c:v>5758.7081850533805</c:v>
                </c:pt>
                <c:pt idx="47">
                  <c:v>5741.9082672706681</c:v>
                </c:pt>
                <c:pt idx="48">
                  <c:v>0</c:v>
                </c:pt>
                <c:pt idx="49">
                  <c:v>5806.9830508474579</c:v>
                </c:pt>
                <c:pt idx="50">
                  <c:v>5725.5975232198143</c:v>
                </c:pt>
                <c:pt idx="51">
                  <c:v>5766.5159235668789</c:v>
                </c:pt>
                <c:pt idx="52">
                  <c:v>5718.5808325266216</c:v>
                </c:pt>
                <c:pt idx="53">
                  <c:v>5819.045454545455</c:v>
                </c:pt>
                <c:pt idx="54">
                  <c:v>5710.0168986083499</c:v>
                </c:pt>
                <c:pt idx="55">
                  <c:v>5767.5302593659944</c:v>
                </c:pt>
                <c:pt idx="56">
                  <c:v>5735.3599202392825</c:v>
                </c:pt>
                <c:pt idx="57">
                  <c:v>5769.7209720972096</c:v>
                </c:pt>
                <c:pt idx="58">
                  <c:v>5718.9400179051026</c:v>
                </c:pt>
                <c:pt idx="59">
                  <c:v>5756.25</c:v>
                </c:pt>
                <c:pt idx="60">
                  <c:v>5742.8907849829347</c:v>
                </c:pt>
                <c:pt idx="61">
                  <c:v>5711.4519966015296</c:v>
                </c:pt>
                <c:pt idx="62">
                  <c:v>5711.8899082568805</c:v>
                </c:pt>
                <c:pt idx="63">
                  <c:v>5761.8908685968818</c:v>
                </c:pt>
                <c:pt idx="64">
                  <c:v>5706.7025316455693</c:v>
                </c:pt>
                <c:pt idx="65">
                  <c:v>5727.4494983277591</c:v>
                </c:pt>
                <c:pt idx="66">
                  <c:v>5778.6400580551526</c:v>
                </c:pt>
                <c:pt idx="67">
                  <c:v>5690.7573680603155</c:v>
                </c:pt>
                <c:pt idx="68">
                  <c:v>5766.3382731958764</c:v>
                </c:pt>
                <c:pt idx="69">
                  <c:v>5769.1440000000002</c:v>
                </c:pt>
                <c:pt idx="70">
                  <c:v>5762.1109090909094</c:v>
                </c:pt>
                <c:pt idx="71">
                  <c:v>5742.18893129771</c:v>
                </c:pt>
                <c:pt idx="72">
                  <c:v>5782.2350343473991</c:v>
                </c:pt>
                <c:pt idx="73">
                  <c:v>5739.2842105263162</c:v>
                </c:pt>
                <c:pt idx="74">
                  <c:v>0</c:v>
                </c:pt>
                <c:pt idx="75">
                  <c:v>5740.9814323607425</c:v>
                </c:pt>
                <c:pt idx="76">
                  <c:v>5725.7493506493511</c:v>
                </c:pt>
                <c:pt idx="77">
                  <c:v>5708.1508034610633</c:v>
                </c:pt>
                <c:pt idx="78">
                  <c:v>5722.3231827111986</c:v>
                </c:pt>
                <c:pt idx="79">
                  <c:v>5712.2326274977631</c:v>
                </c:pt>
                <c:pt idx="80">
                  <c:v>5755.529445234708</c:v>
                </c:pt>
                <c:pt idx="81">
                  <c:v>5707.293189368771</c:v>
                </c:pt>
                <c:pt idx="82">
                  <c:v>5783.0417626728113</c:v>
                </c:pt>
                <c:pt idx="83">
                  <c:v>5720.6849958552084</c:v>
                </c:pt>
                <c:pt idx="84">
                  <c:v>5706.3947972456008</c:v>
                </c:pt>
                <c:pt idx="85">
                  <c:v>5761.7127713276122</c:v>
                </c:pt>
                <c:pt idx="86">
                  <c:v>5730.5493926197569</c:v>
                </c:pt>
                <c:pt idx="87">
                  <c:v>5765.0672738563444</c:v>
                </c:pt>
                <c:pt idx="88">
                  <c:v>5722.6306748466259</c:v>
                </c:pt>
                <c:pt idx="89">
                  <c:v>5769.4977714748784</c:v>
                </c:pt>
                <c:pt idx="90">
                  <c:v>5774.7262729124241</c:v>
                </c:pt>
                <c:pt idx="91">
                  <c:v>5734.4589509692132</c:v>
                </c:pt>
                <c:pt idx="92">
                  <c:v>5784.6535433070867</c:v>
                </c:pt>
                <c:pt idx="93">
                  <c:v>5762.8587830080369</c:v>
                </c:pt>
                <c:pt idx="94">
                  <c:v>5769.498179169701</c:v>
                </c:pt>
                <c:pt idx="95">
                  <c:v>5753.0958904109593</c:v>
                </c:pt>
                <c:pt idx="96">
                  <c:v>5743.9765458422171</c:v>
                </c:pt>
                <c:pt idx="97">
                  <c:v>5755.783477620188</c:v>
                </c:pt>
                <c:pt idx="98">
                  <c:v>5750.3532334047113</c:v>
                </c:pt>
                <c:pt idx="99">
                  <c:v>5733.2297925483936</c:v>
                </c:pt>
                <c:pt idx="100">
                  <c:v>5725.4904695106861</c:v>
                </c:pt>
                <c:pt idx="101">
                  <c:v>5729.0046403712295</c:v>
                </c:pt>
              </c:numCache>
            </c:numRef>
          </c:yVal>
          <c:smooth val="0"/>
          <c:extLst>
            <c:ext xmlns:c16="http://schemas.microsoft.com/office/drawing/2014/chart" uri="{C3380CC4-5D6E-409C-BE32-E72D297353CC}">
              <c16:uniqueId val="{00000001-9CBE-493E-9E8F-3F4DEEAC1F46}"/>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1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18518518517E-2"/>
              <c:y val="0.290517285339332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Median Change in Per Pupil Funding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3280118209586"/>
          <c:y val="0.16267543859649122"/>
          <c:w val="0.8701142768891148"/>
          <c:h val="0.67101749505286601"/>
        </c:manualLayout>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SBB Funding'!$F$35:$I$35</c:f>
              <c:strCache>
                <c:ptCount val="4"/>
                <c:pt idx="0">
                  <c:v>All Districts</c:v>
                </c:pt>
                <c:pt idx="1">
                  <c:v>Small Districts</c:v>
                </c:pt>
                <c:pt idx="2">
                  <c:v>Medium to Large Districts</c:v>
                </c:pt>
                <c:pt idx="3">
                  <c:v>Charter Schools</c:v>
                </c:pt>
              </c:strCache>
            </c:strRef>
          </c:cat>
          <c:val>
            <c:numRef>
              <c:f>'Results SBB Funding'!$F$36:$I$36</c:f>
              <c:numCache>
                <c:formatCode>"$"#,##0</c:formatCode>
                <c:ptCount val="4"/>
                <c:pt idx="0">
                  <c:v>284.19567746349412</c:v>
                </c:pt>
                <c:pt idx="1">
                  <c:v>207.053856546303</c:v>
                </c:pt>
                <c:pt idx="2">
                  <c:v>284.19567746349412</c:v>
                </c:pt>
                <c:pt idx="3">
                  <c:v>357.84782608695696</c:v>
                </c:pt>
              </c:numCache>
            </c:numRef>
          </c:val>
          <c:extLst>
            <c:ext xmlns:c16="http://schemas.microsoft.com/office/drawing/2014/chart" uri="{C3380CC4-5D6E-409C-BE32-E72D297353CC}">
              <c16:uniqueId val="{00000000-54D1-49AC-9D31-95844AB1780A}"/>
            </c:ext>
          </c:extLst>
        </c:ser>
        <c:ser>
          <c:idx val="1"/>
          <c:order val="1"/>
          <c:spPr>
            <a:solidFill>
              <a:srgbClr val="C00000"/>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SBB Funding'!$F$35:$I$35</c:f>
              <c:strCache>
                <c:ptCount val="4"/>
                <c:pt idx="0">
                  <c:v>All Districts</c:v>
                </c:pt>
                <c:pt idx="1">
                  <c:v>Small Districts</c:v>
                </c:pt>
                <c:pt idx="2">
                  <c:v>Medium to Large Districts</c:v>
                </c:pt>
                <c:pt idx="3">
                  <c:v>Charter Schools</c:v>
                </c:pt>
              </c:strCache>
            </c:strRef>
          </c:cat>
          <c:val>
            <c:numRef>
              <c:f>'Results SBB Funding'!$F$37:$I$37</c:f>
              <c:numCache>
                <c:formatCode>"$"#,##0_);[Red]\("$"#,##0\)</c:formatCode>
                <c:ptCount val="4"/>
                <c:pt idx="0">
                  <c:v>-1328.4428801520262</c:v>
                </c:pt>
                <c:pt idx="1">
                  <c:v>-3296.3906976744183</c:v>
                </c:pt>
                <c:pt idx="2">
                  <c:v>-602.96597633136116</c:v>
                </c:pt>
                <c:pt idx="3">
                  <c:v>-1135.1542067830724</c:v>
                </c:pt>
              </c:numCache>
            </c:numRef>
          </c:val>
          <c:extLst>
            <c:ext xmlns:c16="http://schemas.microsoft.com/office/drawing/2014/chart" uri="{C3380CC4-5D6E-409C-BE32-E72D297353CC}">
              <c16:uniqueId val="{00000001-54D1-49AC-9D31-95844AB1780A}"/>
            </c:ext>
          </c:extLst>
        </c:ser>
        <c:dLbls>
          <c:showLegendKey val="0"/>
          <c:showVal val="0"/>
          <c:showCatName val="0"/>
          <c:showSerName val="0"/>
          <c:showPercent val="0"/>
          <c:showBubbleSize val="0"/>
        </c:dLbls>
        <c:gapWidth val="150"/>
        <c:overlap val="100"/>
        <c:axId val="1232262784"/>
        <c:axId val="1232264096"/>
      </c:barChart>
      <c:catAx>
        <c:axId val="1232262784"/>
        <c:scaling>
          <c:orientation val="minMax"/>
        </c:scaling>
        <c:delete val="1"/>
        <c:axPos val="b"/>
        <c:numFmt formatCode="General" sourceLinked="1"/>
        <c:majorTickMark val="none"/>
        <c:minorTickMark val="none"/>
        <c:tickLblPos val="nextTo"/>
        <c:crossAx val="1232264096"/>
        <c:crosses val="autoZero"/>
        <c:auto val="0"/>
        <c:lblAlgn val="ctr"/>
        <c:lblOffset val="100"/>
        <c:noMultiLvlLbl val="0"/>
      </c:catAx>
      <c:valAx>
        <c:axId val="123226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226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Per Pupil Funding by Percent Low-Income</a:t>
            </a:r>
          </a:p>
          <a:p>
            <a:pPr>
              <a:defRPr sz="1400" b="0" i="0" u="none" strike="noStrike" kern="1200" spc="0" baseline="0">
                <a:solidFill>
                  <a:schemeClr val="tx1"/>
                </a:solidFill>
                <a:latin typeface="+mn-lt"/>
                <a:ea typeface="+mn-ea"/>
                <a:cs typeface="+mn-cs"/>
              </a:defRPr>
            </a:pPr>
            <a:r>
              <a:rPr lang="en-US" sz="1000">
                <a:solidFill>
                  <a:schemeClr val="tx1"/>
                </a:solidFill>
              </a:rPr>
              <a:t>(all schools</a:t>
            </a:r>
            <a:r>
              <a:rPr lang="en-US" sz="1000" baseline="0">
                <a:solidFill>
                  <a:schemeClr val="tx1"/>
                </a:solidFill>
              </a:rPr>
              <a:t> with per pupil &lt;=$20,000 per pupil)</a:t>
            </a:r>
            <a:endParaRPr lang="en-US" sz="1000">
              <a:solidFill>
                <a:schemeClr val="tx1"/>
              </a:solidFill>
            </a:endParaRPr>
          </a:p>
        </c:rich>
      </c:tx>
      <c:layout>
        <c:manualLayout>
          <c:xMode val="edge"/>
          <c:yMode val="edge"/>
          <c:x val="0.21473600174978125"/>
          <c:y val="2.7777777777777776E-2"/>
        </c:manualLayout>
      </c:layout>
      <c:overlay val="0"/>
      <c:spPr>
        <a:noFill/>
        <a:ln>
          <a:noFill/>
        </a:ln>
        <a:effectLst/>
      </c:spPr>
    </c:title>
    <c:autoTitleDeleted val="0"/>
    <c:plotArea>
      <c:layout/>
      <c:scatterChart>
        <c:scatterStyle val="lineMarker"/>
        <c:varyColors val="0"/>
        <c:ser>
          <c:idx val="0"/>
          <c:order val="0"/>
          <c:tx>
            <c:v>Current Per Pupil</c:v>
          </c:tx>
          <c:spPr>
            <a:ln w="19050" cap="rnd">
              <a:noFill/>
              <a:round/>
            </a:ln>
            <a:effectLst/>
          </c:spPr>
          <c:marker>
            <c:symbol val="circle"/>
            <c:size val="5"/>
            <c:spPr>
              <a:solidFill>
                <a:schemeClr val="accent1"/>
              </a:solidFill>
              <a:ln w="9525">
                <a:solidFill>
                  <a:schemeClr val="accent1"/>
                </a:solidFill>
              </a:ln>
              <a:effectLst/>
            </c:spPr>
          </c:marker>
          <c:xVal>
            <c:numRef>
              <c:f>'Graph Data SBB $ only'!$C$3:$C$156</c:f>
              <c:numCache>
                <c:formatCode>0%</c:formatCode>
                <c:ptCount val="154"/>
                <c:pt idx="0">
                  <c:v>0</c:v>
                </c:pt>
                <c:pt idx="1">
                  <c:v>0</c:v>
                </c:pt>
                <c:pt idx="2">
                  <c:v>0</c:v>
                </c:pt>
                <c:pt idx="3">
                  <c:v>0</c:v>
                </c:pt>
                <c:pt idx="4">
                  <c:v>0</c:v>
                </c:pt>
                <c:pt idx="5">
                  <c:v>0.9101123595505618</c:v>
                </c:pt>
                <c:pt idx="6">
                  <c:v>0.55102040816326525</c:v>
                </c:pt>
                <c:pt idx="7">
                  <c:v>0.17647058823529413</c:v>
                </c:pt>
                <c:pt idx="8">
                  <c:v>0.64</c:v>
                </c:pt>
                <c:pt idx="9">
                  <c:v>0.56399999999999995</c:v>
                </c:pt>
                <c:pt idx="10">
                  <c:v>0.59340659340659341</c:v>
                </c:pt>
                <c:pt idx="11">
                  <c:v>0.54450261780104714</c:v>
                </c:pt>
                <c:pt idx="12">
                  <c:v>0.50420168067226889</c:v>
                </c:pt>
                <c:pt idx="13">
                  <c:v>0.60431654676258995</c:v>
                </c:pt>
                <c:pt idx="14">
                  <c:v>0.45794392523364486</c:v>
                </c:pt>
                <c:pt idx="15">
                  <c:v>0.90476190476190477</c:v>
                </c:pt>
                <c:pt idx="16">
                  <c:v>0.6097560975609756</c:v>
                </c:pt>
                <c:pt idx="17">
                  <c:v>0.47651006711409394</c:v>
                </c:pt>
                <c:pt idx="18">
                  <c:v>0.81967213114754101</c:v>
                </c:pt>
                <c:pt idx="19">
                  <c:v>0.38305084745762713</c:v>
                </c:pt>
                <c:pt idx="20">
                  <c:v>0.76100628930817615</c:v>
                </c:pt>
                <c:pt idx="21">
                  <c:v>0.65189873417721522</c:v>
                </c:pt>
                <c:pt idx="22">
                  <c:v>0.40799999999999997</c:v>
                </c:pt>
                <c:pt idx="23">
                  <c:v>0.5</c:v>
                </c:pt>
                <c:pt idx="24">
                  <c:v>0.5</c:v>
                </c:pt>
                <c:pt idx="25">
                  <c:v>0.4375</c:v>
                </c:pt>
                <c:pt idx="26">
                  <c:v>0.52439024390243905</c:v>
                </c:pt>
                <c:pt idx="27">
                  <c:v>0</c:v>
                </c:pt>
                <c:pt idx="28">
                  <c:v>0</c:v>
                </c:pt>
                <c:pt idx="29">
                  <c:v>0.41025641025641024</c:v>
                </c:pt>
                <c:pt idx="30">
                  <c:v>0.49624060150375937</c:v>
                </c:pt>
                <c:pt idx="31">
                  <c:v>0.50622406639004147</c:v>
                </c:pt>
                <c:pt idx="32">
                  <c:v>0.44019138755980863</c:v>
                </c:pt>
                <c:pt idx="33">
                  <c:v>0.70940170940170943</c:v>
                </c:pt>
                <c:pt idx="34">
                  <c:v>0.42899850523168909</c:v>
                </c:pt>
                <c:pt idx="35">
                  <c:v>0.54085603112840464</c:v>
                </c:pt>
                <c:pt idx="36">
                  <c:v>0.42016806722689076</c:v>
                </c:pt>
                <c:pt idx="37">
                  <c:v>0.14613180515759314</c:v>
                </c:pt>
                <c:pt idx="38">
                  <c:v>0</c:v>
                </c:pt>
                <c:pt idx="39">
                  <c:v>0.75163398692810457</c:v>
                </c:pt>
                <c:pt idx="40">
                  <c:v>0.66816143497757852</c:v>
                </c:pt>
                <c:pt idx="41">
                  <c:v>0.35971223021582732</c:v>
                </c:pt>
                <c:pt idx="42">
                  <c:v>0.36680327868852458</c:v>
                </c:pt>
                <c:pt idx="43">
                  <c:v>0.6</c:v>
                </c:pt>
                <c:pt idx="44">
                  <c:v>0</c:v>
                </c:pt>
                <c:pt idx="45">
                  <c:v>0</c:v>
                </c:pt>
                <c:pt idx="46">
                  <c:v>0</c:v>
                </c:pt>
                <c:pt idx="47">
                  <c:v>0.64</c:v>
                </c:pt>
                <c:pt idx="48">
                  <c:v>0.35546875</c:v>
                </c:pt>
                <c:pt idx="49">
                  <c:v>0.22222222222222221</c:v>
                </c:pt>
                <c:pt idx="50">
                  <c:v>0.21069182389937108</c:v>
                </c:pt>
                <c:pt idx="51">
                  <c:v>0</c:v>
                </c:pt>
                <c:pt idx="52">
                  <c:v>0.38695652173913042</c:v>
                </c:pt>
                <c:pt idx="53">
                  <c:v>0.52716143840856922</c:v>
                </c:pt>
                <c:pt idx="54">
                  <c:v>0.65346534653465349</c:v>
                </c:pt>
                <c:pt idx="55">
                  <c:v>0.28235294117647058</c:v>
                </c:pt>
                <c:pt idx="56">
                  <c:v>0.78333333333333333</c:v>
                </c:pt>
                <c:pt idx="57">
                  <c:v>0.48063380281690143</c:v>
                </c:pt>
                <c:pt idx="58">
                  <c:v>0.46889952153110048</c:v>
                </c:pt>
                <c:pt idx="59">
                  <c:v>0.71084337349397586</c:v>
                </c:pt>
                <c:pt idx="60">
                  <c:v>0.67791411042944782</c:v>
                </c:pt>
                <c:pt idx="61">
                  <c:v>0.45454545454545453</c:v>
                </c:pt>
                <c:pt idx="62">
                  <c:v>0.5761316872427984</c:v>
                </c:pt>
                <c:pt idx="63">
                  <c:v>0.67007672634271098</c:v>
                </c:pt>
                <c:pt idx="64">
                  <c:v>0.38141809290953543</c:v>
                </c:pt>
                <c:pt idx="65">
                  <c:v>0</c:v>
                </c:pt>
                <c:pt idx="66">
                  <c:v>0.38095238095238093</c:v>
                </c:pt>
                <c:pt idx="67">
                  <c:v>0</c:v>
                </c:pt>
                <c:pt idx="68">
                  <c:v>0.36138613861386137</c:v>
                </c:pt>
                <c:pt idx="69">
                  <c:v>0</c:v>
                </c:pt>
                <c:pt idx="70">
                  <c:v>0.67441860465116277</c:v>
                </c:pt>
                <c:pt idx="71">
                  <c:v>0.46186440677966101</c:v>
                </c:pt>
                <c:pt idx="72">
                  <c:v>0</c:v>
                </c:pt>
                <c:pt idx="73">
                  <c:v>0.93548387096774188</c:v>
                </c:pt>
                <c:pt idx="74">
                  <c:v>0.47544204322200395</c:v>
                </c:pt>
                <c:pt idx="75">
                  <c:v>0.35080645161290325</c:v>
                </c:pt>
                <c:pt idx="76">
                  <c:v>0.43973214285714285</c:v>
                </c:pt>
                <c:pt idx="77">
                  <c:v>0.30857142857142855</c:v>
                </c:pt>
                <c:pt idx="78">
                  <c:v>0.8899253731343284</c:v>
                </c:pt>
                <c:pt idx="79">
                  <c:v>0.50819672131147542</c:v>
                </c:pt>
                <c:pt idx="80">
                  <c:v>0.6987951807228916</c:v>
                </c:pt>
                <c:pt idx="81">
                  <c:v>0.60273972602739723</c:v>
                </c:pt>
                <c:pt idx="82">
                  <c:v>0.47807017543859648</c:v>
                </c:pt>
                <c:pt idx="83">
                  <c:v>0.5088282504012841</c:v>
                </c:pt>
                <c:pt idx="84">
                  <c:v>0.53649105848235867</c:v>
                </c:pt>
                <c:pt idx="85">
                  <c:v>0</c:v>
                </c:pt>
                <c:pt idx="86">
                  <c:v>0</c:v>
                </c:pt>
                <c:pt idx="87">
                  <c:v>0.47520661157024796</c:v>
                </c:pt>
                <c:pt idx="88">
                  <c:v>0.71296296296296291</c:v>
                </c:pt>
                <c:pt idx="89">
                  <c:v>0</c:v>
                </c:pt>
                <c:pt idx="90">
                  <c:v>0.70292887029288698</c:v>
                </c:pt>
                <c:pt idx="91">
                  <c:v>0.55466666666666664</c:v>
                </c:pt>
                <c:pt idx="92">
                  <c:v>0.62875816993464051</c:v>
                </c:pt>
                <c:pt idx="93">
                  <c:v>0.34972677595628415</c:v>
                </c:pt>
                <c:pt idx="94">
                  <c:v>0.50686641697877655</c:v>
                </c:pt>
                <c:pt idx="95">
                  <c:v>0.30804597701149428</c:v>
                </c:pt>
                <c:pt idx="96">
                  <c:v>0.66383495145631066</c:v>
                </c:pt>
                <c:pt idx="97">
                  <c:v>0.46754675467546752</c:v>
                </c:pt>
                <c:pt idx="98">
                  <c:v>0.50708833151581245</c:v>
                </c:pt>
                <c:pt idx="99">
                  <c:v>0.46262626262626261</c:v>
                </c:pt>
                <c:pt idx="100">
                  <c:v>0</c:v>
                </c:pt>
                <c:pt idx="101">
                  <c:v>0.2857142857142857</c:v>
                </c:pt>
                <c:pt idx="102">
                  <c:v>0.33653846153846156</c:v>
                </c:pt>
                <c:pt idx="103">
                  <c:v>0.69078014184397163</c:v>
                </c:pt>
                <c:pt idx="104">
                  <c:v>0.57473684210526321</c:v>
                </c:pt>
                <c:pt idx="105">
                  <c:v>0.46146872166817771</c:v>
                </c:pt>
                <c:pt idx="106">
                  <c:v>0.5542056074766355</c:v>
                </c:pt>
                <c:pt idx="107">
                  <c:v>0.77683854606931535</c:v>
                </c:pt>
                <c:pt idx="108">
                  <c:v>0.49909420289855072</c:v>
                </c:pt>
                <c:pt idx="109">
                  <c:v>0.51584786053882725</c:v>
                </c:pt>
                <c:pt idx="110">
                  <c:v>0.60843881856540083</c:v>
                </c:pt>
                <c:pt idx="111">
                  <c:v>0.66640502354788067</c:v>
                </c:pt>
                <c:pt idx="112">
                  <c:v>0.67711598746081503</c:v>
                </c:pt>
                <c:pt idx="113">
                  <c:v>0.48328025477707004</c:v>
                </c:pt>
                <c:pt idx="114">
                  <c:v>0.56206896551724139</c:v>
                </c:pt>
                <c:pt idx="115">
                  <c:v>0.68577348066298338</c:v>
                </c:pt>
                <c:pt idx="116">
                  <c:v>0.59727385377942999</c:v>
                </c:pt>
                <c:pt idx="117">
                  <c:v>0.46276923076923077</c:v>
                </c:pt>
                <c:pt idx="118">
                  <c:v>0.76732358550540369</c:v>
                </c:pt>
                <c:pt idx="119">
                  <c:v>0.46358454718176062</c:v>
                </c:pt>
                <c:pt idx="120">
                  <c:v>0.44536326048434732</c:v>
                </c:pt>
                <c:pt idx="121">
                  <c:v>0.46718576195773082</c:v>
                </c:pt>
                <c:pt idx="122">
                  <c:v>0.34390112842557763</c:v>
                </c:pt>
                <c:pt idx="123">
                  <c:v>0.46642899584076053</c:v>
                </c:pt>
                <c:pt idx="124">
                  <c:v>0.42863574966231427</c:v>
                </c:pt>
                <c:pt idx="125">
                  <c:v>0.54722222222222228</c:v>
                </c:pt>
                <c:pt idx="126">
                  <c:v>0</c:v>
                </c:pt>
                <c:pt idx="127">
                  <c:v>0.3125</c:v>
                </c:pt>
                <c:pt idx="128">
                  <c:v>0.57480946650621745</c:v>
                </c:pt>
                <c:pt idx="129">
                  <c:v>0.43193069306930693</c:v>
                </c:pt>
                <c:pt idx="130">
                  <c:v>0.41674221819280749</c:v>
                </c:pt>
                <c:pt idx="131">
                  <c:v>0.45081266039349871</c:v>
                </c:pt>
                <c:pt idx="132">
                  <c:v>0.67589662447257381</c:v>
                </c:pt>
                <c:pt idx="133">
                  <c:v>0.45277127244340359</c:v>
                </c:pt>
                <c:pt idx="134">
                  <c:v>0.52148337595907923</c:v>
                </c:pt>
                <c:pt idx="135">
                  <c:v>0.56882480957562565</c:v>
                </c:pt>
                <c:pt idx="136">
                  <c:v>0.44638583054092867</c:v>
                </c:pt>
                <c:pt idx="137">
                  <c:v>0.63497081712062253</c:v>
                </c:pt>
                <c:pt idx="138">
                  <c:v>0.39093242087254065</c:v>
                </c:pt>
                <c:pt idx="139">
                  <c:v>0.3919336163643381</c:v>
                </c:pt>
                <c:pt idx="140">
                  <c:v>0.40529575058723039</c:v>
                </c:pt>
                <c:pt idx="141">
                  <c:v>0.4140067592940293</c:v>
                </c:pt>
                <c:pt idx="142">
                  <c:v>0.53291901340066028</c:v>
                </c:pt>
                <c:pt idx="143">
                  <c:v>0.47652366046768552</c:v>
                </c:pt>
                <c:pt idx="144">
                  <c:v>0.82184634840341453</c:v>
                </c:pt>
                <c:pt idx="145">
                  <c:v>0.66835269993164725</c:v>
                </c:pt>
                <c:pt idx="146">
                  <c:v>0.59374306634124696</c:v>
                </c:pt>
                <c:pt idx="147">
                  <c:v>0.49492940942533309</c:v>
                </c:pt>
                <c:pt idx="148">
                  <c:v>0.41819390371284776</c:v>
                </c:pt>
                <c:pt idx="149">
                  <c:v>0.42962774094849565</c:v>
                </c:pt>
                <c:pt idx="150">
                  <c:v>0.49444620755315771</c:v>
                </c:pt>
                <c:pt idx="151">
                  <c:v>0.60365717683788001</c:v>
                </c:pt>
                <c:pt idx="152">
                  <c:v>0.3524982351556985</c:v>
                </c:pt>
                <c:pt idx="153">
                  <c:v>0.26971913320101143</c:v>
                </c:pt>
              </c:numCache>
            </c:numRef>
          </c:xVal>
          <c:yVal>
            <c:numRef>
              <c:f>'Graph Data SBB $ only'!$D$3:$D$156</c:f>
              <c:numCache>
                <c:formatCode>_("$"* #,##0_);_("$"* \(#,##0\);_("$"* "-"??_);_(@_)</c:formatCode>
                <c:ptCount val="154"/>
                <c:pt idx="0">
                  <c:v>21950.166666666668</c:v>
                </c:pt>
                <c:pt idx="1">
                  <c:v>20733.363636363636</c:v>
                </c:pt>
                <c:pt idx="2">
                  <c:v>15420</c:v>
                </c:pt>
                <c:pt idx="3">
                  <c:v>57907.4</c:v>
                </c:pt>
                <c:pt idx="4">
                  <c:v>15469.722222222223</c:v>
                </c:pt>
                <c:pt idx="5">
                  <c:v>7104.6878980891715</c:v>
                </c:pt>
                <c:pt idx="6">
                  <c:v>11880.510204081633</c:v>
                </c:pt>
                <c:pt idx="7">
                  <c:v>5735.0526932084313</c:v>
                </c:pt>
                <c:pt idx="8">
                  <c:v>18803.916666666668</c:v>
                </c:pt>
                <c:pt idx="9">
                  <c:v>6839.7766749379653</c:v>
                </c:pt>
                <c:pt idx="10">
                  <c:v>17730.323943661973</c:v>
                </c:pt>
                <c:pt idx="11">
                  <c:v>5906.8248587570624</c:v>
                </c:pt>
                <c:pt idx="12">
                  <c:v>12540.381818181819</c:v>
                </c:pt>
                <c:pt idx="13">
                  <c:v>12498.518867924528</c:v>
                </c:pt>
                <c:pt idx="14">
                  <c:v>14007.705263157895</c:v>
                </c:pt>
                <c:pt idx="15">
                  <c:v>9234.5822784810134</c:v>
                </c:pt>
                <c:pt idx="16">
                  <c:v>13394.097345132743</c:v>
                </c:pt>
                <c:pt idx="17">
                  <c:v>12129.757575757576</c:v>
                </c:pt>
                <c:pt idx="18">
                  <c:v>13184.121739130434</c:v>
                </c:pt>
                <c:pt idx="19">
                  <c:v>5965.492753623188</c:v>
                </c:pt>
                <c:pt idx="20">
                  <c:v>11250.244604316547</c:v>
                </c:pt>
                <c:pt idx="21">
                  <c:v>10633.792857142857</c:v>
                </c:pt>
                <c:pt idx="22">
                  <c:v>11670.550387596899</c:v>
                </c:pt>
                <c:pt idx="23">
                  <c:v>10533.272727272728</c:v>
                </c:pt>
                <c:pt idx="24">
                  <c:v>10477.772151898735</c:v>
                </c:pt>
                <c:pt idx="25">
                  <c:v>6847.736979166667</c:v>
                </c:pt>
                <c:pt idx="26">
                  <c:v>11525.331081081082</c:v>
                </c:pt>
                <c:pt idx="27">
                  <c:v>7292.3125</c:v>
                </c:pt>
                <c:pt idx="28">
                  <c:v>9523.3878787878784</c:v>
                </c:pt>
                <c:pt idx="29">
                  <c:v>9500.2590361445782</c:v>
                </c:pt>
                <c:pt idx="30">
                  <c:v>8335.7046632124348</c:v>
                </c:pt>
                <c:pt idx="31">
                  <c:v>9028.0093023255813</c:v>
                </c:pt>
                <c:pt idx="32">
                  <c:v>9296.8436018957345</c:v>
                </c:pt>
                <c:pt idx="33">
                  <c:v>8919.8558139534889</c:v>
                </c:pt>
                <c:pt idx="34">
                  <c:v>6291.1275917065386</c:v>
                </c:pt>
                <c:pt idx="35">
                  <c:v>7734.4852320675109</c:v>
                </c:pt>
                <c:pt idx="36">
                  <c:v>8649.5877192982462</c:v>
                </c:pt>
                <c:pt idx="37">
                  <c:v>5648.673913043478</c:v>
                </c:pt>
                <c:pt idx="38">
                  <c:v>0</c:v>
                </c:pt>
                <c:pt idx="39">
                  <c:v>7399.6705426356593</c:v>
                </c:pt>
                <c:pt idx="40">
                  <c:v>8831.6859903381646</c:v>
                </c:pt>
                <c:pt idx="41">
                  <c:v>7134.850253807107</c:v>
                </c:pt>
                <c:pt idx="42">
                  <c:v>5326.8032036613276</c:v>
                </c:pt>
                <c:pt idx="43">
                  <c:v>7702.470817120623</c:v>
                </c:pt>
                <c:pt idx="44">
                  <c:v>6025.0887198986056</c:v>
                </c:pt>
                <c:pt idx="45">
                  <c:v>0</c:v>
                </c:pt>
                <c:pt idx="46">
                  <c:v>0</c:v>
                </c:pt>
                <c:pt idx="47">
                  <c:v>10899.092857142858</c:v>
                </c:pt>
                <c:pt idx="48">
                  <c:v>8662.3083333333325</c:v>
                </c:pt>
                <c:pt idx="49">
                  <c:v>6291.9120000000003</c:v>
                </c:pt>
                <c:pt idx="50">
                  <c:v>7939.9041095890407</c:v>
                </c:pt>
                <c:pt idx="51">
                  <c:v>0</c:v>
                </c:pt>
                <c:pt idx="52">
                  <c:v>7153.3740458015263</c:v>
                </c:pt>
                <c:pt idx="53">
                  <c:v>4807.1138828633402</c:v>
                </c:pt>
                <c:pt idx="54">
                  <c:v>8147.1142857142859</c:v>
                </c:pt>
                <c:pt idx="55">
                  <c:v>5912.2050078247257</c:v>
                </c:pt>
                <c:pt idx="56">
                  <c:v>7710.021352313167</c:v>
                </c:pt>
                <c:pt idx="57">
                  <c:v>5105.1322115384619</c:v>
                </c:pt>
                <c:pt idx="58">
                  <c:v>4755.9910913140311</c:v>
                </c:pt>
                <c:pt idx="59">
                  <c:v>8061.8859934853417</c:v>
                </c:pt>
                <c:pt idx="60">
                  <c:v>7972.1467576791811</c:v>
                </c:pt>
                <c:pt idx="61">
                  <c:v>6932.4487951807232</c:v>
                </c:pt>
                <c:pt idx="62">
                  <c:v>7167.1973094170407</c:v>
                </c:pt>
                <c:pt idx="63">
                  <c:v>7417.4719999999998</c:v>
                </c:pt>
                <c:pt idx="64">
                  <c:v>8255.7665782493368</c:v>
                </c:pt>
                <c:pt idx="65">
                  <c:v>6302.1065573770493</c:v>
                </c:pt>
                <c:pt idx="66">
                  <c:v>7750.2253521126759</c:v>
                </c:pt>
                <c:pt idx="67">
                  <c:v>0</c:v>
                </c:pt>
                <c:pt idx="68">
                  <c:v>6863.5691906005222</c:v>
                </c:pt>
                <c:pt idx="69">
                  <c:v>0</c:v>
                </c:pt>
                <c:pt idx="70">
                  <c:v>7010.4005167958658</c:v>
                </c:pt>
                <c:pt idx="71">
                  <c:v>7628.0841836734689</c:v>
                </c:pt>
                <c:pt idx="72">
                  <c:v>7065.8255528255531</c:v>
                </c:pt>
                <c:pt idx="73">
                  <c:v>6913.005037783375</c:v>
                </c:pt>
                <c:pt idx="74">
                  <c:v>7376.0881720430107</c:v>
                </c:pt>
                <c:pt idx="75">
                  <c:v>6056.1872146118722</c:v>
                </c:pt>
                <c:pt idx="76">
                  <c:v>7381.3052884615381</c:v>
                </c:pt>
                <c:pt idx="77">
                  <c:v>6600.5374149659865</c:v>
                </c:pt>
                <c:pt idx="78">
                  <c:v>7226.6258351893093</c:v>
                </c:pt>
                <c:pt idx="79">
                  <c:v>6935.1768558951962</c:v>
                </c:pt>
                <c:pt idx="80">
                  <c:v>7169.6906779661012</c:v>
                </c:pt>
                <c:pt idx="81">
                  <c:v>6856.8345323741005</c:v>
                </c:pt>
                <c:pt idx="82">
                  <c:v>6179.1092150170653</c:v>
                </c:pt>
                <c:pt idx="83">
                  <c:v>6925.6098807495737</c:v>
                </c:pt>
                <c:pt idx="84">
                  <c:v>5106.1802674043338</c:v>
                </c:pt>
                <c:pt idx="85">
                  <c:v>0</c:v>
                </c:pt>
                <c:pt idx="86">
                  <c:v>7100.8278931750738</c:v>
                </c:pt>
                <c:pt idx="87">
                  <c:v>6609.5377777777776</c:v>
                </c:pt>
                <c:pt idx="88">
                  <c:v>5695.4425162689804</c:v>
                </c:pt>
                <c:pt idx="89">
                  <c:v>5740.6537467700255</c:v>
                </c:pt>
                <c:pt idx="90">
                  <c:v>6599.3187969924811</c:v>
                </c:pt>
                <c:pt idx="91">
                  <c:v>6390.5517751479292</c:v>
                </c:pt>
                <c:pt idx="92">
                  <c:v>6811.7935578330889</c:v>
                </c:pt>
                <c:pt idx="93">
                  <c:v>6306.1610389610387</c:v>
                </c:pt>
                <c:pt idx="94">
                  <c:v>6399.2971887550202</c:v>
                </c:pt>
                <c:pt idx="95">
                  <c:v>6040.3269754768389</c:v>
                </c:pt>
                <c:pt idx="96">
                  <c:v>5988.2157622739014</c:v>
                </c:pt>
                <c:pt idx="97">
                  <c:v>5927.1212500000001</c:v>
                </c:pt>
                <c:pt idx="98">
                  <c:v>6517.6405693950182</c:v>
                </c:pt>
                <c:pt idx="99">
                  <c:v>6389.7621744054359</c:v>
                </c:pt>
                <c:pt idx="100">
                  <c:v>0</c:v>
                </c:pt>
                <c:pt idx="101">
                  <c:v>6064.0423728813557</c:v>
                </c:pt>
                <c:pt idx="102">
                  <c:v>6222.62951496388</c:v>
                </c:pt>
                <c:pt idx="103">
                  <c:v>6243.4522292993634</c:v>
                </c:pt>
                <c:pt idx="104">
                  <c:v>7731.6989351403681</c:v>
                </c:pt>
                <c:pt idx="105">
                  <c:v>6294.3838383838383</c:v>
                </c:pt>
                <c:pt idx="106">
                  <c:v>6095.9105367793245</c:v>
                </c:pt>
                <c:pt idx="107">
                  <c:v>5959.7809798270891</c:v>
                </c:pt>
                <c:pt idx="108">
                  <c:v>6153.0099700897308</c:v>
                </c:pt>
                <c:pt idx="109">
                  <c:v>6697.7443744374441</c:v>
                </c:pt>
                <c:pt idx="110">
                  <c:v>5574.1235452103847</c:v>
                </c:pt>
                <c:pt idx="111">
                  <c:v>5778.2738095238092</c:v>
                </c:pt>
                <c:pt idx="112">
                  <c:v>6091.2372013651875</c:v>
                </c:pt>
                <c:pt idx="113">
                  <c:v>5934.583687340697</c:v>
                </c:pt>
                <c:pt idx="114">
                  <c:v>5852.8952599388376</c:v>
                </c:pt>
                <c:pt idx="115">
                  <c:v>5894.3934669636228</c:v>
                </c:pt>
                <c:pt idx="116">
                  <c:v>5746.5829817158929</c:v>
                </c:pt>
                <c:pt idx="117">
                  <c:v>5857.2862876254185</c:v>
                </c:pt>
                <c:pt idx="118">
                  <c:v>6059.5580551523944</c:v>
                </c:pt>
                <c:pt idx="119">
                  <c:v>5850.684715558602</c:v>
                </c:pt>
                <c:pt idx="120">
                  <c:v>6032.2332474226805</c:v>
                </c:pt>
                <c:pt idx="121">
                  <c:v>5492.7501538461538</c:v>
                </c:pt>
                <c:pt idx="122">
                  <c:v>5721.9206060606057</c:v>
                </c:pt>
                <c:pt idx="123">
                  <c:v>5680.4961832061072</c:v>
                </c:pt>
                <c:pt idx="124">
                  <c:v>5467.6786064769385</c:v>
                </c:pt>
                <c:pt idx="125">
                  <c:v>5906.737844611529</c:v>
                </c:pt>
                <c:pt idx="126">
                  <c:v>0</c:v>
                </c:pt>
                <c:pt idx="127">
                  <c:v>5449.8152077807254</c:v>
                </c:pt>
                <c:pt idx="128">
                  <c:v>6414.9909090909086</c:v>
                </c:pt>
                <c:pt idx="129">
                  <c:v>5440.0515039142974</c:v>
                </c:pt>
                <c:pt idx="130">
                  <c:v>5502.0540275049116</c:v>
                </c:pt>
                <c:pt idx="131">
                  <c:v>5738.377572323293</c:v>
                </c:pt>
                <c:pt idx="132">
                  <c:v>5717.0998577524897</c:v>
                </c:pt>
                <c:pt idx="133">
                  <c:v>5853.0761351052051</c:v>
                </c:pt>
                <c:pt idx="134">
                  <c:v>5499.0002880184329</c:v>
                </c:pt>
                <c:pt idx="135">
                  <c:v>5647.7938657087598</c:v>
                </c:pt>
                <c:pt idx="136">
                  <c:v>5449.7569497577151</c:v>
                </c:pt>
                <c:pt idx="137">
                  <c:v>5990.7637556789505</c:v>
                </c:pt>
                <c:pt idx="138">
                  <c:v>5434.6756818702725</c:v>
                </c:pt>
                <c:pt idx="139">
                  <c:v>5305.0095218381284</c:v>
                </c:pt>
                <c:pt idx="140">
                  <c:v>5228.584867075665</c:v>
                </c:pt>
                <c:pt idx="141">
                  <c:v>5441.6023095623987</c:v>
                </c:pt>
                <c:pt idx="142">
                  <c:v>6105.8714867617109</c:v>
                </c:pt>
                <c:pt idx="143">
                  <c:v>5423.7540858988978</c:v>
                </c:pt>
                <c:pt idx="144">
                  <c:v>5568.3312335958008</c:v>
                </c:pt>
                <c:pt idx="145">
                  <c:v>5628.8908023982649</c:v>
                </c:pt>
                <c:pt idx="146">
                  <c:v>5658.8205875212434</c:v>
                </c:pt>
                <c:pt idx="147">
                  <c:v>5379.9733403582723</c:v>
                </c:pt>
                <c:pt idx="148">
                  <c:v>5131.7222053000305</c:v>
                </c:pt>
                <c:pt idx="149">
                  <c:v>5471.4335973475781</c:v>
                </c:pt>
                <c:pt idx="150">
                  <c:v>5211.8870235546037</c:v>
                </c:pt>
                <c:pt idx="151">
                  <c:v>5650.2778741414004</c:v>
                </c:pt>
                <c:pt idx="152">
                  <c:v>5423.7372307946198</c:v>
                </c:pt>
                <c:pt idx="153">
                  <c:v>5431.1702328778892</c:v>
                </c:pt>
              </c:numCache>
            </c:numRef>
          </c:yVal>
          <c:smooth val="0"/>
          <c:extLst>
            <c:ext xmlns:c16="http://schemas.microsoft.com/office/drawing/2014/chart" uri="{C3380CC4-5D6E-409C-BE32-E72D297353CC}">
              <c16:uniqueId val="{00000003-FD48-4FEE-B3A2-CA518B99FEF2}"/>
            </c:ext>
          </c:extLst>
        </c:ser>
        <c:ser>
          <c:idx val="1"/>
          <c:order val="1"/>
          <c:tx>
            <c:v>Per Pupil under WSF</c:v>
          </c:tx>
          <c:spPr>
            <a:ln w="25400" cap="rnd">
              <a:noFill/>
              <a:round/>
            </a:ln>
            <a:effectLst/>
          </c:spPr>
          <c:marker>
            <c:symbol val="circle"/>
            <c:size val="5"/>
            <c:spPr>
              <a:solidFill>
                <a:schemeClr val="accent2"/>
              </a:solidFill>
              <a:ln w="9525">
                <a:solidFill>
                  <a:schemeClr val="accent2"/>
                </a:solidFill>
              </a:ln>
              <a:effectLst/>
            </c:spPr>
          </c:marker>
          <c:xVal>
            <c:numRef>
              <c:f>'Graph Data SBB $ only'!$C$3:$C$156</c:f>
              <c:numCache>
                <c:formatCode>0%</c:formatCode>
                <c:ptCount val="154"/>
                <c:pt idx="0">
                  <c:v>0</c:v>
                </c:pt>
                <c:pt idx="1">
                  <c:v>0</c:v>
                </c:pt>
                <c:pt idx="2">
                  <c:v>0</c:v>
                </c:pt>
                <c:pt idx="3">
                  <c:v>0</c:v>
                </c:pt>
                <c:pt idx="4">
                  <c:v>0</c:v>
                </c:pt>
                <c:pt idx="5">
                  <c:v>0.9101123595505618</c:v>
                </c:pt>
                <c:pt idx="6">
                  <c:v>0.55102040816326525</c:v>
                </c:pt>
                <c:pt idx="7">
                  <c:v>0.17647058823529413</c:v>
                </c:pt>
                <c:pt idx="8">
                  <c:v>0.64</c:v>
                </c:pt>
                <c:pt idx="9">
                  <c:v>0.56399999999999995</c:v>
                </c:pt>
                <c:pt idx="10">
                  <c:v>0.59340659340659341</c:v>
                </c:pt>
                <c:pt idx="11">
                  <c:v>0.54450261780104714</c:v>
                </c:pt>
                <c:pt idx="12">
                  <c:v>0.50420168067226889</c:v>
                </c:pt>
                <c:pt idx="13">
                  <c:v>0.60431654676258995</c:v>
                </c:pt>
                <c:pt idx="14">
                  <c:v>0.45794392523364486</c:v>
                </c:pt>
                <c:pt idx="15">
                  <c:v>0.90476190476190477</c:v>
                </c:pt>
                <c:pt idx="16">
                  <c:v>0.6097560975609756</c:v>
                </c:pt>
                <c:pt idx="17">
                  <c:v>0.47651006711409394</c:v>
                </c:pt>
                <c:pt idx="18">
                  <c:v>0.81967213114754101</c:v>
                </c:pt>
                <c:pt idx="19">
                  <c:v>0.38305084745762713</c:v>
                </c:pt>
                <c:pt idx="20">
                  <c:v>0.76100628930817615</c:v>
                </c:pt>
                <c:pt idx="21">
                  <c:v>0.65189873417721522</c:v>
                </c:pt>
                <c:pt idx="22">
                  <c:v>0.40799999999999997</c:v>
                </c:pt>
                <c:pt idx="23">
                  <c:v>0.5</c:v>
                </c:pt>
                <c:pt idx="24">
                  <c:v>0.5</c:v>
                </c:pt>
                <c:pt idx="25">
                  <c:v>0.4375</c:v>
                </c:pt>
                <c:pt idx="26">
                  <c:v>0.52439024390243905</c:v>
                </c:pt>
                <c:pt idx="27">
                  <c:v>0</c:v>
                </c:pt>
                <c:pt idx="28">
                  <c:v>0</c:v>
                </c:pt>
                <c:pt idx="29">
                  <c:v>0.41025641025641024</c:v>
                </c:pt>
                <c:pt idx="30">
                  <c:v>0.49624060150375937</c:v>
                </c:pt>
                <c:pt idx="31">
                  <c:v>0.50622406639004147</c:v>
                </c:pt>
                <c:pt idx="32">
                  <c:v>0.44019138755980863</c:v>
                </c:pt>
                <c:pt idx="33">
                  <c:v>0.70940170940170943</c:v>
                </c:pt>
                <c:pt idx="34">
                  <c:v>0.42899850523168909</c:v>
                </c:pt>
                <c:pt idx="35">
                  <c:v>0.54085603112840464</c:v>
                </c:pt>
                <c:pt idx="36">
                  <c:v>0.42016806722689076</c:v>
                </c:pt>
                <c:pt idx="37">
                  <c:v>0.14613180515759314</c:v>
                </c:pt>
                <c:pt idx="38">
                  <c:v>0</c:v>
                </c:pt>
                <c:pt idx="39">
                  <c:v>0.75163398692810457</c:v>
                </c:pt>
                <c:pt idx="40">
                  <c:v>0.66816143497757852</c:v>
                </c:pt>
                <c:pt idx="41">
                  <c:v>0.35971223021582732</c:v>
                </c:pt>
                <c:pt idx="42">
                  <c:v>0.36680327868852458</c:v>
                </c:pt>
                <c:pt idx="43">
                  <c:v>0.6</c:v>
                </c:pt>
                <c:pt idx="44">
                  <c:v>0</c:v>
                </c:pt>
                <c:pt idx="45">
                  <c:v>0</c:v>
                </c:pt>
                <c:pt idx="46">
                  <c:v>0</c:v>
                </c:pt>
                <c:pt idx="47">
                  <c:v>0.64</c:v>
                </c:pt>
                <c:pt idx="48">
                  <c:v>0.35546875</c:v>
                </c:pt>
                <c:pt idx="49">
                  <c:v>0.22222222222222221</c:v>
                </c:pt>
                <c:pt idx="50">
                  <c:v>0.21069182389937108</c:v>
                </c:pt>
                <c:pt idx="51">
                  <c:v>0</c:v>
                </c:pt>
                <c:pt idx="52">
                  <c:v>0.38695652173913042</c:v>
                </c:pt>
                <c:pt idx="53">
                  <c:v>0.52716143840856922</c:v>
                </c:pt>
                <c:pt idx="54">
                  <c:v>0.65346534653465349</c:v>
                </c:pt>
                <c:pt idx="55">
                  <c:v>0.28235294117647058</c:v>
                </c:pt>
                <c:pt idx="56">
                  <c:v>0.78333333333333333</c:v>
                </c:pt>
                <c:pt idx="57">
                  <c:v>0.48063380281690143</c:v>
                </c:pt>
                <c:pt idx="58">
                  <c:v>0.46889952153110048</c:v>
                </c:pt>
                <c:pt idx="59">
                  <c:v>0.71084337349397586</c:v>
                </c:pt>
                <c:pt idx="60">
                  <c:v>0.67791411042944782</c:v>
                </c:pt>
                <c:pt idx="61">
                  <c:v>0.45454545454545453</c:v>
                </c:pt>
                <c:pt idx="62">
                  <c:v>0.5761316872427984</c:v>
                </c:pt>
                <c:pt idx="63">
                  <c:v>0.67007672634271098</c:v>
                </c:pt>
                <c:pt idx="64">
                  <c:v>0.38141809290953543</c:v>
                </c:pt>
                <c:pt idx="65">
                  <c:v>0</c:v>
                </c:pt>
                <c:pt idx="66">
                  <c:v>0.38095238095238093</c:v>
                </c:pt>
                <c:pt idx="67">
                  <c:v>0</c:v>
                </c:pt>
                <c:pt idx="68">
                  <c:v>0.36138613861386137</c:v>
                </c:pt>
                <c:pt idx="69">
                  <c:v>0</c:v>
                </c:pt>
                <c:pt idx="70">
                  <c:v>0.67441860465116277</c:v>
                </c:pt>
                <c:pt idx="71">
                  <c:v>0.46186440677966101</c:v>
                </c:pt>
                <c:pt idx="72">
                  <c:v>0</c:v>
                </c:pt>
                <c:pt idx="73">
                  <c:v>0.93548387096774188</c:v>
                </c:pt>
                <c:pt idx="74">
                  <c:v>0.47544204322200395</c:v>
                </c:pt>
                <c:pt idx="75">
                  <c:v>0.35080645161290325</c:v>
                </c:pt>
                <c:pt idx="76">
                  <c:v>0.43973214285714285</c:v>
                </c:pt>
                <c:pt idx="77">
                  <c:v>0.30857142857142855</c:v>
                </c:pt>
                <c:pt idx="78">
                  <c:v>0.8899253731343284</c:v>
                </c:pt>
                <c:pt idx="79">
                  <c:v>0.50819672131147542</c:v>
                </c:pt>
                <c:pt idx="80">
                  <c:v>0.6987951807228916</c:v>
                </c:pt>
                <c:pt idx="81">
                  <c:v>0.60273972602739723</c:v>
                </c:pt>
                <c:pt idx="82">
                  <c:v>0.47807017543859648</c:v>
                </c:pt>
                <c:pt idx="83">
                  <c:v>0.5088282504012841</c:v>
                </c:pt>
                <c:pt idx="84">
                  <c:v>0.53649105848235867</c:v>
                </c:pt>
                <c:pt idx="85">
                  <c:v>0</c:v>
                </c:pt>
                <c:pt idx="86">
                  <c:v>0</c:v>
                </c:pt>
                <c:pt idx="87">
                  <c:v>0.47520661157024796</c:v>
                </c:pt>
                <c:pt idx="88">
                  <c:v>0.71296296296296291</c:v>
                </c:pt>
                <c:pt idx="89">
                  <c:v>0</c:v>
                </c:pt>
                <c:pt idx="90">
                  <c:v>0.70292887029288698</c:v>
                </c:pt>
                <c:pt idx="91">
                  <c:v>0.55466666666666664</c:v>
                </c:pt>
                <c:pt idx="92">
                  <c:v>0.62875816993464051</c:v>
                </c:pt>
                <c:pt idx="93">
                  <c:v>0.34972677595628415</c:v>
                </c:pt>
                <c:pt idx="94">
                  <c:v>0.50686641697877655</c:v>
                </c:pt>
                <c:pt idx="95">
                  <c:v>0.30804597701149428</c:v>
                </c:pt>
                <c:pt idx="96">
                  <c:v>0.66383495145631066</c:v>
                </c:pt>
                <c:pt idx="97">
                  <c:v>0.46754675467546752</c:v>
                </c:pt>
                <c:pt idx="98">
                  <c:v>0.50708833151581245</c:v>
                </c:pt>
                <c:pt idx="99">
                  <c:v>0.46262626262626261</c:v>
                </c:pt>
                <c:pt idx="100">
                  <c:v>0</c:v>
                </c:pt>
                <c:pt idx="101">
                  <c:v>0.2857142857142857</c:v>
                </c:pt>
                <c:pt idx="102">
                  <c:v>0.33653846153846156</c:v>
                </c:pt>
                <c:pt idx="103">
                  <c:v>0.69078014184397163</c:v>
                </c:pt>
                <c:pt idx="104">
                  <c:v>0.57473684210526321</c:v>
                </c:pt>
                <c:pt idx="105">
                  <c:v>0.46146872166817771</c:v>
                </c:pt>
                <c:pt idx="106">
                  <c:v>0.5542056074766355</c:v>
                </c:pt>
                <c:pt idx="107">
                  <c:v>0.77683854606931535</c:v>
                </c:pt>
                <c:pt idx="108">
                  <c:v>0.49909420289855072</c:v>
                </c:pt>
                <c:pt idx="109">
                  <c:v>0.51584786053882725</c:v>
                </c:pt>
                <c:pt idx="110">
                  <c:v>0.60843881856540083</c:v>
                </c:pt>
                <c:pt idx="111">
                  <c:v>0.66640502354788067</c:v>
                </c:pt>
                <c:pt idx="112">
                  <c:v>0.67711598746081503</c:v>
                </c:pt>
                <c:pt idx="113">
                  <c:v>0.48328025477707004</c:v>
                </c:pt>
                <c:pt idx="114">
                  <c:v>0.56206896551724139</c:v>
                </c:pt>
                <c:pt idx="115">
                  <c:v>0.68577348066298338</c:v>
                </c:pt>
                <c:pt idx="116">
                  <c:v>0.59727385377942999</c:v>
                </c:pt>
                <c:pt idx="117">
                  <c:v>0.46276923076923077</c:v>
                </c:pt>
                <c:pt idx="118">
                  <c:v>0.76732358550540369</c:v>
                </c:pt>
                <c:pt idx="119">
                  <c:v>0.46358454718176062</c:v>
                </c:pt>
                <c:pt idx="120">
                  <c:v>0.44536326048434732</c:v>
                </c:pt>
                <c:pt idx="121">
                  <c:v>0.46718576195773082</c:v>
                </c:pt>
                <c:pt idx="122">
                  <c:v>0.34390112842557763</c:v>
                </c:pt>
                <c:pt idx="123">
                  <c:v>0.46642899584076053</c:v>
                </c:pt>
                <c:pt idx="124">
                  <c:v>0.42863574966231427</c:v>
                </c:pt>
                <c:pt idx="125">
                  <c:v>0.54722222222222228</c:v>
                </c:pt>
                <c:pt idx="126">
                  <c:v>0</c:v>
                </c:pt>
                <c:pt idx="127">
                  <c:v>0.3125</c:v>
                </c:pt>
                <c:pt idx="128">
                  <c:v>0.57480946650621745</c:v>
                </c:pt>
                <c:pt idx="129">
                  <c:v>0.43193069306930693</c:v>
                </c:pt>
                <c:pt idx="130">
                  <c:v>0.41674221819280749</c:v>
                </c:pt>
                <c:pt idx="131">
                  <c:v>0.45081266039349871</c:v>
                </c:pt>
                <c:pt idx="132">
                  <c:v>0.67589662447257381</c:v>
                </c:pt>
                <c:pt idx="133">
                  <c:v>0.45277127244340359</c:v>
                </c:pt>
                <c:pt idx="134">
                  <c:v>0.52148337595907923</c:v>
                </c:pt>
                <c:pt idx="135">
                  <c:v>0.56882480957562565</c:v>
                </c:pt>
                <c:pt idx="136">
                  <c:v>0.44638583054092867</c:v>
                </c:pt>
                <c:pt idx="137">
                  <c:v>0.63497081712062253</c:v>
                </c:pt>
                <c:pt idx="138">
                  <c:v>0.39093242087254065</c:v>
                </c:pt>
                <c:pt idx="139">
                  <c:v>0.3919336163643381</c:v>
                </c:pt>
                <c:pt idx="140">
                  <c:v>0.40529575058723039</c:v>
                </c:pt>
                <c:pt idx="141">
                  <c:v>0.4140067592940293</c:v>
                </c:pt>
                <c:pt idx="142">
                  <c:v>0.53291901340066028</c:v>
                </c:pt>
                <c:pt idx="143">
                  <c:v>0.47652366046768552</c:v>
                </c:pt>
                <c:pt idx="144">
                  <c:v>0.82184634840341453</c:v>
                </c:pt>
                <c:pt idx="145">
                  <c:v>0.66835269993164725</c:v>
                </c:pt>
                <c:pt idx="146">
                  <c:v>0.59374306634124696</c:v>
                </c:pt>
                <c:pt idx="147">
                  <c:v>0.49492940942533309</c:v>
                </c:pt>
                <c:pt idx="148">
                  <c:v>0.41819390371284776</c:v>
                </c:pt>
                <c:pt idx="149">
                  <c:v>0.42962774094849565</c:v>
                </c:pt>
                <c:pt idx="150">
                  <c:v>0.49444620755315771</c:v>
                </c:pt>
                <c:pt idx="151">
                  <c:v>0.60365717683788001</c:v>
                </c:pt>
                <c:pt idx="152">
                  <c:v>0.3524982351556985</c:v>
                </c:pt>
                <c:pt idx="153">
                  <c:v>0.26971913320101143</c:v>
                </c:pt>
              </c:numCache>
            </c:numRef>
          </c:xVal>
          <c:yVal>
            <c:numRef>
              <c:f>'Graph Data SBB $ only'!$J$3:$J$156</c:f>
              <c:numCache>
                <c:formatCode>_("$"* #,##0_);_("$"* \(#,##0\);_("$"* "-"??_);_(@_)</c:formatCode>
                <c:ptCount val="154"/>
                <c:pt idx="0">
                  <c:v>5526</c:v>
                </c:pt>
                <c:pt idx="1">
                  <c:v>5777.181818181818</c:v>
                </c:pt>
                <c:pt idx="2">
                  <c:v>6140</c:v>
                </c:pt>
                <c:pt idx="3">
                  <c:v>6078.6</c:v>
                </c:pt>
                <c:pt idx="4">
                  <c:v>5526</c:v>
                </c:pt>
                <c:pt idx="5">
                  <c:v>5877.9745222929932</c:v>
                </c:pt>
                <c:pt idx="6">
                  <c:v>5582.3877551020405</c:v>
                </c:pt>
                <c:pt idx="7">
                  <c:v>5739.5339578454332</c:v>
                </c:pt>
                <c:pt idx="8">
                  <c:v>5756.25</c:v>
                </c:pt>
                <c:pt idx="9">
                  <c:v>5553.4243176178661</c:v>
                </c:pt>
                <c:pt idx="10">
                  <c:v>5642.7464788732395</c:v>
                </c:pt>
                <c:pt idx="11">
                  <c:v>5963.0847457627115</c:v>
                </c:pt>
                <c:pt idx="12">
                  <c:v>5777.181818181818</c:v>
                </c:pt>
                <c:pt idx="13">
                  <c:v>5708.4622641509432</c:v>
                </c:pt>
                <c:pt idx="14">
                  <c:v>5729.5894736842101</c:v>
                </c:pt>
                <c:pt idx="15">
                  <c:v>6120.5696202531644</c:v>
                </c:pt>
                <c:pt idx="16">
                  <c:v>5648.2566371681414</c:v>
                </c:pt>
                <c:pt idx="17">
                  <c:v>5819.045454545455</c:v>
                </c:pt>
                <c:pt idx="18">
                  <c:v>5838.3391304347824</c:v>
                </c:pt>
                <c:pt idx="19">
                  <c:v>5766.260869565217</c:v>
                </c:pt>
                <c:pt idx="20">
                  <c:v>5744.6546762589924</c:v>
                </c:pt>
                <c:pt idx="21">
                  <c:v>5703.6214285714286</c:v>
                </c:pt>
                <c:pt idx="22">
                  <c:v>5675.9302325581393</c:v>
                </c:pt>
                <c:pt idx="23">
                  <c:v>5699.8951048951049</c:v>
                </c:pt>
                <c:pt idx="24">
                  <c:v>5700.8734177215192</c:v>
                </c:pt>
                <c:pt idx="25">
                  <c:v>5741.859375</c:v>
                </c:pt>
                <c:pt idx="26">
                  <c:v>5768.6959459459458</c:v>
                </c:pt>
                <c:pt idx="27">
                  <c:v>5526</c:v>
                </c:pt>
                <c:pt idx="28">
                  <c:v>5710.2</c:v>
                </c:pt>
                <c:pt idx="29">
                  <c:v>5825.6024096385545</c:v>
                </c:pt>
                <c:pt idx="30">
                  <c:v>5726.4248704663214</c:v>
                </c:pt>
                <c:pt idx="31">
                  <c:v>5731.618604651163</c:v>
                </c:pt>
                <c:pt idx="32">
                  <c:v>5709.327014218009</c:v>
                </c:pt>
                <c:pt idx="33">
                  <c:v>5718.7674418604647</c:v>
                </c:pt>
                <c:pt idx="34">
                  <c:v>5715.4880382775118</c:v>
                </c:pt>
                <c:pt idx="35">
                  <c:v>5712.5316455696202</c:v>
                </c:pt>
                <c:pt idx="36">
                  <c:v>5828.9605263157891</c:v>
                </c:pt>
                <c:pt idx="37">
                  <c:v>6006.521739130435</c:v>
                </c:pt>
                <c:pt idx="38">
                  <c:v>0</c:v>
                </c:pt>
                <c:pt idx="39">
                  <c:v>5793.7325581395353</c:v>
                </c:pt>
                <c:pt idx="40">
                  <c:v>5806.304347826087</c:v>
                </c:pt>
                <c:pt idx="41">
                  <c:v>5694.3045685279185</c:v>
                </c:pt>
                <c:pt idx="42">
                  <c:v>5829.4874141876426</c:v>
                </c:pt>
                <c:pt idx="43">
                  <c:v>5687.264591439689</c:v>
                </c:pt>
                <c:pt idx="44">
                  <c:v>5774.6349809885933</c:v>
                </c:pt>
                <c:pt idx="45">
                  <c:v>0</c:v>
                </c:pt>
                <c:pt idx="46">
                  <c:v>0</c:v>
                </c:pt>
                <c:pt idx="47">
                  <c:v>5713.4892857142859</c:v>
                </c:pt>
                <c:pt idx="48">
                  <c:v>5721.7124999999996</c:v>
                </c:pt>
                <c:pt idx="49">
                  <c:v>5791.2479999999996</c:v>
                </c:pt>
                <c:pt idx="50">
                  <c:v>5772.0205479452052</c:v>
                </c:pt>
                <c:pt idx="51">
                  <c:v>0</c:v>
                </c:pt>
                <c:pt idx="52">
                  <c:v>5526</c:v>
                </c:pt>
                <c:pt idx="53">
                  <c:v>5630.8861171366598</c:v>
                </c:pt>
                <c:pt idx="54">
                  <c:v>5841.7714285714283</c:v>
                </c:pt>
                <c:pt idx="55">
                  <c:v>5729.2253521126759</c:v>
                </c:pt>
                <c:pt idx="56">
                  <c:v>5850.4804270462637</c:v>
                </c:pt>
                <c:pt idx="57">
                  <c:v>6090.5552884615381</c:v>
                </c:pt>
                <c:pt idx="58">
                  <c:v>5526</c:v>
                </c:pt>
                <c:pt idx="59">
                  <c:v>5841</c:v>
                </c:pt>
                <c:pt idx="60">
                  <c:v>5874.9112627986351</c:v>
                </c:pt>
                <c:pt idx="61">
                  <c:v>5659.1566265060237</c:v>
                </c:pt>
                <c:pt idx="62">
                  <c:v>5823.3632286995517</c:v>
                </c:pt>
                <c:pt idx="63">
                  <c:v>5724.9359999999997</c:v>
                </c:pt>
                <c:pt idx="64">
                  <c:v>5731.2095490716183</c:v>
                </c:pt>
                <c:pt idx="65">
                  <c:v>5526</c:v>
                </c:pt>
                <c:pt idx="66">
                  <c:v>5650.5295774647884</c:v>
                </c:pt>
                <c:pt idx="67">
                  <c:v>0</c:v>
                </c:pt>
                <c:pt idx="68">
                  <c:v>5699.1383812010445</c:v>
                </c:pt>
                <c:pt idx="69">
                  <c:v>0</c:v>
                </c:pt>
                <c:pt idx="70">
                  <c:v>5697.3488372093025</c:v>
                </c:pt>
                <c:pt idx="71">
                  <c:v>5779.7448979591836</c:v>
                </c:pt>
                <c:pt idx="72">
                  <c:v>5817.9140049140051</c:v>
                </c:pt>
                <c:pt idx="73">
                  <c:v>5748.7103274559195</c:v>
                </c:pt>
                <c:pt idx="74">
                  <c:v>5823.0967741935483</c:v>
                </c:pt>
                <c:pt idx="75">
                  <c:v>5828.7945205479455</c:v>
                </c:pt>
                <c:pt idx="76">
                  <c:v>5791.6730769230771</c:v>
                </c:pt>
                <c:pt idx="77">
                  <c:v>5920.7142857142853</c:v>
                </c:pt>
                <c:pt idx="78">
                  <c:v>5759.8396436525609</c:v>
                </c:pt>
                <c:pt idx="79">
                  <c:v>5694.9170305676853</c:v>
                </c:pt>
                <c:pt idx="80">
                  <c:v>5783.5677966101694</c:v>
                </c:pt>
                <c:pt idx="81">
                  <c:v>5714.8381294964029</c:v>
                </c:pt>
                <c:pt idx="82">
                  <c:v>5775.8959044368603</c:v>
                </c:pt>
                <c:pt idx="83">
                  <c:v>5695.4514480408861</c:v>
                </c:pt>
                <c:pt idx="84">
                  <c:v>5673.767634854772</c:v>
                </c:pt>
                <c:pt idx="85">
                  <c:v>0</c:v>
                </c:pt>
                <c:pt idx="86">
                  <c:v>5526</c:v>
                </c:pt>
                <c:pt idx="87">
                  <c:v>5648.8</c:v>
                </c:pt>
                <c:pt idx="88">
                  <c:v>5885.609544468547</c:v>
                </c:pt>
                <c:pt idx="89">
                  <c:v>5861.5581395348836</c:v>
                </c:pt>
                <c:pt idx="90">
                  <c:v>5783.6030075187973</c:v>
                </c:pt>
                <c:pt idx="91">
                  <c:v>5787.5857988165681</c:v>
                </c:pt>
                <c:pt idx="92">
                  <c:v>5776.8140556368962</c:v>
                </c:pt>
                <c:pt idx="93">
                  <c:v>5755.6519480519482</c:v>
                </c:pt>
                <c:pt idx="94">
                  <c:v>5710.939759036145</c:v>
                </c:pt>
                <c:pt idx="95">
                  <c:v>6045.4741144414165</c:v>
                </c:pt>
                <c:pt idx="96">
                  <c:v>5722.3372093023254</c:v>
                </c:pt>
                <c:pt idx="97">
                  <c:v>5781.5775000000003</c:v>
                </c:pt>
                <c:pt idx="98">
                  <c:v>5758.7081850533805</c:v>
                </c:pt>
                <c:pt idx="99">
                  <c:v>5741.9082672706681</c:v>
                </c:pt>
                <c:pt idx="100">
                  <c:v>0</c:v>
                </c:pt>
                <c:pt idx="101">
                  <c:v>5806.9830508474579</c:v>
                </c:pt>
                <c:pt idx="102">
                  <c:v>5725.5975232198143</c:v>
                </c:pt>
                <c:pt idx="103">
                  <c:v>5766.5159235668789</c:v>
                </c:pt>
                <c:pt idx="104">
                  <c:v>5718.5808325266216</c:v>
                </c:pt>
                <c:pt idx="105">
                  <c:v>5819.045454545455</c:v>
                </c:pt>
                <c:pt idx="106">
                  <c:v>5710.0168986083499</c:v>
                </c:pt>
                <c:pt idx="107">
                  <c:v>5767.5302593659944</c:v>
                </c:pt>
                <c:pt idx="108">
                  <c:v>5735.3599202392825</c:v>
                </c:pt>
                <c:pt idx="109">
                  <c:v>5769.7209720972096</c:v>
                </c:pt>
                <c:pt idx="110">
                  <c:v>5718.9400179051026</c:v>
                </c:pt>
                <c:pt idx="111">
                  <c:v>5756.25</c:v>
                </c:pt>
                <c:pt idx="112">
                  <c:v>5742.8907849829347</c:v>
                </c:pt>
                <c:pt idx="113">
                  <c:v>5711.4519966015296</c:v>
                </c:pt>
                <c:pt idx="114">
                  <c:v>5711.8899082568805</c:v>
                </c:pt>
                <c:pt idx="115">
                  <c:v>5761.8908685968818</c:v>
                </c:pt>
                <c:pt idx="116">
                  <c:v>5706.7025316455693</c:v>
                </c:pt>
                <c:pt idx="117">
                  <c:v>5727.4494983277591</c:v>
                </c:pt>
                <c:pt idx="118">
                  <c:v>5778.6400580551526</c:v>
                </c:pt>
                <c:pt idx="119">
                  <c:v>5690.7573680603155</c:v>
                </c:pt>
                <c:pt idx="120">
                  <c:v>5766.3382731958764</c:v>
                </c:pt>
                <c:pt idx="121">
                  <c:v>5769.1440000000002</c:v>
                </c:pt>
                <c:pt idx="122">
                  <c:v>5762.1109090909094</c:v>
                </c:pt>
                <c:pt idx="123">
                  <c:v>5742.18893129771</c:v>
                </c:pt>
                <c:pt idx="124">
                  <c:v>5782.2350343473991</c:v>
                </c:pt>
                <c:pt idx="125">
                  <c:v>5739.2842105263162</c:v>
                </c:pt>
                <c:pt idx="126">
                  <c:v>0</c:v>
                </c:pt>
                <c:pt idx="127">
                  <c:v>5740.9814323607425</c:v>
                </c:pt>
                <c:pt idx="128">
                  <c:v>5725.7493506493511</c:v>
                </c:pt>
                <c:pt idx="129">
                  <c:v>5708.1508034610633</c:v>
                </c:pt>
                <c:pt idx="130">
                  <c:v>5722.3231827111986</c:v>
                </c:pt>
                <c:pt idx="131">
                  <c:v>5712.2326274977631</c:v>
                </c:pt>
                <c:pt idx="132">
                  <c:v>5755.529445234708</c:v>
                </c:pt>
                <c:pt idx="133">
                  <c:v>5707.293189368771</c:v>
                </c:pt>
                <c:pt idx="134">
                  <c:v>5783.0417626728113</c:v>
                </c:pt>
                <c:pt idx="135">
                  <c:v>5720.6849958552084</c:v>
                </c:pt>
                <c:pt idx="136">
                  <c:v>5706.3947972456008</c:v>
                </c:pt>
                <c:pt idx="137">
                  <c:v>5761.7127713276122</c:v>
                </c:pt>
                <c:pt idx="138">
                  <c:v>5730.5493926197569</c:v>
                </c:pt>
                <c:pt idx="139">
                  <c:v>5765.0672738563444</c:v>
                </c:pt>
                <c:pt idx="140">
                  <c:v>5722.6306748466259</c:v>
                </c:pt>
                <c:pt idx="141">
                  <c:v>5769.4977714748784</c:v>
                </c:pt>
                <c:pt idx="142">
                  <c:v>5774.7262729124241</c:v>
                </c:pt>
                <c:pt idx="143">
                  <c:v>5734.4589509692132</c:v>
                </c:pt>
                <c:pt idx="144">
                  <c:v>5784.6535433070867</c:v>
                </c:pt>
                <c:pt idx="145">
                  <c:v>5762.8587830080369</c:v>
                </c:pt>
                <c:pt idx="146">
                  <c:v>5769.498179169701</c:v>
                </c:pt>
                <c:pt idx="147">
                  <c:v>5753.0958904109593</c:v>
                </c:pt>
                <c:pt idx="148">
                  <c:v>5743.9765458422171</c:v>
                </c:pt>
                <c:pt idx="149">
                  <c:v>5755.783477620188</c:v>
                </c:pt>
                <c:pt idx="150">
                  <c:v>5750.3532334047113</c:v>
                </c:pt>
                <c:pt idx="151">
                  <c:v>5733.2297925483936</c:v>
                </c:pt>
                <c:pt idx="152">
                  <c:v>5725.4904695106861</c:v>
                </c:pt>
                <c:pt idx="153">
                  <c:v>5729.0046403712295</c:v>
                </c:pt>
              </c:numCache>
            </c:numRef>
          </c:yVal>
          <c:smooth val="0"/>
          <c:extLst>
            <c:ext xmlns:c16="http://schemas.microsoft.com/office/drawing/2014/chart" uri="{C3380CC4-5D6E-409C-BE32-E72D297353CC}">
              <c16:uniqueId val="{00000005-FD48-4FEE-B3A2-CA518B99FEF2}"/>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1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18518518517E-2"/>
              <c:y val="0.29051728533933258"/>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0" i="0" baseline="0">
                <a:solidFill>
                  <a:schemeClr val="tx1"/>
                </a:solidFill>
                <a:effectLst/>
              </a:rPr>
              <a:t>Per Pupil Funding by Property Wealth Per Pupil</a:t>
            </a:r>
          </a:p>
          <a:p>
            <a:pPr>
              <a:defRPr>
                <a:solidFill>
                  <a:schemeClr val="tx1"/>
                </a:solidFill>
              </a:defRPr>
            </a:pPr>
            <a:r>
              <a:rPr lang="en-US" sz="1000" b="0" i="0" u="none" strike="noStrike" baseline="0">
                <a:effectLst/>
              </a:rPr>
              <a:t>(all schools with per pupil &lt;=$20,000 per pupil)</a:t>
            </a:r>
            <a:endParaRPr lang="en-US" sz="10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v>Current Per Pupil</c:v>
          </c:tx>
          <c:spPr>
            <a:ln w="25400" cap="rnd">
              <a:noFill/>
              <a:round/>
            </a:ln>
            <a:effectLst/>
          </c:spPr>
          <c:marker>
            <c:symbol val="circle"/>
            <c:size val="5"/>
            <c:spPr>
              <a:solidFill>
                <a:schemeClr val="accent1"/>
              </a:solidFill>
              <a:ln w="9525">
                <a:solidFill>
                  <a:schemeClr val="accent1"/>
                </a:solidFill>
              </a:ln>
              <a:effectLst/>
            </c:spPr>
          </c:marker>
          <c:xVal>
            <c:numRef>
              <c:f>'Graph Data SBB $ only'!$I$3:$I$156</c:f>
              <c:numCache>
                <c:formatCode>_("$"* #,##0_);_("$"* \(#,##0\);_("$"* "-"??_);_(@_)</c:formatCode>
                <c:ptCount val="154"/>
                <c:pt idx="0">
                  <c:v>1798935.5</c:v>
                </c:pt>
                <c:pt idx="1">
                  <c:v>1680812.7272727273</c:v>
                </c:pt>
                <c:pt idx="2">
                  <c:v>2157215.6666666665</c:v>
                </c:pt>
                <c:pt idx="3">
                  <c:v>23547814.600000001</c:v>
                </c:pt>
                <c:pt idx="4">
                  <c:v>1395446.888888889</c:v>
                </c:pt>
                <c:pt idx="5">
                  <c:v>0</c:v>
                </c:pt>
                <c:pt idx="6">
                  <c:v>3849730.612244898</c:v>
                </c:pt>
                <c:pt idx="7">
                  <c:v>0</c:v>
                </c:pt>
                <c:pt idx="8">
                  <c:v>1142739.1527777778</c:v>
                </c:pt>
                <c:pt idx="9">
                  <c:v>0</c:v>
                </c:pt>
                <c:pt idx="10">
                  <c:v>761185.14084507048</c:v>
                </c:pt>
                <c:pt idx="11">
                  <c:v>0</c:v>
                </c:pt>
                <c:pt idx="12">
                  <c:v>1471384.6090909091</c:v>
                </c:pt>
                <c:pt idx="13">
                  <c:v>1234629.1603773586</c:v>
                </c:pt>
                <c:pt idx="14">
                  <c:v>766902.37894736847</c:v>
                </c:pt>
                <c:pt idx="15">
                  <c:v>0</c:v>
                </c:pt>
                <c:pt idx="16">
                  <c:v>1134844.5398230089</c:v>
                </c:pt>
                <c:pt idx="17">
                  <c:v>861358.31818181823</c:v>
                </c:pt>
                <c:pt idx="18">
                  <c:v>688574.83478260867</c:v>
                </c:pt>
                <c:pt idx="19">
                  <c:v>0</c:v>
                </c:pt>
                <c:pt idx="20">
                  <c:v>841549.82733812951</c:v>
                </c:pt>
                <c:pt idx="21">
                  <c:v>1624694.55</c:v>
                </c:pt>
                <c:pt idx="22">
                  <c:v>991893.81395348837</c:v>
                </c:pt>
                <c:pt idx="23">
                  <c:v>3748133.7062937063</c:v>
                </c:pt>
                <c:pt idx="24">
                  <c:v>909629.74683544307</c:v>
                </c:pt>
                <c:pt idx="25">
                  <c:v>0</c:v>
                </c:pt>
                <c:pt idx="26">
                  <c:v>966066.7297297297</c:v>
                </c:pt>
                <c:pt idx="27">
                  <c:v>0</c:v>
                </c:pt>
                <c:pt idx="28">
                  <c:v>242445.96363636362</c:v>
                </c:pt>
                <c:pt idx="29">
                  <c:v>620361.77108433738</c:v>
                </c:pt>
                <c:pt idx="30">
                  <c:v>347524.94818652852</c:v>
                </c:pt>
                <c:pt idx="31">
                  <c:v>1818085.6790697675</c:v>
                </c:pt>
                <c:pt idx="32">
                  <c:v>818991.69668246445</c:v>
                </c:pt>
                <c:pt idx="33">
                  <c:v>211514.45581395348</c:v>
                </c:pt>
                <c:pt idx="34">
                  <c:v>0</c:v>
                </c:pt>
                <c:pt idx="35">
                  <c:v>655846.20253164554</c:v>
                </c:pt>
                <c:pt idx="36">
                  <c:v>549191.40350877191</c:v>
                </c:pt>
                <c:pt idx="37">
                  <c:v>0</c:v>
                </c:pt>
                <c:pt idx="38">
                  <c:v>0</c:v>
                </c:pt>
                <c:pt idx="39">
                  <c:v>578501.56589147286</c:v>
                </c:pt>
                <c:pt idx="40">
                  <c:v>508926.961352657</c:v>
                </c:pt>
                <c:pt idx="41">
                  <c:v>0</c:v>
                </c:pt>
                <c:pt idx="42">
                  <c:v>0</c:v>
                </c:pt>
                <c:pt idx="43">
                  <c:v>1823952.7859922179</c:v>
                </c:pt>
                <c:pt idx="44">
                  <c:v>0</c:v>
                </c:pt>
                <c:pt idx="45">
                  <c:v>0</c:v>
                </c:pt>
                <c:pt idx="46">
                  <c:v>0</c:v>
                </c:pt>
                <c:pt idx="47">
                  <c:v>692965.01071428566</c:v>
                </c:pt>
                <c:pt idx="48">
                  <c:v>559516.90416666667</c:v>
                </c:pt>
                <c:pt idx="49">
                  <c:v>0</c:v>
                </c:pt>
                <c:pt idx="50">
                  <c:v>570504.29452054796</c:v>
                </c:pt>
                <c:pt idx="51">
                  <c:v>0</c:v>
                </c:pt>
                <c:pt idx="52">
                  <c:v>0</c:v>
                </c:pt>
                <c:pt idx="53">
                  <c:v>0</c:v>
                </c:pt>
                <c:pt idx="54">
                  <c:v>555701.07857142854</c:v>
                </c:pt>
                <c:pt idx="55">
                  <c:v>0</c:v>
                </c:pt>
                <c:pt idx="56">
                  <c:v>494399.70818505337</c:v>
                </c:pt>
                <c:pt idx="57">
                  <c:v>0</c:v>
                </c:pt>
                <c:pt idx="58">
                  <c:v>0</c:v>
                </c:pt>
                <c:pt idx="59">
                  <c:v>514798.55374592834</c:v>
                </c:pt>
                <c:pt idx="60">
                  <c:v>1736504.5665529009</c:v>
                </c:pt>
                <c:pt idx="61">
                  <c:v>841338.00602409639</c:v>
                </c:pt>
                <c:pt idx="62">
                  <c:v>0</c:v>
                </c:pt>
                <c:pt idx="63">
                  <c:v>244914.48266666668</c:v>
                </c:pt>
                <c:pt idx="64">
                  <c:v>404009.68169761274</c:v>
                </c:pt>
                <c:pt idx="65">
                  <c:v>0</c:v>
                </c:pt>
                <c:pt idx="66">
                  <c:v>1870354.6084507043</c:v>
                </c:pt>
                <c:pt idx="67">
                  <c:v>0</c:v>
                </c:pt>
                <c:pt idx="68">
                  <c:v>0</c:v>
                </c:pt>
                <c:pt idx="69">
                  <c:v>0</c:v>
                </c:pt>
                <c:pt idx="70">
                  <c:v>687170.07751937979</c:v>
                </c:pt>
                <c:pt idx="71">
                  <c:v>401072.45663265308</c:v>
                </c:pt>
                <c:pt idx="72">
                  <c:v>467336.24815724813</c:v>
                </c:pt>
                <c:pt idx="73">
                  <c:v>504261.69269521412</c:v>
                </c:pt>
                <c:pt idx="74">
                  <c:v>296314.29247311829</c:v>
                </c:pt>
                <c:pt idx="75">
                  <c:v>0</c:v>
                </c:pt>
                <c:pt idx="76">
                  <c:v>555171.33894230775</c:v>
                </c:pt>
                <c:pt idx="77">
                  <c:v>0</c:v>
                </c:pt>
                <c:pt idx="78">
                  <c:v>319092.28953229397</c:v>
                </c:pt>
                <c:pt idx="79">
                  <c:v>522970.08515283844</c:v>
                </c:pt>
                <c:pt idx="80">
                  <c:v>364583.89406779659</c:v>
                </c:pt>
                <c:pt idx="81">
                  <c:v>381797.85791366908</c:v>
                </c:pt>
                <c:pt idx="82">
                  <c:v>237204.09897610921</c:v>
                </c:pt>
                <c:pt idx="83">
                  <c:v>291589.19761499146</c:v>
                </c:pt>
                <c:pt idx="84">
                  <c:v>0</c:v>
                </c:pt>
                <c:pt idx="85">
                  <c:v>0</c:v>
                </c:pt>
                <c:pt idx="86">
                  <c:v>0</c:v>
                </c:pt>
                <c:pt idx="87">
                  <c:v>198510.04148148149</c:v>
                </c:pt>
                <c:pt idx="88">
                  <c:v>0</c:v>
                </c:pt>
                <c:pt idx="89">
                  <c:v>0</c:v>
                </c:pt>
                <c:pt idx="90">
                  <c:v>320175.05263157893</c:v>
                </c:pt>
                <c:pt idx="91">
                  <c:v>282951.24408284022</c:v>
                </c:pt>
                <c:pt idx="92">
                  <c:v>777098.77159590041</c:v>
                </c:pt>
                <c:pt idx="93">
                  <c:v>770654.95064935065</c:v>
                </c:pt>
                <c:pt idx="94">
                  <c:v>303068.6265060241</c:v>
                </c:pt>
                <c:pt idx="95">
                  <c:v>0</c:v>
                </c:pt>
                <c:pt idx="96">
                  <c:v>294019.7002583979</c:v>
                </c:pt>
                <c:pt idx="97">
                  <c:v>376037.255</c:v>
                </c:pt>
                <c:pt idx="98">
                  <c:v>534803.24436536175</c:v>
                </c:pt>
                <c:pt idx="99">
                  <c:v>438377.30690826726</c:v>
                </c:pt>
                <c:pt idx="100">
                  <c:v>0</c:v>
                </c:pt>
                <c:pt idx="101">
                  <c:v>0</c:v>
                </c:pt>
                <c:pt idx="102">
                  <c:v>2930262.5644994839</c:v>
                </c:pt>
                <c:pt idx="103">
                  <c:v>292204.2823779193</c:v>
                </c:pt>
                <c:pt idx="104">
                  <c:v>514476.51306873187</c:v>
                </c:pt>
                <c:pt idx="105">
                  <c:v>825628.6</c:v>
                </c:pt>
                <c:pt idx="106">
                  <c:v>1630195.6093439364</c:v>
                </c:pt>
                <c:pt idx="107">
                  <c:v>259798.49471661865</c:v>
                </c:pt>
                <c:pt idx="108">
                  <c:v>527574.146560319</c:v>
                </c:pt>
                <c:pt idx="109">
                  <c:v>743623.04950495053</c:v>
                </c:pt>
                <c:pt idx="110">
                  <c:v>219840.57743957028</c:v>
                </c:pt>
                <c:pt idx="111">
                  <c:v>494659.71428571426</c:v>
                </c:pt>
                <c:pt idx="112">
                  <c:v>353929.64761092153</c:v>
                </c:pt>
                <c:pt idx="113">
                  <c:v>535613.07731520815</c:v>
                </c:pt>
                <c:pt idx="114">
                  <c:v>649734.42813455663</c:v>
                </c:pt>
                <c:pt idx="115">
                  <c:v>592603.88715664437</c:v>
                </c:pt>
                <c:pt idx="116">
                  <c:v>311256.20815752464</c:v>
                </c:pt>
                <c:pt idx="117">
                  <c:v>309585.56254180602</c:v>
                </c:pt>
                <c:pt idx="118">
                  <c:v>267558.22568940494</c:v>
                </c:pt>
                <c:pt idx="119">
                  <c:v>176449.59081562713</c:v>
                </c:pt>
                <c:pt idx="120">
                  <c:v>224672.35051546391</c:v>
                </c:pt>
                <c:pt idx="121">
                  <c:v>864859.20061538462</c:v>
                </c:pt>
                <c:pt idx="122">
                  <c:v>235645.31878787879</c:v>
                </c:pt>
                <c:pt idx="123">
                  <c:v>326871.7703562341</c:v>
                </c:pt>
                <c:pt idx="124">
                  <c:v>245081.64720314034</c:v>
                </c:pt>
                <c:pt idx="125">
                  <c:v>782524.30526315793</c:v>
                </c:pt>
                <c:pt idx="126">
                  <c:v>0</c:v>
                </c:pt>
                <c:pt idx="127">
                  <c:v>599525.71485411143</c:v>
                </c:pt>
                <c:pt idx="128">
                  <c:v>361089.95714285714</c:v>
                </c:pt>
                <c:pt idx="129">
                  <c:v>191855.02760609807</c:v>
                </c:pt>
                <c:pt idx="130">
                  <c:v>2927623.0697445972</c:v>
                </c:pt>
                <c:pt idx="131">
                  <c:v>1252955.4894124665</c:v>
                </c:pt>
                <c:pt idx="132">
                  <c:v>300590.86657183501</c:v>
                </c:pt>
                <c:pt idx="133">
                  <c:v>233017.69186046513</c:v>
                </c:pt>
                <c:pt idx="134">
                  <c:v>308906.73761520738</c:v>
                </c:pt>
                <c:pt idx="135">
                  <c:v>208656.08234318873</c:v>
                </c:pt>
                <c:pt idx="136">
                  <c:v>576720.6526396327</c:v>
                </c:pt>
                <c:pt idx="137">
                  <c:v>318176.68298838969</c:v>
                </c:pt>
                <c:pt idx="138">
                  <c:v>573209.76667430671</c:v>
                </c:pt>
                <c:pt idx="139">
                  <c:v>281010.55599254812</c:v>
                </c:pt>
                <c:pt idx="140">
                  <c:v>253724.48773006134</c:v>
                </c:pt>
                <c:pt idx="141">
                  <c:v>185696.1193273906</c:v>
                </c:pt>
                <c:pt idx="142">
                  <c:v>262903.39389002038</c:v>
                </c:pt>
                <c:pt idx="143">
                  <c:v>454962.16229570506</c:v>
                </c:pt>
                <c:pt idx="144">
                  <c:v>266807.13263342081</c:v>
                </c:pt>
                <c:pt idx="145">
                  <c:v>241733.09337925757</c:v>
                </c:pt>
                <c:pt idx="146">
                  <c:v>343142.58946346201</c:v>
                </c:pt>
                <c:pt idx="147">
                  <c:v>308800.54236037936</c:v>
                </c:pt>
                <c:pt idx="148">
                  <c:v>759417.3177987613</c:v>
                </c:pt>
                <c:pt idx="149">
                  <c:v>222169.39952109044</c:v>
                </c:pt>
                <c:pt idx="150">
                  <c:v>288140.12419700215</c:v>
                </c:pt>
                <c:pt idx="151">
                  <c:v>271543.59709984041</c:v>
                </c:pt>
                <c:pt idx="152">
                  <c:v>694830.44376598729</c:v>
                </c:pt>
                <c:pt idx="153">
                  <c:v>435012.0196213228</c:v>
                </c:pt>
              </c:numCache>
            </c:numRef>
          </c:xVal>
          <c:yVal>
            <c:numRef>
              <c:f>'Graph Data SBB $ only'!$D$3:$D$156</c:f>
              <c:numCache>
                <c:formatCode>_("$"* #,##0_);_("$"* \(#,##0\);_("$"* "-"??_);_(@_)</c:formatCode>
                <c:ptCount val="154"/>
                <c:pt idx="0">
                  <c:v>21950.166666666668</c:v>
                </c:pt>
                <c:pt idx="1">
                  <c:v>20733.363636363636</c:v>
                </c:pt>
                <c:pt idx="2">
                  <c:v>15420</c:v>
                </c:pt>
                <c:pt idx="3">
                  <c:v>57907.4</c:v>
                </c:pt>
                <c:pt idx="4">
                  <c:v>15469.722222222223</c:v>
                </c:pt>
                <c:pt idx="5">
                  <c:v>7104.6878980891715</c:v>
                </c:pt>
                <c:pt idx="6">
                  <c:v>11880.510204081633</c:v>
                </c:pt>
                <c:pt idx="7">
                  <c:v>5735.0526932084313</c:v>
                </c:pt>
                <c:pt idx="8">
                  <c:v>18803.916666666668</c:v>
                </c:pt>
                <c:pt idx="9">
                  <c:v>6839.7766749379653</c:v>
                </c:pt>
                <c:pt idx="10">
                  <c:v>17730.323943661973</c:v>
                </c:pt>
                <c:pt idx="11">
                  <c:v>5906.8248587570624</c:v>
                </c:pt>
                <c:pt idx="12">
                  <c:v>12540.381818181819</c:v>
                </c:pt>
                <c:pt idx="13">
                  <c:v>12498.518867924528</c:v>
                </c:pt>
                <c:pt idx="14">
                  <c:v>14007.705263157895</c:v>
                </c:pt>
                <c:pt idx="15">
                  <c:v>9234.5822784810134</c:v>
                </c:pt>
                <c:pt idx="16">
                  <c:v>13394.097345132743</c:v>
                </c:pt>
                <c:pt idx="17">
                  <c:v>12129.757575757576</c:v>
                </c:pt>
                <c:pt idx="18">
                  <c:v>13184.121739130434</c:v>
                </c:pt>
                <c:pt idx="19">
                  <c:v>5965.492753623188</c:v>
                </c:pt>
                <c:pt idx="20">
                  <c:v>11250.244604316547</c:v>
                </c:pt>
                <c:pt idx="21">
                  <c:v>10633.792857142857</c:v>
                </c:pt>
                <c:pt idx="22">
                  <c:v>11670.550387596899</c:v>
                </c:pt>
                <c:pt idx="23">
                  <c:v>10533.272727272728</c:v>
                </c:pt>
                <c:pt idx="24">
                  <c:v>10477.772151898735</c:v>
                </c:pt>
                <c:pt idx="25">
                  <c:v>6847.736979166667</c:v>
                </c:pt>
                <c:pt idx="26">
                  <c:v>11525.331081081082</c:v>
                </c:pt>
                <c:pt idx="27">
                  <c:v>7292.3125</c:v>
                </c:pt>
                <c:pt idx="28">
                  <c:v>9523.3878787878784</c:v>
                </c:pt>
                <c:pt idx="29">
                  <c:v>9500.2590361445782</c:v>
                </c:pt>
                <c:pt idx="30">
                  <c:v>8335.7046632124348</c:v>
                </c:pt>
                <c:pt idx="31">
                  <c:v>9028.0093023255813</c:v>
                </c:pt>
                <c:pt idx="32">
                  <c:v>9296.8436018957345</c:v>
                </c:pt>
                <c:pt idx="33">
                  <c:v>8919.8558139534889</c:v>
                </c:pt>
                <c:pt idx="34">
                  <c:v>6291.1275917065386</c:v>
                </c:pt>
                <c:pt idx="35">
                  <c:v>7734.4852320675109</c:v>
                </c:pt>
                <c:pt idx="36">
                  <c:v>8649.5877192982462</c:v>
                </c:pt>
                <c:pt idx="37">
                  <c:v>5648.673913043478</c:v>
                </c:pt>
                <c:pt idx="38">
                  <c:v>0</c:v>
                </c:pt>
                <c:pt idx="39">
                  <c:v>7399.6705426356593</c:v>
                </c:pt>
                <c:pt idx="40">
                  <c:v>8831.6859903381646</c:v>
                </c:pt>
                <c:pt idx="41">
                  <c:v>7134.850253807107</c:v>
                </c:pt>
                <c:pt idx="42">
                  <c:v>5326.8032036613276</c:v>
                </c:pt>
                <c:pt idx="43">
                  <c:v>7702.470817120623</c:v>
                </c:pt>
                <c:pt idx="44">
                  <c:v>6025.0887198986056</c:v>
                </c:pt>
                <c:pt idx="45">
                  <c:v>0</c:v>
                </c:pt>
                <c:pt idx="46">
                  <c:v>0</c:v>
                </c:pt>
                <c:pt idx="47">
                  <c:v>10899.092857142858</c:v>
                </c:pt>
                <c:pt idx="48">
                  <c:v>8662.3083333333325</c:v>
                </c:pt>
                <c:pt idx="49">
                  <c:v>6291.9120000000003</c:v>
                </c:pt>
                <c:pt idx="50">
                  <c:v>7939.9041095890407</c:v>
                </c:pt>
                <c:pt idx="51">
                  <c:v>0</c:v>
                </c:pt>
                <c:pt idx="52">
                  <c:v>7153.3740458015263</c:v>
                </c:pt>
                <c:pt idx="53">
                  <c:v>4807.1138828633402</c:v>
                </c:pt>
                <c:pt idx="54">
                  <c:v>8147.1142857142859</c:v>
                </c:pt>
                <c:pt idx="55">
                  <c:v>5912.2050078247257</c:v>
                </c:pt>
                <c:pt idx="56">
                  <c:v>7710.021352313167</c:v>
                </c:pt>
                <c:pt idx="57">
                  <c:v>5105.1322115384619</c:v>
                </c:pt>
                <c:pt idx="58">
                  <c:v>4755.9910913140311</c:v>
                </c:pt>
                <c:pt idx="59">
                  <c:v>8061.8859934853417</c:v>
                </c:pt>
                <c:pt idx="60">
                  <c:v>7972.1467576791811</c:v>
                </c:pt>
                <c:pt idx="61">
                  <c:v>6932.4487951807232</c:v>
                </c:pt>
                <c:pt idx="62">
                  <c:v>7167.1973094170407</c:v>
                </c:pt>
                <c:pt idx="63">
                  <c:v>7417.4719999999998</c:v>
                </c:pt>
                <c:pt idx="64">
                  <c:v>8255.7665782493368</c:v>
                </c:pt>
                <c:pt idx="65">
                  <c:v>6302.1065573770493</c:v>
                </c:pt>
                <c:pt idx="66">
                  <c:v>7750.2253521126759</c:v>
                </c:pt>
                <c:pt idx="67">
                  <c:v>0</c:v>
                </c:pt>
                <c:pt idx="68">
                  <c:v>6863.5691906005222</c:v>
                </c:pt>
                <c:pt idx="69">
                  <c:v>0</c:v>
                </c:pt>
                <c:pt idx="70">
                  <c:v>7010.4005167958658</c:v>
                </c:pt>
                <c:pt idx="71">
                  <c:v>7628.0841836734689</c:v>
                </c:pt>
                <c:pt idx="72">
                  <c:v>7065.8255528255531</c:v>
                </c:pt>
                <c:pt idx="73">
                  <c:v>6913.005037783375</c:v>
                </c:pt>
                <c:pt idx="74">
                  <c:v>7376.0881720430107</c:v>
                </c:pt>
                <c:pt idx="75">
                  <c:v>6056.1872146118722</c:v>
                </c:pt>
                <c:pt idx="76">
                  <c:v>7381.3052884615381</c:v>
                </c:pt>
                <c:pt idx="77">
                  <c:v>6600.5374149659865</c:v>
                </c:pt>
                <c:pt idx="78">
                  <c:v>7226.6258351893093</c:v>
                </c:pt>
                <c:pt idx="79">
                  <c:v>6935.1768558951962</c:v>
                </c:pt>
                <c:pt idx="80">
                  <c:v>7169.6906779661012</c:v>
                </c:pt>
                <c:pt idx="81">
                  <c:v>6856.8345323741005</c:v>
                </c:pt>
                <c:pt idx="82">
                  <c:v>6179.1092150170653</c:v>
                </c:pt>
                <c:pt idx="83">
                  <c:v>6925.6098807495737</c:v>
                </c:pt>
                <c:pt idx="84">
                  <c:v>5106.1802674043338</c:v>
                </c:pt>
                <c:pt idx="85">
                  <c:v>0</c:v>
                </c:pt>
                <c:pt idx="86">
                  <c:v>7100.8278931750738</c:v>
                </c:pt>
                <c:pt idx="87">
                  <c:v>6609.5377777777776</c:v>
                </c:pt>
                <c:pt idx="88">
                  <c:v>5695.4425162689804</c:v>
                </c:pt>
                <c:pt idx="89">
                  <c:v>5740.6537467700255</c:v>
                </c:pt>
                <c:pt idx="90">
                  <c:v>6599.3187969924811</c:v>
                </c:pt>
                <c:pt idx="91">
                  <c:v>6390.5517751479292</c:v>
                </c:pt>
                <c:pt idx="92">
                  <c:v>6811.7935578330889</c:v>
                </c:pt>
                <c:pt idx="93">
                  <c:v>6306.1610389610387</c:v>
                </c:pt>
                <c:pt idx="94">
                  <c:v>6399.2971887550202</c:v>
                </c:pt>
                <c:pt idx="95">
                  <c:v>6040.3269754768389</c:v>
                </c:pt>
                <c:pt idx="96">
                  <c:v>5988.2157622739014</c:v>
                </c:pt>
                <c:pt idx="97">
                  <c:v>5927.1212500000001</c:v>
                </c:pt>
                <c:pt idx="98">
                  <c:v>6517.6405693950182</c:v>
                </c:pt>
                <c:pt idx="99">
                  <c:v>6389.7621744054359</c:v>
                </c:pt>
                <c:pt idx="100">
                  <c:v>0</c:v>
                </c:pt>
                <c:pt idx="101">
                  <c:v>6064.0423728813557</c:v>
                </c:pt>
                <c:pt idx="102">
                  <c:v>6222.62951496388</c:v>
                </c:pt>
                <c:pt idx="103">
                  <c:v>6243.4522292993634</c:v>
                </c:pt>
                <c:pt idx="104">
                  <c:v>7731.6989351403681</c:v>
                </c:pt>
                <c:pt idx="105">
                  <c:v>6294.3838383838383</c:v>
                </c:pt>
                <c:pt idx="106">
                  <c:v>6095.9105367793245</c:v>
                </c:pt>
                <c:pt idx="107">
                  <c:v>5959.7809798270891</c:v>
                </c:pt>
                <c:pt idx="108">
                  <c:v>6153.0099700897308</c:v>
                </c:pt>
                <c:pt idx="109">
                  <c:v>6697.7443744374441</c:v>
                </c:pt>
                <c:pt idx="110">
                  <c:v>5574.1235452103847</c:v>
                </c:pt>
                <c:pt idx="111">
                  <c:v>5778.2738095238092</c:v>
                </c:pt>
                <c:pt idx="112">
                  <c:v>6091.2372013651875</c:v>
                </c:pt>
                <c:pt idx="113">
                  <c:v>5934.583687340697</c:v>
                </c:pt>
                <c:pt idx="114">
                  <c:v>5852.8952599388376</c:v>
                </c:pt>
                <c:pt idx="115">
                  <c:v>5894.3934669636228</c:v>
                </c:pt>
                <c:pt idx="116">
                  <c:v>5746.5829817158929</c:v>
                </c:pt>
                <c:pt idx="117">
                  <c:v>5857.2862876254185</c:v>
                </c:pt>
                <c:pt idx="118">
                  <c:v>6059.5580551523944</c:v>
                </c:pt>
                <c:pt idx="119">
                  <c:v>5850.684715558602</c:v>
                </c:pt>
                <c:pt idx="120">
                  <c:v>6032.2332474226805</c:v>
                </c:pt>
                <c:pt idx="121">
                  <c:v>5492.7501538461538</c:v>
                </c:pt>
                <c:pt idx="122">
                  <c:v>5721.9206060606057</c:v>
                </c:pt>
                <c:pt idx="123">
                  <c:v>5680.4961832061072</c:v>
                </c:pt>
                <c:pt idx="124">
                  <c:v>5467.6786064769385</c:v>
                </c:pt>
                <c:pt idx="125">
                  <c:v>5906.737844611529</c:v>
                </c:pt>
                <c:pt idx="126">
                  <c:v>0</c:v>
                </c:pt>
                <c:pt idx="127">
                  <c:v>5449.8152077807254</c:v>
                </c:pt>
                <c:pt idx="128">
                  <c:v>6414.9909090909086</c:v>
                </c:pt>
                <c:pt idx="129">
                  <c:v>5440.0515039142974</c:v>
                </c:pt>
                <c:pt idx="130">
                  <c:v>5502.0540275049116</c:v>
                </c:pt>
                <c:pt idx="131">
                  <c:v>5738.377572323293</c:v>
                </c:pt>
                <c:pt idx="132">
                  <c:v>5717.0998577524897</c:v>
                </c:pt>
                <c:pt idx="133">
                  <c:v>5853.0761351052051</c:v>
                </c:pt>
                <c:pt idx="134">
                  <c:v>5499.0002880184329</c:v>
                </c:pt>
                <c:pt idx="135">
                  <c:v>5647.7938657087598</c:v>
                </c:pt>
                <c:pt idx="136">
                  <c:v>5449.7569497577151</c:v>
                </c:pt>
                <c:pt idx="137">
                  <c:v>5990.7637556789505</c:v>
                </c:pt>
                <c:pt idx="138">
                  <c:v>5434.6756818702725</c:v>
                </c:pt>
                <c:pt idx="139">
                  <c:v>5305.0095218381284</c:v>
                </c:pt>
                <c:pt idx="140">
                  <c:v>5228.584867075665</c:v>
                </c:pt>
                <c:pt idx="141">
                  <c:v>5441.6023095623987</c:v>
                </c:pt>
                <c:pt idx="142">
                  <c:v>6105.8714867617109</c:v>
                </c:pt>
                <c:pt idx="143">
                  <c:v>5423.7540858988978</c:v>
                </c:pt>
                <c:pt idx="144">
                  <c:v>5568.3312335958008</c:v>
                </c:pt>
                <c:pt idx="145">
                  <c:v>5628.8908023982649</c:v>
                </c:pt>
                <c:pt idx="146">
                  <c:v>5658.8205875212434</c:v>
                </c:pt>
                <c:pt idx="147">
                  <c:v>5379.9733403582723</c:v>
                </c:pt>
                <c:pt idx="148">
                  <c:v>5131.7222053000305</c:v>
                </c:pt>
                <c:pt idx="149">
                  <c:v>5471.4335973475781</c:v>
                </c:pt>
                <c:pt idx="150">
                  <c:v>5211.8870235546037</c:v>
                </c:pt>
                <c:pt idx="151">
                  <c:v>5650.2778741414004</c:v>
                </c:pt>
                <c:pt idx="152">
                  <c:v>5423.7372307946198</c:v>
                </c:pt>
                <c:pt idx="153">
                  <c:v>5431.1702328778892</c:v>
                </c:pt>
              </c:numCache>
            </c:numRef>
          </c:yVal>
          <c:smooth val="0"/>
          <c:extLst>
            <c:ext xmlns:c16="http://schemas.microsoft.com/office/drawing/2014/chart" uri="{C3380CC4-5D6E-409C-BE32-E72D297353CC}">
              <c16:uniqueId val="{00000000-A6AA-4D95-A75D-C218E2BDA240}"/>
            </c:ext>
          </c:extLst>
        </c:ser>
        <c:ser>
          <c:idx val="1"/>
          <c:order val="1"/>
          <c:tx>
            <c:v>Per Pupil under WSF</c:v>
          </c:tx>
          <c:spPr>
            <a:ln w="25400" cap="rnd">
              <a:noFill/>
              <a:round/>
            </a:ln>
            <a:effectLst/>
          </c:spPr>
          <c:marker>
            <c:symbol val="circle"/>
            <c:size val="5"/>
            <c:spPr>
              <a:solidFill>
                <a:schemeClr val="accent2"/>
              </a:solidFill>
              <a:ln w="9525">
                <a:solidFill>
                  <a:schemeClr val="accent2"/>
                </a:solidFill>
              </a:ln>
              <a:effectLst/>
            </c:spPr>
          </c:marker>
          <c:xVal>
            <c:numRef>
              <c:f>'Graph Data SBB $ only'!$I$3:$I$156</c:f>
              <c:numCache>
                <c:formatCode>_("$"* #,##0_);_("$"* \(#,##0\);_("$"* "-"??_);_(@_)</c:formatCode>
                <c:ptCount val="154"/>
                <c:pt idx="0">
                  <c:v>1798935.5</c:v>
                </c:pt>
                <c:pt idx="1">
                  <c:v>1680812.7272727273</c:v>
                </c:pt>
                <c:pt idx="2">
                  <c:v>2157215.6666666665</c:v>
                </c:pt>
                <c:pt idx="3">
                  <c:v>23547814.600000001</c:v>
                </c:pt>
                <c:pt idx="4">
                  <c:v>1395446.888888889</c:v>
                </c:pt>
                <c:pt idx="5">
                  <c:v>0</c:v>
                </c:pt>
                <c:pt idx="6">
                  <c:v>3849730.612244898</c:v>
                </c:pt>
                <c:pt idx="7">
                  <c:v>0</c:v>
                </c:pt>
                <c:pt idx="8">
                  <c:v>1142739.1527777778</c:v>
                </c:pt>
                <c:pt idx="9">
                  <c:v>0</c:v>
                </c:pt>
                <c:pt idx="10">
                  <c:v>761185.14084507048</c:v>
                </c:pt>
                <c:pt idx="11">
                  <c:v>0</c:v>
                </c:pt>
                <c:pt idx="12">
                  <c:v>1471384.6090909091</c:v>
                </c:pt>
                <c:pt idx="13">
                  <c:v>1234629.1603773586</c:v>
                </c:pt>
                <c:pt idx="14">
                  <c:v>766902.37894736847</c:v>
                </c:pt>
                <c:pt idx="15">
                  <c:v>0</c:v>
                </c:pt>
                <c:pt idx="16">
                  <c:v>1134844.5398230089</c:v>
                </c:pt>
                <c:pt idx="17">
                  <c:v>861358.31818181823</c:v>
                </c:pt>
                <c:pt idx="18">
                  <c:v>688574.83478260867</c:v>
                </c:pt>
                <c:pt idx="19">
                  <c:v>0</c:v>
                </c:pt>
                <c:pt idx="20">
                  <c:v>841549.82733812951</c:v>
                </c:pt>
                <c:pt idx="21">
                  <c:v>1624694.55</c:v>
                </c:pt>
                <c:pt idx="22">
                  <c:v>991893.81395348837</c:v>
                </c:pt>
                <c:pt idx="23">
                  <c:v>3748133.7062937063</c:v>
                </c:pt>
                <c:pt idx="24">
                  <c:v>909629.74683544307</c:v>
                </c:pt>
                <c:pt idx="25">
                  <c:v>0</c:v>
                </c:pt>
                <c:pt idx="26">
                  <c:v>966066.7297297297</c:v>
                </c:pt>
                <c:pt idx="27">
                  <c:v>0</c:v>
                </c:pt>
                <c:pt idx="28">
                  <c:v>242445.96363636362</c:v>
                </c:pt>
                <c:pt idx="29">
                  <c:v>620361.77108433738</c:v>
                </c:pt>
                <c:pt idx="30">
                  <c:v>347524.94818652852</c:v>
                </c:pt>
                <c:pt idx="31">
                  <c:v>1818085.6790697675</c:v>
                </c:pt>
                <c:pt idx="32">
                  <c:v>818991.69668246445</c:v>
                </c:pt>
                <c:pt idx="33">
                  <c:v>211514.45581395348</c:v>
                </c:pt>
                <c:pt idx="34">
                  <c:v>0</c:v>
                </c:pt>
                <c:pt idx="35">
                  <c:v>655846.20253164554</c:v>
                </c:pt>
                <c:pt idx="36">
                  <c:v>549191.40350877191</c:v>
                </c:pt>
                <c:pt idx="37">
                  <c:v>0</c:v>
                </c:pt>
                <c:pt idx="38">
                  <c:v>0</c:v>
                </c:pt>
                <c:pt idx="39">
                  <c:v>578501.56589147286</c:v>
                </c:pt>
                <c:pt idx="40">
                  <c:v>508926.961352657</c:v>
                </c:pt>
                <c:pt idx="41">
                  <c:v>0</c:v>
                </c:pt>
                <c:pt idx="42">
                  <c:v>0</c:v>
                </c:pt>
                <c:pt idx="43">
                  <c:v>1823952.7859922179</c:v>
                </c:pt>
                <c:pt idx="44">
                  <c:v>0</c:v>
                </c:pt>
                <c:pt idx="45">
                  <c:v>0</c:v>
                </c:pt>
                <c:pt idx="46">
                  <c:v>0</c:v>
                </c:pt>
                <c:pt idx="47">
                  <c:v>692965.01071428566</c:v>
                </c:pt>
                <c:pt idx="48">
                  <c:v>559516.90416666667</c:v>
                </c:pt>
                <c:pt idx="49">
                  <c:v>0</c:v>
                </c:pt>
                <c:pt idx="50">
                  <c:v>570504.29452054796</c:v>
                </c:pt>
                <c:pt idx="51">
                  <c:v>0</c:v>
                </c:pt>
                <c:pt idx="52">
                  <c:v>0</c:v>
                </c:pt>
                <c:pt idx="53">
                  <c:v>0</c:v>
                </c:pt>
                <c:pt idx="54">
                  <c:v>555701.07857142854</c:v>
                </c:pt>
                <c:pt idx="55">
                  <c:v>0</c:v>
                </c:pt>
                <c:pt idx="56">
                  <c:v>494399.70818505337</c:v>
                </c:pt>
                <c:pt idx="57">
                  <c:v>0</c:v>
                </c:pt>
                <c:pt idx="58">
                  <c:v>0</c:v>
                </c:pt>
                <c:pt idx="59">
                  <c:v>514798.55374592834</c:v>
                </c:pt>
                <c:pt idx="60">
                  <c:v>1736504.5665529009</c:v>
                </c:pt>
                <c:pt idx="61">
                  <c:v>841338.00602409639</c:v>
                </c:pt>
                <c:pt idx="62">
                  <c:v>0</c:v>
                </c:pt>
                <c:pt idx="63">
                  <c:v>244914.48266666668</c:v>
                </c:pt>
                <c:pt idx="64">
                  <c:v>404009.68169761274</c:v>
                </c:pt>
                <c:pt idx="65">
                  <c:v>0</c:v>
                </c:pt>
                <c:pt idx="66">
                  <c:v>1870354.6084507043</c:v>
                </c:pt>
                <c:pt idx="67">
                  <c:v>0</c:v>
                </c:pt>
                <c:pt idx="68">
                  <c:v>0</c:v>
                </c:pt>
                <c:pt idx="69">
                  <c:v>0</c:v>
                </c:pt>
                <c:pt idx="70">
                  <c:v>687170.07751937979</c:v>
                </c:pt>
                <c:pt idx="71">
                  <c:v>401072.45663265308</c:v>
                </c:pt>
                <c:pt idx="72">
                  <c:v>467336.24815724813</c:v>
                </c:pt>
                <c:pt idx="73">
                  <c:v>504261.69269521412</c:v>
                </c:pt>
                <c:pt idx="74">
                  <c:v>296314.29247311829</c:v>
                </c:pt>
                <c:pt idx="75">
                  <c:v>0</c:v>
                </c:pt>
                <c:pt idx="76">
                  <c:v>555171.33894230775</c:v>
                </c:pt>
                <c:pt idx="77">
                  <c:v>0</c:v>
                </c:pt>
                <c:pt idx="78">
                  <c:v>319092.28953229397</c:v>
                </c:pt>
                <c:pt idx="79">
                  <c:v>522970.08515283844</c:v>
                </c:pt>
                <c:pt idx="80">
                  <c:v>364583.89406779659</c:v>
                </c:pt>
                <c:pt idx="81">
                  <c:v>381797.85791366908</c:v>
                </c:pt>
                <c:pt idx="82">
                  <c:v>237204.09897610921</c:v>
                </c:pt>
                <c:pt idx="83">
                  <c:v>291589.19761499146</c:v>
                </c:pt>
                <c:pt idx="84">
                  <c:v>0</c:v>
                </c:pt>
                <c:pt idx="85">
                  <c:v>0</c:v>
                </c:pt>
                <c:pt idx="86">
                  <c:v>0</c:v>
                </c:pt>
                <c:pt idx="87">
                  <c:v>198510.04148148149</c:v>
                </c:pt>
                <c:pt idx="88">
                  <c:v>0</c:v>
                </c:pt>
                <c:pt idx="89">
                  <c:v>0</c:v>
                </c:pt>
                <c:pt idx="90">
                  <c:v>320175.05263157893</c:v>
                </c:pt>
                <c:pt idx="91">
                  <c:v>282951.24408284022</c:v>
                </c:pt>
                <c:pt idx="92">
                  <c:v>777098.77159590041</c:v>
                </c:pt>
                <c:pt idx="93">
                  <c:v>770654.95064935065</c:v>
                </c:pt>
                <c:pt idx="94">
                  <c:v>303068.6265060241</c:v>
                </c:pt>
                <c:pt idx="95">
                  <c:v>0</c:v>
                </c:pt>
                <c:pt idx="96">
                  <c:v>294019.7002583979</c:v>
                </c:pt>
                <c:pt idx="97">
                  <c:v>376037.255</c:v>
                </c:pt>
                <c:pt idx="98">
                  <c:v>534803.24436536175</c:v>
                </c:pt>
                <c:pt idx="99">
                  <c:v>438377.30690826726</c:v>
                </c:pt>
                <c:pt idx="100">
                  <c:v>0</c:v>
                </c:pt>
                <c:pt idx="101">
                  <c:v>0</c:v>
                </c:pt>
                <c:pt idx="102">
                  <c:v>2930262.5644994839</c:v>
                </c:pt>
                <c:pt idx="103">
                  <c:v>292204.2823779193</c:v>
                </c:pt>
                <c:pt idx="104">
                  <c:v>514476.51306873187</c:v>
                </c:pt>
                <c:pt idx="105">
                  <c:v>825628.6</c:v>
                </c:pt>
                <c:pt idx="106">
                  <c:v>1630195.6093439364</c:v>
                </c:pt>
                <c:pt idx="107">
                  <c:v>259798.49471661865</c:v>
                </c:pt>
                <c:pt idx="108">
                  <c:v>527574.146560319</c:v>
                </c:pt>
                <c:pt idx="109">
                  <c:v>743623.04950495053</c:v>
                </c:pt>
                <c:pt idx="110">
                  <c:v>219840.57743957028</c:v>
                </c:pt>
                <c:pt idx="111">
                  <c:v>494659.71428571426</c:v>
                </c:pt>
                <c:pt idx="112">
                  <c:v>353929.64761092153</c:v>
                </c:pt>
                <c:pt idx="113">
                  <c:v>535613.07731520815</c:v>
                </c:pt>
                <c:pt idx="114">
                  <c:v>649734.42813455663</c:v>
                </c:pt>
                <c:pt idx="115">
                  <c:v>592603.88715664437</c:v>
                </c:pt>
                <c:pt idx="116">
                  <c:v>311256.20815752464</c:v>
                </c:pt>
                <c:pt idx="117">
                  <c:v>309585.56254180602</c:v>
                </c:pt>
                <c:pt idx="118">
                  <c:v>267558.22568940494</c:v>
                </c:pt>
                <c:pt idx="119">
                  <c:v>176449.59081562713</c:v>
                </c:pt>
                <c:pt idx="120">
                  <c:v>224672.35051546391</c:v>
                </c:pt>
                <c:pt idx="121">
                  <c:v>864859.20061538462</c:v>
                </c:pt>
                <c:pt idx="122">
                  <c:v>235645.31878787879</c:v>
                </c:pt>
                <c:pt idx="123">
                  <c:v>326871.7703562341</c:v>
                </c:pt>
                <c:pt idx="124">
                  <c:v>245081.64720314034</c:v>
                </c:pt>
                <c:pt idx="125">
                  <c:v>782524.30526315793</c:v>
                </c:pt>
                <c:pt idx="126">
                  <c:v>0</c:v>
                </c:pt>
                <c:pt idx="127">
                  <c:v>599525.71485411143</c:v>
                </c:pt>
                <c:pt idx="128">
                  <c:v>361089.95714285714</c:v>
                </c:pt>
                <c:pt idx="129">
                  <c:v>191855.02760609807</c:v>
                </c:pt>
                <c:pt idx="130">
                  <c:v>2927623.0697445972</c:v>
                </c:pt>
                <c:pt idx="131">
                  <c:v>1252955.4894124665</c:v>
                </c:pt>
                <c:pt idx="132">
                  <c:v>300590.86657183501</c:v>
                </c:pt>
                <c:pt idx="133">
                  <c:v>233017.69186046513</c:v>
                </c:pt>
                <c:pt idx="134">
                  <c:v>308906.73761520738</c:v>
                </c:pt>
                <c:pt idx="135">
                  <c:v>208656.08234318873</c:v>
                </c:pt>
                <c:pt idx="136">
                  <c:v>576720.6526396327</c:v>
                </c:pt>
                <c:pt idx="137">
                  <c:v>318176.68298838969</c:v>
                </c:pt>
                <c:pt idx="138">
                  <c:v>573209.76667430671</c:v>
                </c:pt>
                <c:pt idx="139">
                  <c:v>281010.55599254812</c:v>
                </c:pt>
                <c:pt idx="140">
                  <c:v>253724.48773006134</c:v>
                </c:pt>
                <c:pt idx="141">
                  <c:v>185696.1193273906</c:v>
                </c:pt>
                <c:pt idx="142">
                  <c:v>262903.39389002038</c:v>
                </c:pt>
                <c:pt idx="143">
                  <c:v>454962.16229570506</c:v>
                </c:pt>
                <c:pt idx="144">
                  <c:v>266807.13263342081</c:v>
                </c:pt>
                <c:pt idx="145">
                  <c:v>241733.09337925757</c:v>
                </c:pt>
                <c:pt idx="146">
                  <c:v>343142.58946346201</c:v>
                </c:pt>
                <c:pt idx="147">
                  <c:v>308800.54236037936</c:v>
                </c:pt>
                <c:pt idx="148">
                  <c:v>759417.3177987613</c:v>
                </c:pt>
                <c:pt idx="149">
                  <c:v>222169.39952109044</c:v>
                </c:pt>
                <c:pt idx="150">
                  <c:v>288140.12419700215</c:v>
                </c:pt>
                <c:pt idx="151">
                  <c:v>271543.59709984041</c:v>
                </c:pt>
                <c:pt idx="152">
                  <c:v>694830.44376598729</c:v>
                </c:pt>
                <c:pt idx="153">
                  <c:v>435012.0196213228</c:v>
                </c:pt>
              </c:numCache>
            </c:numRef>
          </c:xVal>
          <c:yVal>
            <c:numRef>
              <c:f>'Graph Data SBB $ only'!$J$3:$J$156</c:f>
              <c:numCache>
                <c:formatCode>_("$"* #,##0_);_("$"* \(#,##0\);_("$"* "-"??_);_(@_)</c:formatCode>
                <c:ptCount val="154"/>
                <c:pt idx="0">
                  <c:v>5526</c:v>
                </c:pt>
                <c:pt idx="1">
                  <c:v>5777.181818181818</c:v>
                </c:pt>
                <c:pt idx="2">
                  <c:v>6140</c:v>
                </c:pt>
                <c:pt idx="3">
                  <c:v>6078.6</c:v>
                </c:pt>
                <c:pt idx="4">
                  <c:v>5526</c:v>
                </c:pt>
                <c:pt idx="5">
                  <c:v>5877.9745222929932</c:v>
                </c:pt>
                <c:pt idx="6">
                  <c:v>5582.3877551020405</c:v>
                </c:pt>
                <c:pt idx="7">
                  <c:v>5739.5339578454332</c:v>
                </c:pt>
                <c:pt idx="8">
                  <c:v>5756.25</c:v>
                </c:pt>
                <c:pt idx="9">
                  <c:v>5553.4243176178661</c:v>
                </c:pt>
                <c:pt idx="10">
                  <c:v>5642.7464788732395</c:v>
                </c:pt>
                <c:pt idx="11">
                  <c:v>5963.0847457627115</c:v>
                </c:pt>
                <c:pt idx="12">
                  <c:v>5777.181818181818</c:v>
                </c:pt>
                <c:pt idx="13">
                  <c:v>5708.4622641509432</c:v>
                </c:pt>
                <c:pt idx="14">
                  <c:v>5729.5894736842101</c:v>
                </c:pt>
                <c:pt idx="15">
                  <c:v>6120.5696202531644</c:v>
                </c:pt>
                <c:pt idx="16">
                  <c:v>5648.2566371681414</c:v>
                </c:pt>
                <c:pt idx="17">
                  <c:v>5819.045454545455</c:v>
                </c:pt>
                <c:pt idx="18">
                  <c:v>5838.3391304347824</c:v>
                </c:pt>
                <c:pt idx="19">
                  <c:v>5766.260869565217</c:v>
                </c:pt>
                <c:pt idx="20">
                  <c:v>5744.6546762589924</c:v>
                </c:pt>
                <c:pt idx="21">
                  <c:v>5703.6214285714286</c:v>
                </c:pt>
                <c:pt idx="22">
                  <c:v>5675.9302325581393</c:v>
                </c:pt>
                <c:pt idx="23">
                  <c:v>5699.8951048951049</c:v>
                </c:pt>
                <c:pt idx="24">
                  <c:v>5700.8734177215192</c:v>
                </c:pt>
                <c:pt idx="25">
                  <c:v>5741.859375</c:v>
                </c:pt>
                <c:pt idx="26">
                  <c:v>5768.6959459459458</c:v>
                </c:pt>
                <c:pt idx="27">
                  <c:v>5526</c:v>
                </c:pt>
                <c:pt idx="28">
                  <c:v>5710.2</c:v>
                </c:pt>
                <c:pt idx="29">
                  <c:v>5825.6024096385545</c:v>
                </c:pt>
                <c:pt idx="30">
                  <c:v>5726.4248704663214</c:v>
                </c:pt>
                <c:pt idx="31">
                  <c:v>5731.618604651163</c:v>
                </c:pt>
                <c:pt idx="32">
                  <c:v>5709.327014218009</c:v>
                </c:pt>
                <c:pt idx="33">
                  <c:v>5718.7674418604647</c:v>
                </c:pt>
                <c:pt idx="34">
                  <c:v>5715.4880382775118</c:v>
                </c:pt>
                <c:pt idx="35">
                  <c:v>5712.5316455696202</c:v>
                </c:pt>
                <c:pt idx="36">
                  <c:v>5828.9605263157891</c:v>
                </c:pt>
                <c:pt idx="37">
                  <c:v>6006.521739130435</c:v>
                </c:pt>
                <c:pt idx="38">
                  <c:v>0</c:v>
                </c:pt>
                <c:pt idx="39">
                  <c:v>5793.7325581395353</c:v>
                </c:pt>
                <c:pt idx="40">
                  <c:v>5806.304347826087</c:v>
                </c:pt>
                <c:pt idx="41">
                  <c:v>5694.3045685279185</c:v>
                </c:pt>
                <c:pt idx="42">
                  <c:v>5829.4874141876426</c:v>
                </c:pt>
                <c:pt idx="43">
                  <c:v>5687.264591439689</c:v>
                </c:pt>
                <c:pt idx="44">
                  <c:v>5774.6349809885933</c:v>
                </c:pt>
                <c:pt idx="45">
                  <c:v>0</c:v>
                </c:pt>
                <c:pt idx="46">
                  <c:v>0</c:v>
                </c:pt>
                <c:pt idx="47">
                  <c:v>5713.4892857142859</c:v>
                </c:pt>
                <c:pt idx="48">
                  <c:v>5721.7124999999996</c:v>
                </c:pt>
                <c:pt idx="49">
                  <c:v>5791.2479999999996</c:v>
                </c:pt>
                <c:pt idx="50">
                  <c:v>5772.0205479452052</c:v>
                </c:pt>
                <c:pt idx="51">
                  <c:v>0</c:v>
                </c:pt>
                <c:pt idx="52">
                  <c:v>5526</c:v>
                </c:pt>
                <c:pt idx="53">
                  <c:v>5630.8861171366598</c:v>
                </c:pt>
                <c:pt idx="54">
                  <c:v>5841.7714285714283</c:v>
                </c:pt>
                <c:pt idx="55">
                  <c:v>5729.2253521126759</c:v>
                </c:pt>
                <c:pt idx="56">
                  <c:v>5850.4804270462637</c:v>
                </c:pt>
                <c:pt idx="57">
                  <c:v>6090.5552884615381</c:v>
                </c:pt>
                <c:pt idx="58">
                  <c:v>5526</c:v>
                </c:pt>
                <c:pt idx="59">
                  <c:v>5841</c:v>
                </c:pt>
                <c:pt idx="60">
                  <c:v>5874.9112627986351</c:v>
                </c:pt>
                <c:pt idx="61">
                  <c:v>5659.1566265060237</c:v>
                </c:pt>
                <c:pt idx="62">
                  <c:v>5823.3632286995517</c:v>
                </c:pt>
                <c:pt idx="63">
                  <c:v>5724.9359999999997</c:v>
                </c:pt>
                <c:pt idx="64">
                  <c:v>5731.2095490716183</c:v>
                </c:pt>
                <c:pt idx="65">
                  <c:v>5526</c:v>
                </c:pt>
                <c:pt idx="66">
                  <c:v>5650.5295774647884</c:v>
                </c:pt>
                <c:pt idx="67">
                  <c:v>0</c:v>
                </c:pt>
                <c:pt idx="68">
                  <c:v>5699.1383812010445</c:v>
                </c:pt>
                <c:pt idx="69">
                  <c:v>0</c:v>
                </c:pt>
                <c:pt idx="70">
                  <c:v>5697.3488372093025</c:v>
                </c:pt>
                <c:pt idx="71">
                  <c:v>5779.7448979591836</c:v>
                </c:pt>
                <c:pt idx="72">
                  <c:v>5817.9140049140051</c:v>
                </c:pt>
                <c:pt idx="73">
                  <c:v>5748.7103274559195</c:v>
                </c:pt>
                <c:pt idx="74">
                  <c:v>5823.0967741935483</c:v>
                </c:pt>
                <c:pt idx="75">
                  <c:v>5828.7945205479455</c:v>
                </c:pt>
                <c:pt idx="76">
                  <c:v>5791.6730769230771</c:v>
                </c:pt>
                <c:pt idx="77">
                  <c:v>5920.7142857142853</c:v>
                </c:pt>
                <c:pt idx="78">
                  <c:v>5759.8396436525609</c:v>
                </c:pt>
                <c:pt idx="79">
                  <c:v>5694.9170305676853</c:v>
                </c:pt>
                <c:pt idx="80">
                  <c:v>5783.5677966101694</c:v>
                </c:pt>
                <c:pt idx="81">
                  <c:v>5714.8381294964029</c:v>
                </c:pt>
                <c:pt idx="82">
                  <c:v>5775.8959044368603</c:v>
                </c:pt>
                <c:pt idx="83">
                  <c:v>5695.4514480408861</c:v>
                </c:pt>
                <c:pt idx="84">
                  <c:v>5673.767634854772</c:v>
                </c:pt>
                <c:pt idx="85">
                  <c:v>0</c:v>
                </c:pt>
                <c:pt idx="86">
                  <c:v>5526</c:v>
                </c:pt>
                <c:pt idx="87">
                  <c:v>5648.8</c:v>
                </c:pt>
                <c:pt idx="88">
                  <c:v>5885.609544468547</c:v>
                </c:pt>
                <c:pt idx="89">
                  <c:v>5861.5581395348836</c:v>
                </c:pt>
                <c:pt idx="90">
                  <c:v>5783.6030075187973</c:v>
                </c:pt>
                <c:pt idx="91">
                  <c:v>5787.5857988165681</c:v>
                </c:pt>
                <c:pt idx="92">
                  <c:v>5776.8140556368962</c:v>
                </c:pt>
                <c:pt idx="93">
                  <c:v>5755.6519480519482</c:v>
                </c:pt>
                <c:pt idx="94">
                  <c:v>5710.939759036145</c:v>
                </c:pt>
                <c:pt idx="95">
                  <c:v>6045.4741144414165</c:v>
                </c:pt>
                <c:pt idx="96">
                  <c:v>5722.3372093023254</c:v>
                </c:pt>
                <c:pt idx="97">
                  <c:v>5781.5775000000003</c:v>
                </c:pt>
                <c:pt idx="98">
                  <c:v>5758.7081850533805</c:v>
                </c:pt>
                <c:pt idx="99">
                  <c:v>5741.9082672706681</c:v>
                </c:pt>
                <c:pt idx="100">
                  <c:v>0</c:v>
                </c:pt>
                <c:pt idx="101">
                  <c:v>5806.9830508474579</c:v>
                </c:pt>
                <c:pt idx="102">
                  <c:v>5725.5975232198143</c:v>
                </c:pt>
                <c:pt idx="103">
                  <c:v>5766.5159235668789</c:v>
                </c:pt>
                <c:pt idx="104">
                  <c:v>5718.5808325266216</c:v>
                </c:pt>
                <c:pt idx="105">
                  <c:v>5819.045454545455</c:v>
                </c:pt>
                <c:pt idx="106">
                  <c:v>5710.0168986083499</c:v>
                </c:pt>
                <c:pt idx="107">
                  <c:v>5767.5302593659944</c:v>
                </c:pt>
                <c:pt idx="108">
                  <c:v>5735.3599202392825</c:v>
                </c:pt>
                <c:pt idx="109">
                  <c:v>5769.7209720972096</c:v>
                </c:pt>
                <c:pt idx="110">
                  <c:v>5718.9400179051026</c:v>
                </c:pt>
                <c:pt idx="111">
                  <c:v>5756.25</c:v>
                </c:pt>
                <c:pt idx="112">
                  <c:v>5742.8907849829347</c:v>
                </c:pt>
                <c:pt idx="113">
                  <c:v>5711.4519966015296</c:v>
                </c:pt>
                <c:pt idx="114">
                  <c:v>5711.8899082568805</c:v>
                </c:pt>
                <c:pt idx="115">
                  <c:v>5761.8908685968818</c:v>
                </c:pt>
                <c:pt idx="116">
                  <c:v>5706.7025316455693</c:v>
                </c:pt>
                <c:pt idx="117">
                  <c:v>5727.4494983277591</c:v>
                </c:pt>
                <c:pt idx="118">
                  <c:v>5778.6400580551526</c:v>
                </c:pt>
                <c:pt idx="119">
                  <c:v>5690.7573680603155</c:v>
                </c:pt>
                <c:pt idx="120">
                  <c:v>5766.3382731958764</c:v>
                </c:pt>
                <c:pt idx="121">
                  <c:v>5769.1440000000002</c:v>
                </c:pt>
                <c:pt idx="122">
                  <c:v>5762.1109090909094</c:v>
                </c:pt>
                <c:pt idx="123">
                  <c:v>5742.18893129771</c:v>
                </c:pt>
                <c:pt idx="124">
                  <c:v>5782.2350343473991</c:v>
                </c:pt>
                <c:pt idx="125">
                  <c:v>5739.2842105263162</c:v>
                </c:pt>
                <c:pt idx="126">
                  <c:v>0</c:v>
                </c:pt>
                <c:pt idx="127">
                  <c:v>5740.9814323607425</c:v>
                </c:pt>
                <c:pt idx="128">
                  <c:v>5725.7493506493511</c:v>
                </c:pt>
                <c:pt idx="129">
                  <c:v>5708.1508034610633</c:v>
                </c:pt>
                <c:pt idx="130">
                  <c:v>5722.3231827111986</c:v>
                </c:pt>
                <c:pt idx="131">
                  <c:v>5712.2326274977631</c:v>
                </c:pt>
                <c:pt idx="132">
                  <c:v>5755.529445234708</c:v>
                </c:pt>
                <c:pt idx="133">
                  <c:v>5707.293189368771</c:v>
                </c:pt>
                <c:pt idx="134">
                  <c:v>5783.0417626728113</c:v>
                </c:pt>
                <c:pt idx="135">
                  <c:v>5720.6849958552084</c:v>
                </c:pt>
                <c:pt idx="136">
                  <c:v>5706.3947972456008</c:v>
                </c:pt>
                <c:pt idx="137">
                  <c:v>5761.7127713276122</c:v>
                </c:pt>
                <c:pt idx="138">
                  <c:v>5730.5493926197569</c:v>
                </c:pt>
                <c:pt idx="139">
                  <c:v>5765.0672738563444</c:v>
                </c:pt>
                <c:pt idx="140">
                  <c:v>5722.6306748466259</c:v>
                </c:pt>
                <c:pt idx="141">
                  <c:v>5769.4977714748784</c:v>
                </c:pt>
                <c:pt idx="142">
                  <c:v>5774.7262729124241</c:v>
                </c:pt>
                <c:pt idx="143">
                  <c:v>5734.4589509692132</c:v>
                </c:pt>
                <c:pt idx="144">
                  <c:v>5784.6535433070867</c:v>
                </c:pt>
                <c:pt idx="145">
                  <c:v>5762.8587830080369</c:v>
                </c:pt>
                <c:pt idx="146">
                  <c:v>5769.498179169701</c:v>
                </c:pt>
                <c:pt idx="147">
                  <c:v>5753.0958904109593</c:v>
                </c:pt>
                <c:pt idx="148">
                  <c:v>5743.9765458422171</c:v>
                </c:pt>
                <c:pt idx="149">
                  <c:v>5755.783477620188</c:v>
                </c:pt>
                <c:pt idx="150">
                  <c:v>5750.3532334047113</c:v>
                </c:pt>
                <c:pt idx="151">
                  <c:v>5733.2297925483936</c:v>
                </c:pt>
                <c:pt idx="152">
                  <c:v>5725.4904695106861</c:v>
                </c:pt>
                <c:pt idx="153">
                  <c:v>5729.0046403712295</c:v>
                </c:pt>
              </c:numCache>
            </c:numRef>
          </c:yVal>
          <c:smooth val="0"/>
          <c:extLst>
            <c:ext xmlns:c16="http://schemas.microsoft.com/office/drawing/2014/chart" uri="{C3380CC4-5D6E-409C-BE32-E72D297353CC}">
              <c16:uniqueId val="{00000001-A6AA-4D95-A75D-C218E2BDA240}"/>
            </c:ext>
          </c:extLst>
        </c:ser>
        <c:dLbls>
          <c:showLegendKey val="0"/>
          <c:showVal val="0"/>
          <c:showCatName val="0"/>
          <c:showSerName val="0"/>
          <c:showPercent val="0"/>
          <c:showBubbleSize val="0"/>
        </c:dLbls>
        <c:axId val="467474832"/>
        <c:axId val="467475488"/>
      </c:scatterChart>
      <c:valAx>
        <c:axId val="467474832"/>
        <c:scaling>
          <c:orientation val="minMax"/>
          <c:max val="15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Market Value Per Pupil</a:t>
                </a:r>
              </a:p>
            </c:rich>
          </c:tx>
          <c:layout>
            <c:manualLayout>
              <c:xMode val="edge"/>
              <c:yMode val="edge"/>
              <c:x val="0.39711222184183498"/>
              <c:y val="0.803188927371700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5488"/>
        <c:crosses val="autoZero"/>
        <c:crossBetween val="midCat"/>
        <c:majorUnit val="500000"/>
      </c:valAx>
      <c:valAx>
        <c:axId val="467475488"/>
        <c:scaling>
          <c:orientation val="minMax"/>
          <c:max val="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6231884057971015E-2"/>
              <c:y val="0.321206391018813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4832"/>
        <c:crosses val="autoZero"/>
        <c:crossBetween val="midCat"/>
        <c:majorUnit val="5000"/>
      </c:valAx>
      <c:spPr>
        <a:noFill/>
        <a:ln>
          <a:noFill/>
        </a:ln>
        <a:effectLst/>
      </c:spPr>
    </c:plotArea>
    <c:legend>
      <c:legendPos val="b"/>
      <c:layout>
        <c:manualLayout>
          <c:xMode val="edge"/>
          <c:yMode val="edge"/>
          <c:x val="0.28934912701129756"/>
          <c:y val="0.882992673029529"/>
          <c:w val="0.43711605614515575"/>
          <c:h val="7.34699082731722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&gt;300</a:t>
            </a:r>
            <a:endParaRPr lang="en-US" sz="1000">
              <a:solidFill>
                <a:schemeClr val="tx1"/>
              </a:solidFill>
            </a:endParaRPr>
          </a:p>
        </c:rich>
      </c:tx>
      <c:overlay val="0"/>
      <c:spPr>
        <a:noFill/>
        <a:ln>
          <a:noFill/>
        </a:ln>
        <a:effectLst/>
      </c:spPr>
    </c:title>
    <c:autoTitleDeleted val="0"/>
    <c:plotArea>
      <c:layout/>
      <c:scatterChart>
        <c:scatterStyle val="lineMarker"/>
        <c:varyColors val="0"/>
        <c:ser>
          <c:idx val="0"/>
          <c:order val="0"/>
          <c:tx>
            <c:v>Current Per Pupil</c:v>
          </c:tx>
          <c:spPr>
            <a:ln w="19050" cap="rnd">
              <a:noFill/>
              <a:round/>
            </a:ln>
            <a:effectLst/>
          </c:spPr>
          <c:marker>
            <c:symbol val="circle"/>
            <c:size val="5"/>
            <c:spPr>
              <a:solidFill>
                <a:schemeClr val="accent1"/>
              </a:solidFill>
              <a:ln w="9525">
                <a:solidFill>
                  <a:schemeClr val="accent1"/>
                </a:solidFill>
              </a:ln>
              <a:effectLst/>
            </c:spPr>
          </c:marker>
          <c:xVal>
            <c:numRef>
              <c:f>'Graph Data all $'!$C$55:$C$156</c:f>
              <c:numCache>
                <c:formatCode>0%</c:formatCode>
                <c:ptCount val="102"/>
                <c:pt idx="0">
                  <c:v>0.71084337349397586</c:v>
                </c:pt>
                <c:pt idx="1">
                  <c:v>0.81967213114754101</c:v>
                </c:pt>
                <c:pt idx="2">
                  <c:v>0.38141809290953543</c:v>
                </c:pt>
                <c:pt idx="3">
                  <c:v>0.60431654676258995</c:v>
                </c:pt>
                <c:pt idx="4">
                  <c:v>0.51584786053882725</c:v>
                </c:pt>
                <c:pt idx="5">
                  <c:v>0.4140067592940293</c:v>
                </c:pt>
                <c:pt idx="6">
                  <c:v>0.47520661157024796</c:v>
                </c:pt>
                <c:pt idx="7">
                  <c:v>0.5088282504012841</c:v>
                </c:pt>
                <c:pt idx="8">
                  <c:v>0.67589662447257381</c:v>
                </c:pt>
                <c:pt idx="9">
                  <c:v>0.60273972602739723</c:v>
                </c:pt>
                <c:pt idx="10">
                  <c:v>0.41819390371284776</c:v>
                </c:pt>
                <c:pt idx="11">
                  <c:v>0.44638583054092867</c:v>
                </c:pt>
                <c:pt idx="12">
                  <c:v>0.47652366046768552</c:v>
                </c:pt>
                <c:pt idx="13">
                  <c:v>0.5</c:v>
                </c:pt>
                <c:pt idx="14">
                  <c:v>0.3125</c:v>
                </c:pt>
                <c:pt idx="15">
                  <c:v>0.21069182389937108</c:v>
                </c:pt>
                <c:pt idx="16">
                  <c:v>0.42016806722689076</c:v>
                </c:pt>
                <c:pt idx="17">
                  <c:v>0.43973214285714285</c:v>
                </c:pt>
                <c:pt idx="18">
                  <c:v>0.35546875</c:v>
                </c:pt>
                <c:pt idx="19">
                  <c:v>0.44019138755980863</c:v>
                </c:pt>
                <c:pt idx="20">
                  <c:v>0.62875816993464051</c:v>
                </c:pt>
                <c:pt idx="21">
                  <c:v>0.64</c:v>
                </c:pt>
                <c:pt idx="22">
                  <c:v>0.47651006711409394</c:v>
                </c:pt>
                <c:pt idx="23">
                  <c:v>0.93548387096774188</c:v>
                </c:pt>
                <c:pt idx="24">
                  <c:v>0.52439024390243905</c:v>
                </c:pt>
                <c:pt idx="25">
                  <c:v>0.6987951807228916</c:v>
                </c:pt>
                <c:pt idx="26">
                  <c:v>0.70940170940170943</c:v>
                </c:pt>
                <c:pt idx="27">
                  <c:v>0.49624060150375937</c:v>
                </c:pt>
                <c:pt idx="28">
                  <c:v>0.3919336163643381</c:v>
                </c:pt>
                <c:pt idx="29">
                  <c:v>0.46358454718176062</c:v>
                </c:pt>
                <c:pt idx="30">
                  <c:v>0.63497081712062253</c:v>
                </c:pt>
                <c:pt idx="31">
                  <c:v>0.39093242087254065</c:v>
                </c:pt>
                <c:pt idx="32">
                  <c:v>0.8899253731343284</c:v>
                </c:pt>
                <c:pt idx="33">
                  <c:v>0.59340659340659341</c:v>
                </c:pt>
                <c:pt idx="34">
                  <c:v>0.46754675467546752</c:v>
                </c:pt>
                <c:pt idx="35">
                  <c:v>0.66383495145631066</c:v>
                </c:pt>
                <c:pt idx="36">
                  <c:v>0</c:v>
                </c:pt>
                <c:pt idx="37">
                  <c:v>0.64</c:v>
                </c:pt>
                <c:pt idx="38">
                  <c:v>0.60843881856540083</c:v>
                </c:pt>
                <c:pt idx="39">
                  <c:v>0.76732358550540369</c:v>
                </c:pt>
                <c:pt idx="40">
                  <c:v>0.46262626262626261</c:v>
                </c:pt>
                <c:pt idx="41">
                  <c:v>0.46642899584076053</c:v>
                </c:pt>
                <c:pt idx="42">
                  <c:v>0.68577348066298338</c:v>
                </c:pt>
                <c:pt idx="43">
                  <c:v>0</c:v>
                </c:pt>
                <c:pt idx="44">
                  <c:v>0</c:v>
                </c:pt>
                <c:pt idx="45">
                  <c:v>0.49909420289855072</c:v>
                </c:pt>
                <c:pt idx="46">
                  <c:v>0.45794392523364486</c:v>
                </c:pt>
                <c:pt idx="47">
                  <c:v>0.50819672131147542</c:v>
                </c:pt>
                <c:pt idx="48">
                  <c:v>0</c:v>
                </c:pt>
                <c:pt idx="49">
                  <c:v>0.46718576195773082</c:v>
                </c:pt>
                <c:pt idx="50">
                  <c:v>0.59374306634124696</c:v>
                </c:pt>
                <c:pt idx="51">
                  <c:v>0.66640502354788067</c:v>
                </c:pt>
                <c:pt idx="52">
                  <c:v>0.46276923076923077</c:v>
                </c:pt>
                <c:pt idx="53">
                  <c:v>0.34390112842557763</c:v>
                </c:pt>
                <c:pt idx="54">
                  <c:v>0.78333333333333333</c:v>
                </c:pt>
                <c:pt idx="55">
                  <c:v>0</c:v>
                </c:pt>
                <c:pt idx="56">
                  <c:v>0.65346534653465349</c:v>
                </c:pt>
                <c:pt idx="57">
                  <c:v>0.75163398692810457</c:v>
                </c:pt>
                <c:pt idx="58">
                  <c:v>0.33653846153846156</c:v>
                </c:pt>
                <c:pt idx="59">
                  <c:v>0.6</c:v>
                </c:pt>
                <c:pt idx="60">
                  <c:v>0.59727385377942999</c:v>
                </c:pt>
                <c:pt idx="61">
                  <c:v>0.50420168067226889</c:v>
                </c:pt>
                <c:pt idx="62">
                  <c:v>0.6097560975609756</c:v>
                </c:pt>
                <c:pt idx="63">
                  <c:v>0.36138613861386137</c:v>
                </c:pt>
                <c:pt idx="64">
                  <c:v>0.53649105848235867</c:v>
                </c:pt>
                <c:pt idx="65">
                  <c:v>0</c:v>
                </c:pt>
                <c:pt idx="66">
                  <c:v>0.35080645161290325</c:v>
                </c:pt>
                <c:pt idx="67">
                  <c:v>0</c:v>
                </c:pt>
                <c:pt idx="68">
                  <c:v>0.22222222222222221</c:v>
                </c:pt>
                <c:pt idx="69">
                  <c:v>0.52716143840856922</c:v>
                </c:pt>
                <c:pt idx="70">
                  <c:v>0.35971223021582732</c:v>
                </c:pt>
                <c:pt idx="71">
                  <c:v>0.36680327868852458</c:v>
                </c:pt>
                <c:pt idx="72">
                  <c:v>0.4375</c:v>
                </c:pt>
                <c:pt idx="73">
                  <c:v>0.28235294117647058</c:v>
                </c:pt>
                <c:pt idx="74">
                  <c:v>0.42899850523168909</c:v>
                </c:pt>
                <c:pt idx="75">
                  <c:v>0.30804597701149428</c:v>
                </c:pt>
                <c:pt idx="76">
                  <c:v>0.5761316872427984</c:v>
                </c:pt>
                <c:pt idx="77">
                  <c:v>0.46889952153110048</c:v>
                </c:pt>
                <c:pt idx="78">
                  <c:v>0.38695652173913042</c:v>
                </c:pt>
                <c:pt idx="79">
                  <c:v>0</c:v>
                </c:pt>
                <c:pt idx="80">
                  <c:v>0</c:v>
                </c:pt>
                <c:pt idx="81">
                  <c:v>0.30857142857142855</c:v>
                </c:pt>
                <c:pt idx="82">
                  <c:v>0.14613180515759314</c:v>
                </c:pt>
                <c:pt idx="83">
                  <c:v>0.54450261780104714</c:v>
                </c:pt>
                <c:pt idx="84">
                  <c:v>0.17647058823529413</c:v>
                </c:pt>
                <c:pt idx="85">
                  <c:v>0.56399999999999995</c:v>
                </c:pt>
                <c:pt idx="86">
                  <c:v>0.48063380281690143</c:v>
                </c:pt>
                <c:pt idx="87">
                  <c:v>0.38305084745762713</c:v>
                </c:pt>
                <c:pt idx="88">
                  <c:v>0.9101123595505618</c:v>
                </c:pt>
                <c:pt idx="89">
                  <c:v>0</c:v>
                </c:pt>
                <c:pt idx="90">
                  <c:v>0.71296296296296291</c:v>
                </c:pt>
                <c:pt idx="91">
                  <c:v>0.2857142857142857</c:v>
                </c:pt>
                <c:pt idx="92">
                  <c:v>0.90476190476190477</c:v>
                </c:pt>
                <c:pt idx="93">
                  <c:v>0.58888888888888891</c:v>
                </c:pt>
                <c:pt idx="94">
                  <c:v>0</c:v>
                </c:pt>
                <c:pt idx="95">
                  <c:v>0.49315068493150682</c:v>
                </c:pt>
                <c:pt idx="96">
                  <c:v>0.31538461538461537</c:v>
                </c:pt>
                <c:pt idx="97">
                  <c:v>0</c:v>
                </c:pt>
                <c:pt idx="98">
                  <c:v>0.50928792569659442</c:v>
                </c:pt>
                <c:pt idx="99">
                  <c:v>0</c:v>
                </c:pt>
                <c:pt idx="100">
                  <c:v>0</c:v>
                </c:pt>
                <c:pt idx="101">
                  <c:v>0</c:v>
                </c:pt>
              </c:numCache>
            </c:numRef>
          </c:xVal>
          <c:yVal>
            <c:numRef>
              <c:f>'Graph Data all $'!$D$55:$D$156</c:f>
              <c:numCache>
                <c:formatCode>_("$"* #,##0_);_("$"* \(#,##0\);_("$"* "-"??_);_(@_)</c:formatCode>
                <c:ptCount val="102"/>
                <c:pt idx="0">
                  <c:v>10783.863192182411</c:v>
                </c:pt>
                <c:pt idx="1">
                  <c:v>16320.6</c:v>
                </c:pt>
                <c:pt idx="2">
                  <c:v>13472.257294429708</c:v>
                </c:pt>
                <c:pt idx="3">
                  <c:v>22025.698113207549</c:v>
                </c:pt>
                <c:pt idx="4">
                  <c:v>12039.920792079209</c:v>
                </c:pt>
                <c:pt idx="5">
                  <c:v>7154.2248784440844</c:v>
                </c:pt>
                <c:pt idx="6">
                  <c:v>9177.4296296296288</c:v>
                </c:pt>
                <c:pt idx="7">
                  <c:v>9609.5570698466781</c:v>
                </c:pt>
                <c:pt idx="8">
                  <c:v>8051.123186344239</c:v>
                </c:pt>
                <c:pt idx="9">
                  <c:v>9050</c:v>
                </c:pt>
                <c:pt idx="10">
                  <c:v>8291.6877855619859</c:v>
                </c:pt>
                <c:pt idx="11">
                  <c:v>8313.0209130323892</c:v>
                </c:pt>
                <c:pt idx="12">
                  <c:v>7797.5668947168379</c:v>
                </c:pt>
                <c:pt idx="13">
                  <c:v>21804.748251748253</c:v>
                </c:pt>
                <c:pt idx="14">
                  <c:v>11619.981874447392</c:v>
                </c:pt>
                <c:pt idx="15">
                  <c:v>13320.195205479453</c:v>
                </c:pt>
                <c:pt idx="16">
                  <c:v>15081.293859649122</c:v>
                </c:pt>
                <c:pt idx="17">
                  <c:v>11834.04326923077</c:v>
                </c:pt>
                <c:pt idx="18">
                  <c:v>14939.616666666667</c:v>
                </c:pt>
                <c:pt idx="19">
                  <c:v>15745.478672985782</c:v>
                </c:pt>
                <c:pt idx="20">
                  <c:v>9868.0849194729144</c:v>
                </c:pt>
                <c:pt idx="21">
                  <c:v>22821.083333333332</c:v>
                </c:pt>
                <c:pt idx="22">
                  <c:v>18417.159090909092</c:v>
                </c:pt>
                <c:pt idx="23">
                  <c:v>10512.581863979849</c:v>
                </c:pt>
                <c:pt idx="24">
                  <c:v>17204.66891891892</c:v>
                </c:pt>
                <c:pt idx="25">
                  <c:v>10202.639830508475</c:v>
                </c:pt>
                <c:pt idx="26">
                  <c:v>11458.348837209302</c:v>
                </c:pt>
                <c:pt idx="27">
                  <c:v>11377</c:v>
                </c:pt>
                <c:pt idx="28">
                  <c:v>8447.3390602359759</c:v>
                </c:pt>
                <c:pt idx="29">
                  <c:v>8091.61000685401</c:v>
                </c:pt>
                <c:pt idx="30">
                  <c:v>8316.42200908632</c:v>
                </c:pt>
                <c:pt idx="31">
                  <c:v>9749.7338986935592</c:v>
                </c:pt>
                <c:pt idx="32">
                  <c:v>17233.581291759467</c:v>
                </c:pt>
                <c:pt idx="33">
                  <c:v>24645.211267605635</c:v>
                </c:pt>
                <c:pt idx="34">
                  <c:v>8027.5112499999996</c:v>
                </c:pt>
                <c:pt idx="35">
                  <c:v>9030.0775193798454</c:v>
                </c:pt>
                <c:pt idx="36">
                  <c:v>23757</c:v>
                </c:pt>
                <c:pt idx="37">
                  <c:v>17699.882142857143</c:v>
                </c:pt>
                <c:pt idx="38">
                  <c:v>7494.7752909579231</c:v>
                </c:pt>
                <c:pt idx="39">
                  <c:v>8410.1161103047889</c:v>
                </c:pt>
                <c:pt idx="40">
                  <c:v>8425.6851642129113</c:v>
                </c:pt>
                <c:pt idx="41">
                  <c:v>7674.5502544529263</c:v>
                </c:pt>
                <c:pt idx="42">
                  <c:v>10971.983667409057</c:v>
                </c:pt>
                <c:pt idx="43">
                  <c:v>12552.333333333334</c:v>
                </c:pt>
                <c:pt idx="44">
                  <c:v>19401.722222222223</c:v>
                </c:pt>
                <c:pt idx="45">
                  <c:v>12149.192422731805</c:v>
                </c:pt>
                <c:pt idx="46">
                  <c:v>21921.57894736842</c:v>
                </c:pt>
                <c:pt idx="47">
                  <c:v>13398.028384279476</c:v>
                </c:pt>
                <c:pt idx="48">
                  <c:v>100112.6</c:v>
                </c:pt>
                <c:pt idx="49">
                  <c:v>10169.931692307693</c:v>
                </c:pt>
                <c:pt idx="50">
                  <c:v>9166.7160718621017</c:v>
                </c:pt>
                <c:pt idx="51">
                  <c:v>9170.3460884353735</c:v>
                </c:pt>
                <c:pt idx="52">
                  <c:v>8346.2193979933108</c:v>
                </c:pt>
                <c:pt idx="53">
                  <c:v>7553.4084848484845</c:v>
                </c:pt>
                <c:pt idx="54">
                  <c:v>12149.501779359431</c:v>
                </c:pt>
                <c:pt idx="55">
                  <c:v>20255.333333333332</c:v>
                </c:pt>
                <c:pt idx="56">
                  <c:v>10813.964285714286</c:v>
                </c:pt>
                <c:pt idx="57">
                  <c:v>11737.445736434109</c:v>
                </c:pt>
                <c:pt idx="58">
                  <c:v>15865.987616099072</c:v>
                </c:pt>
                <c:pt idx="59">
                  <c:v>12025.727626459144</c:v>
                </c:pt>
                <c:pt idx="60">
                  <c:v>7731.2074542897326</c:v>
                </c:pt>
                <c:pt idx="61">
                  <c:v>16685.372727272726</c:v>
                </c:pt>
                <c:pt idx="62">
                  <c:v>15480.548672566372</c:v>
                </c:pt>
                <c:pt idx="63">
                  <c:v>7762.6292428198431</c:v>
                </c:pt>
                <c:pt idx="64">
                  <c:v>6049.1982480405713</c:v>
                </c:pt>
                <c:pt idx="65">
                  <c:v>7150.8011869436205</c:v>
                </c:pt>
                <c:pt idx="66">
                  <c:v>10808.657534246575</c:v>
                </c:pt>
                <c:pt idx="67">
                  <c:v>7037.9746514575409</c:v>
                </c:pt>
                <c:pt idx="68">
                  <c:v>6847.4759999999997</c:v>
                </c:pt>
                <c:pt idx="69">
                  <c:v>5192.5715835141</c:v>
                </c:pt>
                <c:pt idx="70">
                  <c:v>8332.1700507614205</c:v>
                </c:pt>
                <c:pt idx="71">
                  <c:v>5726.1464530892445</c:v>
                </c:pt>
                <c:pt idx="72">
                  <c:v>7872.921875</c:v>
                </c:pt>
                <c:pt idx="73">
                  <c:v>6214.1502347417836</c:v>
                </c:pt>
                <c:pt idx="74">
                  <c:v>6889.8437001594893</c:v>
                </c:pt>
                <c:pt idx="75">
                  <c:v>6739.425068119891</c:v>
                </c:pt>
                <c:pt idx="76">
                  <c:v>8829.7623318385649</c:v>
                </c:pt>
                <c:pt idx="77">
                  <c:v>5005.6792873051227</c:v>
                </c:pt>
                <c:pt idx="78">
                  <c:v>7735.1412213740459</c:v>
                </c:pt>
                <c:pt idx="79">
                  <c:v>7478.4208333333336</c:v>
                </c:pt>
                <c:pt idx="80">
                  <c:v>6517.7950819672133</c:v>
                </c:pt>
                <c:pt idx="81">
                  <c:v>8059.6530612244896</c:v>
                </c:pt>
                <c:pt idx="82">
                  <c:v>6741.525362318841</c:v>
                </c:pt>
                <c:pt idx="83">
                  <c:v>7429.7683615819205</c:v>
                </c:pt>
                <c:pt idx="84">
                  <c:v>7040.4953161592503</c:v>
                </c:pt>
                <c:pt idx="85">
                  <c:v>8867.6029776674932</c:v>
                </c:pt>
                <c:pt idx="86">
                  <c:v>5513.9375</c:v>
                </c:pt>
                <c:pt idx="87">
                  <c:v>6457.097826086957</c:v>
                </c:pt>
                <c:pt idx="88">
                  <c:v>8973.7707006369419</c:v>
                </c:pt>
                <c:pt idx="89">
                  <c:v>6464.9638242894052</c:v>
                </c:pt>
                <c:pt idx="90">
                  <c:v>6771.5184381778745</c:v>
                </c:pt>
                <c:pt idx="91">
                  <c:v>7054.4788135593217</c:v>
                </c:pt>
                <c:pt idx="92">
                  <c:v>26572.354430379746</c:v>
                </c:pt>
                <c:pt idx="93">
                  <c:v>12426.556962025317</c:v>
                </c:pt>
                <c:pt idx="94">
                  <c:v>9130.4148936170204</c:v>
                </c:pt>
                <c:pt idx="95">
                  <c:v>13976.684365781712</c:v>
                </c:pt>
                <c:pt idx="96">
                  <c:v>9968.0423728813566</c:v>
                </c:pt>
                <c:pt idx="97">
                  <c:v>9645.5932203389839</c:v>
                </c:pt>
                <c:pt idx="98">
                  <c:v>6868.1806020066888</c:v>
                </c:pt>
                <c:pt idx="99">
                  <c:v>6481.4341192787797</c:v>
                </c:pt>
                <c:pt idx="100">
                  <c:v>6272.4949037372589</c:v>
                </c:pt>
                <c:pt idx="101">
                  <c:v>8603.1875</c:v>
                </c:pt>
              </c:numCache>
            </c:numRef>
          </c:yVal>
          <c:smooth val="0"/>
          <c:extLst>
            <c:ext xmlns:c16="http://schemas.microsoft.com/office/drawing/2014/chart" uri="{C3380CC4-5D6E-409C-BE32-E72D297353CC}">
              <c16:uniqueId val="{00000008-08B8-453A-9FDF-E00A2261549A}"/>
            </c:ext>
          </c:extLst>
        </c:ser>
        <c:ser>
          <c:idx val="1"/>
          <c:order val="1"/>
          <c:tx>
            <c:v>Per Pupil with SBB</c:v>
          </c:tx>
          <c:spPr>
            <a:ln w="25400" cap="rnd">
              <a:noFill/>
              <a:round/>
            </a:ln>
            <a:effectLst/>
          </c:spPr>
          <c:marker>
            <c:symbol val="circle"/>
            <c:size val="5"/>
            <c:spPr>
              <a:solidFill>
                <a:schemeClr val="accent2"/>
              </a:solidFill>
              <a:ln w="9525">
                <a:solidFill>
                  <a:schemeClr val="accent2"/>
                </a:solidFill>
              </a:ln>
              <a:effectLst/>
            </c:spPr>
          </c:marker>
          <c:xVal>
            <c:numRef>
              <c:f>'Graph Data all $'!$C$55:$C$156</c:f>
              <c:numCache>
                <c:formatCode>0%</c:formatCode>
                <c:ptCount val="102"/>
                <c:pt idx="0">
                  <c:v>0.71084337349397586</c:v>
                </c:pt>
                <c:pt idx="1">
                  <c:v>0.81967213114754101</c:v>
                </c:pt>
                <c:pt idx="2">
                  <c:v>0.38141809290953543</c:v>
                </c:pt>
                <c:pt idx="3">
                  <c:v>0.60431654676258995</c:v>
                </c:pt>
                <c:pt idx="4">
                  <c:v>0.51584786053882725</c:v>
                </c:pt>
                <c:pt idx="5">
                  <c:v>0.4140067592940293</c:v>
                </c:pt>
                <c:pt idx="6">
                  <c:v>0.47520661157024796</c:v>
                </c:pt>
                <c:pt idx="7">
                  <c:v>0.5088282504012841</c:v>
                </c:pt>
                <c:pt idx="8">
                  <c:v>0.67589662447257381</c:v>
                </c:pt>
                <c:pt idx="9">
                  <c:v>0.60273972602739723</c:v>
                </c:pt>
                <c:pt idx="10">
                  <c:v>0.41819390371284776</c:v>
                </c:pt>
                <c:pt idx="11">
                  <c:v>0.44638583054092867</c:v>
                </c:pt>
                <c:pt idx="12">
                  <c:v>0.47652366046768552</c:v>
                </c:pt>
                <c:pt idx="13">
                  <c:v>0.5</c:v>
                </c:pt>
                <c:pt idx="14">
                  <c:v>0.3125</c:v>
                </c:pt>
                <c:pt idx="15">
                  <c:v>0.21069182389937108</c:v>
                </c:pt>
                <c:pt idx="16">
                  <c:v>0.42016806722689076</c:v>
                </c:pt>
                <c:pt idx="17">
                  <c:v>0.43973214285714285</c:v>
                </c:pt>
                <c:pt idx="18">
                  <c:v>0.35546875</c:v>
                </c:pt>
                <c:pt idx="19">
                  <c:v>0.44019138755980863</c:v>
                </c:pt>
                <c:pt idx="20">
                  <c:v>0.62875816993464051</c:v>
                </c:pt>
                <c:pt idx="21">
                  <c:v>0.64</c:v>
                </c:pt>
                <c:pt idx="22">
                  <c:v>0.47651006711409394</c:v>
                </c:pt>
                <c:pt idx="23">
                  <c:v>0.93548387096774188</c:v>
                </c:pt>
                <c:pt idx="24">
                  <c:v>0.52439024390243905</c:v>
                </c:pt>
                <c:pt idx="25">
                  <c:v>0.6987951807228916</c:v>
                </c:pt>
                <c:pt idx="26">
                  <c:v>0.70940170940170943</c:v>
                </c:pt>
                <c:pt idx="27">
                  <c:v>0.49624060150375937</c:v>
                </c:pt>
                <c:pt idx="28">
                  <c:v>0.3919336163643381</c:v>
                </c:pt>
                <c:pt idx="29">
                  <c:v>0.46358454718176062</c:v>
                </c:pt>
                <c:pt idx="30">
                  <c:v>0.63497081712062253</c:v>
                </c:pt>
                <c:pt idx="31">
                  <c:v>0.39093242087254065</c:v>
                </c:pt>
                <c:pt idx="32">
                  <c:v>0.8899253731343284</c:v>
                </c:pt>
                <c:pt idx="33">
                  <c:v>0.59340659340659341</c:v>
                </c:pt>
                <c:pt idx="34">
                  <c:v>0.46754675467546752</c:v>
                </c:pt>
                <c:pt idx="35">
                  <c:v>0.66383495145631066</c:v>
                </c:pt>
                <c:pt idx="36">
                  <c:v>0</c:v>
                </c:pt>
                <c:pt idx="37">
                  <c:v>0.64</c:v>
                </c:pt>
                <c:pt idx="38">
                  <c:v>0.60843881856540083</c:v>
                </c:pt>
                <c:pt idx="39">
                  <c:v>0.76732358550540369</c:v>
                </c:pt>
                <c:pt idx="40">
                  <c:v>0.46262626262626261</c:v>
                </c:pt>
                <c:pt idx="41">
                  <c:v>0.46642899584076053</c:v>
                </c:pt>
                <c:pt idx="42">
                  <c:v>0.68577348066298338</c:v>
                </c:pt>
                <c:pt idx="43">
                  <c:v>0</c:v>
                </c:pt>
                <c:pt idx="44">
                  <c:v>0</c:v>
                </c:pt>
                <c:pt idx="45">
                  <c:v>0.49909420289855072</c:v>
                </c:pt>
                <c:pt idx="46">
                  <c:v>0.45794392523364486</c:v>
                </c:pt>
                <c:pt idx="47">
                  <c:v>0.50819672131147542</c:v>
                </c:pt>
                <c:pt idx="48">
                  <c:v>0</c:v>
                </c:pt>
                <c:pt idx="49">
                  <c:v>0.46718576195773082</c:v>
                </c:pt>
                <c:pt idx="50">
                  <c:v>0.59374306634124696</c:v>
                </c:pt>
                <c:pt idx="51">
                  <c:v>0.66640502354788067</c:v>
                </c:pt>
                <c:pt idx="52">
                  <c:v>0.46276923076923077</c:v>
                </c:pt>
                <c:pt idx="53">
                  <c:v>0.34390112842557763</c:v>
                </c:pt>
                <c:pt idx="54">
                  <c:v>0.78333333333333333</c:v>
                </c:pt>
                <c:pt idx="55">
                  <c:v>0</c:v>
                </c:pt>
                <c:pt idx="56">
                  <c:v>0.65346534653465349</c:v>
                </c:pt>
                <c:pt idx="57">
                  <c:v>0.75163398692810457</c:v>
                </c:pt>
                <c:pt idx="58">
                  <c:v>0.33653846153846156</c:v>
                </c:pt>
                <c:pt idx="59">
                  <c:v>0.6</c:v>
                </c:pt>
                <c:pt idx="60">
                  <c:v>0.59727385377942999</c:v>
                </c:pt>
                <c:pt idx="61">
                  <c:v>0.50420168067226889</c:v>
                </c:pt>
                <c:pt idx="62">
                  <c:v>0.6097560975609756</c:v>
                </c:pt>
                <c:pt idx="63">
                  <c:v>0.36138613861386137</c:v>
                </c:pt>
                <c:pt idx="64">
                  <c:v>0.53649105848235867</c:v>
                </c:pt>
                <c:pt idx="65">
                  <c:v>0</c:v>
                </c:pt>
                <c:pt idx="66">
                  <c:v>0.35080645161290325</c:v>
                </c:pt>
                <c:pt idx="67">
                  <c:v>0</c:v>
                </c:pt>
                <c:pt idx="68">
                  <c:v>0.22222222222222221</c:v>
                </c:pt>
                <c:pt idx="69">
                  <c:v>0.52716143840856922</c:v>
                </c:pt>
                <c:pt idx="70">
                  <c:v>0.35971223021582732</c:v>
                </c:pt>
                <c:pt idx="71">
                  <c:v>0.36680327868852458</c:v>
                </c:pt>
                <c:pt idx="72">
                  <c:v>0.4375</c:v>
                </c:pt>
                <c:pt idx="73">
                  <c:v>0.28235294117647058</c:v>
                </c:pt>
                <c:pt idx="74">
                  <c:v>0.42899850523168909</c:v>
                </c:pt>
                <c:pt idx="75">
                  <c:v>0.30804597701149428</c:v>
                </c:pt>
                <c:pt idx="76">
                  <c:v>0.5761316872427984</c:v>
                </c:pt>
                <c:pt idx="77">
                  <c:v>0.46889952153110048</c:v>
                </c:pt>
                <c:pt idx="78">
                  <c:v>0.38695652173913042</c:v>
                </c:pt>
                <c:pt idx="79">
                  <c:v>0</c:v>
                </c:pt>
                <c:pt idx="80">
                  <c:v>0</c:v>
                </c:pt>
                <c:pt idx="81">
                  <c:v>0.30857142857142855</c:v>
                </c:pt>
                <c:pt idx="82">
                  <c:v>0.14613180515759314</c:v>
                </c:pt>
                <c:pt idx="83">
                  <c:v>0.54450261780104714</c:v>
                </c:pt>
                <c:pt idx="84">
                  <c:v>0.17647058823529413</c:v>
                </c:pt>
                <c:pt idx="85">
                  <c:v>0.56399999999999995</c:v>
                </c:pt>
                <c:pt idx="86">
                  <c:v>0.48063380281690143</c:v>
                </c:pt>
                <c:pt idx="87">
                  <c:v>0.38305084745762713</c:v>
                </c:pt>
                <c:pt idx="88">
                  <c:v>0.9101123595505618</c:v>
                </c:pt>
                <c:pt idx="89">
                  <c:v>0</c:v>
                </c:pt>
                <c:pt idx="90">
                  <c:v>0.71296296296296291</c:v>
                </c:pt>
                <c:pt idx="91">
                  <c:v>0.2857142857142857</c:v>
                </c:pt>
                <c:pt idx="92">
                  <c:v>0.90476190476190477</c:v>
                </c:pt>
                <c:pt idx="93">
                  <c:v>0.58888888888888891</c:v>
                </c:pt>
                <c:pt idx="94">
                  <c:v>0</c:v>
                </c:pt>
                <c:pt idx="95">
                  <c:v>0.49315068493150682</c:v>
                </c:pt>
                <c:pt idx="96">
                  <c:v>0.31538461538461537</c:v>
                </c:pt>
                <c:pt idx="97">
                  <c:v>0</c:v>
                </c:pt>
                <c:pt idx="98">
                  <c:v>0.50928792569659442</c:v>
                </c:pt>
                <c:pt idx="99">
                  <c:v>0</c:v>
                </c:pt>
                <c:pt idx="100">
                  <c:v>0</c:v>
                </c:pt>
                <c:pt idx="101">
                  <c:v>0</c:v>
                </c:pt>
              </c:numCache>
            </c:numRef>
          </c:xVal>
          <c:yVal>
            <c:numRef>
              <c:f>'Graph Data all $'!$G$55:$G$156</c:f>
              <c:numCache>
                <c:formatCode>_("$"* #,##0_);_("$"* \(#,##0\);_("$"* "-"??_);_(@_)</c:formatCode>
                <c:ptCount val="102"/>
                <c:pt idx="0">
                  <c:v>8720.7453694589713</c:v>
                </c:pt>
                <c:pt idx="1">
                  <c:v>16320.6</c:v>
                </c:pt>
                <c:pt idx="2">
                  <c:v>10706.786852400239</c:v>
                </c:pt>
                <c:pt idx="3">
                  <c:v>22025.698113207549</c:v>
                </c:pt>
                <c:pt idx="4">
                  <c:v>10255.631679369277</c:v>
                </c:pt>
                <c:pt idx="5">
                  <c:v>8236.0539061490581</c:v>
                </c:pt>
                <c:pt idx="6">
                  <c:v>9139.6335147249938</c:v>
                </c:pt>
                <c:pt idx="7">
                  <c:v>9306.1098008425779</c:v>
                </c:pt>
                <c:pt idx="8">
                  <c:v>9244.304261834588</c:v>
                </c:pt>
                <c:pt idx="9">
                  <c:v>8511.0129292961101</c:v>
                </c:pt>
                <c:pt idx="10">
                  <c:v>7236.1760420711198</c:v>
                </c:pt>
                <c:pt idx="11">
                  <c:v>7826.0444179302067</c:v>
                </c:pt>
                <c:pt idx="12">
                  <c:v>7856.4136953449088</c:v>
                </c:pt>
                <c:pt idx="13">
                  <c:v>21804.748251748253</c:v>
                </c:pt>
                <c:pt idx="14">
                  <c:v>10709.703641884305</c:v>
                </c:pt>
                <c:pt idx="15">
                  <c:v>13320.195205479453</c:v>
                </c:pt>
                <c:pt idx="16">
                  <c:v>15081.293859649122</c:v>
                </c:pt>
                <c:pt idx="17">
                  <c:v>9893.5328535253939</c:v>
                </c:pt>
                <c:pt idx="18">
                  <c:v>14939.616666666667</c:v>
                </c:pt>
                <c:pt idx="19">
                  <c:v>15745.478672985781</c:v>
                </c:pt>
                <c:pt idx="20">
                  <c:v>7740.7170241285239</c:v>
                </c:pt>
                <c:pt idx="21">
                  <c:v>22821.083333333336</c:v>
                </c:pt>
                <c:pt idx="22">
                  <c:v>18417.159090909092</c:v>
                </c:pt>
                <c:pt idx="23">
                  <c:v>10343.517635784519</c:v>
                </c:pt>
                <c:pt idx="24">
                  <c:v>17204.66891891892</c:v>
                </c:pt>
                <c:pt idx="25">
                  <c:v>9711.3829813213142</c:v>
                </c:pt>
                <c:pt idx="26">
                  <c:v>11458.348837209302</c:v>
                </c:pt>
                <c:pt idx="27">
                  <c:v>11377</c:v>
                </c:pt>
                <c:pt idx="28">
                  <c:v>9078.630951613095</c:v>
                </c:pt>
                <c:pt idx="29">
                  <c:v>8791.2606058079728</c:v>
                </c:pt>
                <c:pt idx="30">
                  <c:v>8981.3659218104658</c:v>
                </c:pt>
                <c:pt idx="31">
                  <c:v>9115.6591028382209</c:v>
                </c:pt>
                <c:pt idx="32">
                  <c:v>17396.759463930175</c:v>
                </c:pt>
                <c:pt idx="33">
                  <c:v>24645.211267605635</c:v>
                </c:pt>
                <c:pt idx="34">
                  <c:v>8015.7916513158953</c:v>
                </c:pt>
                <c:pt idx="35">
                  <c:v>9737.7614911507753</c:v>
                </c:pt>
                <c:pt idx="36">
                  <c:v>23757</c:v>
                </c:pt>
                <c:pt idx="37">
                  <c:v>17699.882142857143</c:v>
                </c:pt>
                <c:pt idx="38">
                  <c:v>8789.1052340205297</c:v>
                </c:pt>
                <c:pt idx="39">
                  <c:v>9492.907107064415</c:v>
                </c:pt>
                <c:pt idx="40">
                  <c:v>7574.2828982443361</c:v>
                </c:pt>
                <c:pt idx="41">
                  <c:v>7874.5151293057343</c:v>
                </c:pt>
                <c:pt idx="42">
                  <c:v>10740.697147994993</c:v>
                </c:pt>
                <c:pt idx="43">
                  <c:v>12552.333333333334</c:v>
                </c:pt>
                <c:pt idx="44">
                  <c:v>19401.722222222223</c:v>
                </c:pt>
                <c:pt idx="45">
                  <c:v>11682.057016990238</c:v>
                </c:pt>
                <c:pt idx="46">
                  <c:v>21921.57894736842</c:v>
                </c:pt>
                <c:pt idx="47">
                  <c:v>12149.097861541033</c:v>
                </c:pt>
                <c:pt idx="48">
                  <c:v>100112.6</c:v>
                </c:pt>
                <c:pt idx="49">
                  <c:v>8612.888937958176</c:v>
                </c:pt>
                <c:pt idx="50">
                  <c:v>9800.028233265788</c:v>
                </c:pt>
                <c:pt idx="51">
                  <c:v>9310.194765384369</c:v>
                </c:pt>
                <c:pt idx="52">
                  <c:v>8580.8533793674869</c:v>
                </c:pt>
                <c:pt idx="53">
                  <c:v>7809.8751557906517</c:v>
                </c:pt>
                <c:pt idx="54">
                  <c:v>12149.501779359431</c:v>
                </c:pt>
                <c:pt idx="55">
                  <c:v>20255.333333333332</c:v>
                </c:pt>
                <c:pt idx="56">
                  <c:v>10813.964285714286</c:v>
                </c:pt>
                <c:pt idx="57">
                  <c:v>11737.445736434109</c:v>
                </c:pt>
                <c:pt idx="58">
                  <c:v>10225.498452012383</c:v>
                </c:pt>
                <c:pt idx="59">
                  <c:v>12025.727626459144</c:v>
                </c:pt>
                <c:pt idx="60">
                  <c:v>8359.8918512185537</c:v>
                </c:pt>
                <c:pt idx="61">
                  <c:v>16685.372727272726</c:v>
                </c:pt>
                <c:pt idx="62">
                  <c:v>15480.54867256637</c:v>
                </c:pt>
                <c:pt idx="63">
                  <c:v>7840.7687005858597</c:v>
                </c:pt>
                <c:pt idx="64">
                  <c:v>8620.6240830487295</c:v>
                </c:pt>
                <c:pt idx="65">
                  <c:v>5528.4891507280063</c:v>
                </c:pt>
                <c:pt idx="66">
                  <c:v>11583.758405140668</c:v>
                </c:pt>
                <c:pt idx="67">
                  <c:v>7116.4607238796125</c:v>
                </c:pt>
                <c:pt idx="68">
                  <c:v>7058.5640000000003</c:v>
                </c:pt>
                <c:pt idx="69">
                  <c:v>7908.2321937377283</c:v>
                </c:pt>
                <c:pt idx="70">
                  <c:v>8265.8228540014206</c:v>
                </c:pt>
                <c:pt idx="71">
                  <c:v>7201.2586613823141</c:v>
                </c:pt>
                <c:pt idx="72">
                  <c:v>8264.1017944594605</c:v>
                </c:pt>
                <c:pt idx="73">
                  <c:v>7013.1018184802188</c:v>
                </c:pt>
                <c:pt idx="74">
                  <c:v>7813.4731094465687</c:v>
                </c:pt>
                <c:pt idx="75">
                  <c:v>7818.983986246315</c:v>
                </c:pt>
                <c:pt idx="76">
                  <c:v>9554.3695399435328</c:v>
                </c:pt>
                <c:pt idx="77">
                  <c:v>7062.6759575551487</c:v>
                </c:pt>
                <c:pt idx="78">
                  <c:v>7735.1412213740459</c:v>
                </c:pt>
                <c:pt idx="79">
                  <c:v>7478.4208333333336</c:v>
                </c:pt>
                <c:pt idx="80">
                  <c:v>6517.7950819672133</c:v>
                </c:pt>
                <c:pt idx="81">
                  <c:v>8332.9084353741491</c:v>
                </c:pt>
                <c:pt idx="82">
                  <c:v>7534.4559715128107</c:v>
                </c:pt>
                <c:pt idx="83">
                  <c:v>9373.6702753867539</c:v>
                </c:pt>
                <c:pt idx="84">
                  <c:v>7669.5883187310537</c:v>
                </c:pt>
                <c:pt idx="85">
                  <c:v>9156.2956038577231</c:v>
                </c:pt>
                <c:pt idx="86">
                  <c:v>7839.3934470190479</c:v>
                </c:pt>
                <c:pt idx="87">
                  <c:v>7672.9573446327677</c:v>
                </c:pt>
                <c:pt idx="88">
                  <c:v>10957.417412152006</c:v>
                </c:pt>
                <c:pt idx="89">
                  <c:v>6600.9460895175998</c:v>
                </c:pt>
                <c:pt idx="90">
                  <c:v>9250.8579574656069</c:v>
                </c:pt>
                <c:pt idx="91">
                  <c:v>7619.0780871670704</c:v>
                </c:pt>
                <c:pt idx="92">
                  <c:v>27245.103074141047</c:v>
                </c:pt>
                <c:pt idx="93">
                  <c:v>12426.556962025317</c:v>
                </c:pt>
                <c:pt idx="94">
                  <c:v>9130.4148936170204</c:v>
                </c:pt>
                <c:pt idx="95">
                  <c:v>13979.863777919576</c:v>
                </c:pt>
                <c:pt idx="96">
                  <c:v>10656.678096479791</c:v>
                </c:pt>
                <c:pt idx="97">
                  <c:v>9645.5932203389839</c:v>
                </c:pt>
                <c:pt idx="98">
                  <c:v>7976.3397358333132</c:v>
                </c:pt>
                <c:pt idx="99">
                  <c:v>6118.7433188179903</c:v>
                </c:pt>
                <c:pt idx="100">
                  <c:v>6654.8754266083843</c:v>
                </c:pt>
                <c:pt idx="101">
                  <c:v>8603.1875</c:v>
                </c:pt>
              </c:numCache>
            </c:numRef>
          </c:yVal>
          <c:smooth val="0"/>
          <c:extLst>
            <c:ext xmlns:c16="http://schemas.microsoft.com/office/drawing/2014/chart" uri="{C3380CC4-5D6E-409C-BE32-E72D297353CC}">
              <c16:uniqueId val="{0000000A-08B8-453A-9FDF-E00A2261549A}"/>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18518518517E-2"/>
              <c:y val="0.29051728533933258"/>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'Graphics for PPT'!$B$2</c:f>
              <c:strCache>
                <c:ptCount val="1"/>
                <c:pt idx="0">
                  <c:v>Federal </c:v>
                </c:pt>
              </c:strCache>
            </c:strRef>
          </c:tx>
          <c:spPr>
            <a:solidFill>
              <a:schemeClr val="accent1"/>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0-C53A-4D15-AD9D-7C2A3D669185}"/>
            </c:ext>
          </c:extLst>
        </c:ser>
        <c:ser>
          <c:idx val="1"/>
          <c:order val="1"/>
          <c:tx>
            <c:strRef>
              <c:f>'Graphics for PPT'!$C$2</c:f>
              <c:strCache>
                <c:ptCount val="1"/>
                <c:pt idx="0">
                  <c:v>State</c:v>
                </c:pt>
              </c:strCache>
            </c:strRef>
          </c:tx>
          <c:spPr>
            <a:solidFill>
              <a:schemeClr val="accent2"/>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1-C53A-4D15-AD9D-7C2A3D669185}"/>
            </c:ext>
          </c:extLst>
        </c:ser>
        <c:ser>
          <c:idx val="2"/>
          <c:order val="2"/>
          <c:tx>
            <c:strRef>
              <c:f>'Graphics for PPT'!$D$2</c:f>
              <c:strCache>
                <c:ptCount val="1"/>
                <c:pt idx="0">
                  <c:v>Local</c:v>
                </c:pt>
              </c:strCache>
            </c:strRef>
          </c:tx>
          <c:spPr>
            <a:solidFill>
              <a:schemeClr val="accent3"/>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2-C53A-4D15-AD9D-7C2A3D669185}"/>
            </c:ext>
          </c:extLst>
        </c:ser>
        <c:dLbls>
          <c:showLegendKey val="0"/>
          <c:showVal val="0"/>
          <c:showCatName val="0"/>
          <c:showSerName val="0"/>
          <c:showPercent val="0"/>
          <c:showBubbleSize val="0"/>
        </c:dLbls>
        <c:gapWidth val="150"/>
        <c:overlap val="100"/>
        <c:axId val="429716592"/>
        <c:axId val="429716920"/>
      </c:barChart>
      <c:catAx>
        <c:axId val="429716592"/>
        <c:scaling>
          <c:orientation val="minMax"/>
        </c:scaling>
        <c:delete val="1"/>
        <c:axPos val="b"/>
        <c:numFmt formatCode="General" sourceLinked="1"/>
        <c:majorTickMark val="none"/>
        <c:minorTickMark val="none"/>
        <c:tickLblPos val="nextTo"/>
        <c:crossAx val="429716920"/>
        <c:crosses val="autoZero"/>
        <c:auto val="1"/>
        <c:lblAlgn val="ctr"/>
        <c:lblOffset val="100"/>
        <c:noMultiLvlLbl val="0"/>
      </c:catAx>
      <c:valAx>
        <c:axId val="42971692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2971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'Graphics for PPT'!$I$2</c:f>
              <c:strCache>
                <c:ptCount val="1"/>
                <c:pt idx="0">
                  <c:v>Federal </c:v>
                </c:pt>
              </c:strCache>
            </c:strRef>
          </c:tx>
          <c:spPr>
            <a:solidFill>
              <a:schemeClr val="accent1"/>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0-FB17-45C1-85D1-7197CA3E1A8E}"/>
            </c:ext>
          </c:extLst>
        </c:ser>
        <c:ser>
          <c:idx val="1"/>
          <c:order val="1"/>
          <c:tx>
            <c:strRef>
              <c:f>'Graphics for PPT'!$G$2</c:f>
              <c:strCache>
                <c:ptCount val="1"/>
                <c:pt idx="0">
                  <c:v>State</c:v>
                </c:pt>
              </c:strCache>
            </c:strRef>
          </c:tx>
          <c:spPr>
            <a:solidFill>
              <a:schemeClr val="accent2"/>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1-FB17-45C1-85D1-7197CA3E1A8E}"/>
            </c:ext>
          </c:extLst>
        </c:ser>
        <c:ser>
          <c:idx val="2"/>
          <c:order val="2"/>
          <c:tx>
            <c:strRef>
              <c:f>'Graphics for PPT'!$H$2</c:f>
              <c:strCache>
                <c:ptCount val="1"/>
                <c:pt idx="0">
                  <c:v>Local</c:v>
                </c:pt>
              </c:strCache>
            </c:strRef>
          </c:tx>
          <c:spPr>
            <a:solidFill>
              <a:schemeClr val="accent3"/>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2-FB17-45C1-85D1-7197CA3E1A8E}"/>
            </c:ext>
          </c:extLst>
        </c:ser>
        <c:dLbls>
          <c:showLegendKey val="0"/>
          <c:showVal val="0"/>
          <c:showCatName val="0"/>
          <c:showSerName val="0"/>
          <c:showPercent val="0"/>
          <c:showBubbleSize val="0"/>
        </c:dLbls>
        <c:gapWidth val="150"/>
        <c:overlap val="100"/>
        <c:axId val="1026129160"/>
        <c:axId val="1026128504"/>
      </c:barChart>
      <c:catAx>
        <c:axId val="1026129160"/>
        <c:scaling>
          <c:orientation val="minMax"/>
        </c:scaling>
        <c:delete val="1"/>
        <c:axPos val="b"/>
        <c:numFmt formatCode="General" sourceLinked="1"/>
        <c:majorTickMark val="none"/>
        <c:minorTickMark val="none"/>
        <c:tickLblPos val="nextTo"/>
        <c:crossAx val="1026128504"/>
        <c:crosses val="autoZero"/>
        <c:auto val="1"/>
        <c:lblAlgn val="ctr"/>
        <c:lblOffset val="100"/>
        <c:noMultiLvlLbl val="0"/>
      </c:catAx>
      <c:valAx>
        <c:axId val="102612850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26129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'Graphics for PPT'!$G$2</c:f>
              <c:strCache>
                <c:ptCount val="1"/>
                <c:pt idx="0">
                  <c:v>State</c:v>
                </c:pt>
              </c:strCache>
            </c:strRef>
          </c:tx>
          <c:spPr>
            <a:solidFill>
              <a:schemeClr val="accent1"/>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0-35B6-4961-8917-A9C9FE788327}"/>
            </c:ext>
          </c:extLst>
        </c:ser>
        <c:ser>
          <c:idx val="1"/>
          <c:order val="1"/>
          <c:tx>
            <c:strRef>
              <c:f>'Graphics for PPT'!$H$2</c:f>
              <c:strCache>
                <c:ptCount val="1"/>
                <c:pt idx="0">
                  <c:v>Local</c:v>
                </c:pt>
              </c:strCache>
            </c:strRef>
          </c:tx>
          <c:spPr>
            <a:solidFill>
              <a:schemeClr val="accent2"/>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1-35B6-4961-8917-A9C9FE788327}"/>
            </c:ext>
          </c:extLst>
        </c:ser>
        <c:ser>
          <c:idx val="2"/>
          <c:order val="2"/>
          <c:tx>
            <c:strRef>
              <c:f>'Graphics for PPT'!$I$2</c:f>
              <c:strCache>
                <c:ptCount val="1"/>
                <c:pt idx="0">
                  <c:v>Federal </c:v>
                </c:pt>
              </c:strCache>
            </c:strRef>
          </c:tx>
          <c:spPr>
            <a:solidFill>
              <a:schemeClr val="accent3"/>
            </a:solidFill>
            <a:ln>
              <a:noFill/>
            </a:ln>
            <a:effectLst/>
          </c:spPr>
          <c:invertIfNegative val="0"/>
          <c:val>
            <c:numRef>
              <c:f>'Graphics for PPT'!#REF!</c:f>
              <c:numCache>
                <c:formatCode>General</c:formatCode>
                <c:ptCount val="1"/>
                <c:pt idx="0">
                  <c:v>1</c:v>
                </c:pt>
              </c:numCache>
            </c:numRef>
          </c:val>
          <c:extLst>
            <c:ext xmlns:c16="http://schemas.microsoft.com/office/drawing/2014/chart" uri="{C3380CC4-5D6E-409C-BE32-E72D297353CC}">
              <c16:uniqueId val="{00000002-35B6-4961-8917-A9C9FE788327}"/>
            </c:ext>
          </c:extLst>
        </c:ser>
        <c:dLbls>
          <c:showLegendKey val="0"/>
          <c:showVal val="0"/>
          <c:showCatName val="0"/>
          <c:showSerName val="0"/>
          <c:showPercent val="0"/>
          <c:showBubbleSize val="0"/>
        </c:dLbls>
        <c:gapWidth val="150"/>
        <c:overlap val="100"/>
        <c:axId val="1020828392"/>
        <c:axId val="1020827080"/>
      </c:barChart>
      <c:catAx>
        <c:axId val="1020828392"/>
        <c:scaling>
          <c:orientation val="minMax"/>
        </c:scaling>
        <c:delete val="1"/>
        <c:axPos val="b"/>
        <c:numFmt formatCode="General" sourceLinked="1"/>
        <c:majorTickMark val="none"/>
        <c:minorTickMark val="none"/>
        <c:tickLblPos val="nextTo"/>
        <c:crossAx val="1020827080"/>
        <c:crosses val="autoZero"/>
        <c:auto val="1"/>
        <c:lblAlgn val="ctr"/>
        <c:lblOffset val="100"/>
        <c:noMultiLvlLbl val="0"/>
      </c:catAx>
      <c:valAx>
        <c:axId val="102082708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20828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F4A-462F-988F-430744FAE447}"/>
              </c:ext>
            </c:extLst>
          </c:dPt>
          <c:cat>
            <c:strRef>
              <c:f>'Graphics for PPT'!$G$2:$I$2</c:f>
              <c:strCache>
                <c:ptCount val="3"/>
                <c:pt idx="0">
                  <c:v>State</c:v>
                </c:pt>
                <c:pt idx="1">
                  <c:v>Local</c:v>
                </c:pt>
                <c:pt idx="2">
                  <c:v>Federal </c:v>
                </c:pt>
              </c:strCache>
            </c:strRef>
          </c:cat>
          <c:val>
            <c:numRef>
              <c:f>'Graphics for PPT'!#REF!</c:f>
              <c:numCache>
                <c:formatCode>General</c:formatCode>
                <c:ptCount val="1"/>
                <c:pt idx="0">
                  <c:v>1</c:v>
                </c:pt>
              </c:numCache>
            </c:numRef>
          </c:val>
          <c:extLst>
            <c:ext xmlns:c16="http://schemas.microsoft.com/office/drawing/2014/chart" uri="{C3380CC4-5D6E-409C-BE32-E72D297353CC}">
              <c16:uniqueId val="{00000000-B49A-4C81-A1F7-4471048FF2D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'Graphics for PPT'!$Q$42:$Q$156</c:f>
              <c:numCache>
                <c:formatCode>_("$"* #,##0.00_);_("$"* \(#,##0.00\);_("$"* "-"??_);_(@_)</c:formatCode>
                <c:ptCount val="115"/>
                <c:pt idx="0">
                  <c:v>6651.0678546949966</c:v>
                </c:pt>
                <c:pt idx="1">
                  <c:v>6136.4394246353322</c:v>
                </c:pt>
                <c:pt idx="2">
                  <c:v>6447.8415398388543</c:v>
                </c:pt>
                <c:pt idx="3">
                  <c:v>6203.2583436341165</c:v>
                </c:pt>
                <c:pt idx="4">
                  <c:v>7440.3185185185184</c:v>
                </c:pt>
                <c:pt idx="5">
                  <c:v>6948.2025421387125</c:v>
                </c:pt>
                <c:pt idx="6">
                  <c:v>10000.488372093023</c:v>
                </c:pt>
                <c:pt idx="7">
                  <c:v>6091.3006078467488</c:v>
                </c:pt>
                <c:pt idx="8">
                  <c:v>6829.3363402061859</c:v>
                </c:pt>
                <c:pt idx="9">
                  <c:v>6574.018826135105</c:v>
                </c:pt>
                <c:pt idx="10">
                  <c:v>6133.8267909715405</c:v>
                </c:pt>
                <c:pt idx="11">
                  <c:v>6388.5569696969696</c:v>
                </c:pt>
                <c:pt idx="12">
                  <c:v>10270.830303030303</c:v>
                </c:pt>
                <c:pt idx="13">
                  <c:v>6571.3190457966575</c:v>
                </c:pt>
                <c:pt idx="14">
                  <c:v>7448.1945392491471</c:v>
                </c:pt>
                <c:pt idx="15">
                  <c:v>6138.6218813905934</c:v>
                </c:pt>
                <c:pt idx="16">
                  <c:v>8579.7919999999995</c:v>
                </c:pt>
                <c:pt idx="17">
                  <c:v>7598.5387596899227</c:v>
                </c:pt>
                <c:pt idx="18">
                  <c:v>7077.0723014256619</c:v>
                </c:pt>
                <c:pt idx="19">
                  <c:v>7611.6567489114659</c:v>
                </c:pt>
                <c:pt idx="20">
                  <c:v>7065.9401574803151</c:v>
                </c:pt>
                <c:pt idx="21">
                  <c:v>7141.5571565802111</c:v>
                </c:pt>
                <c:pt idx="22">
                  <c:v>6714.660584194824</c:v>
                </c:pt>
                <c:pt idx="23">
                  <c:v>7258.6331360946742</c:v>
                </c:pt>
                <c:pt idx="24">
                  <c:v>6709.9033326433455</c:v>
                </c:pt>
                <c:pt idx="25">
                  <c:v>7421.3513800424626</c:v>
                </c:pt>
                <c:pt idx="26">
                  <c:v>7113.4364123159303</c:v>
                </c:pt>
                <c:pt idx="27">
                  <c:v>6272.2799143468947</c:v>
                </c:pt>
                <c:pt idx="28">
                  <c:v>6764.5403225806449</c:v>
                </c:pt>
                <c:pt idx="29">
                  <c:v>7917.0102214650769</c:v>
                </c:pt>
                <c:pt idx="30">
                  <c:v>6438.3797709923665</c:v>
                </c:pt>
                <c:pt idx="31">
                  <c:v>6719.0523470839262</c:v>
                </c:pt>
                <c:pt idx="32">
                  <c:v>16106.280623608018</c:v>
                </c:pt>
                <c:pt idx="33">
                  <c:v>6139.5842992623811</c:v>
                </c:pt>
                <c:pt idx="34">
                  <c:v>7085.958101968703</c:v>
                </c:pt>
                <c:pt idx="35">
                  <c:v>6599.3277591973247</c:v>
                </c:pt>
                <c:pt idx="36">
                  <c:v>6897.6251758087201</c:v>
                </c:pt>
                <c:pt idx="37">
                  <c:v>8277.6215053763444</c:v>
                </c:pt>
                <c:pt idx="38">
                  <c:v>7530.7580086580083</c:v>
                </c:pt>
                <c:pt idx="39">
                  <c:v>8024.7248120300756</c:v>
                </c:pt>
                <c:pt idx="40">
                  <c:v>8612.8177966101703</c:v>
                </c:pt>
                <c:pt idx="41">
                  <c:v>7326.3430034129697</c:v>
                </c:pt>
                <c:pt idx="42">
                  <c:v>6731.8122117018693</c:v>
                </c:pt>
                <c:pt idx="43">
                  <c:v>9230.9067357512959</c:v>
                </c:pt>
                <c:pt idx="44">
                  <c:v>7761.1780575539569</c:v>
                </c:pt>
                <c:pt idx="45">
                  <c:v>6934.17</c:v>
                </c:pt>
                <c:pt idx="46">
                  <c:v>8593.1122448979586</c:v>
                </c:pt>
                <c:pt idx="47">
                  <c:v>7257.3374858437146</c:v>
                </c:pt>
                <c:pt idx="48">
                  <c:v>5893.9255821947236</c:v>
                </c:pt>
                <c:pt idx="49">
                  <c:v>10411.214854111406</c:v>
                </c:pt>
                <c:pt idx="50">
                  <c:v>11336.304347826086</c:v>
                </c:pt>
                <c:pt idx="51">
                  <c:v>6207.8648802736598</c:v>
                </c:pt>
                <c:pt idx="52">
                  <c:v>8917.5282555282556</c:v>
                </c:pt>
                <c:pt idx="53">
                  <c:v>10102.686832740214</c:v>
                </c:pt>
                <c:pt idx="54">
                  <c:v>7543.3035714285716</c:v>
                </c:pt>
                <c:pt idx="55">
                  <c:v>8935.096428571429</c:v>
                </c:pt>
                <c:pt idx="56">
                  <c:v>8365.8515283842789</c:v>
                </c:pt>
                <c:pt idx="57">
                  <c:v>7628.0498504486541</c:v>
                </c:pt>
                <c:pt idx="58">
                  <c:v>9122.511400651465</c:v>
                </c:pt>
                <c:pt idx="59">
                  <c:v>9904.2997481108305</c:v>
                </c:pt>
                <c:pt idx="60">
                  <c:v>9269.7124999999996</c:v>
                </c:pt>
                <c:pt idx="61">
                  <c:v>8259.4735576923085</c:v>
                </c:pt>
                <c:pt idx="62">
                  <c:v>6819.6253186066269</c:v>
                </c:pt>
                <c:pt idx="63">
                  <c:v>9867.1868344627292</c:v>
                </c:pt>
                <c:pt idx="64">
                  <c:v>7551.303677342823</c:v>
                </c:pt>
                <c:pt idx="65">
                  <c:v>10499.072289156626</c:v>
                </c:pt>
                <c:pt idx="66">
                  <c:v>6205.0462984185197</c:v>
                </c:pt>
                <c:pt idx="67">
                  <c:v>6176.6615659270592</c:v>
                </c:pt>
                <c:pt idx="68">
                  <c:v>10107.245614035088</c:v>
                </c:pt>
                <c:pt idx="69">
                  <c:v>6375.5791335101676</c:v>
                </c:pt>
                <c:pt idx="70">
                  <c:v>7430.5827765404601</c:v>
                </c:pt>
                <c:pt idx="71">
                  <c:v>9755.0348837209294</c:v>
                </c:pt>
                <c:pt idx="72">
                  <c:v>8491.6541095890407</c:v>
                </c:pt>
                <c:pt idx="73">
                  <c:v>8479.5064599483212</c:v>
                </c:pt>
                <c:pt idx="74">
                  <c:v>14500.347826086956</c:v>
                </c:pt>
                <c:pt idx="75">
                  <c:v>20482.464788732395</c:v>
                </c:pt>
                <c:pt idx="76">
                  <c:v>6278.0135324696757</c:v>
                </c:pt>
                <c:pt idx="77">
                  <c:v>7261.2247706422022</c:v>
                </c:pt>
                <c:pt idx="78">
                  <c:v>9233.835443037975</c:v>
                </c:pt>
                <c:pt idx="79">
                  <c:v>13460.428571428571</c:v>
                </c:pt>
                <c:pt idx="80">
                  <c:v>8543.6354319180082</c:v>
                </c:pt>
                <c:pt idx="81">
                  <c:v>5951.151995126409</c:v>
                </c:pt>
                <c:pt idx="82">
                  <c:v>8947.786678667866</c:v>
                </c:pt>
                <c:pt idx="83">
                  <c:v>6863.7636363636366</c:v>
                </c:pt>
                <c:pt idx="84">
                  <c:v>7168.7070707070707</c:v>
                </c:pt>
                <c:pt idx="85">
                  <c:v>6992.7954887218048</c:v>
                </c:pt>
                <c:pt idx="86">
                  <c:v>8235.9909638554218</c:v>
                </c:pt>
                <c:pt idx="87">
                  <c:v>12764.621621621622</c:v>
                </c:pt>
                <c:pt idx="88">
                  <c:v>15610.410526315789</c:v>
                </c:pt>
                <c:pt idx="89">
                  <c:v>6515.851076923077</c:v>
                </c:pt>
                <c:pt idx="90">
                  <c:v>15063.769784172662</c:v>
                </c:pt>
                <c:pt idx="91">
                  <c:v>10300.701421800948</c:v>
                </c:pt>
                <c:pt idx="92">
                  <c:v>11866.335443037975</c:v>
                </c:pt>
                <c:pt idx="93">
                  <c:v>13365.697674418605</c:v>
                </c:pt>
                <c:pt idx="94">
                  <c:v>13588.25</c:v>
                </c:pt>
                <c:pt idx="95">
                  <c:v>20762.958333333332</c:v>
                </c:pt>
                <c:pt idx="96">
                  <c:v>14644.867256637168</c:v>
                </c:pt>
                <c:pt idx="97">
                  <c:v>6678.6972860125261</c:v>
                </c:pt>
                <c:pt idx="98">
                  <c:v>16186.896226415094</c:v>
                </c:pt>
                <c:pt idx="99">
                  <c:v>16300.833333333334</c:v>
                </c:pt>
                <c:pt idx="100">
                  <c:v>15050.409556313993</c:v>
                </c:pt>
                <c:pt idx="101">
                  <c:v>7772.6669980119286</c:v>
                </c:pt>
                <c:pt idx="102">
                  <c:v>12500.392857142857</c:v>
                </c:pt>
                <c:pt idx="103">
                  <c:v>13867.781818181818</c:v>
                </c:pt>
                <c:pt idx="104">
                  <c:v>17383.888888888891</c:v>
                </c:pt>
                <c:pt idx="105">
                  <c:v>21789.545454545456</c:v>
                </c:pt>
                <c:pt idx="106">
                  <c:v>9333.4704225352107</c:v>
                </c:pt>
                <c:pt idx="107">
                  <c:v>10550.841860465116</c:v>
                </c:pt>
                <c:pt idx="108">
                  <c:v>9073.8638132295728</c:v>
                </c:pt>
                <c:pt idx="109">
                  <c:v>25346.833333333332</c:v>
                </c:pt>
                <c:pt idx="110">
                  <c:v>6089.9462999345124</c:v>
                </c:pt>
                <c:pt idx="111">
                  <c:v>7256.9638802889576</c:v>
                </c:pt>
                <c:pt idx="112">
                  <c:v>12643.041958041958</c:v>
                </c:pt>
                <c:pt idx="113">
                  <c:v>12928.204081632653</c:v>
                </c:pt>
                <c:pt idx="114">
                  <c:v>64673.599999999999</c:v>
                </c:pt>
              </c:numCache>
            </c:numRef>
          </c:xVal>
          <c:yVal>
            <c:numRef>
              <c:f>'Graphics for PPT'!$R$42:$R$156</c:f>
              <c:numCache>
                <c:formatCode>_("$"* #,##0_);_("$"* \(#,##0\);_("$"* "-"??_);_(@_)</c:formatCode>
                <c:ptCount val="115"/>
                <c:pt idx="0">
                  <c:v>176449.59081562713</c:v>
                </c:pt>
                <c:pt idx="1">
                  <c:v>185696.1193273906</c:v>
                </c:pt>
                <c:pt idx="2">
                  <c:v>219840.57743957028</c:v>
                </c:pt>
                <c:pt idx="3">
                  <c:v>191855.02760609807</c:v>
                </c:pt>
                <c:pt idx="4">
                  <c:v>198510.04148148149</c:v>
                </c:pt>
                <c:pt idx="5">
                  <c:v>208656.08234318873</c:v>
                </c:pt>
                <c:pt idx="6">
                  <c:v>211514.45581395348</c:v>
                </c:pt>
                <c:pt idx="7">
                  <c:v>222169.39952109044</c:v>
                </c:pt>
                <c:pt idx="8">
                  <c:v>224672.35051546391</c:v>
                </c:pt>
                <c:pt idx="9">
                  <c:v>233017.69186046513</c:v>
                </c:pt>
                <c:pt idx="10">
                  <c:v>245081.64720314034</c:v>
                </c:pt>
                <c:pt idx="11">
                  <c:v>235645.31878787879</c:v>
                </c:pt>
                <c:pt idx="12">
                  <c:v>242445.96363636362</c:v>
                </c:pt>
                <c:pt idx="13">
                  <c:v>241733.09337925757</c:v>
                </c:pt>
                <c:pt idx="14">
                  <c:v>237204.09897610921</c:v>
                </c:pt>
                <c:pt idx="15">
                  <c:v>253724.48773006134</c:v>
                </c:pt>
                <c:pt idx="16">
                  <c:v>244914.48266666668</c:v>
                </c:pt>
                <c:pt idx="17">
                  <c:v>294019.7002583979</c:v>
                </c:pt>
                <c:pt idx="18">
                  <c:v>262903.39389002038</c:v>
                </c:pt>
                <c:pt idx="19">
                  <c:v>267558.22568940494</c:v>
                </c:pt>
                <c:pt idx="20">
                  <c:v>266807.13263342081</c:v>
                </c:pt>
                <c:pt idx="21">
                  <c:v>259798.49471661865</c:v>
                </c:pt>
                <c:pt idx="22">
                  <c:v>271543.59709984041</c:v>
                </c:pt>
                <c:pt idx="23">
                  <c:v>282951.24408284022</c:v>
                </c:pt>
                <c:pt idx="24">
                  <c:v>281010.55599254812</c:v>
                </c:pt>
                <c:pt idx="25">
                  <c:v>292204.2823779193</c:v>
                </c:pt>
                <c:pt idx="26">
                  <c:v>303068.6265060241</c:v>
                </c:pt>
                <c:pt idx="27">
                  <c:v>288140.12419700215</c:v>
                </c:pt>
                <c:pt idx="28">
                  <c:v>308906.73761520738</c:v>
                </c:pt>
                <c:pt idx="29">
                  <c:v>291589.19761499146</c:v>
                </c:pt>
                <c:pt idx="30">
                  <c:v>326871.7703562341</c:v>
                </c:pt>
                <c:pt idx="31">
                  <c:v>300590.86657183501</c:v>
                </c:pt>
                <c:pt idx="32">
                  <c:v>319092.28953229397</c:v>
                </c:pt>
                <c:pt idx="33">
                  <c:v>308800.54236037936</c:v>
                </c:pt>
                <c:pt idx="34">
                  <c:v>318176.68298838969</c:v>
                </c:pt>
                <c:pt idx="35">
                  <c:v>309585.56254180602</c:v>
                </c:pt>
                <c:pt idx="36">
                  <c:v>311256.20815752464</c:v>
                </c:pt>
                <c:pt idx="37">
                  <c:v>296314.29247311829</c:v>
                </c:pt>
                <c:pt idx="38">
                  <c:v>361089.95714285714</c:v>
                </c:pt>
                <c:pt idx="39">
                  <c:v>320175.05263157893</c:v>
                </c:pt>
                <c:pt idx="40">
                  <c:v>364583.89406779659</c:v>
                </c:pt>
                <c:pt idx="41">
                  <c:v>353929.64761092153</c:v>
                </c:pt>
                <c:pt idx="42">
                  <c:v>343142.58946346201</c:v>
                </c:pt>
                <c:pt idx="43">
                  <c:v>347524.94818652852</c:v>
                </c:pt>
                <c:pt idx="44">
                  <c:v>381797.85791366908</c:v>
                </c:pt>
                <c:pt idx="45">
                  <c:v>376037.255</c:v>
                </c:pt>
                <c:pt idx="46">
                  <c:v>401072.45663265308</c:v>
                </c:pt>
                <c:pt idx="47">
                  <c:v>438377.30690826726</c:v>
                </c:pt>
                <c:pt idx="48">
                  <c:v>435012.0196213228</c:v>
                </c:pt>
                <c:pt idx="49">
                  <c:v>404009.68169761274</c:v>
                </c:pt>
                <c:pt idx="50">
                  <c:v>508926.961352657</c:v>
                </c:pt>
                <c:pt idx="51">
                  <c:v>454962.16229570506</c:v>
                </c:pt>
                <c:pt idx="52">
                  <c:v>467336.24815724813</c:v>
                </c:pt>
                <c:pt idx="53">
                  <c:v>494399.70818505337</c:v>
                </c:pt>
                <c:pt idx="54">
                  <c:v>494659.71428571426</c:v>
                </c:pt>
                <c:pt idx="55">
                  <c:v>555701.07857142854</c:v>
                </c:pt>
                <c:pt idx="56">
                  <c:v>522970.08515283844</c:v>
                </c:pt>
                <c:pt idx="57">
                  <c:v>527574.146560319</c:v>
                </c:pt>
                <c:pt idx="58">
                  <c:v>514798.55374592834</c:v>
                </c:pt>
                <c:pt idx="59">
                  <c:v>504261.69269521412</c:v>
                </c:pt>
                <c:pt idx="60">
                  <c:v>559516.90416666667</c:v>
                </c:pt>
                <c:pt idx="61">
                  <c:v>555171.33894230775</c:v>
                </c:pt>
                <c:pt idx="62">
                  <c:v>535613.07731520815</c:v>
                </c:pt>
                <c:pt idx="63">
                  <c:v>514476.51306873187</c:v>
                </c:pt>
                <c:pt idx="64">
                  <c:v>534803.24436536175</c:v>
                </c:pt>
                <c:pt idx="65">
                  <c:v>620361.77108433738</c:v>
                </c:pt>
                <c:pt idx="66">
                  <c:v>573209.76667430671</c:v>
                </c:pt>
                <c:pt idx="67">
                  <c:v>576720.6526396327</c:v>
                </c:pt>
                <c:pt idx="68">
                  <c:v>549191.40350877191</c:v>
                </c:pt>
                <c:pt idx="69">
                  <c:v>599525.71485411143</c:v>
                </c:pt>
                <c:pt idx="70">
                  <c:v>592603.88715664437</c:v>
                </c:pt>
                <c:pt idx="71">
                  <c:v>578501.56589147286</c:v>
                </c:pt>
                <c:pt idx="72">
                  <c:v>570504.29452054796</c:v>
                </c:pt>
                <c:pt idx="73">
                  <c:v>687170.07751937979</c:v>
                </c:pt>
                <c:pt idx="74">
                  <c:v>688574.83478260867</c:v>
                </c:pt>
                <c:pt idx="75">
                  <c:v>761185.14084507048</c:v>
                </c:pt>
                <c:pt idx="76">
                  <c:v>694830.44376598729</c:v>
                </c:pt>
                <c:pt idx="77">
                  <c:v>649734.42813455663</c:v>
                </c:pt>
                <c:pt idx="78">
                  <c:v>655846.20253164554</c:v>
                </c:pt>
                <c:pt idx="79">
                  <c:v>692965.01071428566</c:v>
                </c:pt>
                <c:pt idx="80">
                  <c:v>777098.77159590041</c:v>
                </c:pt>
                <c:pt idx="81">
                  <c:v>759417.3177987613</c:v>
                </c:pt>
                <c:pt idx="82">
                  <c:v>743623.04950495053</c:v>
                </c:pt>
                <c:pt idx="83">
                  <c:v>770654.95064935065</c:v>
                </c:pt>
                <c:pt idx="84">
                  <c:v>825628.6</c:v>
                </c:pt>
                <c:pt idx="85">
                  <c:v>782524.30526315793</c:v>
                </c:pt>
                <c:pt idx="86">
                  <c:v>841338.00602409639</c:v>
                </c:pt>
                <c:pt idx="87">
                  <c:v>966066.7297297297</c:v>
                </c:pt>
                <c:pt idx="88">
                  <c:v>766902.37894736847</c:v>
                </c:pt>
                <c:pt idx="89">
                  <c:v>864859.20061538462</c:v>
                </c:pt>
                <c:pt idx="90">
                  <c:v>841549.82733812951</c:v>
                </c:pt>
                <c:pt idx="91">
                  <c:v>818991.69668246445</c:v>
                </c:pt>
                <c:pt idx="92">
                  <c:v>909629.74683544307</c:v>
                </c:pt>
                <c:pt idx="93">
                  <c:v>991893.81395348837</c:v>
                </c:pt>
                <c:pt idx="94">
                  <c:v>861358.31818181823</c:v>
                </c:pt>
                <c:pt idx="95">
                  <c:v>1142739.1527777778</c:v>
                </c:pt>
                <c:pt idx="96">
                  <c:v>1134844.5398230089</c:v>
                </c:pt>
                <c:pt idx="97">
                  <c:v>1252955.4894124665</c:v>
                </c:pt>
                <c:pt idx="98">
                  <c:v>1234629.1603773586</c:v>
                </c:pt>
                <c:pt idx="99">
                  <c:v>1395446.888888889</c:v>
                </c:pt>
                <c:pt idx="100">
                  <c:v>1736504.5665529009</c:v>
                </c:pt>
                <c:pt idx="101">
                  <c:v>1630195.6093439364</c:v>
                </c:pt>
                <c:pt idx="102">
                  <c:v>1624694.55</c:v>
                </c:pt>
                <c:pt idx="103">
                  <c:v>1471384.6090909091</c:v>
                </c:pt>
                <c:pt idx="104">
                  <c:v>2157215.6666666665</c:v>
                </c:pt>
                <c:pt idx="105">
                  <c:v>1680812.7272727273</c:v>
                </c:pt>
                <c:pt idx="106">
                  <c:v>1870354.6084507043</c:v>
                </c:pt>
                <c:pt idx="107">
                  <c:v>1818085.6790697675</c:v>
                </c:pt>
                <c:pt idx="108">
                  <c:v>1823952.7859922179</c:v>
                </c:pt>
                <c:pt idx="109">
                  <c:v>1798935.5</c:v>
                </c:pt>
                <c:pt idx="110">
                  <c:v>2927623.0697445972</c:v>
                </c:pt>
                <c:pt idx="111">
                  <c:v>2930262.5644994839</c:v>
                </c:pt>
                <c:pt idx="112">
                  <c:v>3748133.7062937063</c:v>
                </c:pt>
                <c:pt idx="113">
                  <c:v>3849730.612244898</c:v>
                </c:pt>
                <c:pt idx="114">
                  <c:v>23547814.600000001</c:v>
                </c:pt>
              </c:numCache>
            </c:numRef>
          </c:yVal>
          <c:smooth val="0"/>
          <c:extLst>
            <c:ext xmlns:c16="http://schemas.microsoft.com/office/drawing/2014/chart" uri="{C3380CC4-5D6E-409C-BE32-E72D297353CC}">
              <c16:uniqueId val="{00000000-41AE-46AD-8A2F-415D915C9865}"/>
            </c:ext>
          </c:extLst>
        </c:ser>
        <c:dLbls>
          <c:showLegendKey val="0"/>
          <c:showVal val="0"/>
          <c:showCatName val="0"/>
          <c:showSerName val="0"/>
          <c:showPercent val="0"/>
          <c:showBubbleSize val="0"/>
        </c:dLbls>
        <c:axId val="430523136"/>
        <c:axId val="430524120"/>
      </c:scatterChart>
      <c:valAx>
        <c:axId val="430523136"/>
        <c:scaling>
          <c:orientation val="minMax"/>
          <c:max val="10000"/>
          <c:min val="4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 from State and Local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24120"/>
        <c:crosses val="autoZero"/>
        <c:crossBetween val="midCat"/>
      </c:valAx>
      <c:valAx>
        <c:axId val="430524120"/>
        <c:scaling>
          <c:orientation val="minMax"/>
          <c:max val="1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Market Value Per Pupil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23136"/>
        <c:crosses val="autoZero"/>
        <c:crossBetween val="midCat"/>
        <c:majorUnit val="250000"/>
        <c:minorUnit val="5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0" i="0" baseline="0">
                <a:solidFill>
                  <a:schemeClr val="tx1"/>
                </a:solidFill>
                <a:effectLst/>
              </a:rPr>
              <a:t>Per Pupil Funding by Property Wealth Per Pupil</a:t>
            </a:r>
          </a:p>
          <a:p>
            <a:pPr>
              <a:defRPr sz="1400" b="0" i="0" u="none" strike="noStrike" kern="1200" spc="0" baseline="0">
                <a:solidFill>
                  <a:schemeClr val="tx1"/>
                </a:solidFill>
                <a:latin typeface="+mn-lt"/>
                <a:ea typeface="+mn-ea"/>
                <a:cs typeface="+mn-cs"/>
              </a:defRPr>
            </a:pPr>
            <a:r>
              <a:rPr lang="en-US" sz="1000" b="0" i="0" u="none" strike="noStrike" baseline="0">
                <a:effectLst/>
              </a:rPr>
              <a:t>(all schools with per pupil &lt;=$25,000 per pupil)</a:t>
            </a:r>
            <a:endParaRPr lang="en-US" sz="1000">
              <a:solidFill>
                <a:schemeClr val="tx1"/>
              </a:solidFill>
              <a:effectLst/>
            </a:endParaRPr>
          </a:p>
        </c:rich>
      </c:tx>
      <c:overlay val="0"/>
      <c:spPr>
        <a:noFill/>
        <a:ln>
          <a:noFill/>
        </a:ln>
        <a:effectLst/>
      </c:spPr>
    </c:title>
    <c:autoTitleDeleted val="0"/>
    <c:plotArea>
      <c:layout>
        <c:manualLayout>
          <c:layoutTarget val="inner"/>
          <c:xMode val="edge"/>
          <c:yMode val="edge"/>
          <c:x val="0.15787713598737221"/>
          <c:y val="0.20865625130192059"/>
          <c:w val="0.759325661215425"/>
          <c:h val="0.57301569397084928"/>
        </c:manualLayout>
      </c:layout>
      <c:scatterChart>
        <c:scatterStyle val="lineMarker"/>
        <c:varyColors val="0"/>
        <c:ser>
          <c:idx val="0"/>
          <c:order val="0"/>
          <c:tx>
            <c:v>Current Per Pupil</c:v>
          </c:tx>
          <c:spPr>
            <a:ln w="25400" cap="rnd">
              <a:noFill/>
              <a:round/>
            </a:ln>
            <a:effectLst/>
          </c:spPr>
          <c:marker>
            <c:symbol val="circle"/>
            <c:size val="5"/>
            <c:spPr>
              <a:solidFill>
                <a:schemeClr val="accent1"/>
              </a:solidFill>
              <a:ln w="9525">
                <a:solidFill>
                  <a:schemeClr val="accent1"/>
                </a:solidFill>
              </a:ln>
              <a:effectLst/>
            </c:spPr>
          </c:marker>
          <c:xVal>
            <c:numRef>
              <c:f>'Graph Data all $'!$F$3:$F$156</c:f>
              <c:numCache>
                <c:formatCode>_("$"* #,##0_);_("$"* \(#,##0\);_("$"* "-"??_);_(@_)</c:formatCode>
                <c:ptCount val="154"/>
                <c:pt idx="0">
                  <c:v>694830.44376598729</c:v>
                </c:pt>
                <c:pt idx="1">
                  <c:v>435012.0196213228</c:v>
                </c:pt>
                <c:pt idx="2">
                  <c:v>253724.48773006134</c:v>
                </c:pt>
                <c:pt idx="3">
                  <c:v>1624694.55</c:v>
                </c:pt>
                <c:pt idx="4">
                  <c:v>655846.20253164554</c:v>
                </c:pt>
                <c:pt idx="5">
                  <c:v>535613.07731520815</c:v>
                </c:pt>
                <c:pt idx="6">
                  <c:v>288140.12419700215</c:v>
                </c:pt>
                <c:pt idx="7">
                  <c:v>825628.6</c:v>
                </c:pt>
                <c:pt idx="8">
                  <c:v>534803.24436536175</c:v>
                </c:pt>
                <c:pt idx="9">
                  <c:v>1736504.5665529009</c:v>
                </c:pt>
                <c:pt idx="10">
                  <c:v>224672.35051546391</c:v>
                </c:pt>
                <c:pt idx="11">
                  <c:v>208656.08234318873</c:v>
                </c:pt>
                <c:pt idx="12">
                  <c:v>320175.05263157893</c:v>
                </c:pt>
                <c:pt idx="13">
                  <c:v>282951.24408284022</c:v>
                </c:pt>
                <c:pt idx="14">
                  <c:v>245081.64720314034</c:v>
                </c:pt>
                <c:pt idx="15">
                  <c:v>2927623.0697445972</c:v>
                </c:pt>
                <c:pt idx="16">
                  <c:v>1818085.6790697675</c:v>
                </c:pt>
                <c:pt idx="17">
                  <c:v>841338.00602409639</c:v>
                </c:pt>
                <c:pt idx="18">
                  <c:v>508926.961352657</c:v>
                </c:pt>
                <c:pt idx="19">
                  <c:v>1630195.6093439364</c:v>
                </c:pt>
                <c:pt idx="20">
                  <c:v>1252955.4894124665</c:v>
                </c:pt>
                <c:pt idx="21">
                  <c:v>308800.54236037936</c:v>
                </c:pt>
                <c:pt idx="22">
                  <c:v>3849730.612244898</c:v>
                </c:pt>
                <c:pt idx="23">
                  <c:v>222169.39952109044</c:v>
                </c:pt>
                <c:pt idx="24">
                  <c:v>649734.42813455663</c:v>
                </c:pt>
                <c:pt idx="25">
                  <c:v>401072.45663265308</c:v>
                </c:pt>
                <c:pt idx="26">
                  <c:v>991893.81395348837</c:v>
                </c:pt>
                <c:pt idx="27">
                  <c:v>271543.59709984041</c:v>
                </c:pt>
                <c:pt idx="28">
                  <c:v>266807.13263342081</c:v>
                </c:pt>
                <c:pt idx="29">
                  <c:v>467336.24815724813</c:v>
                </c:pt>
                <c:pt idx="30">
                  <c:v>233017.69186046513</c:v>
                </c:pt>
                <c:pt idx="31">
                  <c:v>244914.48266666668</c:v>
                </c:pt>
                <c:pt idx="32">
                  <c:v>303068.6265060241</c:v>
                </c:pt>
                <c:pt idx="33">
                  <c:v>292204.2823779193</c:v>
                </c:pt>
                <c:pt idx="34">
                  <c:v>241733.09337925757</c:v>
                </c:pt>
                <c:pt idx="35">
                  <c:v>296314.29247311829</c:v>
                </c:pt>
                <c:pt idx="36">
                  <c:v>620361.77108433738</c:v>
                </c:pt>
                <c:pt idx="37">
                  <c:v>770654.95064935065</c:v>
                </c:pt>
                <c:pt idx="38">
                  <c:v>262903.39389002038</c:v>
                </c:pt>
                <c:pt idx="39">
                  <c:v>841549.82733812951</c:v>
                </c:pt>
                <c:pt idx="40">
                  <c:v>514476.51306873187</c:v>
                </c:pt>
                <c:pt idx="41">
                  <c:v>1870354.6084507043</c:v>
                </c:pt>
                <c:pt idx="42">
                  <c:v>909629.74683544307</c:v>
                </c:pt>
                <c:pt idx="43">
                  <c:v>1798935.5</c:v>
                </c:pt>
                <c:pt idx="44">
                  <c:v>687170.07751937979</c:v>
                </c:pt>
                <c:pt idx="45">
                  <c:v>308906.73761520738</c:v>
                </c:pt>
                <c:pt idx="46">
                  <c:v>191855.02760609807</c:v>
                </c:pt>
                <c:pt idx="47">
                  <c:v>237204.09897610921</c:v>
                </c:pt>
                <c:pt idx="48">
                  <c:v>782524.30526315793</c:v>
                </c:pt>
                <c:pt idx="49">
                  <c:v>361089.95714285714</c:v>
                </c:pt>
                <c:pt idx="50">
                  <c:v>353929.64761092153</c:v>
                </c:pt>
                <c:pt idx="51">
                  <c:v>259798.49471661865</c:v>
                </c:pt>
                <c:pt idx="52">
                  <c:v>514798.55374592834</c:v>
                </c:pt>
                <c:pt idx="53">
                  <c:v>688574.83478260867</c:v>
                </c:pt>
                <c:pt idx="54">
                  <c:v>404009.68169761274</c:v>
                </c:pt>
                <c:pt idx="55">
                  <c:v>1234629.1603773586</c:v>
                </c:pt>
                <c:pt idx="56">
                  <c:v>743623.04950495053</c:v>
                </c:pt>
                <c:pt idx="57">
                  <c:v>185696.1193273906</c:v>
                </c:pt>
                <c:pt idx="58">
                  <c:v>198510.04148148149</c:v>
                </c:pt>
                <c:pt idx="59">
                  <c:v>291589.19761499146</c:v>
                </c:pt>
                <c:pt idx="60">
                  <c:v>300590.86657183501</c:v>
                </c:pt>
                <c:pt idx="61">
                  <c:v>381797.85791366908</c:v>
                </c:pt>
                <c:pt idx="62">
                  <c:v>759417.3177987613</c:v>
                </c:pt>
                <c:pt idx="63">
                  <c:v>576720.6526396327</c:v>
                </c:pt>
                <c:pt idx="64">
                  <c:v>454962.16229570506</c:v>
                </c:pt>
                <c:pt idx="65">
                  <c:v>3748133.7062937063</c:v>
                </c:pt>
                <c:pt idx="66">
                  <c:v>599525.71485411143</c:v>
                </c:pt>
                <c:pt idx="67">
                  <c:v>570504.29452054796</c:v>
                </c:pt>
                <c:pt idx="68">
                  <c:v>549191.40350877191</c:v>
                </c:pt>
                <c:pt idx="69">
                  <c:v>555171.33894230775</c:v>
                </c:pt>
                <c:pt idx="70">
                  <c:v>559516.90416666667</c:v>
                </c:pt>
                <c:pt idx="71">
                  <c:v>818991.69668246445</c:v>
                </c:pt>
                <c:pt idx="72">
                  <c:v>777098.77159590041</c:v>
                </c:pt>
                <c:pt idx="73">
                  <c:v>1142739.1527777778</c:v>
                </c:pt>
                <c:pt idx="74">
                  <c:v>861358.31818181823</c:v>
                </c:pt>
                <c:pt idx="75">
                  <c:v>504261.69269521412</c:v>
                </c:pt>
                <c:pt idx="76">
                  <c:v>966066.7297297297</c:v>
                </c:pt>
                <c:pt idx="77">
                  <c:v>364583.89406779659</c:v>
                </c:pt>
                <c:pt idx="78">
                  <c:v>211514.45581395348</c:v>
                </c:pt>
                <c:pt idx="79">
                  <c:v>347524.94818652852</c:v>
                </c:pt>
                <c:pt idx="80">
                  <c:v>281010.55599254812</c:v>
                </c:pt>
                <c:pt idx="81">
                  <c:v>176449.59081562713</c:v>
                </c:pt>
                <c:pt idx="82">
                  <c:v>318176.68298838969</c:v>
                </c:pt>
                <c:pt idx="83">
                  <c:v>573209.76667430671</c:v>
                </c:pt>
                <c:pt idx="84">
                  <c:v>319092.28953229397</c:v>
                </c:pt>
                <c:pt idx="85">
                  <c:v>761185.14084507048</c:v>
                </c:pt>
                <c:pt idx="86">
                  <c:v>376037.255</c:v>
                </c:pt>
                <c:pt idx="87">
                  <c:v>294019.7002583979</c:v>
                </c:pt>
                <c:pt idx="88">
                  <c:v>1680812.7272727273</c:v>
                </c:pt>
                <c:pt idx="89">
                  <c:v>692965.01071428566</c:v>
                </c:pt>
                <c:pt idx="90">
                  <c:v>219840.57743957028</c:v>
                </c:pt>
                <c:pt idx="91">
                  <c:v>267558.22568940494</c:v>
                </c:pt>
                <c:pt idx="92">
                  <c:v>438377.30690826726</c:v>
                </c:pt>
                <c:pt idx="93">
                  <c:v>326871.7703562341</c:v>
                </c:pt>
                <c:pt idx="94">
                  <c:v>592603.88715664437</c:v>
                </c:pt>
                <c:pt idx="95">
                  <c:v>242445.96363636362</c:v>
                </c:pt>
                <c:pt idx="96">
                  <c:v>1395446.888888889</c:v>
                </c:pt>
                <c:pt idx="97">
                  <c:v>527574.146560319</c:v>
                </c:pt>
                <c:pt idx="98">
                  <c:v>766902.37894736847</c:v>
                </c:pt>
                <c:pt idx="99">
                  <c:v>522970.08515283844</c:v>
                </c:pt>
                <c:pt idx="100">
                  <c:v>23547814.600000001</c:v>
                </c:pt>
                <c:pt idx="101">
                  <c:v>864859.20061538462</c:v>
                </c:pt>
                <c:pt idx="102">
                  <c:v>343142.58946346201</c:v>
                </c:pt>
                <c:pt idx="103">
                  <c:v>494659.71428571426</c:v>
                </c:pt>
                <c:pt idx="104">
                  <c:v>309585.56254180602</c:v>
                </c:pt>
                <c:pt idx="105">
                  <c:v>235645.31878787879</c:v>
                </c:pt>
                <c:pt idx="106">
                  <c:v>494399.70818505337</c:v>
                </c:pt>
                <c:pt idx="107">
                  <c:v>2157215.6666666665</c:v>
                </c:pt>
                <c:pt idx="108">
                  <c:v>555701.07857142854</c:v>
                </c:pt>
                <c:pt idx="109">
                  <c:v>578501.56589147286</c:v>
                </c:pt>
                <c:pt idx="110">
                  <c:v>2930262.5644994839</c:v>
                </c:pt>
                <c:pt idx="111">
                  <c:v>1823952.7859922179</c:v>
                </c:pt>
                <c:pt idx="112">
                  <c:v>311256.20815752464</c:v>
                </c:pt>
                <c:pt idx="113">
                  <c:v>1471384.6090909091</c:v>
                </c:pt>
                <c:pt idx="114">
                  <c:v>1134844.5398230089</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xVal>
          <c:yVal>
            <c:numRef>
              <c:f>'Graph Data all $'!$D$3:$D$156</c:f>
              <c:numCache>
                <c:formatCode>_("$"* #,##0_);_("$"* \(#,##0\);_("$"* "-"??_);_(@_)</c:formatCode>
                <c:ptCount val="154"/>
                <c:pt idx="0">
                  <c:v>10197.474874164534</c:v>
                </c:pt>
                <c:pt idx="1">
                  <c:v>8072.8495030219701</c:v>
                </c:pt>
                <c:pt idx="2">
                  <c:v>7893.825562372188</c:v>
                </c:pt>
                <c:pt idx="3">
                  <c:v>14978</c:v>
                </c:pt>
                <c:pt idx="4">
                  <c:v>10321.101265822785</c:v>
                </c:pt>
                <c:pt idx="5">
                  <c:v>8450.7289719626169</c:v>
                </c:pt>
                <c:pt idx="6">
                  <c:v>7851.5888650963598</c:v>
                </c:pt>
                <c:pt idx="7">
                  <c:v>8717.6010101010106</c:v>
                </c:pt>
                <c:pt idx="8">
                  <c:v>10439.495848161328</c:v>
                </c:pt>
                <c:pt idx="9">
                  <c:v>18033.351535836176</c:v>
                </c:pt>
                <c:pt idx="10">
                  <c:v>8421.7719072164946</c:v>
                </c:pt>
                <c:pt idx="11">
                  <c:v>8217.2696877590497</c:v>
                </c:pt>
                <c:pt idx="12">
                  <c:v>10739.219548872181</c:v>
                </c:pt>
                <c:pt idx="13">
                  <c:v>7929.0976331360944</c:v>
                </c:pt>
                <c:pt idx="14">
                  <c:v>7176.0004906771346</c:v>
                </c:pt>
                <c:pt idx="15">
                  <c:v>19337.364440078585</c:v>
                </c:pt>
                <c:pt idx="16">
                  <c:v>17345.251162790697</c:v>
                </c:pt>
                <c:pt idx="17">
                  <c:v>9774.0993975903621</c:v>
                </c:pt>
                <c:pt idx="18">
                  <c:v>13941.777777777777</c:v>
                </c:pt>
                <c:pt idx="19">
                  <c:v>11391.240556660039</c:v>
                </c:pt>
                <c:pt idx="20">
                  <c:v>9437.0283328362657</c:v>
                </c:pt>
                <c:pt idx="21">
                  <c:v>7762.499789251844</c:v>
                </c:pt>
                <c:pt idx="22">
                  <c:v>20296.816326530614</c:v>
                </c:pt>
                <c:pt idx="23">
                  <c:v>7617.3242770307606</c:v>
                </c:pt>
                <c:pt idx="24">
                  <c:v>9987.7362385321103</c:v>
                </c:pt>
                <c:pt idx="25">
                  <c:v>10656.073979591836</c:v>
                </c:pt>
                <c:pt idx="26">
                  <c:v>18095.798449612405</c:v>
                </c:pt>
                <c:pt idx="27">
                  <c:v>8136.7575105807255</c:v>
                </c:pt>
                <c:pt idx="28">
                  <c:v>8494.5389326334207</c:v>
                </c:pt>
                <c:pt idx="29">
                  <c:v>13106.452088452088</c:v>
                </c:pt>
                <c:pt idx="30">
                  <c:v>7988.5085825027681</c:v>
                </c:pt>
                <c:pt idx="31">
                  <c:v>10033.610666666667</c:v>
                </c:pt>
                <c:pt idx="32">
                  <c:v>8259.543507362785</c:v>
                </c:pt>
                <c:pt idx="33">
                  <c:v>9302.3142250530782</c:v>
                </c:pt>
                <c:pt idx="34">
                  <c:v>8304.0500063783638</c:v>
                </c:pt>
                <c:pt idx="35">
                  <c:v>9459.9483870967742</c:v>
                </c:pt>
                <c:pt idx="36">
                  <c:v>12561.240963855422</c:v>
                </c:pt>
                <c:pt idx="37">
                  <c:v>9251.7194805194813</c:v>
                </c:pt>
                <c:pt idx="38">
                  <c:v>8229.9099796334012</c:v>
                </c:pt>
                <c:pt idx="39">
                  <c:v>18358.179856115108</c:v>
                </c:pt>
                <c:pt idx="40">
                  <c:v>13671.763794772507</c:v>
                </c:pt>
                <c:pt idx="41">
                  <c:v>11528.833802816902</c:v>
                </c:pt>
                <c:pt idx="42">
                  <c:v>14282.26582278481</c:v>
                </c:pt>
                <c:pt idx="43">
                  <c:v>25348.5</c:v>
                </c:pt>
                <c:pt idx="44">
                  <c:v>10598.710594315246</c:v>
                </c:pt>
                <c:pt idx="45">
                  <c:v>7913.9046658986172</c:v>
                </c:pt>
                <c:pt idx="46">
                  <c:v>6786.70745776679</c:v>
                </c:pt>
                <c:pt idx="47">
                  <c:v>8044.3430034129697</c:v>
                </c:pt>
                <c:pt idx="48">
                  <c:v>9108.8365914786973</c:v>
                </c:pt>
                <c:pt idx="49">
                  <c:v>9226.6476190476187</c:v>
                </c:pt>
                <c:pt idx="50">
                  <c:v>8551.9616040955625</c:v>
                </c:pt>
                <c:pt idx="51">
                  <c:v>8259.1892411143126</c:v>
                </c:pt>
                <c:pt idx="52">
                  <c:v>10783.863192182411</c:v>
                </c:pt>
                <c:pt idx="53">
                  <c:v>16320.6</c:v>
                </c:pt>
                <c:pt idx="54">
                  <c:v>13472.257294429708</c:v>
                </c:pt>
                <c:pt idx="55">
                  <c:v>22025.698113207549</c:v>
                </c:pt>
                <c:pt idx="56">
                  <c:v>12039.920792079209</c:v>
                </c:pt>
                <c:pt idx="57">
                  <c:v>7154.2248784440844</c:v>
                </c:pt>
                <c:pt idx="58">
                  <c:v>9177.4296296296288</c:v>
                </c:pt>
                <c:pt idx="59">
                  <c:v>9609.5570698466781</c:v>
                </c:pt>
                <c:pt idx="60">
                  <c:v>8051.123186344239</c:v>
                </c:pt>
                <c:pt idx="61">
                  <c:v>9050</c:v>
                </c:pt>
                <c:pt idx="62">
                  <c:v>8291.6877855619859</c:v>
                </c:pt>
                <c:pt idx="63">
                  <c:v>8313.0209130323892</c:v>
                </c:pt>
                <c:pt idx="64">
                  <c:v>7797.5668947168379</c:v>
                </c:pt>
                <c:pt idx="65">
                  <c:v>21804.748251748253</c:v>
                </c:pt>
                <c:pt idx="66">
                  <c:v>11619.981874447392</c:v>
                </c:pt>
                <c:pt idx="67">
                  <c:v>13320.195205479453</c:v>
                </c:pt>
                <c:pt idx="68">
                  <c:v>15081.293859649122</c:v>
                </c:pt>
                <c:pt idx="69">
                  <c:v>11834.04326923077</c:v>
                </c:pt>
                <c:pt idx="70">
                  <c:v>14939.616666666667</c:v>
                </c:pt>
                <c:pt idx="71">
                  <c:v>15745.478672985782</c:v>
                </c:pt>
                <c:pt idx="72">
                  <c:v>9868.0849194729144</c:v>
                </c:pt>
                <c:pt idx="73">
                  <c:v>22821.083333333332</c:v>
                </c:pt>
                <c:pt idx="74">
                  <c:v>18417.159090909092</c:v>
                </c:pt>
                <c:pt idx="75">
                  <c:v>10512.581863979849</c:v>
                </c:pt>
                <c:pt idx="76">
                  <c:v>17204.66891891892</c:v>
                </c:pt>
                <c:pt idx="77">
                  <c:v>10202.639830508475</c:v>
                </c:pt>
                <c:pt idx="78">
                  <c:v>11458.348837209302</c:v>
                </c:pt>
                <c:pt idx="79">
                  <c:v>11377</c:v>
                </c:pt>
                <c:pt idx="80">
                  <c:v>8447.3390602359759</c:v>
                </c:pt>
                <c:pt idx="81">
                  <c:v>8091.61000685401</c:v>
                </c:pt>
                <c:pt idx="82">
                  <c:v>8316.42200908632</c:v>
                </c:pt>
                <c:pt idx="83">
                  <c:v>9749.7338986935592</c:v>
                </c:pt>
                <c:pt idx="84">
                  <c:v>17233.581291759467</c:v>
                </c:pt>
                <c:pt idx="85">
                  <c:v>24645.211267605635</c:v>
                </c:pt>
                <c:pt idx="86">
                  <c:v>8027.5112499999996</c:v>
                </c:pt>
                <c:pt idx="87">
                  <c:v>9030.0775193798454</c:v>
                </c:pt>
                <c:pt idx="88">
                  <c:v>23757</c:v>
                </c:pt>
                <c:pt idx="89">
                  <c:v>17699.882142857143</c:v>
                </c:pt>
                <c:pt idx="90">
                  <c:v>7494.7752909579231</c:v>
                </c:pt>
                <c:pt idx="91">
                  <c:v>8410.1161103047889</c:v>
                </c:pt>
                <c:pt idx="92">
                  <c:v>8425.6851642129113</c:v>
                </c:pt>
                <c:pt idx="93">
                  <c:v>7674.5502544529263</c:v>
                </c:pt>
                <c:pt idx="94">
                  <c:v>10971.983667409057</c:v>
                </c:pt>
                <c:pt idx="95">
                  <c:v>12552.333333333334</c:v>
                </c:pt>
                <c:pt idx="96">
                  <c:v>19401.722222222223</c:v>
                </c:pt>
                <c:pt idx="97">
                  <c:v>12149.192422731805</c:v>
                </c:pt>
                <c:pt idx="98">
                  <c:v>21921.57894736842</c:v>
                </c:pt>
                <c:pt idx="99">
                  <c:v>13398.028384279476</c:v>
                </c:pt>
                <c:pt idx="100">
                  <c:v>100112.6</c:v>
                </c:pt>
                <c:pt idx="101">
                  <c:v>10169.931692307693</c:v>
                </c:pt>
                <c:pt idx="102">
                  <c:v>9166.7160718621017</c:v>
                </c:pt>
                <c:pt idx="103">
                  <c:v>9170.3460884353735</c:v>
                </c:pt>
                <c:pt idx="104">
                  <c:v>8346.2193979933108</c:v>
                </c:pt>
                <c:pt idx="105">
                  <c:v>7553.4084848484845</c:v>
                </c:pt>
                <c:pt idx="106">
                  <c:v>12149.501779359431</c:v>
                </c:pt>
                <c:pt idx="107">
                  <c:v>20255.333333333332</c:v>
                </c:pt>
                <c:pt idx="108">
                  <c:v>10813.964285714286</c:v>
                </c:pt>
                <c:pt idx="109">
                  <c:v>11737.445736434109</c:v>
                </c:pt>
                <c:pt idx="110">
                  <c:v>15865.987616099072</c:v>
                </c:pt>
                <c:pt idx="111">
                  <c:v>12025.727626459144</c:v>
                </c:pt>
                <c:pt idx="112">
                  <c:v>7731.2074542897326</c:v>
                </c:pt>
                <c:pt idx="113">
                  <c:v>16685.372727272726</c:v>
                </c:pt>
                <c:pt idx="114">
                  <c:v>15480.548672566372</c:v>
                </c:pt>
                <c:pt idx="115">
                  <c:v>7762.6292428198431</c:v>
                </c:pt>
                <c:pt idx="116">
                  <c:v>6049.1982480405713</c:v>
                </c:pt>
                <c:pt idx="117">
                  <c:v>7150.8011869436205</c:v>
                </c:pt>
                <c:pt idx="118">
                  <c:v>10808.657534246575</c:v>
                </c:pt>
                <c:pt idx="119">
                  <c:v>7037.9746514575409</c:v>
                </c:pt>
                <c:pt idx="120">
                  <c:v>6847.4759999999997</c:v>
                </c:pt>
                <c:pt idx="121">
                  <c:v>5192.5715835141</c:v>
                </c:pt>
                <c:pt idx="122">
                  <c:v>8332.1700507614205</c:v>
                </c:pt>
                <c:pt idx="123">
                  <c:v>5726.1464530892445</c:v>
                </c:pt>
                <c:pt idx="124">
                  <c:v>7872.921875</c:v>
                </c:pt>
                <c:pt idx="125">
                  <c:v>6214.1502347417836</c:v>
                </c:pt>
                <c:pt idx="126">
                  <c:v>6889.8437001594893</c:v>
                </c:pt>
                <c:pt idx="127">
                  <c:v>6739.425068119891</c:v>
                </c:pt>
                <c:pt idx="128">
                  <c:v>8829.7623318385649</c:v>
                </c:pt>
                <c:pt idx="129">
                  <c:v>5005.6792873051227</c:v>
                </c:pt>
                <c:pt idx="130">
                  <c:v>7735.1412213740459</c:v>
                </c:pt>
                <c:pt idx="131">
                  <c:v>7478.4208333333336</c:v>
                </c:pt>
                <c:pt idx="132">
                  <c:v>6517.7950819672133</c:v>
                </c:pt>
                <c:pt idx="133">
                  <c:v>8059.6530612244896</c:v>
                </c:pt>
                <c:pt idx="134">
                  <c:v>6741.525362318841</c:v>
                </c:pt>
                <c:pt idx="135">
                  <c:v>7429.7683615819205</c:v>
                </c:pt>
                <c:pt idx="136">
                  <c:v>7040.4953161592503</c:v>
                </c:pt>
                <c:pt idx="137">
                  <c:v>8867.6029776674932</c:v>
                </c:pt>
                <c:pt idx="138">
                  <c:v>5513.9375</c:v>
                </c:pt>
                <c:pt idx="139">
                  <c:v>6457.097826086957</c:v>
                </c:pt>
                <c:pt idx="140">
                  <c:v>8973.7707006369419</c:v>
                </c:pt>
                <c:pt idx="141">
                  <c:v>6464.9638242894052</c:v>
                </c:pt>
                <c:pt idx="142">
                  <c:v>6771.5184381778745</c:v>
                </c:pt>
                <c:pt idx="143">
                  <c:v>7054.4788135593217</c:v>
                </c:pt>
                <c:pt idx="144">
                  <c:v>26572.354430379746</c:v>
                </c:pt>
                <c:pt idx="145">
                  <c:v>12426.556962025317</c:v>
                </c:pt>
                <c:pt idx="146">
                  <c:v>9130.4148936170204</c:v>
                </c:pt>
                <c:pt idx="147">
                  <c:v>13976.684365781712</c:v>
                </c:pt>
                <c:pt idx="148">
                  <c:v>9968.0423728813566</c:v>
                </c:pt>
                <c:pt idx="149">
                  <c:v>9645.5932203389839</c:v>
                </c:pt>
                <c:pt idx="150">
                  <c:v>6868.1806020066888</c:v>
                </c:pt>
                <c:pt idx="151">
                  <c:v>6481.4341192787797</c:v>
                </c:pt>
                <c:pt idx="152">
                  <c:v>6272.4949037372589</c:v>
                </c:pt>
                <c:pt idx="153">
                  <c:v>8603.1875</c:v>
                </c:pt>
              </c:numCache>
            </c:numRef>
          </c:yVal>
          <c:smooth val="0"/>
          <c:extLst>
            <c:ext xmlns:c16="http://schemas.microsoft.com/office/drawing/2014/chart" uri="{C3380CC4-5D6E-409C-BE32-E72D297353CC}">
              <c16:uniqueId val="{00000000-00D5-407B-B738-C6D394C29E26}"/>
            </c:ext>
          </c:extLst>
        </c:ser>
        <c:ser>
          <c:idx val="1"/>
          <c:order val="1"/>
          <c:tx>
            <c:v>Per Pupil Under SBB</c:v>
          </c:tx>
          <c:spPr>
            <a:ln w="25400" cap="rnd">
              <a:noFill/>
              <a:round/>
            </a:ln>
            <a:effectLst/>
          </c:spPr>
          <c:marker>
            <c:symbol val="circle"/>
            <c:size val="5"/>
            <c:spPr>
              <a:solidFill>
                <a:schemeClr val="accent2"/>
              </a:solidFill>
              <a:ln w="9525">
                <a:solidFill>
                  <a:schemeClr val="accent2"/>
                </a:solidFill>
              </a:ln>
              <a:effectLst/>
            </c:spPr>
          </c:marker>
          <c:xVal>
            <c:numRef>
              <c:f>'Graph Data all $'!$F$3:$F$156</c:f>
              <c:numCache>
                <c:formatCode>_("$"* #,##0_);_("$"* \(#,##0\);_("$"* "-"??_);_(@_)</c:formatCode>
                <c:ptCount val="154"/>
                <c:pt idx="0">
                  <c:v>694830.44376598729</c:v>
                </c:pt>
                <c:pt idx="1">
                  <c:v>435012.0196213228</c:v>
                </c:pt>
                <c:pt idx="2">
                  <c:v>253724.48773006134</c:v>
                </c:pt>
                <c:pt idx="3">
                  <c:v>1624694.55</c:v>
                </c:pt>
                <c:pt idx="4">
                  <c:v>655846.20253164554</c:v>
                </c:pt>
                <c:pt idx="5">
                  <c:v>535613.07731520815</c:v>
                </c:pt>
                <c:pt idx="6">
                  <c:v>288140.12419700215</c:v>
                </c:pt>
                <c:pt idx="7">
                  <c:v>825628.6</c:v>
                </c:pt>
                <c:pt idx="8">
                  <c:v>534803.24436536175</c:v>
                </c:pt>
                <c:pt idx="9">
                  <c:v>1736504.5665529009</c:v>
                </c:pt>
                <c:pt idx="10">
                  <c:v>224672.35051546391</c:v>
                </c:pt>
                <c:pt idx="11">
                  <c:v>208656.08234318873</c:v>
                </c:pt>
                <c:pt idx="12">
                  <c:v>320175.05263157893</c:v>
                </c:pt>
                <c:pt idx="13">
                  <c:v>282951.24408284022</c:v>
                </c:pt>
                <c:pt idx="14">
                  <c:v>245081.64720314034</c:v>
                </c:pt>
                <c:pt idx="15">
                  <c:v>2927623.0697445972</c:v>
                </c:pt>
                <c:pt idx="16">
                  <c:v>1818085.6790697675</c:v>
                </c:pt>
                <c:pt idx="17">
                  <c:v>841338.00602409639</c:v>
                </c:pt>
                <c:pt idx="18">
                  <c:v>508926.961352657</c:v>
                </c:pt>
                <c:pt idx="19">
                  <c:v>1630195.6093439364</c:v>
                </c:pt>
                <c:pt idx="20">
                  <c:v>1252955.4894124665</c:v>
                </c:pt>
                <c:pt idx="21">
                  <c:v>308800.54236037936</c:v>
                </c:pt>
                <c:pt idx="22">
                  <c:v>3849730.612244898</c:v>
                </c:pt>
                <c:pt idx="23">
                  <c:v>222169.39952109044</c:v>
                </c:pt>
                <c:pt idx="24">
                  <c:v>649734.42813455663</c:v>
                </c:pt>
                <c:pt idx="25">
                  <c:v>401072.45663265308</c:v>
                </c:pt>
                <c:pt idx="26">
                  <c:v>991893.81395348837</c:v>
                </c:pt>
                <c:pt idx="27">
                  <c:v>271543.59709984041</c:v>
                </c:pt>
                <c:pt idx="28">
                  <c:v>266807.13263342081</c:v>
                </c:pt>
                <c:pt idx="29">
                  <c:v>467336.24815724813</c:v>
                </c:pt>
                <c:pt idx="30">
                  <c:v>233017.69186046513</c:v>
                </c:pt>
                <c:pt idx="31">
                  <c:v>244914.48266666668</c:v>
                </c:pt>
                <c:pt idx="32">
                  <c:v>303068.6265060241</c:v>
                </c:pt>
                <c:pt idx="33">
                  <c:v>292204.2823779193</c:v>
                </c:pt>
                <c:pt idx="34">
                  <c:v>241733.09337925757</c:v>
                </c:pt>
                <c:pt idx="35">
                  <c:v>296314.29247311829</c:v>
                </c:pt>
                <c:pt idx="36">
                  <c:v>620361.77108433738</c:v>
                </c:pt>
                <c:pt idx="37">
                  <c:v>770654.95064935065</c:v>
                </c:pt>
                <c:pt idx="38">
                  <c:v>262903.39389002038</c:v>
                </c:pt>
                <c:pt idx="39">
                  <c:v>841549.82733812951</c:v>
                </c:pt>
                <c:pt idx="40">
                  <c:v>514476.51306873187</c:v>
                </c:pt>
                <c:pt idx="41">
                  <c:v>1870354.6084507043</c:v>
                </c:pt>
                <c:pt idx="42">
                  <c:v>909629.74683544307</c:v>
                </c:pt>
                <c:pt idx="43">
                  <c:v>1798935.5</c:v>
                </c:pt>
                <c:pt idx="44">
                  <c:v>687170.07751937979</c:v>
                </c:pt>
                <c:pt idx="45">
                  <c:v>308906.73761520738</c:v>
                </c:pt>
                <c:pt idx="46">
                  <c:v>191855.02760609807</c:v>
                </c:pt>
                <c:pt idx="47">
                  <c:v>237204.09897610921</c:v>
                </c:pt>
                <c:pt idx="48">
                  <c:v>782524.30526315793</c:v>
                </c:pt>
                <c:pt idx="49">
                  <c:v>361089.95714285714</c:v>
                </c:pt>
                <c:pt idx="50">
                  <c:v>353929.64761092153</c:v>
                </c:pt>
                <c:pt idx="51">
                  <c:v>259798.49471661865</c:v>
                </c:pt>
                <c:pt idx="52">
                  <c:v>514798.55374592834</c:v>
                </c:pt>
                <c:pt idx="53">
                  <c:v>688574.83478260867</c:v>
                </c:pt>
                <c:pt idx="54">
                  <c:v>404009.68169761274</c:v>
                </c:pt>
                <c:pt idx="55">
                  <c:v>1234629.1603773586</c:v>
                </c:pt>
                <c:pt idx="56">
                  <c:v>743623.04950495053</c:v>
                </c:pt>
                <c:pt idx="57">
                  <c:v>185696.1193273906</c:v>
                </c:pt>
                <c:pt idx="58">
                  <c:v>198510.04148148149</c:v>
                </c:pt>
                <c:pt idx="59">
                  <c:v>291589.19761499146</c:v>
                </c:pt>
                <c:pt idx="60">
                  <c:v>300590.86657183501</c:v>
                </c:pt>
                <c:pt idx="61">
                  <c:v>381797.85791366908</c:v>
                </c:pt>
                <c:pt idx="62">
                  <c:v>759417.3177987613</c:v>
                </c:pt>
                <c:pt idx="63">
                  <c:v>576720.6526396327</c:v>
                </c:pt>
                <c:pt idx="64">
                  <c:v>454962.16229570506</c:v>
                </c:pt>
                <c:pt idx="65">
                  <c:v>3748133.7062937063</c:v>
                </c:pt>
                <c:pt idx="66">
                  <c:v>599525.71485411143</c:v>
                </c:pt>
                <c:pt idx="67">
                  <c:v>570504.29452054796</c:v>
                </c:pt>
                <c:pt idx="68">
                  <c:v>549191.40350877191</c:v>
                </c:pt>
                <c:pt idx="69">
                  <c:v>555171.33894230775</c:v>
                </c:pt>
                <c:pt idx="70">
                  <c:v>559516.90416666667</c:v>
                </c:pt>
                <c:pt idx="71">
                  <c:v>818991.69668246445</c:v>
                </c:pt>
                <c:pt idx="72">
                  <c:v>777098.77159590041</c:v>
                </c:pt>
                <c:pt idx="73">
                  <c:v>1142739.1527777778</c:v>
                </c:pt>
                <c:pt idx="74">
                  <c:v>861358.31818181823</c:v>
                </c:pt>
                <c:pt idx="75">
                  <c:v>504261.69269521412</c:v>
                </c:pt>
                <c:pt idx="76">
                  <c:v>966066.7297297297</c:v>
                </c:pt>
                <c:pt idx="77">
                  <c:v>364583.89406779659</c:v>
                </c:pt>
                <c:pt idx="78">
                  <c:v>211514.45581395348</c:v>
                </c:pt>
                <c:pt idx="79">
                  <c:v>347524.94818652852</c:v>
                </c:pt>
                <c:pt idx="80">
                  <c:v>281010.55599254812</c:v>
                </c:pt>
                <c:pt idx="81">
                  <c:v>176449.59081562713</c:v>
                </c:pt>
                <c:pt idx="82">
                  <c:v>318176.68298838969</c:v>
                </c:pt>
                <c:pt idx="83">
                  <c:v>573209.76667430671</c:v>
                </c:pt>
                <c:pt idx="84">
                  <c:v>319092.28953229397</c:v>
                </c:pt>
                <c:pt idx="85">
                  <c:v>761185.14084507048</c:v>
                </c:pt>
                <c:pt idx="86">
                  <c:v>376037.255</c:v>
                </c:pt>
                <c:pt idx="87">
                  <c:v>294019.7002583979</c:v>
                </c:pt>
                <c:pt idx="88">
                  <c:v>1680812.7272727273</c:v>
                </c:pt>
                <c:pt idx="89">
                  <c:v>692965.01071428566</c:v>
                </c:pt>
                <c:pt idx="90">
                  <c:v>219840.57743957028</c:v>
                </c:pt>
                <c:pt idx="91">
                  <c:v>267558.22568940494</c:v>
                </c:pt>
                <c:pt idx="92">
                  <c:v>438377.30690826726</c:v>
                </c:pt>
                <c:pt idx="93">
                  <c:v>326871.7703562341</c:v>
                </c:pt>
                <c:pt idx="94">
                  <c:v>592603.88715664437</c:v>
                </c:pt>
                <c:pt idx="95">
                  <c:v>242445.96363636362</c:v>
                </c:pt>
                <c:pt idx="96">
                  <c:v>1395446.888888889</c:v>
                </c:pt>
                <c:pt idx="97">
                  <c:v>527574.146560319</c:v>
                </c:pt>
                <c:pt idx="98">
                  <c:v>766902.37894736847</c:v>
                </c:pt>
                <c:pt idx="99">
                  <c:v>522970.08515283844</c:v>
                </c:pt>
                <c:pt idx="100">
                  <c:v>23547814.600000001</c:v>
                </c:pt>
                <c:pt idx="101">
                  <c:v>864859.20061538462</c:v>
                </c:pt>
                <c:pt idx="102">
                  <c:v>343142.58946346201</c:v>
                </c:pt>
                <c:pt idx="103">
                  <c:v>494659.71428571426</c:v>
                </c:pt>
                <c:pt idx="104">
                  <c:v>309585.56254180602</c:v>
                </c:pt>
                <c:pt idx="105">
                  <c:v>235645.31878787879</c:v>
                </c:pt>
                <c:pt idx="106">
                  <c:v>494399.70818505337</c:v>
                </c:pt>
                <c:pt idx="107">
                  <c:v>2157215.6666666665</c:v>
                </c:pt>
                <c:pt idx="108">
                  <c:v>555701.07857142854</c:v>
                </c:pt>
                <c:pt idx="109">
                  <c:v>578501.56589147286</c:v>
                </c:pt>
                <c:pt idx="110">
                  <c:v>2930262.5644994839</c:v>
                </c:pt>
                <c:pt idx="111">
                  <c:v>1823952.7859922179</c:v>
                </c:pt>
                <c:pt idx="112">
                  <c:v>311256.20815752464</c:v>
                </c:pt>
                <c:pt idx="113">
                  <c:v>1471384.6090909091</c:v>
                </c:pt>
                <c:pt idx="114">
                  <c:v>1134844.5398230089</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xVal>
          <c:yVal>
            <c:numRef>
              <c:f>'Graph Data all $'!$G$3:$G$156</c:f>
              <c:numCache>
                <c:formatCode>_("$"* #,##0_);_("$"* \(#,##0\);_("$"* "-"??_);_(@_)</c:formatCode>
                <c:ptCount val="154"/>
                <c:pt idx="0">
                  <c:v>8909.9439250803298</c:v>
                </c:pt>
                <c:pt idx="1">
                  <c:v>7649.784059194134</c:v>
                </c:pt>
                <c:pt idx="2">
                  <c:v>8728.0113325957846</c:v>
                </c:pt>
                <c:pt idx="3">
                  <c:v>14978</c:v>
                </c:pt>
                <c:pt idx="4">
                  <c:v>10321.101265822785</c:v>
                </c:pt>
                <c:pt idx="5">
                  <c:v>7776.2943186725479</c:v>
                </c:pt>
                <c:pt idx="6">
                  <c:v>8744.6023004106737</c:v>
                </c:pt>
                <c:pt idx="7">
                  <c:v>6587.1153222671146</c:v>
                </c:pt>
                <c:pt idx="8">
                  <c:v>9632.0645928057602</c:v>
                </c:pt>
                <c:pt idx="9">
                  <c:v>18033.351535836176</c:v>
                </c:pt>
                <c:pt idx="10">
                  <c:v>8987.9126636117762</c:v>
                </c:pt>
                <c:pt idx="11">
                  <c:v>9441.9549432330605</c:v>
                </c:pt>
                <c:pt idx="12">
                  <c:v>11115.739760064505</c:v>
                </c:pt>
                <c:pt idx="13">
                  <c:v>8120.5609279653781</c:v>
                </c:pt>
                <c:pt idx="14">
                  <c:v>7962.8177715396632</c:v>
                </c:pt>
                <c:pt idx="15">
                  <c:v>14210.076948264572</c:v>
                </c:pt>
                <c:pt idx="16">
                  <c:v>17345.251162790697</c:v>
                </c:pt>
                <c:pt idx="17">
                  <c:v>6843.4261548784089</c:v>
                </c:pt>
                <c:pt idx="18">
                  <c:v>13941.777777777777</c:v>
                </c:pt>
                <c:pt idx="19">
                  <c:v>6368.0225650845414</c:v>
                </c:pt>
                <c:pt idx="20">
                  <c:v>6072.6884032929784</c:v>
                </c:pt>
                <c:pt idx="21">
                  <c:v>8519.8251295629343</c:v>
                </c:pt>
                <c:pt idx="22">
                  <c:v>20296.816326530614</c:v>
                </c:pt>
                <c:pt idx="23">
                  <c:v>8434.7893390140653</c:v>
                </c:pt>
                <c:pt idx="24">
                  <c:v>9226.3025354367364</c:v>
                </c:pt>
                <c:pt idx="25">
                  <c:v>9108.3859231995157</c:v>
                </c:pt>
                <c:pt idx="26">
                  <c:v>18095.798449612405</c:v>
                </c:pt>
                <c:pt idx="27">
                  <c:v>9172.875429944319</c:v>
                </c:pt>
                <c:pt idx="28">
                  <c:v>10306.360073222801</c:v>
                </c:pt>
                <c:pt idx="29">
                  <c:v>10416.850225509828</c:v>
                </c:pt>
                <c:pt idx="30">
                  <c:v>8513.1773458398766</c:v>
                </c:pt>
                <c:pt idx="31">
                  <c:v>9500.039290316663</c:v>
                </c:pt>
                <c:pt idx="32">
                  <c:v>8168.3779121615426</c:v>
                </c:pt>
                <c:pt idx="33">
                  <c:v>10006.31115008861</c:v>
                </c:pt>
                <c:pt idx="34">
                  <c:v>9773.0122991322824</c:v>
                </c:pt>
                <c:pt idx="35">
                  <c:v>8587.0504017933126</c:v>
                </c:pt>
                <c:pt idx="36">
                  <c:v>12561.240963855422</c:v>
                </c:pt>
                <c:pt idx="37">
                  <c:v>7234.8981620903942</c:v>
                </c:pt>
                <c:pt idx="38">
                  <c:v>8652.8684190513213</c:v>
                </c:pt>
                <c:pt idx="39">
                  <c:v>18358.179856115108</c:v>
                </c:pt>
                <c:pt idx="40">
                  <c:v>11641.113016586505</c:v>
                </c:pt>
                <c:pt idx="41">
                  <c:v>4433.2732394366194</c:v>
                </c:pt>
                <c:pt idx="42">
                  <c:v>14282.26582278481</c:v>
                </c:pt>
                <c:pt idx="43">
                  <c:v>25348.5</c:v>
                </c:pt>
                <c:pt idx="44">
                  <c:v>8873.5913608354276</c:v>
                </c:pt>
                <c:pt idx="45">
                  <c:v>8695.1358581439454</c:v>
                </c:pt>
                <c:pt idx="46">
                  <c:v>7704.9528815609929</c:v>
                </c:pt>
                <c:pt idx="47">
                  <c:v>8323.8744430920269</c:v>
                </c:pt>
                <c:pt idx="48">
                  <c:v>7651.3701083379055</c:v>
                </c:pt>
                <c:pt idx="49">
                  <c:v>9294.4723043503382</c:v>
                </c:pt>
                <c:pt idx="50">
                  <c:v>8986.7253347109654</c:v>
                </c:pt>
                <c:pt idx="51">
                  <c:v>9499.0407102842182</c:v>
                </c:pt>
                <c:pt idx="52">
                  <c:v>8720.7453694589713</c:v>
                </c:pt>
                <c:pt idx="53">
                  <c:v>16320.6</c:v>
                </c:pt>
                <c:pt idx="54">
                  <c:v>10706.786852400239</c:v>
                </c:pt>
                <c:pt idx="55">
                  <c:v>22025.698113207549</c:v>
                </c:pt>
                <c:pt idx="56">
                  <c:v>10255.631679369277</c:v>
                </c:pt>
                <c:pt idx="57">
                  <c:v>8236.0539061490581</c:v>
                </c:pt>
                <c:pt idx="58">
                  <c:v>9139.6335147249938</c:v>
                </c:pt>
                <c:pt idx="59">
                  <c:v>9306.1098008425779</c:v>
                </c:pt>
                <c:pt idx="60">
                  <c:v>9244.304261834588</c:v>
                </c:pt>
                <c:pt idx="61">
                  <c:v>8511.0129292961101</c:v>
                </c:pt>
                <c:pt idx="62">
                  <c:v>7236.1760420711198</c:v>
                </c:pt>
                <c:pt idx="63">
                  <c:v>7826.0444179302067</c:v>
                </c:pt>
                <c:pt idx="64">
                  <c:v>7856.4136953449088</c:v>
                </c:pt>
                <c:pt idx="65">
                  <c:v>21804.748251748253</c:v>
                </c:pt>
                <c:pt idx="66">
                  <c:v>10709.703641884305</c:v>
                </c:pt>
                <c:pt idx="67">
                  <c:v>13320.195205479453</c:v>
                </c:pt>
                <c:pt idx="68">
                  <c:v>15081.293859649122</c:v>
                </c:pt>
                <c:pt idx="69">
                  <c:v>9893.5328535253939</c:v>
                </c:pt>
                <c:pt idx="70">
                  <c:v>14939.616666666667</c:v>
                </c:pt>
                <c:pt idx="71">
                  <c:v>15745.478672985781</c:v>
                </c:pt>
                <c:pt idx="72">
                  <c:v>7740.7170241285239</c:v>
                </c:pt>
                <c:pt idx="73">
                  <c:v>22821.083333333336</c:v>
                </c:pt>
                <c:pt idx="74">
                  <c:v>18417.159090909092</c:v>
                </c:pt>
                <c:pt idx="75">
                  <c:v>10343.517635784519</c:v>
                </c:pt>
                <c:pt idx="76">
                  <c:v>17204.66891891892</c:v>
                </c:pt>
                <c:pt idx="77">
                  <c:v>9711.3829813213142</c:v>
                </c:pt>
                <c:pt idx="78">
                  <c:v>11458.348837209302</c:v>
                </c:pt>
                <c:pt idx="79">
                  <c:v>11377</c:v>
                </c:pt>
                <c:pt idx="80">
                  <c:v>9078.630951613095</c:v>
                </c:pt>
                <c:pt idx="81">
                  <c:v>8791.2606058079728</c:v>
                </c:pt>
                <c:pt idx="82">
                  <c:v>8981.3659218104658</c:v>
                </c:pt>
                <c:pt idx="83">
                  <c:v>9115.6591028382209</c:v>
                </c:pt>
                <c:pt idx="84">
                  <c:v>17396.759463930175</c:v>
                </c:pt>
                <c:pt idx="85">
                  <c:v>24645.211267605635</c:v>
                </c:pt>
                <c:pt idx="86">
                  <c:v>8015.7916513158953</c:v>
                </c:pt>
                <c:pt idx="87">
                  <c:v>9737.7614911507753</c:v>
                </c:pt>
                <c:pt idx="88">
                  <c:v>23757</c:v>
                </c:pt>
                <c:pt idx="89">
                  <c:v>17699.882142857143</c:v>
                </c:pt>
                <c:pt idx="90">
                  <c:v>8789.1052340205297</c:v>
                </c:pt>
                <c:pt idx="91">
                  <c:v>9492.907107064415</c:v>
                </c:pt>
                <c:pt idx="92">
                  <c:v>7574.2828982443361</c:v>
                </c:pt>
                <c:pt idx="93">
                  <c:v>7874.5151293057343</c:v>
                </c:pt>
                <c:pt idx="94">
                  <c:v>10740.697147994993</c:v>
                </c:pt>
                <c:pt idx="95">
                  <c:v>12552.333333333334</c:v>
                </c:pt>
                <c:pt idx="96">
                  <c:v>19401.722222222223</c:v>
                </c:pt>
                <c:pt idx="97">
                  <c:v>11682.057016990238</c:v>
                </c:pt>
                <c:pt idx="98">
                  <c:v>21921.57894736842</c:v>
                </c:pt>
                <c:pt idx="99">
                  <c:v>12149.097861541033</c:v>
                </c:pt>
                <c:pt idx="100">
                  <c:v>100112.6</c:v>
                </c:pt>
                <c:pt idx="101">
                  <c:v>8612.888937958176</c:v>
                </c:pt>
                <c:pt idx="102">
                  <c:v>9800.028233265788</c:v>
                </c:pt>
                <c:pt idx="103">
                  <c:v>9310.194765384369</c:v>
                </c:pt>
                <c:pt idx="104">
                  <c:v>8580.8533793674869</c:v>
                </c:pt>
                <c:pt idx="105">
                  <c:v>7809.8751557906517</c:v>
                </c:pt>
                <c:pt idx="106">
                  <c:v>12149.501779359431</c:v>
                </c:pt>
                <c:pt idx="107">
                  <c:v>20255.333333333332</c:v>
                </c:pt>
                <c:pt idx="108">
                  <c:v>10813.964285714286</c:v>
                </c:pt>
                <c:pt idx="109">
                  <c:v>11737.445736434109</c:v>
                </c:pt>
                <c:pt idx="110">
                  <c:v>10225.498452012383</c:v>
                </c:pt>
                <c:pt idx="111">
                  <c:v>12025.727626459144</c:v>
                </c:pt>
                <c:pt idx="112">
                  <c:v>8359.8918512185537</c:v>
                </c:pt>
                <c:pt idx="113">
                  <c:v>16685.372727272726</c:v>
                </c:pt>
                <c:pt idx="114">
                  <c:v>15480.54867256637</c:v>
                </c:pt>
                <c:pt idx="115">
                  <c:v>7840.7687005858597</c:v>
                </c:pt>
                <c:pt idx="116">
                  <c:v>8620.6240830487295</c:v>
                </c:pt>
                <c:pt idx="117">
                  <c:v>5528.4891507280063</c:v>
                </c:pt>
                <c:pt idx="118">
                  <c:v>11583.758405140668</c:v>
                </c:pt>
                <c:pt idx="119">
                  <c:v>7116.4607238796125</c:v>
                </c:pt>
                <c:pt idx="120">
                  <c:v>7058.5640000000003</c:v>
                </c:pt>
                <c:pt idx="121">
                  <c:v>7908.2321937377283</c:v>
                </c:pt>
                <c:pt idx="122">
                  <c:v>8265.8228540014206</c:v>
                </c:pt>
                <c:pt idx="123">
                  <c:v>7201.2586613823141</c:v>
                </c:pt>
                <c:pt idx="124">
                  <c:v>8264.1017944594605</c:v>
                </c:pt>
                <c:pt idx="125">
                  <c:v>7013.1018184802188</c:v>
                </c:pt>
                <c:pt idx="126">
                  <c:v>7813.4731094465687</c:v>
                </c:pt>
                <c:pt idx="127">
                  <c:v>7818.983986246315</c:v>
                </c:pt>
                <c:pt idx="128">
                  <c:v>9554.3695399435328</c:v>
                </c:pt>
                <c:pt idx="129">
                  <c:v>7062.6759575551487</c:v>
                </c:pt>
                <c:pt idx="130">
                  <c:v>7735.1412213740459</c:v>
                </c:pt>
                <c:pt idx="131">
                  <c:v>7478.4208333333336</c:v>
                </c:pt>
                <c:pt idx="132">
                  <c:v>6517.7950819672133</c:v>
                </c:pt>
                <c:pt idx="133">
                  <c:v>8332.9084353741491</c:v>
                </c:pt>
                <c:pt idx="134">
                  <c:v>7534.4559715128107</c:v>
                </c:pt>
                <c:pt idx="135">
                  <c:v>9373.6702753867539</c:v>
                </c:pt>
                <c:pt idx="136">
                  <c:v>7669.5883187310537</c:v>
                </c:pt>
                <c:pt idx="137">
                  <c:v>9156.2956038577231</c:v>
                </c:pt>
                <c:pt idx="138">
                  <c:v>7839.3934470190479</c:v>
                </c:pt>
                <c:pt idx="139">
                  <c:v>7672.9573446327677</c:v>
                </c:pt>
                <c:pt idx="140">
                  <c:v>10957.417412152006</c:v>
                </c:pt>
                <c:pt idx="141">
                  <c:v>6600.9460895175998</c:v>
                </c:pt>
                <c:pt idx="142">
                  <c:v>9250.8579574656069</c:v>
                </c:pt>
                <c:pt idx="143">
                  <c:v>7619.0780871670704</c:v>
                </c:pt>
                <c:pt idx="144">
                  <c:v>27245.103074141047</c:v>
                </c:pt>
                <c:pt idx="145">
                  <c:v>12426.556962025317</c:v>
                </c:pt>
                <c:pt idx="146">
                  <c:v>9130.4148936170204</c:v>
                </c:pt>
                <c:pt idx="147">
                  <c:v>13979.863777919576</c:v>
                </c:pt>
                <c:pt idx="148">
                  <c:v>10656.678096479791</c:v>
                </c:pt>
                <c:pt idx="149">
                  <c:v>9645.5932203389839</c:v>
                </c:pt>
                <c:pt idx="150">
                  <c:v>7976.3397358333132</c:v>
                </c:pt>
                <c:pt idx="151">
                  <c:v>6118.7433188179903</c:v>
                </c:pt>
                <c:pt idx="152">
                  <c:v>6654.8754266083843</c:v>
                </c:pt>
                <c:pt idx="153">
                  <c:v>8603.1875</c:v>
                </c:pt>
              </c:numCache>
            </c:numRef>
          </c:yVal>
          <c:smooth val="0"/>
          <c:extLst>
            <c:ext xmlns:c16="http://schemas.microsoft.com/office/drawing/2014/chart" uri="{C3380CC4-5D6E-409C-BE32-E72D297353CC}">
              <c16:uniqueId val="{00000001-00D5-407B-B738-C6D394C29E26}"/>
            </c:ext>
          </c:extLst>
        </c:ser>
        <c:dLbls>
          <c:showLegendKey val="0"/>
          <c:showVal val="0"/>
          <c:showCatName val="0"/>
          <c:showSerName val="0"/>
          <c:showPercent val="0"/>
          <c:showBubbleSize val="0"/>
        </c:dLbls>
        <c:axId val="467474832"/>
        <c:axId val="467475488"/>
      </c:scatterChart>
      <c:valAx>
        <c:axId val="467474832"/>
        <c:scaling>
          <c:orientation val="minMax"/>
          <c:max val="15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Market Value Per Pupil</a:t>
                </a:r>
              </a:p>
            </c:rich>
          </c:tx>
          <c:layout>
            <c:manualLayout>
              <c:xMode val="edge"/>
              <c:yMode val="edge"/>
              <c:x val="0.39718517702769662"/>
              <c:y val="0.84457228953496766"/>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5488"/>
        <c:crosses val="autoZero"/>
        <c:crossBetween val="midCat"/>
        <c:majorUnit val="500000"/>
      </c:valAx>
      <c:valAx>
        <c:axId val="467475488"/>
        <c:scaling>
          <c:orientation val="minMax"/>
          <c:max val="2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6231884057971015E-2"/>
              <c:y val="0.32120639101881332"/>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4832"/>
        <c:crosses val="autoZero"/>
        <c:crossBetween val="midCat"/>
        <c:majorUnit val="5000"/>
      </c:valAx>
    </c:plotArea>
    <c:legend>
      <c:legendPos val="b"/>
      <c:layout>
        <c:manualLayout>
          <c:xMode val="edge"/>
          <c:yMode val="edge"/>
          <c:x val="0.27196501661068589"/>
          <c:y val="0.92824242962053816"/>
          <c:w val="0.48404199475065618"/>
          <c:h val="7.175757037946183E-2"/>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'Graphics for PPT'!$Q$163:$Q$243</c:f>
              <c:numCache>
                <c:formatCode>_("$"* #,##0_);_("$"* \(#,##0\);_("$"* "-"??_);_(@_)</c:formatCode>
                <c:ptCount val="81"/>
                <c:pt idx="0">
                  <c:v>6020.5416397675917</c:v>
                </c:pt>
                <c:pt idx="1">
                  <c:v>5374.144455159113</c:v>
                </c:pt>
                <c:pt idx="2">
                  <c:v>5776.8920265780735</c:v>
                </c:pt>
                <c:pt idx="3">
                  <c:v>5014.7928926251434</c:v>
                </c:pt>
                <c:pt idx="4">
                  <c:v>6881.3764367816093</c:v>
                </c:pt>
                <c:pt idx="5">
                  <c:v>6237.6570206341221</c:v>
                </c:pt>
                <c:pt idx="6">
                  <c:v>5269.1112806170013</c:v>
                </c:pt>
                <c:pt idx="7">
                  <c:v>6133.1308466548253</c:v>
                </c:pt>
                <c:pt idx="8">
                  <c:v>5994.738991192954</c:v>
                </c:pt>
                <c:pt idx="9">
                  <c:v>5620.8813559322034</c:v>
                </c:pt>
                <c:pt idx="10">
                  <c:v>5802.5885815185402</c:v>
                </c:pt>
                <c:pt idx="11">
                  <c:v>5493.3176254589962</c:v>
                </c:pt>
                <c:pt idx="12">
                  <c:v>7080.8110367892978</c:v>
                </c:pt>
                <c:pt idx="13">
                  <c:v>5575.1379509936332</c:v>
                </c:pt>
                <c:pt idx="14">
                  <c:v>7569.2675324675329</c:v>
                </c:pt>
                <c:pt idx="15">
                  <c:v>6893.041716328963</c:v>
                </c:pt>
                <c:pt idx="16">
                  <c:v>6039.9731888191673</c:v>
                </c:pt>
                <c:pt idx="17">
                  <c:v>6440.0557011795545</c:v>
                </c:pt>
                <c:pt idx="18">
                  <c:v>6215.0073613610339</c:v>
                </c:pt>
                <c:pt idx="19">
                  <c:v>6232.7782685512366</c:v>
                </c:pt>
                <c:pt idx="20">
                  <c:v>5699.8415237361087</c:v>
                </c:pt>
                <c:pt idx="21">
                  <c:v>6050.6109660574411</c:v>
                </c:pt>
                <c:pt idx="22">
                  <c:v>5684.0416747431673</c:v>
                </c:pt>
                <c:pt idx="23">
                  <c:v>6736.6901544401544</c:v>
                </c:pt>
                <c:pt idx="24">
                  <c:v>5998.9963190184053</c:v>
                </c:pt>
                <c:pt idx="25">
                  <c:v>5405.5125885129819</c:v>
                </c:pt>
                <c:pt idx="26">
                  <c:v>5938.3791382028376</c:v>
                </c:pt>
                <c:pt idx="27">
                  <c:v>7395.1716171617163</c:v>
                </c:pt>
                <c:pt idx="28">
                  <c:v>5793.0668229777257</c:v>
                </c:pt>
                <c:pt idx="29">
                  <c:v>5841.6047261009671</c:v>
                </c:pt>
                <c:pt idx="30">
                  <c:v>13790.631048387097</c:v>
                </c:pt>
                <c:pt idx="31">
                  <c:v>5434.0670898437502</c:v>
                </c:pt>
                <c:pt idx="32">
                  <c:v>5883.2172405823894</c:v>
                </c:pt>
                <c:pt idx="33">
                  <c:v>6017.8911475409832</c:v>
                </c:pt>
                <c:pt idx="34">
                  <c:v>6367.1862811028914</c:v>
                </c:pt>
                <c:pt idx="35">
                  <c:v>7186.8035320088302</c:v>
                </c:pt>
                <c:pt idx="36">
                  <c:v>6022.4766244057055</c:v>
                </c:pt>
                <c:pt idx="37">
                  <c:v>7249.0733056708159</c:v>
                </c:pt>
                <c:pt idx="38">
                  <c:v>7261.1472868217052</c:v>
                </c:pt>
                <c:pt idx="39">
                  <c:v>6249.7376788553256</c:v>
                </c:pt>
                <c:pt idx="40">
                  <c:v>5859.1637325969396</c:v>
                </c:pt>
                <c:pt idx="41">
                  <c:v>7095.8341793570216</c:v>
                </c:pt>
                <c:pt idx="42">
                  <c:v>6262.3802816901407</c:v>
                </c:pt>
                <c:pt idx="43">
                  <c:v>7437.9505882352942</c:v>
                </c:pt>
                <c:pt idx="44">
                  <c:v>6535.2524271844659</c:v>
                </c:pt>
                <c:pt idx="45">
                  <c:v>5187.6570975936193</c:v>
                </c:pt>
                <c:pt idx="46">
                  <c:v>9158.6554404145081</c:v>
                </c:pt>
                <c:pt idx="47">
                  <c:v>5620.913449452325</c:v>
                </c:pt>
                <c:pt idx="48">
                  <c:v>7699.900692840647</c:v>
                </c:pt>
                <c:pt idx="49">
                  <c:v>8889.6069182389929</c:v>
                </c:pt>
                <c:pt idx="50">
                  <c:v>6458.770833333333</c:v>
                </c:pt>
                <c:pt idx="51">
                  <c:v>7778.1955128205127</c:v>
                </c:pt>
                <c:pt idx="52">
                  <c:v>7439.1906614785994</c:v>
                </c:pt>
                <c:pt idx="53">
                  <c:v>6771.0985048372913</c:v>
                </c:pt>
                <c:pt idx="54">
                  <c:v>7886.6873156342181</c:v>
                </c:pt>
                <c:pt idx="55">
                  <c:v>9110.2886836027719</c:v>
                </c:pt>
                <c:pt idx="56">
                  <c:v>7150.9140461215929</c:v>
                </c:pt>
                <c:pt idx="57">
                  <c:v>6015.5474683544307</c:v>
                </c:pt>
                <c:pt idx="58">
                  <c:v>8930.6805293005673</c:v>
                </c:pt>
                <c:pt idx="59">
                  <c:v>6651.6520307354558</c:v>
                </c:pt>
                <c:pt idx="60">
                  <c:v>5594.9843518714315</c:v>
                </c:pt>
                <c:pt idx="61">
                  <c:v>5597.1246090930963</c:v>
                </c:pt>
                <c:pt idx="62">
                  <c:v>5221.5678412312673</c:v>
                </c:pt>
                <c:pt idx="63">
                  <c:v>6658.5101327742841</c:v>
                </c:pt>
                <c:pt idx="64">
                  <c:v>7747.6350710900469</c:v>
                </c:pt>
                <c:pt idx="65">
                  <c:v>5527.1191892825609</c:v>
                </c:pt>
                <c:pt idx="66">
                  <c:v>6631.0523952095809</c:v>
                </c:pt>
                <c:pt idx="67">
                  <c:v>8534.0592783505163</c:v>
                </c:pt>
                <c:pt idx="68">
                  <c:v>5326.747585007728</c:v>
                </c:pt>
                <c:pt idx="69">
                  <c:v>7998.6953586497893</c:v>
                </c:pt>
                <c:pt idx="70">
                  <c:v>6167.9563046192261</c:v>
                </c:pt>
                <c:pt idx="71">
                  <c:v>6273.2789620018539</c:v>
                </c:pt>
                <c:pt idx="72">
                  <c:v>6157.565277141548</c:v>
                </c:pt>
                <c:pt idx="73">
                  <c:v>7501.3498622589532</c:v>
                </c:pt>
                <c:pt idx="74">
                  <c:v>5735.4566371681412</c:v>
                </c:pt>
                <c:pt idx="75">
                  <c:v>6070.5899098083428</c:v>
                </c:pt>
                <c:pt idx="76">
                  <c:v>11343.046961325967</c:v>
                </c:pt>
                <c:pt idx="77">
                  <c:v>7138.0107047279216</c:v>
                </c:pt>
                <c:pt idx="78">
                  <c:v>8390.4025000000001</c:v>
                </c:pt>
                <c:pt idx="79">
                  <c:v>5564.9252713178294</c:v>
                </c:pt>
                <c:pt idx="80">
                  <c:v>6772.3621730382292</c:v>
                </c:pt>
              </c:numCache>
            </c:numRef>
          </c:xVal>
          <c:yVal>
            <c:numRef>
              <c:f>'Graphics for PPT'!$R$163:$R$243</c:f>
              <c:numCache>
                <c:formatCode>_("$"* #,##0_);_("$"* \(#,##0\);_("$"* "-"??_);_(@_)</c:formatCode>
                <c:ptCount val="81"/>
                <c:pt idx="0">
                  <c:v>163413.08586184634</c:v>
                </c:pt>
                <c:pt idx="1">
                  <c:v>169511.57319189972</c:v>
                </c:pt>
                <c:pt idx="2">
                  <c:v>171877.73588039866</c:v>
                </c:pt>
                <c:pt idx="3">
                  <c:v>175174.22506687045</c:v>
                </c:pt>
                <c:pt idx="4">
                  <c:v>186494.2816091954</c:v>
                </c:pt>
                <c:pt idx="5">
                  <c:v>190478.67916456971</c:v>
                </c:pt>
                <c:pt idx="6">
                  <c:v>195062.59564369862</c:v>
                </c:pt>
                <c:pt idx="7">
                  <c:v>204748.53582001184</c:v>
                </c:pt>
                <c:pt idx="8">
                  <c:v>205828.3282626101</c:v>
                </c:pt>
                <c:pt idx="9">
                  <c:v>211501.952817224</c:v>
                </c:pt>
                <c:pt idx="10">
                  <c:v>213781.44320188346</c:v>
                </c:pt>
                <c:pt idx="11">
                  <c:v>219964.49461444307</c:v>
                </c:pt>
                <c:pt idx="12">
                  <c:v>221501.19230769231</c:v>
                </c:pt>
                <c:pt idx="13">
                  <c:v>222272.87574763651</c:v>
                </c:pt>
                <c:pt idx="14">
                  <c:v>224042.01298701297</c:v>
                </c:pt>
                <c:pt idx="15">
                  <c:v>227381.48152562574</c:v>
                </c:pt>
                <c:pt idx="16">
                  <c:v>227878.56436584902</c:v>
                </c:pt>
                <c:pt idx="17">
                  <c:v>228325.22411533422</c:v>
                </c:pt>
                <c:pt idx="18">
                  <c:v>229661.26680844103</c:v>
                </c:pt>
                <c:pt idx="19">
                  <c:v>232619.47791519435</c:v>
                </c:pt>
                <c:pt idx="20">
                  <c:v>238228.35080619258</c:v>
                </c:pt>
                <c:pt idx="21">
                  <c:v>244428.81201044386</c:v>
                </c:pt>
                <c:pt idx="22">
                  <c:v>247636.88350455515</c:v>
                </c:pt>
                <c:pt idx="23">
                  <c:v>249505.49034749035</c:v>
                </c:pt>
                <c:pt idx="24">
                  <c:v>252443.28834355829</c:v>
                </c:pt>
                <c:pt idx="25">
                  <c:v>265724.19929189613</c:v>
                </c:pt>
                <c:pt idx="26">
                  <c:v>266915.29400945874</c:v>
                </c:pt>
                <c:pt idx="27">
                  <c:v>271244.13696369639</c:v>
                </c:pt>
                <c:pt idx="28">
                  <c:v>273644.55158264947</c:v>
                </c:pt>
                <c:pt idx="29">
                  <c:v>275236.31041890441</c:v>
                </c:pt>
                <c:pt idx="30">
                  <c:v>278631.5</c:v>
                </c:pt>
                <c:pt idx="31">
                  <c:v>283208.18564453127</c:v>
                </c:pt>
                <c:pt idx="32">
                  <c:v>284702.26438641088</c:v>
                </c:pt>
                <c:pt idx="33">
                  <c:v>286193.96655737708</c:v>
                </c:pt>
                <c:pt idx="34">
                  <c:v>290933.62945527909</c:v>
                </c:pt>
                <c:pt idx="35">
                  <c:v>293420.98013245035</c:v>
                </c:pt>
                <c:pt idx="36">
                  <c:v>296357.13034865295</c:v>
                </c:pt>
                <c:pt idx="37">
                  <c:v>305177.86721991701</c:v>
                </c:pt>
                <c:pt idx="38">
                  <c:v>314634.28875968989</c:v>
                </c:pt>
                <c:pt idx="39">
                  <c:v>320778.85214626393</c:v>
                </c:pt>
                <c:pt idx="40">
                  <c:v>321990.95029340696</c:v>
                </c:pt>
                <c:pt idx="41">
                  <c:v>340858.53637901862</c:v>
                </c:pt>
                <c:pt idx="42">
                  <c:v>345333.96830985916</c:v>
                </c:pt>
                <c:pt idx="43">
                  <c:v>366617.28</c:v>
                </c:pt>
                <c:pt idx="44">
                  <c:v>380971.10463861917</c:v>
                </c:pt>
                <c:pt idx="45">
                  <c:v>383354.12572724046</c:v>
                </c:pt>
                <c:pt idx="46">
                  <c:v>386598.8445595855</c:v>
                </c:pt>
                <c:pt idx="47">
                  <c:v>403317.94541210274</c:v>
                </c:pt>
                <c:pt idx="48">
                  <c:v>406267.42725173209</c:v>
                </c:pt>
                <c:pt idx="49">
                  <c:v>407019.22955974843</c:v>
                </c:pt>
                <c:pt idx="50">
                  <c:v>432992.25400641025</c:v>
                </c:pt>
                <c:pt idx="51">
                  <c:v>438110.03846153844</c:v>
                </c:pt>
                <c:pt idx="52">
                  <c:v>445668.04863813228</c:v>
                </c:pt>
                <c:pt idx="53">
                  <c:v>447860.40369393141</c:v>
                </c:pt>
                <c:pt idx="54">
                  <c:v>451085.67846607667</c:v>
                </c:pt>
                <c:pt idx="55">
                  <c:v>457126.21016166284</c:v>
                </c:pt>
                <c:pt idx="56">
                  <c:v>478784.60377358488</c:v>
                </c:pt>
                <c:pt idx="57">
                  <c:v>480384.48655063292</c:v>
                </c:pt>
                <c:pt idx="58">
                  <c:v>482237.81001890358</c:v>
                </c:pt>
                <c:pt idx="59">
                  <c:v>484969.90998902306</c:v>
                </c:pt>
                <c:pt idx="60">
                  <c:v>502886.00317191792</c:v>
                </c:pt>
                <c:pt idx="61">
                  <c:v>516765.101515516</c:v>
                </c:pt>
                <c:pt idx="62">
                  <c:v>540047.01984609151</c:v>
                </c:pt>
                <c:pt idx="63">
                  <c:v>542662.96925227111</c:v>
                </c:pt>
                <c:pt idx="64">
                  <c:v>564585.60900473932</c:v>
                </c:pt>
                <c:pt idx="65">
                  <c:v>606508.42263252847</c:v>
                </c:pt>
                <c:pt idx="66">
                  <c:v>617196.61976047908</c:v>
                </c:pt>
                <c:pt idx="67">
                  <c:v>669988.27061855665</c:v>
                </c:pt>
                <c:pt idx="68">
                  <c:v>680881.80477202474</c:v>
                </c:pt>
                <c:pt idx="69">
                  <c:v>688252.53670886077</c:v>
                </c:pt>
                <c:pt idx="70">
                  <c:v>694641.23220973788</c:v>
                </c:pt>
                <c:pt idx="71">
                  <c:v>702726.89249304915</c:v>
                </c:pt>
                <c:pt idx="72">
                  <c:v>709088.91846083372</c:v>
                </c:pt>
                <c:pt idx="73">
                  <c:v>719780.90358126722</c:v>
                </c:pt>
                <c:pt idx="74">
                  <c:v>775896.52094395284</c:v>
                </c:pt>
                <c:pt idx="75">
                  <c:v>1151463.2948139796</c:v>
                </c:pt>
                <c:pt idx="76">
                  <c:v>1356708.6132596685</c:v>
                </c:pt>
                <c:pt idx="77">
                  <c:v>1368470.763603925</c:v>
                </c:pt>
                <c:pt idx="78">
                  <c:v>1693353.9075</c:v>
                </c:pt>
                <c:pt idx="79">
                  <c:v>2656653.2595348838</c:v>
                </c:pt>
                <c:pt idx="80">
                  <c:v>2668486.6277665994</c:v>
                </c:pt>
              </c:numCache>
            </c:numRef>
          </c:yVal>
          <c:smooth val="0"/>
          <c:extLst>
            <c:ext xmlns:c16="http://schemas.microsoft.com/office/drawing/2014/chart" uri="{C3380CC4-5D6E-409C-BE32-E72D297353CC}">
              <c16:uniqueId val="{00000003-682A-43BA-AE6F-B6CEFEDECAF3}"/>
            </c:ext>
          </c:extLst>
        </c:ser>
        <c:dLbls>
          <c:showLegendKey val="0"/>
          <c:showVal val="0"/>
          <c:showCatName val="0"/>
          <c:showSerName val="0"/>
          <c:showPercent val="0"/>
          <c:showBubbleSize val="0"/>
        </c:dLbls>
        <c:axId val="430523136"/>
        <c:axId val="430524120"/>
      </c:scatterChart>
      <c:valAx>
        <c:axId val="430523136"/>
        <c:scaling>
          <c:orientation val="minMax"/>
          <c:max val="10000"/>
          <c:min val="4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 from State and Local</a:t>
                </a:r>
              </a:p>
            </c:rich>
          </c:tx>
          <c:overlay val="0"/>
          <c:spPr>
            <a:noFill/>
            <a:ln>
              <a:noFill/>
            </a:ln>
            <a:effectLst/>
          </c:spPr>
        </c:title>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24120"/>
        <c:crosses val="autoZero"/>
        <c:crossBetween val="midCat"/>
      </c:valAx>
      <c:valAx>
        <c:axId val="430524120"/>
        <c:scaling>
          <c:orientation val="minMax"/>
          <c:max val="1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Market Value Per Pupil</a:t>
                </a:r>
              </a:p>
            </c:rich>
          </c:tx>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23136"/>
        <c:crosses val="autoZero"/>
        <c:crossBetween val="midCat"/>
        <c:majorUnit val="250000"/>
        <c:minorUnit val="50000"/>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2"/>
            <c:dispRSqr val="0"/>
            <c:dispEq val="0"/>
          </c:trendline>
          <c:xVal>
            <c:numRef>
              <c:f>'Graphics for PPT'!$P$163:$P$243</c:f>
              <c:numCache>
                <c:formatCode>General</c:formatCode>
                <c:ptCount val="81"/>
                <c:pt idx="0">
                  <c:v>3.9654979999999997</c:v>
                </c:pt>
                <c:pt idx="1">
                  <c:v>4.273898</c:v>
                </c:pt>
                <c:pt idx="2">
                  <c:v>4.3116679999999992</c:v>
                </c:pt>
                <c:pt idx="3">
                  <c:v>1.420121</c:v>
                </c:pt>
                <c:pt idx="4">
                  <c:v>7.1724950000000005</c:v>
                </c:pt>
                <c:pt idx="5">
                  <c:v>3.7912919999999999</c:v>
                </c:pt>
                <c:pt idx="6">
                  <c:v>5.4480000000000004</c:v>
                </c:pt>
                <c:pt idx="7">
                  <c:v>5.9462790000000005</c:v>
                </c:pt>
                <c:pt idx="8">
                  <c:v>5.2503479999999998</c:v>
                </c:pt>
                <c:pt idx="9">
                  <c:v>3.7660470000000004</c:v>
                </c:pt>
                <c:pt idx="10">
                  <c:v>3.9712909999999999</c:v>
                </c:pt>
                <c:pt idx="11">
                  <c:v>5.8199999999999994</c:v>
                </c:pt>
                <c:pt idx="12">
                  <c:v>1.2804310000000001</c:v>
                </c:pt>
                <c:pt idx="13">
                  <c:v>6.6514769999999999</c:v>
                </c:pt>
                <c:pt idx="14">
                  <c:v>4.77902</c:v>
                </c:pt>
                <c:pt idx="15">
                  <c:v>3.4850680000000001</c:v>
                </c:pt>
                <c:pt idx="16">
                  <c:v>2.8189920000000002</c:v>
                </c:pt>
                <c:pt idx="17">
                  <c:v>3.3469070000000003</c:v>
                </c:pt>
                <c:pt idx="18">
                  <c:v>4.6017360000000007</c:v>
                </c:pt>
                <c:pt idx="19">
                  <c:v>5.1315439999999999</c:v>
                </c:pt>
                <c:pt idx="20">
                  <c:v>4.2278960000000003</c:v>
                </c:pt>
                <c:pt idx="21">
                  <c:v>1.8485739999999999</c:v>
                </c:pt>
                <c:pt idx="22">
                  <c:v>4.6121899999999991</c:v>
                </c:pt>
                <c:pt idx="23">
                  <c:v>6.0278069999999992</c:v>
                </c:pt>
                <c:pt idx="24">
                  <c:v>3.0849380000000002</c:v>
                </c:pt>
                <c:pt idx="25">
                  <c:v>4.1462269999999997</c:v>
                </c:pt>
                <c:pt idx="26">
                  <c:v>3.2116130000000003</c:v>
                </c:pt>
                <c:pt idx="27">
                  <c:v>4.2516300000000005</c:v>
                </c:pt>
                <c:pt idx="28">
                  <c:v>3.5292870000000005</c:v>
                </c:pt>
                <c:pt idx="29">
                  <c:v>3.4904770000000007</c:v>
                </c:pt>
                <c:pt idx="30">
                  <c:v>1.982348</c:v>
                </c:pt>
                <c:pt idx="31">
                  <c:v>4.250356</c:v>
                </c:pt>
                <c:pt idx="32">
                  <c:v>2.9972949999999998</c:v>
                </c:pt>
                <c:pt idx="33">
                  <c:v>3.9355310000000001</c:v>
                </c:pt>
                <c:pt idx="34">
                  <c:v>1.6262670000000001</c:v>
                </c:pt>
                <c:pt idx="35">
                  <c:v>3.7452390000000002</c:v>
                </c:pt>
                <c:pt idx="36">
                  <c:v>3.161378</c:v>
                </c:pt>
                <c:pt idx="37">
                  <c:v>6.598827</c:v>
                </c:pt>
                <c:pt idx="38">
                  <c:v>3.6176740000000005</c:v>
                </c:pt>
                <c:pt idx="39">
                  <c:v>3.288821</c:v>
                </c:pt>
                <c:pt idx="40">
                  <c:v>4.7863639999999998</c:v>
                </c:pt>
                <c:pt idx="41">
                  <c:v>3.0341330000000002</c:v>
                </c:pt>
                <c:pt idx="42">
                  <c:v>3.1249470000000001</c:v>
                </c:pt>
                <c:pt idx="43">
                  <c:v>3.6889749999999997</c:v>
                </c:pt>
                <c:pt idx="44">
                  <c:v>2.468181</c:v>
                </c:pt>
                <c:pt idx="45">
                  <c:v>4.0874199999999998</c:v>
                </c:pt>
                <c:pt idx="46">
                  <c:v>2.4519739999999999</c:v>
                </c:pt>
                <c:pt idx="47">
                  <c:v>3.0787139999999997</c:v>
                </c:pt>
                <c:pt idx="48">
                  <c:v>6.2537050000000001</c:v>
                </c:pt>
                <c:pt idx="49">
                  <c:v>2.6221550000000002</c:v>
                </c:pt>
                <c:pt idx="50">
                  <c:v>2.0036070000000001</c:v>
                </c:pt>
                <c:pt idx="51">
                  <c:v>3.0968840000000002</c:v>
                </c:pt>
                <c:pt idx="52">
                  <c:v>11.173755999999999</c:v>
                </c:pt>
                <c:pt idx="53">
                  <c:v>6.7314150000000001</c:v>
                </c:pt>
                <c:pt idx="54">
                  <c:v>2.8235000000000001</c:v>
                </c:pt>
                <c:pt idx="55">
                  <c:v>4.5370759999999999</c:v>
                </c:pt>
                <c:pt idx="56">
                  <c:v>6.0296810000000001</c:v>
                </c:pt>
                <c:pt idx="57">
                  <c:v>2.116266</c:v>
                </c:pt>
                <c:pt idx="58">
                  <c:v>4.6612849999999995</c:v>
                </c:pt>
                <c:pt idx="59">
                  <c:v>4.1850590000000008</c:v>
                </c:pt>
                <c:pt idx="60">
                  <c:v>5.199860000000001</c:v>
                </c:pt>
                <c:pt idx="61">
                  <c:v>3.3146840000000002</c:v>
                </c:pt>
                <c:pt idx="62">
                  <c:v>7.6207869999999991</c:v>
                </c:pt>
                <c:pt idx="63">
                  <c:v>5.2294890000000001</c:v>
                </c:pt>
                <c:pt idx="64">
                  <c:v>1.820829</c:v>
                </c:pt>
                <c:pt idx="65">
                  <c:v>5.2329400000000001</c:v>
                </c:pt>
                <c:pt idx="66">
                  <c:v>2.770518</c:v>
                </c:pt>
                <c:pt idx="67">
                  <c:v>0.82773600000000003</c:v>
                </c:pt>
                <c:pt idx="68">
                  <c:v>2.1055929999999998</c:v>
                </c:pt>
                <c:pt idx="69">
                  <c:v>3.283045</c:v>
                </c:pt>
                <c:pt idx="70">
                  <c:v>2.6397029999999999</c:v>
                </c:pt>
                <c:pt idx="71">
                  <c:v>1.6989529999999999</c:v>
                </c:pt>
                <c:pt idx="72">
                  <c:v>2.5137740000000002</c:v>
                </c:pt>
                <c:pt idx="73">
                  <c:v>1.563423</c:v>
                </c:pt>
                <c:pt idx="74">
                  <c:v>3.9706289999999997</c:v>
                </c:pt>
                <c:pt idx="75">
                  <c:v>1.8959039999999998</c:v>
                </c:pt>
                <c:pt idx="76">
                  <c:v>1.1532830000000001</c:v>
                </c:pt>
                <c:pt idx="77">
                  <c:v>2.0188790000000001</c:v>
                </c:pt>
                <c:pt idx="78">
                  <c:v>0.67373700000000014</c:v>
                </c:pt>
                <c:pt idx="79">
                  <c:v>4.4308690000000004</c:v>
                </c:pt>
                <c:pt idx="80">
                  <c:v>3.0353509999999999</c:v>
                </c:pt>
              </c:numCache>
            </c:numRef>
          </c:xVal>
          <c:yVal>
            <c:numRef>
              <c:f>'Graphics for PPT'!$R$163:$R$243</c:f>
              <c:numCache>
                <c:formatCode>_("$"* #,##0_);_("$"* \(#,##0\);_("$"* "-"??_);_(@_)</c:formatCode>
                <c:ptCount val="81"/>
                <c:pt idx="0">
                  <c:v>163413.08586184634</c:v>
                </c:pt>
                <c:pt idx="1">
                  <c:v>169511.57319189972</c:v>
                </c:pt>
                <c:pt idx="2">
                  <c:v>171877.73588039866</c:v>
                </c:pt>
                <c:pt idx="3">
                  <c:v>175174.22506687045</c:v>
                </c:pt>
                <c:pt idx="4">
                  <c:v>186494.2816091954</c:v>
                </c:pt>
                <c:pt idx="5">
                  <c:v>190478.67916456971</c:v>
                </c:pt>
                <c:pt idx="6">
                  <c:v>195062.59564369862</c:v>
                </c:pt>
                <c:pt idx="7">
                  <c:v>204748.53582001184</c:v>
                </c:pt>
                <c:pt idx="8">
                  <c:v>205828.3282626101</c:v>
                </c:pt>
                <c:pt idx="9">
                  <c:v>211501.952817224</c:v>
                </c:pt>
                <c:pt idx="10">
                  <c:v>213781.44320188346</c:v>
                </c:pt>
                <c:pt idx="11">
                  <c:v>219964.49461444307</c:v>
                </c:pt>
                <c:pt idx="12">
                  <c:v>221501.19230769231</c:v>
                </c:pt>
                <c:pt idx="13">
                  <c:v>222272.87574763651</c:v>
                </c:pt>
                <c:pt idx="14">
                  <c:v>224042.01298701297</c:v>
                </c:pt>
                <c:pt idx="15">
                  <c:v>227381.48152562574</c:v>
                </c:pt>
                <c:pt idx="16">
                  <c:v>227878.56436584902</c:v>
                </c:pt>
                <c:pt idx="17">
                  <c:v>228325.22411533422</c:v>
                </c:pt>
                <c:pt idx="18">
                  <c:v>229661.26680844103</c:v>
                </c:pt>
                <c:pt idx="19">
                  <c:v>232619.47791519435</c:v>
                </c:pt>
                <c:pt idx="20">
                  <c:v>238228.35080619258</c:v>
                </c:pt>
                <c:pt idx="21">
                  <c:v>244428.81201044386</c:v>
                </c:pt>
                <c:pt idx="22">
                  <c:v>247636.88350455515</c:v>
                </c:pt>
                <c:pt idx="23">
                  <c:v>249505.49034749035</c:v>
                </c:pt>
                <c:pt idx="24">
                  <c:v>252443.28834355829</c:v>
                </c:pt>
                <c:pt idx="25">
                  <c:v>265724.19929189613</c:v>
                </c:pt>
                <c:pt idx="26">
                  <c:v>266915.29400945874</c:v>
                </c:pt>
                <c:pt idx="27">
                  <c:v>271244.13696369639</c:v>
                </c:pt>
                <c:pt idx="28">
                  <c:v>273644.55158264947</c:v>
                </c:pt>
                <c:pt idx="29">
                  <c:v>275236.31041890441</c:v>
                </c:pt>
                <c:pt idx="30">
                  <c:v>278631.5</c:v>
                </c:pt>
                <c:pt idx="31">
                  <c:v>283208.18564453127</c:v>
                </c:pt>
                <c:pt idx="32">
                  <c:v>284702.26438641088</c:v>
                </c:pt>
                <c:pt idx="33">
                  <c:v>286193.96655737708</c:v>
                </c:pt>
                <c:pt idx="34">
                  <c:v>290933.62945527909</c:v>
                </c:pt>
                <c:pt idx="35">
                  <c:v>293420.98013245035</c:v>
                </c:pt>
                <c:pt idx="36">
                  <c:v>296357.13034865295</c:v>
                </c:pt>
                <c:pt idx="37">
                  <c:v>305177.86721991701</c:v>
                </c:pt>
                <c:pt idx="38">
                  <c:v>314634.28875968989</c:v>
                </c:pt>
                <c:pt idx="39">
                  <c:v>320778.85214626393</c:v>
                </c:pt>
                <c:pt idx="40">
                  <c:v>321990.95029340696</c:v>
                </c:pt>
                <c:pt idx="41">
                  <c:v>340858.53637901862</c:v>
                </c:pt>
                <c:pt idx="42">
                  <c:v>345333.96830985916</c:v>
                </c:pt>
                <c:pt idx="43">
                  <c:v>366617.28</c:v>
                </c:pt>
                <c:pt idx="44">
                  <c:v>380971.10463861917</c:v>
                </c:pt>
                <c:pt idx="45">
                  <c:v>383354.12572724046</c:v>
                </c:pt>
                <c:pt idx="46">
                  <c:v>386598.8445595855</c:v>
                </c:pt>
                <c:pt idx="47">
                  <c:v>403317.94541210274</c:v>
                </c:pt>
                <c:pt idx="48">
                  <c:v>406267.42725173209</c:v>
                </c:pt>
                <c:pt idx="49">
                  <c:v>407019.22955974843</c:v>
                </c:pt>
                <c:pt idx="50">
                  <c:v>432992.25400641025</c:v>
                </c:pt>
                <c:pt idx="51">
                  <c:v>438110.03846153844</c:v>
                </c:pt>
                <c:pt idx="52">
                  <c:v>445668.04863813228</c:v>
                </c:pt>
                <c:pt idx="53">
                  <c:v>447860.40369393141</c:v>
                </c:pt>
                <c:pt idx="54">
                  <c:v>451085.67846607667</c:v>
                </c:pt>
                <c:pt idx="55">
                  <c:v>457126.21016166284</c:v>
                </c:pt>
                <c:pt idx="56">
                  <c:v>478784.60377358488</c:v>
                </c:pt>
                <c:pt idx="57">
                  <c:v>480384.48655063292</c:v>
                </c:pt>
                <c:pt idx="58">
                  <c:v>482237.81001890358</c:v>
                </c:pt>
                <c:pt idx="59">
                  <c:v>484969.90998902306</c:v>
                </c:pt>
                <c:pt idx="60">
                  <c:v>502886.00317191792</c:v>
                </c:pt>
                <c:pt idx="61">
                  <c:v>516765.101515516</c:v>
                </c:pt>
                <c:pt idx="62">
                  <c:v>540047.01984609151</c:v>
                </c:pt>
                <c:pt idx="63">
                  <c:v>542662.96925227111</c:v>
                </c:pt>
                <c:pt idx="64">
                  <c:v>564585.60900473932</c:v>
                </c:pt>
                <c:pt idx="65">
                  <c:v>606508.42263252847</c:v>
                </c:pt>
                <c:pt idx="66">
                  <c:v>617196.61976047908</c:v>
                </c:pt>
                <c:pt idx="67">
                  <c:v>669988.27061855665</c:v>
                </c:pt>
                <c:pt idx="68">
                  <c:v>680881.80477202474</c:v>
                </c:pt>
                <c:pt idx="69">
                  <c:v>688252.53670886077</c:v>
                </c:pt>
                <c:pt idx="70">
                  <c:v>694641.23220973788</c:v>
                </c:pt>
                <c:pt idx="71">
                  <c:v>702726.89249304915</c:v>
                </c:pt>
                <c:pt idx="72">
                  <c:v>709088.91846083372</c:v>
                </c:pt>
                <c:pt idx="73">
                  <c:v>719780.90358126722</c:v>
                </c:pt>
                <c:pt idx="74">
                  <c:v>775896.52094395284</c:v>
                </c:pt>
                <c:pt idx="75">
                  <c:v>1151463.2948139796</c:v>
                </c:pt>
                <c:pt idx="76">
                  <c:v>1356708.6132596685</c:v>
                </c:pt>
                <c:pt idx="77">
                  <c:v>1368470.763603925</c:v>
                </c:pt>
                <c:pt idx="78">
                  <c:v>1693353.9075</c:v>
                </c:pt>
                <c:pt idx="79">
                  <c:v>2656653.2595348838</c:v>
                </c:pt>
                <c:pt idx="80">
                  <c:v>2668486.6277665994</c:v>
                </c:pt>
              </c:numCache>
            </c:numRef>
          </c:yVal>
          <c:smooth val="0"/>
          <c:extLst>
            <c:ext xmlns:c16="http://schemas.microsoft.com/office/drawing/2014/chart" uri="{C3380CC4-5D6E-409C-BE32-E72D297353CC}">
              <c16:uniqueId val="{00000000-1F7A-43BA-8CD7-21301FED1EF2}"/>
            </c:ext>
          </c:extLst>
        </c:ser>
        <c:dLbls>
          <c:showLegendKey val="0"/>
          <c:showVal val="0"/>
          <c:showCatName val="0"/>
          <c:showSerName val="0"/>
          <c:showPercent val="0"/>
          <c:showBubbleSize val="0"/>
        </c:dLbls>
        <c:axId val="430373152"/>
        <c:axId val="430377088"/>
      </c:scatterChart>
      <c:valAx>
        <c:axId val="430373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77088"/>
        <c:crosses val="autoZero"/>
        <c:crossBetween val="midCat"/>
      </c:valAx>
      <c:valAx>
        <c:axId val="4303770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73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'Graphics for PPT'!$O$163:$O$243</c:f>
              <c:numCache>
                <c:formatCode>General</c:formatCode>
                <c:ptCount val="81"/>
                <c:pt idx="0">
                  <c:v>163413.08586184634</c:v>
                </c:pt>
                <c:pt idx="1">
                  <c:v>169511.57319189972</c:v>
                </c:pt>
                <c:pt idx="2">
                  <c:v>171877.73588039866</c:v>
                </c:pt>
                <c:pt idx="3">
                  <c:v>175174.22506687045</c:v>
                </c:pt>
                <c:pt idx="4">
                  <c:v>186494.2816091954</c:v>
                </c:pt>
                <c:pt idx="5">
                  <c:v>190478.67916456971</c:v>
                </c:pt>
                <c:pt idx="6">
                  <c:v>195062.59564369862</c:v>
                </c:pt>
                <c:pt idx="7">
                  <c:v>204748.53582001184</c:v>
                </c:pt>
                <c:pt idx="8">
                  <c:v>205828.3282626101</c:v>
                </c:pt>
                <c:pt idx="9">
                  <c:v>211501.952817224</c:v>
                </c:pt>
                <c:pt idx="10">
                  <c:v>213781.44320188346</c:v>
                </c:pt>
                <c:pt idx="11">
                  <c:v>219964.49461444307</c:v>
                </c:pt>
                <c:pt idx="12">
                  <c:v>221501.19230769231</c:v>
                </c:pt>
                <c:pt idx="13">
                  <c:v>222272.87574763651</c:v>
                </c:pt>
                <c:pt idx="14">
                  <c:v>224042.01298701297</c:v>
                </c:pt>
                <c:pt idx="15">
                  <c:v>227381.48152562574</c:v>
                </c:pt>
                <c:pt idx="16">
                  <c:v>227878.56436584902</c:v>
                </c:pt>
                <c:pt idx="17">
                  <c:v>228325.22411533422</c:v>
                </c:pt>
                <c:pt idx="18">
                  <c:v>229661.26680844103</c:v>
                </c:pt>
                <c:pt idx="19">
                  <c:v>232619.47791519435</c:v>
                </c:pt>
                <c:pt idx="20">
                  <c:v>238228.35080619258</c:v>
                </c:pt>
                <c:pt idx="21">
                  <c:v>244428.81201044386</c:v>
                </c:pt>
                <c:pt idx="22">
                  <c:v>247636.88350455515</c:v>
                </c:pt>
                <c:pt idx="23">
                  <c:v>249505.49034749035</c:v>
                </c:pt>
                <c:pt idx="24">
                  <c:v>252443.28834355829</c:v>
                </c:pt>
                <c:pt idx="25">
                  <c:v>265724.19929189613</c:v>
                </c:pt>
                <c:pt idx="26">
                  <c:v>266915.29400945874</c:v>
                </c:pt>
                <c:pt idx="27">
                  <c:v>271244.13696369639</c:v>
                </c:pt>
                <c:pt idx="28">
                  <c:v>273644.55158264947</c:v>
                </c:pt>
                <c:pt idx="29">
                  <c:v>275236.31041890441</c:v>
                </c:pt>
                <c:pt idx="30">
                  <c:v>278631.5</c:v>
                </c:pt>
                <c:pt idx="31">
                  <c:v>283208.18564453127</c:v>
                </c:pt>
                <c:pt idx="32">
                  <c:v>284702.26438641088</c:v>
                </c:pt>
                <c:pt idx="33">
                  <c:v>286193.96655737708</c:v>
                </c:pt>
                <c:pt idx="34">
                  <c:v>290933.62945527909</c:v>
                </c:pt>
                <c:pt idx="35">
                  <c:v>293420.98013245035</c:v>
                </c:pt>
                <c:pt idx="36">
                  <c:v>296357.13034865295</c:v>
                </c:pt>
                <c:pt idx="37">
                  <c:v>305177.86721991701</c:v>
                </c:pt>
                <c:pt idx="38">
                  <c:v>314634.28875968989</c:v>
                </c:pt>
                <c:pt idx="39">
                  <c:v>320778.85214626393</c:v>
                </c:pt>
                <c:pt idx="40">
                  <c:v>321990.95029340696</c:v>
                </c:pt>
                <c:pt idx="41">
                  <c:v>340858.53637901862</c:v>
                </c:pt>
                <c:pt idx="42">
                  <c:v>345333.96830985916</c:v>
                </c:pt>
                <c:pt idx="43">
                  <c:v>366617.28</c:v>
                </c:pt>
                <c:pt idx="44">
                  <c:v>380971.10463861917</c:v>
                </c:pt>
                <c:pt idx="45">
                  <c:v>383354.12572724046</c:v>
                </c:pt>
                <c:pt idx="46">
                  <c:v>386598.8445595855</c:v>
                </c:pt>
                <c:pt idx="47">
                  <c:v>403317.94541210274</c:v>
                </c:pt>
                <c:pt idx="48">
                  <c:v>406267.42725173209</c:v>
                </c:pt>
                <c:pt idx="49">
                  <c:v>407019.22955974843</c:v>
                </c:pt>
                <c:pt idx="50">
                  <c:v>432992.25400641025</c:v>
                </c:pt>
                <c:pt idx="51">
                  <c:v>438110.03846153844</c:v>
                </c:pt>
                <c:pt idx="52">
                  <c:v>445668.04863813228</c:v>
                </c:pt>
                <c:pt idx="53">
                  <c:v>447860.40369393141</c:v>
                </c:pt>
                <c:pt idx="54">
                  <c:v>451085.67846607667</c:v>
                </c:pt>
                <c:pt idx="55">
                  <c:v>457126.21016166284</c:v>
                </c:pt>
                <c:pt idx="56">
                  <c:v>478784.60377358488</c:v>
                </c:pt>
                <c:pt idx="57">
                  <c:v>480384.48655063292</c:v>
                </c:pt>
                <c:pt idx="58">
                  <c:v>482237.81001890358</c:v>
                </c:pt>
                <c:pt idx="59">
                  <c:v>484969.90998902306</c:v>
                </c:pt>
                <c:pt idx="60">
                  <c:v>502886.00317191792</c:v>
                </c:pt>
                <c:pt idx="61">
                  <c:v>516765.101515516</c:v>
                </c:pt>
                <c:pt idx="62">
                  <c:v>540047.01984609151</c:v>
                </c:pt>
                <c:pt idx="63">
                  <c:v>542662.96925227111</c:v>
                </c:pt>
                <c:pt idx="64">
                  <c:v>564585.60900473932</c:v>
                </c:pt>
                <c:pt idx="65">
                  <c:v>606508.42263252847</c:v>
                </c:pt>
                <c:pt idx="66">
                  <c:v>617196.61976047908</c:v>
                </c:pt>
                <c:pt idx="67">
                  <c:v>669988.27061855665</c:v>
                </c:pt>
                <c:pt idx="68">
                  <c:v>680881.80477202474</c:v>
                </c:pt>
                <c:pt idx="69">
                  <c:v>688252.53670886077</c:v>
                </c:pt>
                <c:pt idx="70">
                  <c:v>694641.23220973788</c:v>
                </c:pt>
                <c:pt idx="71">
                  <c:v>702726.89249304915</c:v>
                </c:pt>
                <c:pt idx="72">
                  <c:v>709088.91846083372</c:v>
                </c:pt>
                <c:pt idx="73">
                  <c:v>719780.90358126722</c:v>
                </c:pt>
                <c:pt idx="74">
                  <c:v>775896.52094395284</c:v>
                </c:pt>
                <c:pt idx="75">
                  <c:v>1151463.2948139796</c:v>
                </c:pt>
                <c:pt idx="76">
                  <c:v>1356708.6132596685</c:v>
                </c:pt>
                <c:pt idx="77">
                  <c:v>1368470.763603925</c:v>
                </c:pt>
                <c:pt idx="78">
                  <c:v>1693353.9075</c:v>
                </c:pt>
                <c:pt idx="79">
                  <c:v>2656653.2595348838</c:v>
                </c:pt>
                <c:pt idx="80">
                  <c:v>2668486.6277665994</c:v>
                </c:pt>
              </c:numCache>
            </c:numRef>
          </c:xVal>
          <c:yVal>
            <c:numRef>
              <c:f>'Graphics for PPT'!$P$163:$P$243</c:f>
              <c:numCache>
                <c:formatCode>General</c:formatCode>
                <c:ptCount val="81"/>
                <c:pt idx="0">
                  <c:v>3.9654979999999997</c:v>
                </c:pt>
                <c:pt idx="1">
                  <c:v>4.273898</c:v>
                </c:pt>
                <c:pt idx="2">
                  <c:v>4.3116679999999992</c:v>
                </c:pt>
                <c:pt idx="3">
                  <c:v>1.420121</c:v>
                </c:pt>
                <c:pt idx="4">
                  <c:v>7.1724950000000005</c:v>
                </c:pt>
                <c:pt idx="5">
                  <c:v>3.7912919999999999</c:v>
                </c:pt>
                <c:pt idx="6">
                  <c:v>5.4480000000000004</c:v>
                </c:pt>
                <c:pt idx="7">
                  <c:v>5.9462790000000005</c:v>
                </c:pt>
                <c:pt idx="8">
                  <c:v>5.2503479999999998</c:v>
                </c:pt>
                <c:pt idx="9">
                  <c:v>3.7660470000000004</c:v>
                </c:pt>
                <c:pt idx="10">
                  <c:v>3.9712909999999999</c:v>
                </c:pt>
                <c:pt idx="11">
                  <c:v>5.8199999999999994</c:v>
                </c:pt>
                <c:pt idx="12">
                  <c:v>1.2804310000000001</c:v>
                </c:pt>
                <c:pt idx="13">
                  <c:v>6.6514769999999999</c:v>
                </c:pt>
                <c:pt idx="14">
                  <c:v>4.77902</c:v>
                </c:pt>
                <c:pt idx="15">
                  <c:v>3.4850680000000001</c:v>
                </c:pt>
                <c:pt idx="16">
                  <c:v>2.8189920000000002</c:v>
                </c:pt>
                <c:pt idx="17">
                  <c:v>3.3469070000000003</c:v>
                </c:pt>
                <c:pt idx="18">
                  <c:v>4.6017360000000007</c:v>
                </c:pt>
                <c:pt idx="19">
                  <c:v>5.1315439999999999</c:v>
                </c:pt>
                <c:pt idx="20">
                  <c:v>4.2278960000000003</c:v>
                </c:pt>
                <c:pt idx="21">
                  <c:v>1.8485739999999999</c:v>
                </c:pt>
                <c:pt idx="22">
                  <c:v>4.6121899999999991</c:v>
                </c:pt>
                <c:pt idx="23">
                  <c:v>6.0278069999999992</c:v>
                </c:pt>
                <c:pt idx="24">
                  <c:v>3.0849380000000002</c:v>
                </c:pt>
                <c:pt idx="25">
                  <c:v>4.1462269999999997</c:v>
                </c:pt>
                <c:pt idx="26">
                  <c:v>3.2116130000000003</c:v>
                </c:pt>
                <c:pt idx="27">
                  <c:v>4.2516300000000005</c:v>
                </c:pt>
                <c:pt idx="28">
                  <c:v>3.5292870000000005</c:v>
                </c:pt>
                <c:pt idx="29">
                  <c:v>3.4904770000000007</c:v>
                </c:pt>
                <c:pt idx="30">
                  <c:v>1.982348</c:v>
                </c:pt>
                <c:pt idx="31">
                  <c:v>4.250356</c:v>
                </c:pt>
                <c:pt idx="32">
                  <c:v>2.9972949999999998</c:v>
                </c:pt>
                <c:pt idx="33">
                  <c:v>3.9355310000000001</c:v>
                </c:pt>
                <c:pt idx="34">
                  <c:v>1.6262670000000001</c:v>
                </c:pt>
                <c:pt idx="35">
                  <c:v>3.7452390000000002</c:v>
                </c:pt>
                <c:pt idx="36">
                  <c:v>3.161378</c:v>
                </c:pt>
                <c:pt idx="37">
                  <c:v>6.598827</c:v>
                </c:pt>
                <c:pt idx="38">
                  <c:v>3.6176740000000005</c:v>
                </c:pt>
                <c:pt idx="39">
                  <c:v>3.288821</c:v>
                </c:pt>
                <c:pt idx="40">
                  <c:v>4.7863639999999998</c:v>
                </c:pt>
                <c:pt idx="41">
                  <c:v>3.0341330000000002</c:v>
                </c:pt>
                <c:pt idx="42">
                  <c:v>3.1249470000000001</c:v>
                </c:pt>
                <c:pt idx="43">
                  <c:v>3.6889749999999997</c:v>
                </c:pt>
                <c:pt idx="44">
                  <c:v>2.468181</c:v>
                </c:pt>
                <c:pt idx="45">
                  <c:v>4.0874199999999998</c:v>
                </c:pt>
                <c:pt idx="46">
                  <c:v>2.4519739999999999</c:v>
                </c:pt>
                <c:pt idx="47">
                  <c:v>3.0787139999999997</c:v>
                </c:pt>
                <c:pt idx="48">
                  <c:v>6.2537050000000001</c:v>
                </c:pt>
                <c:pt idx="49">
                  <c:v>2.6221550000000002</c:v>
                </c:pt>
                <c:pt idx="50">
                  <c:v>2.0036070000000001</c:v>
                </c:pt>
                <c:pt idx="51">
                  <c:v>3.0968840000000002</c:v>
                </c:pt>
                <c:pt idx="52">
                  <c:v>11.173755999999999</c:v>
                </c:pt>
                <c:pt idx="53">
                  <c:v>6.7314150000000001</c:v>
                </c:pt>
                <c:pt idx="54">
                  <c:v>2.8235000000000001</c:v>
                </c:pt>
                <c:pt idx="55">
                  <c:v>4.5370759999999999</c:v>
                </c:pt>
                <c:pt idx="56">
                  <c:v>6.0296810000000001</c:v>
                </c:pt>
                <c:pt idx="57">
                  <c:v>2.116266</c:v>
                </c:pt>
                <c:pt idx="58">
                  <c:v>4.6612849999999995</c:v>
                </c:pt>
                <c:pt idx="59">
                  <c:v>4.1850590000000008</c:v>
                </c:pt>
                <c:pt idx="60">
                  <c:v>5.199860000000001</c:v>
                </c:pt>
                <c:pt idx="61">
                  <c:v>3.3146840000000002</c:v>
                </c:pt>
                <c:pt idx="62">
                  <c:v>7.6207869999999991</c:v>
                </c:pt>
                <c:pt idx="63">
                  <c:v>5.2294890000000001</c:v>
                </c:pt>
                <c:pt idx="64">
                  <c:v>1.820829</c:v>
                </c:pt>
                <c:pt idx="65">
                  <c:v>5.2329400000000001</c:v>
                </c:pt>
                <c:pt idx="66">
                  <c:v>2.770518</c:v>
                </c:pt>
                <c:pt idx="67">
                  <c:v>0.82773600000000003</c:v>
                </c:pt>
                <c:pt idx="68">
                  <c:v>2.1055929999999998</c:v>
                </c:pt>
                <c:pt idx="69">
                  <c:v>3.283045</c:v>
                </c:pt>
                <c:pt idx="70">
                  <c:v>2.6397029999999999</c:v>
                </c:pt>
                <c:pt idx="71">
                  <c:v>1.6989529999999999</c:v>
                </c:pt>
                <c:pt idx="72">
                  <c:v>2.5137740000000002</c:v>
                </c:pt>
                <c:pt idx="73">
                  <c:v>1.563423</c:v>
                </c:pt>
                <c:pt idx="74">
                  <c:v>3.9706289999999997</c:v>
                </c:pt>
                <c:pt idx="75">
                  <c:v>1.8959039999999998</c:v>
                </c:pt>
                <c:pt idx="76">
                  <c:v>1.1532830000000001</c:v>
                </c:pt>
                <c:pt idx="77">
                  <c:v>2.0188790000000001</c:v>
                </c:pt>
                <c:pt idx="78">
                  <c:v>0.67373700000000014</c:v>
                </c:pt>
                <c:pt idx="79">
                  <c:v>4.4308690000000004</c:v>
                </c:pt>
                <c:pt idx="80">
                  <c:v>3.0353509999999999</c:v>
                </c:pt>
              </c:numCache>
            </c:numRef>
          </c:yVal>
          <c:smooth val="0"/>
          <c:extLst>
            <c:ext xmlns:c16="http://schemas.microsoft.com/office/drawing/2014/chart" uri="{C3380CC4-5D6E-409C-BE32-E72D297353CC}">
              <c16:uniqueId val="{00000000-9EB1-46C6-A7CC-63DF48B11AB4}"/>
            </c:ext>
          </c:extLst>
        </c:ser>
        <c:dLbls>
          <c:showLegendKey val="0"/>
          <c:showVal val="0"/>
          <c:showCatName val="0"/>
          <c:showSerName val="0"/>
          <c:showPercent val="0"/>
          <c:showBubbleSize val="0"/>
        </c:dLbls>
        <c:axId val="540989936"/>
        <c:axId val="540998792"/>
      </c:scatterChart>
      <c:valAx>
        <c:axId val="540989936"/>
        <c:scaling>
          <c:orientation val="minMax"/>
          <c:max val="1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998792"/>
        <c:crosses val="autoZero"/>
        <c:crossBetween val="midCat"/>
      </c:valAx>
      <c:valAx>
        <c:axId val="540998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9899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27741462993037"/>
          <c:y val="0.2042124829004939"/>
          <c:w val="0.68433302856207101"/>
          <c:h val="0.54122868881331287"/>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'Graphics for PPT'!$S$3:$S$156</c:f>
              <c:numCache>
                <c:formatCode>_(* #,##0_);_(* \(#,##0\);_(* "-"??_);_(@_)</c:formatCode>
                <c:ptCount val="154"/>
                <c:pt idx="0">
                  <c:v>0</c:v>
                </c:pt>
                <c:pt idx="1">
                  <c:v>0</c:v>
                </c:pt>
                <c:pt idx="2">
                  <c:v>#N/A</c:v>
                </c:pt>
                <c:pt idx="3">
                  <c:v>0</c:v>
                </c:pt>
                <c:pt idx="4">
                  <c:v>0</c:v>
                </c:pt>
                <c:pt idx="5">
                  <c:v>0</c:v>
                </c:pt>
                <c:pt idx="6">
                  <c:v>#N/A</c:v>
                </c:pt>
                <c:pt idx="7">
                  <c:v>0</c:v>
                </c:pt>
                <c:pt idx="8">
                  <c:v>0</c:v>
                </c:pt>
                <c:pt idx="9">
                  <c:v>0</c:v>
                </c:pt>
                <c:pt idx="10">
                  <c:v>0</c:v>
                </c:pt>
                <c:pt idx="11">
                  <c:v>0</c:v>
                </c:pt>
                <c:pt idx="12">
                  <c:v>#N/A</c:v>
                </c:pt>
                <c:pt idx="13">
                  <c:v>0</c:v>
                </c:pt>
                <c:pt idx="14">
                  <c:v>#N/A</c:v>
                </c:pt>
                <c:pt idx="15">
                  <c:v>#N/A</c:v>
                </c:pt>
                <c:pt idx="16">
                  <c:v>#N/A</c:v>
                </c:pt>
                <c:pt idx="17">
                  <c:v>0</c:v>
                </c:pt>
                <c:pt idx="18">
                  <c:v>#N/A</c:v>
                </c:pt>
                <c:pt idx="19">
                  <c:v>0</c:v>
                </c:pt>
                <c:pt idx="20">
                  <c:v>#N/A</c:v>
                </c:pt>
                <c:pt idx="21">
                  <c:v>#N/A</c:v>
                </c:pt>
                <c:pt idx="22">
                  <c:v>#N/A</c:v>
                </c:pt>
                <c:pt idx="23">
                  <c:v>#N/A</c:v>
                </c:pt>
                <c:pt idx="24">
                  <c:v>0</c:v>
                </c:pt>
                <c:pt idx="25">
                  <c:v>0</c:v>
                </c:pt>
                <c:pt idx="26">
                  <c:v>#N/A</c:v>
                </c:pt>
                <c:pt idx="27">
                  <c:v>#N/A</c:v>
                </c:pt>
                <c:pt idx="28">
                  <c:v>0</c:v>
                </c:pt>
                <c:pt idx="29">
                  <c:v>#N/A</c:v>
                </c:pt>
                <c:pt idx="30">
                  <c:v>#N/A</c:v>
                </c:pt>
                <c:pt idx="31">
                  <c:v>0</c:v>
                </c:pt>
                <c:pt idx="32">
                  <c:v>0</c:v>
                </c:pt>
                <c:pt idx="33">
                  <c:v>#N/A</c:v>
                </c:pt>
                <c:pt idx="34">
                  <c:v>#N/A</c:v>
                </c:pt>
                <c:pt idx="35">
                  <c:v>#N/A</c:v>
                </c:pt>
                <c:pt idx="36">
                  <c:v>0</c:v>
                </c:pt>
                <c:pt idx="37">
                  <c:v>0</c:v>
                </c:pt>
                <c:pt idx="38">
                  <c:v>#N/A</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#N/A</c:v>
                </c:pt>
                <c:pt idx="131">
                  <c:v>0</c:v>
                </c:pt>
                <c:pt idx="132">
                  <c:v>0</c:v>
                </c:pt>
                <c:pt idx="133">
                  <c:v>0</c:v>
                </c:pt>
                <c:pt idx="134">
                  <c:v>0</c:v>
                </c:pt>
                <c:pt idx="135">
                  <c:v>0</c:v>
                </c:pt>
                <c:pt idx="136">
                  <c:v>0</c:v>
                </c:pt>
                <c:pt idx="137">
                  <c:v>#N/A</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xVal>
          <c:yVal>
            <c:numRef>
              <c:f>'Graphics for PPT'!$V$3:$V$156</c:f>
              <c:numCache>
                <c:formatCode>_("$"* #,##0.0_);_("$"* \(#,##0.0\);_("$"* "-"??_);_(@_)</c:formatCode>
                <c:ptCount val="154"/>
                <c:pt idx="0">
                  <c:v>0</c:v>
                </c:pt>
                <c:pt idx="1">
                  <c:v>0</c:v>
                </c:pt>
                <c:pt idx="2">
                  <c:v>0</c:v>
                </c:pt>
                <c:pt idx="3">
                  <c:v>0</c:v>
                </c:pt>
                <c:pt idx="4">
                  <c:v>0</c:v>
                </c:pt>
                <c:pt idx="5">
                  <c:v>0</c:v>
                </c:pt>
                <c:pt idx="6">
                  <c:v>0</c:v>
                </c:pt>
                <c:pt idx="7">
                  <c:v>0</c:v>
                </c:pt>
                <c:pt idx="8">
                  <c:v>0</c:v>
                </c:pt>
                <c:pt idx="9">
                  <c:v>7545.5796344647515</c:v>
                </c:pt>
                <c:pt idx="10">
                  <c:v>5703.3789764868607</c:v>
                </c:pt>
                <c:pt idx="11">
                  <c:v>7100.8278931750738</c:v>
                </c:pt>
                <c:pt idx="12">
                  <c:v>6683.8858447488583</c:v>
                </c:pt>
                <c:pt idx="13">
                  <c:v>6294.6375158428391</c:v>
                </c:pt>
                <c:pt idx="14">
                  <c:v>6673.66</c:v>
                </c:pt>
                <c:pt idx="15">
                  <c:v>5189.6670281995657</c:v>
                </c:pt>
                <c:pt idx="16">
                  <c:v>7982.7411167512691</c:v>
                </c:pt>
                <c:pt idx="17">
                  <c:v>5613.3020594965674</c:v>
                </c:pt>
                <c:pt idx="18">
                  <c:v>7597.609375</c:v>
                </c:pt>
                <c:pt idx="19">
                  <c:v>6177.422535211268</c:v>
                </c:pt>
                <c:pt idx="20">
                  <c:v>6722.0988835725675</c:v>
                </c:pt>
                <c:pt idx="21">
                  <c:v>6362.0653950953674</c:v>
                </c:pt>
                <c:pt idx="22">
                  <c:v>8205.5470852017934</c:v>
                </c:pt>
                <c:pt idx="23">
                  <c:v>4990.7683741648107</c:v>
                </c:pt>
                <c:pt idx="24">
                  <c:v>7592.5496183206105</c:v>
                </c:pt>
                <c:pt idx="25">
                  <c:v>7409.979166666667</c:v>
                </c:pt>
                <c:pt idx="26">
                  <c:v>6497.9549180327867</c:v>
                </c:pt>
                <c:pt idx="27">
                  <c:v>7219.6462585034014</c:v>
                </c:pt>
                <c:pt idx="28">
                  <c:v>6605.771739130435</c:v>
                </c:pt>
                <c:pt idx="29">
                  <c:v>6529.8135593220341</c:v>
                </c:pt>
                <c:pt idx="30">
                  <c:v>5943.7997658079621</c:v>
                </c:pt>
                <c:pt idx="31">
                  <c:v>7359.5632754342432</c:v>
                </c:pt>
                <c:pt idx="32">
                  <c:v>5407.0576923076924</c:v>
                </c:pt>
                <c:pt idx="33">
                  <c:v>6388.06884057971</c:v>
                </c:pt>
                <c:pt idx="34">
                  <c:v>8225.8980891719748</c:v>
                </c:pt>
                <c:pt idx="35">
                  <c:v>5840.9121447028419</c:v>
                </c:pt>
                <c:pt idx="36">
                  <c:v>6701.6507592190892</c:v>
                </c:pt>
                <c:pt idx="37">
                  <c:v>6440.3305084745762</c:v>
                </c:pt>
                <c:pt idx="38">
                  <c:v>24463.746835443038</c:v>
                </c:pt>
                <c:pt idx="39">
                  <c:v>6651.0678546949966</c:v>
                </c:pt>
                <c:pt idx="40">
                  <c:v>6136.4394246353322</c:v>
                </c:pt>
                <c:pt idx="41">
                  <c:v>6447.8415398388543</c:v>
                </c:pt>
                <c:pt idx="42">
                  <c:v>6203.2583436341165</c:v>
                </c:pt>
                <c:pt idx="43">
                  <c:v>7440.3185185185184</c:v>
                </c:pt>
                <c:pt idx="44">
                  <c:v>6948.2025421387125</c:v>
                </c:pt>
                <c:pt idx="45">
                  <c:v>10000.488372093023</c:v>
                </c:pt>
                <c:pt idx="46">
                  <c:v>6091.3006078467488</c:v>
                </c:pt>
                <c:pt idx="47">
                  <c:v>6829.3363402061859</c:v>
                </c:pt>
                <c:pt idx="48">
                  <c:v>6574.018826135105</c:v>
                </c:pt>
                <c:pt idx="49">
                  <c:v>6133.8267909715405</c:v>
                </c:pt>
                <c:pt idx="50">
                  <c:v>6388.5569696969696</c:v>
                </c:pt>
                <c:pt idx="51">
                  <c:v>10270.830303030303</c:v>
                </c:pt>
                <c:pt idx="52">
                  <c:v>6571.3190457966575</c:v>
                </c:pt>
                <c:pt idx="53">
                  <c:v>7448.1945392491471</c:v>
                </c:pt>
                <c:pt idx="54">
                  <c:v>6138.6218813905934</c:v>
                </c:pt>
                <c:pt idx="55">
                  <c:v>8579.7919999999995</c:v>
                </c:pt>
                <c:pt idx="56">
                  <c:v>7598.5387596899227</c:v>
                </c:pt>
                <c:pt idx="57">
                  <c:v>7077.0723014256619</c:v>
                </c:pt>
                <c:pt idx="58">
                  <c:v>7611.6567489114659</c:v>
                </c:pt>
                <c:pt idx="59">
                  <c:v>7065.9401574803151</c:v>
                </c:pt>
                <c:pt idx="60">
                  <c:v>7141.5571565802111</c:v>
                </c:pt>
                <c:pt idx="61">
                  <c:v>6714.660584194824</c:v>
                </c:pt>
                <c:pt idx="62">
                  <c:v>7258.6331360946742</c:v>
                </c:pt>
                <c:pt idx="63">
                  <c:v>6709.9033326433455</c:v>
                </c:pt>
                <c:pt idx="64">
                  <c:v>7421.3513800424626</c:v>
                </c:pt>
                <c:pt idx="65">
                  <c:v>7113.4364123159303</c:v>
                </c:pt>
                <c:pt idx="66">
                  <c:v>6272.2799143468947</c:v>
                </c:pt>
                <c:pt idx="67">
                  <c:v>6764.5403225806449</c:v>
                </c:pt>
                <c:pt idx="68">
                  <c:v>7917.0102214650769</c:v>
                </c:pt>
                <c:pt idx="69">
                  <c:v>6438.3797709923665</c:v>
                </c:pt>
                <c:pt idx="70">
                  <c:v>6719.0523470839262</c:v>
                </c:pt>
                <c:pt idx="71">
                  <c:v>16106.280623608018</c:v>
                </c:pt>
                <c:pt idx="72">
                  <c:v>6139.5842992623811</c:v>
                </c:pt>
                <c:pt idx="73">
                  <c:v>7085.958101968703</c:v>
                </c:pt>
                <c:pt idx="74">
                  <c:v>6599.3277591973247</c:v>
                </c:pt>
                <c:pt idx="75">
                  <c:v>6897.6251758087201</c:v>
                </c:pt>
                <c:pt idx="76">
                  <c:v>8277.6215053763444</c:v>
                </c:pt>
                <c:pt idx="77">
                  <c:v>7530.7580086580083</c:v>
                </c:pt>
                <c:pt idx="78">
                  <c:v>8024.7248120300756</c:v>
                </c:pt>
                <c:pt idx="79">
                  <c:v>8612.8177966101703</c:v>
                </c:pt>
                <c:pt idx="80">
                  <c:v>7326.3430034129697</c:v>
                </c:pt>
                <c:pt idx="81">
                  <c:v>6731.8122117018693</c:v>
                </c:pt>
                <c:pt idx="82">
                  <c:v>9230.9067357512959</c:v>
                </c:pt>
                <c:pt idx="83">
                  <c:v>7761.1780575539569</c:v>
                </c:pt>
                <c:pt idx="84">
                  <c:v>6934.17</c:v>
                </c:pt>
                <c:pt idx="85">
                  <c:v>8593.1122448979586</c:v>
                </c:pt>
                <c:pt idx="86">
                  <c:v>7257.3374858437146</c:v>
                </c:pt>
                <c:pt idx="87">
                  <c:v>5893.9255821947236</c:v>
                </c:pt>
                <c:pt idx="88">
                  <c:v>10411.214854111406</c:v>
                </c:pt>
                <c:pt idx="89">
                  <c:v>11336.304347826086</c:v>
                </c:pt>
                <c:pt idx="90">
                  <c:v>6207.8648802736598</c:v>
                </c:pt>
                <c:pt idx="91">
                  <c:v>8917.5282555282556</c:v>
                </c:pt>
                <c:pt idx="92">
                  <c:v>10102.686832740214</c:v>
                </c:pt>
                <c:pt idx="93">
                  <c:v>7543.3035714285716</c:v>
                </c:pt>
                <c:pt idx="94">
                  <c:v>8935.096428571429</c:v>
                </c:pt>
                <c:pt idx="95">
                  <c:v>8365.8515283842789</c:v>
                </c:pt>
                <c:pt idx="96">
                  <c:v>7628.0498504486541</c:v>
                </c:pt>
                <c:pt idx="97">
                  <c:v>9122.511400651465</c:v>
                </c:pt>
                <c:pt idx="98">
                  <c:v>9904.2997481108305</c:v>
                </c:pt>
                <c:pt idx="99">
                  <c:v>9269.7124999999996</c:v>
                </c:pt>
                <c:pt idx="100">
                  <c:v>8259.4735576923085</c:v>
                </c:pt>
                <c:pt idx="101">
                  <c:v>6819.6253186066269</c:v>
                </c:pt>
                <c:pt idx="102">
                  <c:v>9867.1868344627292</c:v>
                </c:pt>
                <c:pt idx="103">
                  <c:v>7551.303677342823</c:v>
                </c:pt>
                <c:pt idx="104">
                  <c:v>10499.072289156626</c:v>
                </c:pt>
                <c:pt idx="105">
                  <c:v>6205.0462984185197</c:v>
                </c:pt>
                <c:pt idx="106">
                  <c:v>6176.6615659270592</c:v>
                </c:pt>
                <c:pt idx="107">
                  <c:v>10107.245614035088</c:v>
                </c:pt>
                <c:pt idx="108">
                  <c:v>6375.5791335101676</c:v>
                </c:pt>
                <c:pt idx="109">
                  <c:v>7430.5827765404601</c:v>
                </c:pt>
                <c:pt idx="110">
                  <c:v>9755.0348837209294</c:v>
                </c:pt>
                <c:pt idx="111">
                  <c:v>8491.6541095890407</c:v>
                </c:pt>
                <c:pt idx="112">
                  <c:v>8479.5064599483212</c:v>
                </c:pt>
                <c:pt idx="113">
                  <c:v>14500.347826086956</c:v>
                </c:pt>
                <c:pt idx="114">
                  <c:v>20482.464788732395</c:v>
                </c:pt>
                <c:pt idx="115">
                  <c:v>6278.0135324696757</c:v>
                </c:pt>
                <c:pt idx="116">
                  <c:v>7261.2247706422022</c:v>
                </c:pt>
                <c:pt idx="117">
                  <c:v>9233.835443037975</c:v>
                </c:pt>
                <c:pt idx="118">
                  <c:v>13460.428571428571</c:v>
                </c:pt>
                <c:pt idx="119">
                  <c:v>8543.6354319180082</c:v>
                </c:pt>
                <c:pt idx="120">
                  <c:v>5951.151995126409</c:v>
                </c:pt>
                <c:pt idx="121">
                  <c:v>8947.786678667866</c:v>
                </c:pt>
                <c:pt idx="122">
                  <c:v>6863.7636363636366</c:v>
                </c:pt>
                <c:pt idx="123">
                  <c:v>7168.7070707070707</c:v>
                </c:pt>
                <c:pt idx="124">
                  <c:v>6992.7954887218048</c:v>
                </c:pt>
                <c:pt idx="125">
                  <c:v>8235.9909638554218</c:v>
                </c:pt>
                <c:pt idx="126">
                  <c:v>12764.621621621622</c:v>
                </c:pt>
                <c:pt idx="127">
                  <c:v>15610.410526315789</c:v>
                </c:pt>
                <c:pt idx="128">
                  <c:v>6515.851076923077</c:v>
                </c:pt>
                <c:pt idx="129">
                  <c:v>15063.769784172662</c:v>
                </c:pt>
                <c:pt idx="130">
                  <c:v>10300.701421800948</c:v>
                </c:pt>
                <c:pt idx="131">
                  <c:v>11866.335443037975</c:v>
                </c:pt>
                <c:pt idx="132">
                  <c:v>13365.697674418605</c:v>
                </c:pt>
                <c:pt idx="133">
                  <c:v>13588.25</c:v>
                </c:pt>
                <c:pt idx="134">
                  <c:v>20762.958333333332</c:v>
                </c:pt>
                <c:pt idx="135">
                  <c:v>14644.867256637168</c:v>
                </c:pt>
                <c:pt idx="136">
                  <c:v>6678.6972860125261</c:v>
                </c:pt>
                <c:pt idx="137">
                  <c:v>16186.896226415094</c:v>
                </c:pt>
                <c:pt idx="138">
                  <c:v>16300.833333333334</c:v>
                </c:pt>
                <c:pt idx="139">
                  <c:v>15050.409556313993</c:v>
                </c:pt>
                <c:pt idx="140">
                  <c:v>7772.6669980119286</c:v>
                </c:pt>
                <c:pt idx="141">
                  <c:v>12500.392857142857</c:v>
                </c:pt>
                <c:pt idx="142">
                  <c:v>13867.781818181818</c:v>
                </c:pt>
                <c:pt idx="143">
                  <c:v>17383.888888888891</c:v>
                </c:pt>
                <c:pt idx="144">
                  <c:v>21789.545454545456</c:v>
                </c:pt>
                <c:pt idx="145">
                  <c:v>9333.4704225352107</c:v>
                </c:pt>
                <c:pt idx="146">
                  <c:v>10550.841860465116</c:v>
                </c:pt>
                <c:pt idx="147">
                  <c:v>9073.8638132295728</c:v>
                </c:pt>
                <c:pt idx="148">
                  <c:v>25346.833333333332</c:v>
                </c:pt>
                <c:pt idx="149">
                  <c:v>6089.9462999345124</c:v>
                </c:pt>
                <c:pt idx="150">
                  <c:v>7256.9638802889576</c:v>
                </c:pt>
                <c:pt idx="151">
                  <c:v>12643.041958041958</c:v>
                </c:pt>
                <c:pt idx="152">
                  <c:v>12928.204081632653</c:v>
                </c:pt>
                <c:pt idx="153">
                  <c:v>64673.599999999999</c:v>
                </c:pt>
              </c:numCache>
            </c:numRef>
          </c:yVal>
          <c:smooth val="0"/>
          <c:extLst>
            <c:ext xmlns:c16="http://schemas.microsoft.com/office/drawing/2014/chart" uri="{C3380CC4-5D6E-409C-BE32-E72D297353CC}">
              <c16:uniqueId val="{00000002-8B24-4366-9C64-6A4ED97A4B9C}"/>
            </c:ext>
          </c:extLst>
        </c:ser>
        <c:dLbls>
          <c:showLegendKey val="0"/>
          <c:showVal val="0"/>
          <c:showCatName val="0"/>
          <c:showSerName val="0"/>
          <c:showPercent val="0"/>
          <c:showBubbleSize val="0"/>
        </c:dLbls>
        <c:axId val="430520512"/>
        <c:axId val="430516904"/>
      </c:scatterChart>
      <c:valAx>
        <c:axId val="430520512"/>
        <c:scaling>
          <c:orientation val="minMax"/>
          <c:max val="3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dirty="0"/>
                  <a:t>K-12 Enrollment</a:t>
                </a:r>
              </a:p>
            </c:rich>
          </c:tx>
          <c:layout>
            <c:manualLayout>
              <c:xMode val="edge"/>
              <c:yMode val="edge"/>
              <c:x val="0.4730309694019435"/>
              <c:y val="0.86686726748410226"/>
            </c:manualLayout>
          </c:layout>
          <c:overlay val="0"/>
          <c:spPr>
            <a:noFill/>
            <a:ln>
              <a:noFill/>
            </a:ln>
            <a:effectLst/>
          </c:sp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30516904"/>
        <c:crosses val="autoZero"/>
        <c:crossBetween val="midCat"/>
      </c:valAx>
      <c:valAx>
        <c:axId val="430516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dirty="0"/>
                  <a:t>Per Pupil Revenue  </a:t>
                </a:r>
              </a:p>
              <a:p>
                <a:pPr>
                  <a:defRPr sz="1600" b="0" i="0" u="none" strike="noStrike" kern="1200" baseline="0">
                    <a:solidFill>
                      <a:schemeClr val="tx1">
                        <a:lumMod val="65000"/>
                        <a:lumOff val="35000"/>
                      </a:schemeClr>
                    </a:solidFill>
                    <a:latin typeface="+mn-lt"/>
                    <a:ea typeface="+mn-ea"/>
                    <a:cs typeface="+mn-cs"/>
                  </a:defRPr>
                </a:pPr>
                <a:r>
                  <a:rPr lang="en-US" sz="1200" dirty="0"/>
                  <a:t>(State and Local Sources in 14-15)</a:t>
                </a:r>
                <a:endParaRPr lang="en-US" sz="1600" dirty="0"/>
              </a:p>
            </c:rich>
          </c:tx>
          <c:layout>
            <c:manualLayout>
              <c:xMode val="edge"/>
              <c:yMode val="edge"/>
              <c:x val="3.222352659462769E-2"/>
              <c:y val="0.22436054660349239"/>
            </c:manualLayout>
          </c:layout>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30520512"/>
        <c:crosses val="autoZero"/>
        <c:crossBetween val="midCat"/>
      </c:valAx>
    </c:plotArea>
    <c:plotVisOnly val="1"/>
    <c:dispBlanksAs val="gap"/>
    <c:showDLblsOverMax val="0"/>
  </c:chart>
  <c:spPr>
    <a:solidFill>
      <a:schemeClr val="bg1"/>
    </a:solidFill>
    <a:ln>
      <a:solidFill>
        <a:schemeClr val="accent1"/>
      </a:solidFill>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Low</a:t>
            </a:r>
            <a:r>
              <a:rPr lang="en-US" baseline="0"/>
              <a: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'Graphics for PPT'!$U$3:$U$156</c:f>
              <c:numCache>
                <c:formatCode>0%</c:formatCode>
                <c:ptCount val="154"/>
                <c:pt idx="0">
                  <c:v>83130</c:v>
                </c:pt>
                <c:pt idx="1">
                  <c:v>750082</c:v>
                </c:pt>
                <c:pt idx="2">
                  <c:v>#N/A</c:v>
                </c:pt>
                <c:pt idx="3">
                  <c:v>903325</c:v>
                </c:pt>
                <c:pt idx="4">
                  <c:v>586493</c:v>
                </c:pt>
                <c:pt idx="5">
                  <c:v>43454</c:v>
                </c:pt>
                <c:pt idx="6">
                  <c:v>#N/A</c:v>
                </c:pt>
                <c:pt idx="7">
                  <c:v>137675</c:v>
                </c:pt>
                <c:pt idx="8">
                  <c:v>49313</c:v>
                </c:pt>
                <c:pt idx="9">
                  <c:v>105720</c:v>
                </c:pt>
                <c:pt idx="10">
                  <c:v>23469</c:v>
                </c:pt>
                <c:pt idx="11">
                  <c:v>105176</c:v>
                </c:pt>
                <c:pt idx="12">
                  <c:v>#N/A</c:v>
                </c:pt>
                <c:pt idx="13">
                  <c:v>139200</c:v>
                </c:pt>
                <c:pt idx="14">
                  <c:v>#N/A</c:v>
                </c:pt>
                <c:pt idx="15">
                  <c:v>#N/A</c:v>
                </c:pt>
                <c:pt idx="16">
                  <c:v>#N/A</c:v>
                </c:pt>
                <c:pt idx="17">
                  <c:v>4841</c:v>
                </c:pt>
                <c:pt idx="18">
                  <c:v>#N/A</c:v>
                </c:pt>
                <c:pt idx="19">
                  <c:v>37468</c:v>
                </c:pt>
                <c:pt idx="20">
                  <c:v>#N/A</c:v>
                </c:pt>
                <c:pt idx="21">
                  <c:v>#N/A</c:v>
                </c:pt>
                <c:pt idx="22">
                  <c:v>#N/A</c:v>
                </c:pt>
                <c:pt idx="23">
                  <c:v>#N/A</c:v>
                </c:pt>
                <c:pt idx="24">
                  <c:v>19052</c:v>
                </c:pt>
                <c:pt idx="25">
                  <c:v>117416</c:v>
                </c:pt>
                <c:pt idx="26">
                  <c:v>#N/A</c:v>
                </c:pt>
                <c:pt idx="27">
                  <c:v>#N/A</c:v>
                </c:pt>
                <c:pt idx="28">
                  <c:v>144939</c:v>
                </c:pt>
                <c:pt idx="29">
                  <c:v>#N/A</c:v>
                </c:pt>
                <c:pt idx="30">
                  <c:v>#N/A</c:v>
                </c:pt>
                <c:pt idx="31">
                  <c:v>35828</c:v>
                </c:pt>
                <c:pt idx="32">
                  <c:v>2139706</c:v>
                </c:pt>
                <c:pt idx="33">
                  <c:v>#N/A</c:v>
                </c:pt>
                <c:pt idx="34">
                  <c:v>#N/A</c:v>
                </c:pt>
                <c:pt idx="35">
                  <c:v>#N/A</c:v>
                </c:pt>
                <c:pt idx="36">
                  <c:v>381961</c:v>
                </c:pt>
                <c:pt idx="37">
                  <c:v>106989</c:v>
                </c:pt>
                <c:pt idx="38">
                  <c:v>#N/A</c:v>
                </c:pt>
                <c:pt idx="39">
                  <c:v>2101751</c:v>
                </c:pt>
                <c:pt idx="40">
                  <c:v>5023789</c:v>
                </c:pt>
                <c:pt idx="41">
                  <c:v>1169425</c:v>
                </c:pt>
                <c:pt idx="42">
                  <c:v>1416031</c:v>
                </c:pt>
                <c:pt idx="43">
                  <c:v>1172550</c:v>
                </c:pt>
                <c:pt idx="44">
                  <c:v>4592754</c:v>
                </c:pt>
                <c:pt idx="45">
                  <c:v>313440</c:v>
                </c:pt>
                <c:pt idx="46">
                  <c:v>16569565</c:v>
                </c:pt>
                <c:pt idx="47">
                  <c:v>2471460</c:v>
                </c:pt>
                <c:pt idx="48">
                  <c:v>5109137</c:v>
                </c:pt>
                <c:pt idx="49">
                  <c:v>2123950</c:v>
                </c:pt>
                <c:pt idx="50">
                  <c:v>1922005</c:v>
                </c:pt>
                <c:pt idx="51">
                  <c:v>376448</c:v>
                </c:pt>
                <c:pt idx="52">
                  <c:v>13582878</c:v>
                </c:pt>
                <c:pt idx="53">
                  <c:v>349343</c:v>
                </c:pt>
                <c:pt idx="54">
                  <c:v>8582946</c:v>
                </c:pt>
                <c:pt idx="55">
                  <c:v>545182</c:v>
                </c:pt>
                <c:pt idx="56">
                  <c:v>1108011</c:v>
                </c:pt>
                <c:pt idx="57">
                  <c:v>5660433</c:v>
                </c:pt>
                <c:pt idx="58">
                  <c:v>1100277</c:v>
                </c:pt>
                <c:pt idx="59">
                  <c:v>8164442</c:v>
                </c:pt>
                <c:pt idx="60">
                  <c:v>1163455</c:v>
                </c:pt>
                <c:pt idx="61">
                  <c:v>20496683</c:v>
                </c:pt>
                <c:pt idx="62">
                  <c:v>453234</c:v>
                </c:pt>
                <c:pt idx="63">
                  <c:v>8393552</c:v>
                </c:pt>
                <c:pt idx="64">
                  <c:v>1771867</c:v>
                </c:pt>
                <c:pt idx="65">
                  <c:v>856142</c:v>
                </c:pt>
                <c:pt idx="66">
                  <c:v>18438432</c:v>
                </c:pt>
                <c:pt idx="67">
                  <c:v>3990593</c:v>
                </c:pt>
                <c:pt idx="68">
                  <c:v>993525</c:v>
                </c:pt>
                <c:pt idx="69">
                  <c:v>1943260</c:v>
                </c:pt>
                <c:pt idx="70">
                  <c:v>4682229</c:v>
                </c:pt>
                <c:pt idx="71">
                  <c:v>506158</c:v>
                </c:pt>
                <c:pt idx="72">
                  <c:v>15401468</c:v>
                </c:pt>
                <c:pt idx="73">
                  <c:v>4875098</c:v>
                </c:pt>
                <c:pt idx="74">
                  <c:v>2611603</c:v>
                </c:pt>
                <c:pt idx="75">
                  <c:v>1185354</c:v>
                </c:pt>
                <c:pt idx="76">
                  <c:v>549782</c:v>
                </c:pt>
                <c:pt idx="77">
                  <c:v>3917505</c:v>
                </c:pt>
                <c:pt idx="78">
                  <c:v>1805139</c:v>
                </c:pt>
                <c:pt idx="79">
                  <c:v>750396</c:v>
                </c:pt>
                <c:pt idx="80">
                  <c:v>1436425</c:v>
                </c:pt>
                <c:pt idx="81">
                  <c:v>20058738</c:v>
                </c:pt>
                <c:pt idx="82">
                  <c:v>414196</c:v>
                </c:pt>
                <c:pt idx="83">
                  <c:v>716585</c:v>
                </c:pt>
                <c:pt idx="84">
                  <c:v>874673</c:v>
                </c:pt>
                <c:pt idx="85">
                  <c:v>808681</c:v>
                </c:pt>
                <c:pt idx="86">
                  <c:v>1031651</c:v>
                </c:pt>
                <c:pt idx="87">
                  <c:v>76068413</c:v>
                </c:pt>
                <c:pt idx="88">
                  <c:v>1154013</c:v>
                </c:pt>
                <c:pt idx="89">
                  <c:v>539333</c:v>
                </c:pt>
                <c:pt idx="90">
                  <c:v>8365012</c:v>
                </c:pt>
                <c:pt idx="91">
                  <c:v>1704892</c:v>
                </c:pt>
                <c:pt idx="92">
                  <c:v>575155</c:v>
                </c:pt>
                <c:pt idx="93">
                  <c:v>1913402</c:v>
                </c:pt>
                <c:pt idx="94">
                  <c:v>526083</c:v>
                </c:pt>
                <c:pt idx="95">
                  <c:v>2304737</c:v>
                </c:pt>
                <c:pt idx="96">
                  <c:v>4534706</c:v>
                </c:pt>
                <c:pt idx="97">
                  <c:v>510035</c:v>
                </c:pt>
                <c:pt idx="98">
                  <c:v>241488</c:v>
                </c:pt>
                <c:pt idx="99">
                  <c:v>1360777</c:v>
                </c:pt>
                <c:pt idx="100">
                  <c:v>1487021</c:v>
                </c:pt>
                <c:pt idx="101">
                  <c:v>1919809</c:v>
                </c:pt>
                <c:pt idx="102">
                  <c:v>3930128</c:v>
                </c:pt>
                <c:pt idx="103">
                  <c:v>2434746</c:v>
                </c:pt>
                <c:pt idx="104">
                  <c:v>342320</c:v>
                </c:pt>
                <c:pt idx="105">
                  <c:v>15465472</c:v>
                </c:pt>
                <c:pt idx="106">
                  <c:v>8376665</c:v>
                </c:pt>
                <c:pt idx="107">
                  <c:v>1134083</c:v>
                </c:pt>
                <c:pt idx="108">
                  <c:v>11862839</c:v>
                </c:pt>
                <c:pt idx="109">
                  <c:v>4770267</c:v>
                </c:pt>
                <c:pt idx="110">
                  <c:v>511462</c:v>
                </c:pt>
                <c:pt idx="111">
                  <c:v>1409934</c:v>
                </c:pt>
                <c:pt idx="112">
                  <c:v>820132</c:v>
                </c:pt>
                <c:pt idx="113">
                  <c:v>209329</c:v>
                </c:pt>
                <c:pt idx="114">
                  <c:v>295555</c:v>
                </c:pt>
                <c:pt idx="115">
                  <c:v>94999904</c:v>
                </c:pt>
                <c:pt idx="116">
                  <c:v>3566277</c:v>
                </c:pt>
                <c:pt idx="117">
                  <c:v>257682</c:v>
                </c:pt>
                <c:pt idx="118">
                  <c:v>1187047</c:v>
                </c:pt>
                <c:pt idx="119">
                  <c:v>904599</c:v>
                </c:pt>
                <c:pt idx="120">
                  <c:v>23051937</c:v>
                </c:pt>
                <c:pt idx="121">
                  <c:v>3435361</c:v>
                </c:pt>
                <c:pt idx="122">
                  <c:v>1838726</c:v>
                </c:pt>
                <c:pt idx="123">
                  <c:v>1533405</c:v>
                </c:pt>
                <c:pt idx="124">
                  <c:v>4221502</c:v>
                </c:pt>
                <c:pt idx="125">
                  <c:v>510652</c:v>
                </c:pt>
                <c:pt idx="126">
                  <c:v>657127</c:v>
                </c:pt>
                <c:pt idx="127">
                  <c:v>599561</c:v>
                </c:pt>
                <c:pt idx="128">
                  <c:v>5937881</c:v>
                </c:pt>
                <c:pt idx="129">
                  <c:v>457923</c:v>
                </c:pt>
                <c:pt idx="130">
                  <c:v>#N/A</c:v>
                </c:pt>
                <c:pt idx="131">
                  <c:v>381717</c:v>
                </c:pt>
                <c:pt idx="132">
                  <c:v>610183</c:v>
                </c:pt>
                <c:pt idx="133">
                  <c:v>637416</c:v>
                </c:pt>
                <c:pt idx="134">
                  <c:v>148185</c:v>
                </c:pt>
                <c:pt idx="135">
                  <c:v>94432</c:v>
                </c:pt>
                <c:pt idx="136">
                  <c:v>9248684</c:v>
                </c:pt>
                <c:pt idx="137">
                  <c:v>#N/A</c:v>
                </c:pt>
                <c:pt idx="138">
                  <c:v>55816</c:v>
                </c:pt>
                <c:pt idx="139">
                  <c:v>874002</c:v>
                </c:pt>
                <c:pt idx="140">
                  <c:v>3640285</c:v>
                </c:pt>
                <c:pt idx="141">
                  <c:v>346865</c:v>
                </c:pt>
                <c:pt idx="142">
                  <c:v>309935</c:v>
                </c:pt>
                <c:pt idx="143">
                  <c:v>25843</c:v>
                </c:pt>
                <c:pt idx="144">
                  <c:v>21642</c:v>
                </c:pt>
                <c:pt idx="145">
                  <c:v>779354</c:v>
                </c:pt>
                <c:pt idx="146">
                  <c:v>1460798</c:v>
                </c:pt>
                <c:pt idx="147">
                  <c:v>758629</c:v>
                </c:pt>
                <c:pt idx="148">
                  <c:v>10</c:v>
                </c:pt>
                <c:pt idx="149">
                  <c:v>40457615</c:v>
                </c:pt>
                <c:pt idx="150">
                  <c:v>8342144</c:v>
                </c:pt>
                <c:pt idx="151">
                  <c:v>1310124</c:v>
                </c:pt>
                <c:pt idx="152">
                  <c:v>361062</c:v>
                </c:pt>
                <c:pt idx="153">
                  <c:v>177195</c:v>
                </c:pt>
              </c:numCache>
            </c:numRef>
          </c:xVal>
          <c:yVal>
            <c:numRef>
              <c:f>'Graphics for PPT'!$V$3:$V$156</c:f>
              <c:numCache>
                <c:formatCode>_("$"* #,##0.0_);_("$"* \(#,##0.0\);_("$"* "-"??_);_(@_)</c:formatCode>
                <c:ptCount val="154"/>
                <c:pt idx="0">
                  <c:v>0</c:v>
                </c:pt>
                <c:pt idx="1">
                  <c:v>0</c:v>
                </c:pt>
                <c:pt idx="2">
                  <c:v>0</c:v>
                </c:pt>
                <c:pt idx="3">
                  <c:v>0</c:v>
                </c:pt>
                <c:pt idx="4">
                  <c:v>0</c:v>
                </c:pt>
                <c:pt idx="5">
                  <c:v>0</c:v>
                </c:pt>
                <c:pt idx="6">
                  <c:v>0</c:v>
                </c:pt>
                <c:pt idx="7">
                  <c:v>0</c:v>
                </c:pt>
                <c:pt idx="8">
                  <c:v>0</c:v>
                </c:pt>
                <c:pt idx="9">
                  <c:v>7545.5796344647515</c:v>
                </c:pt>
                <c:pt idx="10">
                  <c:v>5703.3789764868607</c:v>
                </c:pt>
                <c:pt idx="11">
                  <c:v>7100.8278931750738</c:v>
                </c:pt>
                <c:pt idx="12">
                  <c:v>6683.8858447488583</c:v>
                </c:pt>
                <c:pt idx="13">
                  <c:v>6294.6375158428391</c:v>
                </c:pt>
                <c:pt idx="14">
                  <c:v>6673.66</c:v>
                </c:pt>
                <c:pt idx="15">
                  <c:v>5189.6670281995657</c:v>
                </c:pt>
                <c:pt idx="16">
                  <c:v>7982.7411167512691</c:v>
                </c:pt>
                <c:pt idx="17">
                  <c:v>5613.3020594965674</c:v>
                </c:pt>
                <c:pt idx="18">
                  <c:v>7597.609375</c:v>
                </c:pt>
                <c:pt idx="19">
                  <c:v>6177.422535211268</c:v>
                </c:pt>
                <c:pt idx="20">
                  <c:v>6722.0988835725675</c:v>
                </c:pt>
                <c:pt idx="21">
                  <c:v>6362.0653950953674</c:v>
                </c:pt>
                <c:pt idx="22">
                  <c:v>8205.5470852017934</c:v>
                </c:pt>
                <c:pt idx="23">
                  <c:v>4990.7683741648107</c:v>
                </c:pt>
                <c:pt idx="24">
                  <c:v>7592.5496183206105</c:v>
                </c:pt>
                <c:pt idx="25">
                  <c:v>7409.979166666667</c:v>
                </c:pt>
                <c:pt idx="26">
                  <c:v>6497.9549180327867</c:v>
                </c:pt>
                <c:pt idx="27">
                  <c:v>7219.6462585034014</c:v>
                </c:pt>
                <c:pt idx="28">
                  <c:v>6605.771739130435</c:v>
                </c:pt>
                <c:pt idx="29">
                  <c:v>6529.8135593220341</c:v>
                </c:pt>
                <c:pt idx="30">
                  <c:v>5943.7997658079621</c:v>
                </c:pt>
                <c:pt idx="31">
                  <c:v>7359.5632754342432</c:v>
                </c:pt>
                <c:pt idx="32">
                  <c:v>5407.0576923076924</c:v>
                </c:pt>
                <c:pt idx="33">
                  <c:v>6388.06884057971</c:v>
                </c:pt>
                <c:pt idx="34">
                  <c:v>8225.8980891719748</c:v>
                </c:pt>
                <c:pt idx="35">
                  <c:v>5840.9121447028419</c:v>
                </c:pt>
                <c:pt idx="36">
                  <c:v>6701.6507592190892</c:v>
                </c:pt>
                <c:pt idx="37">
                  <c:v>6440.3305084745762</c:v>
                </c:pt>
                <c:pt idx="38">
                  <c:v>24463.746835443038</c:v>
                </c:pt>
                <c:pt idx="39">
                  <c:v>6651.0678546949966</c:v>
                </c:pt>
                <c:pt idx="40">
                  <c:v>6136.4394246353322</c:v>
                </c:pt>
                <c:pt idx="41">
                  <c:v>6447.8415398388543</c:v>
                </c:pt>
                <c:pt idx="42">
                  <c:v>6203.2583436341165</c:v>
                </c:pt>
                <c:pt idx="43">
                  <c:v>7440.3185185185184</c:v>
                </c:pt>
                <c:pt idx="44">
                  <c:v>6948.2025421387125</c:v>
                </c:pt>
                <c:pt idx="45">
                  <c:v>10000.488372093023</c:v>
                </c:pt>
                <c:pt idx="46">
                  <c:v>6091.3006078467488</c:v>
                </c:pt>
                <c:pt idx="47">
                  <c:v>6829.3363402061859</c:v>
                </c:pt>
                <c:pt idx="48">
                  <c:v>6574.018826135105</c:v>
                </c:pt>
                <c:pt idx="49">
                  <c:v>6133.8267909715405</c:v>
                </c:pt>
                <c:pt idx="50">
                  <c:v>6388.5569696969696</c:v>
                </c:pt>
                <c:pt idx="51">
                  <c:v>10270.830303030303</c:v>
                </c:pt>
                <c:pt idx="52">
                  <c:v>6571.3190457966575</c:v>
                </c:pt>
                <c:pt idx="53">
                  <c:v>7448.1945392491471</c:v>
                </c:pt>
                <c:pt idx="54">
                  <c:v>6138.6218813905934</c:v>
                </c:pt>
                <c:pt idx="55">
                  <c:v>8579.7919999999995</c:v>
                </c:pt>
                <c:pt idx="56">
                  <c:v>7598.5387596899227</c:v>
                </c:pt>
                <c:pt idx="57">
                  <c:v>7077.0723014256619</c:v>
                </c:pt>
                <c:pt idx="58">
                  <c:v>7611.6567489114659</c:v>
                </c:pt>
                <c:pt idx="59">
                  <c:v>7065.9401574803151</c:v>
                </c:pt>
                <c:pt idx="60">
                  <c:v>7141.5571565802111</c:v>
                </c:pt>
                <c:pt idx="61">
                  <c:v>6714.660584194824</c:v>
                </c:pt>
                <c:pt idx="62">
                  <c:v>7258.6331360946742</c:v>
                </c:pt>
                <c:pt idx="63">
                  <c:v>6709.9033326433455</c:v>
                </c:pt>
                <c:pt idx="64">
                  <c:v>7421.3513800424626</c:v>
                </c:pt>
                <c:pt idx="65">
                  <c:v>7113.4364123159303</c:v>
                </c:pt>
                <c:pt idx="66">
                  <c:v>6272.2799143468947</c:v>
                </c:pt>
                <c:pt idx="67">
                  <c:v>6764.5403225806449</c:v>
                </c:pt>
                <c:pt idx="68">
                  <c:v>7917.0102214650769</c:v>
                </c:pt>
                <c:pt idx="69">
                  <c:v>6438.3797709923665</c:v>
                </c:pt>
                <c:pt idx="70">
                  <c:v>6719.0523470839262</c:v>
                </c:pt>
                <c:pt idx="71">
                  <c:v>16106.280623608018</c:v>
                </c:pt>
                <c:pt idx="72">
                  <c:v>6139.5842992623811</c:v>
                </c:pt>
                <c:pt idx="73">
                  <c:v>7085.958101968703</c:v>
                </c:pt>
                <c:pt idx="74">
                  <c:v>6599.3277591973247</c:v>
                </c:pt>
                <c:pt idx="75">
                  <c:v>6897.6251758087201</c:v>
                </c:pt>
                <c:pt idx="76">
                  <c:v>8277.6215053763444</c:v>
                </c:pt>
                <c:pt idx="77">
                  <c:v>7530.7580086580083</c:v>
                </c:pt>
                <c:pt idx="78">
                  <c:v>8024.7248120300756</c:v>
                </c:pt>
                <c:pt idx="79">
                  <c:v>8612.8177966101703</c:v>
                </c:pt>
                <c:pt idx="80">
                  <c:v>7326.3430034129697</c:v>
                </c:pt>
                <c:pt idx="81">
                  <c:v>6731.8122117018693</c:v>
                </c:pt>
                <c:pt idx="82">
                  <c:v>9230.9067357512959</c:v>
                </c:pt>
                <c:pt idx="83">
                  <c:v>7761.1780575539569</c:v>
                </c:pt>
                <c:pt idx="84">
                  <c:v>6934.17</c:v>
                </c:pt>
                <c:pt idx="85">
                  <c:v>8593.1122448979586</c:v>
                </c:pt>
                <c:pt idx="86">
                  <c:v>7257.3374858437146</c:v>
                </c:pt>
                <c:pt idx="87">
                  <c:v>5893.9255821947236</c:v>
                </c:pt>
                <c:pt idx="88">
                  <c:v>10411.214854111406</c:v>
                </c:pt>
                <c:pt idx="89">
                  <c:v>11336.304347826086</c:v>
                </c:pt>
                <c:pt idx="90">
                  <c:v>6207.8648802736598</c:v>
                </c:pt>
                <c:pt idx="91">
                  <c:v>8917.5282555282556</c:v>
                </c:pt>
                <c:pt idx="92">
                  <c:v>10102.686832740214</c:v>
                </c:pt>
                <c:pt idx="93">
                  <c:v>7543.3035714285716</c:v>
                </c:pt>
                <c:pt idx="94">
                  <c:v>8935.096428571429</c:v>
                </c:pt>
                <c:pt idx="95">
                  <c:v>8365.8515283842789</c:v>
                </c:pt>
                <c:pt idx="96">
                  <c:v>7628.0498504486541</c:v>
                </c:pt>
                <c:pt idx="97">
                  <c:v>9122.511400651465</c:v>
                </c:pt>
                <c:pt idx="98">
                  <c:v>9904.2997481108305</c:v>
                </c:pt>
                <c:pt idx="99">
                  <c:v>9269.7124999999996</c:v>
                </c:pt>
                <c:pt idx="100">
                  <c:v>8259.4735576923085</c:v>
                </c:pt>
                <c:pt idx="101">
                  <c:v>6819.6253186066269</c:v>
                </c:pt>
                <c:pt idx="102">
                  <c:v>9867.1868344627292</c:v>
                </c:pt>
                <c:pt idx="103">
                  <c:v>7551.303677342823</c:v>
                </c:pt>
                <c:pt idx="104">
                  <c:v>10499.072289156626</c:v>
                </c:pt>
                <c:pt idx="105">
                  <c:v>6205.0462984185197</c:v>
                </c:pt>
                <c:pt idx="106">
                  <c:v>6176.6615659270592</c:v>
                </c:pt>
                <c:pt idx="107">
                  <c:v>10107.245614035088</c:v>
                </c:pt>
                <c:pt idx="108">
                  <c:v>6375.5791335101676</c:v>
                </c:pt>
                <c:pt idx="109">
                  <c:v>7430.5827765404601</c:v>
                </c:pt>
                <c:pt idx="110">
                  <c:v>9755.0348837209294</c:v>
                </c:pt>
                <c:pt idx="111">
                  <c:v>8491.6541095890407</c:v>
                </c:pt>
                <c:pt idx="112">
                  <c:v>8479.5064599483212</c:v>
                </c:pt>
                <c:pt idx="113">
                  <c:v>14500.347826086956</c:v>
                </c:pt>
                <c:pt idx="114">
                  <c:v>20482.464788732395</c:v>
                </c:pt>
                <c:pt idx="115">
                  <c:v>6278.0135324696757</c:v>
                </c:pt>
                <c:pt idx="116">
                  <c:v>7261.2247706422022</c:v>
                </c:pt>
                <c:pt idx="117">
                  <c:v>9233.835443037975</c:v>
                </c:pt>
                <c:pt idx="118">
                  <c:v>13460.428571428571</c:v>
                </c:pt>
                <c:pt idx="119">
                  <c:v>8543.6354319180082</c:v>
                </c:pt>
                <c:pt idx="120">
                  <c:v>5951.151995126409</c:v>
                </c:pt>
                <c:pt idx="121">
                  <c:v>8947.786678667866</c:v>
                </c:pt>
                <c:pt idx="122">
                  <c:v>6863.7636363636366</c:v>
                </c:pt>
                <c:pt idx="123">
                  <c:v>7168.7070707070707</c:v>
                </c:pt>
                <c:pt idx="124">
                  <c:v>6992.7954887218048</c:v>
                </c:pt>
                <c:pt idx="125">
                  <c:v>8235.9909638554218</c:v>
                </c:pt>
                <c:pt idx="126">
                  <c:v>12764.621621621622</c:v>
                </c:pt>
                <c:pt idx="127">
                  <c:v>15610.410526315789</c:v>
                </c:pt>
                <c:pt idx="128">
                  <c:v>6515.851076923077</c:v>
                </c:pt>
                <c:pt idx="129">
                  <c:v>15063.769784172662</c:v>
                </c:pt>
                <c:pt idx="130">
                  <c:v>10300.701421800948</c:v>
                </c:pt>
                <c:pt idx="131">
                  <c:v>11866.335443037975</c:v>
                </c:pt>
                <c:pt idx="132">
                  <c:v>13365.697674418605</c:v>
                </c:pt>
                <c:pt idx="133">
                  <c:v>13588.25</c:v>
                </c:pt>
                <c:pt idx="134">
                  <c:v>20762.958333333332</c:v>
                </c:pt>
                <c:pt idx="135">
                  <c:v>14644.867256637168</c:v>
                </c:pt>
                <c:pt idx="136">
                  <c:v>6678.6972860125261</c:v>
                </c:pt>
                <c:pt idx="137">
                  <c:v>16186.896226415094</c:v>
                </c:pt>
                <c:pt idx="138">
                  <c:v>16300.833333333334</c:v>
                </c:pt>
                <c:pt idx="139">
                  <c:v>15050.409556313993</c:v>
                </c:pt>
                <c:pt idx="140">
                  <c:v>7772.6669980119286</c:v>
                </c:pt>
                <c:pt idx="141">
                  <c:v>12500.392857142857</c:v>
                </c:pt>
                <c:pt idx="142">
                  <c:v>13867.781818181818</c:v>
                </c:pt>
                <c:pt idx="143">
                  <c:v>17383.888888888891</c:v>
                </c:pt>
                <c:pt idx="144">
                  <c:v>21789.545454545456</c:v>
                </c:pt>
                <c:pt idx="145">
                  <c:v>9333.4704225352107</c:v>
                </c:pt>
                <c:pt idx="146">
                  <c:v>10550.841860465116</c:v>
                </c:pt>
                <c:pt idx="147">
                  <c:v>9073.8638132295728</c:v>
                </c:pt>
                <c:pt idx="148">
                  <c:v>25346.833333333332</c:v>
                </c:pt>
                <c:pt idx="149">
                  <c:v>6089.9462999345124</c:v>
                </c:pt>
                <c:pt idx="150">
                  <c:v>7256.9638802889576</c:v>
                </c:pt>
                <c:pt idx="151">
                  <c:v>12643.041958041958</c:v>
                </c:pt>
                <c:pt idx="152">
                  <c:v>12928.204081632653</c:v>
                </c:pt>
                <c:pt idx="153">
                  <c:v>64673.599999999999</c:v>
                </c:pt>
              </c:numCache>
            </c:numRef>
          </c:yVal>
          <c:smooth val="0"/>
          <c:extLst>
            <c:ext xmlns:c16="http://schemas.microsoft.com/office/drawing/2014/chart" uri="{C3380CC4-5D6E-409C-BE32-E72D297353CC}">
              <c16:uniqueId val="{00000000-F571-4F65-8F83-1E9494714B8C}"/>
            </c:ext>
          </c:extLst>
        </c:ser>
        <c:dLbls>
          <c:showLegendKey val="0"/>
          <c:showVal val="0"/>
          <c:showCatName val="0"/>
          <c:showSerName val="0"/>
          <c:showPercent val="0"/>
          <c:showBubbleSize val="0"/>
        </c:dLbls>
        <c:axId val="430371184"/>
        <c:axId val="430370200"/>
      </c:scatterChart>
      <c:valAx>
        <c:axId val="43037118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70200"/>
        <c:crosses val="autoZero"/>
        <c:crossBetween val="midCat"/>
      </c:valAx>
      <c:valAx>
        <c:axId val="430370200"/>
        <c:scaling>
          <c:orientation val="minMax"/>
          <c:max val="1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Funding </a:t>
                </a:r>
              </a:p>
              <a:p>
                <a:pPr>
                  <a:defRPr/>
                </a:pPr>
                <a:r>
                  <a:rPr lang="en-US"/>
                  <a:t>(State and Local Sources, 14-15)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71184"/>
        <c:crosses val="autoZero"/>
        <c:crossBetween val="midCat"/>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Current Per Pupil Funding</c:v>
          </c:tx>
          <c:spPr>
            <a:ln w="19050" cap="rnd">
              <a:noFill/>
              <a:round/>
            </a:ln>
            <a:effectLst/>
          </c:spPr>
          <c:marker>
            <c:symbol val="circle"/>
            <c:size val="5"/>
            <c:spPr>
              <a:solidFill>
                <a:schemeClr val="accent1"/>
              </a:solidFill>
              <a:ln w="9525">
                <a:solidFill>
                  <a:schemeClr val="accent1"/>
                </a:solidFill>
              </a:ln>
              <a:effectLst/>
            </c:spPr>
          </c:marker>
          <c:xVal>
            <c:numRef>
              <c:f>'PPT Slide 21'!$C$6:$C$159</c:f>
              <c:numCache>
                <c:formatCode>0%</c:formatCode>
                <c:ptCount val="154"/>
                <c:pt idx="0">
                  <c:v>0</c:v>
                </c:pt>
                <c:pt idx="1">
                  <c:v>0</c:v>
                </c:pt>
                <c:pt idx="2">
                  <c:v>0</c:v>
                </c:pt>
                <c:pt idx="3">
                  <c:v>0.14000000000000001</c:v>
                </c:pt>
                <c:pt idx="4">
                  <c:v>0</c:v>
                </c:pt>
                <c:pt idx="5">
                  <c:v>0.6</c:v>
                </c:pt>
                <c:pt idx="6">
                  <c:v>0.5625</c:v>
                </c:pt>
                <c:pt idx="7">
                  <c:v>0</c:v>
                </c:pt>
                <c:pt idx="8">
                  <c:v>0.56097560975609762</c:v>
                </c:pt>
                <c:pt idx="9">
                  <c:v>0</c:v>
                </c:pt>
                <c:pt idx="10">
                  <c:v>0.76470588235294112</c:v>
                </c:pt>
                <c:pt idx="11">
                  <c:v>0.85981308411214952</c:v>
                </c:pt>
                <c:pt idx="12">
                  <c:v>0.66666666666666663</c:v>
                </c:pt>
                <c:pt idx="13">
                  <c:v>0.64912280701754388</c:v>
                </c:pt>
                <c:pt idx="14">
                  <c:v>0.52427184466019416</c:v>
                </c:pt>
                <c:pt idx="15">
                  <c:v>0</c:v>
                </c:pt>
                <c:pt idx="16">
                  <c:v>0.625</c:v>
                </c:pt>
                <c:pt idx="17">
                  <c:v>0.73913043478260865</c:v>
                </c:pt>
                <c:pt idx="18">
                  <c:v>0.81967213114754101</c:v>
                </c:pt>
                <c:pt idx="19">
                  <c:v>0.28888888888888886</c:v>
                </c:pt>
                <c:pt idx="20">
                  <c:v>0.79245283018867929</c:v>
                </c:pt>
                <c:pt idx="21">
                  <c:v>0.59006211180124224</c:v>
                </c:pt>
                <c:pt idx="22">
                  <c:v>0.51006711409395977</c:v>
                </c:pt>
                <c:pt idx="23">
                  <c:v>0.59036144578313254</c:v>
                </c:pt>
                <c:pt idx="24">
                  <c:v>0.51923076923076927</c:v>
                </c:pt>
                <c:pt idx="25">
                  <c:v>0.39759036144578314</c:v>
                </c:pt>
                <c:pt idx="26">
                  <c:v>0.54069767441860461</c:v>
                </c:pt>
                <c:pt idx="27">
                  <c:v>0.6594594594594595</c:v>
                </c:pt>
                <c:pt idx="28">
                  <c:v>1</c:v>
                </c:pt>
                <c:pt idx="29">
                  <c:v>0.478494623655914</c:v>
                </c:pt>
                <c:pt idx="30">
                  <c:v>0.72680412371134018</c:v>
                </c:pt>
                <c:pt idx="31">
                  <c:v>0.6333333333333333</c:v>
                </c:pt>
                <c:pt idx="32">
                  <c:v>0.42325581395348838</c:v>
                </c:pt>
                <c:pt idx="33">
                  <c:v>0.69915254237288138</c:v>
                </c:pt>
                <c:pt idx="34">
                  <c:v>0.50672645739910316</c:v>
                </c:pt>
                <c:pt idx="35">
                  <c:v>0.57333333333333336</c:v>
                </c:pt>
                <c:pt idx="36">
                  <c:v>0.40625</c:v>
                </c:pt>
                <c:pt idx="37">
                  <c:v>0.27727272727272728</c:v>
                </c:pt>
                <c:pt idx="38">
                  <c:v>0.40926640926640928</c:v>
                </c:pt>
                <c:pt idx="39">
                  <c:v>0.84782608695652173</c:v>
                </c:pt>
                <c:pt idx="40">
                  <c:v>0.5892857142857143</c:v>
                </c:pt>
                <c:pt idx="41">
                  <c:v>0</c:v>
                </c:pt>
                <c:pt idx="42">
                  <c:v>0</c:v>
                </c:pt>
                <c:pt idx="43">
                  <c:v>0.51636363636363636</c:v>
                </c:pt>
                <c:pt idx="44">
                  <c:v>0.62745098039215685</c:v>
                </c:pt>
                <c:pt idx="45">
                  <c:v>0.28413284132841327</c:v>
                </c:pt>
                <c:pt idx="46">
                  <c:v>0.46014492753623187</c:v>
                </c:pt>
                <c:pt idx="47">
                  <c:v>0.67532467532467533</c:v>
                </c:pt>
                <c:pt idx="48">
                  <c:v>0.35563380281690143</c:v>
                </c:pt>
                <c:pt idx="49">
                  <c:v>0.44827586206896552</c:v>
                </c:pt>
                <c:pt idx="50">
                  <c:v>0.30662020905923343</c:v>
                </c:pt>
                <c:pt idx="51">
                  <c:v>0</c:v>
                </c:pt>
                <c:pt idx="52">
                  <c:v>0.34642857142857142</c:v>
                </c:pt>
                <c:pt idx="53">
                  <c:v>0.4375</c:v>
                </c:pt>
                <c:pt idx="54">
                  <c:v>0.55128205128205132</c:v>
                </c:pt>
                <c:pt idx="55">
                  <c:v>0.25912408759124089</c:v>
                </c:pt>
                <c:pt idx="56">
                  <c:v>0.70285714285714285</c:v>
                </c:pt>
                <c:pt idx="57">
                  <c:v>0.56111111111111112</c:v>
                </c:pt>
                <c:pt idx="58">
                  <c:v>0.5089285714285714</c:v>
                </c:pt>
                <c:pt idx="59">
                  <c:v>0.6097560975609756</c:v>
                </c:pt>
                <c:pt idx="60">
                  <c:v>0.70299727520435973</c:v>
                </c:pt>
                <c:pt idx="61">
                  <c:v>0.47091412742382271</c:v>
                </c:pt>
                <c:pt idx="62">
                  <c:v>0.68025078369905956</c:v>
                </c:pt>
                <c:pt idx="63">
                  <c:v>0.71957671957671954</c:v>
                </c:pt>
                <c:pt idx="64">
                  <c:v>0.40979381443298968</c:v>
                </c:pt>
                <c:pt idx="65">
                  <c:v>0</c:v>
                </c:pt>
                <c:pt idx="66">
                  <c:v>0.38502673796791442</c:v>
                </c:pt>
                <c:pt idx="67">
                  <c:v>0.35180722891566263</c:v>
                </c:pt>
                <c:pt idx="68">
                  <c:v>0.40540540540540543</c:v>
                </c:pt>
                <c:pt idx="69">
                  <c:v>0.317016317016317</c:v>
                </c:pt>
                <c:pt idx="70">
                  <c:v>0.66666666666666663</c:v>
                </c:pt>
                <c:pt idx="71">
                  <c:v>0.47685185185185186</c:v>
                </c:pt>
                <c:pt idx="72">
                  <c:v>1</c:v>
                </c:pt>
                <c:pt idx="73">
                  <c:v>0.6831275720164609</c:v>
                </c:pt>
                <c:pt idx="74">
                  <c:v>0.51759834368530022</c:v>
                </c:pt>
                <c:pt idx="75">
                  <c:v>0.3296943231441048</c:v>
                </c:pt>
                <c:pt idx="76">
                  <c:v>0.53483146067415732</c:v>
                </c:pt>
                <c:pt idx="77">
                  <c:v>0.69958847736625518</c:v>
                </c:pt>
                <c:pt idx="78">
                  <c:v>0.88625592417061616</c:v>
                </c:pt>
                <c:pt idx="79">
                  <c:v>0.55776892430278879</c:v>
                </c:pt>
                <c:pt idx="80">
                  <c:v>0.7079107505070994</c:v>
                </c:pt>
                <c:pt idx="81">
                  <c:v>0.62931034482758619</c:v>
                </c:pt>
                <c:pt idx="82">
                  <c:v>0.49612403100775193</c:v>
                </c:pt>
                <c:pt idx="83">
                  <c:v>0.52419354838709675</c:v>
                </c:pt>
                <c:pt idx="84">
                  <c:v>0.28281250000000002</c:v>
                </c:pt>
                <c:pt idx="85">
                  <c:v>0</c:v>
                </c:pt>
                <c:pt idx="86">
                  <c:v>0.25301204819277107</c:v>
                </c:pt>
                <c:pt idx="87">
                  <c:v>0.54256854256854259</c:v>
                </c:pt>
                <c:pt idx="88">
                  <c:v>0</c:v>
                </c:pt>
                <c:pt idx="89">
                  <c:v>0.47499999999999998</c:v>
                </c:pt>
                <c:pt idx="90">
                  <c:v>0.71486486486486489</c:v>
                </c:pt>
                <c:pt idx="91">
                  <c:v>0.5879194630872483</c:v>
                </c:pt>
                <c:pt idx="92">
                  <c:v>0.25102880658436216</c:v>
                </c:pt>
                <c:pt idx="93">
                  <c:v>0.3603385731559855</c:v>
                </c:pt>
                <c:pt idx="94">
                  <c:v>0.52897657213316895</c:v>
                </c:pt>
                <c:pt idx="95">
                  <c:v>0.13944954128440368</c:v>
                </c:pt>
                <c:pt idx="96">
                  <c:v>0.69493521790341584</c:v>
                </c:pt>
                <c:pt idx="97">
                  <c:v>0.49693251533742333</c:v>
                </c:pt>
                <c:pt idx="98">
                  <c:v>0.532258064516129</c:v>
                </c:pt>
                <c:pt idx="99">
                  <c:v>0.50564334085778784</c:v>
                </c:pt>
                <c:pt idx="100">
                  <c:v>0.55769230769230771</c:v>
                </c:pt>
                <c:pt idx="101">
                  <c:v>0</c:v>
                </c:pt>
                <c:pt idx="102">
                  <c:v>0.37370600414078675</c:v>
                </c:pt>
                <c:pt idx="103">
                  <c:v>0.65982404692082108</c:v>
                </c:pt>
                <c:pt idx="104">
                  <c:v>0.54741784037558683</c:v>
                </c:pt>
                <c:pt idx="105">
                  <c:v>0.44557195571955721</c:v>
                </c:pt>
                <c:pt idx="106">
                  <c:v>0.64132231404958673</c:v>
                </c:pt>
                <c:pt idx="107">
                  <c:v>0.71189427312775333</c:v>
                </c:pt>
                <c:pt idx="108">
                  <c:v>0.49449618966977138</c:v>
                </c:pt>
                <c:pt idx="109">
                  <c:v>0.52317880794701987</c:v>
                </c:pt>
                <c:pt idx="110">
                  <c:v>0.67242948134667879</c:v>
                </c:pt>
                <c:pt idx="111">
                  <c:v>0.82778702163061568</c:v>
                </c:pt>
                <c:pt idx="112">
                  <c:v>0.60739575137686863</c:v>
                </c:pt>
                <c:pt idx="113">
                  <c:v>0.48328025477707004</c:v>
                </c:pt>
                <c:pt idx="114">
                  <c:v>0.5254957507082153</c:v>
                </c:pt>
                <c:pt idx="115">
                  <c:v>0.696024941543258</c:v>
                </c:pt>
                <c:pt idx="116">
                  <c:v>0.67002688172043012</c:v>
                </c:pt>
                <c:pt idx="117">
                  <c:v>0.66912257200267922</c:v>
                </c:pt>
                <c:pt idx="118">
                  <c:v>0.71612074502247913</c:v>
                </c:pt>
                <c:pt idx="119">
                  <c:v>0.51385224274406327</c:v>
                </c:pt>
                <c:pt idx="120">
                  <c:v>0.45627602617489588</c:v>
                </c:pt>
                <c:pt idx="121">
                  <c:v>0.47914183551847439</c:v>
                </c:pt>
                <c:pt idx="122">
                  <c:v>0.39775413711583923</c:v>
                </c:pt>
                <c:pt idx="123">
                  <c:v>0.47374701670644392</c:v>
                </c:pt>
                <c:pt idx="124">
                  <c:v>0.42784552845528456</c:v>
                </c:pt>
                <c:pt idx="125">
                  <c:v>0.56920256645279566</c:v>
                </c:pt>
                <c:pt idx="126">
                  <c:v>0.60346735521947625</c:v>
                </c:pt>
                <c:pt idx="127">
                  <c:v>0.32112166440524648</c:v>
                </c:pt>
                <c:pt idx="128">
                  <c:v>0.60132760640374849</c:v>
                </c:pt>
                <c:pt idx="129">
                  <c:v>0.48118393234672302</c:v>
                </c:pt>
                <c:pt idx="130">
                  <c:v>0.43253848475701778</c:v>
                </c:pt>
                <c:pt idx="131">
                  <c:v>0.51173184357541901</c:v>
                </c:pt>
                <c:pt idx="132">
                  <c:v>0.68334280841387152</c:v>
                </c:pt>
                <c:pt idx="133">
                  <c:v>0.53923160173160178</c:v>
                </c:pt>
                <c:pt idx="134">
                  <c:v>0.50199203187250996</c:v>
                </c:pt>
                <c:pt idx="135">
                  <c:v>0.59452318039875085</c:v>
                </c:pt>
                <c:pt idx="136">
                  <c:v>0.50401948842874544</c:v>
                </c:pt>
                <c:pt idx="137">
                  <c:v>0.6454749439042633</c:v>
                </c:pt>
                <c:pt idx="138">
                  <c:v>0.40529189416211675</c:v>
                </c:pt>
                <c:pt idx="139">
                  <c:v>0.40231010180109633</c:v>
                </c:pt>
                <c:pt idx="140">
                  <c:v>0.43022241604884431</c:v>
                </c:pt>
                <c:pt idx="141">
                  <c:v>0.44273743016759776</c:v>
                </c:pt>
                <c:pt idx="142">
                  <c:v>0.5551203133743704</c:v>
                </c:pt>
                <c:pt idx="143">
                  <c:v>0.5276867030965392</c:v>
                </c:pt>
                <c:pt idx="144">
                  <c:v>0.86003983342386381</c:v>
                </c:pt>
                <c:pt idx="145">
                  <c:v>0.6492603363257049</c:v>
                </c:pt>
                <c:pt idx="146">
                  <c:v>0.59075442919159915</c:v>
                </c:pt>
                <c:pt idx="147">
                  <c:v>0.49929335756107407</c:v>
                </c:pt>
                <c:pt idx="148">
                  <c:v>0.43702407902860668</c:v>
                </c:pt>
                <c:pt idx="149">
                  <c:v>0.4150247413405308</c:v>
                </c:pt>
                <c:pt idx="150">
                  <c:v>0.51887537513820881</c:v>
                </c:pt>
                <c:pt idx="151">
                  <c:v>0.64852093986665804</c:v>
                </c:pt>
                <c:pt idx="152">
                  <c:v>0.43365376362543989</c:v>
                </c:pt>
                <c:pt idx="153">
                  <c:v>0.30022542335605895</c:v>
                </c:pt>
              </c:numCache>
            </c:numRef>
          </c:xVal>
          <c:yVal>
            <c:numRef>
              <c:f>'PPT Slide 21'!$D$6:$D$159</c:f>
              <c:numCache>
                <c:formatCode>_("$"* #,##0_);_("$"* \(#,##0\);_("$"* "-"??_);_(@_)</c:formatCode>
                <c:ptCount val="154"/>
                <c:pt idx="0">
                  <c:v>20497.833333333332</c:v>
                </c:pt>
                <c:pt idx="1">
                  <c:v>16375</c:v>
                </c:pt>
                <c:pt idx="2">
                  <c:v>8559.2727272727279</c:v>
                </c:pt>
                <c:pt idx="3">
                  <c:v>11709.037037037036</c:v>
                </c:pt>
                <c:pt idx="4">
                  <c:v>9205.7837837837833</c:v>
                </c:pt>
                <c:pt idx="5">
                  <c:v>6521.1555555555551</c:v>
                </c:pt>
                <c:pt idx="6">
                  <c:v>6846.260869565217</c:v>
                </c:pt>
                <c:pt idx="7">
                  <c:v>5248.666666666667</c:v>
                </c:pt>
                <c:pt idx="8">
                  <c:v>12964.738853503184</c:v>
                </c:pt>
                <c:pt idx="9">
                  <c:v>6358.4905660377362</c:v>
                </c:pt>
                <c:pt idx="10">
                  <c:v>11140.552147239263</c:v>
                </c:pt>
                <c:pt idx="11">
                  <c:v>4898.0898876404499</c:v>
                </c:pt>
                <c:pt idx="12">
                  <c:v>10012.492610837438</c:v>
                </c:pt>
                <c:pt idx="13">
                  <c:v>10176.396135265701</c:v>
                </c:pt>
                <c:pt idx="14">
                  <c:v>8946.1784037558682</c:v>
                </c:pt>
                <c:pt idx="15">
                  <c:v>6042.136752136752</c:v>
                </c:pt>
                <c:pt idx="16">
                  <c:v>9432.2572614107885</c:v>
                </c:pt>
                <c:pt idx="17">
                  <c:v>9227.3360995850617</c:v>
                </c:pt>
                <c:pt idx="18">
                  <c:v>8651.7803921568629</c:v>
                </c:pt>
                <c:pt idx="19">
                  <c:v>4119.9406779661012</c:v>
                </c:pt>
                <c:pt idx="20">
                  <c:v>7892.6109090909094</c:v>
                </c:pt>
                <c:pt idx="21">
                  <c:v>7751.0709219858154</c:v>
                </c:pt>
                <c:pt idx="22">
                  <c:v>7686.0845070422538</c:v>
                </c:pt>
                <c:pt idx="23">
                  <c:v>6850.6687306501544</c:v>
                </c:pt>
                <c:pt idx="24">
                  <c:v>7109.2915360501565</c:v>
                </c:pt>
                <c:pt idx="25">
                  <c:v>4416.3012820512822</c:v>
                </c:pt>
                <c:pt idx="26">
                  <c:v>6619.85632183908</c:v>
                </c:pt>
                <c:pt idx="27">
                  <c:v>4534.6608187134507</c:v>
                </c:pt>
                <c:pt idx="28">
                  <c:v>6284.9388888888889</c:v>
                </c:pt>
                <c:pt idx="29">
                  <c:v>6176.337801608579</c:v>
                </c:pt>
                <c:pt idx="30">
                  <c:v>5799.5038363171352</c:v>
                </c:pt>
                <c:pt idx="31">
                  <c:v>7949.3186274509808</c:v>
                </c:pt>
                <c:pt idx="32">
                  <c:v>6541.125</c:v>
                </c:pt>
                <c:pt idx="33">
                  <c:v>6154.9002320185618</c:v>
                </c:pt>
                <c:pt idx="34">
                  <c:v>3602.7371007371007</c:v>
                </c:pt>
                <c:pt idx="35">
                  <c:v>5920.9066666666668</c:v>
                </c:pt>
                <c:pt idx="36">
                  <c:v>5827.8903508771928</c:v>
                </c:pt>
                <c:pt idx="37">
                  <c:v>4444.333333333333</c:v>
                </c:pt>
                <c:pt idx="38">
                  <c:v>4344.7348643006262</c:v>
                </c:pt>
                <c:pt idx="39">
                  <c:v>5393.6291666666666</c:v>
                </c:pt>
                <c:pt idx="40">
                  <c:v>5741.3075356415475</c:v>
                </c:pt>
                <c:pt idx="41">
                  <c:v>5748.4015748031497</c:v>
                </c:pt>
                <c:pt idx="42">
                  <c:v>5402.9529411764706</c:v>
                </c:pt>
                <c:pt idx="43">
                  <c:v>5987.3041749502981</c:v>
                </c:pt>
                <c:pt idx="44">
                  <c:v>4894.7389558232935</c:v>
                </c:pt>
                <c:pt idx="45">
                  <c:v>5095.152091254753</c:v>
                </c:pt>
                <c:pt idx="46">
                  <c:v>4821.4600760456278</c:v>
                </c:pt>
                <c:pt idx="47">
                  <c:v>5148.6764705882351</c:v>
                </c:pt>
                <c:pt idx="48">
                  <c:v>6078</c:v>
                </c:pt>
                <c:pt idx="49">
                  <c:v>5138.3013698630139</c:v>
                </c:pt>
                <c:pt idx="50">
                  <c:v>5564.6654929577462</c:v>
                </c:pt>
                <c:pt idx="51">
                  <c:v>5700.8989898989903</c:v>
                </c:pt>
                <c:pt idx="52">
                  <c:v>4319.3875432525956</c:v>
                </c:pt>
                <c:pt idx="53">
                  <c:v>4782.6266233766237</c:v>
                </c:pt>
                <c:pt idx="54">
                  <c:v>5206.1636060100163</c:v>
                </c:pt>
                <c:pt idx="55">
                  <c:v>3679.9584055459272</c:v>
                </c:pt>
                <c:pt idx="56">
                  <c:v>5330.3666121112929</c:v>
                </c:pt>
                <c:pt idx="57">
                  <c:v>5091.5090361445782</c:v>
                </c:pt>
                <c:pt idx="58">
                  <c:v>3561.9659863945576</c:v>
                </c:pt>
                <c:pt idx="59">
                  <c:v>5477.2401215805476</c:v>
                </c:pt>
                <c:pt idx="60">
                  <c:v>4807.0561151079137</c:v>
                </c:pt>
                <c:pt idx="61">
                  <c:v>4972.3760683760684</c:v>
                </c:pt>
                <c:pt idx="62">
                  <c:v>4945.2280219780223</c:v>
                </c:pt>
                <c:pt idx="63">
                  <c:v>5080.3013333333338</c:v>
                </c:pt>
                <c:pt idx="64">
                  <c:v>5312.39402173913</c:v>
                </c:pt>
                <c:pt idx="65">
                  <c:v>4014.3794037940379</c:v>
                </c:pt>
                <c:pt idx="66">
                  <c:v>5199.0706033376127</c:v>
                </c:pt>
                <c:pt idx="67">
                  <c:v>4902.1192546583852</c:v>
                </c:pt>
                <c:pt idx="68">
                  <c:v>4877.4937655860349</c:v>
                </c:pt>
                <c:pt idx="69">
                  <c:v>5142.2029339853298</c:v>
                </c:pt>
                <c:pt idx="70">
                  <c:v>4914.5310173697271</c:v>
                </c:pt>
                <c:pt idx="71">
                  <c:v>5003.5733662145503</c:v>
                </c:pt>
                <c:pt idx="72">
                  <c:v>4534.8809815950917</c:v>
                </c:pt>
                <c:pt idx="73">
                  <c:v>5297.0337349397587</c:v>
                </c:pt>
                <c:pt idx="74">
                  <c:v>4884.147727272727</c:v>
                </c:pt>
                <c:pt idx="75">
                  <c:v>4029.5796766743647</c:v>
                </c:pt>
                <c:pt idx="76">
                  <c:v>4955.8275109170308</c:v>
                </c:pt>
                <c:pt idx="77">
                  <c:v>3803.3549783549784</c:v>
                </c:pt>
                <c:pt idx="78">
                  <c:v>4795.833333333333</c:v>
                </c:pt>
                <c:pt idx="79">
                  <c:v>4580.5055611729022</c:v>
                </c:pt>
                <c:pt idx="80">
                  <c:v>4827.1676767676772</c:v>
                </c:pt>
                <c:pt idx="81">
                  <c:v>4687.595800524934</c:v>
                </c:pt>
                <c:pt idx="82">
                  <c:v>4469.4943527367504</c:v>
                </c:pt>
                <c:pt idx="83">
                  <c:v>4760.707275803723</c:v>
                </c:pt>
                <c:pt idx="84">
                  <c:v>4091.9968454258674</c:v>
                </c:pt>
                <c:pt idx="85">
                  <c:v>4231.871473354232</c:v>
                </c:pt>
                <c:pt idx="86">
                  <c:v>4312.2296072507552</c:v>
                </c:pt>
                <c:pt idx="87">
                  <c:v>4458.1820873427087</c:v>
                </c:pt>
                <c:pt idx="88">
                  <c:v>4547.0712250712249</c:v>
                </c:pt>
                <c:pt idx="89">
                  <c:v>4521.2125279642059</c:v>
                </c:pt>
                <c:pt idx="90">
                  <c:v>4513.9452843772497</c:v>
                </c:pt>
                <c:pt idx="91">
                  <c:v>4368.1586440677966</c:v>
                </c:pt>
                <c:pt idx="92">
                  <c:v>4510.5378486055779</c:v>
                </c:pt>
                <c:pt idx="93">
                  <c:v>4332.704737183647</c:v>
                </c:pt>
                <c:pt idx="94">
                  <c:v>4063.4164556962023</c:v>
                </c:pt>
                <c:pt idx="95">
                  <c:v>4044.9465174129355</c:v>
                </c:pt>
                <c:pt idx="96">
                  <c:v>4223.069050554871</c:v>
                </c:pt>
                <c:pt idx="97">
                  <c:v>4224.634086744044</c:v>
                </c:pt>
                <c:pt idx="98">
                  <c:v>4402.9652421652418</c:v>
                </c:pt>
                <c:pt idx="99">
                  <c:v>4662.3467112597546</c:v>
                </c:pt>
                <c:pt idx="100">
                  <c:v>3937.9350026638253</c:v>
                </c:pt>
                <c:pt idx="101">
                  <c:v>4154.5150713907988</c:v>
                </c:pt>
                <c:pt idx="102">
                  <c:v>4461.668936616029</c:v>
                </c:pt>
                <c:pt idx="103">
                  <c:v>4126.6058174523569</c:v>
                </c:pt>
                <c:pt idx="104">
                  <c:v>5663.5953079178889</c:v>
                </c:pt>
                <c:pt idx="105">
                  <c:v>4414.1154401154399</c:v>
                </c:pt>
                <c:pt idx="106">
                  <c:v>4425.2896073903003</c:v>
                </c:pt>
                <c:pt idx="107">
                  <c:v>4239.2265805260731</c:v>
                </c:pt>
                <c:pt idx="108">
                  <c:v>4132.2477148080443</c:v>
                </c:pt>
                <c:pt idx="109">
                  <c:v>4501.5952485701719</c:v>
                </c:pt>
                <c:pt idx="110">
                  <c:v>3989.501300954033</c:v>
                </c:pt>
                <c:pt idx="111">
                  <c:v>4017.134953897737</c:v>
                </c:pt>
                <c:pt idx="112">
                  <c:v>3850.4743801652894</c:v>
                </c:pt>
                <c:pt idx="113">
                  <c:v>4229.4958949096881</c:v>
                </c:pt>
                <c:pt idx="114">
                  <c:v>4240.2030338389732</c:v>
                </c:pt>
                <c:pt idx="115">
                  <c:v>4103.9772976931527</c:v>
                </c:pt>
                <c:pt idx="116">
                  <c:v>4213.5045107564192</c:v>
                </c:pt>
                <c:pt idx="117">
                  <c:v>4101.6924119241194</c:v>
                </c:pt>
                <c:pt idx="118">
                  <c:v>3997.73933810986</c:v>
                </c:pt>
                <c:pt idx="119">
                  <c:v>4097.3570231310759</c:v>
                </c:pt>
                <c:pt idx="120">
                  <c:v>4044.7726296409942</c:v>
                </c:pt>
                <c:pt idx="121">
                  <c:v>3828.0593325092709</c:v>
                </c:pt>
                <c:pt idx="122">
                  <c:v>4116.5216324025778</c:v>
                </c:pt>
                <c:pt idx="123">
                  <c:v>4016.7825295723383</c:v>
                </c:pt>
                <c:pt idx="124">
                  <c:v>3761.042690197949</c:v>
                </c:pt>
                <c:pt idx="125">
                  <c:v>4210.3719714964373</c:v>
                </c:pt>
                <c:pt idx="126">
                  <c:v>3974.270981210856</c:v>
                </c:pt>
                <c:pt idx="127">
                  <c:v>3593.0542666142351</c:v>
                </c:pt>
                <c:pt idx="128">
                  <c:v>3945.5156193647895</c:v>
                </c:pt>
                <c:pt idx="129">
                  <c:v>3705.5160349854227</c:v>
                </c:pt>
                <c:pt idx="130">
                  <c:v>3848.834460547504</c:v>
                </c:pt>
                <c:pt idx="131">
                  <c:v>4165.2681433984262</c:v>
                </c:pt>
                <c:pt idx="132">
                  <c:v>3770.8099173553719</c:v>
                </c:pt>
                <c:pt idx="133">
                  <c:v>3863.2359922715982</c:v>
                </c:pt>
                <c:pt idx="134">
                  <c:v>4241.4037488028462</c:v>
                </c:pt>
                <c:pt idx="135">
                  <c:v>3926.0732121845995</c:v>
                </c:pt>
                <c:pt idx="136">
                  <c:v>3904.7396442343575</c:v>
                </c:pt>
                <c:pt idx="137">
                  <c:v>3821.624702549575</c:v>
                </c:pt>
                <c:pt idx="138">
                  <c:v>3906.1832895888015</c:v>
                </c:pt>
                <c:pt idx="139">
                  <c:v>3711.8817454692721</c:v>
                </c:pt>
                <c:pt idx="140">
                  <c:v>3706.5496549654968</c:v>
                </c:pt>
                <c:pt idx="141">
                  <c:v>3693.1704465275679</c:v>
                </c:pt>
                <c:pt idx="142">
                  <c:v>4133.9225742574254</c:v>
                </c:pt>
                <c:pt idx="143">
                  <c:v>3869.1485314685315</c:v>
                </c:pt>
                <c:pt idx="144">
                  <c:v>3753.6503532215506</c:v>
                </c:pt>
                <c:pt idx="145">
                  <c:v>3680.5349669436528</c:v>
                </c:pt>
                <c:pt idx="146">
                  <c:v>3828.6836538461539</c:v>
                </c:pt>
                <c:pt idx="147">
                  <c:v>3755.6596478766046</c:v>
                </c:pt>
                <c:pt idx="148">
                  <c:v>3803.8919541380865</c:v>
                </c:pt>
                <c:pt idx="149">
                  <c:v>3675.9810652981773</c:v>
                </c:pt>
                <c:pt idx="150">
                  <c:v>3697.2245872289636</c:v>
                </c:pt>
                <c:pt idx="151">
                  <c:v>3582.2767335534672</c:v>
                </c:pt>
                <c:pt idx="152">
                  <c:v>3866.5851161878613</c:v>
                </c:pt>
                <c:pt idx="153">
                  <c:v>3951.1839399288338</c:v>
                </c:pt>
              </c:numCache>
            </c:numRef>
          </c:yVal>
          <c:smooth val="0"/>
          <c:extLst>
            <c:ext xmlns:c16="http://schemas.microsoft.com/office/drawing/2014/chart" uri="{C3380CC4-5D6E-409C-BE32-E72D297353CC}">
              <c16:uniqueId val="{00000002-0C39-4978-B191-8B9E3C6BA0FE}"/>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1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91426071741E-2"/>
              <c:y val="0.23959135316418781"/>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Current Per Pupil Funding</c:v>
          </c:tx>
          <c:spPr>
            <a:ln w="19050" cap="rnd">
              <a:noFill/>
              <a:round/>
            </a:ln>
            <a:effectLst/>
          </c:spPr>
          <c:marker>
            <c:symbol val="circle"/>
            <c:size val="5"/>
            <c:spPr>
              <a:solidFill>
                <a:schemeClr val="accent1"/>
              </a:solidFill>
              <a:ln w="9525">
                <a:solidFill>
                  <a:schemeClr val="accent1"/>
                </a:solidFill>
              </a:ln>
              <a:effectLst/>
            </c:spPr>
          </c:marker>
          <c:xVal>
            <c:numRef>
              <c:f>'PPT Slide 21'!$C$6:$C$159</c:f>
              <c:numCache>
                <c:formatCode>0%</c:formatCode>
                <c:ptCount val="154"/>
                <c:pt idx="0">
                  <c:v>0</c:v>
                </c:pt>
                <c:pt idx="1">
                  <c:v>0</c:v>
                </c:pt>
                <c:pt idx="2">
                  <c:v>0</c:v>
                </c:pt>
                <c:pt idx="3">
                  <c:v>0.14000000000000001</c:v>
                </c:pt>
                <c:pt idx="4">
                  <c:v>0</c:v>
                </c:pt>
                <c:pt idx="5">
                  <c:v>0.6</c:v>
                </c:pt>
                <c:pt idx="6">
                  <c:v>0.5625</c:v>
                </c:pt>
                <c:pt idx="7">
                  <c:v>0</c:v>
                </c:pt>
                <c:pt idx="8">
                  <c:v>0.56097560975609762</c:v>
                </c:pt>
                <c:pt idx="9">
                  <c:v>0</c:v>
                </c:pt>
                <c:pt idx="10">
                  <c:v>0.76470588235294112</c:v>
                </c:pt>
                <c:pt idx="11">
                  <c:v>0.85981308411214952</c:v>
                </c:pt>
                <c:pt idx="12">
                  <c:v>0.66666666666666663</c:v>
                </c:pt>
                <c:pt idx="13">
                  <c:v>0.64912280701754388</c:v>
                </c:pt>
                <c:pt idx="14">
                  <c:v>0.52427184466019416</c:v>
                </c:pt>
                <c:pt idx="15">
                  <c:v>0</c:v>
                </c:pt>
                <c:pt idx="16">
                  <c:v>0.625</c:v>
                </c:pt>
                <c:pt idx="17">
                  <c:v>0.73913043478260865</c:v>
                </c:pt>
                <c:pt idx="18">
                  <c:v>0.81967213114754101</c:v>
                </c:pt>
                <c:pt idx="19">
                  <c:v>0.28888888888888886</c:v>
                </c:pt>
                <c:pt idx="20">
                  <c:v>0.79245283018867929</c:v>
                </c:pt>
                <c:pt idx="21">
                  <c:v>0.59006211180124224</c:v>
                </c:pt>
                <c:pt idx="22">
                  <c:v>0.51006711409395977</c:v>
                </c:pt>
                <c:pt idx="23">
                  <c:v>0.59036144578313254</c:v>
                </c:pt>
                <c:pt idx="24">
                  <c:v>0.51923076923076927</c:v>
                </c:pt>
                <c:pt idx="25">
                  <c:v>0.39759036144578314</c:v>
                </c:pt>
                <c:pt idx="26">
                  <c:v>0.54069767441860461</c:v>
                </c:pt>
                <c:pt idx="27">
                  <c:v>0.6594594594594595</c:v>
                </c:pt>
                <c:pt idx="28">
                  <c:v>1</c:v>
                </c:pt>
                <c:pt idx="29">
                  <c:v>0.478494623655914</c:v>
                </c:pt>
                <c:pt idx="30">
                  <c:v>0.72680412371134018</c:v>
                </c:pt>
                <c:pt idx="31">
                  <c:v>0.6333333333333333</c:v>
                </c:pt>
                <c:pt idx="32">
                  <c:v>0.42325581395348838</c:v>
                </c:pt>
                <c:pt idx="33">
                  <c:v>0.69915254237288138</c:v>
                </c:pt>
                <c:pt idx="34">
                  <c:v>0.50672645739910316</c:v>
                </c:pt>
                <c:pt idx="35">
                  <c:v>0.57333333333333336</c:v>
                </c:pt>
                <c:pt idx="36">
                  <c:v>0.40625</c:v>
                </c:pt>
                <c:pt idx="37">
                  <c:v>0.27727272727272728</c:v>
                </c:pt>
                <c:pt idx="38">
                  <c:v>0.40926640926640928</c:v>
                </c:pt>
                <c:pt idx="39">
                  <c:v>0.84782608695652173</c:v>
                </c:pt>
                <c:pt idx="40">
                  <c:v>0.5892857142857143</c:v>
                </c:pt>
                <c:pt idx="41">
                  <c:v>0</c:v>
                </c:pt>
                <c:pt idx="42">
                  <c:v>0</c:v>
                </c:pt>
                <c:pt idx="43">
                  <c:v>0.51636363636363636</c:v>
                </c:pt>
                <c:pt idx="44">
                  <c:v>0.62745098039215685</c:v>
                </c:pt>
                <c:pt idx="45">
                  <c:v>0.28413284132841327</c:v>
                </c:pt>
                <c:pt idx="46">
                  <c:v>0.46014492753623187</c:v>
                </c:pt>
                <c:pt idx="47">
                  <c:v>0.67532467532467533</c:v>
                </c:pt>
                <c:pt idx="48">
                  <c:v>0.35563380281690143</c:v>
                </c:pt>
                <c:pt idx="49">
                  <c:v>0.44827586206896552</c:v>
                </c:pt>
                <c:pt idx="50">
                  <c:v>0.30662020905923343</c:v>
                </c:pt>
                <c:pt idx="51">
                  <c:v>0</c:v>
                </c:pt>
                <c:pt idx="52">
                  <c:v>0.34642857142857142</c:v>
                </c:pt>
                <c:pt idx="53">
                  <c:v>0.4375</c:v>
                </c:pt>
                <c:pt idx="54">
                  <c:v>0.55128205128205132</c:v>
                </c:pt>
                <c:pt idx="55">
                  <c:v>0.25912408759124089</c:v>
                </c:pt>
                <c:pt idx="56">
                  <c:v>0.70285714285714285</c:v>
                </c:pt>
                <c:pt idx="57">
                  <c:v>0.56111111111111112</c:v>
                </c:pt>
                <c:pt idx="58">
                  <c:v>0.5089285714285714</c:v>
                </c:pt>
                <c:pt idx="59">
                  <c:v>0.6097560975609756</c:v>
                </c:pt>
                <c:pt idx="60">
                  <c:v>0.70299727520435973</c:v>
                </c:pt>
                <c:pt idx="61">
                  <c:v>0.47091412742382271</c:v>
                </c:pt>
                <c:pt idx="62">
                  <c:v>0.68025078369905956</c:v>
                </c:pt>
                <c:pt idx="63">
                  <c:v>0.71957671957671954</c:v>
                </c:pt>
                <c:pt idx="64">
                  <c:v>0.40979381443298968</c:v>
                </c:pt>
                <c:pt idx="65">
                  <c:v>0</c:v>
                </c:pt>
                <c:pt idx="66">
                  <c:v>0.38502673796791442</c:v>
                </c:pt>
                <c:pt idx="67">
                  <c:v>0.35180722891566263</c:v>
                </c:pt>
                <c:pt idx="68">
                  <c:v>0.40540540540540543</c:v>
                </c:pt>
                <c:pt idx="69">
                  <c:v>0.317016317016317</c:v>
                </c:pt>
                <c:pt idx="70">
                  <c:v>0.66666666666666663</c:v>
                </c:pt>
                <c:pt idx="71">
                  <c:v>0.47685185185185186</c:v>
                </c:pt>
                <c:pt idx="72">
                  <c:v>1</c:v>
                </c:pt>
                <c:pt idx="73">
                  <c:v>0.6831275720164609</c:v>
                </c:pt>
                <c:pt idx="74">
                  <c:v>0.51759834368530022</c:v>
                </c:pt>
                <c:pt idx="75">
                  <c:v>0.3296943231441048</c:v>
                </c:pt>
                <c:pt idx="76">
                  <c:v>0.53483146067415732</c:v>
                </c:pt>
                <c:pt idx="77">
                  <c:v>0.69958847736625518</c:v>
                </c:pt>
                <c:pt idx="78">
                  <c:v>0.88625592417061616</c:v>
                </c:pt>
                <c:pt idx="79">
                  <c:v>0.55776892430278879</c:v>
                </c:pt>
                <c:pt idx="80">
                  <c:v>0.7079107505070994</c:v>
                </c:pt>
                <c:pt idx="81">
                  <c:v>0.62931034482758619</c:v>
                </c:pt>
                <c:pt idx="82">
                  <c:v>0.49612403100775193</c:v>
                </c:pt>
                <c:pt idx="83">
                  <c:v>0.52419354838709675</c:v>
                </c:pt>
                <c:pt idx="84">
                  <c:v>0.28281250000000002</c:v>
                </c:pt>
                <c:pt idx="85">
                  <c:v>0</c:v>
                </c:pt>
                <c:pt idx="86">
                  <c:v>0.25301204819277107</c:v>
                </c:pt>
                <c:pt idx="87">
                  <c:v>0.54256854256854259</c:v>
                </c:pt>
                <c:pt idx="88">
                  <c:v>0</c:v>
                </c:pt>
                <c:pt idx="89">
                  <c:v>0.47499999999999998</c:v>
                </c:pt>
                <c:pt idx="90">
                  <c:v>0.71486486486486489</c:v>
                </c:pt>
                <c:pt idx="91">
                  <c:v>0.5879194630872483</c:v>
                </c:pt>
                <c:pt idx="92">
                  <c:v>0.25102880658436216</c:v>
                </c:pt>
                <c:pt idx="93">
                  <c:v>0.3603385731559855</c:v>
                </c:pt>
                <c:pt idx="94">
                  <c:v>0.52897657213316895</c:v>
                </c:pt>
                <c:pt idx="95">
                  <c:v>0.13944954128440368</c:v>
                </c:pt>
                <c:pt idx="96">
                  <c:v>0.69493521790341584</c:v>
                </c:pt>
                <c:pt idx="97">
                  <c:v>0.49693251533742333</c:v>
                </c:pt>
                <c:pt idx="98">
                  <c:v>0.532258064516129</c:v>
                </c:pt>
                <c:pt idx="99">
                  <c:v>0.50564334085778784</c:v>
                </c:pt>
                <c:pt idx="100">
                  <c:v>0.55769230769230771</c:v>
                </c:pt>
                <c:pt idx="101">
                  <c:v>0</c:v>
                </c:pt>
                <c:pt idx="102">
                  <c:v>0.37370600414078675</c:v>
                </c:pt>
                <c:pt idx="103">
                  <c:v>0.65982404692082108</c:v>
                </c:pt>
                <c:pt idx="104">
                  <c:v>0.54741784037558683</c:v>
                </c:pt>
                <c:pt idx="105">
                  <c:v>0.44557195571955721</c:v>
                </c:pt>
                <c:pt idx="106">
                  <c:v>0.64132231404958673</c:v>
                </c:pt>
                <c:pt idx="107">
                  <c:v>0.71189427312775333</c:v>
                </c:pt>
                <c:pt idx="108">
                  <c:v>0.49449618966977138</c:v>
                </c:pt>
                <c:pt idx="109">
                  <c:v>0.52317880794701987</c:v>
                </c:pt>
                <c:pt idx="110">
                  <c:v>0.67242948134667879</c:v>
                </c:pt>
                <c:pt idx="111">
                  <c:v>0.82778702163061568</c:v>
                </c:pt>
                <c:pt idx="112">
                  <c:v>0.60739575137686863</c:v>
                </c:pt>
                <c:pt idx="113">
                  <c:v>0.48328025477707004</c:v>
                </c:pt>
                <c:pt idx="114">
                  <c:v>0.5254957507082153</c:v>
                </c:pt>
                <c:pt idx="115">
                  <c:v>0.696024941543258</c:v>
                </c:pt>
                <c:pt idx="116">
                  <c:v>0.67002688172043012</c:v>
                </c:pt>
                <c:pt idx="117">
                  <c:v>0.66912257200267922</c:v>
                </c:pt>
                <c:pt idx="118">
                  <c:v>0.71612074502247913</c:v>
                </c:pt>
                <c:pt idx="119">
                  <c:v>0.51385224274406327</c:v>
                </c:pt>
                <c:pt idx="120">
                  <c:v>0.45627602617489588</c:v>
                </c:pt>
                <c:pt idx="121">
                  <c:v>0.47914183551847439</c:v>
                </c:pt>
                <c:pt idx="122">
                  <c:v>0.39775413711583923</c:v>
                </c:pt>
                <c:pt idx="123">
                  <c:v>0.47374701670644392</c:v>
                </c:pt>
                <c:pt idx="124">
                  <c:v>0.42784552845528456</c:v>
                </c:pt>
                <c:pt idx="125">
                  <c:v>0.56920256645279566</c:v>
                </c:pt>
                <c:pt idx="126">
                  <c:v>0.60346735521947625</c:v>
                </c:pt>
                <c:pt idx="127">
                  <c:v>0.32112166440524648</c:v>
                </c:pt>
                <c:pt idx="128">
                  <c:v>0.60132760640374849</c:v>
                </c:pt>
                <c:pt idx="129">
                  <c:v>0.48118393234672302</c:v>
                </c:pt>
                <c:pt idx="130">
                  <c:v>0.43253848475701778</c:v>
                </c:pt>
                <c:pt idx="131">
                  <c:v>0.51173184357541901</c:v>
                </c:pt>
                <c:pt idx="132">
                  <c:v>0.68334280841387152</c:v>
                </c:pt>
                <c:pt idx="133">
                  <c:v>0.53923160173160178</c:v>
                </c:pt>
                <c:pt idx="134">
                  <c:v>0.50199203187250996</c:v>
                </c:pt>
                <c:pt idx="135">
                  <c:v>0.59452318039875085</c:v>
                </c:pt>
                <c:pt idx="136">
                  <c:v>0.50401948842874544</c:v>
                </c:pt>
                <c:pt idx="137">
                  <c:v>0.6454749439042633</c:v>
                </c:pt>
                <c:pt idx="138">
                  <c:v>0.40529189416211675</c:v>
                </c:pt>
                <c:pt idx="139">
                  <c:v>0.40231010180109633</c:v>
                </c:pt>
                <c:pt idx="140">
                  <c:v>0.43022241604884431</c:v>
                </c:pt>
                <c:pt idx="141">
                  <c:v>0.44273743016759776</c:v>
                </c:pt>
                <c:pt idx="142">
                  <c:v>0.5551203133743704</c:v>
                </c:pt>
                <c:pt idx="143">
                  <c:v>0.5276867030965392</c:v>
                </c:pt>
                <c:pt idx="144">
                  <c:v>0.86003983342386381</c:v>
                </c:pt>
                <c:pt idx="145">
                  <c:v>0.6492603363257049</c:v>
                </c:pt>
                <c:pt idx="146">
                  <c:v>0.59075442919159915</c:v>
                </c:pt>
                <c:pt idx="147">
                  <c:v>0.49929335756107407</c:v>
                </c:pt>
                <c:pt idx="148">
                  <c:v>0.43702407902860668</c:v>
                </c:pt>
                <c:pt idx="149">
                  <c:v>0.4150247413405308</c:v>
                </c:pt>
                <c:pt idx="150">
                  <c:v>0.51887537513820881</c:v>
                </c:pt>
                <c:pt idx="151">
                  <c:v>0.64852093986665804</c:v>
                </c:pt>
                <c:pt idx="152">
                  <c:v>0.43365376362543989</c:v>
                </c:pt>
                <c:pt idx="153">
                  <c:v>0.30022542335605895</c:v>
                </c:pt>
              </c:numCache>
            </c:numRef>
          </c:xVal>
          <c:yVal>
            <c:numRef>
              <c:f>'PPT Slide 21'!$D$6:$D$159</c:f>
              <c:numCache>
                <c:formatCode>_("$"* #,##0_);_("$"* \(#,##0\);_("$"* "-"??_);_(@_)</c:formatCode>
                <c:ptCount val="154"/>
                <c:pt idx="0">
                  <c:v>20497.833333333332</c:v>
                </c:pt>
                <c:pt idx="1">
                  <c:v>16375</c:v>
                </c:pt>
                <c:pt idx="2">
                  <c:v>8559.2727272727279</c:v>
                </c:pt>
                <c:pt idx="3">
                  <c:v>11709.037037037036</c:v>
                </c:pt>
                <c:pt idx="4">
                  <c:v>9205.7837837837833</c:v>
                </c:pt>
                <c:pt idx="5">
                  <c:v>6521.1555555555551</c:v>
                </c:pt>
                <c:pt idx="6">
                  <c:v>6846.260869565217</c:v>
                </c:pt>
                <c:pt idx="7">
                  <c:v>5248.666666666667</c:v>
                </c:pt>
                <c:pt idx="8">
                  <c:v>12964.738853503184</c:v>
                </c:pt>
                <c:pt idx="9">
                  <c:v>6358.4905660377362</c:v>
                </c:pt>
                <c:pt idx="10">
                  <c:v>11140.552147239263</c:v>
                </c:pt>
                <c:pt idx="11">
                  <c:v>4898.0898876404499</c:v>
                </c:pt>
                <c:pt idx="12">
                  <c:v>10012.492610837438</c:v>
                </c:pt>
                <c:pt idx="13">
                  <c:v>10176.396135265701</c:v>
                </c:pt>
                <c:pt idx="14">
                  <c:v>8946.1784037558682</c:v>
                </c:pt>
                <c:pt idx="15">
                  <c:v>6042.136752136752</c:v>
                </c:pt>
                <c:pt idx="16">
                  <c:v>9432.2572614107885</c:v>
                </c:pt>
                <c:pt idx="17">
                  <c:v>9227.3360995850617</c:v>
                </c:pt>
                <c:pt idx="18">
                  <c:v>8651.7803921568629</c:v>
                </c:pt>
                <c:pt idx="19">
                  <c:v>4119.9406779661012</c:v>
                </c:pt>
                <c:pt idx="20">
                  <c:v>7892.6109090909094</c:v>
                </c:pt>
                <c:pt idx="21">
                  <c:v>7751.0709219858154</c:v>
                </c:pt>
                <c:pt idx="22">
                  <c:v>7686.0845070422538</c:v>
                </c:pt>
                <c:pt idx="23">
                  <c:v>6850.6687306501544</c:v>
                </c:pt>
                <c:pt idx="24">
                  <c:v>7109.2915360501565</c:v>
                </c:pt>
                <c:pt idx="25">
                  <c:v>4416.3012820512822</c:v>
                </c:pt>
                <c:pt idx="26">
                  <c:v>6619.85632183908</c:v>
                </c:pt>
                <c:pt idx="27">
                  <c:v>4534.6608187134507</c:v>
                </c:pt>
                <c:pt idx="28">
                  <c:v>6284.9388888888889</c:v>
                </c:pt>
                <c:pt idx="29">
                  <c:v>6176.337801608579</c:v>
                </c:pt>
                <c:pt idx="30">
                  <c:v>5799.5038363171352</c:v>
                </c:pt>
                <c:pt idx="31">
                  <c:v>7949.3186274509808</c:v>
                </c:pt>
                <c:pt idx="32">
                  <c:v>6541.125</c:v>
                </c:pt>
                <c:pt idx="33">
                  <c:v>6154.9002320185618</c:v>
                </c:pt>
                <c:pt idx="34">
                  <c:v>3602.7371007371007</c:v>
                </c:pt>
                <c:pt idx="35">
                  <c:v>5920.9066666666668</c:v>
                </c:pt>
                <c:pt idx="36">
                  <c:v>5827.8903508771928</c:v>
                </c:pt>
                <c:pt idx="37">
                  <c:v>4444.333333333333</c:v>
                </c:pt>
                <c:pt idx="38">
                  <c:v>4344.7348643006262</c:v>
                </c:pt>
                <c:pt idx="39">
                  <c:v>5393.6291666666666</c:v>
                </c:pt>
                <c:pt idx="40">
                  <c:v>5741.3075356415475</c:v>
                </c:pt>
                <c:pt idx="41">
                  <c:v>5748.4015748031497</c:v>
                </c:pt>
                <c:pt idx="42">
                  <c:v>5402.9529411764706</c:v>
                </c:pt>
                <c:pt idx="43">
                  <c:v>5987.3041749502981</c:v>
                </c:pt>
                <c:pt idx="44">
                  <c:v>4894.7389558232935</c:v>
                </c:pt>
                <c:pt idx="45">
                  <c:v>5095.152091254753</c:v>
                </c:pt>
                <c:pt idx="46">
                  <c:v>4821.4600760456278</c:v>
                </c:pt>
                <c:pt idx="47">
                  <c:v>5148.6764705882351</c:v>
                </c:pt>
                <c:pt idx="48">
                  <c:v>6078</c:v>
                </c:pt>
                <c:pt idx="49">
                  <c:v>5138.3013698630139</c:v>
                </c:pt>
                <c:pt idx="50">
                  <c:v>5564.6654929577462</c:v>
                </c:pt>
                <c:pt idx="51">
                  <c:v>5700.8989898989903</c:v>
                </c:pt>
                <c:pt idx="52">
                  <c:v>4319.3875432525956</c:v>
                </c:pt>
                <c:pt idx="53">
                  <c:v>4782.6266233766237</c:v>
                </c:pt>
                <c:pt idx="54">
                  <c:v>5206.1636060100163</c:v>
                </c:pt>
                <c:pt idx="55">
                  <c:v>3679.9584055459272</c:v>
                </c:pt>
                <c:pt idx="56">
                  <c:v>5330.3666121112929</c:v>
                </c:pt>
                <c:pt idx="57">
                  <c:v>5091.5090361445782</c:v>
                </c:pt>
                <c:pt idx="58">
                  <c:v>3561.9659863945576</c:v>
                </c:pt>
                <c:pt idx="59">
                  <c:v>5477.2401215805476</c:v>
                </c:pt>
                <c:pt idx="60">
                  <c:v>4807.0561151079137</c:v>
                </c:pt>
                <c:pt idx="61">
                  <c:v>4972.3760683760684</c:v>
                </c:pt>
                <c:pt idx="62">
                  <c:v>4945.2280219780223</c:v>
                </c:pt>
                <c:pt idx="63">
                  <c:v>5080.3013333333338</c:v>
                </c:pt>
                <c:pt idx="64">
                  <c:v>5312.39402173913</c:v>
                </c:pt>
                <c:pt idx="65">
                  <c:v>4014.3794037940379</c:v>
                </c:pt>
                <c:pt idx="66">
                  <c:v>5199.0706033376127</c:v>
                </c:pt>
                <c:pt idx="67">
                  <c:v>4902.1192546583852</c:v>
                </c:pt>
                <c:pt idx="68">
                  <c:v>4877.4937655860349</c:v>
                </c:pt>
                <c:pt idx="69">
                  <c:v>5142.2029339853298</c:v>
                </c:pt>
                <c:pt idx="70">
                  <c:v>4914.5310173697271</c:v>
                </c:pt>
                <c:pt idx="71">
                  <c:v>5003.5733662145503</c:v>
                </c:pt>
                <c:pt idx="72">
                  <c:v>4534.8809815950917</c:v>
                </c:pt>
                <c:pt idx="73">
                  <c:v>5297.0337349397587</c:v>
                </c:pt>
                <c:pt idx="74">
                  <c:v>4884.147727272727</c:v>
                </c:pt>
                <c:pt idx="75">
                  <c:v>4029.5796766743647</c:v>
                </c:pt>
                <c:pt idx="76">
                  <c:v>4955.8275109170308</c:v>
                </c:pt>
                <c:pt idx="77">
                  <c:v>3803.3549783549784</c:v>
                </c:pt>
                <c:pt idx="78">
                  <c:v>4795.833333333333</c:v>
                </c:pt>
                <c:pt idx="79">
                  <c:v>4580.5055611729022</c:v>
                </c:pt>
                <c:pt idx="80">
                  <c:v>4827.1676767676772</c:v>
                </c:pt>
                <c:pt idx="81">
                  <c:v>4687.595800524934</c:v>
                </c:pt>
                <c:pt idx="82">
                  <c:v>4469.4943527367504</c:v>
                </c:pt>
                <c:pt idx="83">
                  <c:v>4760.707275803723</c:v>
                </c:pt>
                <c:pt idx="84">
                  <c:v>4091.9968454258674</c:v>
                </c:pt>
                <c:pt idx="85">
                  <c:v>4231.871473354232</c:v>
                </c:pt>
                <c:pt idx="86">
                  <c:v>4312.2296072507552</c:v>
                </c:pt>
                <c:pt idx="87">
                  <c:v>4458.1820873427087</c:v>
                </c:pt>
                <c:pt idx="88">
                  <c:v>4547.0712250712249</c:v>
                </c:pt>
                <c:pt idx="89">
                  <c:v>4521.2125279642059</c:v>
                </c:pt>
                <c:pt idx="90">
                  <c:v>4513.9452843772497</c:v>
                </c:pt>
                <c:pt idx="91">
                  <c:v>4368.1586440677966</c:v>
                </c:pt>
                <c:pt idx="92">
                  <c:v>4510.5378486055779</c:v>
                </c:pt>
                <c:pt idx="93">
                  <c:v>4332.704737183647</c:v>
                </c:pt>
                <c:pt idx="94">
                  <c:v>4063.4164556962023</c:v>
                </c:pt>
                <c:pt idx="95">
                  <c:v>4044.9465174129355</c:v>
                </c:pt>
                <c:pt idx="96">
                  <c:v>4223.069050554871</c:v>
                </c:pt>
                <c:pt idx="97">
                  <c:v>4224.634086744044</c:v>
                </c:pt>
                <c:pt idx="98">
                  <c:v>4402.9652421652418</c:v>
                </c:pt>
                <c:pt idx="99">
                  <c:v>4662.3467112597546</c:v>
                </c:pt>
                <c:pt idx="100">
                  <c:v>3937.9350026638253</c:v>
                </c:pt>
                <c:pt idx="101">
                  <c:v>4154.5150713907988</c:v>
                </c:pt>
                <c:pt idx="102">
                  <c:v>4461.668936616029</c:v>
                </c:pt>
                <c:pt idx="103">
                  <c:v>4126.6058174523569</c:v>
                </c:pt>
                <c:pt idx="104">
                  <c:v>5663.5953079178889</c:v>
                </c:pt>
                <c:pt idx="105">
                  <c:v>4414.1154401154399</c:v>
                </c:pt>
                <c:pt idx="106">
                  <c:v>4425.2896073903003</c:v>
                </c:pt>
                <c:pt idx="107">
                  <c:v>4239.2265805260731</c:v>
                </c:pt>
                <c:pt idx="108">
                  <c:v>4132.2477148080443</c:v>
                </c:pt>
                <c:pt idx="109">
                  <c:v>4501.5952485701719</c:v>
                </c:pt>
                <c:pt idx="110">
                  <c:v>3989.501300954033</c:v>
                </c:pt>
                <c:pt idx="111">
                  <c:v>4017.134953897737</c:v>
                </c:pt>
                <c:pt idx="112">
                  <c:v>3850.4743801652894</c:v>
                </c:pt>
                <c:pt idx="113">
                  <c:v>4229.4958949096881</c:v>
                </c:pt>
                <c:pt idx="114">
                  <c:v>4240.2030338389732</c:v>
                </c:pt>
                <c:pt idx="115">
                  <c:v>4103.9772976931527</c:v>
                </c:pt>
                <c:pt idx="116">
                  <c:v>4213.5045107564192</c:v>
                </c:pt>
                <c:pt idx="117">
                  <c:v>4101.6924119241194</c:v>
                </c:pt>
                <c:pt idx="118">
                  <c:v>3997.73933810986</c:v>
                </c:pt>
                <c:pt idx="119">
                  <c:v>4097.3570231310759</c:v>
                </c:pt>
                <c:pt idx="120">
                  <c:v>4044.7726296409942</c:v>
                </c:pt>
                <c:pt idx="121">
                  <c:v>3828.0593325092709</c:v>
                </c:pt>
                <c:pt idx="122">
                  <c:v>4116.5216324025778</c:v>
                </c:pt>
                <c:pt idx="123">
                  <c:v>4016.7825295723383</c:v>
                </c:pt>
                <c:pt idx="124">
                  <c:v>3761.042690197949</c:v>
                </c:pt>
                <c:pt idx="125">
                  <c:v>4210.3719714964373</c:v>
                </c:pt>
                <c:pt idx="126">
                  <c:v>3974.270981210856</c:v>
                </c:pt>
                <c:pt idx="127">
                  <c:v>3593.0542666142351</c:v>
                </c:pt>
                <c:pt idx="128">
                  <c:v>3945.5156193647895</c:v>
                </c:pt>
                <c:pt idx="129">
                  <c:v>3705.5160349854227</c:v>
                </c:pt>
                <c:pt idx="130">
                  <c:v>3848.834460547504</c:v>
                </c:pt>
                <c:pt idx="131">
                  <c:v>4165.2681433984262</c:v>
                </c:pt>
                <c:pt idx="132">
                  <c:v>3770.8099173553719</c:v>
                </c:pt>
                <c:pt idx="133">
                  <c:v>3863.2359922715982</c:v>
                </c:pt>
                <c:pt idx="134">
                  <c:v>4241.4037488028462</c:v>
                </c:pt>
                <c:pt idx="135">
                  <c:v>3926.0732121845995</c:v>
                </c:pt>
                <c:pt idx="136">
                  <c:v>3904.7396442343575</c:v>
                </c:pt>
                <c:pt idx="137">
                  <c:v>3821.624702549575</c:v>
                </c:pt>
                <c:pt idx="138">
                  <c:v>3906.1832895888015</c:v>
                </c:pt>
                <c:pt idx="139">
                  <c:v>3711.8817454692721</c:v>
                </c:pt>
                <c:pt idx="140">
                  <c:v>3706.5496549654968</c:v>
                </c:pt>
                <c:pt idx="141">
                  <c:v>3693.1704465275679</c:v>
                </c:pt>
                <c:pt idx="142">
                  <c:v>4133.9225742574254</c:v>
                </c:pt>
                <c:pt idx="143">
                  <c:v>3869.1485314685315</c:v>
                </c:pt>
                <c:pt idx="144">
                  <c:v>3753.6503532215506</c:v>
                </c:pt>
                <c:pt idx="145">
                  <c:v>3680.5349669436528</c:v>
                </c:pt>
                <c:pt idx="146">
                  <c:v>3828.6836538461539</c:v>
                </c:pt>
                <c:pt idx="147">
                  <c:v>3755.6596478766046</c:v>
                </c:pt>
                <c:pt idx="148">
                  <c:v>3803.8919541380865</c:v>
                </c:pt>
                <c:pt idx="149">
                  <c:v>3675.9810652981773</c:v>
                </c:pt>
                <c:pt idx="150">
                  <c:v>3697.2245872289636</c:v>
                </c:pt>
                <c:pt idx="151">
                  <c:v>3582.2767335534672</c:v>
                </c:pt>
                <c:pt idx="152">
                  <c:v>3866.5851161878613</c:v>
                </c:pt>
                <c:pt idx="153">
                  <c:v>3951.1839399288338</c:v>
                </c:pt>
              </c:numCache>
            </c:numRef>
          </c:yVal>
          <c:smooth val="0"/>
          <c:extLst>
            <c:ext xmlns:c16="http://schemas.microsoft.com/office/drawing/2014/chart" uri="{C3380CC4-5D6E-409C-BE32-E72D297353CC}">
              <c16:uniqueId val="{00000003-108D-4216-9F25-E5D4D245DD19}"/>
            </c:ext>
          </c:extLst>
        </c:ser>
        <c:ser>
          <c:idx val="1"/>
          <c:order val="1"/>
          <c:tx>
            <c:v>Per Pupil Funding with WSF Formula</c:v>
          </c:tx>
          <c:spPr>
            <a:ln w="19050">
              <a:noFill/>
            </a:ln>
          </c:spPr>
          <c:xVal>
            <c:numRef>
              <c:f>'PPT Slide 21'!$C$6:$C$159</c:f>
              <c:numCache>
                <c:formatCode>0%</c:formatCode>
                <c:ptCount val="154"/>
                <c:pt idx="0">
                  <c:v>0</c:v>
                </c:pt>
                <c:pt idx="1">
                  <c:v>0</c:v>
                </c:pt>
                <c:pt idx="2">
                  <c:v>0</c:v>
                </c:pt>
                <c:pt idx="3">
                  <c:v>0.14000000000000001</c:v>
                </c:pt>
                <c:pt idx="4">
                  <c:v>0</c:v>
                </c:pt>
                <c:pt idx="5">
                  <c:v>0.6</c:v>
                </c:pt>
                <c:pt idx="6">
                  <c:v>0.5625</c:v>
                </c:pt>
                <c:pt idx="7">
                  <c:v>0</c:v>
                </c:pt>
                <c:pt idx="8">
                  <c:v>0.56097560975609762</c:v>
                </c:pt>
                <c:pt idx="9">
                  <c:v>0</c:v>
                </c:pt>
                <c:pt idx="10">
                  <c:v>0.76470588235294112</c:v>
                </c:pt>
                <c:pt idx="11">
                  <c:v>0.85981308411214952</c:v>
                </c:pt>
                <c:pt idx="12">
                  <c:v>0.66666666666666663</c:v>
                </c:pt>
                <c:pt idx="13">
                  <c:v>0.64912280701754388</c:v>
                </c:pt>
                <c:pt idx="14">
                  <c:v>0.52427184466019416</c:v>
                </c:pt>
                <c:pt idx="15">
                  <c:v>0</c:v>
                </c:pt>
                <c:pt idx="16">
                  <c:v>0.625</c:v>
                </c:pt>
                <c:pt idx="17">
                  <c:v>0.73913043478260865</c:v>
                </c:pt>
                <c:pt idx="18">
                  <c:v>0.81967213114754101</c:v>
                </c:pt>
                <c:pt idx="19">
                  <c:v>0.28888888888888886</c:v>
                </c:pt>
                <c:pt idx="20">
                  <c:v>0.79245283018867929</c:v>
                </c:pt>
                <c:pt idx="21">
                  <c:v>0.59006211180124224</c:v>
                </c:pt>
                <c:pt idx="22">
                  <c:v>0.51006711409395977</c:v>
                </c:pt>
                <c:pt idx="23">
                  <c:v>0.59036144578313254</c:v>
                </c:pt>
                <c:pt idx="24">
                  <c:v>0.51923076923076927</c:v>
                </c:pt>
                <c:pt idx="25">
                  <c:v>0.39759036144578314</c:v>
                </c:pt>
                <c:pt idx="26">
                  <c:v>0.54069767441860461</c:v>
                </c:pt>
                <c:pt idx="27">
                  <c:v>0.6594594594594595</c:v>
                </c:pt>
                <c:pt idx="28">
                  <c:v>1</c:v>
                </c:pt>
                <c:pt idx="29">
                  <c:v>0.478494623655914</c:v>
                </c:pt>
                <c:pt idx="30">
                  <c:v>0.72680412371134018</c:v>
                </c:pt>
                <c:pt idx="31">
                  <c:v>0.6333333333333333</c:v>
                </c:pt>
                <c:pt idx="32">
                  <c:v>0.42325581395348838</c:v>
                </c:pt>
                <c:pt idx="33">
                  <c:v>0.69915254237288138</c:v>
                </c:pt>
                <c:pt idx="34">
                  <c:v>0.50672645739910316</c:v>
                </c:pt>
                <c:pt idx="35">
                  <c:v>0.57333333333333336</c:v>
                </c:pt>
                <c:pt idx="36">
                  <c:v>0.40625</c:v>
                </c:pt>
                <c:pt idx="37">
                  <c:v>0.27727272727272728</c:v>
                </c:pt>
                <c:pt idx="38">
                  <c:v>0.40926640926640928</c:v>
                </c:pt>
                <c:pt idx="39">
                  <c:v>0.84782608695652173</c:v>
                </c:pt>
                <c:pt idx="40">
                  <c:v>0.5892857142857143</c:v>
                </c:pt>
                <c:pt idx="41">
                  <c:v>0</c:v>
                </c:pt>
                <c:pt idx="42">
                  <c:v>0</c:v>
                </c:pt>
                <c:pt idx="43">
                  <c:v>0.51636363636363636</c:v>
                </c:pt>
                <c:pt idx="44">
                  <c:v>0.62745098039215685</c:v>
                </c:pt>
                <c:pt idx="45">
                  <c:v>0.28413284132841327</c:v>
                </c:pt>
                <c:pt idx="46">
                  <c:v>0.46014492753623187</c:v>
                </c:pt>
                <c:pt idx="47">
                  <c:v>0.67532467532467533</c:v>
                </c:pt>
                <c:pt idx="48">
                  <c:v>0.35563380281690143</c:v>
                </c:pt>
                <c:pt idx="49">
                  <c:v>0.44827586206896552</c:v>
                </c:pt>
                <c:pt idx="50">
                  <c:v>0.30662020905923343</c:v>
                </c:pt>
                <c:pt idx="51">
                  <c:v>0</c:v>
                </c:pt>
                <c:pt idx="52">
                  <c:v>0.34642857142857142</c:v>
                </c:pt>
                <c:pt idx="53">
                  <c:v>0.4375</c:v>
                </c:pt>
                <c:pt idx="54">
                  <c:v>0.55128205128205132</c:v>
                </c:pt>
                <c:pt idx="55">
                  <c:v>0.25912408759124089</c:v>
                </c:pt>
                <c:pt idx="56">
                  <c:v>0.70285714285714285</c:v>
                </c:pt>
                <c:pt idx="57">
                  <c:v>0.56111111111111112</c:v>
                </c:pt>
                <c:pt idx="58">
                  <c:v>0.5089285714285714</c:v>
                </c:pt>
                <c:pt idx="59">
                  <c:v>0.6097560975609756</c:v>
                </c:pt>
                <c:pt idx="60">
                  <c:v>0.70299727520435973</c:v>
                </c:pt>
                <c:pt idx="61">
                  <c:v>0.47091412742382271</c:v>
                </c:pt>
                <c:pt idx="62">
                  <c:v>0.68025078369905956</c:v>
                </c:pt>
                <c:pt idx="63">
                  <c:v>0.71957671957671954</c:v>
                </c:pt>
                <c:pt idx="64">
                  <c:v>0.40979381443298968</c:v>
                </c:pt>
                <c:pt idx="65">
                  <c:v>0</c:v>
                </c:pt>
                <c:pt idx="66">
                  <c:v>0.38502673796791442</c:v>
                </c:pt>
                <c:pt idx="67">
                  <c:v>0.35180722891566263</c:v>
                </c:pt>
                <c:pt idx="68">
                  <c:v>0.40540540540540543</c:v>
                </c:pt>
                <c:pt idx="69">
                  <c:v>0.317016317016317</c:v>
                </c:pt>
                <c:pt idx="70">
                  <c:v>0.66666666666666663</c:v>
                </c:pt>
                <c:pt idx="71">
                  <c:v>0.47685185185185186</c:v>
                </c:pt>
                <c:pt idx="72">
                  <c:v>1</c:v>
                </c:pt>
                <c:pt idx="73">
                  <c:v>0.6831275720164609</c:v>
                </c:pt>
                <c:pt idx="74">
                  <c:v>0.51759834368530022</c:v>
                </c:pt>
                <c:pt idx="75">
                  <c:v>0.3296943231441048</c:v>
                </c:pt>
                <c:pt idx="76">
                  <c:v>0.53483146067415732</c:v>
                </c:pt>
                <c:pt idx="77">
                  <c:v>0.69958847736625518</c:v>
                </c:pt>
                <c:pt idx="78">
                  <c:v>0.88625592417061616</c:v>
                </c:pt>
                <c:pt idx="79">
                  <c:v>0.55776892430278879</c:v>
                </c:pt>
                <c:pt idx="80">
                  <c:v>0.7079107505070994</c:v>
                </c:pt>
                <c:pt idx="81">
                  <c:v>0.62931034482758619</c:v>
                </c:pt>
                <c:pt idx="82">
                  <c:v>0.49612403100775193</c:v>
                </c:pt>
                <c:pt idx="83">
                  <c:v>0.52419354838709675</c:v>
                </c:pt>
                <c:pt idx="84">
                  <c:v>0.28281250000000002</c:v>
                </c:pt>
                <c:pt idx="85">
                  <c:v>0</c:v>
                </c:pt>
                <c:pt idx="86">
                  <c:v>0.25301204819277107</c:v>
                </c:pt>
                <c:pt idx="87">
                  <c:v>0.54256854256854259</c:v>
                </c:pt>
                <c:pt idx="88">
                  <c:v>0</c:v>
                </c:pt>
                <c:pt idx="89">
                  <c:v>0.47499999999999998</c:v>
                </c:pt>
                <c:pt idx="90">
                  <c:v>0.71486486486486489</c:v>
                </c:pt>
                <c:pt idx="91">
                  <c:v>0.5879194630872483</c:v>
                </c:pt>
                <c:pt idx="92">
                  <c:v>0.25102880658436216</c:v>
                </c:pt>
                <c:pt idx="93">
                  <c:v>0.3603385731559855</c:v>
                </c:pt>
                <c:pt idx="94">
                  <c:v>0.52897657213316895</c:v>
                </c:pt>
                <c:pt idx="95">
                  <c:v>0.13944954128440368</c:v>
                </c:pt>
                <c:pt idx="96">
                  <c:v>0.69493521790341584</c:v>
                </c:pt>
                <c:pt idx="97">
                  <c:v>0.49693251533742333</c:v>
                </c:pt>
                <c:pt idx="98">
                  <c:v>0.532258064516129</c:v>
                </c:pt>
                <c:pt idx="99">
                  <c:v>0.50564334085778784</c:v>
                </c:pt>
                <c:pt idx="100">
                  <c:v>0.55769230769230771</c:v>
                </c:pt>
                <c:pt idx="101">
                  <c:v>0</c:v>
                </c:pt>
                <c:pt idx="102">
                  <c:v>0.37370600414078675</c:v>
                </c:pt>
                <c:pt idx="103">
                  <c:v>0.65982404692082108</c:v>
                </c:pt>
                <c:pt idx="104">
                  <c:v>0.54741784037558683</c:v>
                </c:pt>
                <c:pt idx="105">
                  <c:v>0.44557195571955721</c:v>
                </c:pt>
                <c:pt idx="106">
                  <c:v>0.64132231404958673</c:v>
                </c:pt>
                <c:pt idx="107">
                  <c:v>0.71189427312775333</c:v>
                </c:pt>
                <c:pt idx="108">
                  <c:v>0.49449618966977138</c:v>
                </c:pt>
                <c:pt idx="109">
                  <c:v>0.52317880794701987</c:v>
                </c:pt>
                <c:pt idx="110">
                  <c:v>0.67242948134667879</c:v>
                </c:pt>
                <c:pt idx="111">
                  <c:v>0.82778702163061568</c:v>
                </c:pt>
                <c:pt idx="112">
                  <c:v>0.60739575137686863</c:v>
                </c:pt>
                <c:pt idx="113">
                  <c:v>0.48328025477707004</c:v>
                </c:pt>
                <c:pt idx="114">
                  <c:v>0.5254957507082153</c:v>
                </c:pt>
                <c:pt idx="115">
                  <c:v>0.696024941543258</c:v>
                </c:pt>
                <c:pt idx="116">
                  <c:v>0.67002688172043012</c:v>
                </c:pt>
                <c:pt idx="117">
                  <c:v>0.66912257200267922</c:v>
                </c:pt>
                <c:pt idx="118">
                  <c:v>0.71612074502247913</c:v>
                </c:pt>
                <c:pt idx="119">
                  <c:v>0.51385224274406327</c:v>
                </c:pt>
                <c:pt idx="120">
                  <c:v>0.45627602617489588</c:v>
                </c:pt>
                <c:pt idx="121">
                  <c:v>0.47914183551847439</c:v>
                </c:pt>
                <c:pt idx="122">
                  <c:v>0.39775413711583923</c:v>
                </c:pt>
                <c:pt idx="123">
                  <c:v>0.47374701670644392</c:v>
                </c:pt>
                <c:pt idx="124">
                  <c:v>0.42784552845528456</c:v>
                </c:pt>
                <c:pt idx="125">
                  <c:v>0.56920256645279566</c:v>
                </c:pt>
                <c:pt idx="126">
                  <c:v>0.60346735521947625</c:v>
                </c:pt>
                <c:pt idx="127">
                  <c:v>0.32112166440524648</c:v>
                </c:pt>
                <c:pt idx="128">
                  <c:v>0.60132760640374849</c:v>
                </c:pt>
                <c:pt idx="129">
                  <c:v>0.48118393234672302</c:v>
                </c:pt>
                <c:pt idx="130">
                  <c:v>0.43253848475701778</c:v>
                </c:pt>
                <c:pt idx="131">
                  <c:v>0.51173184357541901</c:v>
                </c:pt>
                <c:pt idx="132">
                  <c:v>0.68334280841387152</c:v>
                </c:pt>
                <c:pt idx="133">
                  <c:v>0.53923160173160178</c:v>
                </c:pt>
                <c:pt idx="134">
                  <c:v>0.50199203187250996</c:v>
                </c:pt>
                <c:pt idx="135">
                  <c:v>0.59452318039875085</c:v>
                </c:pt>
                <c:pt idx="136">
                  <c:v>0.50401948842874544</c:v>
                </c:pt>
                <c:pt idx="137">
                  <c:v>0.6454749439042633</c:v>
                </c:pt>
                <c:pt idx="138">
                  <c:v>0.40529189416211675</c:v>
                </c:pt>
                <c:pt idx="139">
                  <c:v>0.40231010180109633</c:v>
                </c:pt>
                <c:pt idx="140">
                  <c:v>0.43022241604884431</c:v>
                </c:pt>
                <c:pt idx="141">
                  <c:v>0.44273743016759776</c:v>
                </c:pt>
                <c:pt idx="142">
                  <c:v>0.5551203133743704</c:v>
                </c:pt>
                <c:pt idx="143">
                  <c:v>0.5276867030965392</c:v>
                </c:pt>
                <c:pt idx="144">
                  <c:v>0.86003983342386381</c:v>
                </c:pt>
                <c:pt idx="145">
                  <c:v>0.6492603363257049</c:v>
                </c:pt>
                <c:pt idx="146">
                  <c:v>0.59075442919159915</c:v>
                </c:pt>
                <c:pt idx="147">
                  <c:v>0.49929335756107407</c:v>
                </c:pt>
                <c:pt idx="148">
                  <c:v>0.43702407902860668</c:v>
                </c:pt>
                <c:pt idx="149">
                  <c:v>0.4150247413405308</c:v>
                </c:pt>
                <c:pt idx="150">
                  <c:v>0.51887537513820881</c:v>
                </c:pt>
                <c:pt idx="151">
                  <c:v>0.64852093986665804</c:v>
                </c:pt>
                <c:pt idx="152">
                  <c:v>0.43365376362543989</c:v>
                </c:pt>
                <c:pt idx="153">
                  <c:v>0.30022542335605895</c:v>
                </c:pt>
              </c:numCache>
            </c:numRef>
          </c:xVal>
          <c:yVal>
            <c:numRef>
              <c:f>'PPT Slide 21'!$E$6:$E$159</c:f>
              <c:numCache>
                <c:formatCode>_("$"* #,##0_);_("$"* \(#,##0\);_("$"* "-"??_);_(@_)</c:formatCode>
                <c:ptCount val="154"/>
                <c:pt idx="0">
                  <c:v>3342</c:v>
                </c:pt>
                <c:pt idx="1">
                  <c:v>3342</c:v>
                </c:pt>
                <c:pt idx="2">
                  <c:v>3342</c:v>
                </c:pt>
                <c:pt idx="3">
                  <c:v>3529.152</c:v>
                </c:pt>
                <c:pt idx="4">
                  <c:v>3342</c:v>
                </c:pt>
                <c:pt idx="5">
                  <c:v>4144.08</c:v>
                </c:pt>
                <c:pt idx="6">
                  <c:v>4093.9500000000003</c:v>
                </c:pt>
                <c:pt idx="7">
                  <c:v>3342</c:v>
                </c:pt>
                <c:pt idx="8">
                  <c:v>4091.9121951219508</c:v>
                </c:pt>
                <c:pt idx="9">
                  <c:v>3342</c:v>
                </c:pt>
                <c:pt idx="10">
                  <c:v>4364.2588235294115</c:v>
                </c:pt>
                <c:pt idx="11">
                  <c:v>4491.3981308411212</c:v>
                </c:pt>
                <c:pt idx="12">
                  <c:v>4233.2</c:v>
                </c:pt>
                <c:pt idx="13">
                  <c:v>4209.7473684210527</c:v>
                </c:pt>
                <c:pt idx="14">
                  <c:v>4042.8466019417474</c:v>
                </c:pt>
                <c:pt idx="15">
                  <c:v>3342</c:v>
                </c:pt>
                <c:pt idx="16">
                  <c:v>4177.5</c:v>
                </c:pt>
                <c:pt idx="17">
                  <c:v>4330.0695652173918</c:v>
                </c:pt>
                <c:pt idx="18">
                  <c:v>4437.7377049180332</c:v>
                </c:pt>
                <c:pt idx="19">
                  <c:v>3728.1866666666665</c:v>
                </c:pt>
                <c:pt idx="20">
                  <c:v>4401.3509433962272</c:v>
                </c:pt>
                <c:pt idx="21">
                  <c:v>4130.7950310559008</c:v>
                </c:pt>
                <c:pt idx="22">
                  <c:v>4023.8577181208052</c:v>
                </c:pt>
                <c:pt idx="23">
                  <c:v>4131.1951807228916</c:v>
                </c:pt>
                <c:pt idx="24">
                  <c:v>4036.1076923076926</c:v>
                </c:pt>
                <c:pt idx="25">
                  <c:v>3873.4987951807234</c:v>
                </c:pt>
                <c:pt idx="26">
                  <c:v>4064.8046511627904</c:v>
                </c:pt>
                <c:pt idx="27">
                  <c:v>4223.5654054054057</c:v>
                </c:pt>
                <c:pt idx="28">
                  <c:v>4678.8</c:v>
                </c:pt>
                <c:pt idx="29">
                  <c:v>3981.6516129032261</c:v>
                </c:pt>
                <c:pt idx="30">
                  <c:v>4313.5917525773193</c:v>
                </c:pt>
                <c:pt idx="31">
                  <c:v>4188.6400000000003</c:v>
                </c:pt>
                <c:pt idx="32">
                  <c:v>3907.8083720930231</c:v>
                </c:pt>
                <c:pt idx="33">
                  <c:v>4276.6271186440681</c:v>
                </c:pt>
                <c:pt idx="34">
                  <c:v>4019.391928251121</c:v>
                </c:pt>
                <c:pt idx="35">
                  <c:v>4108.4319999999998</c:v>
                </c:pt>
                <c:pt idx="36">
                  <c:v>3885.0749999999998</c:v>
                </c:pt>
                <c:pt idx="37">
                  <c:v>3712.6581818181821</c:v>
                </c:pt>
                <c:pt idx="38">
                  <c:v>3889.1073359073362</c:v>
                </c:pt>
                <c:pt idx="39">
                  <c:v>4475.3739130434788</c:v>
                </c:pt>
                <c:pt idx="40">
                  <c:v>4129.7571428571428</c:v>
                </c:pt>
                <c:pt idx="41">
                  <c:v>3342</c:v>
                </c:pt>
                <c:pt idx="42">
                  <c:v>3342</c:v>
                </c:pt>
                <c:pt idx="43">
                  <c:v>4032.2749090909087</c:v>
                </c:pt>
                <c:pt idx="44">
                  <c:v>4180.7764705882355</c:v>
                </c:pt>
                <c:pt idx="45">
                  <c:v>3721.8287822878228</c:v>
                </c:pt>
                <c:pt idx="46">
                  <c:v>3957.1217391304349</c:v>
                </c:pt>
                <c:pt idx="47">
                  <c:v>4244.7740259740267</c:v>
                </c:pt>
                <c:pt idx="48">
                  <c:v>3817.4112676056338</c:v>
                </c:pt>
                <c:pt idx="49">
                  <c:v>3941.2551724137929</c:v>
                </c:pt>
                <c:pt idx="50">
                  <c:v>3751.8898954703832</c:v>
                </c:pt>
                <c:pt idx="51">
                  <c:v>3342</c:v>
                </c:pt>
                <c:pt idx="52">
                  <c:v>3805.1057142857139</c:v>
                </c:pt>
                <c:pt idx="53">
                  <c:v>3926.8500000000004</c:v>
                </c:pt>
                <c:pt idx="54">
                  <c:v>4078.9538461538468</c:v>
                </c:pt>
                <c:pt idx="55">
                  <c:v>3688.3970802919707</c:v>
                </c:pt>
                <c:pt idx="56">
                  <c:v>4281.5794285714292</c:v>
                </c:pt>
                <c:pt idx="57">
                  <c:v>4092.0933333333337</c:v>
                </c:pt>
                <c:pt idx="58">
                  <c:v>4022.3357142857139</c:v>
                </c:pt>
                <c:pt idx="59">
                  <c:v>4157.121951219513</c:v>
                </c:pt>
                <c:pt idx="60">
                  <c:v>4281.7667574931884</c:v>
                </c:pt>
                <c:pt idx="61">
                  <c:v>3971.5180055401661</c:v>
                </c:pt>
                <c:pt idx="62">
                  <c:v>4251.359247648903</c:v>
                </c:pt>
                <c:pt idx="63">
                  <c:v>4303.9301587301588</c:v>
                </c:pt>
                <c:pt idx="64">
                  <c:v>3889.8123711340209</c:v>
                </c:pt>
                <c:pt idx="65">
                  <c:v>3342</c:v>
                </c:pt>
                <c:pt idx="66">
                  <c:v>3856.7037433155083</c:v>
                </c:pt>
                <c:pt idx="67">
                  <c:v>3812.295903614458</c:v>
                </c:pt>
                <c:pt idx="68">
                  <c:v>3883.9459459459458</c:v>
                </c:pt>
                <c:pt idx="69">
                  <c:v>3765.7874125874127</c:v>
                </c:pt>
                <c:pt idx="70">
                  <c:v>4233.2</c:v>
                </c:pt>
                <c:pt idx="71">
                  <c:v>3979.4555555555553</c:v>
                </c:pt>
                <c:pt idx="72">
                  <c:v>4678.8</c:v>
                </c:pt>
                <c:pt idx="73">
                  <c:v>4255.204938271605</c:v>
                </c:pt>
                <c:pt idx="74">
                  <c:v>4033.9254658385094</c:v>
                </c:pt>
                <c:pt idx="75">
                  <c:v>3782.7353711790392</c:v>
                </c:pt>
                <c:pt idx="76">
                  <c:v>4056.9626966292135</c:v>
                </c:pt>
                <c:pt idx="77">
                  <c:v>4277.2098765432102</c:v>
                </c:pt>
                <c:pt idx="78">
                  <c:v>4526.7469194312798</c:v>
                </c:pt>
                <c:pt idx="79">
                  <c:v>4087.625498007968</c:v>
                </c:pt>
                <c:pt idx="80">
                  <c:v>4288.3350912778906</c:v>
                </c:pt>
                <c:pt idx="81">
                  <c:v>4183.2620689655168</c:v>
                </c:pt>
                <c:pt idx="82">
                  <c:v>4005.2186046511624</c:v>
                </c:pt>
                <c:pt idx="83">
                  <c:v>4042.7419354838712</c:v>
                </c:pt>
                <c:pt idx="84">
                  <c:v>3720.0637499999998</c:v>
                </c:pt>
                <c:pt idx="85">
                  <c:v>3342</c:v>
                </c:pt>
                <c:pt idx="86">
                  <c:v>3680.2265060240961</c:v>
                </c:pt>
                <c:pt idx="87">
                  <c:v>4067.305627705628</c:v>
                </c:pt>
                <c:pt idx="88">
                  <c:v>3342</c:v>
                </c:pt>
                <c:pt idx="89">
                  <c:v>3976.9799999999996</c:v>
                </c:pt>
                <c:pt idx="90">
                  <c:v>4297.6313513513514</c:v>
                </c:pt>
                <c:pt idx="91">
                  <c:v>4127.9307382550332</c:v>
                </c:pt>
                <c:pt idx="92">
                  <c:v>3677.5753086419754</c:v>
                </c:pt>
                <c:pt idx="93">
                  <c:v>3823.7006045949211</c:v>
                </c:pt>
                <c:pt idx="94">
                  <c:v>4049.1358816276206</c:v>
                </c:pt>
                <c:pt idx="95">
                  <c:v>3528.4161467889912</c:v>
                </c:pt>
                <c:pt idx="96">
                  <c:v>4270.9893992932866</c:v>
                </c:pt>
                <c:pt idx="97">
                  <c:v>4006.299386503068</c:v>
                </c:pt>
                <c:pt idx="98">
                  <c:v>4053.5225806451613</c:v>
                </c:pt>
                <c:pt idx="99">
                  <c:v>4017.9440180586907</c:v>
                </c:pt>
                <c:pt idx="100">
                  <c:v>4087.523076923077</c:v>
                </c:pt>
                <c:pt idx="101">
                  <c:v>3342</c:v>
                </c:pt>
                <c:pt idx="102">
                  <c:v>3841.5701863354038</c:v>
                </c:pt>
                <c:pt idx="103">
                  <c:v>4224.0527859237536</c:v>
                </c:pt>
                <c:pt idx="104">
                  <c:v>4073.7881690140848</c:v>
                </c:pt>
                <c:pt idx="105">
                  <c:v>3937.6405904059043</c:v>
                </c:pt>
                <c:pt idx="106">
                  <c:v>4199.3196694214876</c:v>
                </c:pt>
                <c:pt idx="107">
                  <c:v>4293.6602643171809</c:v>
                </c:pt>
                <c:pt idx="108">
                  <c:v>4003.04250635055</c:v>
                </c:pt>
                <c:pt idx="109">
                  <c:v>4041.3854304635761</c:v>
                </c:pt>
                <c:pt idx="110">
                  <c:v>4240.9037306642404</c:v>
                </c:pt>
                <c:pt idx="111">
                  <c:v>4448.5856905158071</c:v>
                </c:pt>
                <c:pt idx="112">
                  <c:v>4153.966640440598</c:v>
                </c:pt>
                <c:pt idx="113">
                  <c:v>3988.0490445859873</c:v>
                </c:pt>
                <c:pt idx="114">
                  <c:v>4044.4827195467424</c:v>
                </c:pt>
                <c:pt idx="115">
                  <c:v>4272.4461418550272</c:v>
                </c:pt>
                <c:pt idx="116">
                  <c:v>4237.691935483871</c:v>
                </c:pt>
                <c:pt idx="117">
                  <c:v>4236.4830542531818</c:v>
                </c:pt>
                <c:pt idx="118">
                  <c:v>4299.31021194605</c:v>
                </c:pt>
                <c:pt idx="119">
                  <c:v>4028.9176781002639</c:v>
                </c:pt>
                <c:pt idx="120">
                  <c:v>3951.949791790601</c:v>
                </c:pt>
                <c:pt idx="121">
                  <c:v>3982.5168057210967</c:v>
                </c:pt>
                <c:pt idx="122">
                  <c:v>3873.7177304964544</c:v>
                </c:pt>
                <c:pt idx="123">
                  <c:v>3975.3050119331738</c:v>
                </c:pt>
                <c:pt idx="124">
                  <c:v>3913.9439024390244</c:v>
                </c:pt>
                <c:pt idx="125">
                  <c:v>4102.9099908340968</c:v>
                </c:pt>
                <c:pt idx="126">
                  <c:v>4148.7151604573965</c:v>
                </c:pt>
                <c:pt idx="127">
                  <c:v>3771.2754409769332</c:v>
                </c:pt>
                <c:pt idx="128">
                  <c:v>4145.8547442405315</c:v>
                </c:pt>
                <c:pt idx="129">
                  <c:v>3985.2466807610995</c:v>
                </c:pt>
                <c:pt idx="130">
                  <c:v>3920.2174464231816</c:v>
                </c:pt>
                <c:pt idx="131">
                  <c:v>4026.0831284916203</c:v>
                </c:pt>
                <c:pt idx="132">
                  <c:v>4255.4926662876633</c:v>
                </c:pt>
                <c:pt idx="133">
                  <c:v>4062.8448051948053</c:v>
                </c:pt>
                <c:pt idx="134">
                  <c:v>4013.0629482071713</c:v>
                </c:pt>
                <c:pt idx="135">
                  <c:v>4136.7585875570503</c:v>
                </c:pt>
                <c:pt idx="136">
                  <c:v>4015.773252131547</c:v>
                </c:pt>
                <c:pt idx="137">
                  <c:v>4204.8709050112193</c:v>
                </c:pt>
                <c:pt idx="138">
                  <c:v>3883.7942041159181</c:v>
                </c:pt>
                <c:pt idx="139">
                  <c:v>3879.8081440877058</c:v>
                </c:pt>
                <c:pt idx="140">
                  <c:v>3917.1213257740951</c:v>
                </c:pt>
                <c:pt idx="141">
                  <c:v>3933.8513966480446</c:v>
                </c:pt>
                <c:pt idx="142">
                  <c:v>4084.0848349188586</c:v>
                </c:pt>
                <c:pt idx="143">
                  <c:v>4047.4115846994541</c:v>
                </c:pt>
                <c:pt idx="144">
                  <c:v>4491.7012493210214</c:v>
                </c:pt>
                <c:pt idx="145">
                  <c:v>4209.9312176002031</c:v>
                </c:pt>
                <c:pt idx="146">
                  <c:v>4131.7205209433296</c:v>
                </c:pt>
                <c:pt idx="147">
                  <c:v>4009.4553603876439</c:v>
                </c:pt>
                <c:pt idx="148">
                  <c:v>3926.2137888454413</c:v>
                </c:pt>
                <c:pt idx="149">
                  <c:v>3896.8050742240216</c:v>
                </c:pt>
                <c:pt idx="150">
                  <c:v>4035.6326014847577</c:v>
                </c:pt>
                <c:pt idx="151">
                  <c:v>4208.942792413749</c:v>
                </c:pt>
                <c:pt idx="152">
                  <c:v>3921.7083512144877</c:v>
                </c:pt>
                <c:pt idx="153">
                  <c:v>3743.3413459423796</c:v>
                </c:pt>
              </c:numCache>
            </c:numRef>
          </c:yVal>
          <c:smooth val="0"/>
          <c:extLst>
            <c:ext xmlns:c16="http://schemas.microsoft.com/office/drawing/2014/chart" uri="{C3380CC4-5D6E-409C-BE32-E72D297353CC}">
              <c16:uniqueId val="{00000004-108D-4216-9F25-E5D4D245DD19}"/>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1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91426071741E-2"/>
              <c:y val="0.23959135316418781"/>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Current Per Pupil</c:v>
          </c:tx>
          <c:spPr>
            <a:ln w="19050" cap="rnd">
              <a:noFill/>
              <a:round/>
            </a:ln>
            <a:effectLst/>
          </c:spPr>
          <c:marker>
            <c:symbol val="circle"/>
            <c:size val="5"/>
            <c:spPr>
              <a:solidFill>
                <a:schemeClr val="accent1"/>
              </a:solidFill>
              <a:ln w="9525">
                <a:solidFill>
                  <a:schemeClr val="accent1"/>
                </a:solidFill>
              </a:ln>
              <a:effectLst/>
            </c:spPr>
          </c:marker>
          <c:xVal>
            <c:numRef>
              <c:f>'Graph Data SBB $ only'!$C$55:$C$156</c:f>
              <c:numCache>
                <c:formatCode>0%</c:formatCode>
                <c:ptCount val="102"/>
                <c:pt idx="0">
                  <c:v>0.38695652173913042</c:v>
                </c:pt>
                <c:pt idx="1">
                  <c:v>0.52716143840856922</c:v>
                </c:pt>
                <c:pt idx="2">
                  <c:v>0.65346534653465349</c:v>
                </c:pt>
                <c:pt idx="3">
                  <c:v>0.28235294117647058</c:v>
                </c:pt>
                <c:pt idx="4">
                  <c:v>0.78333333333333333</c:v>
                </c:pt>
                <c:pt idx="5">
                  <c:v>0.48063380281690143</c:v>
                </c:pt>
                <c:pt idx="6">
                  <c:v>0.46889952153110048</c:v>
                </c:pt>
                <c:pt idx="7">
                  <c:v>0.71084337349397586</c:v>
                </c:pt>
                <c:pt idx="8">
                  <c:v>0.67791411042944782</c:v>
                </c:pt>
                <c:pt idx="9">
                  <c:v>0.45454545454545453</c:v>
                </c:pt>
                <c:pt idx="10">
                  <c:v>0.5761316872427984</c:v>
                </c:pt>
                <c:pt idx="11">
                  <c:v>0.67007672634271098</c:v>
                </c:pt>
                <c:pt idx="12">
                  <c:v>0.38141809290953543</c:v>
                </c:pt>
                <c:pt idx="13">
                  <c:v>0</c:v>
                </c:pt>
                <c:pt idx="14">
                  <c:v>0.38095238095238093</c:v>
                </c:pt>
                <c:pt idx="15">
                  <c:v>0</c:v>
                </c:pt>
                <c:pt idx="16">
                  <c:v>0.36138613861386137</c:v>
                </c:pt>
                <c:pt idx="17">
                  <c:v>0</c:v>
                </c:pt>
                <c:pt idx="18">
                  <c:v>0.67441860465116277</c:v>
                </c:pt>
                <c:pt idx="19">
                  <c:v>0.46186440677966101</c:v>
                </c:pt>
                <c:pt idx="20">
                  <c:v>0</c:v>
                </c:pt>
                <c:pt idx="21">
                  <c:v>0.93548387096774188</c:v>
                </c:pt>
                <c:pt idx="22">
                  <c:v>0.47544204322200395</c:v>
                </c:pt>
                <c:pt idx="23">
                  <c:v>0.35080645161290325</c:v>
                </c:pt>
                <c:pt idx="24">
                  <c:v>0.43973214285714285</c:v>
                </c:pt>
                <c:pt idx="25">
                  <c:v>0.30857142857142855</c:v>
                </c:pt>
                <c:pt idx="26">
                  <c:v>0.8899253731343284</c:v>
                </c:pt>
                <c:pt idx="27">
                  <c:v>0.50819672131147542</c:v>
                </c:pt>
                <c:pt idx="28">
                  <c:v>0.6987951807228916</c:v>
                </c:pt>
                <c:pt idx="29">
                  <c:v>0.60273972602739723</c:v>
                </c:pt>
                <c:pt idx="30">
                  <c:v>0.47807017543859648</c:v>
                </c:pt>
                <c:pt idx="31">
                  <c:v>0.5088282504012841</c:v>
                </c:pt>
                <c:pt idx="32">
                  <c:v>0.53649105848235867</c:v>
                </c:pt>
                <c:pt idx="33">
                  <c:v>0</c:v>
                </c:pt>
                <c:pt idx="34">
                  <c:v>0</c:v>
                </c:pt>
                <c:pt idx="35">
                  <c:v>0.47520661157024796</c:v>
                </c:pt>
                <c:pt idx="36">
                  <c:v>0.71296296296296291</c:v>
                </c:pt>
                <c:pt idx="37">
                  <c:v>0</c:v>
                </c:pt>
                <c:pt idx="38">
                  <c:v>0.70292887029288698</c:v>
                </c:pt>
                <c:pt idx="39">
                  <c:v>0.55466666666666664</c:v>
                </c:pt>
                <c:pt idx="40">
                  <c:v>0.62875816993464051</c:v>
                </c:pt>
                <c:pt idx="41">
                  <c:v>0.34972677595628415</c:v>
                </c:pt>
                <c:pt idx="42">
                  <c:v>0.50686641697877655</c:v>
                </c:pt>
                <c:pt idx="43">
                  <c:v>0.30804597701149428</c:v>
                </c:pt>
                <c:pt idx="44">
                  <c:v>0.66383495145631066</c:v>
                </c:pt>
                <c:pt idx="45">
                  <c:v>0.46754675467546752</c:v>
                </c:pt>
                <c:pt idx="46">
                  <c:v>0.50708833151581245</c:v>
                </c:pt>
                <c:pt idx="47">
                  <c:v>0.46262626262626261</c:v>
                </c:pt>
                <c:pt idx="48">
                  <c:v>0</c:v>
                </c:pt>
                <c:pt idx="49">
                  <c:v>0.2857142857142857</c:v>
                </c:pt>
                <c:pt idx="50">
                  <c:v>0.33653846153846156</c:v>
                </c:pt>
                <c:pt idx="51">
                  <c:v>0.69078014184397163</c:v>
                </c:pt>
                <c:pt idx="52">
                  <c:v>0.57473684210526321</c:v>
                </c:pt>
                <c:pt idx="53">
                  <c:v>0.46146872166817771</c:v>
                </c:pt>
                <c:pt idx="54">
                  <c:v>0.5542056074766355</c:v>
                </c:pt>
                <c:pt idx="55">
                  <c:v>0.77683854606931535</c:v>
                </c:pt>
                <c:pt idx="56">
                  <c:v>0.49909420289855072</c:v>
                </c:pt>
                <c:pt idx="57">
                  <c:v>0.51584786053882725</c:v>
                </c:pt>
                <c:pt idx="58">
                  <c:v>0.60843881856540083</c:v>
                </c:pt>
                <c:pt idx="59">
                  <c:v>0.66640502354788067</c:v>
                </c:pt>
                <c:pt idx="60">
                  <c:v>0.67711598746081503</c:v>
                </c:pt>
                <c:pt idx="61">
                  <c:v>0.48328025477707004</c:v>
                </c:pt>
                <c:pt idx="62">
                  <c:v>0.56206896551724139</c:v>
                </c:pt>
                <c:pt idx="63">
                  <c:v>0.68577348066298338</c:v>
                </c:pt>
                <c:pt idx="64">
                  <c:v>0.59727385377942999</c:v>
                </c:pt>
                <c:pt idx="65">
                  <c:v>0.46276923076923077</c:v>
                </c:pt>
                <c:pt idx="66">
                  <c:v>0.76732358550540369</c:v>
                </c:pt>
                <c:pt idx="67">
                  <c:v>0.46358454718176062</c:v>
                </c:pt>
                <c:pt idx="68">
                  <c:v>0.44536326048434732</c:v>
                </c:pt>
                <c:pt idx="69">
                  <c:v>0.46718576195773082</c:v>
                </c:pt>
                <c:pt idx="70">
                  <c:v>0.34390112842557763</c:v>
                </c:pt>
                <c:pt idx="71">
                  <c:v>0.46642899584076053</c:v>
                </c:pt>
                <c:pt idx="72">
                  <c:v>0.42863574966231427</c:v>
                </c:pt>
                <c:pt idx="73">
                  <c:v>0.54722222222222228</c:v>
                </c:pt>
                <c:pt idx="74">
                  <c:v>0</c:v>
                </c:pt>
                <c:pt idx="75">
                  <c:v>0.3125</c:v>
                </c:pt>
                <c:pt idx="76">
                  <c:v>0.57480946650621745</c:v>
                </c:pt>
                <c:pt idx="77">
                  <c:v>0.43193069306930693</c:v>
                </c:pt>
                <c:pt idx="78">
                  <c:v>0.41674221819280749</c:v>
                </c:pt>
                <c:pt idx="79">
                  <c:v>0.45081266039349871</c:v>
                </c:pt>
                <c:pt idx="80">
                  <c:v>0.67589662447257381</c:v>
                </c:pt>
                <c:pt idx="81">
                  <c:v>0.45277127244340359</c:v>
                </c:pt>
                <c:pt idx="82">
                  <c:v>0.52148337595907923</c:v>
                </c:pt>
                <c:pt idx="83">
                  <c:v>0.56882480957562565</c:v>
                </c:pt>
                <c:pt idx="84">
                  <c:v>0.44638583054092867</c:v>
                </c:pt>
                <c:pt idx="85">
                  <c:v>0.63497081712062253</c:v>
                </c:pt>
                <c:pt idx="86">
                  <c:v>0.39093242087254065</c:v>
                </c:pt>
                <c:pt idx="87">
                  <c:v>0.3919336163643381</c:v>
                </c:pt>
                <c:pt idx="88">
                  <c:v>0.40529575058723039</c:v>
                </c:pt>
                <c:pt idx="89">
                  <c:v>0.4140067592940293</c:v>
                </c:pt>
                <c:pt idx="90">
                  <c:v>0.53291901340066028</c:v>
                </c:pt>
                <c:pt idx="91">
                  <c:v>0.47652366046768552</c:v>
                </c:pt>
                <c:pt idx="92">
                  <c:v>0.82184634840341453</c:v>
                </c:pt>
                <c:pt idx="93">
                  <c:v>0.66835269993164725</c:v>
                </c:pt>
                <c:pt idx="94">
                  <c:v>0.59374306634124696</c:v>
                </c:pt>
                <c:pt idx="95">
                  <c:v>0.49492940942533309</c:v>
                </c:pt>
                <c:pt idx="96">
                  <c:v>0.41819390371284776</c:v>
                </c:pt>
                <c:pt idx="97">
                  <c:v>0.42962774094849565</c:v>
                </c:pt>
                <c:pt idx="98">
                  <c:v>0.49444620755315771</c:v>
                </c:pt>
                <c:pt idx="99">
                  <c:v>0.60365717683788001</c:v>
                </c:pt>
                <c:pt idx="100">
                  <c:v>0.3524982351556985</c:v>
                </c:pt>
                <c:pt idx="101">
                  <c:v>0.26971913320101143</c:v>
                </c:pt>
              </c:numCache>
            </c:numRef>
          </c:xVal>
          <c:yVal>
            <c:numRef>
              <c:f>'Graph Data SBB $ only'!$D$55:$D$156</c:f>
              <c:numCache>
                <c:formatCode>_("$"* #,##0_);_("$"* \(#,##0\);_("$"* "-"??_);_(@_)</c:formatCode>
                <c:ptCount val="102"/>
                <c:pt idx="0">
                  <c:v>7153.3740458015263</c:v>
                </c:pt>
                <c:pt idx="1">
                  <c:v>4807.1138828633402</c:v>
                </c:pt>
                <c:pt idx="2">
                  <c:v>8147.1142857142859</c:v>
                </c:pt>
                <c:pt idx="3">
                  <c:v>5912.2050078247257</c:v>
                </c:pt>
                <c:pt idx="4">
                  <c:v>7710.021352313167</c:v>
                </c:pt>
                <c:pt idx="5">
                  <c:v>5105.1322115384619</c:v>
                </c:pt>
                <c:pt idx="6">
                  <c:v>4755.9910913140311</c:v>
                </c:pt>
                <c:pt idx="7">
                  <c:v>8061.8859934853417</c:v>
                </c:pt>
                <c:pt idx="8">
                  <c:v>7972.1467576791811</c:v>
                </c:pt>
                <c:pt idx="9">
                  <c:v>6932.4487951807232</c:v>
                </c:pt>
                <c:pt idx="10">
                  <c:v>7167.1973094170407</c:v>
                </c:pt>
                <c:pt idx="11">
                  <c:v>7417.4719999999998</c:v>
                </c:pt>
                <c:pt idx="12">
                  <c:v>8255.7665782493368</c:v>
                </c:pt>
                <c:pt idx="13">
                  <c:v>6302.1065573770493</c:v>
                </c:pt>
                <c:pt idx="14">
                  <c:v>7750.2253521126759</c:v>
                </c:pt>
                <c:pt idx="15">
                  <c:v>0</c:v>
                </c:pt>
                <c:pt idx="16">
                  <c:v>6863.5691906005222</c:v>
                </c:pt>
                <c:pt idx="17">
                  <c:v>0</c:v>
                </c:pt>
                <c:pt idx="18">
                  <c:v>7010.4005167958658</c:v>
                </c:pt>
                <c:pt idx="19">
                  <c:v>7628.0841836734689</c:v>
                </c:pt>
                <c:pt idx="20">
                  <c:v>7065.8255528255531</c:v>
                </c:pt>
                <c:pt idx="21">
                  <c:v>6913.005037783375</c:v>
                </c:pt>
                <c:pt idx="22">
                  <c:v>7376.0881720430107</c:v>
                </c:pt>
                <c:pt idx="23">
                  <c:v>6056.1872146118722</c:v>
                </c:pt>
                <c:pt idx="24">
                  <c:v>7381.3052884615381</c:v>
                </c:pt>
                <c:pt idx="25">
                  <c:v>6600.5374149659865</c:v>
                </c:pt>
                <c:pt idx="26">
                  <c:v>7226.6258351893093</c:v>
                </c:pt>
                <c:pt idx="27">
                  <c:v>6935.1768558951962</c:v>
                </c:pt>
                <c:pt idx="28">
                  <c:v>7169.6906779661012</c:v>
                </c:pt>
                <c:pt idx="29">
                  <c:v>6856.8345323741005</c:v>
                </c:pt>
                <c:pt idx="30">
                  <c:v>6179.1092150170653</c:v>
                </c:pt>
                <c:pt idx="31">
                  <c:v>6925.6098807495737</c:v>
                </c:pt>
                <c:pt idx="32">
                  <c:v>5106.1802674043338</c:v>
                </c:pt>
                <c:pt idx="33">
                  <c:v>0</c:v>
                </c:pt>
                <c:pt idx="34">
                  <c:v>7100.8278931750738</c:v>
                </c:pt>
                <c:pt idx="35">
                  <c:v>6609.5377777777776</c:v>
                </c:pt>
                <c:pt idx="36">
                  <c:v>5695.4425162689804</c:v>
                </c:pt>
                <c:pt idx="37">
                  <c:v>5740.6537467700255</c:v>
                </c:pt>
                <c:pt idx="38">
                  <c:v>6599.3187969924811</c:v>
                </c:pt>
                <c:pt idx="39">
                  <c:v>6390.5517751479292</c:v>
                </c:pt>
                <c:pt idx="40">
                  <c:v>6811.7935578330889</c:v>
                </c:pt>
                <c:pt idx="41">
                  <c:v>6306.1610389610387</c:v>
                </c:pt>
                <c:pt idx="42">
                  <c:v>6399.2971887550202</c:v>
                </c:pt>
                <c:pt idx="43">
                  <c:v>6040.3269754768389</c:v>
                </c:pt>
                <c:pt idx="44">
                  <c:v>5988.2157622739014</c:v>
                </c:pt>
                <c:pt idx="45">
                  <c:v>5927.1212500000001</c:v>
                </c:pt>
                <c:pt idx="46">
                  <c:v>6517.6405693950182</c:v>
                </c:pt>
                <c:pt idx="47">
                  <c:v>6389.7621744054359</c:v>
                </c:pt>
                <c:pt idx="48">
                  <c:v>0</c:v>
                </c:pt>
                <c:pt idx="49">
                  <c:v>6064.0423728813557</c:v>
                </c:pt>
                <c:pt idx="50">
                  <c:v>6222.62951496388</c:v>
                </c:pt>
                <c:pt idx="51">
                  <c:v>6243.4522292993634</c:v>
                </c:pt>
                <c:pt idx="52">
                  <c:v>7731.6989351403681</c:v>
                </c:pt>
                <c:pt idx="53">
                  <c:v>6294.3838383838383</c:v>
                </c:pt>
                <c:pt idx="54">
                  <c:v>6095.9105367793245</c:v>
                </c:pt>
                <c:pt idx="55">
                  <c:v>5959.7809798270891</c:v>
                </c:pt>
                <c:pt idx="56">
                  <c:v>6153.0099700897308</c:v>
                </c:pt>
                <c:pt idx="57">
                  <c:v>6697.7443744374441</c:v>
                </c:pt>
                <c:pt idx="58">
                  <c:v>5574.1235452103847</c:v>
                </c:pt>
                <c:pt idx="59">
                  <c:v>5778.2738095238092</c:v>
                </c:pt>
                <c:pt idx="60">
                  <c:v>6091.2372013651875</c:v>
                </c:pt>
                <c:pt idx="61">
                  <c:v>5934.583687340697</c:v>
                </c:pt>
                <c:pt idx="62">
                  <c:v>5852.8952599388376</c:v>
                </c:pt>
                <c:pt idx="63">
                  <c:v>5894.3934669636228</c:v>
                </c:pt>
                <c:pt idx="64">
                  <c:v>5746.5829817158929</c:v>
                </c:pt>
                <c:pt idx="65">
                  <c:v>5857.2862876254185</c:v>
                </c:pt>
                <c:pt idx="66">
                  <c:v>6059.5580551523944</c:v>
                </c:pt>
                <c:pt idx="67">
                  <c:v>5850.684715558602</c:v>
                </c:pt>
                <c:pt idx="68">
                  <c:v>6032.2332474226805</c:v>
                </c:pt>
                <c:pt idx="69">
                  <c:v>5492.7501538461538</c:v>
                </c:pt>
                <c:pt idx="70">
                  <c:v>5721.9206060606057</c:v>
                </c:pt>
                <c:pt idx="71">
                  <c:v>5680.4961832061072</c:v>
                </c:pt>
                <c:pt idx="72">
                  <c:v>5467.6786064769385</c:v>
                </c:pt>
                <c:pt idx="73">
                  <c:v>5906.737844611529</c:v>
                </c:pt>
                <c:pt idx="74">
                  <c:v>0</c:v>
                </c:pt>
                <c:pt idx="75">
                  <c:v>5449.8152077807254</c:v>
                </c:pt>
                <c:pt idx="76">
                  <c:v>6414.9909090909086</c:v>
                </c:pt>
                <c:pt idx="77">
                  <c:v>5440.0515039142974</c:v>
                </c:pt>
                <c:pt idx="78">
                  <c:v>5502.0540275049116</c:v>
                </c:pt>
                <c:pt idx="79">
                  <c:v>5738.377572323293</c:v>
                </c:pt>
                <c:pt idx="80">
                  <c:v>5717.0998577524897</c:v>
                </c:pt>
                <c:pt idx="81">
                  <c:v>5853.0761351052051</c:v>
                </c:pt>
                <c:pt idx="82">
                  <c:v>5499.0002880184329</c:v>
                </c:pt>
                <c:pt idx="83">
                  <c:v>5647.7938657087598</c:v>
                </c:pt>
                <c:pt idx="84">
                  <c:v>5449.7569497577151</c:v>
                </c:pt>
                <c:pt idx="85">
                  <c:v>5990.7637556789505</c:v>
                </c:pt>
                <c:pt idx="86">
                  <c:v>5434.6756818702725</c:v>
                </c:pt>
                <c:pt idx="87">
                  <c:v>5305.0095218381284</c:v>
                </c:pt>
                <c:pt idx="88">
                  <c:v>5228.584867075665</c:v>
                </c:pt>
                <c:pt idx="89">
                  <c:v>5441.6023095623987</c:v>
                </c:pt>
                <c:pt idx="90">
                  <c:v>6105.8714867617109</c:v>
                </c:pt>
                <c:pt idx="91">
                  <c:v>5423.7540858988978</c:v>
                </c:pt>
                <c:pt idx="92">
                  <c:v>5568.3312335958008</c:v>
                </c:pt>
                <c:pt idx="93">
                  <c:v>5628.8908023982649</c:v>
                </c:pt>
                <c:pt idx="94">
                  <c:v>5658.8205875212434</c:v>
                </c:pt>
                <c:pt idx="95">
                  <c:v>5379.9733403582723</c:v>
                </c:pt>
                <c:pt idx="96">
                  <c:v>5131.7222053000305</c:v>
                </c:pt>
                <c:pt idx="97">
                  <c:v>5471.4335973475781</c:v>
                </c:pt>
                <c:pt idx="98">
                  <c:v>5211.8870235546037</c:v>
                </c:pt>
                <c:pt idx="99">
                  <c:v>5650.2778741414004</c:v>
                </c:pt>
                <c:pt idx="100">
                  <c:v>5423.7372307946198</c:v>
                </c:pt>
                <c:pt idx="101">
                  <c:v>5431.1702328778892</c:v>
                </c:pt>
              </c:numCache>
            </c:numRef>
          </c:yVal>
          <c:smooth val="0"/>
          <c:extLst>
            <c:ext xmlns:c16="http://schemas.microsoft.com/office/drawing/2014/chart" uri="{C3380CC4-5D6E-409C-BE32-E72D297353CC}">
              <c16:uniqueId val="{00000000-EF0F-43B6-A65A-86DDECE1020D}"/>
            </c:ext>
          </c:extLst>
        </c:ser>
        <c:ser>
          <c:idx val="1"/>
          <c:order val="1"/>
          <c:tx>
            <c:v>Per Pupil with SBB</c:v>
          </c:tx>
          <c:spPr>
            <a:ln w="25400" cap="rnd">
              <a:noFill/>
              <a:round/>
            </a:ln>
            <a:effectLst/>
          </c:spPr>
          <c:marker>
            <c:symbol val="circle"/>
            <c:size val="5"/>
            <c:spPr>
              <a:solidFill>
                <a:schemeClr val="accent2"/>
              </a:solidFill>
              <a:ln w="9525">
                <a:solidFill>
                  <a:schemeClr val="accent2"/>
                </a:solidFill>
              </a:ln>
              <a:effectLst/>
            </c:spPr>
          </c:marker>
          <c:xVal>
            <c:numRef>
              <c:f>'Graph Data SBB $ only'!$C$55:$C$156</c:f>
              <c:numCache>
                <c:formatCode>0%</c:formatCode>
                <c:ptCount val="102"/>
                <c:pt idx="0">
                  <c:v>0.38695652173913042</c:v>
                </c:pt>
                <c:pt idx="1">
                  <c:v>0.52716143840856922</c:v>
                </c:pt>
                <c:pt idx="2">
                  <c:v>0.65346534653465349</c:v>
                </c:pt>
                <c:pt idx="3">
                  <c:v>0.28235294117647058</c:v>
                </c:pt>
                <c:pt idx="4">
                  <c:v>0.78333333333333333</c:v>
                </c:pt>
                <c:pt idx="5">
                  <c:v>0.48063380281690143</c:v>
                </c:pt>
                <c:pt idx="6">
                  <c:v>0.46889952153110048</c:v>
                </c:pt>
                <c:pt idx="7">
                  <c:v>0.71084337349397586</c:v>
                </c:pt>
                <c:pt idx="8">
                  <c:v>0.67791411042944782</c:v>
                </c:pt>
                <c:pt idx="9">
                  <c:v>0.45454545454545453</c:v>
                </c:pt>
                <c:pt idx="10">
                  <c:v>0.5761316872427984</c:v>
                </c:pt>
                <c:pt idx="11">
                  <c:v>0.67007672634271098</c:v>
                </c:pt>
                <c:pt idx="12">
                  <c:v>0.38141809290953543</c:v>
                </c:pt>
                <c:pt idx="13">
                  <c:v>0</c:v>
                </c:pt>
                <c:pt idx="14">
                  <c:v>0.38095238095238093</c:v>
                </c:pt>
                <c:pt idx="15">
                  <c:v>0</c:v>
                </c:pt>
                <c:pt idx="16">
                  <c:v>0.36138613861386137</c:v>
                </c:pt>
                <c:pt idx="17">
                  <c:v>0</c:v>
                </c:pt>
                <c:pt idx="18">
                  <c:v>0.67441860465116277</c:v>
                </c:pt>
                <c:pt idx="19">
                  <c:v>0.46186440677966101</c:v>
                </c:pt>
                <c:pt idx="20">
                  <c:v>0</c:v>
                </c:pt>
                <c:pt idx="21">
                  <c:v>0.93548387096774188</c:v>
                </c:pt>
                <c:pt idx="22">
                  <c:v>0.47544204322200395</c:v>
                </c:pt>
                <c:pt idx="23">
                  <c:v>0.35080645161290325</c:v>
                </c:pt>
                <c:pt idx="24">
                  <c:v>0.43973214285714285</c:v>
                </c:pt>
                <c:pt idx="25">
                  <c:v>0.30857142857142855</c:v>
                </c:pt>
                <c:pt idx="26">
                  <c:v>0.8899253731343284</c:v>
                </c:pt>
                <c:pt idx="27">
                  <c:v>0.50819672131147542</c:v>
                </c:pt>
                <c:pt idx="28">
                  <c:v>0.6987951807228916</c:v>
                </c:pt>
                <c:pt idx="29">
                  <c:v>0.60273972602739723</c:v>
                </c:pt>
                <c:pt idx="30">
                  <c:v>0.47807017543859648</c:v>
                </c:pt>
                <c:pt idx="31">
                  <c:v>0.5088282504012841</c:v>
                </c:pt>
                <c:pt idx="32">
                  <c:v>0.53649105848235867</c:v>
                </c:pt>
                <c:pt idx="33">
                  <c:v>0</c:v>
                </c:pt>
                <c:pt idx="34">
                  <c:v>0</c:v>
                </c:pt>
                <c:pt idx="35">
                  <c:v>0.47520661157024796</c:v>
                </c:pt>
                <c:pt idx="36">
                  <c:v>0.71296296296296291</c:v>
                </c:pt>
                <c:pt idx="37">
                  <c:v>0</c:v>
                </c:pt>
                <c:pt idx="38">
                  <c:v>0.70292887029288698</c:v>
                </c:pt>
                <c:pt idx="39">
                  <c:v>0.55466666666666664</c:v>
                </c:pt>
                <c:pt idx="40">
                  <c:v>0.62875816993464051</c:v>
                </c:pt>
                <c:pt idx="41">
                  <c:v>0.34972677595628415</c:v>
                </c:pt>
                <c:pt idx="42">
                  <c:v>0.50686641697877655</c:v>
                </c:pt>
                <c:pt idx="43">
                  <c:v>0.30804597701149428</c:v>
                </c:pt>
                <c:pt idx="44">
                  <c:v>0.66383495145631066</c:v>
                </c:pt>
                <c:pt idx="45">
                  <c:v>0.46754675467546752</c:v>
                </c:pt>
                <c:pt idx="46">
                  <c:v>0.50708833151581245</c:v>
                </c:pt>
                <c:pt idx="47">
                  <c:v>0.46262626262626261</c:v>
                </c:pt>
                <c:pt idx="48">
                  <c:v>0</c:v>
                </c:pt>
                <c:pt idx="49">
                  <c:v>0.2857142857142857</c:v>
                </c:pt>
                <c:pt idx="50">
                  <c:v>0.33653846153846156</c:v>
                </c:pt>
                <c:pt idx="51">
                  <c:v>0.69078014184397163</c:v>
                </c:pt>
                <c:pt idx="52">
                  <c:v>0.57473684210526321</c:v>
                </c:pt>
                <c:pt idx="53">
                  <c:v>0.46146872166817771</c:v>
                </c:pt>
                <c:pt idx="54">
                  <c:v>0.5542056074766355</c:v>
                </c:pt>
                <c:pt idx="55">
                  <c:v>0.77683854606931535</c:v>
                </c:pt>
                <c:pt idx="56">
                  <c:v>0.49909420289855072</c:v>
                </c:pt>
                <c:pt idx="57">
                  <c:v>0.51584786053882725</c:v>
                </c:pt>
                <c:pt idx="58">
                  <c:v>0.60843881856540083</c:v>
                </c:pt>
                <c:pt idx="59">
                  <c:v>0.66640502354788067</c:v>
                </c:pt>
                <c:pt idx="60">
                  <c:v>0.67711598746081503</c:v>
                </c:pt>
                <c:pt idx="61">
                  <c:v>0.48328025477707004</c:v>
                </c:pt>
                <c:pt idx="62">
                  <c:v>0.56206896551724139</c:v>
                </c:pt>
                <c:pt idx="63">
                  <c:v>0.68577348066298338</c:v>
                </c:pt>
                <c:pt idx="64">
                  <c:v>0.59727385377942999</c:v>
                </c:pt>
                <c:pt idx="65">
                  <c:v>0.46276923076923077</c:v>
                </c:pt>
                <c:pt idx="66">
                  <c:v>0.76732358550540369</c:v>
                </c:pt>
                <c:pt idx="67">
                  <c:v>0.46358454718176062</c:v>
                </c:pt>
                <c:pt idx="68">
                  <c:v>0.44536326048434732</c:v>
                </c:pt>
                <c:pt idx="69">
                  <c:v>0.46718576195773082</c:v>
                </c:pt>
                <c:pt idx="70">
                  <c:v>0.34390112842557763</c:v>
                </c:pt>
                <c:pt idx="71">
                  <c:v>0.46642899584076053</c:v>
                </c:pt>
                <c:pt idx="72">
                  <c:v>0.42863574966231427</c:v>
                </c:pt>
                <c:pt idx="73">
                  <c:v>0.54722222222222228</c:v>
                </c:pt>
                <c:pt idx="74">
                  <c:v>0</c:v>
                </c:pt>
                <c:pt idx="75">
                  <c:v>0.3125</c:v>
                </c:pt>
                <c:pt idx="76">
                  <c:v>0.57480946650621745</c:v>
                </c:pt>
                <c:pt idx="77">
                  <c:v>0.43193069306930693</c:v>
                </c:pt>
                <c:pt idx="78">
                  <c:v>0.41674221819280749</c:v>
                </c:pt>
                <c:pt idx="79">
                  <c:v>0.45081266039349871</c:v>
                </c:pt>
                <c:pt idx="80">
                  <c:v>0.67589662447257381</c:v>
                </c:pt>
                <c:pt idx="81">
                  <c:v>0.45277127244340359</c:v>
                </c:pt>
                <c:pt idx="82">
                  <c:v>0.52148337595907923</c:v>
                </c:pt>
                <c:pt idx="83">
                  <c:v>0.56882480957562565</c:v>
                </c:pt>
                <c:pt idx="84">
                  <c:v>0.44638583054092867</c:v>
                </c:pt>
                <c:pt idx="85">
                  <c:v>0.63497081712062253</c:v>
                </c:pt>
                <c:pt idx="86">
                  <c:v>0.39093242087254065</c:v>
                </c:pt>
                <c:pt idx="87">
                  <c:v>0.3919336163643381</c:v>
                </c:pt>
                <c:pt idx="88">
                  <c:v>0.40529575058723039</c:v>
                </c:pt>
                <c:pt idx="89">
                  <c:v>0.4140067592940293</c:v>
                </c:pt>
                <c:pt idx="90">
                  <c:v>0.53291901340066028</c:v>
                </c:pt>
                <c:pt idx="91">
                  <c:v>0.47652366046768552</c:v>
                </c:pt>
                <c:pt idx="92">
                  <c:v>0.82184634840341453</c:v>
                </c:pt>
                <c:pt idx="93">
                  <c:v>0.66835269993164725</c:v>
                </c:pt>
                <c:pt idx="94">
                  <c:v>0.59374306634124696</c:v>
                </c:pt>
                <c:pt idx="95">
                  <c:v>0.49492940942533309</c:v>
                </c:pt>
                <c:pt idx="96">
                  <c:v>0.41819390371284776</c:v>
                </c:pt>
                <c:pt idx="97">
                  <c:v>0.42962774094849565</c:v>
                </c:pt>
                <c:pt idx="98">
                  <c:v>0.49444620755315771</c:v>
                </c:pt>
                <c:pt idx="99">
                  <c:v>0.60365717683788001</c:v>
                </c:pt>
                <c:pt idx="100">
                  <c:v>0.3524982351556985</c:v>
                </c:pt>
                <c:pt idx="101">
                  <c:v>0.26971913320101143</c:v>
                </c:pt>
              </c:numCache>
            </c:numRef>
          </c:xVal>
          <c:yVal>
            <c:numRef>
              <c:f>'Graph Data SBB $ only'!$J$55:$J$156</c:f>
              <c:numCache>
                <c:formatCode>_("$"* #,##0_);_("$"* \(#,##0\);_("$"* "-"??_);_(@_)</c:formatCode>
                <c:ptCount val="102"/>
                <c:pt idx="0">
                  <c:v>5526</c:v>
                </c:pt>
                <c:pt idx="1">
                  <c:v>5630.8861171366598</c:v>
                </c:pt>
                <c:pt idx="2">
                  <c:v>5841.7714285714283</c:v>
                </c:pt>
                <c:pt idx="3">
                  <c:v>5729.2253521126759</c:v>
                </c:pt>
                <c:pt idx="4">
                  <c:v>5850.4804270462637</c:v>
                </c:pt>
                <c:pt idx="5">
                  <c:v>6090.5552884615381</c:v>
                </c:pt>
                <c:pt idx="6">
                  <c:v>5526</c:v>
                </c:pt>
                <c:pt idx="7">
                  <c:v>5841</c:v>
                </c:pt>
                <c:pt idx="8">
                  <c:v>5874.9112627986351</c:v>
                </c:pt>
                <c:pt idx="9">
                  <c:v>5659.1566265060237</c:v>
                </c:pt>
                <c:pt idx="10">
                  <c:v>5823.3632286995517</c:v>
                </c:pt>
                <c:pt idx="11">
                  <c:v>5724.9359999999997</c:v>
                </c:pt>
                <c:pt idx="12">
                  <c:v>5731.2095490716183</c:v>
                </c:pt>
                <c:pt idx="13">
                  <c:v>5526</c:v>
                </c:pt>
                <c:pt idx="14">
                  <c:v>5650.5295774647884</c:v>
                </c:pt>
                <c:pt idx="15">
                  <c:v>0</c:v>
                </c:pt>
                <c:pt idx="16">
                  <c:v>5699.1383812010445</c:v>
                </c:pt>
                <c:pt idx="17">
                  <c:v>0</c:v>
                </c:pt>
                <c:pt idx="18">
                  <c:v>5697.3488372093025</c:v>
                </c:pt>
                <c:pt idx="19">
                  <c:v>5779.7448979591836</c:v>
                </c:pt>
                <c:pt idx="20">
                  <c:v>5817.9140049140051</c:v>
                </c:pt>
                <c:pt idx="21">
                  <c:v>5748.7103274559195</c:v>
                </c:pt>
                <c:pt idx="22">
                  <c:v>5823.0967741935483</c:v>
                </c:pt>
                <c:pt idx="23">
                  <c:v>5828.7945205479455</c:v>
                </c:pt>
                <c:pt idx="24">
                  <c:v>5791.6730769230771</c:v>
                </c:pt>
                <c:pt idx="25">
                  <c:v>5920.7142857142853</c:v>
                </c:pt>
                <c:pt idx="26">
                  <c:v>5759.8396436525609</c:v>
                </c:pt>
                <c:pt idx="27">
                  <c:v>5694.9170305676853</c:v>
                </c:pt>
                <c:pt idx="28">
                  <c:v>5783.5677966101694</c:v>
                </c:pt>
                <c:pt idx="29">
                  <c:v>5714.8381294964029</c:v>
                </c:pt>
                <c:pt idx="30">
                  <c:v>5775.8959044368603</c:v>
                </c:pt>
                <c:pt idx="31">
                  <c:v>5695.4514480408861</c:v>
                </c:pt>
                <c:pt idx="32">
                  <c:v>5673.767634854772</c:v>
                </c:pt>
                <c:pt idx="33">
                  <c:v>0</c:v>
                </c:pt>
                <c:pt idx="34">
                  <c:v>5526</c:v>
                </c:pt>
                <c:pt idx="35">
                  <c:v>5648.8</c:v>
                </c:pt>
                <c:pt idx="36">
                  <c:v>5885.609544468547</c:v>
                </c:pt>
                <c:pt idx="37">
                  <c:v>5861.5581395348836</c:v>
                </c:pt>
                <c:pt idx="38">
                  <c:v>5783.6030075187973</c:v>
                </c:pt>
                <c:pt idx="39">
                  <c:v>5787.5857988165681</c:v>
                </c:pt>
                <c:pt idx="40">
                  <c:v>5776.8140556368962</c:v>
                </c:pt>
                <c:pt idx="41">
                  <c:v>5755.6519480519482</c:v>
                </c:pt>
                <c:pt idx="42">
                  <c:v>5710.939759036145</c:v>
                </c:pt>
                <c:pt idx="43">
                  <c:v>6045.4741144414165</c:v>
                </c:pt>
                <c:pt idx="44">
                  <c:v>5722.3372093023254</c:v>
                </c:pt>
                <c:pt idx="45">
                  <c:v>5781.5775000000003</c:v>
                </c:pt>
                <c:pt idx="46">
                  <c:v>5758.7081850533805</c:v>
                </c:pt>
                <c:pt idx="47">
                  <c:v>5741.9082672706681</c:v>
                </c:pt>
                <c:pt idx="48">
                  <c:v>0</c:v>
                </c:pt>
                <c:pt idx="49">
                  <c:v>5806.9830508474579</c:v>
                </c:pt>
                <c:pt idx="50">
                  <c:v>5725.5975232198143</c:v>
                </c:pt>
                <c:pt idx="51">
                  <c:v>5766.5159235668789</c:v>
                </c:pt>
                <c:pt idx="52">
                  <c:v>5718.5808325266216</c:v>
                </c:pt>
                <c:pt idx="53">
                  <c:v>5819.045454545455</c:v>
                </c:pt>
                <c:pt idx="54">
                  <c:v>5710.0168986083499</c:v>
                </c:pt>
                <c:pt idx="55">
                  <c:v>5767.5302593659944</c:v>
                </c:pt>
                <c:pt idx="56">
                  <c:v>5735.3599202392825</c:v>
                </c:pt>
                <c:pt idx="57">
                  <c:v>5769.7209720972096</c:v>
                </c:pt>
                <c:pt idx="58">
                  <c:v>5718.9400179051026</c:v>
                </c:pt>
                <c:pt idx="59">
                  <c:v>5756.25</c:v>
                </c:pt>
                <c:pt idx="60">
                  <c:v>5742.8907849829347</c:v>
                </c:pt>
                <c:pt idx="61">
                  <c:v>5711.4519966015296</c:v>
                </c:pt>
                <c:pt idx="62">
                  <c:v>5711.8899082568805</c:v>
                </c:pt>
                <c:pt idx="63">
                  <c:v>5761.8908685968818</c:v>
                </c:pt>
                <c:pt idx="64">
                  <c:v>5706.7025316455693</c:v>
                </c:pt>
                <c:pt idx="65">
                  <c:v>5727.4494983277591</c:v>
                </c:pt>
                <c:pt idx="66">
                  <c:v>5778.6400580551526</c:v>
                </c:pt>
                <c:pt idx="67">
                  <c:v>5690.7573680603155</c:v>
                </c:pt>
                <c:pt idx="68">
                  <c:v>5766.3382731958764</c:v>
                </c:pt>
                <c:pt idx="69">
                  <c:v>5769.1440000000002</c:v>
                </c:pt>
                <c:pt idx="70">
                  <c:v>5762.1109090909094</c:v>
                </c:pt>
                <c:pt idx="71">
                  <c:v>5742.18893129771</c:v>
                </c:pt>
                <c:pt idx="72">
                  <c:v>5782.2350343473991</c:v>
                </c:pt>
                <c:pt idx="73">
                  <c:v>5739.2842105263162</c:v>
                </c:pt>
                <c:pt idx="74">
                  <c:v>0</c:v>
                </c:pt>
                <c:pt idx="75">
                  <c:v>5740.9814323607425</c:v>
                </c:pt>
                <c:pt idx="76">
                  <c:v>5725.7493506493511</c:v>
                </c:pt>
                <c:pt idx="77">
                  <c:v>5708.1508034610633</c:v>
                </c:pt>
                <c:pt idx="78">
                  <c:v>5722.3231827111986</c:v>
                </c:pt>
                <c:pt idx="79">
                  <c:v>5712.2326274977631</c:v>
                </c:pt>
                <c:pt idx="80">
                  <c:v>5755.529445234708</c:v>
                </c:pt>
                <c:pt idx="81">
                  <c:v>5707.293189368771</c:v>
                </c:pt>
                <c:pt idx="82">
                  <c:v>5783.0417626728113</c:v>
                </c:pt>
                <c:pt idx="83">
                  <c:v>5720.6849958552084</c:v>
                </c:pt>
                <c:pt idx="84">
                  <c:v>5706.3947972456008</c:v>
                </c:pt>
                <c:pt idx="85">
                  <c:v>5761.7127713276122</c:v>
                </c:pt>
                <c:pt idx="86">
                  <c:v>5730.5493926197569</c:v>
                </c:pt>
                <c:pt idx="87">
                  <c:v>5765.0672738563444</c:v>
                </c:pt>
                <c:pt idx="88">
                  <c:v>5722.6306748466259</c:v>
                </c:pt>
                <c:pt idx="89">
                  <c:v>5769.4977714748784</c:v>
                </c:pt>
                <c:pt idx="90">
                  <c:v>5774.7262729124241</c:v>
                </c:pt>
                <c:pt idx="91">
                  <c:v>5734.4589509692132</c:v>
                </c:pt>
                <c:pt idx="92">
                  <c:v>5784.6535433070867</c:v>
                </c:pt>
                <c:pt idx="93">
                  <c:v>5762.8587830080369</c:v>
                </c:pt>
                <c:pt idx="94">
                  <c:v>5769.498179169701</c:v>
                </c:pt>
                <c:pt idx="95">
                  <c:v>5753.0958904109593</c:v>
                </c:pt>
                <c:pt idx="96">
                  <c:v>5743.9765458422171</c:v>
                </c:pt>
                <c:pt idx="97">
                  <c:v>5755.783477620188</c:v>
                </c:pt>
                <c:pt idx="98">
                  <c:v>5750.3532334047113</c:v>
                </c:pt>
                <c:pt idx="99">
                  <c:v>5733.2297925483936</c:v>
                </c:pt>
                <c:pt idx="100">
                  <c:v>5725.4904695106861</c:v>
                </c:pt>
                <c:pt idx="101">
                  <c:v>5729.0046403712295</c:v>
                </c:pt>
              </c:numCache>
            </c:numRef>
          </c:yVal>
          <c:smooth val="0"/>
          <c:extLst>
            <c:ext xmlns:c16="http://schemas.microsoft.com/office/drawing/2014/chart" uri="{C3380CC4-5D6E-409C-BE32-E72D297353CC}">
              <c16:uniqueId val="{00000001-EF0F-43B6-A65A-86DDECE1020D}"/>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Current Per Pupil</c:v>
          </c:tx>
          <c:spPr>
            <a:ln w="19050" cap="rnd">
              <a:noFill/>
              <a:round/>
            </a:ln>
            <a:effectLst/>
          </c:spPr>
          <c:marker>
            <c:symbol val="circle"/>
            <c:size val="5"/>
            <c:spPr>
              <a:solidFill>
                <a:schemeClr val="accent1"/>
              </a:solidFill>
              <a:ln w="9525">
                <a:solidFill>
                  <a:schemeClr val="accent1"/>
                </a:solidFill>
              </a:ln>
              <a:effectLst/>
            </c:spPr>
          </c:marker>
          <c:xVal>
            <c:numRef>
              <c:f>'Graph Data SBB $ only'!$C$3:$C$156</c:f>
              <c:numCache>
                <c:formatCode>0%</c:formatCode>
                <c:ptCount val="154"/>
                <c:pt idx="0">
                  <c:v>0</c:v>
                </c:pt>
                <c:pt idx="1">
                  <c:v>0</c:v>
                </c:pt>
                <c:pt idx="2">
                  <c:v>0</c:v>
                </c:pt>
                <c:pt idx="3">
                  <c:v>0</c:v>
                </c:pt>
                <c:pt idx="4">
                  <c:v>0</c:v>
                </c:pt>
                <c:pt idx="5">
                  <c:v>0.9101123595505618</c:v>
                </c:pt>
                <c:pt idx="6">
                  <c:v>0.55102040816326525</c:v>
                </c:pt>
                <c:pt idx="7">
                  <c:v>0.17647058823529413</c:v>
                </c:pt>
                <c:pt idx="8">
                  <c:v>0.64</c:v>
                </c:pt>
                <c:pt idx="9">
                  <c:v>0.56399999999999995</c:v>
                </c:pt>
                <c:pt idx="10">
                  <c:v>0.59340659340659341</c:v>
                </c:pt>
                <c:pt idx="11">
                  <c:v>0.54450261780104714</c:v>
                </c:pt>
                <c:pt idx="12">
                  <c:v>0.50420168067226889</c:v>
                </c:pt>
                <c:pt idx="13">
                  <c:v>0.60431654676258995</c:v>
                </c:pt>
                <c:pt idx="14">
                  <c:v>0.45794392523364486</c:v>
                </c:pt>
                <c:pt idx="15">
                  <c:v>0.90476190476190477</c:v>
                </c:pt>
                <c:pt idx="16">
                  <c:v>0.6097560975609756</c:v>
                </c:pt>
                <c:pt idx="17">
                  <c:v>0.47651006711409394</c:v>
                </c:pt>
                <c:pt idx="18">
                  <c:v>0.81967213114754101</c:v>
                </c:pt>
                <c:pt idx="19">
                  <c:v>0.38305084745762713</c:v>
                </c:pt>
                <c:pt idx="20">
                  <c:v>0.76100628930817615</c:v>
                </c:pt>
                <c:pt idx="21">
                  <c:v>0.65189873417721522</c:v>
                </c:pt>
                <c:pt idx="22">
                  <c:v>0.40799999999999997</c:v>
                </c:pt>
                <c:pt idx="23">
                  <c:v>0.5</c:v>
                </c:pt>
                <c:pt idx="24">
                  <c:v>0.5</c:v>
                </c:pt>
                <c:pt idx="25">
                  <c:v>0.4375</c:v>
                </c:pt>
                <c:pt idx="26">
                  <c:v>0.52439024390243905</c:v>
                </c:pt>
                <c:pt idx="27">
                  <c:v>0</c:v>
                </c:pt>
                <c:pt idx="28">
                  <c:v>0</c:v>
                </c:pt>
                <c:pt idx="29">
                  <c:v>0.41025641025641024</c:v>
                </c:pt>
                <c:pt idx="30">
                  <c:v>0.49624060150375937</c:v>
                </c:pt>
                <c:pt idx="31">
                  <c:v>0.50622406639004147</c:v>
                </c:pt>
                <c:pt idx="32">
                  <c:v>0.44019138755980863</c:v>
                </c:pt>
                <c:pt idx="33">
                  <c:v>0.70940170940170943</c:v>
                </c:pt>
                <c:pt idx="34">
                  <c:v>0.42899850523168909</c:v>
                </c:pt>
                <c:pt idx="35">
                  <c:v>0.54085603112840464</c:v>
                </c:pt>
                <c:pt idx="36">
                  <c:v>0.42016806722689076</c:v>
                </c:pt>
                <c:pt idx="37">
                  <c:v>0.14613180515759314</c:v>
                </c:pt>
                <c:pt idx="38">
                  <c:v>0</c:v>
                </c:pt>
                <c:pt idx="39">
                  <c:v>0.75163398692810457</c:v>
                </c:pt>
                <c:pt idx="40">
                  <c:v>0.66816143497757852</c:v>
                </c:pt>
                <c:pt idx="41">
                  <c:v>0.35971223021582732</c:v>
                </c:pt>
                <c:pt idx="42">
                  <c:v>0.36680327868852458</c:v>
                </c:pt>
                <c:pt idx="43">
                  <c:v>0.6</c:v>
                </c:pt>
                <c:pt idx="44">
                  <c:v>0</c:v>
                </c:pt>
                <c:pt idx="45">
                  <c:v>0</c:v>
                </c:pt>
                <c:pt idx="46">
                  <c:v>0</c:v>
                </c:pt>
                <c:pt idx="47">
                  <c:v>0.64</c:v>
                </c:pt>
                <c:pt idx="48">
                  <c:v>0.35546875</c:v>
                </c:pt>
                <c:pt idx="49">
                  <c:v>0.22222222222222221</c:v>
                </c:pt>
                <c:pt idx="50">
                  <c:v>0.21069182389937108</c:v>
                </c:pt>
                <c:pt idx="51">
                  <c:v>0</c:v>
                </c:pt>
                <c:pt idx="52">
                  <c:v>0.38695652173913042</c:v>
                </c:pt>
                <c:pt idx="53">
                  <c:v>0.52716143840856922</c:v>
                </c:pt>
                <c:pt idx="54">
                  <c:v>0.65346534653465349</c:v>
                </c:pt>
                <c:pt idx="55">
                  <c:v>0.28235294117647058</c:v>
                </c:pt>
                <c:pt idx="56">
                  <c:v>0.78333333333333333</c:v>
                </c:pt>
                <c:pt idx="57">
                  <c:v>0.48063380281690143</c:v>
                </c:pt>
                <c:pt idx="58">
                  <c:v>0.46889952153110048</c:v>
                </c:pt>
                <c:pt idx="59">
                  <c:v>0.71084337349397586</c:v>
                </c:pt>
                <c:pt idx="60">
                  <c:v>0.67791411042944782</c:v>
                </c:pt>
                <c:pt idx="61">
                  <c:v>0.45454545454545453</c:v>
                </c:pt>
                <c:pt idx="62">
                  <c:v>0.5761316872427984</c:v>
                </c:pt>
                <c:pt idx="63">
                  <c:v>0.67007672634271098</c:v>
                </c:pt>
                <c:pt idx="64">
                  <c:v>0.38141809290953543</c:v>
                </c:pt>
                <c:pt idx="65">
                  <c:v>0</c:v>
                </c:pt>
                <c:pt idx="66">
                  <c:v>0.38095238095238093</c:v>
                </c:pt>
                <c:pt idx="67">
                  <c:v>0</c:v>
                </c:pt>
                <c:pt idx="68">
                  <c:v>0.36138613861386137</c:v>
                </c:pt>
                <c:pt idx="69">
                  <c:v>0</c:v>
                </c:pt>
                <c:pt idx="70">
                  <c:v>0.67441860465116277</c:v>
                </c:pt>
                <c:pt idx="71">
                  <c:v>0.46186440677966101</c:v>
                </c:pt>
                <c:pt idx="72">
                  <c:v>0</c:v>
                </c:pt>
                <c:pt idx="73">
                  <c:v>0.93548387096774188</c:v>
                </c:pt>
                <c:pt idx="74">
                  <c:v>0.47544204322200395</c:v>
                </c:pt>
                <c:pt idx="75">
                  <c:v>0.35080645161290325</c:v>
                </c:pt>
                <c:pt idx="76">
                  <c:v>0.43973214285714285</c:v>
                </c:pt>
                <c:pt idx="77">
                  <c:v>0.30857142857142855</c:v>
                </c:pt>
                <c:pt idx="78">
                  <c:v>0.8899253731343284</c:v>
                </c:pt>
                <c:pt idx="79">
                  <c:v>0.50819672131147542</c:v>
                </c:pt>
                <c:pt idx="80">
                  <c:v>0.6987951807228916</c:v>
                </c:pt>
                <c:pt idx="81">
                  <c:v>0.60273972602739723</c:v>
                </c:pt>
                <c:pt idx="82">
                  <c:v>0.47807017543859648</c:v>
                </c:pt>
                <c:pt idx="83">
                  <c:v>0.5088282504012841</c:v>
                </c:pt>
                <c:pt idx="84">
                  <c:v>0.53649105848235867</c:v>
                </c:pt>
                <c:pt idx="85">
                  <c:v>0</c:v>
                </c:pt>
                <c:pt idx="86">
                  <c:v>0</c:v>
                </c:pt>
                <c:pt idx="87">
                  <c:v>0.47520661157024796</c:v>
                </c:pt>
                <c:pt idx="88">
                  <c:v>0.71296296296296291</c:v>
                </c:pt>
                <c:pt idx="89">
                  <c:v>0</c:v>
                </c:pt>
                <c:pt idx="90">
                  <c:v>0.70292887029288698</c:v>
                </c:pt>
                <c:pt idx="91">
                  <c:v>0.55466666666666664</c:v>
                </c:pt>
                <c:pt idx="92">
                  <c:v>0.62875816993464051</c:v>
                </c:pt>
                <c:pt idx="93">
                  <c:v>0.34972677595628415</c:v>
                </c:pt>
                <c:pt idx="94">
                  <c:v>0.50686641697877655</c:v>
                </c:pt>
                <c:pt idx="95">
                  <c:v>0.30804597701149428</c:v>
                </c:pt>
                <c:pt idx="96">
                  <c:v>0.66383495145631066</c:v>
                </c:pt>
                <c:pt idx="97">
                  <c:v>0.46754675467546752</c:v>
                </c:pt>
                <c:pt idx="98">
                  <c:v>0.50708833151581245</c:v>
                </c:pt>
                <c:pt idx="99">
                  <c:v>0.46262626262626261</c:v>
                </c:pt>
                <c:pt idx="100">
                  <c:v>0</c:v>
                </c:pt>
                <c:pt idx="101">
                  <c:v>0.2857142857142857</c:v>
                </c:pt>
                <c:pt idx="102">
                  <c:v>0.33653846153846156</c:v>
                </c:pt>
                <c:pt idx="103">
                  <c:v>0.69078014184397163</c:v>
                </c:pt>
                <c:pt idx="104">
                  <c:v>0.57473684210526321</c:v>
                </c:pt>
                <c:pt idx="105">
                  <c:v>0.46146872166817771</c:v>
                </c:pt>
                <c:pt idx="106">
                  <c:v>0.5542056074766355</c:v>
                </c:pt>
                <c:pt idx="107">
                  <c:v>0.77683854606931535</c:v>
                </c:pt>
                <c:pt idx="108">
                  <c:v>0.49909420289855072</c:v>
                </c:pt>
                <c:pt idx="109">
                  <c:v>0.51584786053882725</c:v>
                </c:pt>
                <c:pt idx="110">
                  <c:v>0.60843881856540083</c:v>
                </c:pt>
                <c:pt idx="111">
                  <c:v>0.66640502354788067</c:v>
                </c:pt>
                <c:pt idx="112">
                  <c:v>0.67711598746081503</c:v>
                </c:pt>
                <c:pt idx="113">
                  <c:v>0.48328025477707004</c:v>
                </c:pt>
                <c:pt idx="114">
                  <c:v>0.56206896551724139</c:v>
                </c:pt>
                <c:pt idx="115">
                  <c:v>0.68577348066298338</c:v>
                </c:pt>
                <c:pt idx="116">
                  <c:v>0.59727385377942999</c:v>
                </c:pt>
                <c:pt idx="117">
                  <c:v>0.46276923076923077</c:v>
                </c:pt>
                <c:pt idx="118">
                  <c:v>0.76732358550540369</c:v>
                </c:pt>
                <c:pt idx="119">
                  <c:v>0.46358454718176062</c:v>
                </c:pt>
                <c:pt idx="120">
                  <c:v>0.44536326048434732</c:v>
                </c:pt>
                <c:pt idx="121">
                  <c:v>0.46718576195773082</c:v>
                </c:pt>
                <c:pt idx="122">
                  <c:v>0.34390112842557763</c:v>
                </c:pt>
                <c:pt idx="123">
                  <c:v>0.46642899584076053</c:v>
                </c:pt>
                <c:pt idx="124">
                  <c:v>0.42863574966231427</c:v>
                </c:pt>
                <c:pt idx="125">
                  <c:v>0.54722222222222228</c:v>
                </c:pt>
                <c:pt idx="126">
                  <c:v>0</c:v>
                </c:pt>
                <c:pt idx="127">
                  <c:v>0.3125</c:v>
                </c:pt>
                <c:pt idx="128">
                  <c:v>0.57480946650621745</c:v>
                </c:pt>
                <c:pt idx="129">
                  <c:v>0.43193069306930693</c:v>
                </c:pt>
                <c:pt idx="130">
                  <c:v>0.41674221819280749</c:v>
                </c:pt>
                <c:pt idx="131">
                  <c:v>0.45081266039349871</c:v>
                </c:pt>
                <c:pt idx="132">
                  <c:v>0.67589662447257381</c:v>
                </c:pt>
                <c:pt idx="133">
                  <c:v>0.45277127244340359</c:v>
                </c:pt>
                <c:pt idx="134">
                  <c:v>0.52148337595907923</c:v>
                </c:pt>
                <c:pt idx="135">
                  <c:v>0.56882480957562565</c:v>
                </c:pt>
                <c:pt idx="136">
                  <c:v>0.44638583054092867</c:v>
                </c:pt>
                <c:pt idx="137">
                  <c:v>0.63497081712062253</c:v>
                </c:pt>
                <c:pt idx="138">
                  <c:v>0.39093242087254065</c:v>
                </c:pt>
                <c:pt idx="139">
                  <c:v>0.3919336163643381</c:v>
                </c:pt>
                <c:pt idx="140">
                  <c:v>0.40529575058723039</c:v>
                </c:pt>
                <c:pt idx="141">
                  <c:v>0.4140067592940293</c:v>
                </c:pt>
                <c:pt idx="142">
                  <c:v>0.53291901340066028</c:v>
                </c:pt>
                <c:pt idx="143">
                  <c:v>0.47652366046768552</c:v>
                </c:pt>
                <c:pt idx="144">
                  <c:v>0.82184634840341453</c:v>
                </c:pt>
                <c:pt idx="145">
                  <c:v>0.66835269993164725</c:v>
                </c:pt>
                <c:pt idx="146">
                  <c:v>0.59374306634124696</c:v>
                </c:pt>
                <c:pt idx="147">
                  <c:v>0.49492940942533309</c:v>
                </c:pt>
                <c:pt idx="148">
                  <c:v>0.41819390371284776</c:v>
                </c:pt>
                <c:pt idx="149">
                  <c:v>0.42962774094849565</c:v>
                </c:pt>
                <c:pt idx="150">
                  <c:v>0.49444620755315771</c:v>
                </c:pt>
                <c:pt idx="151">
                  <c:v>0.60365717683788001</c:v>
                </c:pt>
                <c:pt idx="152">
                  <c:v>0.3524982351556985</c:v>
                </c:pt>
                <c:pt idx="153">
                  <c:v>0.26971913320101143</c:v>
                </c:pt>
              </c:numCache>
            </c:numRef>
          </c:xVal>
          <c:yVal>
            <c:numRef>
              <c:f>'Graph Data SBB $ only'!$D$3:$D$156</c:f>
              <c:numCache>
                <c:formatCode>_("$"* #,##0_);_("$"* \(#,##0\);_("$"* "-"??_);_(@_)</c:formatCode>
                <c:ptCount val="154"/>
                <c:pt idx="0">
                  <c:v>21950.166666666668</c:v>
                </c:pt>
                <c:pt idx="1">
                  <c:v>20733.363636363636</c:v>
                </c:pt>
                <c:pt idx="2">
                  <c:v>15420</c:v>
                </c:pt>
                <c:pt idx="3">
                  <c:v>57907.4</c:v>
                </c:pt>
                <c:pt idx="4">
                  <c:v>15469.722222222223</c:v>
                </c:pt>
                <c:pt idx="5">
                  <c:v>7104.6878980891715</c:v>
                </c:pt>
                <c:pt idx="6">
                  <c:v>11880.510204081633</c:v>
                </c:pt>
                <c:pt idx="7">
                  <c:v>5735.0526932084313</c:v>
                </c:pt>
                <c:pt idx="8">
                  <c:v>18803.916666666668</c:v>
                </c:pt>
                <c:pt idx="9">
                  <c:v>6839.7766749379653</c:v>
                </c:pt>
                <c:pt idx="10">
                  <c:v>17730.323943661973</c:v>
                </c:pt>
                <c:pt idx="11">
                  <c:v>5906.8248587570624</c:v>
                </c:pt>
                <c:pt idx="12">
                  <c:v>12540.381818181819</c:v>
                </c:pt>
                <c:pt idx="13">
                  <c:v>12498.518867924528</c:v>
                </c:pt>
                <c:pt idx="14">
                  <c:v>14007.705263157895</c:v>
                </c:pt>
                <c:pt idx="15">
                  <c:v>9234.5822784810134</c:v>
                </c:pt>
                <c:pt idx="16">
                  <c:v>13394.097345132743</c:v>
                </c:pt>
                <c:pt idx="17">
                  <c:v>12129.757575757576</c:v>
                </c:pt>
                <c:pt idx="18">
                  <c:v>13184.121739130434</c:v>
                </c:pt>
                <c:pt idx="19">
                  <c:v>5965.492753623188</c:v>
                </c:pt>
                <c:pt idx="20">
                  <c:v>11250.244604316547</c:v>
                </c:pt>
                <c:pt idx="21">
                  <c:v>10633.792857142857</c:v>
                </c:pt>
                <c:pt idx="22">
                  <c:v>11670.550387596899</c:v>
                </c:pt>
                <c:pt idx="23">
                  <c:v>10533.272727272728</c:v>
                </c:pt>
                <c:pt idx="24">
                  <c:v>10477.772151898735</c:v>
                </c:pt>
                <c:pt idx="25">
                  <c:v>6847.736979166667</c:v>
                </c:pt>
                <c:pt idx="26">
                  <c:v>11525.331081081082</c:v>
                </c:pt>
                <c:pt idx="27">
                  <c:v>7292.3125</c:v>
                </c:pt>
                <c:pt idx="28">
                  <c:v>9523.3878787878784</c:v>
                </c:pt>
                <c:pt idx="29">
                  <c:v>9500.2590361445782</c:v>
                </c:pt>
                <c:pt idx="30">
                  <c:v>8335.7046632124348</c:v>
                </c:pt>
                <c:pt idx="31">
                  <c:v>9028.0093023255813</c:v>
                </c:pt>
                <c:pt idx="32">
                  <c:v>9296.8436018957345</c:v>
                </c:pt>
                <c:pt idx="33">
                  <c:v>8919.8558139534889</c:v>
                </c:pt>
                <c:pt idx="34">
                  <c:v>6291.1275917065386</c:v>
                </c:pt>
                <c:pt idx="35">
                  <c:v>7734.4852320675109</c:v>
                </c:pt>
                <c:pt idx="36">
                  <c:v>8649.5877192982462</c:v>
                </c:pt>
                <c:pt idx="37">
                  <c:v>5648.673913043478</c:v>
                </c:pt>
                <c:pt idx="38">
                  <c:v>0</c:v>
                </c:pt>
                <c:pt idx="39">
                  <c:v>7399.6705426356593</c:v>
                </c:pt>
                <c:pt idx="40">
                  <c:v>8831.6859903381646</c:v>
                </c:pt>
                <c:pt idx="41">
                  <c:v>7134.850253807107</c:v>
                </c:pt>
                <c:pt idx="42">
                  <c:v>5326.8032036613276</c:v>
                </c:pt>
                <c:pt idx="43">
                  <c:v>7702.470817120623</c:v>
                </c:pt>
                <c:pt idx="44">
                  <c:v>6025.0887198986056</c:v>
                </c:pt>
                <c:pt idx="45">
                  <c:v>0</c:v>
                </c:pt>
                <c:pt idx="46">
                  <c:v>0</c:v>
                </c:pt>
                <c:pt idx="47">
                  <c:v>10899.092857142858</c:v>
                </c:pt>
                <c:pt idx="48">
                  <c:v>8662.3083333333325</c:v>
                </c:pt>
                <c:pt idx="49">
                  <c:v>6291.9120000000003</c:v>
                </c:pt>
                <c:pt idx="50">
                  <c:v>7939.9041095890407</c:v>
                </c:pt>
                <c:pt idx="51">
                  <c:v>0</c:v>
                </c:pt>
                <c:pt idx="52">
                  <c:v>7153.3740458015263</c:v>
                </c:pt>
                <c:pt idx="53">
                  <c:v>4807.1138828633402</c:v>
                </c:pt>
                <c:pt idx="54">
                  <c:v>8147.1142857142859</c:v>
                </c:pt>
                <c:pt idx="55">
                  <c:v>5912.2050078247257</c:v>
                </c:pt>
                <c:pt idx="56">
                  <c:v>7710.021352313167</c:v>
                </c:pt>
                <c:pt idx="57">
                  <c:v>5105.1322115384619</c:v>
                </c:pt>
                <c:pt idx="58">
                  <c:v>4755.9910913140311</c:v>
                </c:pt>
                <c:pt idx="59">
                  <c:v>8061.8859934853417</c:v>
                </c:pt>
                <c:pt idx="60">
                  <c:v>7972.1467576791811</c:v>
                </c:pt>
                <c:pt idx="61">
                  <c:v>6932.4487951807232</c:v>
                </c:pt>
                <c:pt idx="62">
                  <c:v>7167.1973094170407</c:v>
                </c:pt>
                <c:pt idx="63">
                  <c:v>7417.4719999999998</c:v>
                </c:pt>
                <c:pt idx="64">
                  <c:v>8255.7665782493368</c:v>
                </c:pt>
                <c:pt idx="65">
                  <c:v>6302.1065573770493</c:v>
                </c:pt>
                <c:pt idx="66">
                  <c:v>7750.2253521126759</c:v>
                </c:pt>
                <c:pt idx="67">
                  <c:v>0</c:v>
                </c:pt>
                <c:pt idx="68">
                  <c:v>6863.5691906005222</c:v>
                </c:pt>
                <c:pt idx="69">
                  <c:v>0</c:v>
                </c:pt>
                <c:pt idx="70">
                  <c:v>7010.4005167958658</c:v>
                </c:pt>
                <c:pt idx="71">
                  <c:v>7628.0841836734689</c:v>
                </c:pt>
                <c:pt idx="72">
                  <c:v>7065.8255528255531</c:v>
                </c:pt>
                <c:pt idx="73">
                  <c:v>6913.005037783375</c:v>
                </c:pt>
                <c:pt idx="74">
                  <c:v>7376.0881720430107</c:v>
                </c:pt>
                <c:pt idx="75">
                  <c:v>6056.1872146118722</c:v>
                </c:pt>
                <c:pt idx="76">
                  <c:v>7381.3052884615381</c:v>
                </c:pt>
                <c:pt idx="77">
                  <c:v>6600.5374149659865</c:v>
                </c:pt>
                <c:pt idx="78">
                  <c:v>7226.6258351893093</c:v>
                </c:pt>
                <c:pt idx="79">
                  <c:v>6935.1768558951962</c:v>
                </c:pt>
                <c:pt idx="80">
                  <c:v>7169.6906779661012</c:v>
                </c:pt>
                <c:pt idx="81">
                  <c:v>6856.8345323741005</c:v>
                </c:pt>
                <c:pt idx="82">
                  <c:v>6179.1092150170653</c:v>
                </c:pt>
                <c:pt idx="83">
                  <c:v>6925.6098807495737</c:v>
                </c:pt>
                <c:pt idx="84">
                  <c:v>5106.1802674043338</c:v>
                </c:pt>
                <c:pt idx="85">
                  <c:v>0</c:v>
                </c:pt>
                <c:pt idx="86">
                  <c:v>7100.8278931750738</c:v>
                </c:pt>
                <c:pt idx="87">
                  <c:v>6609.5377777777776</c:v>
                </c:pt>
                <c:pt idx="88">
                  <c:v>5695.4425162689804</c:v>
                </c:pt>
                <c:pt idx="89">
                  <c:v>5740.6537467700255</c:v>
                </c:pt>
                <c:pt idx="90">
                  <c:v>6599.3187969924811</c:v>
                </c:pt>
                <c:pt idx="91">
                  <c:v>6390.5517751479292</c:v>
                </c:pt>
                <c:pt idx="92">
                  <c:v>6811.7935578330889</c:v>
                </c:pt>
                <c:pt idx="93">
                  <c:v>6306.1610389610387</c:v>
                </c:pt>
                <c:pt idx="94">
                  <c:v>6399.2971887550202</c:v>
                </c:pt>
                <c:pt idx="95">
                  <c:v>6040.3269754768389</c:v>
                </c:pt>
                <c:pt idx="96">
                  <c:v>5988.2157622739014</c:v>
                </c:pt>
                <c:pt idx="97">
                  <c:v>5927.1212500000001</c:v>
                </c:pt>
                <c:pt idx="98">
                  <c:v>6517.6405693950182</c:v>
                </c:pt>
                <c:pt idx="99">
                  <c:v>6389.7621744054359</c:v>
                </c:pt>
                <c:pt idx="100">
                  <c:v>0</c:v>
                </c:pt>
                <c:pt idx="101">
                  <c:v>6064.0423728813557</c:v>
                </c:pt>
                <c:pt idx="102">
                  <c:v>6222.62951496388</c:v>
                </c:pt>
                <c:pt idx="103">
                  <c:v>6243.4522292993634</c:v>
                </c:pt>
                <c:pt idx="104">
                  <c:v>7731.6989351403681</c:v>
                </c:pt>
                <c:pt idx="105">
                  <c:v>6294.3838383838383</c:v>
                </c:pt>
                <c:pt idx="106">
                  <c:v>6095.9105367793245</c:v>
                </c:pt>
                <c:pt idx="107">
                  <c:v>5959.7809798270891</c:v>
                </c:pt>
                <c:pt idx="108">
                  <c:v>6153.0099700897308</c:v>
                </c:pt>
                <c:pt idx="109">
                  <c:v>6697.7443744374441</c:v>
                </c:pt>
                <c:pt idx="110">
                  <c:v>5574.1235452103847</c:v>
                </c:pt>
                <c:pt idx="111">
                  <c:v>5778.2738095238092</c:v>
                </c:pt>
                <c:pt idx="112">
                  <c:v>6091.2372013651875</c:v>
                </c:pt>
                <c:pt idx="113">
                  <c:v>5934.583687340697</c:v>
                </c:pt>
                <c:pt idx="114">
                  <c:v>5852.8952599388376</c:v>
                </c:pt>
                <c:pt idx="115">
                  <c:v>5894.3934669636228</c:v>
                </c:pt>
                <c:pt idx="116">
                  <c:v>5746.5829817158929</c:v>
                </c:pt>
                <c:pt idx="117">
                  <c:v>5857.2862876254185</c:v>
                </c:pt>
                <c:pt idx="118">
                  <c:v>6059.5580551523944</c:v>
                </c:pt>
                <c:pt idx="119">
                  <c:v>5850.684715558602</c:v>
                </c:pt>
                <c:pt idx="120">
                  <c:v>6032.2332474226805</c:v>
                </c:pt>
                <c:pt idx="121">
                  <c:v>5492.7501538461538</c:v>
                </c:pt>
                <c:pt idx="122">
                  <c:v>5721.9206060606057</c:v>
                </c:pt>
                <c:pt idx="123">
                  <c:v>5680.4961832061072</c:v>
                </c:pt>
                <c:pt idx="124">
                  <c:v>5467.6786064769385</c:v>
                </c:pt>
                <c:pt idx="125">
                  <c:v>5906.737844611529</c:v>
                </c:pt>
                <c:pt idx="126">
                  <c:v>0</c:v>
                </c:pt>
                <c:pt idx="127">
                  <c:v>5449.8152077807254</c:v>
                </c:pt>
                <c:pt idx="128">
                  <c:v>6414.9909090909086</c:v>
                </c:pt>
                <c:pt idx="129">
                  <c:v>5440.0515039142974</c:v>
                </c:pt>
                <c:pt idx="130">
                  <c:v>5502.0540275049116</c:v>
                </c:pt>
                <c:pt idx="131">
                  <c:v>5738.377572323293</c:v>
                </c:pt>
                <c:pt idx="132">
                  <c:v>5717.0998577524897</c:v>
                </c:pt>
                <c:pt idx="133">
                  <c:v>5853.0761351052051</c:v>
                </c:pt>
                <c:pt idx="134">
                  <c:v>5499.0002880184329</c:v>
                </c:pt>
                <c:pt idx="135">
                  <c:v>5647.7938657087598</c:v>
                </c:pt>
                <c:pt idx="136">
                  <c:v>5449.7569497577151</c:v>
                </c:pt>
                <c:pt idx="137">
                  <c:v>5990.7637556789505</c:v>
                </c:pt>
                <c:pt idx="138">
                  <c:v>5434.6756818702725</c:v>
                </c:pt>
                <c:pt idx="139">
                  <c:v>5305.0095218381284</c:v>
                </c:pt>
                <c:pt idx="140">
                  <c:v>5228.584867075665</c:v>
                </c:pt>
                <c:pt idx="141">
                  <c:v>5441.6023095623987</c:v>
                </c:pt>
                <c:pt idx="142">
                  <c:v>6105.8714867617109</c:v>
                </c:pt>
                <c:pt idx="143">
                  <c:v>5423.7540858988978</c:v>
                </c:pt>
                <c:pt idx="144">
                  <c:v>5568.3312335958008</c:v>
                </c:pt>
                <c:pt idx="145">
                  <c:v>5628.8908023982649</c:v>
                </c:pt>
                <c:pt idx="146">
                  <c:v>5658.8205875212434</c:v>
                </c:pt>
                <c:pt idx="147">
                  <c:v>5379.9733403582723</c:v>
                </c:pt>
                <c:pt idx="148">
                  <c:v>5131.7222053000305</c:v>
                </c:pt>
                <c:pt idx="149">
                  <c:v>5471.4335973475781</c:v>
                </c:pt>
                <c:pt idx="150">
                  <c:v>5211.8870235546037</c:v>
                </c:pt>
                <c:pt idx="151">
                  <c:v>5650.2778741414004</c:v>
                </c:pt>
                <c:pt idx="152">
                  <c:v>5423.7372307946198</c:v>
                </c:pt>
                <c:pt idx="153">
                  <c:v>5431.1702328778892</c:v>
                </c:pt>
              </c:numCache>
            </c:numRef>
          </c:yVal>
          <c:smooth val="0"/>
          <c:extLst>
            <c:ext xmlns:c16="http://schemas.microsoft.com/office/drawing/2014/chart" uri="{C3380CC4-5D6E-409C-BE32-E72D297353CC}">
              <c16:uniqueId val="{00000000-A375-40D9-AC12-598AEA9BA67F}"/>
            </c:ext>
          </c:extLst>
        </c:ser>
        <c:ser>
          <c:idx val="1"/>
          <c:order val="1"/>
          <c:tx>
            <c:v>Per Pupil under SBB</c:v>
          </c:tx>
          <c:spPr>
            <a:ln w="25400" cap="rnd">
              <a:noFill/>
              <a:round/>
            </a:ln>
            <a:effectLst/>
          </c:spPr>
          <c:marker>
            <c:symbol val="circle"/>
            <c:size val="5"/>
            <c:spPr>
              <a:solidFill>
                <a:schemeClr val="accent2"/>
              </a:solidFill>
              <a:ln w="9525">
                <a:solidFill>
                  <a:schemeClr val="accent2"/>
                </a:solidFill>
              </a:ln>
              <a:effectLst/>
            </c:spPr>
          </c:marker>
          <c:xVal>
            <c:numRef>
              <c:f>'Graph Data SBB $ only'!$C$3:$C$156</c:f>
              <c:numCache>
                <c:formatCode>0%</c:formatCode>
                <c:ptCount val="154"/>
                <c:pt idx="0">
                  <c:v>0</c:v>
                </c:pt>
                <c:pt idx="1">
                  <c:v>0</c:v>
                </c:pt>
                <c:pt idx="2">
                  <c:v>0</c:v>
                </c:pt>
                <c:pt idx="3">
                  <c:v>0</c:v>
                </c:pt>
                <c:pt idx="4">
                  <c:v>0</c:v>
                </c:pt>
                <c:pt idx="5">
                  <c:v>0.9101123595505618</c:v>
                </c:pt>
                <c:pt idx="6">
                  <c:v>0.55102040816326525</c:v>
                </c:pt>
                <c:pt idx="7">
                  <c:v>0.17647058823529413</c:v>
                </c:pt>
                <c:pt idx="8">
                  <c:v>0.64</c:v>
                </c:pt>
                <c:pt idx="9">
                  <c:v>0.56399999999999995</c:v>
                </c:pt>
                <c:pt idx="10">
                  <c:v>0.59340659340659341</c:v>
                </c:pt>
                <c:pt idx="11">
                  <c:v>0.54450261780104714</c:v>
                </c:pt>
                <c:pt idx="12">
                  <c:v>0.50420168067226889</c:v>
                </c:pt>
                <c:pt idx="13">
                  <c:v>0.60431654676258995</c:v>
                </c:pt>
                <c:pt idx="14">
                  <c:v>0.45794392523364486</c:v>
                </c:pt>
                <c:pt idx="15">
                  <c:v>0.90476190476190477</c:v>
                </c:pt>
                <c:pt idx="16">
                  <c:v>0.6097560975609756</c:v>
                </c:pt>
                <c:pt idx="17">
                  <c:v>0.47651006711409394</c:v>
                </c:pt>
                <c:pt idx="18">
                  <c:v>0.81967213114754101</c:v>
                </c:pt>
                <c:pt idx="19">
                  <c:v>0.38305084745762713</c:v>
                </c:pt>
                <c:pt idx="20">
                  <c:v>0.76100628930817615</c:v>
                </c:pt>
                <c:pt idx="21">
                  <c:v>0.65189873417721522</c:v>
                </c:pt>
                <c:pt idx="22">
                  <c:v>0.40799999999999997</c:v>
                </c:pt>
                <c:pt idx="23">
                  <c:v>0.5</c:v>
                </c:pt>
                <c:pt idx="24">
                  <c:v>0.5</c:v>
                </c:pt>
                <c:pt idx="25">
                  <c:v>0.4375</c:v>
                </c:pt>
                <c:pt idx="26">
                  <c:v>0.52439024390243905</c:v>
                </c:pt>
                <c:pt idx="27">
                  <c:v>0</c:v>
                </c:pt>
                <c:pt idx="28">
                  <c:v>0</c:v>
                </c:pt>
                <c:pt idx="29">
                  <c:v>0.41025641025641024</c:v>
                </c:pt>
                <c:pt idx="30">
                  <c:v>0.49624060150375937</c:v>
                </c:pt>
                <c:pt idx="31">
                  <c:v>0.50622406639004147</c:v>
                </c:pt>
                <c:pt idx="32">
                  <c:v>0.44019138755980863</c:v>
                </c:pt>
                <c:pt idx="33">
                  <c:v>0.70940170940170943</c:v>
                </c:pt>
                <c:pt idx="34">
                  <c:v>0.42899850523168909</c:v>
                </c:pt>
                <c:pt idx="35">
                  <c:v>0.54085603112840464</c:v>
                </c:pt>
                <c:pt idx="36">
                  <c:v>0.42016806722689076</c:v>
                </c:pt>
                <c:pt idx="37">
                  <c:v>0.14613180515759314</c:v>
                </c:pt>
                <c:pt idx="38">
                  <c:v>0</c:v>
                </c:pt>
                <c:pt idx="39">
                  <c:v>0.75163398692810457</c:v>
                </c:pt>
                <c:pt idx="40">
                  <c:v>0.66816143497757852</c:v>
                </c:pt>
                <c:pt idx="41">
                  <c:v>0.35971223021582732</c:v>
                </c:pt>
                <c:pt idx="42">
                  <c:v>0.36680327868852458</c:v>
                </c:pt>
                <c:pt idx="43">
                  <c:v>0.6</c:v>
                </c:pt>
                <c:pt idx="44">
                  <c:v>0</c:v>
                </c:pt>
                <c:pt idx="45">
                  <c:v>0</c:v>
                </c:pt>
                <c:pt idx="46">
                  <c:v>0</c:v>
                </c:pt>
                <c:pt idx="47">
                  <c:v>0.64</c:v>
                </c:pt>
                <c:pt idx="48">
                  <c:v>0.35546875</c:v>
                </c:pt>
                <c:pt idx="49">
                  <c:v>0.22222222222222221</c:v>
                </c:pt>
                <c:pt idx="50">
                  <c:v>0.21069182389937108</c:v>
                </c:pt>
                <c:pt idx="51">
                  <c:v>0</c:v>
                </c:pt>
                <c:pt idx="52">
                  <c:v>0.38695652173913042</c:v>
                </c:pt>
                <c:pt idx="53">
                  <c:v>0.52716143840856922</c:v>
                </c:pt>
                <c:pt idx="54">
                  <c:v>0.65346534653465349</c:v>
                </c:pt>
                <c:pt idx="55">
                  <c:v>0.28235294117647058</c:v>
                </c:pt>
                <c:pt idx="56">
                  <c:v>0.78333333333333333</c:v>
                </c:pt>
                <c:pt idx="57">
                  <c:v>0.48063380281690143</c:v>
                </c:pt>
                <c:pt idx="58">
                  <c:v>0.46889952153110048</c:v>
                </c:pt>
                <c:pt idx="59">
                  <c:v>0.71084337349397586</c:v>
                </c:pt>
                <c:pt idx="60">
                  <c:v>0.67791411042944782</c:v>
                </c:pt>
                <c:pt idx="61">
                  <c:v>0.45454545454545453</c:v>
                </c:pt>
                <c:pt idx="62">
                  <c:v>0.5761316872427984</c:v>
                </c:pt>
                <c:pt idx="63">
                  <c:v>0.67007672634271098</c:v>
                </c:pt>
                <c:pt idx="64">
                  <c:v>0.38141809290953543</c:v>
                </c:pt>
                <c:pt idx="65">
                  <c:v>0</c:v>
                </c:pt>
                <c:pt idx="66">
                  <c:v>0.38095238095238093</c:v>
                </c:pt>
                <c:pt idx="67">
                  <c:v>0</c:v>
                </c:pt>
                <c:pt idx="68">
                  <c:v>0.36138613861386137</c:v>
                </c:pt>
                <c:pt idx="69">
                  <c:v>0</c:v>
                </c:pt>
                <c:pt idx="70">
                  <c:v>0.67441860465116277</c:v>
                </c:pt>
                <c:pt idx="71">
                  <c:v>0.46186440677966101</c:v>
                </c:pt>
                <c:pt idx="72">
                  <c:v>0</c:v>
                </c:pt>
                <c:pt idx="73">
                  <c:v>0.93548387096774188</c:v>
                </c:pt>
                <c:pt idx="74">
                  <c:v>0.47544204322200395</c:v>
                </c:pt>
                <c:pt idx="75">
                  <c:v>0.35080645161290325</c:v>
                </c:pt>
                <c:pt idx="76">
                  <c:v>0.43973214285714285</c:v>
                </c:pt>
                <c:pt idx="77">
                  <c:v>0.30857142857142855</c:v>
                </c:pt>
                <c:pt idx="78">
                  <c:v>0.8899253731343284</c:v>
                </c:pt>
                <c:pt idx="79">
                  <c:v>0.50819672131147542</c:v>
                </c:pt>
                <c:pt idx="80">
                  <c:v>0.6987951807228916</c:v>
                </c:pt>
                <c:pt idx="81">
                  <c:v>0.60273972602739723</c:v>
                </c:pt>
                <c:pt idx="82">
                  <c:v>0.47807017543859648</c:v>
                </c:pt>
                <c:pt idx="83">
                  <c:v>0.5088282504012841</c:v>
                </c:pt>
                <c:pt idx="84">
                  <c:v>0.53649105848235867</c:v>
                </c:pt>
                <c:pt idx="85">
                  <c:v>0</c:v>
                </c:pt>
                <c:pt idx="86">
                  <c:v>0</c:v>
                </c:pt>
                <c:pt idx="87">
                  <c:v>0.47520661157024796</c:v>
                </c:pt>
                <c:pt idx="88">
                  <c:v>0.71296296296296291</c:v>
                </c:pt>
                <c:pt idx="89">
                  <c:v>0</c:v>
                </c:pt>
                <c:pt idx="90">
                  <c:v>0.70292887029288698</c:v>
                </c:pt>
                <c:pt idx="91">
                  <c:v>0.55466666666666664</c:v>
                </c:pt>
                <c:pt idx="92">
                  <c:v>0.62875816993464051</c:v>
                </c:pt>
                <c:pt idx="93">
                  <c:v>0.34972677595628415</c:v>
                </c:pt>
                <c:pt idx="94">
                  <c:v>0.50686641697877655</c:v>
                </c:pt>
                <c:pt idx="95">
                  <c:v>0.30804597701149428</c:v>
                </c:pt>
                <c:pt idx="96">
                  <c:v>0.66383495145631066</c:v>
                </c:pt>
                <c:pt idx="97">
                  <c:v>0.46754675467546752</c:v>
                </c:pt>
                <c:pt idx="98">
                  <c:v>0.50708833151581245</c:v>
                </c:pt>
                <c:pt idx="99">
                  <c:v>0.46262626262626261</c:v>
                </c:pt>
                <c:pt idx="100">
                  <c:v>0</c:v>
                </c:pt>
                <c:pt idx="101">
                  <c:v>0.2857142857142857</c:v>
                </c:pt>
                <c:pt idx="102">
                  <c:v>0.33653846153846156</c:v>
                </c:pt>
                <c:pt idx="103">
                  <c:v>0.69078014184397163</c:v>
                </c:pt>
                <c:pt idx="104">
                  <c:v>0.57473684210526321</c:v>
                </c:pt>
                <c:pt idx="105">
                  <c:v>0.46146872166817771</c:v>
                </c:pt>
                <c:pt idx="106">
                  <c:v>0.5542056074766355</c:v>
                </c:pt>
                <c:pt idx="107">
                  <c:v>0.77683854606931535</c:v>
                </c:pt>
                <c:pt idx="108">
                  <c:v>0.49909420289855072</c:v>
                </c:pt>
                <c:pt idx="109">
                  <c:v>0.51584786053882725</c:v>
                </c:pt>
                <c:pt idx="110">
                  <c:v>0.60843881856540083</c:v>
                </c:pt>
                <c:pt idx="111">
                  <c:v>0.66640502354788067</c:v>
                </c:pt>
                <c:pt idx="112">
                  <c:v>0.67711598746081503</c:v>
                </c:pt>
                <c:pt idx="113">
                  <c:v>0.48328025477707004</c:v>
                </c:pt>
                <c:pt idx="114">
                  <c:v>0.56206896551724139</c:v>
                </c:pt>
                <c:pt idx="115">
                  <c:v>0.68577348066298338</c:v>
                </c:pt>
                <c:pt idx="116">
                  <c:v>0.59727385377942999</c:v>
                </c:pt>
                <c:pt idx="117">
                  <c:v>0.46276923076923077</c:v>
                </c:pt>
                <c:pt idx="118">
                  <c:v>0.76732358550540369</c:v>
                </c:pt>
                <c:pt idx="119">
                  <c:v>0.46358454718176062</c:v>
                </c:pt>
                <c:pt idx="120">
                  <c:v>0.44536326048434732</c:v>
                </c:pt>
                <c:pt idx="121">
                  <c:v>0.46718576195773082</c:v>
                </c:pt>
                <c:pt idx="122">
                  <c:v>0.34390112842557763</c:v>
                </c:pt>
                <c:pt idx="123">
                  <c:v>0.46642899584076053</c:v>
                </c:pt>
                <c:pt idx="124">
                  <c:v>0.42863574966231427</c:v>
                </c:pt>
                <c:pt idx="125">
                  <c:v>0.54722222222222228</c:v>
                </c:pt>
                <c:pt idx="126">
                  <c:v>0</c:v>
                </c:pt>
                <c:pt idx="127">
                  <c:v>0.3125</c:v>
                </c:pt>
                <c:pt idx="128">
                  <c:v>0.57480946650621745</c:v>
                </c:pt>
                <c:pt idx="129">
                  <c:v>0.43193069306930693</c:v>
                </c:pt>
                <c:pt idx="130">
                  <c:v>0.41674221819280749</c:v>
                </c:pt>
                <c:pt idx="131">
                  <c:v>0.45081266039349871</c:v>
                </c:pt>
                <c:pt idx="132">
                  <c:v>0.67589662447257381</c:v>
                </c:pt>
                <c:pt idx="133">
                  <c:v>0.45277127244340359</c:v>
                </c:pt>
                <c:pt idx="134">
                  <c:v>0.52148337595907923</c:v>
                </c:pt>
                <c:pt idx="135">
                  <c:v>0.56882480957562565</c:v>
                </c:pt>
                <c:pt idx="136">
                  <c:v>0.44638583054092867</c:v>
                </c:pt>
                <c:pt idx="137">
                  <c:v>0.63497081712062253</c:v>
                </c:pt>
                <c:pt idx="138">
                  <c:v>0.39093242087254065</c:v>
                </c:pt>
                <c:pt idx="139">
                  <c:v>0.3919336163643381</c:v>
                </c:pt>
                <c:pt idx="140">
                  <c:v>0.40529575058723039</c:v>
                </c:pt>
                <c:pt idx="141">
                  <c:v>0.4140067592940293</c:v>
                </c:pt>
                <c:pt idx="142">
                  <c:v>0.53291901340066028</c:v>
                </c:pt>
                <c:pt idx="143">
                  <c:v>0.47652366046768552</c:v>
                </c:pt>
                <c:pt idx="144">
                  <c:v>0.82184634840341453</c:v>
                </c:pt>
                <c:pt idx="145">
                  <c:v>0.66835269993164725</c:v>
                </c:pt>
                <c:pt idx="146">
                  <c:v>0.59374306634124696</c:v>
                </c:pt>
                <c:pt idx="147">
                  <c:v>0.49492940942533309</c:v>
                </c:pt>
                <c:pt idx="148">
                  <c:v>0.41819390371284776</c:v>
                </c:pt>
                <c:pt idx="149">
                  <c:v>0.42962774094849565</c:v>
                </c:pt>
                <c:pt idx="150">
                  <c:v>0.49444620755315771</c:v>
                </c:pt>
                <c:pt idx="151">
                  <c:v>0.60365717683788001</c:v>
                </c:pt>
                <c:pt idx="152">
                  <c:v>0.3524982351556985</c:v>
                </c:pt>
                <c:pt idx="153">
                  <c:v>0.26971913320101143</c:v>
                </c:pt>
              </c:numCache>
            </c:numRef>
          </c:xVal>
          <c:yVal>
            <c:numRef>
              <c:f>'Graph Data SBB $ only'!$J$3:$J$156</c:f>
              <c:numCache>
                <c:formatCode>_("$"* #,##0_);_("$"* \(#,##0\);_("$"* "-"??_);_(@_)</c:formatCode>
                <c:ptCount val="154"/>
                <c:pt idx="0">
                  <c:v>5526</c:v>
                </c:pt>
                <c:pt idx="1">
                  <c:v>5777.181818181818</c:v>
                </c:pt>
                <c:pt idx="2">
                  <c:v>6140</c:v>
                </c:pt>
                <c:pt idx="3">
                  <c:v>6078.6</c:v>
                </c:pt>
                <c:pt idx="4">
                  <c:v>5526</c:v>
                </c:pt>
                <c:pt idx="5">
                  <c:v>5877.9745222929932</c:v>
                </c:pt>
                <c:pt idx="6">
                  <c:v>5582.3877551020405</c:v>
                </c:pt>
                <c:pt idx="7">
                  <c:v>5739.5339578454332</c:v>
                </c:pt>
                <c:pt idx="8">
                  <c:v>5756.25</c:v>
                </c:pt>
                <c:pt idx="9">
                  <c:v>5553.4243176178661</c:v>
                </c:pt>
                <c:pt idx="10">
                  <c:v>5642.7464788732395</c:v>
                </c:pt>
                <c:pt idx="11">
                  <c:v>5963.0847457627115</c:v>
                </c:pt>
                <c:pt idx="12">
                  <c:v>5777.181818181818</c:v>
                </c:pt>
                <c:pt idx="13">
                  <c:v>5708.4622641509432</c:v>
                </c:pt>
                <c:pt idx="14">
                  <c:v>5729.5894736842101</c:v>
                </c:pt>
                <c:pt idx="15">
                  <c:v>6120.5696202531644</c:v>
                </c:pt>
                <c:pt idx="16">
                  <c:v>5648.2566371681414</c:v>
                </c:pt>
                <c:pt idx="17">
                  <c:v>5819.045454545455</c:v>
                </c:pt>
                <c:pt idx="18">
                  <c:v>5838.3391304347824</c:v>
                </c:pt>
                <c:pt idx="19">
                  <c:v>5766.260869565217</c:v>
                </c:pt>
                <c:pt idx="20">
                  <c:v>5744.6546762589924</c:v>
                </c:pt>
                <c:pt idx="21">
                  <c:v>5703.6214285714286</c:v>
                </c:pt>
                <c:pt idx="22">
                  <c:v>5675.9302325581393</c:v>
                </c:pt>
                <c:pt idx="23">
                  <c:v>5699.8951048951049</c:v>
                </c:pt>
                <c:pt idx="24">
                  <c:v>5700.8734177215192</c:v>
                </c:pt>
                <c:pt idx="25">
                  <c:v>5741.859375</c:v>
                </c:pt>
                <c:pt idx="26">
                  <c:v>5768.6959459459458</c:v>
                </c:pt>
                <c:pt idx="27">
                  <c:v>5526</c:v>
                </c:pt>
                <c:pt idx="28">
                  <c:v>5710.2</c:v>
                </c:pt>
                <c:pt idx="29">
                  <c:v>5825.6024096385545</c:v>
                </c:pt>
                <c:pt idx="30">
                  <c:v>5726.4248704663214</c:v>
                </c:pt>
                <c:pt idx="31">
                  <c:v>5731.618604651163</c:v>
                </c:pt>
                <c:pt idx="32">
                  <c:v>5709.327014218009</c:v>
                </c:pt>
                <c:pt idx="33">
                  <c:v>5718.7674418604647</c:v>
                </c:pt>
                <c:pt idx="34">
                  <c:v>5715.4880382775118</c:v>
                </c:pt>
                <c:pt idx="35">
                  <c:v>5712.5316455696202</c:v>
                </c:pt>
                <c:pt idx="36">
                  <c:v>5828.9605263157891</c:v>
                </c:pt>
                <c:pt idx="37">
                  <c:v>6006.521739130435</c:v>
                </c:pt>
                <c:pt idx="38">
                  <c:v>0</c:v>
                </c:pt>
                <c:pt idx="39">
                  <c:v>5793.7325581395353</c:v>
                </c:pt>
                <c:pt idx="40">
                  <c:v>5806.304347826087</c:v>
                </c:pt>
                <c:pt idx="41">
                  <c:v>5694.3045685279185</c:v>
                </c:pt>
                <c:pt idx="42">
                  <c:v>5829.4874141876426</c:v>
                </c:pt>
                <c:pt idx="43">
                  <c:v>5687.264591439689</c:v>
                </c:pt>
                <c:pt idx="44">
                  <c:v>5774.6349809885933</c:v>
                </c:pt>
                <c:pt idx="45">
                  <c:v>0</c:v>
                </c:pt>
                <c:pt idx="46">
                  <c:v>0</c:v>
                </c:pt>
                <c:pt idx="47">
                  <c:v>5713.4892857142859</c:v>
                </c:pt>
                <c:pt idx="48">
                  <c:v>5721.7124999999996</c:v>
                </c:pt>
                <c:pt idx="49">
                  <c:v>5791.2479999999996</c:v>
                </c:pt>
                <c:pt idx="50">
                  <c:v>5772.0205479452052</c:v>
                </c:pt>
                <c:pt idx="51">
                  <c:v>0</c:v>
                </c:pt>
                <c:pt idx="52">
                  <c:v>5526</c:v>
                </c:pt>
                <c:pt idx="53">
                  <c:v>5630.8861171366598</c:v>
                </c:pt>
                <c:pt idx="54">
                  <c:v>5841.7714285714283</c:v>
                </c:pt>
                <c:pt idx="55">
                  <c:v>5729.2253521126759</c:v>
                </c:pt>
                <c:pt idx="56">
                  <c:v>5850.4804270462637</c:v>
                </c:pt>
                <c:pt idx="57">
                  <c:v>6090.5552884615381</c:v>
                </c:pt>
                <c:pt idx="58">
                  <c:v>5526</c:v>
                </c:pt>
                <c:pt idx="59">
                  <c:v>5841</c:v>
                </c:pt>
                <c:pt idx="60">
                  <c:v>5874.9112627986351</c:v>
                </c:pt>
                <c:pt idx="61">
                  <c:v>5659.1566265060237</c:v>
                </c:pt>
                <c:pt idx="62">
                  <c:v>5823.3632286995517</c:v>
                </c:pt>
                <c:pt idx="63">
                  <c:v>5724.9359999999997</c:v>
                </c:pt>
                <c:pt idx="64">
                  <c:v>5731.2095490716183</c:v>
                </c:pt>
                <c:pt idx="65">
                  <c:v>5526</c:v>
                </c:pt>
                <c:pt idx="66">
                  <c:v>5650.5295774647884</c:v>
                </c:pt>
                <c:pt idx="67">
                  <c:v>0</c:v>
                </c:pt>
                <c:pt idx="68">
                  <c:v>5699.1383812010445</c:v>
                </c:pt>
                <c:pt idx="69">
                  <c:v>0</c:v>
                </c:pt>
                <c:pt idx="70">
                  <c:v>5697.3488372093025</c:v>
                </c:pt>
                <c:pt idx="71">
                  <c:v>5779.7448979591836</c:v>
                </c:pt>
                <c:pt idx="72">
                  <c:v>5817.9140049140051</c:v>
                </c:pt>
                <c:pt idx="73">
                  <c:v>5748.7103274559195</c:v>
                </c:pt>
                <c:pt idx="74">
                  <c:v>5823.0967741935483</c:v>
                </c:pt>
                <c:pt idx="75">
                  <c:v>5828.7945205479455</c:v>
                </c:pt>
                <c:pt idx="76">
                  <c:v>5791.6730769230771</c:v>
                </c:pt>
                <c:pt idx="77">
                  <c:v>5920.7142857142853</c:v>
                </c:pt>
                <c:pt idx="78">
                  <c:v>5759.8396436525609</c:v>
                </c:pt>
                <c:pt idx="79">
                  <c:v>5694.9170305676853</c:v>
                </c:pt>
                <c:pt idx="80">
                  <c:v>5783.5677966101694</c:v>
                </c:pt>
                <c:pt idx="81">
                  <c:v>5714.8381294964029</c:v>
                </c:pt>
                <c:pt idx="82">
                  <c:v>5775.8959044368603</c:v>
                </c:pt>
                <c:pt idx="83">
                  <c:v>5695.4514480408861</c:v>
                </c:pt>
                <c:pt idx="84">
                  <c:v>5673.767634854772</c:v>
                </c:pt>
                <c:pt idx="85">
                  <c:v>0</c:v>
                </c:pt>
                <c:pt idx="86">
                  <c:v>5526</c:v>
                </c:pt>
                <c:pt idx="87">
                  <c:v>5648.8</c:v>
                </c:pt>
                <c:pt idx="88">
                  <c:v>5885.609544468547</c:v>
                </c:pt>
                <c:pt idx="89">
                  <c:v>5861.5581395348836</c:v>
                </c:pt>
                <c:pt idx="90">
                  <c:v>5783.6030075187973</c:v>
                </c:pt>
                <c:pt idx="91">
                  <c:v>5787.5857988165681</c:v>
                </c:pt>
                <c:pt idx="92">
                  <c:v>5776.8140556368962</c:v>
                </c:pt>
                <c:pt idx="93">
                  <c:v>5755.6519480519482</c:v>
                </c:pt>
                <c:pt idx="94">
                  <c:v>5710.939759036145</c:v>
                </c:pt>
                <c:pt idx="95">
                  <c:v>6045.4741144414165</c:v>
                </c:pt>
                <c:pt idx="96">
                  <c:v>5722.3372093023254</c:v>
                </c:pt>
                <c:pt idx="97">
                  <c:v>5781.5775000000003</c:v>
                </c:pt>
                <c:pt idx="98">
                  <c:v>5758.7081850533805</c:v>
                </c:pt>
                <c:pt idx="99">
                  <c:v>5741.9082672706681</c:v>
                </c:pt>
                <c:pt idx="100">
                  <c:v>0</c:v>
                </c:pt>
                <c:pt idx="101">
                  <c:v>5806.9830508474579</c:v>
                </c:pt>
                <c:pt idx="102">
                  <c:v>5725.5975232198143</c:v>
                </c:pt>
                <c:pt idx="103">
                  <c:v>5766.5159235668789</c:v>
                </c:pt>
                <c:pt idx="104">
                  <c:v>5718.5808325266216</c:v>
                </c:pt>
                <c:pt idx="105">
                  <c:v>5819.045454545455</c:v>
                </c:pt>
                <c:pt idx="106">
                  <c:v>5710.0168986083499</c:v>
                </c:pt>
                <c:pt idx="107">
                  <c:v>5767.5302593659944</c:v>
                </c:pt>
                <c:pt idx="108">
                  <c:v>5735.3599202392825</c:v>
                </c:pt>
                <c:pt idx="109">
                  <c:v>5769.7209720972096</c:v>
                </c:pt>
                <c:pt idx="110">
                  <c:v>5718.9400179051026</c:v>
                </c:pt>
                <c:pt idx="111">
                  <c:v>5756.25</c:v>
                </c:pt>
                <c:pt idx="112">
                  <c:v>5742.8907849829347</c:v>
                </c:pt>
                <c:pt idx="113">
                  <c:v>5711.4519966015296</c:v>
                </c:pt>
                <c:pt idx="114">
                  <c:v>5711.8899082568805</c:v>
                </c:pt>
                <c:pt idx="115">
                  <c:v>5761.8908685968818</c:v>
                </c:pt>
                <c:pt idx="116">
                  <c:v>5706.7025316455693</c:v>
                </c:pt>
                <c:pt idx="117">
                  <c:v>5727.4494983277591</c:v>
                </c:pt>
                <c:pt idx="118">
                  <c:v>5778.6400580551526</c:v>
                </c:pt>
                <c:pt idx="119">
                  <c:v>5690.7573680603155</c:v>
                </c:pt>
                <c:pt idx="120">
                  <c:v>5766.3382731958764</c:v>
                </c:pt>
                <c:pt idx="121">
                  <c:v>5769.1440000000002</c:v>
                </c:pt>
                <c:pt idx="122">
                  <c:v>5762.1109090909094</c:v>
                </c:pt>
                <c:pt idx="123">
                  <c:v>5742.18893129771</c:v>
                </c:pt>
                <c:pt idx="124">
                  <c:v>5782.2350343473991</c:v>
                </c:pt>
                <c:pt idx="125">
                  <c:v>5739.2842105263162</c:v>
                </c:pt>
                <c:pt idx="126">
                  <c:v>0</c:v>
                </c:pt>
                <c:pt idx="127">
                  <c:v>5740.9814323607425</c:v>
                </c:pt>
                <c:pt idx="128">
                  <c:v>5725.7493506493511</c:v>
                </c:pt>
                <c:pt idx="129">
                  <c:v>5708.1508034610633</c:v>
                </c:pt>
                <c:pt idx="130">
                  <c:v>5722.3231827111986</c:v>
                </c:pt>
                <c:pt idx="131">
                  <c:v>5712.2326274977631</c:v>
                </c:pt>
                <c:pt idx="132">
                  <c:v>5755.529445234708</c:v>
                </c:pt>
                <c:pt idx="133">
                  <c:v>5707.293189368771</c:v>
                </c:pt>
                <c:pt idx="134">
                  <c:v>5783.0417626728113</c:v>
                </c:pt>
                <c:pt idx="135">
                  <c:v>5720.6849958552084</c:v>
                </c:pt>
                <c:pt idx="136">
                  <c:v>5706.3947972456008</c:v>
                </c:pt>
                <c:pt idx="137">
                  <c:v>5761.7127713276122</c:v>
                </c:pt>
                <c:pt idx="138">
                  <c:v>5730.5493926197569</c:v>
                </c:pt>
                <c:pt idx="139">
                  <c:v>5765.0672738563444</c:v>
                </c:pt>
                <c:pt idx="140">
                  <c:v>5722.6306748466259</c:v>
                </c:pt>
                <c:pt idx="141">
                  <c:v>5769.4977714748784</c:v>
                </c:pt>
                <c:pt idx="142">
                  <c:v>5774.7262729124241</c:v>
                </c:pt>
                <c:pt idx="143">
                  <c:v>5734.4589509692132</c:v>
                </c:pt>
                <c:pt idx="144">
                  <c:v>5784.6535433070867</c:v>
                </c:pt>
                <c:pt idx="145">
                  <c:v>5762.8587830080369</c:v>
                </c:pt>
                <c:pt idx="146">
                  <c:v>5769.498179169701</c:v>
                </c:pt>
                <c:pt idx="147">
                  <c:v>5753.0958904109593</c:v>
                </c:pt>
                <c:pt idx="148">
                  <c:v>5743.9765458422171</c:v>
                </c:pt>
                <c:pt idx="149">
                  <c:v>5755.783477620188</c:v>
                </c:pt>
                <c:pt idx="150">
                  <c:v>5750.3532334047113</c:v>
                </c:pt>
                <c:pt idx="151">
                  <c:v>5733.2297925483936</c:v>
                </c:pt>
                <c:pt idx="152">
                  <c:v>5725.4904695106861</c:v>
                </c:pt>
                <c:pt idx="153">
                  <c:v>5729.0046403712295</c:v>
                </c:pt>
              </c:numCache>
            </c:numRef>
          </c:yVal>
          <c:smooth val="0"/>
          <c:extLst>
            <c:ext xmlns:c16="http://schemas.microsoft.com/office/drawing/2014/chart" uri="{C3380CC4-5D6E-409C-BE32-E72D297353CC}">
              <c16:uniqueId val="{00000001-A375-40D9-AC12-598AEA9BA67F}"/>
            </c:ext>
          </c:extLst>
        </c:ser>
        <c:dLbls>
          <c:showLegendKey val="0"/>
          <c:showVal val="0"/>
          <c:showCatName val="0"/>
          <c:showSerName val="0"/>
          <c:showPercent val="0"/>
          <c:showBubbleSize val="0"/>
        </c:dLbls>
        <c:axId val="1406106112"/>
        <c:axId val="1406108080"/>
      </c:scatterChart>
      <c:valAx>
        <c:axId val="1406106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108080"/>
        <c:crosses val="autoZero"/>
        <c:crossBetween val="midCat"/>
      </c:valAx>
      <c:valAx>
        <c:axId val="1406108080"/>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106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Property</a:t>
            </a:r>
            <a:r>
              <a:rPr lang="en-US" baseline="0"/>
              <a:t> Wealth by % Low Income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'Graph Data SBB $ only'!$C$3:$C$156</c:f>
              <c:numCache>
                <c:formatCode>0%</c:formatCode>
                <c:ptCount val="154"/>
                <c:pt idx="0">
                  <c:v>0</c:v>
                </c:pt>
                <c:pt idx="1">
                  <c:v>0</c:v>
                </c:pt>
                <c:pt idx="2">
                  <c:v>0</c:v>
                </c:pt>
                <c:pt idx="3">
                  <c:v>0</c:v>
                </c:pt>
                <c:pt idx="4">
                  <c:v>0</c:v>
                </c:pt>
                <c:pt idx="5">
                  <c:v>0.9101123595505618</c:v>
                </c:pt>
                <c:pt idx="6">
                  <c:v>0.55102040816326525</c:v>
                </c:pt>
                <c:pt idx="7">
                  <c:v>0.17647058823529413</c:v>
                </c:pt>
                <c:pt idx="8">
                  <c:v>0.64</c:v>
                </c:pt>
                <c:pt idx="9">
                  <c:v>0.56399999999999995</c:v>
                </c:pt>
                <c:pt idx="10">
                  <c:v>0.59340659340659341</c:v>
                </c:pt>
                <c:pt idx="11">
                  <c:v>0.54450261780104714</c:v>
                </c:pt>
                <c:pt idx="12">
                  <c:v>0.50420168067226889</c:v>
                </c:pt>
                <c:pt idx="13">
                  <c:v>0.60431654676258995</c:v>
                </c:pt>
                <c:pt idx="14">
                  <c:v>0.45794392523364486</c:v>
                </c:pt>
                <c:pt idx="15">
                  <c:v>0.90476190476190477</c:v>
                </c:pt>
                <c:pt idx="16">
                  <c:v>0.6097560975609756</c:v>
                </c:pt>
                <c:pt idx="17">
                  <c:v>0.47651006711409394</c:v>
                </c:pt>
                <c:pt idx="18">
                  <c:v>0.81967213114754101</c:v>
                </c:pt>
                <c:pt idx="19">
                  <c:v>0.38305084745762713</c:v>
                </c:pt>
                <c:pt idx="20">
                  <c:v>0.76100628930817615</c:v>
                </c:pt>
                <c:pt idx="21">
                  <c:v>0.65189873417721522</c:v>
                </c:pt>
                <c:pt idx="22">
                  <c:v>0.40799999999999997</c:v>
                </c:pt>
                <c:pt idx="23">
                  <c:v>0.5</c:v>
                </c:pt>
                <c:pt idx="24">
                  <c:v>0.5</c:v>
                </c:pt>
                <c:pt idx="25">
                  <c:v>0.4375</c:v>
                </c:pt>
                <c:pt idx="26">
                  <c:v>0.52439024390243905</c:v>
                </c:pt>
                <c:pt idx="27">
                  <c:v>0</c:v>
                </c:pt>
                <c:pt idx="28">
                  <c:v>0</c:v>
                </c:pt>
                <c:pt idx="29">
                  <c:v>0.41025641025641024</c:v>
                </c:pt>
                <c:pt idx="30">
                  <c:v>0.49624060150375937</c:v>
                </c:pt>
                <c:pt idx="31">
                  <c:v>0.50622406639004147</c:v>
                </c:pt>
                <c:pt idx="32">
                  <c:v>0.44019138755980863</c:v>
                </c:pt>
                <c:pt idx="33">
                  <c:v>0.70940170940170943</c:v>
                </c:pt>
                <c:pt idx="34">
                  <c:v>0.42899850523168909</c:v>
                </c:pt>
                <c:pt idx="35">
                  <c:v>0.54085603112840464</c:v>
                </c:pt>
                <c:pt idx="36">
                  <c:v>0.42016806722689076</c:v>
                </c:pt>
                <c:pt idx="37">
                  <c:v>0.14613180515759314</c:v>
                </c:pt>
                <c:pt idx="38">
                  <c:v>0</c:v>
                </c:pt>
                <c:pt idx="39">
                  <c:v>0.75163398692810457</c:v>
                </c:pt>
                <c:pt idx="40">
                  <c:v>0.66816143497757852</c:v>
                </c:pt>
                <c:pt idx="41">
                  <c:v>0.35971223021582732</c:v>
                </c:pt>
                <c:pt idx="42">
                  <c:v>0.36680327868852458</c:v>
                </c:pt>
                <c:pt idx="43">
                  <c:v>0.6</c:v>
                </c:pt>
                <c:pt idx="44">
                  <c:v>0</c:v>
                </c:pt>
                <c:pt idx="45">
                  <c:v>0</c:v>
                </c:pt>
                <c:pt idx="46">
                  <c:v>0</c:v>
                </c:pt>
                <c:pt idx="47">
                  <c:v>0.64</c:v>
                </c:pt>
                <c:pt idx="48">
                  <c:v>0.35546875</c:v>
                </c:pt>
                <c:pt idx="49">
                  <c:v>0.22222222222222221</c:v>
                </c:pt>
                <c:pt idx="50">
                  <c:v>0.21069182389937108</c:v>
                </c:pt>
                <c:pt idx="51">
                  <c:v>0</c:v>
                </c:pt>
                <c:pt idx="52">
                  <c:v>0.38695652173913042</c:v>
                </c:pt>
                <c:pt idx="53">
                  <c:v>0.52716143840856922</c:v>
                </c:pt>
                <c:pt idx="54">
                  <c:v>0.65346534653465349</c:v>
                </c:pt>
                <c:pt idx="55">
                  <c:v>0.28235294117647058</c:v>
                </c:pt>
                <c:pt idx="56">
                  <c:v>0.78333333333333333</c:v>
                </c:pt>
                <c:pt idx="57">
                  <c:v>0.48063380281690143</c:v>
                </c:pt>
                <c:pt idx="58">
                  <c:v>0.46889952153110048</c:v>
                </c:pt>
                <c:pt idx="59">
                  <c:v>0.71084337349397586</c:v>
                </c:pt>
                <c:pt idx="60">
                  <c:v>0.67791411042944782</c:v>
                </c:pt>
                <c:pt idx="61">
                  <c:v>0.45454545454545453</c:v>
                </c:pt>
                <c:pt idx="62">
                  <c:v>0.5761316872427984</c:v>
                </c:pt>
                <c:pt idx="63">
                  <c:v>0.67007672634271098</c:v>
                </c:pt>
                <c:pt idx="64">
                  <c:v>0.38141809290953543</c:v>
                </c:pt>
                <c:pt idx="65">
                  <c:v>0</c:v>
                </c:pt>
                <c:pt idx="66">
                  <c:v>0.38095238095238093</c:v>
                </c:pt>
                <c:pt idx="67">
                  <c:v>0</c:v>
                </c:pt>
                <c:pt idx="68">
                  <c:v>0.36138613861386137</c:v>
                </c:pt>
                <c:pt idx="69">
                  <c:v>0</c:v>
                </c:pt>
                <c:pt idx="70">
                  <c:v>0.67441860465116277</c:v>
                </c:pt>
                <c:pt idx="71">
                  <c:v>0.46186440677966101</c:v>
                </c:pt>
                <c:pt idx="72">
                  <c:v>0</c:v>
                </c:pt>
                <c:pt idx="73">
                  <c:v>0.93548387096774188</c:v>
                </c:pt>
                <c:pt idx="74">
                  <c:v>0.47544204322200395</c:v>
                </c:pt>
                <c:pt idx="75">
                  <c:v>0.35080645161290325</c:v>
                </c:pt>
                <c:pt idx="76">
                  <c:v>0.43973214285714285</c:v>
                </c:pt>
                <c:pt idx="77">
                  <c:v>0.30857142857142855</c:v>
                </c:pt>
                <c:pt idx="78">
                  <c:v>0.8899253731343284</c:v>
                </c:pt>
                <c:pt idx="79">
                  <c:v>0.50819672131147542</c:v>
                </c:pt>
                <c:pt idx="80">
                  <c:v>0.6987951807228916</c:v>
                </c:pt>
                <c:pt idx="81">
                  <c:v>0.60273972602739723</c:v>
                </c:pt>
                <c:pt idx="82">
                  <c:v>0.47807017543859648</c:v>
                </c:pt>
                <c:pt idx="83">
                  <c:v>0.5088282504012841</c:v>
                </c:pt>
                <c:pt idx="84">
                  <c:v>0.53649105848235867</c:v>
                </c:pt>
                <c:pt idx="85">
                  <c:v>0</c:v>
                </c:pt>
                <c:pt idx="86">
                  <c:v>0</c:v>
                </c:pt>
                <c:pt idx="87">
                  <c:v>0.47520661157024796</c:v>
                </c:pt>
                <c:pt idx="88">
                  <c:v>0.71296296296296291</c:v>
                </c:pt>
                <c:pt idx="89">
                  <c:v>0</c:v>
                </c:pt>
                <c:pt idx="90">
                  <c:v>0.70292887029288698</c:v>
                </c:pt>
                <c:pt idx="91">
                  <c:v>0.55466666666666664</c:v>
                </c:pt>
                <c:pt idx="92">
                  <c:v>0.62875816993464051</c:v>
                </c:pt>
                <c:pt idx="93">
                  <c:v>0.34972677595628415</c:v>
                </c:pt>
                <c:pt idx="94">
                  <c:v>0.50686641697877655</c:v>
                </c:pt>
                <c:pt idx="95">
                  <c:v>0.30804597701149428</c:v>
                </c:pt>
                <c:pt idx="96">
                  <c:v>0.66383495145631066</c:v>
                </c:pt>
                <c:pt idx="97">
                  <c:v>0.46754675467546752</c:v>
                </c:pt>
                <c:pt idx="98">
                  <c:v>0.50708833151581245</c:v>
                </c:pt>
                <c:pt idx="99">
                  <c:v>0.46262626262626261</c:v>
                </c:pt>
                <c:pt idx="100">
                  <c:v>0</c:v>
                </c:pt>
                <c:pt idx="101">
                  <c:v>0.2857142857142857</c:v>
                </c:pt>
                <c:pt idx="102">
                  <c:v>0.33653846153846156</c:v>
                </c:pt>
                <c:pt idx="103">
                  <c:v>0.69078014184397163</c:v>
                </c:pt>
                <c:pt idx="104">
                  <c:v>0.57473684210526321</c:v>
                </c:pt>
                <c:pt idx="105">
                  <c:v>0.46146872166817771</c:v>
                </c:pt>
                <c:pt idx="106">
                  <c:v>0.5542056074766355</c:v>
                </c:pt>
                <c:pt idx="107">
                  <c:v>0.77683854606931535</c:v>
                </c:pt>
                <c:pt idx="108">
                  <c:v>0.49909420289855072</c:v>
                </c:pt>
                <c:pt idx="109">
                  <c:v>0.51584786053882725</c:v>
                </c:pt>
                <c:pt idx="110">
                  <c:v>0.60843881856540083</c:v>
                </c:pt>
                <c:pt idx="111">
                  <c:v>0.66640502354788067</c:v>
                </c:pt>
                <c:pt idx="112">
                  <c:v>0.67711598746081503</c:v>
                </c:pt>
                <c:pt idx="113">
                  <c:v>0.48328025477707004</c:v>
                </c:pt>
                <c:pt idx="114">
                  <c:v>0.56206896551724139</c:v>
                </c:pt>
                <c:pt idx="115">
                  <c:v>0.68577348066298338</c:v>
                </c:pt>
                <c:pt idx="116">
                  <c:v>0.59727385377942999</c:v>
                </c:pt>
                <c:pt idx="117">
                  <c:v>0.46276923076923077</c:v>
                </c:pt>
                <c:pt idx="118">
                  <c:v>0.76732358550540369</c:v>
                </c:pt>
                <c:pt idx="119">
                  <c:v>0.46358454718176062</c:v>
                </c:pt>
                <c:pt idx="120">
                  <c:v>0.44536326048434732</c:v>
                </c:pt>
                <c:pt idx="121">
                  <c:v>0.46718576195773082</c:v>
                </c:pt>
                <c:pt idx="122">
                  <c:v>0.34390112842557763</c:v>
                </c:pt>
                <c:pt idx="123">
                  <c:v>0.46642899584076053</c:v>
                </c:pt>
                <c:pt idx="124">
                  <c:v>0.42863574966231427</c:v>
                </c:pt>
                <c:pt idx="125">
                  <c:v>0.54722222222222228</c:v>
                </c:pt>
                <c:pt idx="126">
                  <c:v>0</c:v>
                </c:pt>
                <c:pt idx="127">
                  <c:v>0.3125</c:v>
                </c:pt>
                <c:pt idx="128">
                  <c:v>0.57480946650621745</c:v>
                </c:pt>
                <c:pt idx="129">
                  <c:v>0.43193069306930693</c:v>
                </c:pt>
                <c:pt idx="130">
                  <c:v>0.41674221819280749</c:v>
                </c:pt>
                <c:pt idx="131">
                  <c:v>0.45081266039349871</c:v>
                </c:pt>
                <c:pt idx="132">
                  <c:v>0.67589662447257381</c:v>
                </c:pt>
                <c:pt idx="133">
                  <c:v>0.45277127244340359</c:v>
                </c:pt>
                <c:pt idx="134">
                  <c:v>0.52148337595907923</c:v>
                </c:pt>
                <c:pt idx="135">
                  <c:v>0.56882480957562565</c:v>
                </c:pt>
                <c:pt idx="136">
                  <c:v>0.44638583054092867</c:v>
                </c:pt>
                <c:pt idx="137">
                  <c:v>0.63497081712062253</c:v>
                </c:pt>
                <c:pt idx="138">
                  <c:v>0.39093242087254065</c:v>
                </c:pt>
                <c:pt idx="139">
                  <c:v>0.3919336163643381</c:v>
                </c:pt>
                <c:pt idx="140">
                  <c:v>0.40529575058723039</c:v>
                </c:pt>
                <c:pt idx="141">
                  <c:v>0.4140067592940293</c:v>
                </c:pt>
                <c:pt idx="142">
                  <c:v>0.53291901340066028</c:v>
                </c:pt>
                <c:pt idx="143">
                  <c:v>0.47652366046768552</c:v>
                </c:pt>
                <c:pt idx="144">
                  <c:v>0.82184634840341453</c:v>
                </c:pt>
                <c:pt idx="145">
                  <c:v>0.66835269993164725</c:v>
                </c:pt>
                <c:pt idx="146">
                  <c:v>0.59374306634124696</c:v>
                </c:pt>
                <c:pt idx="147">
                  <c:v>0.49492940942533309</c:v>
                </c:pt>
                <c:pt idx="148">
                  <c:v>0.41819390371284776</c:v>
                </c:pt>
                <c:pt idx="149">
                  <c:v>0.42962774094849565</c:v>
                </c:pt>
                <c:pt idx="150">
                  <c:v>0.49444620755315771</c:v>
                </c:pt>
                <c:pt idx="151">
                  <c:v>0.60365717683788001</c:v>
                </c:pt>
                <c:pt idx="152">
                  <c:v>0.3524982351556985</c:v>
                </c:pt>
                <c:pt idx="153">
                  <c:v>0.26971913320101143</c:v>
                </c:pt>
              </c:numCache>
            </c:numRef>
          </c:xVal>
          <c:yVal>
            <c:numRef>
              <c:f>'Graph Data SBB $ only'!$I$3:$I$156</c:f>
              <c:numCache>
                <c:formatCode>_("$"* #,##0_);_("$"* \(#,##0\);_("$"* "-"??_);_(@_)</c:formatCode>
                <c:ptCount val="154"/>
                <c:pt idx="0">
                  <c:v>1798935.5</c:v>
                </c:pt>
                <c:pt idx="1">
                  <c:v>1680812.7272727273</c:v>
                </c:pt>
                <c:pt idx="2">
                  <c:v>2157215.6666666665</c:v>
                </c:pt>
                <c:pt idx="3">
                  <c:v>23547814.600000001</c:v>
                </c:pt>
                <c:pt idx="4">
                  <c:v>1395446.888888889</c:v>
                </c:pt>
                <c:pt idx="5">
                  <c:v>0</c:v>
                </c:pt>
                <c:pt idx="6">
                  <c:v>3849730.612244898</c:v>
                </c:pt>
                <c:pt idx="7">
                  <c:v>0</c:v>
                </c:pt>
                <c:pt idx="8">
                  <c:v>1142739.1527777778</c:v>
                </c:pt>
                <c:pt idx="9">
                  <c:v>0</c:v>
                </c:pt>
                <c:pt idx="10">
                  <c:v>761185.14084507048</c:v>
                </c:pt>
                <c:pt idx="11">
                  <c:v>0</c:v>
                </c:pt>
                <c:pt idx="12">
                  <c:v>1471384.6090909091</c:v>
                </c:pt>
                <c:pt idx="13">
                  <c:v>1234629.1603773586</c:v>
                </c:pt>
                <c:pt idx="14">
                  <c:v>766902.37894736847</c:v>
                </c:pt>
                <c:pt idx="15">
                  <c:v>0</c:v>
                </c:pt>
                <c:pt idx="16">
                  <c:v>1134844.5398230089</c:v>
                </c:pt>
                <c:pt idx="17">
                  <c:v>861358.31818181823</c:v>
                </c:pt>
                <c:pt idx="18">
                  <c:v>688574.83478260867</c:v>
                </c:pt>
                <c:pt idx="19">
                  <c:v>0</c:v>
                </c:pt>
                <c:pt idx="20">
                  <c:v>841549.82733812951</c:v>
                </c:pt>
                <c:pt idx="21">
                  <c:v>1624694.55</c:v>
                </c:pt>
                <c:pt idx="22">
                  <c:v>991893.81395348837</c:v>
                </c:pt>
                <c:pt idx="23">
                  <c:v>3748133.7062937063</c:v>
                </c:pt>
                <c:pt idx="24">
                  <c:v>909629.74683544307</c:v>
                </c:pt>
                <c:pt idx="25">
                  <c:v>0</c:v>
                </c:pt>
                <c:pt idx="26">
                  <c:v>966066.7297297297</c:v>
                </c:pt>
                <c:pt idx="27">
                  <c:v>0</c:v>
                </c:pt>
                <c:pt idx="28">
                  <c:v>242445.96363636362</c:v>
                </c:pt>
                <c:pt idx="29">
                  <c:v>620361.77108433738</c:v>
                </c:pt>
                <c:pt idx="30">
                  <c:v>347524.94818652852</c:v>
                </c:pt>
                <c:pt idx="31">
                  <c:v>1818085.6790697675</c:v>
                </c:pt>
                <c:pt idx="32">
                  <c:v>818991.69668246445</c:v>
                </c:pt>
                <c:pt idx="33">
                  <c:v>211514.45581395348</c:v>
                </c:pt>
                <c:pt idx="34">
                  <c:v>0</c:v>
                </c:pt>
                <c:pt idx="35">
                  <c:v>655846.20253164554</c:v>
                </c:pt>
                <c:pt idx="36">
                  <c:v>549191.40350877191</c:v>
                </c:pt>
                <c:pt idx="37">
                  <c:v>0</c:v>
                </c:pt>
                <c:pt idx="38">
                  <c:v>0</c:v>
                </c:pt>
                <c:pt idx="39">
                  <c:v>578501.56589147286</c:v>
                </c:pt>
                <c:pt idx="40">
                  <c:v>508926.961352657</c:v>
                </c:pt>
                <c:pt idx="41">
                  <c:v>0</c:v>
                </c:pt>
                <c:pt idx="42">
                  <c:v>0</c:v>
                </c:pt>
                <c:pt idx="43">
                  <c:v>1823952.7859922179</c:v>
                </c:pt>
                <c:pt idx="44">
                  <c:v>0</c:v>
                </c:pt>
                <c:pt idx="45">
                  <c:v>0</c:v>
                </c:pt>
                <c:pt idx="46">
                  <c:v>0</c:v>
                </c:pt>
                <c:pt idx="47">
                  <c:v>692965.01071428566</c:v>
                </c:pt>
                <c:pt idx="48">
                  <c:v>559516.90416666667</c:v>
                </c:pt>
                <c:pt idx="49">
                  <c:v>0</c:v>
                </c:pt>
                <c:pt idx="50">
                  <c:v>570504.29452054796</c:v>
                </c:pt>
                <c:pt idx="51">
                  <c:v>0</c:v>
                </c:pt>
                <c:pt idx="52">
                  <c:v>0</c:v>
                </c:pt>
                <c:pt idx="53">
                  <c:v>0</c:v>
                </c:pt>
                <c:pt idx="54">
                  <c:v>555701.07857142854</c:v>
                </c:pt>
                <c:pt idx="55">
                  <c:v>0</c:v>
                </c:pt>
                <c:pt idx="56">
                  <c:v>494399.70818505337</c:v>
                </c:pt>
                <c:pt idx="57">
                  <c:v>0</c:v>
                </c:pt>
                <c:pt idx="58">
                  <c:v>0</c:v>
                </c:pt>
                <c:pt idx="59">
                  <c:v>514798.55374592834</c:v>
                </c:pt>
                <c:pt idx="60">
                  <c:v>1736504.5665529009</c:v>
                </c:pt>
                <c:pt idx="61">
                  <c:v>841338.00602409639</c:v>
                </c:pt>
                <c:pt idx="62">
                  <c:v>0</c:v>
                </c:pt>
                <c:pt idx="63">
                  <c:v>244914.48266666668</c:v>
                </c:pt>
                <c:pt idx="64">
                  <c:v>404009.68169761274</c:v>
                </c:pt>
                <c:pt idx="65">
                  <c:v>0</c:v>
                </c:pt>
                <c:pt idx="66">
                  <c:v>1870354.6084507043</c:v>
                </c:pt>
                <c:pt idx="67">
                  <c:v>0</c:v>
                </c:pt>
                <c:pt idx="68">
                  <c:v>0</c:v>
                </c:pt>
                <c:pt idx="69">
                  <c:v>0</c:v>
                </c:pt>
                <c:pt idx="70">
                  <c:v>687170.07751937979</c:v>
                </c:pt>
                <c:pt idx="71">
                  <c:v>401072.45663265308</c:v>
                </c:pt>
                <c:pt idx="72">
                  <c:v>467336.24815724813</c:v>
                </c:pt>
                <c:pt idx="73">
                  <c:v>504261.69269521412</c:v>
                </c:pt>
                <c:pt idx="74">
                  <c:v>296314.29247311829</c:v>
                </c:pt>
                <c:pt idx="75">
                  <c:v>0</c:v>
                </c:pt>
                <c:pt idx="76">
                  <c:v>555171.33894230775</c:v>
                </c:pt>
                <c:pt idx="77">
                  <c:v>0</c:v>
                </c:pt>
                <c:pt idx="78">
                  <c:v>319092.28953229397</c:v>
                </c:pt>
                <c:pt idx="79">
                  <c:v>522970.08515283844</c:v>
                </c:pt>
                <c:pt idx="80">
                  <c:v>364583.89406779659</c:v>
                </c:pt>
                <c:pt idx="81">
                  <c:v>381797.85791366908</c:v>
                </c:pt>
                <c:pt idx="82">
                  <c:v>237204.09897610921</c:v>
                </c:pt>
                <c:pt idx="83">
                  <c:v>291589.19761499146</c:v>
                </c:pt>
                <c:pt idx="84">
                  <c:v>0</c:v>
                </c:pt>
                <c:pt idx="85">
                  <c:v>0</c:v>
                </c:pt>
                <c:pt idx="86">
                  <c:v>0</c:v>
                </c:pt>
                <c:pt idx="87">
                  <c:v>198510.04148148149</c:v>
                </c:pt>
                <c:pt idx="88">
                  <c:v>0</c:v>
                </c:pt>
                <c:pt idx="89">
                  <c:v>0</c:v>
                </c:pt>
                <c:pt idx="90">
                  <c:v>320175.05263157893</c:v>
                </c:pt>
                <c:pt idx="91">
                  <c:v>282951.24408284022</c:v>
                </c:pt>
                <c:pt idx="92">
                  <c:v>777098.77159590041</c:v>
                </c:pt>
                <c:pt idx="93">
                  <c:v>770654.95064935065</c:v>
                </c:pt>
                <c:pt idx="94">
                  <c:v>303068.6265060241</c:v>
                </c:pt>
                <c:pt idx="95">
                  <c:v>0</c:v>
                </c:pt>
                <c:pt idx="96">
                  <c:v>294019.7002583979</c:v>
                </c:pt>
                <c:pt idx="97">
                  <c:v>376037.255</c:v>
                </c:pt>
                <c:pt idx="98">
                  <c:v>534803.24436536175</c:v>
                </c:pt>
                <c:pt idx="99">
                  <c:v>438377.30690826726</c:v>
                </c:pt>
                <c:pt idx="100">
                  <c:v>0</c:v>
                </c:pt>
                <c:pt idx="101">
                  <c:v>0</c:v>
                </c:pt>
                <c:pt idx="102">
                  <c:v>2930262.5644994839</c:v>
                </c:pt>
                <c:pt idx="103">
                  <c:v>292204.2823779193</c:v>
                </c:pt>
                <c:pt idx="104">
                  <c:v>514476.51306873187</c:v>
                </c:pt>
                <c:pt idx="105">
                  <c:v>825628.6</c:v>
                </c:pt>
                <c:pt idx="106">
                  <c:v>1630195.6093439364</c:v>
                </c:pt>
                <c:pt idx="107">
                  <c:v>259798.49471661865</c:v>
                </c:pt>
                <c:pt idx="108">
                  <c:v>527574.146560319</c:v>
                </c:pt>
                <c:pt idx="109">
                  <c:v>743623.04950495053</c:v>
                </c:pt>
                <c:pt idx="110">
                  <c:v>219840.57743957028</c:v>
                </c:pt>
                <c:pt idx="111">
                  <c:v>494659.71428571426</c:v>
                </c:pt>
                <c:pt idx="112">
                  <c:v>353929.64761092153</c:v>
                </c:pt>
                <c:pt idx="113">
                  <c:v>535613.07731520815</c:v>
                </c:pt>
                <c:pt idx="114">
                  <c:v>649734.42813455663</c:v>
                </c:pt>
                <c:pt idx="115">
                  <c:v>592603.88715664437</c:v>
                </c:pt>
                <c:pt idx="116">
                  <c:v>311256.20815752464</c:v>
                </c:pt>
                <c:pt idx="117">
                  <c:v>309585.56254180602</c:v>
                </c:pt>
                <c:pt idx="118">
                  <c:v>267558.22568940494</c:v>
                </c:pt>
                <c:pt idx="119">
                  <c:v>176449.59081562713</c:v>
                </c:pt>
                <c:pt idx="120">
                  <c:v>224672.35051546391</c:v>
                </c:pt>
                <c:pt idx="121">
                  <c:v>864859.20061538462</c:v>
                </c:pt>
                <c:pt idx="122">
                  <c:v>235645.31878787879</c:v>
                </c:pt>
                <c:pt idx="123">
                  <c:v>326871.7703562341</c:v>
                </c:pt>
                <c:pt idx="124">
                  <c:v>245081.64720314034</c:v>
                </c:pt>
                <c:pt idx="125">
                  <c:v>782524.30526315793</c:v>
                </c:pt>
                <c:pt idx="126">
                  <c:v>0</c:v>
                </c:pt>
                <c:pt idx="127">
                  <c:v>599525.71485411143</c:v>
                </c:pt>
                <c:pt idx="128">
                  <c:v>361089.95714285714</c:v>
                </c:pt>
                <c:pt idx="129">
                  <c:v>191855.02760609807</c:v>
                </c:pt>
                <c:pt idx="130">
                  <c:v>2927623.0697445972</c:v>
                </c:pt>
                <c:pt idx="131">
                  <c:v>1252955.4894124665</c:v>
                </c:pt>
                <c:pt idx="132">
                  <c:v>300590.86657183501</c:v>
                </c:pt>
                <c:pt idx="133">
                  <c:v>233017.69186046513</c:v>
                </c:pt>
                <c:pt idx="134">
                  <c:v>308906.73761520738</c:v>
                </c:pt>
                <c:pt idx="135">
                  <c:v>208656.08234318873</c:v>
                </c:pt>
                <c:pt idx="136">
                  <c:v>576720.6526396327</c:v>
                </c:pt>
                <c:pt idx="137">
                  <c:v>318176.68298838969</c:v>
                </c:pt>
                <c:pt idx="138">
                  <c:v>573209.76667430671</c:v>
                </c:pt>
                <c:pt idx="139">
                  <c:v>281010.55599254812</c:v>
                </c:pt>
                <c:pt idx="140">
                  <c:v>253724.48773006134</c:v>
                </c:pt>
                <c:pt idx="141">
                  <c:v>185696.1193273906</c:v>
                </c:pt>
                <c:pt idx="142">
                  <c:v>262903.39389002038</c:v>
                </c:pt>
                <c:pt idx="143">
                  <c:v>454962.16229570506</c:v>
                </c:pt>
                <c:pt idx="144">
                  <c:v>266807.13263342081</c:v>
                </c:pt>
                <c:pt idx="145">
                  <c:v>241733.09337925757</c:v>
                </c:pt>
                <c:pt idx="146">
                  <c:v>343142.58946346201</c:v>
                </c:pt>
                <c:pt idx="147">
                  <c:v>308800.54236037936</c:v>
                </c:pt>
                <c:pt idx="148">
                  <c:v>759417.3177987613</c:v>
                </c:pt>
                <c:pt idx="149">
                  <c:v>222169.39952109044</c:v>
                </c:pt>
                <c:pt idx="150">
                  <c:v>288140.12419700215</c:v>
                </c:pt>
                <c:pt idx="151">
                  <c:v>271543.59709984041</c:v>
                </c:pt>
                <c:pt idx="152">
                  <c:v>694830.44376598729</c:v>
                </c:pt>
                <c:pt idx="153">
                  <c:v>435012.0196213228</c:v>
                </c:pt>
              </c:numCache>
            </c:numRef>
          </c:yVal>
          <c:smooth val="0"/>
          <c:extLst>
            <c:ext xmlns:c16="http://schemas.microsoft.com/office/drawing/2014/chart" uri="{C3380CC4-5D6E-409C-BE32-E72D297353CC}">
              <c16:uniqueId val="{00000000-8538-47BE-BB85-43A6786AD8E2}"/>
            </c:ext>
          </c:extLst>
        </c:ser>
        <c:dLbls>
          <c:showLegendKey val="0"/>
          <c:showVal val="0"/>
          <c:showCatName val="0"/>
          <c:showSerName val="0"/>
          <c:showPercent val="0"/>
          <c:showBubbleSize val="0"/>
        </c:dLbls>
        <c:axId val="713169208"/>
        <c:axId val="713165928"/>
      </c:scatterChart>
      <c:valAx>
        <c:axId val="71316920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165928"/>
        <c:crosses val="autoZero"/>
        <c:crossBetween val="midCat"/>
      </c:valAx>
      <c:valAx>
        <c:axId val="713165928"/>
        <c:scaling>
          <c:orientation val="minMax"/>
          <c:max val="2000000"/>
          <c:min val="1000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1692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Median Change in Per Pupil Funding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3280118209586"/>
          <c:y val="0.16267543859649122"/>
          <c:w val="0.8701142768891148"/>
          <c:h val="0.7803072156963986"/>
        </c:manualLayout>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SBB Funding'!$F$35:$I$35</c:f>
              <c:strCache>
                <c:ptCount val="4"/>
                <c:pt idx="0">
                  <c:v>All Districts</c:v>
                </c:pt>
                <c:pt idx="1">
                  <c:v>Small Districts</c:v>
                </c:pt>
                <c:pt idx="2">
                  <c:v>Medium to Large Districts</c:v>
                </c:pt>
                <c:pt idx="3">
                  <c:v>Charter Schools</c:v>
                </c:pt>
              </c:strCache>
            </c:strRef>
          </c:cat>
          <c:val>
            <c:numRef>
              <c:f>'Results SBB Funding'!$F$36:$I$36</c:f>
              <c:numCache>
                <c:formatCode>"$"#,##0</c:formatCode>
                <c:ptCount val="4"/>
                <c:pt idx="0">
                  <c:v>284.19567746349412</c:v>
                </c:pt>
                <c:pt idx="1">
                  <c:v>207.053856546303</c:v>
                </c:pt>
                <c:pt idx="2">
                  <c:v>284.19567746349412</c:v>
                </c:pt>
                <c:pt idx="3">
                  <c:v>357.84782608695696</c:v>
                </c:pt>
              </c:numCache>
            </c:numRef>
          </c:val>
          <c:extLst>
            <c:ext xmlns:c16="http://schemas.microsoft.com/office/drawing/2014/chart" uri="{C3380CC4-5D6E-409C-BE32-E72D297353CC}">
              <c16:uniqueId val="{00000000-2B08-48EE-82D7-379D3CFD2EE6}"/>
            </c:ext>
          </c:extLst>
        </c:ser>
        <c:ser>
          <c:idx val="1"/>
          <c:order val="1"/>
          <c:spPr>
            <a:solidFill>
              <a:srgbClr val="C00000"/>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SBB Funding'!$F$35:$I$35</c:f>
              <c:strCache>
                <c:ptCount val="4"/>
                <c:pt idx="0">
                  <c:v>All Districts</c:v>
                </c:pt>
                <c:pt idx="1">
                  <c:v>Small Districts</c:v>
                </c:pt>
                <c:pt idx="2">
                  <c:v>Medium to Large Districts</c:v>
                </c:pt>
                <c:pt idx="3">
                  <c:v>Charter Schools</c:v>
                </c:pt>
              </c:strCache>
            </c:strRef>
          </c:cat>
          <c:val>
            <c:numRef>
              <c:f>'Results SBB Funding'!$F$37:$I$37</c:f>
              <c:numCache>
                <c:formatCode>"$"#,##0_);[Red]\("$"#,##0\)</c:formatCode>
                <c:ptCount val="4"/>
                <c:pt idx="0">
                  <c:v>-1328.4428801520262</c:v>
                </c:pt>
                <c:pt idx="1">
                  <c:v>-3296.3906976744183</c:v>
                </c:pt>
                <c:pt idx="2">
                  <c:v>-602.96597633136116</c:v>
                </c:pt>
                <c:pt idx="3">
                  <c:v>-1135.1542067830724</c:v>
                </c:pt>
              </c:numCache>
            </c:numRef>
          </c:val>
          <c:extLst>
            <c:ext xmlns:c16="http://schemas.microsoft.com/office/drawing/2014/chart" uri="{C3380CC4-5D6E-409C-BE32-E72D297353CC}">
              <c16:uniqueId val="{00000001-2B08-48EE-82D7-379D3CFD2EE6}"/>
            </c:ext>
          </c:extLst>
        </c:ser>
        <c:dLbls>
          <c:showLegendKey val="0"/>
          <c:showVal val="0"/>
          <c:showCatName val="0"/>
          <c:showSerName val="0"/>
          <c:showPercent val="0"/>
          <c:showBubbleSize val="0"/>
        </c:dLbls>
        <c:gapWidth val="150"/>
        <c:overlap val="100"/>
        <c:axId val="1232262784"/>
        <c:axId val="1232264096"/>
      </c:barChart>
      <c:catAx>
        <c:axId val="1232262784"/>
        <c:scaling>
          <c:orientation val="minMax"/>
        </c:scaling>
        <c:delete val="1"/>
        <c:axPos val="b"/>
        <c:numFmt formatCode="General" sourceLinked="1"/>
        <c:majorTickMark val="none"/>
        <c:minorTickMark val="none"/>
        <c:tickLblPos val="nextTo"/>
        <c:crossAx val="1232264096"/>
        <c:crosses val="autoZero"/>
        <c:auto val="0"/>
        <c:lblAlgn val="ctr"/>
        <c:lblOffset val="100"/>
        <c:noMultiLvlLbl val="0"/>
      </c:catAx>
      <c:valAx>
        <c:axId val="123226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226278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Median Change in Per Pupil Funding</a:t>
            </a:r>
          </a:p>
        </c:rich>
      </c:tx>
      <c:overlay val="0"/>
      <c:spPr>
        <a:noFill/>
        <a:ln>
          <a:noFill/>
        </a:ln>
        <a:effectLst/>
      </c:spPr>
    </c:title>
    <c:autoTitleDeleted val="0"/>
    <c:plotArea>
      <c:layout>
        <c:manualLayout>
          <c:layoutTarget val="inner"/>
          <c:xMode val="edge"/>
          <c:yMode val="edge"/>
          <c:x val="0.10453280118209586"/>
          <c:y val="0.16267543859649122"/>
          <c:w val="0.8701142768891148"/>
          <c:h val="0.67101749505286601"/>
        </c:manualLayout>
      </c:layout>
      <c:barChart>
        <c:barDir val="col"/>
        <c:grouping val="stacked"/>
        <c:varyColors val="0"/>
        <c:ser>
          <c:idx val="0"/>
          <c:order val="0"/>
          <c:tx>
            <c:strRef>
              <c:f>'2. Results'!$H$60:$H$61</c:f>
              <c:strCache>
                <c:ptCount val="2"/>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Results'!$G$53:$G$56</c:f>
              <c:strCache>
                <c:ptCount val="4"/>
                <c:pt idx="0">
                  <c:v>All Districts</c:v>
                </c:pt>
                <c:pt idx="1">
                  <c:v>Small Districts</c:v>
                </c:pt>
                <c:pt idx="2">
                  <c:v>Medium to Large Districts</c:v>
                </c:pt>
                <c:pt idx="3">
                  <c:v>Charter Schools</c:v>
                </c:pt>
              </c:strCache>
            </c:strRef>
          </c:cat>
          <c:val>
            <c:numRef>
              <c:f>'2. Results'!$H$53:$H$56</c:f>
              <c:numCache>
                <c:formatCode>"$"#,##0_);\("$"#,##0\)</c:formatCode>
                <c:ptCount val="4"/>
                <c:pt idx="0" formatCode="&quot;$&quot;#,##0">
                  <c:v>284.19567746349401</c:v>
                </c:pt>
                <c:pt idx="1">
                  <c:v>207.05385654630311</c:v>
                </c:pt>
                <c:pt idx="2" formatCode="&quot;$&quot;#,##0">
                  <c:v>284.19567746349401</c:v>
                </c:pt>
                <c:pt idx="3" formatCode="&quot;$&quot;#,##0">
                  <c:v>357.8478260869565</c:v>
                </c:pt>
              </c:numCache>
            </c:numRef>
          </c:val>
          <c:extLst>
            <c:ext xmlns:c16="http://schemas.microsoft.com/office/drawing/2014/chart" uri="{C3380CC4-5D6E-409C-BE32-E72D297353CC}">
              <c16:uniqueId val="{00000003-F651-4238-8CCF-83DBBE936F5C}"/>
            </c:ext>
          </c:extLst>
        </c:ser>
        <c:ser>
          <c:idx val="1"/>
          <c:order val="1"/>
          <c:tx>
            <c:strRef>
              <c:f>'2. Results'!$I$60:$I$61</c:f>
              <c:strCache>
                <c:ptCount val="2"/>
              </c:strCache>
            </c:strRef>
          </c:tx>
          <c:spPr>
            <a:solidFill>
              <a:srgbClr val="C00000"/>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Results'!$G$53:$G$56</c:f>
              <c:strCache>
                <c:ptCount val="4"/>
                <c:pt idx="0">
                  <c:v>All Districts</c:v>
                </c:pt>
                <c:pt idx="1">
                  <c:v>Small Districts</c:v>
                </c:pt>
                <c:pt idx="2">
                  <c:v>Medium to Large Districts</c:v>
                </c:pt>
                <c:pt idx="3">
                  <c:v>Charter Schools</c:v>
                </c:pt>
              </c:strCache>
            </c:strRef>
          </c:cat>
          <c:val>
            <c:numRef>
              <c:f>'2. Results'!$I$53:$I$56</c:f>
              <c:numCache>
                <c:formatCode>"$"#,##0_);[Red]\("$"#,##0\)</c:formatCode>
                <c:ptCount val="4"/>
                <c:pt idx="0">
                  <c:v>-1328.4428801520262</c:v>
                </c:pt>
                <c:pt idx="1">
                  <c:v>-3296.3906976744188</c:v>
                </c:pt>
                <c:pt idx="2">
                  <c:v>-602.96597633136093</c:v>
                </c:pt>
                <c:pt idx="3">
                  <c:v>-1135.1542067830724</c:v>
                </c:pt>
              </c:numCache>
            </c:numRef>
          </c:val>
          <c:extLst>
            <c:ext xmlns:c16="http://schemas.microsoft.com/office/drawing/2014/chart" uri="{C3380CC4-5D6E-409C-BE32-E72D297353CC}">
              <c16:uniqueId val="{00000005-F651-4238-8CCF-83DBBE936F5C}"/>
            </c:ext>
          </c:extLst>
        </c:ser>
        <c:dLbls>
          <c:showLegendKey val="0"/>
          <c:showVal val="0"/>
          <c:showCatName val="0"/>
          <c:showSerName val="0"/>
          <c:showPercent val="0"/>
          <c:showBubbleSize val="0"/>
        </c:dLbls>
        <c:gapWidth val="150"/>
        <c:overlap val="100"/>
        <c:axId val="1232262784"/>
        <c:axId val="1232264096"/>
      </c:barChart>
      <c:catAx>
        <c:axId val="1232262784"/>
        <c:scaling>
          <c:orientation val="minMax"/>
        </c:scaling>
        <c:delete val="1"/>
        <c:axPos val="b"/>
        <c:numFmt formatCode="General" sourceLinked="1"/>
        <c:majorTickMark val="none"/>
        <c:minorTickMark val="none"/>
        <c:tickLblPos val="nextTo"/>
        <c:crossAx val="1232264096"/>
        <c:crosses val="autoZero"/>
        <c:auto val="0"/>
        <c:lblAlgn val="ctr"/>
        <c:lblOffset val="100"/>
        <c:noMultiLvlLbl val="0"/>
      </c:catAx>
      <c:valAx>
        <c:axId val="123226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2262784"/>
        <c:crosses val="autoZero"/>
        <c:crossBetween val="between"/>
      </c:valAx>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Per Pupil Funding by Percent Low-Income</a:t>
            </a:r>
          </a:p>
          <a:p>
            <a:pPr>
              <a:defRPr sz="1400" b="0" i="0" u="none" strike="noStrike" kern="1200" spc="0" baseline="0">
                <a:solidFill>
                  <a:schemeClr val="tx1"/>
                </a:solidFill>
                <a:latin typeface="+mn-lt"/>
                <a:ea typeface="+mn-ea"/>
                <a:cs typeface="+mn-cs"/>
              </a:defRPr>
            </a:pPr>
            <a:r>
              <a:rPr lang="en-US" sz="1000">
                <a:solidFill>
                  <a:schemeClr val="tx1"/>
                </a:solidFill>
              </a:rPr>
              <a:t>(all schools with per-pupil &lt;=$20,000)</a:t>
            </a:r>
          </a:p>
        </c:rich>
      </c:tx>
      <c:overlay val="0"/>
      <c:spPr>
        <a:noFill/>
        <a:ln>
          <a:noFill/>
        </a:ln>
        <a:effectLst/>
      </c:spPr>
    </c:title>
    <c:autoTitleDeleted val="0"/>
    <c:plotArea>
      <c:layout/>
      <c:scatterChart>
        <c:scatterStyle val="lineMarker"/>
        <c:varyColors val="0"/>
        <c:ser>
          <c:idx val="0"/>
          <c:order val="0"/>
          <c:tx>
            <c:v>Current Per Pupil </c:v>
          </c:tx>
          <c:spPr>
            <a:ln w="19050" cap="rnd">
              <a:noFill/>
              <a:round/>
            </a:ln>
            <a:effectLst/>
          </c:spPr>
          <c:marker>
            <c:symbol val="circle"/>
            <c:size val="5"/>
            <c:spPr>
              <a:solidFill>
                <a:schemeClr val="accent1"/>
              </a:solidFill>
              <a:ln w="9525">
                <a:solidFill>
                  <a:schemeClr val="accent1"/>
                </a:solidFill>
              </a:ln>
              <a:effectLst/>
            </c:spPr>
          </c:marker>
          <c:xVal>
            <c:numRef>
              <c:f>'Graph Data all $'!$C$3:$C$156</c:f>
              <c:numCache>
                <c:formatCode>0%</c:formatCode>
                <c:ptCount val="154"/>
                <c:pt idx="0">
                  <c:v>0.3524982351556985</c:v>
                </c:pt>
                <c:pt idx="1">
                  <c:v>0.26971913320101143</c:v>
                </c:pt>
                <c:pt idx="2">
                  <c:v>0.40529575058723039</c:v>
                </c:pt>
                <c:pt idx="3">
                  <c:v>0.65189873417721522</c:v>
                </c:pt>
                <c:pt idx="4">
                  <c:v>0.54085603112840464</c:v>
                </c:pt>
                <c:pt idx="5">
                  <c:v>0.48328025477707004</c:v>
                </c:pt>
                <c:pt idx="6">
                  <c:v>0.49444620755315771</c:v>
                </c:pt>
                <c:pt idx="7">
                  <c:v>0.46146872166817771</c:v>
                </c:pt>
                <c:pt idx="8">
                  <c:v>0.50708833151581245</c:v>
                </c:pt>
                <c:pt idx="9">
                  <c:v>0.67791411042944782</c:v>
                </c:pt>
                <c:pt idx="10">
                  <c:v>0.44536326048434732</c:v>
                </c:pt>
                <c:pt idx="11">
                  <c:v>0.56882480957562565</c:v>
                </c:pt>
                <c:pt idx="12">
                  <c:v>0.70292887029288698</c:v>
                </c:pt>
                <c:pt idx="13">
                  <c:v>0.55466666666666664</c:v>
                </c:pt>
                <c:pt idx="14">
                  <c:v>0.42863574966231427</c:v>
                </c:pt>
                <c:pt idx="15">
                  <c:v>0.41674221819280749</c:v>
                </c:pt>
                <c:pt idx="16">
                  <c:v>0.50622406639004147</c:v>
                </c:pt>
                <c:pt idx="17">
                  <c:v>0.45454545454545453</c:v>
                </c:pt>
                <c:pt idx="18">
                  <c:v>0.66816143497757852</c:v>
                </c:pt>
                <c:pt idx="19">
                  <c:v>0.5542056074766355</c:v>
                </c:pt>
                <c:pt idx="20">
                  <c:v>0.45081266039349871</c:v>
                </c:pt>
                <c:pt idx="21">
                  <c:v>0.49492940942533309</c:v>
                </c:pt>
                <c:pt idx="22">
                  <c:v>0.55102040816326525</c:v>
                </c:pt>
                <c:pt idx="23">
                  <c:v>0.42962774094849565</c:v>
                </c:pt>
                <c:pt idx="24">
                  <c:v>0.56206896551724139</c:v>
                </c:pt>
                <c:pt idx="25">
                  <c:v>0.46186440677966101</c:v>
                </c:pt>
                <c:pt idx="26">
                  <c:v>0.40799999999999997</c:v>
                </c:pt>
                <c:pt idx="27">
                  <c:v>0.60365717683788001</c:v>
                </c:pt>
                <c:pt idx="28">
                  <c:v>0.82184634840341453</c:v>
                </c:pt>
                <c:pt idx="29">
                  <c:v>0</c:v>
                </c:pt>
                <c:pt idx="30">
                  <c:v>0.45277127244340359</c:v>
                </c:pt>
                <c:pt idx="31">
                  <c:v>0.67007672634271098</c:v>
                </c:pt>
                <c:pt idx="32">
                  <c:v>0.50686641697877655</c:v>
                </c:pt>
                <c:pt idx="33">
                  <c:v>0.69078014184397163</c:v>
                </c:pt>
                <c:pt idx="34">
                  <c:v>0.66835269993164725</c:v>
                </c:pt>
                <c:pt idx="35">
                  <c:v>0.47544204322200395</c:v>
                </c:pt>
                <c:pt idx="36">
                  <c:v>0.41025641025641024</c:v>
                </c:pt>
                <c:pt idx="37">
                  <c:v>0.34972677595628415</c:v>
                </c:pt>
                <c:pt idx="38">
                  <c:v>0.53291901340066028</c:v>
                </c:pt>
                <c:pt idx="39">
                  <c:v>0.76100628930817615</c:v>
                </c:pt>
                <c:pt idx="40">
                  <c:v>0.57473684210526321</c:v>
                </c:pt>
                <c:pt idx="41">
                  <c:v>0.38095238095238093</c:v>
                </c:pt>
                <c:pt idx="42">
                  <c:v>0.5</c:v>
                </c:pt>
                <c:pt idx="43">
                  <c:v>0</c:v>
                </c:pt>
                <c:pt idx="44">
                  <c:v>0.67441860465116277</c:v>
                </c:pt>
                <c:pt idx="45">
                  <c:v>0.52148337595907923</c:v>
                </c:pt>
                <c:pt idx="46">
                  <c:v>0.43193069306930693</c:v>
                </c:pt>
                <c:pt idx="47">
                  <c:v>0.47807017543859648</c:v>
                </c:pt>
                <c:pt idx="48">
                  <c:v>0.54722222222222228</c:v>
                </c:pt>
                <c:pt idx="49">
                  <c:v>0.57480946650621745</c:v>
                </c:pt>
                <c:pt idx="50">
                  <c:v>0.67711598746081503</c:v>
                </c:pt>
                <c:pt idx="51">
                  <c:v>0.77683854606931535</c:v>
                </c:pt>
                <c:pt idx="52">
                  <c:v>0.71084337349397586</c:v>
                </c:pt>
                <c:pt idx="53">
                  <c:v>0.81967213114754101</c:v>
                </c:pt>
                <c:pt idx="54">
                  <c:v>0.38141809290953543</c:v>
                </c:pt>
                <c:pt idx="55">
                  <c:v>0.60431654676258995</c:v>
                </c:pt>
                <c:pt idx="56">
                  <c:v>0.51584786053882725</c:v>
                </c:pt>
                <c:pt idx="57">
                  <c:v>0.4140067592940293</c:v>
                </c:pt>
                <c:pt idx="58">
                  <c:v>0.47520661157024796</c:v>
                </c:pt>
                <c:pt idx="59">
                  <c:v>0.5088282504012841</c:v>
                </c:pt>
                <c:pt idx="60">
                  <c:v>0.67589662447257381</c:v>
                </c:pt>
                <c:pt idx="61">
                  <c:v>0.60273972602739723</c:v>
                </c:pt>
                <c:pt idx="62">
                  <c:v>0.41819390371284776</c:v>
                </c:pt>
                <c:pt idx="63">
                  <c:v>0.44638583054092867</c:v>
                </c:pt>
                <c:pt idx="64">
                  <c:v>0.47652366046768552</c:v>
                </c:pt>
                <c:pt idx="65">
                  <c:v>0.5</c:v>
                </c:pt>
                <c:pt idx="66">
                  <c:v>0.3125</c:v>
                </c:pt>
                <c:pt idx="67">
                  <c:v>0.21069182389937108</c:v>
                </c:pt>
                <c:pt idx="68">
                  <c:v>0.42016806722689076</c:v>
                </c:pt>
                <c:pt idx="69">
                  <c:v>0.43973214285714285</c:v>
                </c:pt>
                <c:pt idx="70">
                  <c:v>0.35546875</c:v>
                </c:pt>
                <c:pt idx="71">
                  <c:v>0.44019138755980863</c:v>
                </c:pt>
                <c:pt idx="72">
                  <c:v>0.62875816993464051</c:v>
                </c:pt>
                <c:pt idx="73">
                  <c:v>0.64</c:v>
                </c:pt>
                <c:pt idx="74">
                  <c:v>0.47651006711409394</c:v>
                </c:pt>
                <c:pt idx="75">
                  <c:v>0.93548387096774188</c:v>
                </c:pt>
                <c:pt idx="76">
                  <c:v>0.52439024390243905</c:v>
                </c:pt>
                <c:pt idx="77">
                  <c:v>0.6987951807228916</c:v>
                </c:pt>
                <c:pt idx="78">
                  <c:v>0.70940170940170943</c:v>
                </c:pt>
                <c:pt idx="79">
                  <c:v>0.49624060150375937</c:v>
                </c:pt>
                <c:pt idx="80">
                  <c:v>0.3919336163643381</c:v>
                </c:pt>
                <c:pt idx="81">
                  <c:v>0.46358454718176062</c:v>
                </c:pt>
                <c:pt idx="82">
                  <c:v>0.63497081712062253</c:v>
                </c:pt>
                <c:pt idx="83">
                  <c:v>0.39093242087254065</c:v>
                </c:pt>
                <c:pt idx="84">
                  <c:v>0.8899253731343284</c:v>
                </c:pt>
                <c:pt idx="85">
                  <c:v>0.59340659340659341</c:v>
                </c:pt>
                <c:pt idx="86">
                  <c:v>0.46754675467546752</c:v>
                </c:pt>
                <c:pt idx="87">
                  <c:v>0.66383495145631066</c:v>
                </c:pt>
                <c:pt idx="88">
                  <c:v>0</c:v>
                </c:pt>
                <c:pt idx="89">
                  <c:v>0.64</c:v>
                </c:pt>
                <c:pt idx="90">
                  <c:v>0.60843881856540083</c:v>
                </c:pt>
                <c:pt idx="91">
                  <c:v>0.76732358550540369</c:v>
                </c:pt>
                <c:pt idx="92">
                  <c:v>0.46262626262626261</c:v>
                </c:pt>
                <c:pt idx="93">
                  <c:v>0.46642899584076053</c:v>
                </c:pt>
                <c:pt idx="94">
                  <c:v>0.68577348066298338</c:v>
                </c:pt>
                <c:pt idx="95">
                  <c:v>0</c:v>
                </c:pt>
                <c:pt idx="96">
                  <c:v>0</c:v>
                </c:pt>
                <c:pt idx="97">
                  <c:v>0.49909420289855072</c:v>
                </c:pt>
                <c:pt idx="98">
                  <c:v>0.45794392523364486</c:v>
                </c:pt>
                <c:pt idx="99">
                  <c:v>0.50819672131147542</c:v>
                </c:pt>
                <c:pt idx="100">
                  <c:v>0</c:v>
                </c:pt>
                <c:pt idx="101">
                  <c:v>0.46718576195773082</c:v>
                </c:pt>
                <c:pt idx="102">
                  <c:v>0.59374306634124696</c:v>
                </c:pt>
                <c:pt idx="103">
                  <c:v>0.66640502354788067</c:v>
                </c:pt>
                <c:pt idx="104">
                  <c:v>0.46276923076923077</c:v>
                </c:pt>
                <c:pt idx="105">
                  <c:v>0.34390112842557763</c:v>
                </c:pt>
                <c:pt idx="106">
                  <c:v>0.78333333333333333</c:v>
                </c:pt>
                <c:pt idx="107">
                  <c:v>0</c:v>
                </c:pt>
                <c:pt idx="108">
                  <c:v>0.65346534653465349</c:v>
                </c:pt>
                <c:pt idx="109">
                  <c:v>0.75163398692810457</c:v>
                </c:pt>
                <c:pt idx="110">
                  <c:v>0.33653846153846156</c:v>
                </c:pt>
                <c:pt idx="111">
                  <c:v>0.6</c:v>
                </c:pt>
                <c:pt idx="112">
                  <c:v>0.59727385377942999</c:v>
                </c:pt>
                <c:pt idx="113">
                  <c:v>0.50420168067226889</c:v>
                </c:pt>
                <c:pt idx="114">
                  <c:v>0.6097560975609756</c:v>
                </c:pt>
                <c:pt idx="115">
                  <c:v>0.36138613861386137</c:v>
                </c:pt>
                <c:pt idx="116">
                  <c:v>0.53649105848235867</c:v>
                </c:pt>
                <c:pt idx="117">
                  <c:v>0</c:v>
                </c:pt>
                <c:pt idx="118">
                  <c:v>0.35080645161290325</c:v>
                </c:pt>
                <c:pt idx="119">
                  <c:v>0</c:v>
                </c:pt>
                <c:pt idx="120">
                  <c:v>0.22222222222222221</c:v>
                </c:pt>
                <c:pt idx="121">
                  <c:v>0.52716143840856922</c:v>
                </c:pt>
                <c:pt idx="122">
                  <c:v>0.35971223021582732</c:v>
                </c:pt>
                <c:pt idx="123">
                  <c:v>0.36680327868852458</c:v>
                </c:pt>
                <c:pt idx="124">
                  <c:v>0.4375</c:v>
                </c:pt>
                <c:pt idx="125">
                  <c:v>0.28235294117647058</c:v>
                </c:pt>
                <c:pt idx="126">
                  <c:v>0.42899850523168909</c:v>
                </c:pt>
                <c:pt idx="127">
                  <c:v>0.30804597701149428</c:v>
                </c:pt>
                <c:pt idx="128">
                  <c:v>0.5761316872427984</c:v>
                </c:pt>
                <c:pt idx="129">
                  <c:v>0.46889952153110048</c:v>
                </c:pt>
                <c:pt idx="130">
                  <c:v>0.38695652173913042</c:v>
                </c:pt>
                <c:pt idx="131">
                  <c:v>0</c:v>
                </c:pt>
                <c:pt idx="132">
                  <c:v>0</c:v>
                </c:pt>
                <c:pt idx="133">
                  <c:v>0.30857142857142855</c:v>
                </c:pt>
                <c:pt idx="134">
                  <c:v>0.14613180515759314</c:v>
                </c:pt>
                <c:pt idx="135">
                  <c:v>0.54450261780104714</c:v>
                </c:pt>
                <c:pt idx="136">
                  <c:v>0.17647058823529413</c:v>
                </c:pt>
                <c:pt idx="137">
                  <c:v>0.56399999999999995</c:v>
                </c:pt>
                <c:pt idx="138">
                  <c:v>0.48063380281690143</c:v>
                </c:pt>
                <c:pt idx="139">
                  <c:v>0.38305084745762713</c:v>
                </c:pt>
                <c:pt idx="140">
                  <c:v>0.9101123595505618</c:v>
                </c:pt>
                <c:pt idx="141">
                  <c:v>0</c:v>
                </c:pt>
                <c:pt idx="142">
                  <c:v>0.71296296296296291</c:v>
                </c:pt>
                <c:pt idx="143">
                  <c:v>0.2857142857142857</c:v>
                </c:pt>
                <c:pt idx="144">
                  <c:v>0.90476190476190477</c:v>
                </c:pt>
                <c:pt idx="145">
                  <c:v>0.58888888888888891</c:v>
                </c:pt>
                <c:pt idx="146">
                  <c:v>0</c:v>
                </c:pt>
                <c:pt idx="147">
                  <c:v>0.49315068493150682</c:v>
                </c:pt>
                <c:pt idx="148">
                  <c:v>0.31538461538461537</c:v>
                </c:pt>
                <c:pt idx="149">
                  <c:v>0</c:v>
                </c:pt>
                <c:pt idx="150">
                  <c:v>0.50928792569659442</c:v>
                </c:pt>
                <c:pt idx="151">
                  <c:v>0</c:v>
                </c:pt>
                <c:pt idx="152">
                  <c:v>0</c:v>
                </c:pt>
                <c:pt idx="153">
                  <c:v>0</c:v>
                </c:pt>
              </c:numCache>
            </c:numRef>
          </c:xVal>
          <c:yVal>
            <c:numRef>
              <c:f>'Graph Data all $'!$D$3:$D$156</c:f>
              <c:numCache>
                <c:formatCode>_("$"* #,##0_);_("$"* \(#,##0\);_("$"* "-"??_);_(@_)</c:formatCode>
                <c:ptCount val="154"/>
                <c:pt idx="0">
                  <c:v>10197.474874164534</c:v>
                </c:pt>
                <c:pt idx="1">
                  <c:v>8072.8495030219701</c:v>
                </c:pt>
                <c:pt idx="2">
                  <c:v>7893.825562372188</c:v>
                </c:pt>
                <c:pt idx="3">
                  <c:v>14978</c:v>
                </c:pt>
                <c:pt idx="4">
                  <c:v>10321.101265822785</c:v>
                </c:pt>
                <c:pt idx="5">
                  <c:v>8450.7289719626169</c:v>
                </c:pt>
                <c:pt idx="6">
                  <c:v>7851.5888650963598</c:v>
                </c:pt>
                <c:pt idx="7">
                  <c:v>8717.6010101010106</c:v>
                </c:pt>
                <c:pt idx="8">
                  <c:v>10439.495848161328</c:v>
                </c:pt>
                <c:pt idx="9">
                  <c:v>18033.351535836176</c:v>
                </c:pt>
                <c:pt idx="10">
                  <c:v>8421.7719072164946</c:v>
                </c:pt>
                <c:pt idx="11">
                  <c:v>8217.2696877590497</c:v>
                </c:pt>
                <c:pt idx="12">
                  <c:v>10739.219548872181</c:v>
                </c:pt>
                <c:pt idx="13">
                  <c:v>7929.0976331360944</c:v>
                </c:pt>
                <c:pt idx="14">
                  <c:v>7176.0004906771346</c:v>
                </c:pt>
                <c:pt idx="15">
                  <c:v>19337.364440078585</c:v>
                </c:pt>
                <c:pt idx="16">
                  <c:v>17345.251162790697</c:v>
                </c:pt>
                <c:pt idx="17">
                  <c:v>9774.0993975903621</c:v>
                </c:pt>
                <c:pt idx="18">
                  <c:v>13941.777777777777</c:v>
                </c:pt>
                <c:pt idx="19">
                  <c:v>11391.240556660039</c:v>
                </c:pt>
                <c:pt idx="20">
                  <c:v>9437.0283328362657</c:v>
                </c:pt>
                <c:pt idx="21">
                  <c:v>7762.499789251844</c:v>
                </c:pt>
                <c:pt idx="22">
                  <c:v>20296.816326530614</c:v>
                </c:pt>
                <c:pt idx="23">
                  <c:v>7617.3242770307606</c:v>
                </c:pt>
                <c:pt idx="24">
                  <c:v>9987.7362385321103</c:v>
                </c:pt>
                <c:pt idx="25">
                  <c:v>10656.073979591836</c:v>
                </c:pt>
                <c:pt idx="26">
                  <c:v>18095.798449612405</c:v>
                </c:pt>
                <c:pt idx="27">
                  <c:v>8136.7575105807255</c:v>
                </c:pt>
                <c:pt idx="28">
                  <c:v>8494.5389326334207</c:v>
                </c:pt>
                <c:pt idx="29">
                  <c:v>13106.452088452088</c:v>
                </c:pt>
                <c:pt idx="30">
                  <c:v>7988.5085825027681</c:v>
                </c:pt>
                <c:pt idx="31">
                  <c:v>10033.610666666667</c:v>
                </c:pt>
                <c:pt idx="32">
                  <c:v>8259.543507362785</c:v>
                </c:pt>
                <c:pt idx="33">
                  <c:v>9302.3142250530782</c:v>
                </c:pt>
                <c:pt idx="34">
                  <c:v>8304.0500063783638</c:v>
                </c:pt>
                <c:pt idx="35">
                  <c:v>9459.9483870967742</c:v>
                </c:pt>
                <c:pt idx="36">
                  <c:v>12561.240963855422</c:v>
                </c:pt>
                <c:pt idx="37">
                  <c:v>9251.7194805194813</c:v>
                </c:pt>
                <c:pt idx="38">
                  <c:v>8229.9099796334012</c:v>
                </c:pt>
                <c:pt idx="39">
                  <c:v>18358.179856115108</c:v>
                </c:pt>
                <c:pt idx="40">
                  <c:v>13671.763794772507</c:v>
                </c:pt>
                <c:pt idx="41">
                  <c:v>11528.833802816902</c:v>
                </c:pt>
                <c:pt idx="42">
                  <c:v>14282.26582278481</c:v>
                </c:pt>
                <c:pt idx="43">
                  <c:v>25348.5</c:v>
                </c:pt>
                <c:pt idx="44">
                  <c:v>10598.710594315246</c:v>
                </c:pt>
                <c:pt idx="45">
                  <c:v>7913.9046658986172</c:v>
                </c:pt>
                <c:pt idx="46">
                  <c:v>6786.70745776679</c:v>
                </c:pt>
                <c:pt idx="47">
                  <c:v>8044.3430034129697</c:v>
                </c:pt>
                <c:pt idx="48">
                  <c:v>9108.8365914786973</c:v>
                </c:pt>
                <c:pt idx="49">
                  <c:v>9226.6476190476187</c:v>
                </c:pt>
                <c:pt idx="50">
                  <c:v>8551.9616040955625</c:v>
                </c:pt>
                <c:pt idx="51">
                  <c:v>8259.1892411143126</c:v>
                </c:pt>
                <c:pt idx="52">
                  <c:v>10783.863192182411</c:v>
                </c:pt>
                <c:pt idx="53">
                  <c:v>16320.6</c:v>
                </c:pt>
                <c:pt idx="54">
                  <c:v>13472.257294429708</c:v>
                </c:pt>
                <c:pt idx="55">
                  <c:v>22025.698113207549</c:v>
                </c:pt>
                <c:pt idx="56">
                  <c:v>12039.920792079209</c:v>
                </c:pt>
                <c:pt idx="57">
                  <c:v>7154.2248784440844</c:v>
                </c:pt>
                <c:pt idx="58">
                  <c:v>9177.4296296296288</c:v>
                </c:pt>
                <c:pt idx="59">
                  <c:v>9609.5570698466781</c:v>
                </c:pt>
                <c:pt idx="60">
                  <c:v>8051.123186344239</c:v>
                </c:pt>
                <c:pt idx="61">
                  <c:v>9050</c:v>
                </c:pt>
                <c:pt idx="62">
                  <c:v>8291.6877855619859</c:v>
                </c:pt>
                <c:pt idx="63">
                  <c:v>8313.0209130323892</c:v>
                </c:pt>
                <c:pt idx="64">
                  <c:v>7797.5668947168379</c:v>
                </c:pt>
                <c:pt idx="65">
                  <c:v>21804.748251748253</c:v>
                </c:pt>
                <c:pt idx="66">
                  <c:v>11619.981874447392</c:v>
                </c:pt>
                <c:pt idx="67">
                  <c:v>13320.195205479453</c:v>
                </c:pt>
                <c:pt idx="68">
                  <c:v>15081.293859649122</c:v>
                </c:pt>
                <c:pt idx="69">
                  <c:v>11834.04326923077</c:v>
                </c:pt>
                <c:pt idx="70">
                  <c:v>14939.616666666667</c:v>
                </c:pt>
                <c:pt idx="71">
                  <c:v>15745.478672985782</c:v>
                </c:pt>
                <c:pt idx="72">
                  <c:v>9868.0849194729144</c:v>
                </c:pt>
                <c:pt idx="73">
                  <c:v>22821.083333333332</c:v>
                </c:pt>
                <c:pt idx="74">
                  <c:v>18417.159090909092</c:v>
                </c:pt>
                <c:pt idx="75">
                  <c:v>10512.581863979849</c:v>
                </c:pt>
                <c:pt idx="76">
                  <c:v>17204.66891891892</c:v>
                </c:pt>
                <c:pt idx="77">
                  <c:v>10202.639830508475</c:v>
                </c:pt>
                <c:pt idx="78">
                  <c:v>11458.348837209302</c:v>
                </c:pt>
                <c:pt idx="79">
                  <c:v>11377</c:v>
                </c:pt>
                <c:pt idx="80">
                  <c:v>8447.3390602359759</c:v>
                </c:pt>
                <c:pt idx="81">
                  <c:v>8091.61000685401</c:v>
                </c:pt>
                <c:pt idx="82">
                  <c:v>8316.42200908632</c:v>
                </c:pt>
                <c:pt idx="83">
                  <c:v>9749.7338986935592</c:v>
                </c:pt>
                <c:pt idx="84">
                  <c:v>17233.581291759467</c:v>
                </c:pt>
                <c:pt idx="85">
                  <c:v>24645.211267605635</c:v>
                </c:pt>
                <c:pt idx="86">
                  <c:v>8027.5112499999996</c:v>
                </c:pt>
                <c:pt idx="87">
                  <c:v>9030.0775193798454</c:v>
                </c:pt>
                <c:pt idx="88">
                  <c:v>23757</c:v>
                </c:pt>
                <c:pt idx="89">
                  <c:v>17699.882142857143</c:v>
                </c:pt>
                <c:pt idx="90">
                  <c:v>7494.7752909579231</c:v>
                </c:pt>
                <c:pt idx="91">
                  <c:v>8410.1161103047889</c:v>
                </c:pt>
                <c:pt idx="92">
                  <c:v>8425.6851642129113</c:v>
                </c:pt>
                <c:pt idx="93">
                  <c:v>7674.5502544529263</c:v>
                </c:pt>
                <c:pt idx="94">
                  <c:v>10971.983667409057</c:v>
                </c:pt>
                <c:pt idx="95">
                  <c:v>12552.333333333334</c:v>
                </c:pt>
                <c:pt idx="96">
                  <c:v>19401.722222222223</c:v>
                </c:pt>
                <c:pt idx="97">
                  <c:v>12149.192422731805</c:v>
                </c:pt>
                <c:pt idx="98">
                  <c:v>21921.57894736842</c:v>
                </c:pt>
                <c:pt idx="99">
                  <c:v>13398.028384279476</c:v>
                </c:pt>
                <c:pt idx="100">
                  <c:v>100112.6</c:v>
                </c:pt>
                <c:pt idx="101">
                  <c:v>10169.931692307693</c:v>
                </c:pt>
                <c:pt idx="102">
                  <c:v>9166.7160718621017</c:v>
                </c:pt>
                <c:pt idx="103">
                  <c:v>9170.3460884353735</c:v>
                </c:pt>
                <c:pt idx="104">
                  <c:v>8346.2193979933108</c:v>
                </c:pt>
                <c:pt idx="105">
                  <c:v>7553.4084848484845</c:v>
                </c:pt>
                <c:pt idx="106">
                  <c:v>12149.501779359431</c:v>
                </c:pt>
                <c:pt idx="107">
                  <c:v>20255.333333333332</c:v>
                </c:pt>
                <c:pt idx="108">
                  <c:v>10813.964285714286</c:v>
                </c:pt>
                <c:pt idx="109">
                  <c:v>11737.445736434109</c:v>
                </c:pt>
                <c:pt idx="110">
                  <c:v>15865.987616099072</c:v>
                </c:pt>
                <c:pt idx="111">
                  <c:v>12025.727626459144</c:v>
                </c:pt>
                <c:pt idx="112">
                  <c:v>7731.2074542897326</c:v>
                </c:pt>
                <c:pt idx="113">
                  <c:v>16685.372727272726</c:v>
                </c:pt>
                <c:pt idx="114">
                  <c:v>15480.548672566372</c:v>
                </c:pt>
                <c:pt idx="115">
                  <c:v>7762.6292428198431</c:v>
                </c:pt>
                <c:pt idx="116">
                  <c:v>6049.1982480405713</c:v>
                </c:pt>
                <c:pt idx="117">
                  <c:v>7150.8011869436205</c:v>
                </c:pt>
                <c:pt idx="118">
                  <c:v>10808.657534246575</c:v>
                </c:pt>
                <c:pt idx="119">
                  <c:v>7037.9746514575409</c:v>
                </c:pt>
                <c:pt idx="120">
                  <c:v>6847.4759999999997</c:v>
                </c:pt>
                <c:pt idx="121">
                  <c:v>5192.5715835141</c:v>
                </c:pt>
                <c:pt idx="122">
                  <c:v>8332.1700507614205</c:v>
                </c:pt>
                <c:pt idx="123">
                  <c:v>5726.1464530892445</c:v>
                </c:pt>
                <c:pt idx="124">
                  <c:v>7872.921875</c:v>
                </c:pt>
                <c:pt idx="125">
                  <c:v>6214.1502347417836</c:v>
                </c:pt>
                <c:pt idx="126">
                  <c:v>6889.8437001594893</c:v>
                </c:pt>
                <c:pt idx="127">
                  <c:v>6739.425068119891</c:v>
                </c:pt>
                <c:pt idx="128">
                  <c:v>8829.7623318385649</c:v>
                </c:pt>
                <c:pt idx="129">
                  <c:v>5005.6792873051227</c:v>
                </c:pt>
                <c:pt idx="130">
                  <c:v>7735.1412213740459</c:v>
                </c:pt>
                <c:pt idx="131">
                  <c:v>7478.4208333333336</c:v>
                </c:pt>
                <c:pt idx="132">
                  <c:v>6517.7950819672133</c:v>
                </c:pt>
                <c:pt idx="133">
                  <c:v>8059.6530612244896</c:v>
                </c:pt>
                <c:pt idx="134">
                  <c:v>6741.525362318841</c:v>
                </c:pt>
                <c:pt idx="135">
                  <c:v>7429.7683615819205</c:v>
                </c:pt>
                <c:pt idx="136">
                  <c:v>7040.4953161592503</c:v>
                </c:pt>
                <c:pt idx="137">
                  <c:v>8867.6029776674932</c:v>
                </c:pt>
                <c:pt idx="138">
                  <c:v>5513.9375</c:v>
                </c:pt>
                <c:pt idx="139">
                  <c:v>6457.097826086957</c:v>
                </c:pt>
                <c:pt idx="140">
                  <c:v>8973.7707006369419</c:v>
                </c:pt>
                <c:pt idx="141">
                  <c:v>6464.9638242894052</c:v>
                </c:pt>
                <c:pt idx="142">
                  <c:v>6771.5184381778745</c:v>
                </c:pt>
                <c:pt idx="143">
                  <c:v>7054.4788135593217</c:v>
                </c:pt>
                <c:pt idx="144">
                  <c:v>26572.354430379746</c:v>
                </c:pt>
                <c:pt idx="145">
                  <c:v>12426.556962025317</c:v>
                </c:pt>
                <c:pt idx="146">
                  <c:v>9130.4148936170204</c:v>
                </c:pt>
                <c:pt idx="147">
                  <c:v>13976.684365781712</c:v>
                </c:pt>
                <c:pt idx="148">
                  <c:v>9968.0423728813566</c:v>
                </c:pt>
                <c:pt idx="149">
                  <c:v>9645.5932203389839</c:v>
                </c:pt>
                <c:pt idx="150">
                  <c:v>6868.1806020066888</c:v>
                </c:pt>
                <c:pt idx="151">
                  <c:v>6481.4341192787797</c:v>
                </c:pt>
                <c:pt idx="152">
                  <c:v>6272.4949037372589</c:v>
                </c:pt>
                <c:pt idx="153">
                  <c:v>8603.1875</c:v>
                </c:pt>
              </c:numCache>
            </c:numRef>
          </c:yVal>
          <c:smooth val="0"/>
          <c:extLst>
            <c:ext xmlns:c16="http://schemas.microsoft.com/office/drawing/2014/chart" uri="{C3380CC4-5D6E-409C-BE32-E72D297353CC}">
              <c16:uniqueId val="{00000000-C5AF-4DF0-8917-45070C2956BC}"/>
            </c:ext>
          </c:extLst>
        </c:ser>
        <c:ser>
          <c:idx val="1"/>
          <c:order val="1"/>
          <c:tx>
            <c:v>Per Pupil with SBB</c:v>
          </c:tx>
          <c:spPr>
            <a:ln w="25400" cap="rnd">
              <a:noFill/>
              <a:round/>
            </a:ln>
            <a:effectLst/>
          </c:spPr>
          <c:marker>
            <c:symbol val="circle"/>
            <c:size val="5"/>
            <c:spPr>
              <a:solidFill>
                <a:schemeClr val="accent2"/>
              </a:solidFill>
              <a:ln w="9525">
                <a:solidFill>
                  <a:schemeClr val="accent2"/>
                </a:solidFill>
              </a:ln>
              <a:effectLst/>
            </c:spPr>
          </c:marker>
          <c:xVal>
            <c:numRef>
              <c:f>'Graph Data all $'!$C$3:$C$156</c:f>
              <c:numCache>
                <c:formatCode>0%</c:formatCode>
                <c:ptCount val="154"/>
                <c:pt idx="0">
                  <c:v>0.3524982351556985</c:v>
                </c:pt>
                <c:pt idx="1">
                  <c:v>0.26971913320101143</c:v>
                </c:pt>
                <c:pt idx="2">
                  <c:v>0.40529575058723039</c:v>
                </c:pt>
                <c:pt idx="3">
                  <c:v>0.65189873417721522</c:v>
                </c:pt>
                <c:pt idx="4">
                  <c:v>0.54085603112840464</c:v>
                </c:pt>
                <c:pt idx="5">
                  <c:v>0.48328025477707004</c:v>
                </c:pt>
                <c:pt idx="6">
                  <c:v>0.49444620755315771</c:v>
                </c:pt>
                <c:pt idx="7">
                  <c:v>0.46146872166817771</c:v>
                </c:pt>
                <c:pt idx="8">
                  <c:v>0.50708833151581245</c:v>
                </c:pt>
                <c:pt idx="9">
                  <c:v>0.67791411042944782</c:v>
                </c:pt>
                <c:pt idx="10">
                  <c:v>0.44536326048434732</c:v>
                </c:pt>
                <c:pt idx="11">
                  <c:v>0.56882480957562565</c:v>
                </c:pt>
                <c:pt idx="12">
                  <c:v>0.70292887029288698</c:v>
                </c:pt>
                <c:pt idx="13">
                  <c:v>0.55466666666666664</c:v>
                </c:pt>
                <c:pt idx="14">
                  <c:v>0.42863574966231427</c:v>
                </c:pt>
                <c:pt idx="15">
                  <c:v>0.41674221819280749</c:v>
                </c:pt>
                <c:pt idx="16">
                  <c:v>0.50622406639004147</c:v>
                </c:pt>
                <c:pt idx="17">
                  <c:v>0.45454545454545453</c:v>
                </c:pt>
                <c:pt idx="18">
                  <c:v>0.66816143497757852</c:v>
                </c:pt>
                <c:pt idx="19">
                  <c:v>0.5542056074766355</c:v>
                </c:pt>
                <c:pt idx="20">
                  <c:v>0.45081266039349871</c:v>
                </c:pt>
                <c:pt idx="21">
                  <c:v>0.49492940942533309</c:v>
                </c:pt>
                <c:pt idx="22">
                  <c:v>0.55102040816326525</c:v>
                </c:pt>
                <c:pt idx="23">
                  <c:v>0.42962774094849565</c:v>
                </c:pt>
                <c:pt idx="24">
                  <c:v>0.56206896551724139</c:v>
                </c:pt>
                <c:pt idx="25">
                  <c:v>0.46186440677966101</c:v>
                </c:pt>
                <c:pt idx="26">
                  <c:v>0.40799999999999997</c:v>
                </c:pt>
                <c:pt idx="27">
                  <c:v>0.60365717683788001</c:v>
                </c:pt>
                <c:pt idx="28">
                  <c:v>0.82184634840341453</c:v>
                </c:pt>
                <c:pt idx="29">
                  <c:v>0</c:v>
                </c:pt>
                <c:pt idx="30">
                  <c:v>0.45277127244340359</c:v>
                </c:pt>
                <c:pt idx="31">
                  <c:v>0.67007672634271098</c:v>
                </c:pt>
                <c:pt idx="32">
                  <c:v>0.50686641697877655</c:v>
                </c:pt>
                <c:pt idx="33">
                  <c:v>0.69078014184397163</c:v>
                </c:pt>
                <c:pt idx="34">
                  <c:v>0.66835269993164725</c:v>
                </c:pt>
                <c:pt idx="35">
                  <c:v>0.47544204322200395</c:v>
                </c:pt>
                <c:pt idx="36">
                  <c:v>0.41025641025641024</c:v>
                </c:pt>
                <c:pt idx="37">
                  <c:v>0.34972677595628415</c:v>
                </c:pt>
                <c:pt idx="38">
                  <c:v>0.53291901340066028</c:v>
                </c:pt>
                <c:pt idx="39">
                  <c:v>0.76100628930817615</c:v>
                </c:pt>
                <c:pt idx="40">
                  <c:v>0.57473684210526321</c:v>
                </c:pt>
                <c:pt idx="41">
                  <c:v>0.38095238095238093</c:v>
                </c:pt>
                <c:pt idx="42">
                  <c:v>0.5</c:v>
                </c:pt>
                <c:pt idx="43">
                  <c:v>0</c:v>
                </c:pt>
                <c:pt idx="44">
                  <c:v>0.67441860465116277</c:v>
                </c:pt>
                <c:pt idx="45">
                  <c:v>0.52148337595907923</c:v>
                </c:pt>
                <c:pt idx="46">
                  <c:v>0.43193069306930693</c:v>
                </c:pt>
                <c:pt idx="47">
                  <c:v>0.47807017543859648</c:v>
                </c:pt>
                <c:pt idx="48">
                  <c:v>0.54722222222222228</c:v>
                </c:pt>
                <c:pt idx="49">
                  <c:v>0.57480946650621745</c:v>
                </c:pt>
                <c:pt idx="50">
                  <c:v>0.67711598746081503</c:v>
                </c:pt>
                <c:pt idx="51">
                  <c:v>0.77683854606931535</c:v>
                </c:pt>
                <c:pt idx="52">
                  <c:v>0.71084337349397586</c:v>
                </c:pt>
                <c:pt idx="53">
                  <c:v>0.81967213114754101</c:v>
                </c:pt>
                <c:pt idx="54">
                  <c:v>0.38141809290953543</c:v>
                </c:pt>
                <c:pt idx="55">
                  <c:v>0.60431654676258995</c:v>
                </c:pt>
                <c:pt idx="56">
                  <c:v>0.51584786053882725</c:v>
                </c:pt>
                <c:pt idx="57">
                  <c:v>0.4140067592940293</c:v>
                </c:pt>
                <c:pt idx="58">
                  <c:v>0.47520661157024796</c:v>
                </c:pt>
                <c:pt idx="59">
                  <c:v>0.5088282504012841</c:v>
                </c:pt>
                <c:pt idx="60">
                  <c:v>0.67589662447257381</c:v>
                </c:pt>
                <c:pt idx="61">
                  <c:v>0.60273972602739723</c:v>
                </c:pt>
                <c:pt idx="62">
                  <c:v>0.41819390371284776</c:v>
                </c:pt>
                <c:pt idx="63">
                  <c:v>0.44638583054092867</c:v>
                </c:pt>
                <c:pt idx="64">
                  <c:v>0.47652366046768552</c:v>
                </c:pt>
                <c:pt idx="65">
                  <c:v>0.5</c:v>
                </c:pt>
                <c:pt idx="66">
                  <c:v>0.3125</c:v>
                </c:pt>
                <c:pt idx="67">
                  <c:v>0.21069182389937108</c:v>
                </c:pt>
                <c:pt idx="68">
                  <c:v>0.42016806722689076</c:v>
                </c:pt>
                <c:pt idx="69">
                  <c:v>0.43973214285714285</c:v>
                </c:pt>
                <c:pt idx="70">
                  <c:v>0.35546875</c:v>
                </c:pt>
                <c:pt idx="71">
                  <c:v>0.44019138755980863</c:v>
                </c:pt>
                <c:pt idx="72">
                  <c:v>0.62875816993464051</c:v>
                </c:pt>
                <c:pt idx="73">
                  <c:v>0.64</c:v>
                </c:pt>
                <c:pt idx="74">
                  <c:v>0.47651006711409394</c:v>
                </c:pt>
                <c:pt idx="75">
                  <c:v>0.93548387096774188</c:v>
                </c:pt>
                <c:pt idx="76">
                  <c:v>0.52439024390243905</c:v>
                </c:pt>
                <c:pt idx="77">
                  <c:v>0.6987951807228916</c:v>
                </c:pt>
                <c:pt idx="78">
                  <c:v>0.70940170940170943</c:v>
                </c:pt>
                <c:pt idx="79">
                  <c:v>0.49624060150375937</c:v>
                </c:pt>
                <c:pt idx="80">
                  <c:v>0.3919336163643381</c:v>
                </c:pt>
                <c:pt idx="81">
                  <c:v>0.46358454718176062</c:v>
                </c:pt>
                <c:pt idx="82">
                  <c:v>0.63497081712062253</c:v>
                </c:pt>
                <c:pt idx="83">
                  <c:v>0.39093242087254065</c:v>
                </c:pt>
                <c:pt idx="84">
                  <c:v>0.8899253731343284</c:v>
                </c:pt>
                <c:pt idx="85">
                  <c:v>0.59340659340659341</c:v>
                </c:pt>
                <c:pt idx="86">
                  <c:v>0.46754675467546752</c:v>
                </c:pt>
                <c:pt idx="87">
                  <c:v>0.66383495145631066</c:v>
                </c:pt>
                <c:pt idx="88">
                  <c:v>0</c:v>
                </c:pt>
                <c:pt idx="89">
                  <c:v>0.64</c:v>
                </c:pt>
                <c:pt idx="90">
                  <c:v>0.60843881856540083</c:v>
                </c:pt>
                <c:pt idx="91">
                  <c:v>0.76732358550540369</c:v>
                </c:pt>
                <c:pt idx="92">
                  <c:v>0.46262626262626261</c:v>
                </c:pt>
                <c:pt idx="93">
                  <c:v>0.46642899584076053</c:v>
                </c:pt>
                <c:pt idx="94">
                  <c:v>0.68577348066298338</c:v>
                </c:pt>
                <c:pt idx="95">
                  <c:v>0</c:v>
                </c:pt>
                <c:pt idx="96">
                  <c:v>0</c:v>
                </c:pt>
                <c:pt idx="97">
                  <c:v>0.49909420289855072</c:v>
                </c:pt>
                <c:pt idx="98">
                  <c:v>0.45794392523364486</c:v>
                </c:pt>
                <c:pt idx="99">
                  <c:v>0.50819672131147542</c:v>
                </c:pt>
                <c:pt idx="100">
                  <c:v>0</c:v>
                </c:pt>
                <c:pt idx="101">
                  <c:v>0.46718576195773082</c:v>
                </c:pt>
                <c:pt idx="102">
                  <c:v>0.59374306634124696</c:v>
                </c:pt>
                <c:pt idx="103">
                  <c:v>0.66640502354788067</c:v>
                </c:pt>
                <c:pt idx="104">
                  <c:v>0.46276923076923077</c:v>
                </c:pt>
                <c:pt idx="105">
                  <c:v>0.34390112842557763</c:v>
                </c:pt>
                <c:pt idx="106">
                  <c:v>0.78333333333333333</c:v>
                </c:pt>
                <c:pt idx="107">
                  <c:v>0</c:v>
                </c:pt>
                <c:pt idx="108">
                  <c:v>0.65346534653465349</c:v>
                </c:pt>
                <c:pt idx="109">
                  <c:v>0.75163398692810457</c:v>
                </c:pt>
                <c:pt idx="110">
                  <c:v>0.33653846153846156</c:v>
                </c:pt>
                <c:pt idx="111">
                  <c:v>0.6</c:v>
                </c:pt>
                <c:pt idx="112">
                  <c:v>0.59727385377942999</c:v>
                </c:pt>
                <c:pt idx="113">
                  <c:v>0.50420168067226889</c:v>
                </c:pt>
                <c:pt idx="114">
                  <c:v>0.6097560975609756</c:v>
                </c:pt>
                <c:pt idx="115">
                  <c:v>0.36138613861386137</c:v>
                </c:pt>
                <c:pt idx="116">
                  <c:v>0.53649105848235867</c:v>
                </c:pt>
                <c:pt idx="117">
                  <c:v>0</c:v>
                </c:pt>
                <c:pt idx="118">
                  <c:v>0.35080645161290325</c:v>
                </c:pt>
                <c:pt idx="119">
                  <c:v>0</c:v>
                </c:pt>
                <c:pt idx="120">
                  <c:v>0.22222222222222221</c:v>
                </c:pt>
                <c:pt idx="121">
                  <c:v>0.52716143840856922</c:v>
                </c:pt>
                <c:pt idx="122">
                  <c:v>0.35971223021582732</c:v>
                </c:pt>
                <c:pt idx="123">
                  <c:v>0.36680327868852458</c:v>
                </c:pt>
                <c:pt idx="124">
                  <c:v>0.4375</c:v>
                </c:pt>
                <c:pt idx="125">
                  <c:v>0.28235294117647058</c:v>
                </c:pt>
                <c:pt idx="126">
                  <c:v>0.42899850523168909</c:v>
                </c:pt>
                <c:pt idx="127">
                  <c:v>0.30804597701149428</c:v>
                </c:pt>
                <c:pt idx="128">
                  <c:v>0.5761316872427984</c:v>
                </c:pt>
                <c:pt idx="129">
                  <c:v>0.46889952153110048</c:v>
                </c:pt>
                <c:pt idx="130">
                  <c:v>0.38695652173913042</c:v>
                </c:pt>
                <c:pt idx="131">
                  <c:v>0</c:v>
                </c:pt>
                <c:pt idx="132">
                  <c:v>0</c:v>
                </c:pt>
                <c:pt idx="133">
                  <c:v>0.30857142857142855</c:v>
                </c:pt>
                <c:pt idx="134">
                  <c:v>0.14613180515759314</c:v>
                </c:pt>
                <c:pt idx="135">
                  <c:v>0.54450261780104714</c:v>
                </c:pt>
                <c:pt idx="136">
                  <c:v>0.17647058823529413</c:v>
                </c:pt>
                <c:pt idx="137">
                  <c:v>0.56399999999999995</c:v>
                </c:pt>
                <c:pt idx="138">
                  <c:v>0.48063380281690143</c:v>
                </c:pt>
                <c:pt idx="139">
                  <c:v>0.38305084745762713</c:v>
                </c:pt>
                <c:pt idx="140">
                  <c:v>0.9101123595505618</c:v>
                </c:pt>
                <c:pt idx="141">
                  <c:v>0</c:v>
                </c:pt>
                <c:pt idx="142">
                  <c:v>0.71296296296296291</c:v>
                </c:pt>
                <c:pt idx="143">
                  <c:v>0.2857142857142857</c:v>
                </c:pt>
                <c:pt idx="144">
                  <c:v>0.90476190476190477</c:v>
                </c:pt>
                <c:pt idx="145">
                  <c:v>0.58888888888888891</c:v>
                </c:pt>
                <c:pt idx="146">
                  <c:v>0</c:v>
                </c:pt>
                <c:pt idx="147">
                  <c:v>0.49315068493150682</c:v>
                </c:pt>
                <c:pt idx="148">
                  <c:v>0.31538461538461537</c:v>
                </c:pt>
                <c:pt idx="149">
                  <c:v>0</c:v>
                </c:pt>
                <c:pt idx="150">
                  <c:v>0.50928792569659442</c:v>
                </c:pt>
                <c:pt idx="151">
                  <c:v>0</c:v>
                </c:pt>
                <c:pt idx="152">
                  <c:v>0</c:v>
                </c:pt>
                <c:pt idx="153">
                  <c:v>0</c:v>
                </c:pt>
              </c:numCache>
            </c:numRef>
          </c:xVal>
          <c:yVal>
            <c:numRef>
              <c:f>'Graph Data all $'!$G$3:$G$156</c:f>
              <c:numCache>
                <c:formatCode>_("$"* #,##0_);_("$"* \(#,##0\);_("$"* "-"??_);_(@_)</c:formatCode>
                <c:ptCount val="154"/>
                <c:pt idx="0">
                  <c:v>8909.9439250803298</c:v>
                </c:pt>
                <c:pt idx="1">
                  <c:v>7649.784059194134</c:v>
                </c:pt>
                <c:pt idx="2">
                  <c:v>8728.0113325957846</c:v>
                </c:pt>
                <c:pt idx="3">
                  <c:v>14978</c:v>
                </c:pt>
                <c:pt idx="4">
                  <c:v>10321.101265822785</c:v>
                </c:pt>
                <c:pt idx="5">
                  <c:v>7776.2943186725479</c:v>
                </c:pt>
                <c:pt idx="6">
                  <c:v>8744.6023004106737</c:v>
                </c:pt>
                <c:pt idx="7">
                  <c:v>6587.1153222671146</c:v>
                </c:pt>
                <c:pt idx="8">
                  <c:v>9632.0645928057602</c:v>
                </c:pt>
                <c:pt idx="9">
                  <c:v>18033.351535836176</c:v>
                </c:pt>
                <c:pt idx="10">
                  <c:v>8987.9126636117762</c:v>
                </c:pt>
                <c:pt idx="11">
                  <c:v>9441.9549432330605</c:v>
                </c:pt>
                <c:pt idx="12">
                  <c:v>11115.739760064505</c:v>
                </c:pt>
                <c:pt idx="13">
                  <c:v>8120.5609279653781</c:v>
                </c:pt>
                <c:pt idx="14">
                  <c:v>7962.8177715396632</c:v>
                </c:pt>
                <c:pt idx="15">
                  <c:v>14210.076948264572</c:v>
                </c:pt>
                <c:pt idx="16">
                  <c:v>17345.251162790697</c:v>
                </c:pt>
                <c:pt idx="17">
                  <c:v>6843.4261548784089</c:v>
                </c:pt>
                <c:pt idx="18">
                  <c:v>13941.777777777777</c:v>
                </c:pt>
                <c:pt idx="19">
                  <c:v>6368.0225650845414</c:v>
                </c:pt>
                <c:pt idx="20">
                  <c:v>6072.6884032929784</c:v>
                </c:pt>
                <c:pt idx="21">
                  <c:v>8519.8251295629343</c:v>
                </c:pt>
                <c:pt idx="22">
                  <c:v>20296.816326530614</c:v>
                </c:pt>
                <c:pt idx="23">
                  <c:v>8434.7893390140653</c:v>
                </c:pt>
                <c:pt idx="24">
                  <c:v>9226.3025354367364</c:v>
                </c:pt>
                <c:pt idx="25">
                  <c:v>9108.3859231995157</c:v>
                </c:pt>
                <c:pt idx="26">
                  <c:v>18095.798449612405</c:v>
                </c:pt>
                <c:pt idx="27">
                  <c:v>9172.875429944319</c:v>
                </c:pt>
                <c:pt idx="28">
                  <c:v>10306.360073222801</c:v>
                </c:pt>
                <c:pt idx="29">
                  <c:v>10416.850225509828</c:v>
                </c:pt>
                <c:pt idx="30">
                  <c:v>8513.1773458398766</c:v>
                </c:pt>
                <c:pt idx="31">
                  <c:v>9500.039290316663</c:v>
                </c:pt>
                <c:pt idx="32">
                  <c:v>8168.3779121615426</c:v>
                </c:pt>
                <c:pt idx="33">
                  <c:v>10006.31115008861</c:v>
                </c:pt>
                <c:pt idx="34">
                  <c:v>9773.0122991322824</c:v>
                </c:pt>
                <c:pt idx="35">
                  <c:v>8587.0504017933126</c:v>
                </c:pt>
                <c:pt idx="36">
                  <c:v>12561.240963855422</c:v>
                </c:pt>
                <c:pt idx="37">
                  <c:v>7234.8981620903942</c:v>
                </c:pt>
                <c:pt idx="38">
                  <c:v>8652.8684190513213</c:v>
                </c:pt>
                <c:pt idx="39">
                  <c:v>18358.179856115108</c:v>
                </c:pt>
                <c:pt idx="40">
                  <c:v>11641.113016586505</c:v>
                </c:pt>
                <c:pt idx="41">
                  <c:v>4433.2732394366194</c:v>
                </c:pt>
                <c:pt idx="42">
                  <c:v>14282.26582278481</c:v>
                </c:pt>
                <c:pt idx="43">
                  <c:v>25348.5</c:v>
                </c:pt>
                <c:pt idx="44">
                  <c:v>8873.5913608354276</c:v>
                </c:pt>
                <c:pt idx="45">
                  <c:v>8695.1358581439454</c:v>
                </c:pt>
                <c:pt idx="46">
                  <c:v>7704.9528815609929</c:v>
                </c:pt>
                <c:pt idx="47">
                  <c:v>8323.8744430920269</c:v>
                </c:pt>
                <c:pt idx="48">
                  <c:v>7651.3701083379055</c:v>
                </c:pt>
                <c:pt idx="49">
                  <c:v>9294.4723043503382</c:v>
                </c:pt>
                <c:pt idx="50">
                  <c:v>8986.7253347109654</c:v>
                </c:pt>
                <c:pt idx="51">
                  <c:v>9499.0407102842182</c:v>
                </c:pt>
                <c:pt idx="52">
                  <c:v>8720.7453694589713</c:v>
                </c:pt>
                <c:pt idx="53">
                  <c:v>16320.6</c:v>
                </c:pt>
                <c:pt idx="54">
                  <c:v>10706.786852400239</c:v>
                </c:pt>
                <c:pt idx="55">
                  <c:v>22025.698113207549</c:v>
                </c:pt>
                <c:pt idx="56">
                  <c:v>10255.631679369277</c:v>
                </c:pt>
                <c:pt idx="57">
                  <c:v>8236.0539061490581</c:v>
                </c:pt>
                <c:pt idx="58">
                  <c:v>9139.6335147249938</c:v>
                </c:pt>
                <c:pt idx="59">
                  <c:v>9306.1098008425779</c:v>
                </c:pt>
                <c:pt idx="60">
                  <c:v>9244.304261834588</c:v>
                </c:pt>
                <c:pt idx="61">
                  <c:v>8511.0129292961101</c:v>
                </c:pt>
                <c:pt idx="62">
                  <c:v>7236.1760420711198</c:v>
                </c:pt>
                <c:pt idx="63">
                  <c:v>7826.0444179302067</c:v>
                </c:pt>
                <c:pt idx="64">
                  <c:v>7856.4136953449088</c:v>
                </c:pt>
                <c:pt idx="65">
                  <c:v>21804.748251748253</c:v>
                </c:pt>
                <c:pt idx="66">
                  <c:v>10709.703641884305</c:v>
                </c:pt>
                <c:pt idx="67">
                  <c:v>13320.195205479453</c:v>
                </c:pt>
                <c:pt idx="68">
                  <c:v>15081.293859649122</c:v>
                </c:pt>
                <c:pt idx="69">
                  <c:v>9893.5328535253939</c:v>
                </c:pt>
                <c:pt idx="70">
                  <c:v>14939.616666666667</c:v>
                </c:pt>
                <c:pt idx="71">
                  <c:v>15745.478672985781</c:v>
                </c:pt>
                <c:pt idx="72">
                  <c:v>7740.7170241285239</c:v>
                </c:pt>
                <c:pt idx="73">
                  <c:v>22821.083333333336</c:v>
                </c:pt>
                <c:pt idx="74">
                  <c:v>18417.159090909092</c:v>
                </c:pt>
                <c:pt idx="75">
                  <c:v>10343.517635784519</c:v>
                </c:pt>
                <c:pt idx="76">
                  <c:v>17204.66891891892</c:v>
                </c:pt>
                <c:pt idx="77">
                  <c:v>9711.3829813213142</c:v>
                </c:pt>
                <c:pt idx="78">
                  <c:v>11458.348837209302</c:v>
                </c:pt>
                <c:pt idx="79">
                  <c:v>11377</c:v>
                </c:pt>
                <c:pt idx="80">
                  <c:v>9078.630951613095</c:v>
                </c:pt>
                <c:pt idx="81">
                  <c:v>8791.2606058079728</c:v>
                </c:pt>
                <c:pt idx="82">
                  <c:v>8981.3659218104658</c:v>
                </c:pt>
                <c:pt idx="83">
                  <c:v>9115.6591028382209</c:v>
                </c:pt>
                <c:pt idx="84">
                  <c:v>17396.759463930175</c:v>
                </c:pt>
                <c:pt idx="85">
                  <c:v>24645.211267605635</c:v>
                </c:pt>
                <c:pt idx="86">
                  <c:v>8015.7916513158953</c:v>
                </c:pt>
                <c:pt idx="87">
                  <c:v>9737.7614911507753</c:v>
                </c:pt>
                <c:pt idx="88">
                  <c:v>23757</c:v>
                </c:pt>
                <c:pt idx="89">
                  <c:v>17699.882142857143</c:v>
                </c:pt>
                <c:pt idx="90">
                  <c:v>8789.1052340205297</c:v>
                </c:pt>
                <c:pt idx="91">
                  <c:v>9492.907107064415</c:v>
                </c:pt>
                <c:pt idx="92">
                  <c:v>7574.2828982443361</c:v>
                </c:pt>
                <c:pt idx="93">
                  <c:v>7874.5151293057343</c:v>
                </c:pt>
                <c:pt idx="94">
                  <c:v>10740.697147994993</c:v>
                </c:pt>
                <c:pt idx="95">
                  <c:v>12552.333333333334</c:v>
                </c:pt>
                <c:pt idx="96">
                  <c:v>19401.722222222223</c:v>
                </c:pt>
                <c:pt idx="97">
                  <c:v>11682.057016990238</c:v>
                </c:pt>
                <c:pt idx="98">
                  <c:v>21921.57894736842</c:v>
                </c:pt>
                <c:pt idx="99">
                  <c:v>12149.097861541033</c:v>
                </c:pt>
                <c:pt idx="100">
                  <c:v>100112.6</c:v>
                </c:pt>
                <c:pt idx="101">
                  <c:v>8612.888937958176</c:v>
                </c:pt>
                <c:pt idx="102">
                  <c:v>9800.028233265788</c:v>
                </c:pt>
                <c:pt idx="103">
                  <c:v>9310.194765384369</c:v>
                </c:pt>
                <c:pt idx="104">
                  <c:v>8580.8533793674869</c:v>
                </c:pt>
                <c:pt idx="105">
                  <c:v>7809.8751557906517</c:v>
                </c:pt>
                <c:pt idx="106">
                  <c:v>12149.501779359431</c:v>
                </c:pt>
                <c:pt idx="107">
                  <c:v>20255.333333333332</c:v>
                </c:pt>
                <c:pt idx="108">
                  <c:v>10813.964285714286</c:v>
                </c:pt>
                <c:pt idx="109">
                  <c:v>11737.445736434109</c:v>
                </c:pt>
                <c:pt idx="110">
                  <c:v>10225.498452012383</c:v>
                </c:pt>
                <c:pt idx="111">
                  <c:v>12025.727626459144</c:v>
                </c:pt>
                <c:pt idx="112">
                  <c:v>8359.8918512185537</c:v>
                </c:pt>
                <c:pt idx="113">
                  <c:v>16685.372727272726</c:v>
                </c:pt>
                <c:pt idx="114">
                  <c:v>15480.54867256637</c:v>
                </c:pt>
                <c:pt idx="115">
                  <c:v>7840.7687005858597</c:v>
                </c:pt>
                <c:pt idx="116">
                  <c:v>8620.6240830487295</c:v>
                </c:pt>
                <c:pt idx="117">
                  <c:v>5528.4891507280063</c:v>
                </c:pt>
                <c:pt idx="118">
                  <c:v>11583.758405140668</c:v>
                </c:pt>
                <c:pt idx="119">
                  <c:v>7116.4607238796125</c:v>
                </c:pt>
                <c:pt idx="120">
                  <c:v>7058.5640000000003</c:v>
                </c:pt>
                <c:pt idx="121">
                  <c:v>7908.2321937377283</c:v>
                </c:pt>
                <c:pt idx="122">
                  <c:v>8265.8228540014206</c:v>
                </c:pt>
                <c:pt idx="123">
                  <c:v>7201.2586613823141</c:v>
                </c:pt>
                <c:pt idx="124">
                  <c:v>8264.1017944594605</c:v>
                </c:pt>
                <c:pt idx="125">
                  <c:v>7013.1018184802188</c:v>
                </c:pt>
                <c:pt idx="126">
                  <c:v>7813.4731094465687</c:v>
                </c:pt>
                <c:pt idx="127">
                  <c:v>7818.983986246315</c:v>
                </c:pt>
                <c:pt idx="128">
                  <c:v>9554.3695399435328</c:v>
                </c:pt>
                <c:pt idx="129">
                  <c:v>7062.6759575551487</c:v>
                </c:pt>
                <c:pt idx="130">
                  <c:v>7735.1412213740459</c:v>
                </c:pt>
                <c:pt idx="131">
                  <c:v>7478.4208333333336</c:v>
                </c:pt>
                <c:pt idx="132">
                  <c:v>6517.7950819672133</c:v>
                </c:pt>
                <c:pt idx="133">
                  <c:v>8332.9084353741491</c:v>
                </c:pt>
                <c:pt idx="134">
                  <c:v>7534.4559715128107</c:v>
                </c:pt>
                <c:pt idx="135">
                  <c:v>9373.6702753867539</c:v>
                </c:pt>
                <c:pt idx="136">
                  <c:v>7669.5883187310537</c:v>
                </c:pt>
                <c:pt idx="137">
                  <c:v>9156.2956038577231</c:v>
                </c:pt>
                <c:pt idx="138">
                  <c:v>7839.3934470190479</c:v>
                </c:pt>
                <c:pt idx="139">
                  <c:v>7672.9573446327677</c:v>
                </c:pt>
                <c:pt idx="140">
                  <c:v>10957.417412152006</c:v>
                </c:pt>
                <c:pt idx="141">
                  <c:v>6600.9460895175998</c:v>
                </c:pt>
                <c:pt idx="142">
                  <c:v>9250.8579574656069</c:v>
                </c:pt>
                <c:pt idx="143">
                  <c:v>7619.0780871670704</c:v>
                </c:pt>
                <c:pt idx="144">
                  <c:v>27245.103074141047</c:v>
                </c:pt>
                <c:pt idx="145">
                  <c:v>12426.556962025317</c:v>
                </c:pt>
                <c:pt idx="146">
                  <c:v>9130.4148936170204</c:v>
                </c:pt>
                <c:pt idx="147">
                  <c:v>13979.863777919576</c:v>
                </c:pt>
                <c:pt idx="148">
                  <c:v>10656.678096479791</c:v>
                </c:pt>
                <c:pt idx="149">
                  <c:v>9645.5932203389839</c:v>
                </c:pt>
                <c:pt idx="150">
                  <c:v>7976.3397358333132</c:v>
                </c:pt>
                <c:pt idx="151">
                  <c:v>6118.7433188179903</c:v>
                </c:pt>
                <c:pt idx="152">
                  <c:v>6654.8754266083843</c:v>
                </c:pt>
                <c:pt idx="153">
                  <c:v>8603.1875</c:v>
                </c:pt>
              </c:numCache>
            </c:numRef>
          </c:yVal>
          <c:smooth val="0"/>
          <c:extLst>
            <c:ext xmlns:c16="http://schemas.microsoft.com/office/drawing/2014/chart" uri="{C3380CC4-5D6E-409C-BE32-E72D297353CC}">
              <c16:uniqueId val="{00000001-C5AF-4DF0-8917-45070C2956BC}"/>
            </c:ext>
          </c:extLst>
        </c:ser>
        <c:dLbls>
          <c:showLegendKey val="0"/>
          <c:showVal val="0"/>
          <c:showCatName val="0"/>
          <c:showSerName val="0"/>
          <c:showPercent val="0"/>
          <c:showBubbleSize val="0"/>
        </c:dLbls>
        <c:axId val="590827344"/>
        <c:axId val="590828328"/>
      </c:scatterChart>
      <c:valAx>
        <c:axId val="59082734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Low-Income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8328"/>
        <c:crosses val="autoZero"/>
        <c:crossBetween val="midCat"/>
      </c:valAx>
      <c:valAx>
        <c:axId val="590828328"/>
        <c:scaling>
          <c:orientation val="minMax"/>
          <c:max val="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8518518518518517E-2"/>
              <c:y val="0.29051728533933258"/>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27344"/>
        <c:crosses val="autoZero"/>
        <c:crossBetween val="midCat"/>
        <c:majorUnit val="5000"/>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0" i="0" baseline="0">
                <a:solidFill>
                  <a:schemeClr val="tx1"/>
                </a:solidFill>
                <a:effectLst/>
              </a:rPr>
              <a:t>Per Pupil Funding by Property Wealth Per Pupil</a:t>
            </a:r>
          </a:p>
          <a:p>
            <a:pPr>
              <a:defRPr sz="1400" b="0" i="0" u="none" strike="noStrike" kern="1200" spc="0" baseline="0">
                <a:solidFill>
                  <a:schemeClr val="tx1"/>
                </a:solidFill>
                <a:latin typeface="+mn-lt"/>
                <a:ea typeface="+mn-ea"/>
                <a:cs typeface="+mn-cs"/>
              </a:defRPr>
            </a:pPr>
            <a:r>
              <a:rPr lang="en-US" sz="1000" b="0" i="0" u="none" strike="noStrike" baseline="0">
                <a:effectLst/>
              </a:rPr>
              <a:t>(all schools with per pupil &lt;=$25,000 per pupil)</a:t>
            </a:r>
            <a:endParaRPr lang="en-US" sz="1000">
              <a:solidFill>
                <a:schemeClr val="tx1"/>
              </a:solidFill>
              <a:effectLst/>
            </a:endParaRPr>
          </a:p>
        </c:rich>
      </c:tx>
      <c:overlay val="0"/>
      <c:spPr>
        <a:noFill/>
        <a:ln>
          <a:noFill/>
        </a:ln>
        <a:effectLst/>
      </c:spPr>
    </c:title>
    <c:autoTitleDeleted val="0"/>
    <c:plotArea>
      <c:layout>
        <c:manualLayout>
          <c:layoutTarget val="inner"/>
          <c:xMode val="edge"/>
          <c:yMode val="edge"/>
          <c:x val="0.18859268790120373"/>
          <c:y val="0.20865625130192059"/>
          <c:w val="0.7286101629923829"/>
          <c:h val="0.57301569397084928"/>
        </c:manualLayout>
      </c:layout>
      <c:scatterChart>
        <c:scatterStyle val="lineMarker"/>
        <c:varyColors val="0"/>
        <c:ser>
          <c:idx val="0"/>
          <c:order val="0"/>
          <c:tx>
            <c:v>Current Per Pupil</c:v>
          </c:tx>
          <c:spPr>
            <a:ln w="25400" cap="rnd">
              <a:noFill/>
              <a:round/>
            </a:ln>
            <a:effectLst/>
          </c:spPr>
          <c:marker>
            <c:symbol val="circle"/>
            <c:size val="5"/>
            <c:spPr>
              <a:solidFill>
                <a:schemeClr val="accent1"/>
              </a:solidFill>
              <a:ln w="9525">
                <a:solidFill>
                  <a:schemeClr val="accent1"/>
                </a:solidFill>
              </a:ln>
              <a:effectLst/>
            </c:spPr>
          </c:marker>
          <c:xVal>
            <c:numRef>
              <c:f>'Graph Data all $'!$F$3:$F$156</c:f>
              <c:numCache>
                <c:formatCode>_("$"* #,##0_);_("$"* \(#,##0\);_("$"* "-"??_);_(@_)</c:formatCode>
                <c:ptCount val="154"/>
                <c:pt idx="0">
                  <c:v>694830.44376598729</c:v>
                </c:pt>
                <c:pt idx="1">
                  <c:v>435012.0196213228</c:v>
                </c:pt>
                <c:pt idx="2">
                  <c:v>253724.48773006134</c:v>
                </c:pt>
                <c:pt idx="3">
                  <c:v>1624694.55</c:v>
                </c:pt>
                <c:pt idx="4">
                  <c:v>655846.20253164554</c:v>
                </c:pt>
                <c:pt idx="5">
                  <c:v>535613.07731520815</c:v>
                </c:pt>
                <c:pt idx="6">
                  <c:v>288140.12419700215</c:v>
                </c:pt>
                <c:pt idx="7">
                  <c:v>825628.6</c:v>
                </c:pt>
                <c:pt idx="8">
                  <c:v>534803.24436536175</c:v>
                </c:pt>
                <c:pt idx="9">
                  <c:v>1736504.5665529009</c:v>
                </c:pt>
                <c:pt idx="10">
                  <c:v>224672.35051546391</c:v>
                </c:pt>
                <c:pt idx="11">
                  <c:v>208656.08234318873</c:v>
                </c:pt>
                <c:pt idx="12">
                  <c:v>320175.05263157893</c:v>
                </c:pt>
                <c:pt idx="13">
                  <c:v>282951.24408284022</c:v>
                </c:pt>
                <c:pt idx="14">
                  <c:v>245081.64720314034</c:v>
                </c:pt>
                <c:pt idx="15">
                  <c:v>2927623.0697445972</c:v>
                </c:pt>
                <c:pt idx="16">
                  <c:v>1818085.6790697675</c:v>
                </c:pt>
                <c:pt idx="17">
                  <c:v>841338.00602409639</c:v>
                </c:pt>
                <c:pt idx="18">
                  <c:v>508926.961352657</c:v>
                </c:pt>
                <c:pt idx="19">
                  <c:v>1630195.6093439364</c:v>
                </c:pt>
                <c:pt idx="20">
                  <c:v>1252955.4894124665</c:v>
                </c:pt>
                <c:pt idx="21">
                  <c:v>308800.54236037936</c:v>
                </c:pt>
                <c:pt idx="22">
                  <c:v>3849730.612244898</c:v>
                </c:pt>
                <c:pt idx="23">
                  <c:v>222169.39952109044</c:v>
                </c:pt>
                <c:pt idx="24">
                  <c:v>649734.42813455663</c:v>
                </c:pt>
                <c:pt idx="25">
                  <c:v>401072.45663265308</c:v>
                </c:pt>
                <c:pt idx="26">
                  <c:v>991893.81395348837</c:v>
                </c:pt>
                <c:pt idx="27">
                  <c:v>271543.59709984041</c:v>
                </c:pt>
                <c:pt idx="28">
                  <c:v>266807.13263342081</c:v>
                </c:pt>
                <c:pt idx="29">
                  <c:v>467336.24815724813</c:v>
                </c:pt>
                <c:pt idx="30">
                  <c:v>233017.69186046513</c:v>
                </c:pt>
                <c:pt idx="31">
                  <c:v>244914.48266666668</c:v>
                </c:pt>
                <c:pt idx="32">
                  <c:v>303068.6265060241</c:v>
                </c:pt>
                <c:pt idx="33">
                  <c:v>292204.2823779193</c:v>
                </c:pt>
                <c:pt idx="34">
                  <c:v>241733.09337925757</c:v>
                </c:pt>
                <c:pt idx="35">
                  <c:v>296314.29247311829</c:v>
                </c:pt>
                <c:pt idx="36">
                  <c:v>620361.77108433738</c:v>
                </c:pt>
                <c:pt idx="37">
                  <c:v>770654.95064935065</c:v>
                </c:pt>
                <c:pt idx="38">
                  <c:v>262903.39389002038</c:v>
                </c:pt>
                <c:pt idx="39">
                  <c:v>841549.82733812951</c:v>
                </c:pt>
                <c:pt idx="40">
                  <c:v>514476.51306873187</c:v>
                </c:pt>
                <c:pt idx="41">
                  <c:v>1870354.6084507043</c:v>
                </c:pt>
                <c:pt idx="42">
                  <c:v>909629.74683544307</c:v>
                </c:pt>
                <c:pt idx="43">
                  <c:v>1798935.5</c:v>
                </c:pt>
                <c:pt idx="44">
                  <c:v>687170.07751937979</c:v>
                </c:pt>
                <c:pt idx="45">
                  <c:v>308906.73761520738</c:v>
                </c:pt>
                <c:pt idx="46">
                  <c:v>191855.02760609807</c:v>
                </c:pt>
                <c:pt idx="47">
                  <c:v>237204.09897610921</c:v>
                </c:pt>
                <c:pt idx="48">
                  <c:v>782524.30526315793</c:v>
                </c:pt>
                <c:pt idx="49">
                  <c:v>361089.95714285714</c:v>
                </c:pt>
                <c:pt idx="50">
                  <c:v>353929.64761092153</c:v>
                </c:pt>
                <c:pt idx="51">
                  <c:v>259798.49471661865</c:v>
                </c:pt>
                <c:pt idx="52">
                  <c:v>514798.55374592834</c:v>
                </c:pt>
                <c:pt idx="53">
                  <c:v>688574.83478260867</c:v>
                </c:pt>
                <c:pt idx="54">
                  <c:v>404009.68169761274</c:v>
                </c:pt>
                <c:pt idx="55">
                  <c:v>1234629.1603773586</c:v>
                </c:pt>
                <c:pt idx="56">
                  <c:v>743623.04950495053</c:v>
                </c:pt>
                <c:pt idx="57">
                  <c:v>185696.1193273906</c:v>
                </c:pt>
                <c:pt idx="58">
                  <c:v>198510.04148148149</c:v>
                </c:pt>
                <c:pt idx="59">
                  <c:v>291589.19761499146</c:v>
                </c:pt>
                <c:pt idx="60">
                  <c:v>300590.86657183501</c:v>
                </c:pt>
                <c:pt idx="61">
                  <c:v>381797.85791366908</c:v>
                </c:pt>
                <c:pt idx="62">
                  <c:v>759417.3177987613</c:v>
                </c:pt>
                <c:pt idx="63">
                  <c:v>576720.6526396327</c:v>
                </c:pt>
                <c:pt idx="64">
                  <c:v>454962.16229570506</c:v>
                </c:pt>
                <c:pt idx="65">
                  <c:v>3748133.7062937063</c:v>
                </c:pt>
                <c:pt idx="66">
                  <c:v>599525.71485411143</c:v>
                </c:pt>
                <c:pt idx="67">
                  <c:v>570504.29452054796</c:v>
                </c:pt>
                <c:pt idx="68">
                  <c:v>549191.40350877191</c:v>
                </c:pt>
                <c:pt idx="69">
                  <c:v>555171.33894230775</c:v>
                </c:pt>
                <c:pt idx="70">
                  <c:v>559516.90416666667</c:v>
                </c:pt>
                <c:pt idx="71">
                  <c:v>818991.69668246445</c:v>
                </c:pt>
                <c:pt idx="72">
                  <c:v>777098.77159590041</c:v>
                </c:pt>
                <c:pt idx="73">
                  <c:v>1142739.1527777778</c:v>
                </c:pt>
                <c:pt idx="74">
                  <c:v>861358.31818181823</c:v>
                </c:pt>
                <c:pt idx="75">
                  <c:v>504261.69269521412</c:v>
                </c:pt>
                <c:pt idx="76">
                  <c:v>966066.7297297297</c:v>
                </c:pt>
                <c:pt idx="77">
                  <c:v>364583.89406779659</c:v>
                </c:pt>
                <c:pt idx="78">
                  <c:v>211514.45581395348</c:v>
                </c:pt>
                <c:pt idx="79">
                  <c:v>347524.94818652852</c:v>
                </c:pt>
                <c:pt idx="80">
                  <c:v>281010.55599254812</c:v>
                </c:pt>
                <c:pt idx="81">
                  <c:v>176449.59081562713</c:v>
                </c:pt>
                <c:pt idx="82">
                  <c:v>318176.68298838969</c:v>
                </c:pt>
                <c:pt idx="83">
                  <c:v>573209.76667430671</c:v>
                </c:pt>
                <c:pt idx="84">
                  <c:v>319092.28953229397</c:v>
                </c:pt>
                <c:pt idx="85">
                  <c:v>761185.14084507048</c:v>
                </c:pt>
                <c:pt idx="86">
                  <c:v>376037.255</c:v>
                </c:pt>
                <c:pt idx="87">
                  <c:v>294019.7002583979</c:v>
                </c:pt>
                <c:pt idx="88">
                  <c:v>1680812.7272727273</c:v>
                </c:pt>
                <c:pt idx="89">
                  <c:v>692965.01071428566</c:v>
                </c:pt>
                <c:pt idx="90">
                  <c:v>219840.57743957028</c:v>
                </c:pt>
                <c:pt idx="91">
                  <c:v>267558.22568940494</c:v>
                </c:pt>
                <c:pt idx="92">
                  <c:v>438377.30690826726</c:v>
                </c:pt>
                <c:pt idx="93">
                  <c:v>326871.7703562341</c:v>
                </c:pt>
                <c:pt idx="94">
                  <c:v>592603.88715664437</c:v>
                </c:pt>
                <c:pt idx="95">
                  <c:v>242445.96363636362</c:v>
                </c:pt>
                <c:pt idx="96">
                  <c:v>1395446.888888889</c:v>
                </c:pt>
                <c:pt idx="97">
                  <c:v>527574.146560319</c:v>
                </c:pt>
                <c:pt idx="98">
                  <c:v>766902.37894736847</c:v>
                </c:pt>
                <c:pt idx="99">
                  <c:v>522970.08515283844</c:v>
                </c:pt>
                <c:pt idx="100">
                  <c:v>23547814.600000001</c:v>
                </c:pt>
                <c:pt idx="101">
                  <c:v>864859.20061538462</c:v>
                </c:pt>
                <c:pt idx="102">
                  <c:v>343142.58946346201</c:v>
                </c:pt>
                <c:pt idx="103">
                  <c:v>494659.71428571426</c:v>
                </c:pt>
                <c:pt idx="104">
                  <c:v>309585.56254180602</c:v>
                </c:pt>
                <c:pt idx="105">
                  <c:v>235645.31878787879</c:v>
                </c:pt>
                <c:pt idx="106">
                  <c:v>494399.70818505337</c:v>
                </c:pt>
                <c:pt idx="107">
                  <c:v>2157215.6666666665</c:v>
                </c:pt>
                <c:pt idx="108">
                  <c:v>555701.07857142854</c:v>
                </c:pt>
                <c:pt idx="109">
                  <c:v>578501.56589147286</c:v>
                </c:pt>
                <c:pt idx="110">
                  <c:v>2930262.5644994839</c:v>
                </c:pt>
                <c:pt idx="111">
                  <c:v>1823952.7859922179</c:v>
                </c:pt>
                <c:pt idx="112">
                  <c:v>311256.20815752464</c:v>
                </c:pt>
                <c:pt idx="113">
                  <c:v>1471384.6090909091</c:v>
                </c:pt>
                <c:pt idx="114">
                  <c:v>1134844.5398230089</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xVal>
          <c:yVal>
            <c:numRef>
              <c:f>'Graph Data all $'!$D$3:$D$156</c:f>
              <c:numCache>
                <c:formatCode>_("$"* #,##0_);_("$"* \(#,##0\);_("$"* "-"??_);_(@_)</c:formatCode>
                <c:ptCount val="154"/>
                <c:pt idx="0">
                  <c:v>10197.474874164534</c:v>
                </c:pt>
                <c:pt idx="1">
                  <c:v>8072.8495030219701</c:v>
                </c:pt>
                <c:pt idx="2">
                  <c:v>7893.825562372188</c:v>
                </c:pt>
                <c:pt idx="3">
                  <c:v>14978</c:v>
                </c:pt>
                <c:pt idx="4">
                  <c:v>10321.101265822785</c:v>
                </c:pt>
                <c:pt idx="5">
                  <c:v>8450.7289719626169</c:v>
                </c:pt>
                <c:pt idx="6">
                  <c:v>7851.5888650963598</c:v>
                </c:pt>
                <c:pt idx="7">
                  <c:v>8717.6010101010106</c:v>
                </c:pt>
                <c:pt idx="8">
                  <c:v>10439.495848161328</c:v>
                </c:pt>
                <c:pt idx="9">
                  <c:v>18033.351535836176</c:v>
                </c:pt>
                <c:pt idx="10">
                  <c:v>8421.7719072164946</c:v>
                </c:pt>
                <c:pt idx="11">
                  <c:v>8217.2696877590497</c:v>
                </c:pt>
                <c:pt idx="12">
                  <c:v>10739.219548872181</c:v>
                </c:pt>
                <c:pt idx="13">
                  <c:v>7929.0976331360944</c:v>
                </c:pt>
                <c:pt idx="14">
                  <c:v>7176.0004906771346</c:v>
                </c:pt>
                <c:pt idx="15">
                  <c:v>19337.364440078585</c:v>
                </c:pt>
                <c:pt idx="16">
                  <c:v>17345.251162790697</c:v>
                </c:pt>
                <c:pt idx="17">
                  <c:v>9774.0993975903621</c:v>
                </c:pt>
                <c:pt idx="18">
                  <c:v>13941.777777777777</c:v>
                </c:pt>
                <c:pt idx="19">
                  <c:v>11391.240556660039</c:v>
                </c:pt>
                <c:pt idx="20">
                  <c:v>9437.0283328362657</c:v>
                </c:pt>
                <c:pt idx="21">
                  <c:v>7762.499789251844</c:v>
                </c:pt>
                <c:pt idx="22">
                  <c:v>20296.816326530614</c:v>
                </c:pt>
                <c:pt idx="23">
                  <c:v>7617.3242770307606</c:v>
                </c:pt>
                <c:pt idx="24">
                  <c:v>9987.7362385321103</c:v>
                </c:pt>
                <c:pt idx="25">
                  <c:v>10656.073979591836</c:v>
                </c:pt>
                <c:pt idx="26">
                  <c:v>18095.798449612405</c:v>
                </c:pt>
                <c:pt idx="27">
                  <c:v>8136.7575105807255</c:v>
                </c:pt>
                <c:pt idx="28">
                  <c:v>8494.5389326334207</c:v>
                </c:pt>
                <c:pt idx="29">
                  <c:v>13106.452088452088</c:v>
                </c:pt>
                <c:pt idx="30">
                  <c:v>7988.5085825027681</c:v>
                </c:pt>
                <c:pt idx="31">
                  <c:v>10033.610666666667</c:v>
                </c:pt>
                <c:pt idx="32">
                  <c:v>8259.543507362785</c:v>
                </c:pt>
                <c:pt idx="33">
                  <c:v>9302.3142250530782</c:v>
                </c:pt>
                <c:pt idx="34">
                  <c:v>8304.0500063783638</c:v>
                </c:pt>
                <c:pt idx="35">
                  <c:v>9459.9483870967742</c:v>
                </c:pt>
                <c:pt idx="36">
                  <c:v>12561.240963855422</c:v>
                </c:pt>
                <c:pt idx="37">
                  <c:v>9251.7194805194813</c:v>
                </c:pt>
                <c:pt idx="38">
                  <c:v>8229.9099796334012</c:v>
                </c:pt>
                <c:pt idx="39">
                  <c:v>18358.179856115108</c:v>
                </c:pt>
                <c:pt idx="40">
                  <c:v>13671.763794772507</c:v>
                </c:pt>
                <c:pt idx="41">
                  <c:v>11528.833802816902</c:v>
                </c:pt>
                <c:pt idx="42">
                  <c:v>14282.26582278481</c:v>
                </c:pt>
                <c:pt idx="43">
                  <c:v>25348.5</c:v>
                </c:pt>
                <c:pt idx="44">
                  <c:v>10598.710594315246</c:v>
                </c:pt>
                <c:pt idx="45">
                  <c:v>7913.9046658986172</c:v>
                </c:pt>
                <c:pt idx="46">
                  <c:v>6786.70745776679</c:v>
                </c:pt>
                <c:pt idx="47">
                  <c:v>8044.3430034129697</c:v>
                </c:pt>
                <c:pt idx="48">
                  <c:v>9108.8365914786973</c:v>
                </c:pt>
                <c:pt idx="49">
                  <c:v>9226.6476190476187</c:v>
                </c:pt>
                <c:pt idx="50">
                  <c:v>8551.9616040955625</c:v>
                </c:pt>
                <c:pt idx="51">
                  <c:v>8259.1892411143126</c:v>
                </c:pt>
                <c:pt idx="52">
                  <c:v>10783.863192182411</c:v>
                </c:pt>
                <c:pt idx="53">
                  <c:v>16320.6</c:v>
                </c:pt>
                <c:pt idx="54">
                  <c:v>13472.257294429708</c:v>
                </c:pt>
                <c:pt idx="55">
                  <c:v>22025.698113207549</c:v>
                </c:pt>
                <c:pt idx="56">
                  <c:v>12039.920792079209</c:v>
                </c:pt>
                <c:pt idx="57">
                  <c:v>7154.2248784440844</c:v>
                </c:pt>
                <c:pt idx="58">
                  <c:v>9177.4296296296288</c:v>
                </c:pt>
                <c:pt idx="59">
                  <c:v>9609.5570698466781</c:v>
                </c:pt>
                <c:pt idx="60">
                  <c:v>8051.123186344239</c:v>
                </c:pt>
                <c:pt idx="61">
                  <c:v>9050</c:v>
                </c:pt>
                <c:pt idx="62">
                  <c:v>8291.6877855619859</c:v>
                </c:pt>
                <c:pt idx="63">
                  <c:v>8313.0209130323892</c:v>
                </c:pt>
                <c:pt idx="64">
                  <c:v>7797.5668947168379</c:v>
                </c:pt>
                <c:pt idx="65">
                  <c:v>21804.748251748253</c:v>
                </c:pt>
                <c:pt idx="66">
                  <c:v>11619.981874447392</c:v>
                </c:pt>
                <c:pt idx="67">
                  <c:v>13320.195205479453</c:v>
                </c:pt>
                <c:pt idx="68">
                  <c:v>15081.293859649122</c:v>
                </c:pt>
                <c:pt idx="69">
                  <c:v>11834.04326923077</c:v>
                </c:pt>
                <c:pt idx="70">
                  <c:v>14939.616666666667</c:v>
                </c:pt>
                <c:pt idx="71">
                  <c:v>15745.478672985782</c:v>
                </c:pt>
                <c:pt idx="72">
                  <c:v>9868.0849194729144</c:v>
                </c:pt>
                <c:pt idx="73">
                  <c:v>22821.083333333332</c:v>
                </c:pt>
                <c:pt idx="74">
                  <c:v>18417.159090909092</c:v>
                </c:pt>
                <c:pt idx="75">
                  <c:v>10512.581863979849</c:v>
                </c:pt>
                <c:pt idx="76">
                  <c:v>17204.66891891892</c:v>
                </c:pt>
                <c:pt idx="77">
                  <c:v>10202.639830508475</c:v>
                </c:pt>
                <c:pt idx="78">
                  <c:v>11458.348837209302</c:v>
                </c:pt>
                <c:pt idx="79">
                  <c:v>11377</c:v>
                </c:pt>
                <c:pt idx="80">
                  <c:v>8447.3390602359759</c:v>
                </c:pt>
                <c:pt idx="81">
                  <c:v>8091.61000685401</c:v>
                </c:pt>
                <c:pt idx="82">
                  <c:v>8316.42200908632</c:v>
                </c:pt>
                <c:pt idx="83">
                  <c:v>9749.7338986935592</c:v>
                </c:pt>
                <c:pt idx="84">
                  <c:v>17233.581291759467</c:v>
                </c:pt>
                <c:pt idx="85">
                  <c:v>24645.211267605635</c:v>
                </c:pt>
                <c:pt idx="86">
                  <c:v>8027.5112499999996</c:v>
                </c:pt>
                <c:pt idx="87">
                  <c:v>9030.0775193798454</c:v>
                </c:pt>
                <c:pt idx="88">
                  <c:v>23757</c:v>
                </c:pt>
                <c:pt idx="89">
                  <c:v>17699.882142857143</c:v>
                </c:pt>
                <c:pt idx="90">
                  <c:v>7494.7752909579231</c:v>
                </c:pt>
                <c:pt idx="91">
                  <c:v>8410.1161103047889</c:v>
                </c:pt>
                <c:pt idx="92">
                  <c:v>8425.6851642129113</c:v>
                </c:pt>
                <c:pt idx="93">
                  <c:v>7674.5502544529263</c:v>
                </c:pt>
                <c:pt idx="94">
                  <c:v>10971.983667409057</c:v>
                </c:pt>
                <c:pt idx="95">
                  <c:v>12552.333333333334</c:v>
                </c:pt>
                <c:pt idx="96">
                  <c:v>19401.722222222223</c:v>
                </c:pt>
                <c:pt idx="97">
                  <c:v>12149.192422731805</c:v>
                </c:pt>
                <c:pt idx="98">
                  <c:v>21921.57894736842</c:v>
                </c:pt>
                <c:pt idx="99">
                  <c:v>13398.028384279476</c:v>
                </c:pt>
                <c:pt idx="100">
                  <c:v>100112.6</c:v>
                </c:pt>
                <c:pt idx="101">
                  <c:v>10169.931692307693</c:v>
                </c:pt>
                <c:pt idx="102">
                  <c:v>9166.7160718621017</c:v>
                </c:pt>
                <c:pt idx="103">
                  <c:v>9170.3460884353735</c:v>
                </c:pt>
                <c:pt idx="104">
                  <c:v>8346.2193979933108</c:v>
                </c:pt>
                <c:pt idx="105">
                  <c:v>7553.4084848484845</c:v>
                </c:pt>
                <c:pt idx="106">
                  <c:v>12149.501779359431</c:v>
                </c:pt>
                <c:pt idx="107">
                  <c:v>20255.333333333332</c:v>
                </c:pt>
                <c:pt idx="108">
                  <c:v>10813.964285714286</c:v>
                </c:pt>
                <c:pt idx="109">
                  <c:v>11737.445736434109</c:v>
                </c:pt>
                <c:pt idx="110">
                  <c:v>15865.987616099072</c:v>
                </c:pt>
                <c:pt idx="111">
                  <c:v>12025.727626459144</c:v>
                </c:pt>
                <c:pt idx="112">
                  <c:v>7731.2074542897326</c:v>
                </c:pt>
                <c:pt idx="113">
                  <c:v>16685.372727272726</c:v>
                </c:pt>
                <c:pt idx="114">
                  <c:v>15480.548672566372</c:v>
                </c:pt>
                <c:pt idx="115">
                  <c:v>7762.6292428198431</c:v>
                </c:pt>
                <c:pt idx="116">
                  <c:v>6049.1982480405713</c:v>
                </c:pt>
                <c:pt idx="117">
                  <c:v>7150.8011869436205</c:v>
                </c:pt>
                <c:pt idx="118">
                  <c:v>10808.657534246575</c:v>
                </c:pt>
                <c:pt idx="119">
                  <c:v>7037.9746514575409</c:v>
                </c:pt>
                <c:pt idx="120">
                  <c:v>6847.4759999999997</c:v>
                </c:pt>
                <c:pt idx="121">
                  <c:v>5192.5715835141</c:v>
                </c:pt>
                <c:pt idx="122">
                  <c:v>8332.1700507614205</c:v>
                </c:pt>
                <c:pt idx="123">
                  <c:v>5726.1464530892445</c:v>
                </c:pt>
                <c:pt idx="124">
                  <c:v>7872.921875</c:v>
                </c:pt>
                <c:pt idx="125">
                  <c:v>6214.1502347417836</c:v>
                </c:pt>
                <c:pt idx="126">
                  <c:v>6889.8437001594893</c:v>
                </c:pt>
                <c:pt idx="127">
                  <c:v>6739.425068119891</c:v>
                </c:pt>
                <c:pt idx="128">
                  <c:v>8829.7623318385649</c:v>
                </c:pt>
                <c:pt idx="129">
                  <c:v>5005.6792873051227</c:v>
                </c:pt>
                <c:pt idx="130">
                  <c:v>7735.1412213740459</c:v>
                </c:pt>
                <c:pt idx="131">
                  <c:v>7478.4208333333336</c:v>
                </c:pt>
                <c:pt idx="132">
                  <c:v>6517.7950819672133</c:v>
                </c:pt>
                <c:pt idx="133">
                  <c:v>8059.6530612244896</c:v>
                </c:pt>
                <c:pt idx="134">
                  <c:v>6741.525362318841</c:v>
                </c:pt>
                <c:pt idx="135">
                  <c:v>7429.7683615819205</c:v>
                </c:pt>
                <c:pt idx="136">
                  <c:v>7040.4953161592503</c:v>
                </c:pt>
                <c:pt idx="137">
                  <c:v>8867.6029776674932</c:v>
                </c:pt>
                <c:pt idx="138">
                  <c:v>5513.9375</c:v>
                </c:pt>
                <c:pt idx="139">
                  <c:v>6457.097826086957</c:v>
                </c:pt>
                <c:pt idx="140">
                  <c:v>8973.7707006369419</c:v>
                </c:pt>
                <c:pt idx="141">
                  <c:v>6464.9638242894052</c:v>
                </c:pt>
                <c:pt idx="142">
                  <c:v>6771.5184381778745</c:v>
                </c:pt>
                <c:pt idx="143">
                  <c:v>7054.4788135593217</c:v>
                </c:pt>
                <c:pt idx="144">
                  <c:v>26572.354430379746</c:v>
                </c:pt>
                <c:pt idx="145">
                  <c:v>12426.556962025317</c:v>
                </c:pt>
                <c:pt idx="146">
                  <c:v>9130.4148936170204</c:v>
                </c:pt>
                <c:pt idx="147">
                  <c:v>13976.684365781712</c:v>
                </c:pt>
                <c:pt idx="148">
                  <c:v>9968.0423728813566</c:v>
                </c:pt>
                <c:pt idx="149">
                  <c:v>9645.5932203389839</c:v>
                </c:pt>
                <c:pt idx="150">
                  <c:v>6868.1806020066888</c:v>
                </c:pt>
                <c:pt idx="151">
                  <c:v>6481.4341192787797</c:v>
                </c:pt>
                <c:pt idx="152">
                  <c:v>6272.4949037372589</c:v>
                </c:pt>
                <c:pt idx="153">
                  <c:v>8603.1875</c:v>
                </c:pt>
              </c:numCache>
            </c:numRef>
          </c:yVal>
          <c:smooth val="0"/>
          <c:extLst>
            <c:ext xmlns:c16="http://schemas.microsoft.com/office/drawing/2014/chart" uri="{C3380CC4-5D6E-409C-BE32-E72D297353CC}">
              <c16:uniqueId val="{00000000-F0EF-48AE-9609-BCF17E98BE49}"/>
            </c:ext>
          </c:extLst>
        </c:ser>
        <c:ser>
          <c:idx val="1"/>
          <c:order val="1"/>
          <c:tx>
            <c:v>Per Pupil Under SBB</c:v>
          </c:tx>
          <c:spPr>
            <a:ln w="25400" cap="rnd">
              <a:noFill/>
              <a:round/>
            </a:ln>
            <a:effectLst/>
          </c:spPr>
          <c:marker>
            <c:symbol val="circle"/>
            <c:size val="5"/>
            <c:spPr>
              <a:solidFill>
                <a:schemeClr val="accent2"/>
              </a:solidFill>
              <a:ln w="9525">
                <a:solidFill>
                  <a:schemeClr val="accent2"/>
                </a:solidFill>
              </a:ln>
              <a:effectLst/>
            </c:spPr>
          </c:marker>
          <c:xVal>
            <c:numRef>
              <c:f>'Graph Data all $'!$F$3:$F$156</c:f>
              <c:numCache>
                <c:formatCode>_("$"* #,##0_);_("$"* \(#,##0\);_("$"* "-"??_);_(@_)</c:formatCode>
                <c:ptCount val="154"/>
                <c:pt idx="0">
                  <c:v>694830.44376598729</c:v>
                </c:pt>
                <c:pt idx="1">
                  <c:v>435012.0196213228</c:v>
                </c:pt>
                <c:pt idx="2">
                  <c:v>253724.48773006134</c:v>
                </c:pt>
                <c:pt idx="3">
                  <c:v>1624694.55</c:v>
                </c:pt>
                <c:pt idx="4">
                  <c:v>655846.20253164554</c:v>
                </c:pt>
                <c:pt idx="5">
                  <c:v>535613.07731520815</c:v>
                </c:pt>
                <c:pt idx="6">
                  <c:v>288140.12419700215</c:v>
                </c:pt>
                <c:pt idx="7">
                  <c:v>825628.6</c:v>
                </c:pt>
                <c:pt idx="8">
                  <c:v>534803.24436536175</c:v>
                </c:pt>
                <c:pt idx="9">
                  <c:v>1736504.5665529009</c:v>
                </c:pt>
                <c:pt idx="10">
                  <c:v>224672.35051546391</c:v>
                </c:pt>
                <c:pt idx="11">
                  <c:v>208656.08234318873</c:v>
                </c:pt>
                <c:pt idx="12">
                  <c:v>320175.05263157893</c:v>
                </c:pt>
                <c:pt idx="13">
                  <c:v>282951.24408284022</c:v>
                </c:pt>
                <c:pt idx="14">
                  <c:v>245081.64720314034</c:v>
                </c:pt>
                <c:pt idx="15">
                  <c:v>2927623.0697445972</c:v>
                </c:pt>
                <c:pt idx="16">
                  <c:v>1818085.6790697675</c:v>
                </c:pt>
                <c:pt idx="17">
                  <c:v>841338.00602409639</c:v>
                </c:pt>
                <c:pt idx="18">
                  <c:v>508926.961352657</c:v>
                </c:pt>
                <c:pt idx="19">
                  <c:v>1630195.6093439364</c:v>
                </c:pt>
                <c:pt idx="20">
                  <c:v>1252955.4894124665</c:v>
                </c:pt>
                <c:pt idx="21">
                  <c:v>308800.54236037936</c:v>
                </c:pt>
                <c:pt idx="22">
                  <c:v>3849730.612244898</c:v>
                </c:pt>
                <c:pt idx="23">
                  <c:v>222169.39952109044</c:v>
                </c:pt>
                <c:pt idx="24">
                  <c:v>649734.42813455663</c:v>
                </c:pt>
                <c:pt idx="25">
                  <c:v>401072.45663265308</c:v>
                </c:pt>
                <c:pt idx="26">
                  <c:v>991893.81395348837</c:v>
                </c:pt>
                <c:pt idx="27">
                  <c:v>271543.59709984041</c:v>
                </c:pt>
                <c:pt idx="28">
                  <c:v>266807.13263342081</c:v>
                </c:pt>
                <c:pt idx="29">
                  <c:v>467336.24815724813</c:v>
                </c:pt>
                <c:pt idx="30">
                  <c:v>233017.69186046513</c:v>
                </c:pt>
                <c:pt idx="31">
                  <c:v>244914.48266666668</c:v>
                </c:pt>
                <c:pt idx="32">
                  <c:v>303068.6265060241</c:v>
                </c:pt>
                <c:pt idx="33">
                  <c:v>292204.2823779193</c:v>
                </c:pt>
                <c:pt idx="34">
                  <c:v>241733.09337925757</c:v>
                </c:pt>
                <c:pt idx="35">
                  <c:v>296314.29247311829</c:v>
                </c:pt>
                <c:pt idx="36">
                  <c:v>620361.77108433738</c:v>
                </c:pt>
                <c:pt idx="37">
                  <c:v>770654.95064935065</c:v>
                </c:pt>
                <c:pt idx="38">
                  <c:v>262903.39389002038</c:v>
                </c:pt>
                <c:pt idx="39">
                  <c:v>841549.82733812951</c:v>
                </c:pt>
                <c:pt idx="40">
                  <c:v>514476.51306873187</c:v>
                </c:pt>
                <c:pt idx="41">
                  <c:v>1870354.6084507043</c:v>
                </c:pt>
                <c:pt idx="42">
                  <c:v>909629.74683544307</c:v>
                </c:pt>
                <c:pt idx="43">
                  <c:v>1798935.5</c:v>
                </c:pt>
                <c:pt idx="44">
                  <c:v>687170.07751937979</c:v>
                </c:pt>
                <c:pt idx="45">
                  <c:v>308906.73761520738</c:v>
                </c:pt>
                <c:pt idx="46">
                  <c:v>191855.02760609807</c:v>
                </c:pt>
                <c:pt idx="47">
                  <c:v>237204.09897610921</c:v>
                </c:pt>
                <c:pt idx="48">
                  <c:v>782524.30526315793</c:v>
                </c:pt>
                <c:pt idx="49">
                  <c:v>361089.95714285714</c:v>
                </c:pt>
                <c:pt idx="50">
                  <c:v>353929.64761092153</c:v>
                </c:pt>
                <c:pt idx="51">
                  <c:v>259798.49471661865</c:v>
                </c:pt>
                <c:pt idx="52">
                  <c:v>514798.55374592834</c:v>
                </c:pt>
                <c:pt idx="53">
                  <c:v>688574.83478260867</c:v>
                </c:pt>
                <c:pt idx="54">
                  <c:v>404009.68169761274</c:v>
                </c:pt>
                <c:pt idx="55">
                  <c:v>1234629.1603773586</c:v>
                </c:pt>
                <c:pt idx="56">
                  <c:v>743623.04950495053</c:v>
                </c:pt>
                <c:pt idx="57">
                  <c:v>185696.1193273906</c:v>
                </c:pt>
                <c:pt idx="58">
                  <c:v>198510.04148148149</c:v>
                </c:pt>
                <c:pt idx="59">
                  <c:v>291589.19761499146</c:v>
                </c:pt>
                <c:pt idx="60">
                  <c:v>300590.86657183501</c:v>
                </c:pt>
                <c:pt idx="61">
                  <c:v>381797.85791366908</c:v>
                </c:pt>
                <c:pt idx="62">
                  <c:v>759417.3177987613</c:v>
                </c:pt>
                <c:pt idx="63">
                  <c:v>576720.6526396327</c:v>
                </c:pt>
                <c:pt idx="64">
                  <c:v>454962.16229570506</c:v>
                </c:pt>
                <c:pt idx="65">
                  <c:v>3748133.7062937063</c:v>
                </c:pt>
                <c:pt idx="66">
                  <c:v>599525.71485411143</c:v>
                </c:pt>
                <c:pt idx="67">
                  <c:v>570504.29452054796</c:v>
                </c:pt>
                <c:pt idx="68">
                  <c:v>549191.40350877191</c:v>
                </c:pt>
                <c:pt idx="69">
                  <c:v>555171.33894230775</c:v>
                </c:pt>
                <c:pt idx="70">
                  <c:v>559516.90416666667</c:v>
                </c:pt>
                <c:pt idx="71">
                  <c:v>818991.69668246445</c:v>
                </c:pt>
                <c:pt idx="72">
                  <c:v>777098.77159590041</c:v>
                </c:pt>
                <c:pt idx="73">
                  <c:v>1142739.1527777778</c:v>
                </c:pt>
                <c:pt idx="74">
                  <c:v>861358.31818181823</c:v>
                </c:pt>
                <c:pt idx="75">
                  <c:v>504261.69269521412</c:v>
                </c:pt>
                <c:pt idx="76">
                  <c:v>966066.7297297297</c:v>
                </c:pt>
                <c:pt idx="77">
                  <c:v>364583.89406779659</c:v>
                </c:pt>
                <c:pt idx="78">
                  <c:v>211514.45581395348</c:v>
                </c:pt>
                <c:pt idx="79">
                  <c:v>347524.94818652852</c:v>
                </c:pt>
                <c:pt idx="80">
                  <c:v>281010.55599254812</c:v>
                </c:pt>
                <c:pt idx="81">
                  <c:v>176449.59081562713</c:v>
                </c:pt>
                <c:pt idx="82">
                  <c:v>318176.68298838969</c:v>
                </c:pt>
                <c:pt idx="83">
                  <c:v>573209.76667430671</c:v>
                </c:pt>
                <c:pt idx="84">
                  <c:v>319092.28953229397</c:v>
                </c:pt>
                <c:pt idx="85">
                  <c:v>761185.14084507048</c:v>
                </c:pt>
                <c:pt idx="86">
                  <c:v>376037.255</c:v>
                </c:pt>
                <c:pt idx="87">
                  <c:v>294019.7002583979</c:v>
                </c:pt>
                <c:pt idx="88">
                  <c:v>1680812.7272727273</c:v>
                </c:pt>
                <c:pt idx="89">
                  <c:v>692965.01071428566</c:v>
                </c:pt>
                <c:pt idx="90">
                  <c:v>219840.57743957028</c:v>
                </c:pt>
                <c:pt idx="91">
                  <c:v>267558.22568940494</c:v>
                </c:pt>
                <c:pt idx="92">
                  <c:v>438377.30690826726</c:v>
                </c:pt>
                <c:pt idx="93">
                  <c:v>326871.7703562341</c:v>
                </c:pt>
                <c:pt idx="94">
                  <c:v>592603.88715664437</c:v>
                </c:pt>
                <c:pt idx="95">
                  <c:v>242445.96363636362</c:v>
                </c:pt>
                <c:pt idx="96">
                  <c:v>1395446.888888889</c:v>
                </c:pt>
                <c:pt idx="97">
                  <c:v>527574.146560319</c:v>
                </c:pt>
                <c:pt idx="98">
                  <c:v>766902.37894736847</c:v>
                </c:pt>
                <c:pt idx="99">
                  <c:v>522970.08515283844</c:v>
                </c:pt>
                <c:pt idx="100">
                  <c:v>23547814.600000001</c:v>
                </c:pt>
                <c:pt idx="101">
                  <c:v>864859.20061538462</c:v>
                </c:pt>
                <c:pt idx="102">
                  <c:v>343142.58946346201</c:v>
                </c:pt>
                <c:pt idx="103">
                  <c:v>494659.71428571426</c:v>
                </c:pt>
                <c:pt idx="104">
                  <c:v>309585.56254180602</c:v>
                </c:pt>
                <c:pt idx="105">
                  <c:v>235645.31878787879</c:v>
                </c:pt>
                <c:pt idx="106">
                  <c:v>494399.70818505337</c:v>
                </c:pt>
                <c:pt idx="107">
                  <c:v>2157215.6666666665</c:v>
                </c:pt>
                <c:pt idx="108">
                  <c:v>555701.07857142854</c:v>
                </c:pt>
                <c:pt idx="109">
                  <c:v>578501.56589147286</c:v>
                </c:pt>
                <c:pt idx="110">
                  <c:v>2930262.5644994839</c:v>
                </c:pt>
                <c:pt idx="111">
                  <c:v>1823952.7859922179</c:v>
                </c:pt>
                <c:pt idx="112">
                  <c:v>311256.20815752464</c:v>
                </c:pt>
                <c:pt idx="113">
                  <c:v>1471384.6090909091</c:v>
                </c:pt>
                <c:pt idx="114">
                  <c:v>1134844.5398230089</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Cache>
            </c:numRef>
          </c:xVal>
          <c:yVal>
            <c:numRef>
              <c:f>'Graph Data all $'!$G$3:$G$156</c:f>
              <c:numCache>
                <c:formatCode>_("$"* #,##0_);_("$"* \(#,##0\);_("$"* "-"??_);_(@_)</c:formatCode>
                <c:ptCount val="154"/>
                <c:pt idx="0">
                  <c:v>8909.9439250803298</c:v>
                </c:pt>
                <c:pt idx="1">
                  <c:v>7649.784059194134</c:v>
                </c:pt>
                <c:pt idx="2">
                  <c:v>8728.0113325957846</c:v>
                </c:pt>
                <c:pt idx="3">
                  <c:v>14978</c:v>
                </c:pt>
                <c:pt idx="4">
                  <c:v>10321.101265822785</c:v>
                </c:pt>
                <c:pt idx="5">
                  <c:v>7776.2943186725479</c:v>
                </c:pt>
                <c:pt idx="6">
                  <c:v>8744.6023004106737</c:v>
                </c:pt>
                <c:pt idx="7">
                  <c:v>6587.1153222671146</c:v>
                </c:pt>
                <c:pt idx="8">
                  <c:v>9632.0645928057602</c:v>
                </c:pt>
                <c:pt idx="9">
                  <c:v>18033.351535836176</c:v>
                </c:pt>
                <c:pt idx="10">
                  <c:v>8987.9126636117762</c:v>
                </c:pt>
                <c:pt idx="11">
                  <c:v>9441.9549432330605</c:v>
                </c:pt>
                <c:pt idx="12">
                  <c:v>11115.739760064505</c:v>
                </c:pt>
                <c:pt idx="13">
                  <c:v>8120.5609279653781</c:v>
                </c:pt>
                <c:pt idx="14">
                  <c:v>7962.8177715396632</c:v>
                </c:pt>
                <c:pt idx="15">
                  <c:v>14210.076948264572</c:v>
                </c:pt>
                <c:pt idx="16">
                  <c:v>17345.251162790697</c:v>
                </c:pt>
                <c:pt idx="17">
                  <c:v>6843.4261548784089</c:v>
                </c:pt>
                <c:pt idx="18">
                  <c:v>13941.777777777777</c:v>
                </c:pt>
                <c:pt idx="19">
                  <c:v>6368.0225650845414</c:v>
                </c:pt>
                <c:pt idx="20">
                  <c:v>6072.6884032929784</c:v>
                </c:pt>
                <c:pt idx="21">
                  <c:v>8519.8251295629343</c:v>
                </c:pt>
                <c:pt idx="22">
                  <c:v>20296.816326530614</c:v>
                </c:pt>
                <c:pt idx="23">
                  <c:v>8434.7893390140653</c:v>
                </c:pt>
                <c:pt idx="24">
                  <c:v>9226.3025354367364</c:v>
                </c:pt>
                <c:pt idx="25">
                  <c:v>9108.3859231995157</c:v>
                </c:pt>
                <c:pt idx="26">
                  <c:v>18095.798449612405</c:v>
                </c:pt>
                <c:pt idx="27">
                  <c:v>9172.875429944319</c:v>
                </c:pt>
                <c:pt idx="28">
                  <c:v>10306.360073222801</c:v>
                </c:pt>
                <c:pt idx="29">
                  <c:v>10416.850225509828</c:v>
                </c:pt>
                <c:pt idx="30">
                  <c:v>8513.1773458398766</c:v>
                </c:pt>
                <c:pt idx="31">
                  <c:v>9500.039290316663</c:v>
                </c:pt>
                <c:pt idx="32">
                  <c:v>8168.3779121615426</c:v>
                </c:pt>
                <c:pt idx="33">
                  <c:v>10006.31115008861</c:v>
                </c:pt>
                <c:pt idx="34">
                  <c:v>9773.0122991322824</c:v>
                </c:pt>
                <c:pt idx="35">
                  <c:v>8587.0504017933126</c:v>
                </c:pt>
                <c:pt idx="36">
                  <c:v>12561.240963855422</c:v>
                </c:pt>
                <c:pt idx="37">
                  <c:v>7234.8981620903942</c:v>
                </c:pt>
                <c:pt idx="38">
                  <c:v>8652.8684190513213</c:v>
                </c:pt>
                <c:pt idx="39">
                  <c:v>18358.179856115108</c:v>
                </c:pt>
                <c:pt idx="40">
                  <c:v>11641.113016586505</c:v>
                </c:pt>
                <c:pt idx="41">
                  <c:v>4433.2732394366194</c:v>
                </c:pt>
                <c:pt idx="42">
                  <c:v>14282.26582278481</c:v>
                </c:pt>
                <c:pt idx="43">
                  <c:v>25348.5</c:v>
                </c:pt>
                <c:pt idx="44">
                  <c:v>8873.5913608354276</c:v>
                </c:pt>
                <c:pt idx="45">
                  <c:v>8695.1358581439454</c:v>
                </c:pt>
                <c:pt idx="46">
                  <c:v>7704.9528815609929</c:v>
                </c:pt>
                <c:pt idx="47">
                  <c:v>8323.8744430920269</c:v>
                </c:pt>
                <c:pt idx="48">
                  <c:v>7651.3701083379055</c:v>
                </c:pt>
                <c:pt idx="49">
                  <c:v>9294.4723043503382</c:v>
                </c:pt>
                <c:pt idx="50">
                  <c:v>8986.7253347109654</c:v>
                </c:pt>
                <c:pt idx="51">
                  <c:v>9499.0407102842182</c:v>
                </c:pt>
                <c:pt idx="52">
                  <c:v>8720.7453694589713</c:v>
                </c:pt>
                <c:pt idx="53">
                  <c:v>16320.6</c:v>
                </c:pt>
                <c:pt idx="54">
                  <c:v>10706.786852400239</c:v>
                </c:pt>
                <c:pt idx="55">
                  <c:v>22025.698113207549</c:v>
                </c:pt>
                <c:pt idx="56">
                  <c:v>10255.631679369277</c:v>
                </c:pt>
                <c:pt idx="57">
                  <c:v>8236.0539061490581</c:v>
                </c:pt>
                <c:pt idx="58">
                  <c:v>9139.6335147249938</c:v>
                </c:pt>
                <c:pt idx="59">
                  <c:v>9306.1098008425779</c:v>
                </c:pt>
                <c:pt idx="60">
                  <c:v>9244.304261834588</c:v>
                </c:pt>
                <c:pt idx="61">
                  <c:v>8511.0129292961101</c:v>
                </c:pt>
                <c:pt idx="62">
                  <c:v>7236.1760420711198</c:v>
                </c:pt>
                <c:pt idx="63">
                  <c:v>7826.0444179302067</c:v>
                </c:pt>
                <c:pt idx="64">
                  <c:v>7856.4136953449088</c:v>
                </c:pt>
                <c:pt idx="65">
                  <c:v>21804.748251748253</c:v>
                </c:pt>
                <c:pt idx="66">
                  <c:v>10709.703641884305</c:v>
                </c:pt>
                <c:pt idx="67">
                  <c:v>13320.195205479453</c:v>
                </c:pt>
                <c:pt idx="68">
                  <c:v>15081.293859649122</c:v>
                </c:pt>
                <c:pt idx="69">
                  <c:v>9893.5328535253939</c:v>
                </c:pt>
                <c:pt idx="70">
                  <c:v>14939.616666666667</c:v>
                </c:pt>
                <c:pt idx="71">
                  <c:v>15745.478672985781</c:v>
                </c:pt>
                <c:pt idx="72">
                  <c:v>7740.7170241285239</c:v>
                </c:pt>
                <c:pt idx="73">
                  <c:v>22821.083333333336</c:v>
                </c:pt>
                <c:pt idx="74">
                  <c:v>18417.159090909092</c:v>
                </c:pt>
                <c:pt idx="75">
                  <c:v>10343.517635784519</c:v>
                </c:pt>
                <c:pt idx="76">
                  <c:v>17204.66891891892</c:v>
                </c:pt>
                <c:pt idx="77">
                  <c:v>9711.3829813213142</c:v>
                </c:pt>
                <c:pt idx="78">
                  <c:v>11458.348837209302</c:v>
                </c:pt>
                <c:pt idx="79">
                  <c:v>11377</c:v>
                </c:pt>
                <c:pt idx="80">
                  <c:v>9078.630951613095</c:v>
                </c:pt>
                <c:pt idx="81">
                  <c:v>8791.2606058079728</c:v>
                </c:pt>
                <c:pt idx="82">
                  <c:v>8981.3659218104658</c:v>
                </c:pt>
                <c:pt idx="83">
                  <c:v>9115.6591028382209</c:v>
                </c:pt>
                <c:pt idx="84">
                  <c:v>17396.759463930175</c:v>
                </c:pt>
                <c:pt idx="85">
                  <c:v>24645.211267605635</c:v>
                </c:pt>
                <c:pt idx="86">
                  <c:v>8015.7916513158953</c:v>
                </c:pt>
                <c:pt idx="87">
                  <c:v>9737.7614911507753</c:v>
                </c:pt>
                <c:pt idx="88">
                  <c:v>23757</c:v>
                </c:pt>
                <c:pt idx="89">
                  <c:v>17699.882142857143</c:v>
                </c:pt>
                <c:pt idx="90">
                  <c:v>8789.1052340205297</c:v>
                </c:pt>
                <c:pt idx="91">
                  <c:v>9492.907107064415</c:v>
                </c:pt>
                <c:pt idx="92">
                  <c:v>7574.2828982443361</c:v>
                </c:pt>
                <c:pt idx="93">
                  <c:v>7874.5151293057343</c:v>
                </c:pt>
                <c:pt idx="94">
                  <c:v>10740.697147994993</c:v>
                </c:pt>
                <c:pt idx="95">
                  <c:v>12552.333333333334</c:v>
                </c:pt>
                <c:pt idx="96">
                  <c:v>19401.722222222223</c:v>
                </c:pt>
                <c:pt idx="97">
                  <c:v>11682.057016990238</c:v>
                </c:pt>
                <c:pt idx="98">
                  <c:v>21921.57894736842</c:v>
                </c:pt>
                <c:pt idx="99">
                  <c:v>12149.097861541033</c:v>
                </c:pt>
                <c:pt idx="100">
                  <c:v>100112.6</c:v>
                </c:pt>
                <c:pt idx="101">
                  <c:v>8612.888937958176</c:v>
                </c:pt>
                <c:pt idx="102">
                  <c:v>9800.028233265788</c:v>
                </c:pt>
                <c:pt idx="103">
                  <c:v>9310.194765384369</c:v>
                </c:pt>
                <c:pt idx="104">
                  <c:v>8580.8533793674869</c:v>
                </c:pt>
                <c:pt idx="105">
                  <c:v>7809.8751557906517</c:v>
                </c:pt>
                <c:pt idx="106">
                  <c:v>12149.501779359431</c:v>
                </c:pt>
                <c:pt idx="107">
                  <c:v>20255.333333333332</c:v>
                </c:pt>
                <c:pt idx="108">
                  <c:v>10813.964285714286</c:v>
                </c:pt>
                <c:pt idx="109">
                  <c:v>11737.445736434109</c:v>
                </c:pt>
                <c:pt idx="110">
                  <c:v>10225.498452012383</c:v>
                </c:pt>
                <c:pt idx="111">
                  <c:v>12025.727626459144</c:v>
                </c:pt>
                <c:pt idx="112">
                  <c:v>8359.8918512185537</c:v>
                </c:pt>
                <c:pt idx="113">
                  <c:v>16685.372727272726</c:v>
                </c:pt>
                <c:pt idx="114">
                  <c:v>15480.54867256637</c:v>
                </c:pt>
                <c:pt idx="115">
                  <c:v>7840.7687005858597</c:v>
                </c:pt>
                <c:pt idx="116">
                  <c:v>8620.6240830487295</c:v>
                </c:pt>
                <c:pt idx="117">
                  <c:v>5528.4891507280063</c:v>
                </c:pt>
                <c:pt idx="118">
                  <c:v>11583.758405140668</c:v>
                </c:pt>
                <c:pt idx="119">
                  <c:v>7116.4607238796125</c:v>
                </c:pt>
                <c:pt idx="120">
                  <c:v>7058.5640000000003</c:v>
                </c:pt>
                <c:pt idx="121">
                  <c:v>7908.2321937377283</c:v>
                </c:pt>
                <c:pt idx="122">
                  <c:v>8265.8228540014206</c:v>
                </c:pt>
                <c:pt idx="123">
                  <c:v>7201.2586613823141</c:v>
                </c:pt>
                <c:pt idx="124">
                  <c:v>8264.1017944594605</c:v>
                </c:pt>
                <c:pt idx="125">
                  <c:v>7013.1018184802188</c:v>
                </c:pt>
                <c:pt idx="126">
                  <c:v>7813.4731094465687</c:v>
                </c:pt>
                <c:pt idx="127">
                  <c:v>7818.983986246315</c:v>
                </c:pt>
                <c:pt idx="128">
                  <c:v>9554.3695399435328</c:v>
                </c:pt>
                <c:pt idx="129">
                  <c:v>7062.6759575551487</c:v>
                </c:pt>
                <c:pt idx="130">
                  <c:v>7735.1412213740459</c:v>
                </c:pt>
                <c:pt idx="131">
                  <c:v>7478.4208333333336</c:v>
                </c:pt>
                <c:pt idx="132">
                  <c:v>6517.7950819672133</c:v>
                </c:pt>
                <c:pt idx="133">
                  <c:v>8332.9084353741491</c:v>
                </c:pt>
                <c:pt idx="134">
                  <c:v>7534.4559715128107</c:v>
                </c:pt>
                <c:pt idx="135">
                  <c:v>9373.6702753867539</c:v>
                </c:pt>
                <c:pt idx="136">
                  <c:v>7669.5883187310537</c:v>
                </c:pt>
                <c:pt idx="137">
                  <c:v>9156.2956038577231</c:v>
                </c:pt>
                <c:pt idx="138">
                  <c:v>7839.3934470190479</c:v>
                </c:pt>
                <c:pt idx="139">
                  <c:v>7672.9573446327677</c:v>
                </c:pt>
                <c:pt idx="140">
                  <c:v>10957.417412152006</c:v>
                </c:pt>
                <c:pt idx="141">
                  <c:v>6600.9460895175998</c:v>
                </c:pt>
                <c:pt idx="142">
                  <c:v>9250.8579574656069</c:v>
                </c:pt>
                <c:pt idx="143">
                  <c:v>7619.0780871670704</c:v>
                </c:pt>
                <c:pt idx="144">
                  <c:v>27245.103074141047</c:v>
                </c:pt>
                <c:pt idx="145">
                  <c:v>12426.556962025317</c:v>
                </c:pt>
                <c:pt idx="146">
                  <c:v>9130.4148936170204</c:v>
                </c:pt>
                <c:pt idx="147">
                  <c:v>13979.863777919576</c:v>
                </c:pt>
                <c:pt idx="148">
                  <c:v>10656.678096479791</c:v>
                </c:pt>
                <c:pt idx="149">
                  <c:v>9645.5932203389839</c:v>
                </c:pt>
                <c:pt idx="150">
                  <c:v>7976.3397358333132</c:v>
                </c:pt>
                <c:pt idx="151">
                  <c:v>6118.7433188179903</c:v>
                </c:pt>
                <c:pt idx="152">
                  <c:v>6654.8754266083843</c:v>
                </c:pt>
                <c:pt idx="153">
                  <c:v>8603.1875</c:v>
                </c:pt>
              </c:numCache>
            </c:numRef>
          </c:yVal>
          <c:smooth val="0"/>
          <c:extLst>
            <c:ext xmlns:c16="http://schemas.microsoft.com/office/drawing/2014/chart" uri="{C3380CC4-5D6E-409C-BE32-E72D297353CC}">
              <c16:uniqueId val="{00000001-F0EF-48AE-9609-BCF17E98BE49}"/>
            </c:ext>
          </c:extLst>
        </c:ser>
        <c:dLbls>
          <c:showLegendKey val="0"/>
          <c:showVal val="0"/>
          <c:showCatName val="0"/>
          <c:showSerName val="0"/>
          <c:showPercent val="0"/>
          <c:showBubbleSize val="0"/>
        </c:dLbls>
        <c:axId val="467474832"/>
        <c:axId val="467475488"/>
      </c:scatterChart>
      <c:valAx>
        <c:axId val="467474832"/>
        <c:scaling>
          <c:orientation val="minMax"/>
          <c:max val="15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Market Value Per Pupil</a:t>
                </a:r>
              </a:p>
            </c:rich>
          </c:tx>
          <c:layout>
            <c:manualLayout>
              <c:xMode val="edge"/>
              <c:yMode val="edge"/>
              <c:x val="0.39718517702769662"/>
              <c:y val="0.84457228953496766"/>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5488"/>
        <c:crosses val="autoZero"/>
        <c:crossBetween val="midCat"/>
        <c:majorUnit val="500000"/>
      </c:valAx>
      <c:valAx>
        <c:axId val="467475488"/>
        <c:scaling>
          <c:orientation val="minMax"/>
          <c:max val="2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1.6231884057971015E-2"/>
              <c:y val="0.32120639101881332"/>
            </c:manualLayout>
          </c:layout>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74832"/>
        <c:crosses val="autoZero"/>
        <c:crossBetween val="midCat"/>
        <c:majorUnit val="5000"/>
      </c:valAx>
    </c:plotArea>
    <c:legend>
      <c:legendPos val="b"/>
      <c:layout>
        <c:manualLayout>
          <c:xMode val="edge"/>
          <c:yMode val="edge"/>
          <c:x val="0.27196501661068589"/>
          <c:y val="0.92824242962053816"/>
          <c:w val="0.48404199475065618"/>
          <c:h val="7.175757037946183E-2"/>
        </c:manualLayout>
      </c:layout>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'Idaho Data'!$RR$175:$RR$176</c:f>
              <c:strCache>
                <c:ptCount val="2"/>
                <c:pt idx="0">
                  <c:v>Independent Charter</c:v>
                </c:pt>
                <c:pt idx="1">
                  <c:v>District Schools</c:v>
                </c:pt>
              </c:strCache>
            </c:strRef>
          </c:cat>
          <c:val>
            <c:numRef>
              <c:f>'Idaho Data'!$SE$175:$SE$176</c:f>
              <c:numCache>
                <c:formatCode>_("$"* #,##0.00_);_("$"* \(#,##0.00\);_("$"* "-"??_);_(@_)</c:formatCode>
                <c:ptCount val="2"/>
                <c:pt idx="0">
                  <c:v>224443.71404682274</c:v>
                </c:pt>
                <c:pt idx="1">
                  <c:v>3397613.0055478504</c:v>
                </c:pt>
              </c:numCache>
            </c:numRef>
          </c:val>
          <c:extLst>
            <c:ext xmlns:c16="http://schemas.microsoft.com/office/drawing/2014/chart" uri="{C3380CC4-5D6E-409C-BE32-E72D297353CC}">
              <c16:uniqueId val="{00000000-9D44-455C-810E-3B80AB6E9F72}"/>
            </c:ext>
          </c:extLst>
        </c:ser>
        <c:ser>
          <c:idx val="1"/>
          <c:order val="1"/>
          <c:spPr>
            <a:solidFill>
              <a:schemeClr val="accent2"/>
            </a:solidFill>
            <a:ln>
              <a:noFill/>
            </a:ln>
            <a:effectLst/>
          </c:spPr>
          <c:invertIfNegative val="0"/>
          <c:cat>
            <c:strRef>
              <c:f>'Idaho Data'!$RR$175:$RR$176</c:f>
              <c:strCache>
                <c:ptCount val="2"/>
                <c:pt idx="0">
                  <c:v>Independent Charter</c:v>
                </c:pt>
                <c:pt idx="1">
                  <c:v>District Schools</c:v>
                </c:pt>
              </c:strCache>
            </c:strRef>
          </c:cat>
          <c:val>
            <c:numRef>
              <c:f>'Idaho Data'!$SF$175:$SF$176</c:f>
              <c:numCache>
                <c:formatCode>_("$"* #,##0.00_);_("$"* \(#,##0.00\);_("$"* "-"??_);_(@_)</c:formatCode>
                <c:ptCount val="2"/>
                <c:pt idx="0">
                  <c:v>3173169.2915010275</c:v>
                </c:pt>
                <c:pt idx="1">
                  <c:v>0</c:v>
                </c:pt>
              </c:numCache>
            </c:numRef>
          </c:val>
          <c:extLst>
            <c:ext xmlns:c16="http://schemas.microsoft.com/office/drawing/2014/chart" uri="{C3380CC4-5D6E-409C-BE32-E72D297353CC}">
              <c16:uniqueId val="{00000001-9D44-455C-810E-3B80AB6E9F72}"/>
            </c:ext>
          </c:extLst>
        </c:ser>
        <c:dLbls>
          <c:showLegendKey val="0"/>
          <c:showVal val="0"/>
          <c:showCatName val="0"/>
          <c:showSerName val="0"/>
          <c:showPercent val="0"/>
          <c:showBubbleSize val="0"/>
        </c:dLbls>
        <c:gapWidth val="150"/>
        <c:overlap val="100"/>
        <c:axId val="483812784"/>
        <c:axId val="483813112"/>
      </c:barChart>
      <c:catAx>
        <c:axId val="48381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13112"/>
        <c:crosses val="autoZero"/>
        <c:auto val="1"/>
        <c:lblAlgn val="ctr"/>
        <c:lblOffset val="100"/>
        <c:noMultiLvlLbl val="0"/>
      </c:catAx>
      <c:valAx>
        <c:axId val="483813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1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Current Per Pupil Funding</c:v>
          </c:tx>
          <c:spPr>
            <a:ln w="25400" cap="rnd">
              <a:noFill/>
              <a:round/>
            </a:ln>
            <a:effectLst/>
          </c:spPr>
          <c:marker>
            <c:symbol val="circle"/>
            <c:size val="5"/>
            <c:spPr>
              <a:solidFill>
                <a:schemeClr val="accent1"/>
              </a:solidFill>
              <a:ln w="9525">
                <a:solidFill>
                  <a:schemeClr val="accent1"/>
                </a:solidFill>
              </a:ln>
              <a:effectLst/>
            </c:spPr>
          </c:marker>
          <c:xVal>
            <c:numRef>
              <c:f>'PPT Slide 27'!$C$3:$C$117</c:f>
              <c:numCache>
                <c:formatCode>_("$"* #,##0_);_("$"* \(#,##0\);_("$"* "-"??_);_(@_)</c:formatCode>
                <c:ptCount val="115"/>
                <c:pt idx="0">
                  <c:v>7494.4181586430041</c:v>
                </c:pt>
                <c:pt idx="1">
                  <c:v>5853.8548653722228</c:v>
                </c:pt>
                <c:pt idx="2">
                  <c:v>5464.7748774877491</c:v>
                </c:pt>
                <c:pt idx="3">
                  <c:v>10090.106382978724</c:v>
                </c:pt>
                <c:pt idx="4">
                  <c:v>7138.2444444444445</c:v>
                </c:pt>
                <c:pt idx="5">
                  <c:v>5462.3825944170776</c:v>
                </c:pt>
                <c:pt idx="6">
                  <c:v>5094.8220409787145</c:v>
                </c:pt>
                <c:pt idx="7">
                  <c:v>5931.6700336700333</c:v>
                </c:pt>
                <c:pt idx="8">
                  <c:v>6879.5236467236464</c:v>
                </c:pt>
                <c:pt idx="9">
                  <c:v>6603.0446043165466</c:v>
                </c:pt>
                <c:pt idx="10">
                  <c:v>5537.4673212641919</c:v>
                </c:pt>
                <c:pt idx="11">
                  <c:v>4953.2937638907042</c:v>
                </c:pt>
                <c:pt idx="12">
                  <c:v>6751.1706263498918</c:v>
                </c:pt>
                <c:pt idx="13">
                  <c:v>5038.4284745762716</c:v>
                </c:pt>
                <c:pt idx="14">
                  <c:v>4758.7025995707127</c:v>
                </c:pt>
                <c:pt idx="15">
                  <c:v>16619.701771336553</c:v>
                </c:pt>
                <c:pt idx="16">
                  <c:v>15567.681372549019</c:v>
                </c:pt>
                <c:pt idx="17">
                  <c:v>6367.4216524216527</c:v>
                </c:pt>
                <c:pt idx="18">
                  <c:v>8108.073319755601</c:v>
                </c:pt>
                <c:pt idx="19">
                  <c:v>7763.3284064665131</c:v>
                </c:pt>
                <c:pt idx="20">
                  <c:v>7020.8090935587288</c:v>
                </c:pt>
                <c:pt idx="21">
                  <c:v>5274.9101425744584</c:v>
                </c:pt>
                <c:pt idx="22">
                  <c:v>13935.173913043478</c:v>
                </c:pt>
                <c:pt idx="23">
                  <c:v>5055.8019819500969</c:v>
                </c:pt>
                <c:pt idx="24">
                  <c:v>6296.3251653053285</c:v>
                </c:pt>
                <c:pt idx="25">
                  <c:v>7106.1775585696669</c:v>
                </c:pt>
                <c:pt idx="26">
                  <c:v>12136.80985915493</c:v>
                </c:pt>
                <c:pt idx="27">
                  <c:v>4810.9841884683765</c:v>
                </c:pt>
                <c:pt idx="28">
                  <c:v>5099.5780066388625</c:v>
                </c:pt>
                <c:pt idx="29">
                  <c:v>7524.2503067484658</c:v>
                </c:pt>
                <c:pt idx="30">
                  <c:v>5151.5131106817553</c:v>
                </c:pt>
                <c:pt idx="31">
                  <c:v>6413.6026666666667</c:v>
                </c:pt>
                <c:pt idx="32">
                  <c:v>5074.8784810126581</c:v>
                </c:pt>
                <c:pt idx="33">
                  <c:v>5970.0581745235704</c:v>
                </c:pt>
                <c:pt idx="34">
                  <c:v>5241.9615454600598</c:v>
                </c:pt>
                <c:pt idx="35">
                  <c:v>6323.8590909090908</c:v>
                </c:pt>
                <c:pt idx="36">
                  <c:v>8321.5603217158168</c:v>
                </c:pt>
                <c:pt idx="37">
                  <c:v>6764.7306943543153</c:v>
                </c:pt>
                <c:pt idx="38">
                  <c:v>5163.0463366336635</c:v>
                </c:pt>
                <c:pt idx="39">
                  <c:v>10717.032727272728</c:v>
                </c:pt>
                <c:pt idx="40">
                  <c:v>9324.6783968719446</c:v>
                </c:pt>
                <c:pt idx="41">
                  <c:v>7137.0192554557125</c:v>
                </c:pt>
                <c:pt idx="42">
                  <c:v>10144.595611285267</c:v>
                </c:pt>
                <c:pt idx="43">
                  <c:v>20529.833333333332</c:v>
                </c:pt>
                <c:pt idx="44">
                  <c:v>6818.6625310173695</c:v>
                </c:pt>
                <c:pt idx="45">
                  <c:v>5367.932685729922</c:v>
                </c:pt>
                <c:pt idx="46">
                  <c:v>4107.4045189504377</c:v>
                </c:pt>
                <c:pt idx="47">
                  <c:v>5041.6976542137272</c:v>
                </c:pt>
                <c:pt idx="48">
                  <c:v>6331.2327790973868</c:v>
                </c:pt>
                <c:pt idx="49">
                  <c:v>5508.7377895778818</c:v>
                </c:pt>
                <c:pt idx="50">
                  <c:v>5216.3280991735537</c:v>
                </c:pt>
                <c:pt idx="51">
                  <c:v>5553.41393631749</c:v>
                </c:pt>
                <c:pt idx="52">
                  <c:v>7498.9361702127662</c:v>
                </c:pt>
                <c:pt idx="53">
                  <c:v>9966.149019607843</c:v>
                </c:pt>
                <c:pt idx="54">
                  <c:v>8327.6956521739139</c:v>
                </c:pt>
                <c:pt idx="55">
                  <c:v>15979.613526570049</c:v>
                </c:pt>
                <c:pt idx="56">
                  <c:v>7425.1843378794547</c:v>
                </c:pt>
                <c:pt idx="57">
                  <c:v>4649.3895776635418</c:v>
                </c:pt>
                <c:pt idx="58">
                  <c:v>6315.4226498889711</c:v>
                </c:pt>
                <c:pt idx="59">
                  <c:v>6235.959390862944</c:v>
                </c:pt>
                <c:pt idx="60">
                  <c:v>5032.9242190783025</c:v>
                </c:pt>
                <c:pt idx="61">
                  <c:v>5906.6211723534561</c:v>
                </c:pt>
                <c:pt idx="62">
                  <c:v>5754.0486656986932</c:v>
                </c:pt>
                <c:pt idx="63">
                  <c:v>5988.9787286975989</c:v>
                </c:pt>
                <c:pt idx="64">
                  <c:v>5443.1561771561774</c:v>
                </c:pt>
                <c:pt idx="65">
                  <c:v>14596.990712074303</c:v>
                </c:pt>
                <c:pt idx="66">
                  <c:v>8583.9402280770737</c:v>
                </c:pt>
                <c:pt idx="67">
                  <c:v>10470.492957746479</c:v>
                </c:pt>
                <c:pt idx="68">
                  <c:v>10915.833333333334</c:v>
                </c:pt>
                <c:pt idx="69">
                  <c:v>8215.0174672489084</c:v>
                </c:pt>
                <c:pt idx="70">
                  <c:v>11148.53720508167</c:v>
                </c:pt>
                <c:pt idx="71">
                  <c:v>11538.846153846154</c:v>
                </c:pt>
                <c:pt idx="72">
                  <c:v>5407.1235059760957</c:v>
                </c:pt>
                <c:pt idx="73">
                  <c:v>14578.165605095541</c:v>
                </c:pt>
                <c:pt idx="74">
                  <c:v>14188.190871369294</c:v>
                </c:pt>
                <c:pt idx="75">
                  <c:v>7888.9204819277111</c:v>
                </c:pt>
                <c:pt idx="76">
                  <c:v>10337.454022988506</c:v>
                </c:pt>
                <c:pt idx="77">
                  <c:v>6314.8161616161615</c:v>
                </c:pt>
                <c:pt idx="78">
                  <c:v>7165.4895591647328</c:v>
                </c:pt>
                <c:pt idx="79">
                  <c:v>8016.716112531969</c:v>
                </c:pt>
                <c:pt idx="80">
                  <c:v>5227.9262934089302</c:v>
                </c:pt>
                <c:pt idx="81">
                  <c:v>5291.8739523969161</c:v>
                </c:pt>
                <c:pt idx="82">
                  <c:v>4933.5401699716713</c:v>
                </c:pt>
                <c:pt idx="83">
                  <c:v>7204.9435695538059</c:v>
                </c:pt>
                <c:pt idx="84">
                  <c:v>5776.9514767932487</c:v>
                </c:pt>
                <c:pt idx="85">
                  <c:v>14950.294478527607</c:v>
                </c:pt>
                <c:pt idx="86">
                  <c:v>5616.0171044593772</c:v>
                </c:pt>
                <c:pt idx="87">
                  <c:v>5363.9346485819979</c:v>
                </c:pt>
                <c:pt idx="88">
                  <c:v>17726.81818181818</c:v>
                </c:pt>
                <c:pt idx="89">
                  <c:v>9399.8897058823532</c:v>
                </c:pt>
                <c:pt idx="90">
                  <c:v>5005.6487424111019</c:v>
                </c:pt>
                <c:pt idx="91">
                  <c:v>5007.2132378027973</c:v>
                </c:pt>
                <c:pt idx="92">
                  <c:v>5921.36231884058</c:v>
                </c:pt>
                <c:pt idx="93">
                  <c:v>5320.4033970276005</c:v>
                </c:pt>
                <c:pt idx="94">
                  <c:v>7407.6089344562433</c:v>
                </c:pt>
                <c:pt idx="95">
                  <c:v>8257.9</c:v>
                </c:pt>
                <c:pt idx="96">
                  <c:v>12239.297297297297</c:v>
                </c:pt>
                <c:pt idx="97">
                  <c:v>8486.9195612431449</c:v>
                </c:pt>
                <c:pt idx="98">
                  <c:v>14427.765258215963</c:v>
                </c:pt>
                <c:pt idx="99">
                  <c:v>9074.7482305358953</c:v>
                </c:pt>
                <c:pt idx="100">
                  <c:v>24349.703703703704</c:v>
                </c:pt>
                <c:pt idx="101">
                  <c:v>7744.0673671199011</c:v>
                </c:pt>
                <c:pt idx="102">
                  <c:v>6163.807331730769</c:v>
                </c:pt>
                <c:pt idx="103">
                  <c:v>5496.2212908633701</c:v>
                </c:pt>
                <c:pt idx="104">
                  <c:v>5836.4525745257451</c:v>
                </c:pt>
                <c:pt idx="105">
                  <c:v>5210.9444614912554</c:v>
                </c:pt>
                <c:pt idx="106">
                  <c:v>7103.1685761047465</c:v>
                </c:pt>
                <c:pt idx="107">
                  <c:v>10969.90909090909</c:v>
                </c:pt>
                <c:pt idx="108">
                  <c:v>6806.6611018363938</c:v>
                </c:pt>
                <c:pt idx="109">
                  <c:v>7763.9666666666662</c:v>
                </c:pt>
                <c:pt idx="110">
                  <c:v>13295.815610267156</c:v>
                </c:pt>
                <c:pt idx="111">
                  <c:v>10131.574552683896</c:v>
                </c:pt>
                <c:pt idx="112">
                  <c:v>4997.3143650242882</c:v>
                </c:pt>
                <c:pt idx="113">
                  <c:v>12623.211822660098</c:v>
                </c:pt>
                <c:pt idx="114">
                  <c:v>9877.1286307053942</c:v>
                </c:pt>
              </c:numCache>
            </c:numRef>
          </c:xVal>
          <c:yVal>
            <c:numRef>
              <c:f>'PPT Slide 27'!$E$3:$E$117</c:f>
              <c:numCache>
                <c:formatCode>_("$"* #,##0_);_("$"* \(#,##0\);_("$"* "-"??_);_(@_)</c:formatCode>
                <c:ptCount val="115"/>
                <c:pt idx="0">
                  <c:v>619674.51389351895</c:v>
                </c:pt>
                <c:pt idx="1">
                  <c:v>393235.77083858673</c:v>
                </c:pt>
                <c:pt idx="2">
                  <c:v>230431.10611061106</c:v>
                </c:pt>
                <c:pt idx="3">
                  <c:v>1526246.865248227</c:v>
                </c:pt>
                <c:pt idx="4">
                  <c:v>646289.26222222217</c:v>
                </c:pt>
                <c:pt idx="5">
                  <c:v>498527.08620689658</c:v>
                </c:pt>
                <c:pt idx="6">
                  <c:v>268737.18504077976</c:v>
                </c:pt>
                <c:pt idx="7">
                  <c:v>729429.83838383842</c:v>
                </c:pt>
                <c:pt idx="8">
                  <c:v>503484.43076923076</c:v>
                </c:pt>
                <c:pt idx="9">
                  <c:v>1413319.4762589929</c:v>
                </c:pt>
                <c:pt idx="10">
                  <c:v>212224.77876649279</c:v>
                </c:pt>
                <c:pt idx="11">
                  <c:v>197924.50542554582</c:v>
                </c:pt>
                <c:pt idx="12">
                  <c:v>317701.36501079914</c:v>
                </c:pt>
                <c:pt idx="13">
                  <c:v>253874.53559322035</c:v>
                </c:pt>
                <c:pt idx="14">
                  <c:v>220228.36298592892</c:v>
                </c:pt>
                <c:pt idx="15">
                  <c:v>2759325.8492753622</c:v>
                </c:pt>
                <c:pt idx="16">
                  <c:v>1751558.4901960783</c:v>
                </c:pt>
                <c:pt idx="17">
                  <c:v>744388.79772079771</c:v>
                </c:pt>
                <c:pt idx="18">
                  <c:v>405247.1446028513</c:v>
                </c:pt>
                <c:pt idx="19">
                  <c:v>1417141.5482678984</c:v>
                </c:pt>
                <c:pt idx="20">
                  <c:v>1190729.1664237832</c:v>
                </c:pt>
                <c:pt idx="21">
                  <c:v>294287.05880562181</c:v>
                </c:pt>
                <c:pt idx="22">
                  <c:v>4035362.6739130435</c:v>
                </c:pt>
                <c:pt idx="23">
                  <c:v>203640.37922491593</c:v>
                </c:pt>
                <c:pt idx="24">
                  <c:v>641442.77246207697</c:v>
                </c:pt>
                <c:pt idx="25">
                  <c:v>384247.45745992602</c:v>
                </c:pt>
                <c:pt idx="26">
                  <c:v>910669.38732394367</c:v>
                </c:pt>
                <c:pt idx="27">
                  <c:v>235490.26778003556</c:v>
                </c:pt>
                <c:pt idx="28">
                  <c:v>238985.33049621244</c:v>
                </c:pt>
                <c:pt idx="29">
                  <c:v>431690.29693251534</c:v>
                </c:pt>
                <c:pt idx="30">
                  <c:v>212872.96329009108</c:v>
                </c:pt>
                <c:pt idx="31">
                  <c:v>230016.46666666667</c:v>
                </c:pt>
                <c:pt idx="32">
                  <c:v>260432</c:v>
                </c:pt>
                <c:pt idx="33">
                  <c:v>259265.48445336008</c:v>
                </c:pt>
                <c:pt idx="34">
                  <c:v>218003.26572451022</c:v>
                </c:pt>
                <c:pt idx="35">
                  <c:v>302090.23636363639</c:v>
                </c:pt>
                <c:pt idx="36">
                  <c:v>500744.63806970511</c:v>
                </c:pt>
                <c:pt idx="37">
                  <c:v>722138.38676184299</c:v>
                </c:pt>
                <c:pt idx="38">
                  <c:v>237309.57821782178</c:v>
                </c:pt>
                <c:pt idx="39">
                  <c:v>814484.32727272727</c:v>
                </c:pt>
                <c:pt idx="40">
                  <c:v>498736.65982404695</c:v>
                </c:pt>
                <c:pt idx="41">
                  <c:v>1739002.7291399229</c:v>
                </c:pt>
                <c:pt idx="42">
                  <c:v>896740.12539184955</c:v>
                </c:pt>
                <c:pt idx="43">
                  <c:v>1760574.6666666667</c:v>
                </c:pt>
                <c:pt idx="44">
                  <c:v>591203.78908188583</c:v>
                </c:pt>
                <c:pt idx="45">
                  <c:v>277980.46490627993</c:v>
                </c:pt>
                <c:pt idx="46">
                  <c:v>167066.67164723031</c:v>
                </c:pt>
                <c:pt idx="47">
                  <c:v>230161.09991311902</c:v>
                </c:pt>
                <c:pt idx="48">
                  <c:v>735363.94726840861</c:v>
                </c:pt>
                <c:pt idx="49">
                  <c:v>286990.15377650224</c:v>
                </c:pt>
                <c:pt idx="50">
                  <c:v>333503.96363636362</c:v>
                </c:pt>
                <c:pt idx="51">
                  <c:v>243032.07106598985</c:v>
                </c:pt>
                <c:pt idx="52">
                  <c:v>464796.48936170212</c:v>
                </c:pt>
                <c:pt idx="53">
                  <c:v>588518.34509803925</c:v>
                </c:pt>
                <c:pt idx="54">
                  <c:v>405508.57065217389</c:v>
                </c:pt>
                <c:pt idx="55">
                  <c:v>1271196.8405797102</c:v>
                </c:pt>
                <c:pt idx="56">
                  <c:v>717623.63044434669</c:v>
                </c:pt>
                <c:pt idx="57">
                  <c:v>177183.24906763431</c:v>
                </c:pt>
                <c:pt idx="58">
                  <c:v>192153.9896373057</c:v>
                </c:pt>
                <c:pt idx="59">
                  <c:v>278128.50592216582</c:v>
                </c:pt>
                <c:pt idx="60">
                  <c:v>287149.46631180838</c:v>
                </c:pt>
                <c:pt idx="61">
                  <c:v>352488.8801399825</c:v>
                </c:pt>
                <c:pt idx="62">
                  <c:v>705801.6765633605</c:v>
                </c:pt>
                <c:pt idx="63">
                  <c:v>534442.72347306879</c:v>
                </c:pt>
                <c:pt idx="64">
                  <c:v>418848.97678321676</c:v>
                </c:pt>
                <c:pt idx="65">
                  <c:v>3209798.4024767801</c:v>
                </c:pt>
                <c:pt idx="66">
                  <c:v>524331.92764451436</c:v>
                </c:pt>
                <c:pt idx="67">
                  <c:v>581294.35211267602</c:v>
                </c:pt>
                <c:pt idx="68">
                  <c:v>540691.55263157899</c:v>
                </c:pt>
                <c:pt idx="69">
                  <c:v>498646.84716157208</c:v>
                </c:pt>
                <c:pt idx="70">
                  <c:v>486005.91651542648</c:v>
                </c:pt>
                <c:pt idx="71">
                  <c:v>835169.55288461538</c:v>
                </c:pt>
                <c:pt idx="72">
                  <c:v>690452.71978751663</c:v>
                </c:pt>
                <c:pt idx="73">
                  <c:v>1004176.3439490446</c:v>
                </c:pt>
                <c:pt idx="74">
                  <c:v>908467.06224066392</c:v>
                </c:pt>
                <c:pt idx="75">
                  <c:v>476953.37108433736</c:v>
                </c:pt>
                <c:pt idx="76">
                  <c:v>797349.60919540224</c:v>
                </c:pt>
                <c:pt idx="77">
                  <c:v>327982.41010101011</c:v>
                </c:pt>
                <c:pt idx="78">
                  <c:v>197815.716937355</c:v>
                </c:pt>
                <c:pt idx="79">
                  <c:v>350564.09207161126</c:v>
                </c:pt>
                <c:pt idx="80">
                  <c:v>258693.66852283082</c:v>
                </c:pt>
                <c:pt idx="81">
                  <c:v>169712.9534026148</c:v>
                </c:pt>
                <c:pt idx="82">
                  <c:v>279185.65393767704</c:v>
                </c:pt>
                <c:pt idx="83">
                  <c:v>520154.8357392826</c:v>
                </c:pt>
                <c:pt idx="84">
                  <c:v>291563.76371308014</c:v>
                </c:pt>
                <c:pt idx="85">
                  <c:v>632107.59509202454</c:v>
                </c:pt>
                <c:pt idx="86">
                  <c:v>359467.9792302993</c:v>
                </c:pt>
                <c:pt idx="87">
                  <c:v>235231.89025893959</c:v>
                </c:pt>
                <c:pt idx="88">
                  <c:v>1611316.5454545454</c:v>
                </c:pt>
                <c:pt idx="89">
                  <c:v>659569.8713235294</c:v>
                </c:pt>
                <c:pt idx="90">
                  <c:v>179480.30702515176</c:v>
                </c:pt>
                <c:pt idx="91">
                  <c:v>237751.13749573525</c:v>
                </c:pt>
                <c:pt idx="92">
                  <c:v>393712.61315496097</c:v>
                </c:pt>
                <c:pt idx="93">
                  <c:v>283189.32666060055</c:v>
                </c:pt>
                <c:pt idx="94">
                  <c:v>568693.30574880994</c:v>
                </c:pt>
                <c:pt idx="95">
                  <c:v>221772.06111111111</c:v>
                </c:pt>
                <c:pt idx="96">
                  <c:v>1340773.6216216215</c:v>
                </c:pt>
                <c:pt idx="97">
                  <c:v>465463.69195612433</c:v>
                </c:pt>
                <c:pt idx="98">
                  <c:v>779538.52582159627</c:v>
                </c:pt>
                <c:pt idx="99">
                  <c:v>463242.42062689585</c:v>
                </c:pt>
                <c:pt idx="100">
                  <c:v>8747638.9629629627</c:v>
                </c:pt>
                <c:pt idx="101">
                  <c:v>812821.13906056865</c:v>
                </c:pt>
                <c:pt idx="102">
                  <c:v>336348.96021634614</c:v>
                </c:pt>
                <c:pt idx="103">
                  <c:v>452954.17686504609</c:v>
                </c:pt>
                <c:pt idx="104">
                  <c:v>295694.98577235773</c:v>
                </c:pt>
                <c:pt idx="105">
                  <c:v>222899.46118441239</c:v>
                </c:pt>
                <c:pt idx="106">
                  <c:v>423673.04418985272</c:v>
                </c:pt>
                <c:pt idx="107">
                  <c:v>1718415</c:v>
                </c:pt>
                <c:pt idx="108">
                  <c:v>456395.09849749581</c:v>
                </c:pt>
                <c:pt idx="109">
                  <c:v>587458.6333333333</c:v>
                </c:pt>
                <c:pt idx="110">
                  <c:v>2778916.4044002094</c:v>
                </c:pt>
                <c:pt idx="111">
                  <c:v>1813862.1113320079</c:v>
                </c:pt>
                <c:pt idx="112">
                  <c:v>300220.89312977099</c:v>
                </c:pt>
                <c:pt idx="113">
                  <c:v>1524110.4433497537</c:v>
                </c:pt>
                <c:pt idx="114">
                  <c:v>1019567.8506224067</c:v>
                </c:pt>
              </c:numCache>
            </c:numRef>
          </c:yVal>
          <c:smooth val="0"/>
          <c:extLst>
            <c:ext xmlns:c16="http://schemas.microsoft.com/office/drawing/2014/chart" uri="{C3380CC4-5D6E-409C-BE32-E72D297353CC}">
              <c16:uniqueId val="{00000000-4254-4363-ADFF-4474B272623A}"/>
            </c:ext>
          </c:extLst>
        </c:ser>
        <c:dLbls>
          <c:showLegendKey val="0"/>
          <c:showVal val="0"/>
          <c:showCatName val="0"/>
          <c:showSerName val="0"/>
          <c:showPercent val="0"/>
          <c:showBubbleSize val="0"/>
        </c:dLbls>
        <c:axId val="324839736"/>
        <c:axId val="324835472"/>
      </c:scatterChart>
      <c:valAx>
        <c:axId val="324839736"/>
        <c:scaling>
          <c:orientation val="minMax"/>
          <c:max val="2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 from WSF and Local Funds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835472"/>
        <c:crosses val="autoZero"/>
        <c:crossBetween val="midCat"/>
      </c:valAx>
      <c:valAx>
        <c:axId val="324835472"/>
        <c:scaling>
          <c:orientation val="minMax"/>
          <c:max val="2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Property Wealth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839736"/>
        <c:crosses val="autoZero"/>
        <c:crossBetween val="midCat"/>
        <c:majorUnit val="5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Current Per Pupil Funding</c:v>
          </c:tx>
          <c:spPr>
            <a:ln w="25400" cap="rnd">
              <a:noFill/>
              <a:round/>
            </a:ln>
            <a:effectLst/>
          </c:spPr>
          <c:marker>
            <c:symbol val="circle"/>
            <c:size val="5"/>
            <c:spPr>
              <a:solidFill>
                <a:schemeClr val="accent1"/>
              </a:solidFill>
              <a:ln w="9525">
                <a:solidFill>
                  <a:schemeClr val="accent1"/>
                </a:solidFill>
              </a:ln>
              <a:effectLst/>
            </c:spPr>
          </c:marker>
          <c:xVal>
            <c:numRef>
              <c:f>'PPT Slide 27'!$C$3:$C$117</c:f>
              <c:numCache>
                <c:formatCode>_("$"* #,##0_);_("$"* \(#,##0\);_("$"* "-"??_);_(@_)</c:formatCode>
                <c:ptCount val="115"/>
                <c:pt idx="0">
                  <c:v>7494.4181586430041</c:v>
                </c:pt>
                <c:pt idx="1">
                  <c:v>5853.8548653722228</c:v>
                </c:pt>
                <c:pt idx="2">
                  <c:v>5464.7748774877491</c:v>
                </c:pt>
                <c:pt idx="3">
                  <c:v>10090.106382978724</c:v>
                </c:pt>
                <c:pt idx="4">
                  <c:v>7138.2444444444445</c:v>
                </c:pt>
                <c:pt idx="5">
                  <c:v>5462.3825944170776</c:v>
                </c:pt>
                <c:pt idx="6">
                  <c:v>5094.8220409787145</c:v>
                </c:pt>
                <c:pt idx="7">
                  <c:v>5931.6700336700333</c:v>
                </c:pt>
                <c:pt idx="8">
                  <c:v>6879.5236467236464</c:v>
                </c:pt>
                <c:pt idx="9">
                  <c:v>6603.0446043165466</c:v>
                </c:pt>
                <c:pt idx="10">
                  <c:v>5537.4673212641919</c:v>
                </c:pt>
                <c:pt idx="11">
                  <c:v>4953.2937638907042</c:v>
                </c:pt>
                <c:pt idx="12">
                  <c:v>6751.1706263498918</c:v>
                </c:pt>
                <c:pt idx="13">
                  <c:v>5038.4284745762716</c:v>
                </c:pt>
                <c:pt idx="14">
                  <c:v>4758.7025995707127</c:v>
                </c:pt>
                <c:pt idx="15">
                  <c:v>16619.701771336553</c:v>
                </c:pt>
                <c:pt idx="16">
                  <c:v>15567.681372549019</c:v>
                </c:pt>
                <c:pt idx="17">
                  <c:v>6367.4216524216527</c:v>
                </c:pt>
                <c:pt idx="18">
                  <c:v>8108.073319755601</c:v>
                </c:pt>
                <c:pt idx="19">
                  <c:v>7763.3284064665131</c:v>
                </c:pt>
                <c:pt idx="20">
                  <c:v>7020.8090935587288</c:v>
                </c:pt>
                <c:pt idx="21">
                  <c:v>5274.9101425744584</c:v>
                </c:pt>
                <c:pt idx="22">
                  <c:v>13935.173913043478</c:v>
                </c:pt>
                <c:pt idx="23">
                  <c:v>5055.8019819500969</c:v>
                </c:pt>
                <c:pt idx="24">
                  <c:v>6296.3251653053285</c:v>
                </c:pt>
                <c:pt idx="25">
                  <c:v>7106.1775585696669</c:v>
                </c:pt>
                <c:pt idx="26">
                  <c:v>12136.80985915493</c:v>
                </c:pt>
                <c:pt idx="27">
                  <c:v>4810.9841884683765</c:v>
                </c:pt>
                <c:pt idx="28">
                  <c:v>5099.5780066388625</c:v>
                </c:pt>
                <c:pt idx="29">
                  <c:v>7524.2503067484658</c:v>
                </c:pt>
                <c:pt idx="30">
                  <c:v>5151.5131106817553</c:v>
                </c:pt>
                <c:pt idx="31">
                  <c:v>6413.6026666666667</c:v>
                </c:pt>
                <c:pt idx="32">
                  <c:v>5074.8784810126581</c:v>
                </c:pt>
                <c:pt idx="33">
                  <c:v>5970.0581745235704</c:v>
                </c:pt>
                <c:pt idx="34">
                  <c:v>5241.9615454600598</c:v>
                </c:pt>
                <c:pt idx="35">
                  <c:v>6323.8590909090908</c:v>
                </c:pt>
                <c:pt idx="36">
                  <c:v>8321.5603217158168</c:v>
                </c:pt>
                <c:pt idx="37">
                  <c:v>6764.7306943543153</c:v>
                </c:pt>
                <c:pt idx="38">
                  <c:v>5163.0463366336635</c:v>
                </c:pt>
                <c:pt idx="39">
                  <c:v>10717.032727272728</c:v>
                </c:pt>
                <c:pt idx="40">
                  <c:v>9324.6783968719446</c:v>
                </c:pt>
                <c:pt idx="41">
                  <c:v>7137.0192554557125</c:v>
                </c:pt>
                <c:pt idx="42">
                  <c:v>10144.595611285267</c:v>
                </c:pt>
                <c:pt idx="43">
                  <c:v>20529.833333333332</c:v>
                </c:pt>
                <c:pt idx="44">
                  <c:v>6818.6625310173695</c:v>
                </c:pt>
                <c:pt idx="45">
                  <c:v>5367.932685729922</c:v>
                </c:pt>
                <c:pt idx="46">
                  <c:v>4107.4045189504377</c:v>
                </c:pt>
                <c:pt idx="47">
                  <c:v>5041.6976542137272</c:v>
                </c:pt>
                <c:pt idx="48">
                  <c:v>6331.2327790973868</c:v>
                </c:pt>
                <c:pt idx="49">
                  <c:v>5508.7377895778818</c:v>
                </c:pt>
                <c:pt idx="50">
                  <c:v>5216.3280991735537</c:v>
                </c:pt>
                <c:pt idx="51">
                  <c:v>5553.41393631749</c:v>
                </c:pt>
                <c:pt idx="52">
                  <c:v>7498.9361702127662</c:v>
                </c:pt>
                <c:pt idx="53">
                  <c:v>9966.149019607843</c:v>
                </c:pt>
                <c:pt idx="54">
                  <c:v>8327.6956521739139</c:v>
                </c:pt>
                <c:pt idx="55">
                  <c:v>15979.613526570049</c:v>
                </c:pt>
                <c:pt idx="56">
                  <c:v>7425.1843378794547</c:v>
                </c:pt>
                <c:pt idx="57">
                  <c:v>4649.3895776635418</c:v>
                </c:pt>
                <c:pt idx="58">
                  <c:v>6315.4226498889711</c:v>
                </c:pt>
                <c:pt idx="59">
                  <c:v>6235.959390862944</c:v>
                </c:pt>
                <c:pt idx="60">
                  <c:v>5032.9242190783025</c:v>
                </c:pt>
                <c:pt idx="61">
                  <c:v>5906.6211723534561</c:v>
                </c:pt>
                <c:pt idx="62">
                  <c:v>5754.0486656986932</c:v>
                </c:pt>
                <c:pt idx="63">
                  <c:v>5988.9787286975989</c:v>
                </c:pt>
                <c:pt idx="64">
                  <c:v>5443.1561771561774</c:v>
                </c:pt>
                <c:pt idx="65">
                  <c:v>14596.990712074303</c:v>
                </c:pt>
                <c:pt idx="66">
                  <c:v>8583.9402280770737</c:v>
                </c:pt>
                <c:pt idx="67">
                  <c:v>10470.492957746479</c:v>
                </c:pt>
                <c:pt idx="68">
                  <c:v>10915.833333333334</c:v>
                </c:pt>
                <c:pt idx="69">
                  <c:v>8215.0174672489084</c:v>
                </c:pt>
                <c:pt idx="70">
                  <c:v>11148.53720508167</c:v>
                </c:pt>
                <c:pt idx="71">
                  <c:v>11538.846153846154</c:v>
                </c:pt>
                <c:pt idx="72">
                  <c:v>5407.1235059760957</c:v>
                </c:pt>
                <c:pt idx="73">
                  <c:v>14578.165605095541</c:v>
                </c:pt>
                <c:pt idx="74">
                  <c:v>14188.190871369294</c:v>
                </c:pt>
                <c:pt idx="75">
                  <c:v>7888.9204819277111</c:v>
                </c:pt>
                <c:pt idx="76">
                  <c:v>10337.454022988506</c:v>
                </c:pt>
                <c:pt idx="77">
                  <c:v>6314.8161616161615</c:v>
                </c:pt>
                <c:pt idx="78">
                  <c:v>7165.4895591647328</c:v>
                </c:pt>
                <c:pt idx="79">
                  <c:v>8016.716112531969</c:v>
                </c:pt>
                <c:pt idx="80">
                  <c:v>5227.9262934089302</c:v>
                </c:pt>
                <c:pt idx="81">
                  <c:v>5291.8739523969161</c:v>
                </c:pt>
                <c:pt idx="82">
                  <c:v>4933.5401699716713</c:v>
                </c:pt>
                <c:pt idx="83">
                  <c:v>7204.9435695538059</c:v>
                </c:pt>
                <c:pt idx="84">
                  <c:v>5776.9514767932487</c:v>
                </c:pt>
                <c:pt idx="85">
                  <c:v>14950.294478527607</c:v>
                </c:pt>
                <c:pt idx="86">
                  <c:v>5616.0171044593772</c:v>
                </c:pt>
                <c:pt idx="87">
                  <c:v>5363.9346485819979</c:v>
                </c:pt>
                <c:pt idx="88">
                  <c:v>17726.81818181818</c:v>
                </c:pt>
                <c:pt idx="89">
                  <c:v>9399.8897058823532</c:v>
                </c:pt>
                <c:pt idx="90">
                  <c:v>5005.6487424111019</c:v>
                </c:pt>
                <c:pt idx="91">
                  <c:v>5007.2132378027973</c:v>
                </c:pt>
                <c:pt idx="92">
                  <c:v>5921.36231884058</c:v>
                </c:pt>
                <c:pt idx="93">
                  <c:v>5320.4033970276005</c:v>
                </c:pt>
                <c:pt idx="94">
                  <c:v>7407.6089344562433</c:v>
                </c:pt>
                <c:pt idx="95">
                  <c:v>8257.9</c:v>
                </c:pt>
                <c:pt idx="96">
                  <c:v>12239.297297297297</c:v>
                </c:pt>
                <c:pt idx="97">
                  <c:v>8486.9195612431449</c:v>
                </c:pt>
                <c:pt idx="98">
                  <c:v>14427.765258215963</c:v>
                </c:pt>
                <c:pt idx="99">
                  <c:v>9074.7482305358953</c:v>
                </c:pt>
                <c:pt idx="100">
                  <c:v>24349.703703703704</c:v>
                </c:pt>
                <c:pt idx="101">
                  <c:v>7744.0673671199011</c:v>
                </c:pt>
                <c:pt idx="102">
                  <c:v>6163.807331730769</c:v>
                </c:pt>
                <c:pt idx="103">
                  <c:v>5496.2212908633701</c:v>
                </c:pt>
                <c:pt idx="104">
                  <c:v>5836.4525745257451</c:v>
                </c:pt>
                <c:pt idx="105">
                  <c:v>5210.9444614912554</c:v>
                </c:pt>
                <c:pt idx="106">
                  <c:v>7103.1685761047465</c:v>
                </c:pt>
                <c:pt idx="107">
                  <c:v>10969.90909090909</c:v>
                </c:pt>
                <c:pt idx="108">
                  <c:v>6806.6611018363938</c:v>
                </c:pt>
                <c:pt idx="109">
                  <c:v>7763.9666666666662</c:v>
                </c:pt>
                <c:pt idx="110">
                  <c:v>13295.815610267156</c:v>
                </c:pt>
                <c:pt idx="111">
                  <c:v>10131.574552683896</c:v>
                </c:pt>
                <c:pt idx="112">
                  <c:v>4997.3143650242882</c:v>
                </c:pt>
                <c:pt idx="113">
                  <c:v>12623.211822660098</c:v>
                </c:pt>
                <c:pt idx="114">
                  <c:v>9877.1286307053942</c:v>
                </c:pt>
              </c:numCache>
            </c:numRef>
          </c:xVal>
          <c:yVal>
            <c:numRef>
              <c:f>'PPT Slide 27'!$E$3:$E$117</c:f>
              <c:numCache>
                <c:formatCode>_("$"* #,##0_);_("$"* \(#,##0\);_("$"* "-"??_);_(@_)</c:formatCode>
                <c:ptCount val="115"/>
                <c:pt idx="0">
                  <c:v>619674.51389351895</c:v>
                </c:pt>
                <c:pt idx="1">
                  <c:v>393235.77083858673</c:v>
                </c:pt>
                <c:pt idx="2">
                  <c:v>230431.10611061106</c:v>
                </c:pt>
                <c:pt idx="3">
                  <c:v>1526246.865248227</c:v>
                </c:pt>
                <c:pt idx="4">
                  <c:v>646289.26222222217</c:v>
                </c:pt>
                <c:pt idx="5">
                  <c:v>498527.08620689658</c:v>
                </c:pt>
                <c:pt idx="6">
                  <c:v>268737.18504077976</c:v>
                </c:pt>
                <c:pt idx="7">
                  <c:v>729429.83838383842</c:v>
                </c:pt>
                <c:pt idx="8">
                  <c:v>503484.43076923076</c:v>
                </c:pt>
                <c:pt idx="9">
                  <c:v>1413319.4762589929</c:v>
                </c:pt>
                <c:pt idx="10">
                  <c:v>212224.77876649279</c:v>
                </c:pt>
                <c:pt idx="11">
                  <c:v>197924.50542554582</c:v>
                </c:pt>
                <c:pt idx="12">
                  <c:v>317701.36501079914</c:v>
                </c:pt>
                <c:pt idx="13">
                  <c:v>253874.53559322035</c:v>
                </c:pt>
                <c:pt idx="14">
                  <c:v>220228.36298592892</c:v>
                </c:pt>
                <c:pt idx="15">
                  <c:v>2759325.8492753622</c:v>
                </c:pt>
                <c:pt idx="16">
                  <c:v>1751558.4901960783</c:v>
                </c:pt>
                <c:pt idx="17">
                  <c:v>744388.79772079771</c:v>
                </c:pt>
                <c:pt idx="18">
                  <c:v>405247.1446028513</c:v>
                </c:pt>
                <c:pt idx="19">
                  <c:v>1417141.5482678984</c:v>
                </c:pt>
                <c:pt idx="20">
                  <c:v>1190729.1664237832</c:v>
                </c:pt>
                <c:pt idx="21">
                  <c:v>294287.05880562181</c:v>
                </c:pt>
                <c:pt idx="22">
                  <c:v>4035362.6739130435</c:v>
                </c:pt>
                <c:pt idx="23">
                  <c:v>203640.37922491593</c:v>
                </c:pt>
                <c:pt idx="24">
                  <c:v>641442.77246207697</c:v>
                </c:pt>
                <c:pt idx="25">
                  <c:v>384247.45745992602</c:v>
                </c:pt>
                <c:pt idx="26">
                  <c:v>910669.38732394367</c:v>
                </c:pt>
                <c:pt idx="27">
                  <c:v>235490.26778003556</c:v>
                </c:pt>
                <c:pt idx="28">
                  <c:v>238985.33049621244</c:v>
                </c:pt>
                <c:pt idx="29">
                  <c:v>431690.29693251534</c:v>
                </c:pt>
                <c:pt idx="30">
                  <c:v>212872.96329009108</c:v>
                </c:pt>
                <c:pt idx="31">
                  <c:v>230016.46666666667</c:v>
                </c:pt>
                <c:pt idx="32">
                  <c:v>260432</c:v>
                </c:pt>
                <c:pt idx="33">
                  <c:v>259265.48445336008</c:v>
                </c:pt>
                <c:pt idx="34">
                  <c:v>218003.26572451022</c:v>
                </c:pt>
                <c:pt idx="35">
                  <c:v>302090.23636363639</c:v>
                </c:pt>
                <c:pt idx="36">
                  <c:v>500744.63806970511</c:v>
                </c:pt>
                <c:pt idx="37">
                  <c:v>722138.38676184299</c:v>
                </c:pt>
                <c:pt idx="38">
                  <c:v>237309.57821782178</c:v>
                </c:pt>
                <c:pt idx="39">
                  <c:v>814484.32727272727</c:v>
                </c:pt>
                <c:pt idx="40">
                  <c:v>498736.65982404695</c:v>
                </c:pt>
                <c:pt idx="41">
                  <c:v>1739002.7291399229</c:v>
                </c:pt>
                <c:pt idx="42">
                  <c:v>896740.12539184955</c:v>
                </c:pt>
                <c:pt idx="43">
                  <c:v>1760574.6666666667</c:v>
                </c:pt>
                <c:pt idx="44">
                  <c:v>591203.78908188583</c:v>
                </c:pt>
                <c:pt idx="45">
                  <c:v>277980.46490627993</c:v>
                </c:pt>
                <c:pt idx="46">
                  <c:v>167066.67164723031</c:v>
                </c:pt>
                <c:pt idx="47">
                  <c:v>230161.09991311902</c:v>
                </c:pt>
                <c:pt idx="48">
                  <c:v>735363.94726840861</c:v>
                </c:pt>
                <c:pt idx="49">
                  <c:v>286990.15377650224</c:v>
                </c:pt>
                <c:pt idx="50">
                  <c:v>333503.96363636362</c:v>
                </c:pt>
                <c:pt idx="51">
                  <c:v>243032.07106598985</c:v>
                </c:pt>
                <c:pt idx="52">
                  <c:v>464796.48936170212</c:v>
                </c:pt>
                <c:pt idx="53">
                  <c:v>588518.34509803925</c:v>
                </c:pt>
                <c:pt idx="54">
                  <c:v>405508.57065217389</c:v>
                </c:pt>
                <c:pt idx="55">
                  <c:v>1271196.8405797102</c:v>
                </c:pt>
                <c:pt idx="56">
                  <c:v>717623.63044434669</c:v>
                </c:pt>
                <c:pt idx="57">
                  <c:v>177183.24906763431</c:v>
                </c:pt>
                <c:pt idx="58">
                  <c:v>192153.9896373057</c:v>
                </c:pt>
                <c:pt idx="59">
                  <c:v>278128.50592216582</c:v>
                </c:pt>
                <c:pt idx="60">
                  <c:v>287149.46631180838</c:v>
                </c:pt>
                <c:pt idx="61">
                  <c:v>352488.8801399825</c:v>
                </c:pt>
                <c:pt idx="62">
                  <c:v>705801.6765633605</c:v>
                </c:pt>
                <c:pt idx="63">
                  <c:v>534442.72347306879</c:v>
                </c:pt>
                <c:pt idx="64">
                  <c:v>418848.97678321676</c:v>
                </c:pt>
                <c:pt idx="65">
                  <c:v>3209798.4024767801</c:v>
                </c:pt>
                <c:pt idx="66">
                  <c:v>524331.92764451436</c:v>
                </c:pt>
                <c:pt idx="67">
                  <c:v>581294.35211267602</c:v>
                </c:pt>
                <c:pt idx="68">
                  <c:v>540691.55263157899</c:v>
                </c:pt>
                <c:pt idx="69">
                  <c:v>498646.84716157208</c:v>
                </c:pt>
                <c:pt idx="70">
                  <c:v>486005.91651542648</c:v>
                </c:pt>
                <c:pt idx="71">
                  <c:v>835169.55288461538</c:v>
                </c:pt>
                <c:pt idx="72">
                  <c:v>690452.71978751663</c:v>
                </c:pt>
                <c:pt idx="73">
                  <c:v>1004176.3439490446</c:v>
                </c:pt>
                <c:pt idx="74">
                  <c:v>908467.06224066392</c:v>
                </c:pt>
                <c:pt idx="75">
                  <c:v>476953.37108433736</c:v>
                </c:pt>
                <c:pt idx="76">
                  <c:v>797349.60919540224</c:v>
                </c:pt>
                <c:pt idx="77">
                  <c:v>327982.41010101011</c:v>
                </c:pt>
                <c:pt idx="78">
                  <c:v>197815.716937355</c:v>
                </c:pt>
                <c:pt idx="79">
                  <c:v>350564.09207161126</c:v>
                </c:pt>
                <c:pt idx="80">
                  <c:v>258693.66852283082</c:v>
                </c:pt>
                <c:pt idx="81">
                  <c:v>169712.9534026148</c:v>
                </c:pt>
                <c:pt idx="82">
                  <c:v>279185.65393767704</c:v>
                </c:pt>
                <c:pt idx="83">
                  <c:v>520154.8357392826</c:v>
                </c:pt>
                <c:pt idx="84">
                  <c:v>291563.76371308014</c:v>
                </c:pt>
                <c:pt idx="85">
                  <c:v>632107.59509202454</c:v>
                </c:pt>
                <c:pt idx="86">
                  <c:v>359467.9792302993</c:v>
                </c:pt>
                <c:pt idx="87">
                  <c:v>235231.89025893959</c:v>
                </c:pt>
                <c:pt idx="88">
                  <c:v>1611316.5454545454</c:v>
                </c:pt>
                <c:pt idx="89">
                  <c:v>659569.8713235294</c:v>
                </c:pt>
                <c:pt idx="90">
                  <c:v>179480.30702515176</c:v>
                </c:pt>
                <c:pt idx="91">
                  <c:v>237751.13749573525</c:v>
                </c:pt>
                <c:pt idx="92">
                  <c:v>393712.61315496097</c:v>
                </c:pt>
                <c:pt idx="93">
                  <c:v>283189.32666060055</c:v>
                </c:pt>
                <c:pt idx="94">
                  <c:v>568693.30574880994</c:v>
                </c:pt>
                <c:pt idx="95">
                  <c:v>221772.06111111111</c:v>
                </c:pt>
                <c:pt idx="96">
                  <c:v>1340773.6216216215</c:v>
                </c:pt>
                <c:pt idx="97">
                  <c:v>465463.69195612433</c:v>
                </c:pt>
                <c:pt idx="98">
                  <c:v>779538.52582159627</c:v>
                </c:pt>
                <c:pt idx="99">
                  <c:v>463242.42062689585</c:v>
                </c:pt>
                <c:pt idx="100">
                  <c:v>8747638.9629629627</c:v>
                </c:pt>
                <c:pt idx="101">
                  <c:v>812821.13906056865</c:v>
                </c:pt>
                <c:pt idx="102">
                  <c:v>336348.96021634614</c:v>
                </c:pt>
                <c:pt idx="103">
                  <c:v>452954.17686504609</c:v>
                </c:pt>
                <c:pt idx="104">
                  <c:v>295694.98577235773</c:v>
                </c:pt>
                <c:pt idx="105">
                  <c:v>222899.46118441239</c:v>
                </c:pt>
                <c:pt idx="106">
                  <c:v>423673.04418985272</c:v>
                </c:pt>
                <c:pt idx="107">
                  <c:v>1718415</c:v>
                </c:pt>
                <c:pt idx="108">
                  <c:v>456395.09849749581</c:v>
                </c:pt>
                <c:pt idx="109">
                  <c:v>587458.6333333333</c:v>
                </c:pt>
                <c:pt idx="110">
                  <c:v>2778916.4044002094</c:v>
                </c:pt>
                <c:pt idx="111">
                  <c:v>1813862.1113320079</c:v>
                </c:pt>
                <c:pt idx="112">
                  <c:v>300220.89312977099</c:v>
                </c:pt>
                <c:pt idx="113">
                  <c:v>1524110.4433497537</c:v>
                </c:pt>
                <c:pt idx="114">
                  <c:v>1019567.8506224067</c:v>
                </c:pt>
              </c:numCache>
            </c:numRef>
          </c:yVal>
          <c:smooth val="0"/>
          <c:extLst>
            <c:ext xmlns:c16="http://schemas.microsoft.com/office/drawing/2014/chart" uri="{C3380CC4-5D6E-409C-BE32-E72D297353CC}">
              <c16:uniqueId val="{00000002-180B-401F-97A3-EAE414B75BB2}"/>
            </c:ext>
          </c:extLst>
        </c:ser>
        <c:ser>
          <c:idx val="1"/>
          <c:order val="1"/>
          <c:tx>
            <c:v>Per Pupil Funding with WSF</c:v>
          </c:tx>
          <c:spPr>
            <a:ln w="19050">
              <a:noFill/>
            </a:ln>
          </c:spPr>
          <c:xVal>
            <c:numRef>
              <c:f>'PPT Slide 27'!$D$3:$D$117</c:f>
              <c:numCache>
                <c:formatCode>_("$"* #,##0_);_("$"* \(#,##0\);_("$"* "-"??_);_(@_)</c:formatCode>
                <c:ptCount val="115"/>
                <c:pt idx="0">
                  <c:v>6896.8362795918556</c:v>
                </c:pt>
                <c:pt idx="1">
                  <c:v>5617.7576529540202</c:v>
                </c:pt>
                <c:pt idx="2">
                  <c:v>6188.9606874437986</c:v>
                </c:pt>
                <c:pt idx="3">
                  <c:v>3161.7234366767984</c:v>
                </c:pt>
                <c:pt idx="4">
                  <c:v>4650.6566577777776</c:v>
                </c:pt>
                <c:pt idx="5">
                  <c:v>4952.0793262370171</c:v>
                </c:pt>
                <c:pt idx="6">
                  <c:v>5868.3800543690013</c:v>
                </c:pt>
                <c:pt idx="7">
                  <c:v>4478.1248570008647</c:v>
                </c:pt>
                <c:pt idx="8">
                  <c:v>6266.4922090249065</c:v>
                </c:pt>
                <c:pt idx="9">
                  <c:v>3154.8692974888759</c:v>
                </c:pt>
                <c:pt idx="10">
                  <c:v>6023.5908490774373</c:v>
                </c:pt>
                <c:pt idx="11">
                  <c:v>5842.6735547664848</c:v>
                </c:pt>
                <c:pt idx="12">
                  <c:v>6903.7050307240297</c:v>
                </c:pt>
                <c:pt idx="13">
                  <c:v>5306.3294452053233</c:v>
                </c:pt>
                <c:pt idx="14">
                  <c:v>5454.8488041548144</c:v>
                </c:pt>
                <c:pt idx="15">
                  <c:v>9618.9670343182315</c:v>
                </c:pt>
                <c:pt idx="16">
                  <c:v>7840.753941176471</c:v>
                </c:pt>
                <c:pt idx="17">
                  <c:v>4355.0370856200325</c:v>
                </c:pt>
                <c:pt idx="18">
                  <c:v>6551.0957788769274</c:v>
                </c:pt>
                <c:pt idx="19">
                  <c:v>4577.645559231195</c:v>
                </c:pt>
                <c:pt idx="20">
                  <c:v>4547.8607134587864</c:v>
                </c:pt>
                <c:pt idx="21">
                  <c:v>5879.1541072977452</c:v>
                </c:pt>
                <c:pt idx="22">
                  <c:v>336.07502173913053</c:v>
                </c:pt>
                <c:pt idx="23">
                  <c:v>5864.3630268404195</c:v>
                </c:pt>
                <c:pt idx="24">
                  <c:v>5420.3603863180851</c:v>
                </c:pt>
                <c:pt idx="25">
                  <c:v>6153.3988570123765</c:v>
                </c:pt>
                <c:pt idx="26">
                  <c:v>6980.3145055770874</c:v>
                </c:pt>
                <c:pt idx="27">
                  <c:v>6025.8512544617215</c:v>
                </c:pt>
                <c:pt idx="28">
                  <c:v>6502.321290753589</c:v>
                </c:pt>
                <c:pt idx="29">
                  <c:v>7812.2984343558282</c:v>
                </c:pt>
                <c:pt idx="30">
                  <c:v>5962.2350683667246</c:v>
                </c:pt>
                <c:pt idx="31">
                  <c:v>6271.0720391534387</c:v>
                </c:pt>
                <c:pt idx="32">
                  <c:v>5524.8170734052346</c:v>
                </c:pt>
                <c:pt idx="33">
                  <c:v>6589.0283377287287</c:v>
                </c:pt>
                <c:pt idx="34">
                  <c:v>6412.3238492402088</c:v>
                </c:pt>
                <c:pt idx="35">
                  <c:v>5808.2025593073595</c:v>
                </c:pt>
                <c:pt idx="36">
                  <c:v>5849.3972080486619</c:v>
                </c:pt>
                <c:pt idx="37">
                  <c:v>5265.4826227618023</c:v>
                </c:pt>
                <c:pt idx="38">
                  <c:v>5657.5453355011723</c:v>
                </c:pt>
                <c:pt idx="39">
                  <c:v>6136.1763835334477</c:v>
                </c:pt>
                <c:pt idx="40">
                  <c:v>7491.7594944584407</c:v>
                </c:pt>
                <c:pt idx="41">
                  <c:v>1763.9672026662456</c:v>
                </c:pt>
                <c:pt idx="42">
                  <c:v>5622.6990836749455</c:v>
                </c:pt>
                <c:pt idx="43">
                  <c:v>-879.72400000000016</c:v>
                </c:pt>
                <c:pt idx="44">
                  <c:v>5665.8534797353168</c:v>
                </c:pt>
                <c:pt idx="45">
                  <c:v>5540.0696139213833</c:v>
                </c:pt>
                <c:pt idx="46">
                  <c:v>5111.7979827653953</c:v>
                </c:pt>
                <c:pt idx="47">
                  <c:v>5118.9448079391696</c:v>
                </c:pt>
                <c:pt idx="48">
                  <c:v>5279.7350519552119</c:v>
                </c:pt>
                <c:pt idx="49">
                  <c:v>6123.3723648773375</c:v>
                </c:pt>
                <c:pt idx="50">
                  <c:v>5797.0696015059393</c:v>
                </c:pt>
                <c:pt idx="51">
                  <c:v>6199.4823320207606</c:v>
                </c:pt>
                <c:pt idx="52">
                  <c:v>6063.160239083697</c:v>
                </c:pt>
                <c:pt idx="53">
                  <c:v>5351.6004774027651</c:v>
                </c:pt>
                <c:pt idx="54">
                  <c:v>6885.0955061071263</c:v>
                </c:pt>
                <c:pt idx="55">
                  <c:v>7494.293536231884</c:v>
                </c:pt>
                <c:pt idx="56">
                  <c:v>6055.2347542676334</c:v>
                </c:pt>
                <c:pt idx="57">
                  <c:v>5568.5744118660314</c:v>
                </c:pt>
                <c:pt idx="58">
                  <c:v>6599.1884060441571</c:v>
                </c:pt>
                <c:pt idx="59">
                  <c:v>5927.1569198733687</c:v>
                </c:pt>
                <c:pt idx="60">
                  <c:v>5965.149131894952</c:v>
                </c:pt>
                <c:pt idx="61">
                  <c:v>5631.5932141671956</c:v>
                </c:pt>
                <c:pt idx="62">
                  <c:v>4966.6697720125294</c:v>
                </c:pt>
                <c:pt idx="63">
                  <c:v>5731.9369798174821</c:v>
                </c:pt>
                <c:pt idx="64">
                  <c:v>5609.8570723507464</c:v>
                </c:pt>
                <c:pt idx="65">
                  <c:v>3518.8785812227252</c:v>
                </c:pt>
                <c:pt idx="66">
                  <c:v>8349.210847909666</c:v>
                </c:pt>
                <c:pt idx="67">
                  <c:v>8067.916533886244</c:v>
                </c:pt>
                <c:pt idx="68">
                  <c:v>8545.9933245614029</c:v>
                </c:pt>
                <c:pt idx="69">
                  <c:v>7068.1348081055885</c:v>
                </c:pt>
                <c:pt idx="70">
                  <c:v>8604.1673428593349</c:v>
                </c:pt>
                <c:pt idx="71">
                  <c:v>7602.0636579830061</c:v>
                </c:pt>
                <c:pt idx="72">
                  <c:v>3634.025851917434</c:v>
                </c:pt>
                <c:pt idx="73">
                  <c:v>3951.4830855988816</c:v>
                </c:pt>
                <c:pt idx="74">
                  <c:v>7897.4535850622406</c:v>
                </c:pt>
                <c:pt idx="75">
                  <c:v>6725.1336296197132</c:v>
                </c:pt>
                <c:pt idx="76">
                  <c:v>6640.6884084469402</c:v>
                </c:pt>
                <c:pt idx="77">
                  <c:v>6111.129246431864</c:v>
                </c:pt>
                <c:pt idx="78">
                  <c:v>6009.2608204019043</c:v>
                </c:pt>
                <c:pt idx="79">
                  <c:v>6805.9736082474228</c:v>
                </c:pt>
                <c:pt idx="80">
                  <c:v>5813.2016003194813</c:v>
                </c:pt>
                <c:pt idx="81">
                  <c:v>5953.5917893746173</c:v>
                </c:pt>
                <c:pt idx="82">
                  <c:v>5772.648707553717</c:v>
                </c:pt>
                <c:pt idx="83">
                  <c:v>6816.7460037425362</c:v>
                </c:pt>
                <c:pt idx="84">
                  <c:v>6025.6022077709122</c:v>
                </c:pt>
                <c:pt idx="85">
                  <c:v>7620.1254283652115</c:v>
                </c:pt>
                <c:pt idx="86">
                  <c:v>5551.6171168342507</c:v>
                </c:pt>
                <c:pt idx="87">
                  <c:v>6019.9166881454794</c:v>
                </c:pt>
                <c:pt idx="88">
                  <c:v>887.86854545454526</c:v>
                </c:pt>
                <c:pt idx="89">
                  <c:v>7822.9711537910625</c:v>
                </c:pt>
                <c:pt idx="90">
                  <c:v>6023.1132537756075</c:v>
                </c:pt>
                <c:pt idx="91">
                  <c:v>5917.9995495050252</c:v>
                </c:pt>
                <c:pt idx="92">
                  <c:v>5331.7423279353552</c:v>
                </c:pt>
                <c:pt idx="93">
                  <c:v>5652.1626726763243</c:v>
                </c:pt>
                <c:pt idx="94">
                  <c:v>7184.2033173342752</c:v>
                </c:pt>
                <c:pt idx="95">
                  <c:v>7425.6449277777774</c:v>
                </c:pt>
                <c:pt idx="96">
                  <c:v>3381.1926486486486</c:v>
                </c:pt>
                <c:pt idx="97">
                  <c:v>8192.6601101094875</c:v>
                </c:pt>
                <c:pt idx="98">
                  <c:v>8429.3984614613237</c:v>
                </c:pt>
                <c:pt idx="99">
                  <c:v>8449.49548716358</c:v>
                </c:pt>
                <c:pt idx="100">
                  <c:v>-8987.5302222222235</c:v>
                </c:pt>
                <c:pt idx="101">
                  <c:v>6685.0845459152179</c:v>
                </c:pt>
                <c:pt idx="102">
                  <c:v>6728.7155394624924</c:v>
                </c:pt>
                <c:pt idx="103">
                  <c:v>5937.1955201808105</c:v>
                </c:pt>
                <c:pt idx="104">
                  <c:v>6387.3014611452363</c:v>
                </c:pt>
                <c:pt idx="105">
                  <c:v>5490.9986772139273</c:v>
                </c:pt>
                <c:pt idx="106">
                  <c:v>6100.3771171381813</c:v>
                </c:pt>
                <c:pt idx="107">
                  <c:v>1625.3913636363636</c:v>
                </c:pt>
                <c:pt idx="108">
                  <c:v>5564.9532259749149</c:v>
                </c:pt>
                <c:pt idx="109">
                  <c:v>6459.9615999999996</c:v>
                </c:pt>
                <c:pt idx="110">
                  <c:v>5520.6355556885928</c:v>
                </c:pt>
                <c:pt idx="111">
                  <c:v>3975.2876801012103</c:v>
                </c:pt>
                <c:pt idx="112">
                  <c:v>5424.354164125868</c:v>
                </c:pt>
                <c:pt idx="113">
                  <c:v>3573.7212151067311</c:v>
                </c:pt>
                <c:pt idx="114">
                  <c:v>2848.6678174273861</c:v>
                </c:pt>
              </c:numCache>
            </c:numRef>
          </c:xVal>
          <c:yVal>
            <c:numRef>
              <c:f>'PPT Slide 27'!$E$3:$E$117</c:f>
              <c:numCache>
                <c:formatCode>_("$"* #,##0_);_("$"* \(#,##0\);_("$"* "-"??_);_(@_)</c:formatCode>
                <c:ptCount val="115"/>
                <c:pt idx="0">
                  <c:v>619674.51389351895</c:v>
                </c:pt>
                <c:pt idx="1">
                  <c:v>393235.77083858673</c:v>
                </c:pt>
                <c:pt idx="2">
                  <c:v>230431.10611061106</c:v>
                </c:pt>
                <c:pt idx="3">
                  <c:v>1526246.865248227</c:v>
                </c:pt>
                <c:pt idx="4">
                  <c:v>646289.26222222217</c:v>
                </c:pt>
                <c:pt idx="5">
                  <c:v>498527.08620689658</c:v>
                </c:pt>
                <c:pt idx="6">
                  <c:v>268737.18504077976</c:v>
                </c:pt>
                <c:pt idx="7">
                  <c:v>729429.83838383842</c:v>
                </c:pt>
                <c:pt idx="8">
                  <c:v>503484.43076923076</c:v>
                </c:pt>
                <c:pt idx="9">
                  <c:v>1413319.4762589929</c:v>
                </c:pt>
                <c:pt idx="10">
                  <c:v>212224.77876649279</c:v>
                </c:pt>
                <c:pt idx="11">
                  <c:v>197924.50542554582</c:v>
                </c:pt>
                <c:pt idx="12">
                  <c:v>317701.36501079914</c:v>
                </c:pt>
                <c:pt idx="13">
                  <c:v>253874.53559322035</c:v>
                </c:pt>
                <c:pt idx="14">
                  <c:v>220228.36298592892</c:v>
                </c:pt>
                <c:pt idx="15">
                  <c:v>2759325.8492753622</c:v>
                </c:pt>
                <c:pt idx="16">
                  <c:v>1751558.4901960783</c:v>
                </c:pt>
                <c:pt idx="17">
                  <c:v>744388.79772079771</c:v>
                </c:pt>
                <c:pt idx="18">
                  <c:v>405247.1446028513</c:v>
                </c:pt>
                <c:pt idx="19">
                  <c:v>1417141.5482678984</c:v>
                </c:pt>
                <c:pt idx="20">
                  <c:v>1190729.1664237832</c:v>
                </c:pt>
                <c:pt idx="21">
                  <c:v>294287.05880562181</c:v>
                </c:pt>
                <c:pt idx="22">
                  <c:v>4035362.6739130435</c:v>
                </c:pt>
                <c:pt idx="23">
                  <c:v>203640.37922491593</c:v>
                </c:pt>
                <c:pt idx="24">
                  <c:v>641442.77246207697</c:v>
                </c:pt>
                <c:pt idx="25">
                  <c:v>384247.45745992602</c:v>
                </c:pt>
                <c:pt idx="26">
                  <c:v>910669.38732394367</c:v>
                </c:pt>
                <c:pt idx="27">
                  <c:v>235490.26778003556</c:v>
                </c:pt>
                <c:pt idx="28">
                  <c:v>238985.33049621244</c:v>
                </c:pt>
                <c:pt idx="29">
                  <c:v>431690.29693251534</c:v>
                </c:pt>
                <c:pt idx="30">
                  <c:v>212872.96329009108</c:v>
                </c:pt>
                <c:pt idx="31">
                  <c:v>230016.46666666667</c:v>
                </c:pt>
                <c:pt idx="32">
                  <c:v>260432</c:v>
                </c:pt>
                <c:pt idx="33">
                  <c:v>259265.48445336008</c:v>
                </c:pt>
                <c:pt idx="34">
                  <c:v>218003.26572451022</c:v>
                </c:pt>
                <c:pt idx="35">
                  <c:v>302090.23636363639</c:v>
                </c:pt>
                <c:pt idx="36">
                  <c:v>500744.63806970511</c:v>
                </c:pt>
                <c:pt idx="37">
                  <c:v>722138.38676184299</c:v>
                </c:pt>
                <c:pt idx="38">
                  <c:v>237309.57821782178</c:v>
                </c:pt>
                <c:pt idx="39">
                  <c:v>814484.32727272727</c:v>
                </c:pt>
                <c:pt idx="40">
                  <c:v>498736.65982404695</c:v>
                </c:pt>
                <c:pt idx="41">
                  <c:v>1739002.7291399229</c:v>
                </c:pt>
                <c:pt idx="42">
                  <c:v>896740.12539184955</c:v>
                </c:pt>
                <c:pt idx="43">
                  <c:v>1760574.6666666667</c:v>
                </c:pt>
                <c:pt idx="44">
                  <c:v>591203.78908188583</c:v>
                </c:pt>
                <c:pt idx="45">
                  <c:v>277980.46490627993</c:v>
                </c:pt>
                <c:pt idx="46">
                  <c:v>167066.67164723031</c:v>
                </c:pt>
                <c:pt idx="47">
                  <c:v>230161.09991311902</c:v>
                </c:pt>
                <c:pt idx="48">
                  <c:v>735363.94726840861</c:v>
                </c:pt>
                <c:pt idx="49">
                  <c:v>286990.15377650224</c:v>
                </c:pt>
                <c:pt idx="50">
                  <c:v>333503.96363636362</c:v>
                </c:pt>
                <c:pt idx="51">
                  <c:v>243032.07106598985</c:v>
                </c:pt>
                <c:pt idx="52">
                  <c:v>464796.48936170212</c:v>
                </c:pt>
                <c:pt idx="53">
                  <c:v>588518.34509803925</c:v>
                </c:pt>
                <c:pt idx="54">
                  <c:v>405508.57065217389</c:v>
                </c:pt>
                <c:pt idx="55">
                  <c:v>1271196.8405797102</c:v>
                </c:pt>
                <c:pt idx="56">
                  <c:v>717623.63044434669</c:v>
                </c:pt>
                <c:pt idx="57">
                  <c:v>177183.24906763431</c:v>
                </c:pt>
                <c:pt idx="58">
                  <c:v>192153.9896373057</c:v>
                </c:pt>
                <c:pt idx="59">
                  <c:v>278128.50592216582</c:v>
                </c:pt>
                <c:pt idx="60">
                  <c:v>287149.46631180838</c:v>
                </c:pt>
                <c:pt idx="61">
                  <c:v>352488.8801399825</c:v>
                </c:pt>
                <c:pt idx="62">
                  <c:v>705801.6765633605</c:v>
                </c:pt>
                <c:pt idx="63">
                  <c:v>534442.72347306879</c:v>
                </c:pt>
                <c:pt idx="64">
                  <c:v>418848.97678321676</c:v>
                </c:pt>
                <c:pt idx="65">
                  <c:v>3209798.4024767801</c:v>
                </c:pt>
                <c:pt idx="66">
                  <c:v>524331.92764451436</c:v>
                </c:pt>
                <c:pt idx="67">
                  <c:v>581294.35211267602</c:v>
                </c:pt>
                <c:pt idx="68">
                  <c:v>540691.55263157899</c:v>
                </c:pt>
                <c:pt idx="69">
                  <c:v>498646.84716157208</c:v>
                </c:pt>
                <c:pt idx="70">
                  <c:v>486005.91651542648</c:v>
                </c:pt>
                <c:pt idx="71">
                  <c:v>835169.55288461538</c:v>
                </c:pt>
                <c:pt idx="72">
                  <c:v>690452.71978751663</c:v>
                </c:pt>
                <c:pt idx="73">
                  <c:v>1004176.3439490446</c:v>
                </c:pt>
                <c:pt idx="74">
                  <c:v>908467.06224066392</c:v>
                </c:pt>
                <c:pt idx="75">
                  <c:v>476953.37108433736</c:v>
                </c:pt>
                <c:pt idx="76">
                  <c:v>797349.60919540224</c:v>
                </c:pt>
                <c:pt idx="77">
                  <c:v>327982.41010101011</c:v>
                </c:pt>
                <c:pt idx="78">
                  <c:v>197815.716937355</c:v>
                </c:pt>
                <c:pt idx="79">
                  <c:v>350564.09207161126</c:v>
                </c:pt>
                <c:pt idx="80">
                  <c:v>258693.66852283082</c:v>
                </c:pt>
                <c:pt idx="81">
                  <c:v>169712.9534026148</c:v>
                </c:pt>
                <c:pt idx="82">
                  <c:v>279185.65393767704</c:v>
                </c:pt>
                <c:pt idx="83">
                  <c:v>520154.8357392826</c:v>
                </c:pt>
                <c:pt idx="84">
                  <c:v>291563.76371308014</c:v>
                </c:pt>
                <c:pt idx="85">
                  <c:v>632107.59509202454</c:v>
                </c:pt>
                <c:pt idx="86">
                  <c:v>359467.9792302993</c:v>
                </c:pt>
                <c:pt idx="87">
                  <c:v>235231.89025893959</c:v>
                </c:pt>
                <c:pt idx="88">
                  <c:v>1611316.5454545454</c:v>
                </c:pt>
                <c:pt idx="89">
                  <c:v>659569.8713235294</c:v>
                </c:pt>
                <c:pt idx="90">
                  <c:v>179480.30702515176</c:v>
                </c:pt>
                <c:pt idx="91">
                  <c:v>237751.13749573525</c:v>
                </c:pt>
                <c:pt idx="92">
                  <c:v>393712.61315496097</c:v>
                </c:pt>
                <c:pt idx="93">
                  <c:v>283189.32666060055</c:v>
                </c:pt>
                <c:pt idx="94">
                  <c:v>568693.30574880994</c:v>
                </c:pt>
                <c:pt idx="95">
                  <c:v>221772.06111111111</c:v>
                </c:pt>
                <c:pt idx="96">
                  <c:v>1340773.6216216215</c:v>
                </c:pt>
                <c:pt idx="97">
                  <c:v>465463.69195612433</c:v>
                </c:pt>
                <c:pt idx="98">
                  <c:v>779538.52582159627</c:v>
                </c:pt>
                <c:pt idx="99">
                  <c:v>463242.42062689585</c:v>
                </c:pt>
                <c:pt idx="100">
                  <c:v>8747638.9629629627</c:v>
                </c:pt>
                <c:pt idx="101">
                  <c:v>812821.13906056865</c:v>
                </c:pt>
                <c:pt idx="102">
                  <c:v>336348.96021634614</c:v>
                </c:pt>
                <c:pt idx="103">
                  <c:v>452954.17686504609</c:v>
                </c:pt>
                <c:pt idx="104">
                  <c:v>295694.98577235773</c:v>
                </c:pt>
                <c:pt idx="105">
                  <c:v>222899.46118441239</c:v>
                </c:pt>
                <c:pt idx="106">
                  <c:v>423673.04418985272</c:v>
                </c:pt>
                <c:pt idx="107">
                  <c:v>1718415</c:v>
                </c:pt>
                <c:pt idx="108">
                  <c:v>456395.09849749581</c:v>
                </c:pt>
                <c:pt idx="109">
                  <c:v>587458.6333333333</c:v>
                </c:pt>
                <c:pt idx="110">
                  <c:v>2778916.4044002094</c:v>
                </c:pt>
                <c:pt idx="111">
                  <c:v>1813862.1113320079</c:v>
                </c:pt>
                <c:pt idx="112">
                  <c:v>300220.89312977099</c:v>
                </c:pt>
                <c:pt idx="113">
                  <c:v>1524110.4433497537</c:v>
                </c:pt>
                <c:pt idx="114">
                  <c:v>1019567.8506224067</c:v>
                </c:pt>
              </c:numCache>
            </c:numRef>
          </c:yVal>
          <c:smooth val="0"/>
          <c:extLst>
            <c:ext xmlns:c16="http://schemas.microsoft.com/office/drawing/2014/chart" uri="{C3380CC4-5D6E-409C-BE32-E72D297353CC}">
              <c16:uniqueId val="{00000003-180B-401F-97A3-EAE414B75BB2}"/>
            </c:ext>
          </c:extLst>
        </c:ser>
        <c:dLbls>
          <c:showLegendKey val="0"/>
          <c:showVal val="0"/>
          <c:showCatName val="0"/>
          <c:showSerName val="0"/>
          <c:showPercent val="0"/>
          <c:showBubbleSize val="0"/>
        </c:dLbls>
        <c:axId val="324839736"/>
        <c:axId val="324835472"/>
      </c:scatterChart>
      <c:valAx>
        <c:axId val="324839736"/>
        <c:scaling>
          <c:orientation val="minMax"/>
          <c:max val="20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 from WSF and Local Funds</a:t>
                </a:r>
              </a:p>
            </c:rich>
          </c:tx>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835472"/>
        <c:crosses val="autoZero"/>
        <c:crossBetween val="midCat"/>
      </c:valAx>
      <c:valAx>
        <c:axId val="324835472"/>
        <c:scaling>
          <c:orientation val="minMax"/>
          <c:max val="2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Property Wealth</a:t>
                </a:r>
              </a:p>
            </c:rich>
          </c:tx>
          <c:overlay val="0"/>
          <c:spPr>
            <a:noFill/>
            <a:ln>
              <a:noFill/>
            </a:ln>
            <a:effectLst/>
          </c:sp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839736"/>
        <c:crosses val="autoZero"/>
        <c:crossBetween val="midCat"/>
        <c:majorUnit val="500000"/>
      </c:valAx>
    </c:plotArea>
    <c:plotVisOnly val="1"/>
    <c:dispBlanksAs val="gap"/>
    <c:showDLblsOverMax val="0"/>
  </c:chart>
  <c:spPr>
    <a:ln>
      <a:solidFill>
        <a:schemeClr val="tx1">
          <a:lumMod val="25000"/>
          <a:lumOff val="75000"/>
        </a:schemeClr>
      </a:solidFill>
    </a:ln>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65617</xdr:rowOff>
    </xdr:from>
    <xdr:to>
      <xdr:col>2</xdr:col>
      <xdr:colOff>419100</xdr:colOff>
      <xdr:row>4</xdr:row>
      <xdr:rowOff>66962</xdr:rowOff>
    </xdr:to>
    <xdr:pic>
      <xdr:nvPicPr>
        <xdr:cNvPr id="2" name="Picture 1" descr="BLUUM">
          <a:extLst>
            <a:ext uri="{FF2B5EF4-FFF2-40B4-BE49-F238E27FC236}">
              <a16:creationId xmlns:a16="http://schemas.microsoft.com/office/drawing/2014/main" id="{3A35BBCE-DF35-4C44-B54F-CB8806B26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56117"/>
          <a:ext cx="2705100" cy="572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560917</xdr:colOff>
      <xdr:row>0</xdr:row>
      <xdr:rowOff>152400</xdr:rowOff>
    </xdr:from>
    <xdr:to>
      <xdr:col>8</xdr:col>
      <xdr:colOff>164677</xdr:colOff>
      <xdr:row>5</xdr:row>
      <xdr:rowOff>28575</xdr:rowOff>
    </xdr:to>
    <xdr:pic>
      <xdr:nvPicPr>
        <xdr:cNvPr id="3" name="Picture 2" descr="Image result for public impact">
          <a:extLst>
            <a:ext uri="{FF2B5EF4-FFF2-40B4-BE49-F238E27FC236}">
              <a16:creationId xmlns:a16="http://schemas.microsoft.com/office/drawing/2014/main" id="{16B3F7CD-34CB-4C1F-A34C-957BE6DBE3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8517" y="152400"/>
          <a:ext cx="2651760" cy="8286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xdr:colOff>
      <xdr:row>2</xdr:row>
      <xdr:rowOff>0</xdr:rowOff>
    </xdr:from>
    <xdr:to>
      <xdr:col>4</xdr:col>
      <xdr:colOff>57150</xdr:colOff>
      <xdr:row>9</xdr:row>
      <xdr:rowOff>38100</xdr:rowOff>
    </xdr:to>
    <xdr:graphicFrame macro="">
      <xdr:nvGraphicFramePr>
        <xdr:cNvPr id="5" name="Chart 4">
          <a:extLst>
            <a:ext uri="{FF2B5EF4-FFF2-40B4-BE49-F238E27FC236}">
              <a16:creationId xmlns:a16="http://schemas.microsoft.com/office/drawing/2014/main" id="{4350F1E0-658C-44B4-8DC0-76BC84650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xdr:row>
      <xdr:rowOff>0</xdr:rowOff>
    </xdr:from>
    <xdr:to>
      <xdr:col>7</xdr:col>
      <xdr:colOff>1028700</xdr:colOff>
      <xdr:row>8</xdr:row>
      <xdr:rowOff>66675</xdr:rowOff>
    </xdr:to>
    <xdr:graphicFrame macro="">
      <xdr:nvGraphicFramePr>
        <xdr:cNvPr id="6" name="Chart 5">
          <a:extLst>
            <a:ext uri="{FF2B5EF4-FFF2-40B4-BE49-F238E27FC236}">
              <a16:creationId xmlns:a16="http://schemas.microsoft.com/office/drawing/2014/main" id="{60AD96D1-1C69-4F95-B661-E3F649E4DF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185737</xdr:colOff>
      <xdr:row>2</xdr:row>
      <xdr:rowOff>0</xdr:rowOff>
    </xdr:from>
    <xdr:to>
      <xdr:col>10</xdr:col>
      <xdr:colOff>395287</xdr:colOff>
      <xdr:row>10</xdr:row>
      <xdr:rowOff>28575</xdr:rowOff>
    </xdr:to>
    <xdr:graphicFrame macro="">
      <xdr:nvGraphicFramePr>
        <xdr:cNvPr id="8" name="Chart 7">
          <a:extLst>
            <a:ext uri="{FF2B5EF4-FFF2-40B4-BE49-F238E27FC236}">
              <a16:creationId xmlns:a16="http://schemas.microsoft.com/office/drawing/2014/main" id="{2743C250-B5B7-4E49-8462-01AA6EF839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585786</xdr:colOff>
      <xdr:row>13</xdr:row>
      <xdr:rowOff>38100</xdr:rowOff>
    </xdr:from>
    <xdr:to>
      <xdr:col>10</xdr:col>
      <xdr:colOff>552449</xdr:colOff>
      <xdr:row>31</xdr:row>
      <xdr:rowOff>28575</xdr:rowOff>
    </xdr:to>
    <xdr:graphicFrame macro="">
      <xdr:nvGraphicFramePr>
        <xdr:cNvPr id="9" name="Chart 8">
          <a:extLst>
            <a:ext uri="{FF2B5EF4-FFF2-40B4-BE49-F238E27FC236}">
              <a16:creationId xmlns:a16="http://schemas.microsoft.com/office/drawing/2014/main" id="{78D45574-DFA7-4287-9DA8-B0024D1251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300037</xdr:colOff>
      <xdr:row>28</xdr:row>
      <xdr:rowOff>138110</xdr:rowOff>
    </xdr:from>
    <xdr:to>
      <xdr:col>41</xdr:col>
      <xdr:colOff>280987</xdr:colOff>
      <xdr:row>42</xdr:row>
      <xdr:rowOff>38099</xdr:rowOff>
    </xdr:to>
    <xdr:graphicFrame macro="">
      <xdr:nvGraphicFramePr>
        <xdr:cNvPr id="4" name="Chart 3">
          <a:extLst>
            <a:ext uri="{FF2B5EF4-FFF2-40B4-BE49-F238E27FC236}">
              <a16:creationId xmlns:a16="http://schemas.microsoft.com/office/drawing/2014/main" id="{FF19FA61-FB1F-4E22-8E9C-3F4884224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814387</xdr:colOff>
      <xdr:row>214</xdr:row>
      <xdr:rowOff>80962</xdr:rowOff>
    </xdr:from>
    <xdr:to>
      <xdr:col>26</xdr:col>
      <xdr:colOff>147637</xdr:colOff>
      <xdr:row>228</xdr:row>
      <xdr:rowOff>157162</xdr:rowOff>
    </xdr:to>
    <xdr:graphicFrame macro="">
      <xdr:nvGraphicFramePr>
        <xdr:cNvPr id="7" name="Chart 6">
          <a:extLst>
            <a:ext uri="{FF2B5EF4-FFF2-40B4-BE49-F238E27FC236}">
              <a16:creationId xmlns:a16="http://schemas.microsoft.com/office/drawing/2014/main" id="{2C3B1D64-C065-41DD-AE5F-A1D9E629EE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766762</xdr:colOff>
      <xdr:row>199</xdr:row>
      <xdr:rowOff>42862</xdr:rowOff>
    </xdr:from>
    <xdr:to>
      <xdr:col>26</xdr:col>
      <xdr:colOff>100012</xdr:colOff>
      <xdr:row>213</xdr:row>
      <xdr:rowOff>119062</xdr:rowOff>
    </xdr:to>
    <xdr:graphicFrame macro="">
      <xdr:nvGraphicFramePr>
        <xdr:cNvPr id="10" name="Chart 9">
          <a:extLst>
            <a:ext uri="{FF2B5EF4-FFF2-40B4-BE49-F238E27FC236}">
              <a16:creationId xmlns:a16="http://schemas.microsoft.com/office/drawing/2014/main" id="{3B759495-96DF-4CF1-9A97-768A8D9104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395287</xdr:colOff>
      <xdr:row>230</xdr:row>
      <xdr:rowOff>157162</xdr:rowOff>
    </xdr:from>
    <xdr:to>
      <xdr:col>27</xdr:col>
      <xdr:colOff>61912</xdr:colOff>
      <xdr:row>245</xdr:row>
      <xdr:rowOff>42862</xdr:rowOff>
    </xdr:to>
    <xdr:graphicFrame macro="">
      <xdr:nvGraphicFramePr>
        <xdr:cNvPr id="11" name="Chart 10">
          <a:extLst>
            <a:ext uri="{FF2B5EF4-FFF2-40B4-BE49-F238E27FC236}">
              <a16:creationId xmlns:a16="http://schemas.microsoft.com/office/drawing/2014/main" id="{8B912D93-C750-4683-A006-1CC846E3C7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85724</xdr:colOff>
      <xdr:row>1</xdr:row>
      <xdr:rowOff>661987</xdr:rowOff>
    </xdr:from>
    <xdr:to>
      <xdr:col>33</xdr:col>
      <xdr:colOff>581024</xdr:colOff>
      <xdr:row>15</xdr:row>
      <xdr:rowOff>166687</xdr:rowOff>
    </xdr:to>
    <xdr:graphicFrame macro="">
      <xdr:nvGraphicFramePr>
        <xdr:cNvPr id="13" name="Chart 12">
          <a:extLst>
            <a:ext uri="{FF2B5EF4-FFF2-40B4-BE49-F238E27FC236}">
              <a16:creationId xmlns:a16="http://schemas.microsoft.com/office/drawing/2014/main" id="{371B5B17-B69C-4E03-98E7-366735741C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138112</xdr:colOff>
      <xdr:row>130</xdr:row>
      <xdr:rowOff>14287</xdr:rowOff>
    </xdr:from>
    <xdr:to>
      <xdr:col>29</xdr:col>
      <xdr:colOff>357187</xdr:colOff>
      <xdr:row>144</xdr:row>
      <xdr:rowOff>90487</xdr:rowOff>
    </xdr:to>
    <xdr:graphicFrame macro="">
      <xdr:nvGraphicFramePr>
        <xdr:cNvPr id="15" name="Chart 14">
          <a:extLst>
            <a:ext uri="{FF2B5EF4-FFF2-40B4-BE49-F238E27FC236}">
              <a16:creationId xmlns:a16="http://schemas.microsoft.com/office/drawing/2014/main" id="{67EBA3DC-8FC0-46CA-B5A9-0C713F768B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109537</xdr:colOff>
      <xdr:row>135</xdr:row>
      <xdr:rowOff>138112</xdr:rowOff>
    </xdr:from>
    <xdr:to>
      <xdr:col>13</xdr:col>
      <xdr:colOff>414337</xdr:colOff>
      <xdr:row>150</xdr:row>
      <xdr:rowOff>23812</xdr:rowOff>
    </xdr:to>
    <xdr:graphicFrame macro="">
      <xdr:nvGraphicFramePr>
        <xdr:cNvPr id="2" name="Chart 1">
          <a:extLst>
            <a:ext uri="{FF2B5EF4-FFF2-40B4-BE49-F238E27FC236}">
              <a16:creationId xmlns:a16="http://schemas.microsoft.com/office/drawing/2014/main" id="{45CD079D-F53A-4C8D-90E6-FBC8D1E93B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119062</xdr:colOff>
      <xdr:row>120</xdr:row>
      <xdr:rowOff>166687</xdr:rowOff>
    </xdr:from>
    <xdr:to>
      <xdr:col>13</xdr:col>
      <xdr:colOff>423862</xdr:colOff>
      <xdr:row>135</xdr:row>
      <xdr:rowOff>52387</xdr:rowOff>
    </xdr:to>
    <xdr:graphicFrame macro="">
      <xdr:nvGraphicFramePr>
        <xdr:cNvPr id="4" name="Chart 3">
          <a:extLst>
            <a:ext uri="{FF2B5EF4-FFF2-40B4-BE49-F238E27FC236}">
              <a16:creationId xmlns:a16="http://schemas.microsoft.com/office/drawing/2014/main" id="{7822197A-7934-4A3C-8C77-F1B038A4D6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185737</xdr:colOff>
      <xdr:row>124</xdr:row>
      <xdr:rowOff>104775</xdr:rowOff>
    </xdr:from>
    <xdr:to>
      <xdr:col>18</xdr:col>
      <xdr:colOff>490537</xdr:colOff>
      <xdr:row>138</xdr:row>
      <xdr:rowOff>180975</xdr:rowOff>
    </xdr:to>
    <xdr:graphicFrame macro="">
      <xdr:nvGraphicFramePr>
        <xdr:cNvPr id="6" name="Chart 5">
          <a:extLst>
            <a:ext uri="{FF2B5EF4-FFF2-40B4-BE49-F238E27FC236}">
              <a16:creationId xmlns:a16="http://schemas.microsoft.com/office/drawing/2014/main" id="{D672AAB6-D26D-4877-BE6B-FCF391C065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419100</xdr:colOff>
      <xdr:row>2</xdr:row>
      <xdr:rowOff>28575</xdr:rowOff>
    </xdr:from>
    <xdr:to>
      <xdr:col>21</xdr:col>
      <xdr:colOff>114300</xdr:colOff>
      <xdr:row>16</xdr:row>
      <xdr:rowOff>104775</xdr:rowOff>
    </xdr:to>
    <xdr:graphicFrame macro="">
      <xdr:nvGraphicFramePr>
        <xdr:cNvPr id="8" name="Chart 7">
          <a:extLst>
            <a:ext uri="{FF2B5EF4-FFF2-40B4-BE49-F238E27FC236}">
              <a16:creationId xmlns:a16="http://schemas.microsoft.com/office/drawing/2014/main" id="{84267A0F-04E2-490C-93E0-8607477C8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266700</xdr:colOff>
      <xdr:row>139</xdr:row>
      <xdr:rowOff>95250</xdr:rowOff>
    </xdr:from>
    <xdr:to>
      <xdr:col>18</xdr:col>
      <xdr:colOff>571500</xdr:colOff>
      <xdr:row>153</xdr:row>
      <xdr:rowOff>171450</xdr:rowOff>
    </xdr:to>
    <xdr:graphicFrame macro="">
      <xdr:nvGraphicFramePr>
        <xdr:cNvPr id="13" name="Chart 12">
          <a:extLst>
            <a:ext uri="{FF2B5EF4-FFF2-40B4-BE49-F238E27FC236}">
              <a16:creationId xmlns:a16="http://schemas.microsoft.com/office/drawing/2014/main" id="{AC4DA7F1-4471-4B06-9B9A-B96AA4969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10582</xdr:colOff>
      <xdr:row>0</xdr:row>
      <xdr:rowOff>190499</xdr:rowOff>
    </xdr:from>
    <xdr:to>
      <xdr:col>2</xdr:col>
      <xdr:colOff>2857500</xdr:colOff>
      <xdr:row>4</xdr:row>
      <xdr:rowOff>31376</xdr:rowOff>
    </xdr:to>
    <xdr:pic>
      <xdr:nvPicPr>
        <xdr:cNvPr id="4" name="Picture 3" descr="BLUUM">
          <a:extLst>
            <a:ext uri="{FF2B5EF4-FFF2-40B4-BE49-F238E27FC236}">
              <a16:creationId xmlns:a16="http://schemas.microsoft.com/office/drawing/2014/main" id="{CA9C0CB7-D0C1-4EBD-AFD0-A4FE5AFF6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749" y="190499"/>
          <a:ext cx="2846918" cy="60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304800</xdr:colOff>
      <xdr:row>8</xdr:row>
      <xdr:rowOff>114300</xdr:rowOff>
    </xdr:to>
    <xdr:sp macro="" textlink="">
      <xdr:nvSpPr>
        <xdr:cNvPr id="5124" name="AutoShape 4" descr="Image result for public impact">
          <a:extLst>
            <a:ext uri="{FF2B5EF4-FFF2-40B4-BE49-F238E27FC236}">
              <a16:creationId xmlns:a16="http://schemas.microsoft.com/office/drawing/2014/main" id="{A45C9D8D-3A5E-4B52-8202-6007DB844197}"/>
            </a:ext>
          </a:extLst>
        </xdr:cNvPr>
        <xdr:cNvSpPr>
          <a:spLocks noChangeAspect="1" noChangeArrowheads="1"/>
        </xdr:cNvSpPr>
      </xdr:nvSpPr>
      <xdr:spPr bwMode="auto">
        <a:xfrm>
          <a:off x="13182600" y="14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1555748</xdr:colOff>
      <xdr:row>0</xdr:row>
      <xdr:rowOff>105832</xdr:rowOff>
    </xdr:from>
    <xdr:to>
      <xdr:col>6</xdr:col>
      <xdr:colOff>100350</xdr:colOff>
      <xdr:row>4</xdr:row>
      <xdr:rowOff>124697</xdr:rowOff>
    </xdr:to>
    <xdr:pic>
      <xdr:nvPicPr>
        <xdr:cNvPr id="7" name="Picture 6" descr="Image result for public impact">
          <a:extLst>
            <a:ext uri="{FF2B5EF4-FFF2-40B4-BE49-F238E27FC236}">
              <a16:creationId xmlns:a16="http://schemas.microsoft.com/office/drawing/2014/main" id="{1F382289-EB47-4A61-A0D5-C172C6F3EF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06165" y="105832"/>
          <a:ext cx="2904935" cy="7808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17</xdr:row>
      <xdr:rowOff>66674</xdr:rowOff>
    </xdr:from>
    <xdr:to>
      <xdr:col>5</xdr:col>
      <xdr:colOff>409575</xdr:colOff>
      <xdr:row>34</xdr:row>
      <xdr:rowOff>28574</xdr:rowOff>
    </xdr:to>
    <xdr:graphicFrame macro="">
      <xdr:nvGraphicFramePr>
        <xdr:cNvPr id="2" name="Chart 1">
          <a:extLst>
            <a:ext uri="{FF2B5EF4-FFF2-40B4-BE49-F238E27FC236}">
              <a16:creationId xmlns:a16="http://schemas.microsoft.com/office/drawing/2014/main" id="{A266F541-A3EA-48C7-8B9F-981D3B379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714375</xdr:colOff>
      <xdr:row>16</xdr:row>
      <xdr:rowOff>180975</xdr:rowOff>
    </xdr:from>
    <xdr:to>
      <xdr:col>11</xdr:col>
      <xdr:colOff>514350</xdr:colOff>
      <xdr:row>33</xdr:row>
      <xdr:rowOff>142876</xdr:rowOff>
    </xdr:to>
    <xdr:graphicFrame macro="">
      <xdr:nvGraphicFramePr>
        <xdr:cNvPr id="3" name="Chart 2">
          <a:extLst>
            <a:ext uri="{FF2B5EF4-FFF2-40B4-BE49-F238E27FC236}">
              <a16:creationId xmlns:a16="http://schemas.microsoft.com/office/drawing/2014/main" id="{C3FF755F-5C1F-4B0F-B6CB-26A77BD62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xdr:colOff>
      <xdr:row>39</xdr:row>
      <xdr:rowOff>1</xdr:rowOff>
    </xdr:from>
    <xdr:to>
      <xdr:col>19</xdr:col>
      <xdr:colOff>0</xdr:colOff>
      <xdr:row>51</xdr:row>
      <xdr:rowOff>152400</xdr:rowOff>
    </xdr:to>
    <xdr:graphicFrame macro="">
      <xdr:nvGraphicFramePr>
        <xdr:cNvPr id="4" name="Chart 3">
          <a:extLst>
            <a:ext uri="{FF2B5EF4-FFF2-40B4-BE49-F238E27FC236}">
              <a16:creationId xmlns:a16="http://schemas.microsoft.com/office/drawing/2014/main" id="{CBC9E4DB-7A42-4F70-97FE-119E5DC4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583405</xdr:colOff>
      <xdr:row>58</xdr:row>
      <xdr:rowOff>188119</xdr:rowOff>
    </xdr:from>
    <xdr:to>
      <xdr:col>4</xdr:col>
      <xdr:colOff>1309688</xdr:colOff>
      <xdr:row>75</xdr:row>
      <xdr:rowOff>71437</xdr:rowOff>
    </xdr:to>
    <xdr:graphicFrame macro="">
      <xdr:nvGraphicFramePr>
        <xdr:cNvPr id="2" name="Chart 1">
          <a:extLst>
            <a:ext uri="{FF2B5EF4-FFF2-40B4-BE49-F238E27FC236}">
              <a16:creationId xmlns:a16="http://schemas.microsoft.com/office/drawing/2014/main" id="{6EB872A8-9D07-4906-9A13-B81C334756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78578</xdr:colOff>
      <xdr:row>26</xdr:row>
      <xdr:rowOff>338134</xdr:rowOff>
    </xdr:from>
    <xdr:to>
      <xdr:col>11</xdr:col>
      <xdr:colOff>1000123</xdr:colOff>
      <xdr:row>42</xdr:row>
      <xdr:rowOff>71434</xdr:rowOff>
    </xdr:to>
    <xdr:graphicFrame macro="">
      <xdr:nvGraphicFramePr>
        <xdr:cNvPr id="8" name="Chart 7">
          <a:extLst>
            <a:ext uri="{FF2B5EF4-FFF2-40B4-BE49-F238E27FC236}">
              <a16:creationId xmlns:a16="http://schemas.microsoft.com/office/drawing/2014/main" id="{50B96293-74CD-4B77-8B23-065AF858C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1007266</xdr:colOff>
      <xdr:row>72</xdr:row>
      <xdr:rowOff>133349</xdr:rowOff>
    </xdr:from>
    <xdr:to>
      <xdr:col>4</xdr:col>
      <xdr:colOff>1202531</xdr:colOff>
      <xdr:row>75</xdr:row>
      <xdr:rowOff>35718</xdr:rowOff>
    </xdr:to>
    <xdr:sp macro="" textlink="">
      <xdr:nvSpPr>
        <xdr:cNvPr id="4" name="TextBox 3">
          <a:extLst>
            <a:ext uri="{FF2B5EF4-FFF2-40B4-BE49-F238E27FC236}">
              <a16:creationId xmlns:a16="http://schemas.microsoft.com/office/drawing/2014/main" id="{10CDB8FB-CD69-478A-8246-FFF070CA97CF}"/>
            </a:ext>
          </a:extLst>
        </xdr:cNvPr>
        <xdr:cNvSpPr txBox="1"/>
      </xdr:nvSpPr>
      <xdr:spPr>
        <a:xfrm>
          <a:off x="1614485" y="14087474"/>
          <a:ext cx="5600702" cy="4738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DIstricts	            Small Districts                           Medium to</a:t>
          </a:r>
          <a:r>
            <a:rPr lang="en-US" sz="1100" baseline="0"/>
            <a:t>                    </a:t>
          </a:r>
          <a:r>
            <a:rPr lang="en-US" sz="1100"/>
            <a:t>Charter Schools</a:t>
          </a:r>
        </a:p>
        <a:p>
          <a:r>
            <a:rPr lang="en-US" sz="1100"/>
            <a:t>                                	</a:t>
          </a:r>
          <a:r>
            <a:rPr lang="en-US" sz="1100" baseline="0"/>
            <a:t>                                </a:t>
          </a:r>
          <a:r>
            <a:rPr lang="en-US" sz="1100">
              <a:solidFill>
                <a:schemeClr val="dk1"/>
              </a:solidFill>
              <a:effectLst/>
              <a:latin typeface="+mn-lt"/>
              <a:ea typeface="+mn-ea"/>
              <a:cs typeface="+mn-cs"/>
            </a:rPr>
            <a:t>Large Districts</a:t>
          </a:r>
          <a:endParaRPr lang="en-US" sz="1100"/>
        </a:p>
      </xdr:txBody>
    </xdr:sp>
    <xdr:clientData/>
  </xdr:twoCellAnchor>
  <xdr:twoCellAnchor>
    <xdr:from>
      <xdr:col>6</xdr:col>
      <xdr:colOff>4764</xdr:colOff>
      <xdr:row>42</xdr:row>
      <xdr:rowOff>71438</xdr:rowOff>
    </xdr:from>
    <xdr:to>
      <xdr:col>11</xdr:col>
      <xdr:colOff>1000125</xdr:colOff>
      <xdr:row>58</xdr:row>
      <xdr:rowOff>4761</xdr:rowOff>
    </xdr:to>
    <xdr:graphicFrame macro="">
      <xdr:nvGraphicFramePr>
        <xdr:cNvPr id="9" name="Chart 8">
          <a:extLst>
            <a:ext uri="{FF2B5EF4-FFF2-40B4-BE49-F238E27FC236}">
              <a16:creationId xmlns:a16="http://schemas.microsoft.com/office/drawing/2014/main" id="{B6459B59-825B-4453-8444-C5719C8DF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xdr:row>
      <xdr:rowOff>84668</xdr:rowOff>
    </xdr:from>
    <xdr:to>
      <xdr:col>2</xdr:col>
      <xdr:colOff>650575</xdr:colOff>
      <xdr:row>5</xdr:row>
      <xdr:rowOff>0</xdr:rowOff>
    </xdr:to>
    <xdr:pic>
      <xdr:nvPicPr>
        <xdr:cNvPr id="7" name="Picture 6" descr="BLUUM">
          <a:extLst>
            <a:ext uri="{FF2B5EF4-FFF2-40B4-BE49-F238E27FC236}">
              <a16:creationId xmlns:a16="http://schemas.microsoft.com/office/drawing/2014/main" id="{3900C9CA-B8F4-4F1B-BD34-3C06A95F1F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7219" y="275168"/>
          <a:ext cx="3198512" cy="67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310886</xdr:colOff>
      <xdr:row>0</xdr:row>
      <xdr:rowOff>154781</xdr:rowOff>
    </xdr:from>
    <xdr:to>
      <xdr:col>12</xdr:col>
      <xdr:colOff>843332</xdr:colOff>
      <xdr:row>5</xdr:row>
      <xdr:rowOff>30956</xdr:rowOff>
    </xdr:to>
    <xdr:pic>
      <xdr:nvPicPr>
        <xdr:cNvPr id="11" name="Picture 10" descr="Image result for public impact">
          <a:extLst>
            <a:ext uri="{FF2B5EF4-FFF2-40B4-BE49-F238E27FC236}">
              <a16:creationId xmlns:a16="http://schemas.microsoft.com/office/drawing/2014/main" id="{67D29030-4A29-4562-A62E-E732CA0F54D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71980" y="154781"/>
          <a:ext cx="2651760" cy="8286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497</xdr:col>
      <xdr:colOff>201083</xdr:colOff>
      <xdr:row>176</xdr:row>
      <xdr:rowOff>184148</xdr:rowOff>
    </xdr:from>
    <xdr:to>
      <xdr:col>502</xdr:col>
      <xdr:colOff>148166</xdr:colOff>
      <xdr:row>191</xdr:row>
      <xdr:rowOff>69848</xdr:rowOff>
    </xdr:to>
    <xdr:graphicFrame macro="">
      <xdr:nvGraphicFramePr>
        <xdr:cNvPr id="3" name="Chart 2">
          <a:extLst>
            <a:ext uri="{FF2B5EF4-FFF2-40B4-BE49-F238E27FC236}">
              <a16:creationId xmlns:a16="http://schemas.microsoft.com/office/drawing/2014/main" id="{FA866692-A5AC-4BAB-B9AB-F78CAEF655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103717</xdr:rowOff>
    </xdr:from>
    <xdr:to>
      <xdr:col>5</xdr:col>
      <xdr:colOff>266700</xdr:colOff>
      <xdr:row>4</xdr:row>
      <xdr:rowOff>105062</xdr:rowOff>
    </xdr:to>
    <xdr:pic>
      <xdr:nvPicPr>
        <xdr:cNvPr id="2" name="Picture 1" descr="BLUUM">
          <a:extLst>
            <a:ext uri="{FF2B5EF4-FFF2-40B4-BE49-F238E27FC236}">
              <a16:creationId xmlns:a16="http://schemas.microsoft.com/office/drawing/2014/main" id="{65F8B60E-191D-4FA7-9082-E0C1CE9DF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4217"/>
          <a:ext cx="2705100" cy="572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408517</xdr:colOff>
      <xdr:row>1</xdr:row>
      <xdr:rowOff>0</xdr:rowOff>
    </xdr:from>
    <xdr:to>
      <xdr:col>11</xdr:col>
      <xdr:colOff>12277</xdr:colOff>
      <xdr:row>5</xdr:row>
      <xdr:rowOff>66675</xdr:rowOff>
    </xdr:to>
    <xdr:pic>
      <xdr:nvPicPr>
        <xdr:cNvPr id="3" name="Picture 2" descr="Image result for public impact">
          <a:extLst>
            <a:ext uri="{FF2B5EF4-FFF2-40B4-BE49-F238E27FC236}">
              <a16:creationId xmlns:a16="http://schemas.microsoft.com/office/drawing/2014/main" id="{4CA98070-3DC9-4B80-AD36-A29FDB44594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6117" y="190500"/>
          <a:ext cx="2651760" cy="8286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61912</xdr:colOff>
      <xdr:row>7</xdr:row>
      <xdr:rowOff>176212</xdr:rowOff>
    </xdr:from>
    <xdr:to>
      <xdr:col>13</xdr:col>
      <xdr:colOff>366712</xdr:colOff>
      <xdr:row>22</xdr:row>
      <xdr:rowOff>61912</xdr:rowOff>
    </xdr:to>
    <xdr:graphicFrame macro="">
      <xdr:nvGraphicFramePr>
        <xdr:cNvPr id="4" name="Chart 3">
          <a:extLst>
            <a:ext uri="{FF2B5EF4-FFF2-40B4-BE49-F238E27FC236}">
              <a16:creationId xmlns:a16="http://schemas.microsoft.com/office/drawing/2014/main" id="{629D883F-8B76-4DC9-8DE1-3A97A75E32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1219200</xdr:colOff>
      <xdr:row>23</xdr:row>
      <xdr:rowOff>157162</xdr:rowOff>
    </xdr:from>
    <xdr:to>
      <xdr:col>13</xdr:col>
      <xdr:colOff>285750</xdr:colOff>
      <xdr:row>38</xdr:row>
      <xdr:rowOff>42862</xdr:rowOff>
    </xdr:to>
    <xdr:graphicFrame macro="">
      <xdr:nvGraphicFramePr>
        <xdr:cNvPr id="6" name="Chart 5">
          <a:extLst>
            <a:ext uri="{FF2B5EF4-FFF2-40B4-BE49-F238E27FC236}">
              <a16:creationId xmlns:a16="http://schemas.microsoft.com/office/drawing/2014/main" id="{7A618EC1-A9AF-40FE-B9DF-64FDC32A9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142875</xdr:colOff>
      <xdr:row>14</xdr:row>
      <xdr:rowOff>169069</xdr:rowOff>
    </xdr:from>
    <xdr:to>
      <xdr:col>9</xdr:col>
      <xdr:colOff>440532</xdr:colOff>
      <xdr:row>30</xdr:row>
      <xdr:rowOff>130969</xdr:rowOff>
    </xdr:to>
    <xdr:graphicFrame macro="">
      <xdr:nvGraphicFramePr>
        <xdr:cNvPr id="2" name="Chart 1">
          <a:extLst>
            <a:ext uri="{FF2B5EF4-FFF2-40B4-BE49-F238E27FC236}">
              <a16:creationId xmlns:a16="http://schemas.microsoft.com/office/drawing/2014/main" id="{B8A74A14-257E-41C3-A063-0EDA99097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4760</xdr:colOff>
      <xdr:row>47</xdr:row>
      <xdr:rowOff>92868</xdr:rowOff>
    </xdr:from>
    <xdr:to>
      <xdr:col>4</xdr:col>
      <xdr:colOff>1333500</xdr:colOff>
      <xdr:row>64</xdr:row>
      <xdr:rowOff>142874</xdr:rowOff>
    </xdr:to>
    <xdr:graphicFrame macro="">
      <xdr:nvGraphicFramePr>
        <xdr:cNvPr id="3" name="Chart 2">
          <a:extLst>
            <a:ext uri="{FF2B5EF4-FFF2-40B4-BE49-F238E27FC236}">
              <a16:creationId xmlns:a16="http://schemas.microsoft.com/office/drawing/2014/main" id="{8A1AC89C-FFB8-4CBC-BD2F-993F6744B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757236</xdr:colOff>
      <xdr:row>62</xdr:row>
      <xdr:rowOff>26193</xdr:rowOff>
    </xdr:from>
    <xdr:to>
      <xdr:col>4</xdr:col>
      <xdr:colOff>1285875</xdr:colOff>
      <xdr:row>64</xdr:row>
      <xdr:rowOff>119062</xdr:rowOff>
    </xdr:to>
    <xdr:sp macro="" textlink="">
      <xdr:nvSpPr>
        <xdr:cNvPr id="4" name="TextBox 3">
          <a:extLst>
            <a:ext uri="{FF2B5EF4-FFF2-40B4-BE49-F238E27FC236}">
              <a16:creationId xmlns:a16="http://schemas.microsoft.com/office/drawing/2014/main" id="{698DC6D7-259E-4D7E-A87C-C7FF8A2C4261}"/>
            </a:ext>
          </a:extLst>
        </xdr:cNvPr>
        <xdr:cNvSpPr txBox="1"/>
      </xdr:nvSpPr>
      <xdr:spPr>
        <a:xfrm>
          <a:off x="1364455" y="11956256"/>
          <a:ext cx="5291139" cy="4738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DIstricts	            Small Districts                     Medium to</a:t>
          </a:r>
          <a:r>
            <a:rPr lang="en-US" sz="1100" baseline="0"/>
            <a:t>              </a:t>
          </a:r>
          <a:r>
            <a:rPr lang="en-US" sz="1100"/>
            <a:t>Charter Schools</a:t>
          </a:r>
        </a:p>
        <a:p>
          <a:r>
            <a:rPr lang="en-US" sz="1100"/>
            <a:t>                                	</a:t>
          </a:r>
          <a:r>
            <a:rPr lang="en-US" sz="1100" baseline="0"/>
            <a:t>                          </a:t>
          </a:r>
          <a:r>
            <a:rPr lang="en-US" sz="1100">
              <a:solidFill>
                <a:schemeClr val="dk1"/>
              </a:solidFill>
              <a:effectLst/>
              <a:latin typeface="+mn-lt"/>
              <a:ea typeface="+mn-ea"/>
              <a:cs typeface="+mn-cs"/>
            </a:rPr>
            <a:t>Large Districts</a:t>
          </a:r>
          <a:endParaRPr lang="en-US" sz="1100"/>
        </a:p>
      </xdr:txBody>
    </xdr:sp>
    <xdr:clientData/>
  </xdr:twoCellAnchor>
  <xdr:twoCellAnchor>
    <xdr:from>
      <xdr:col>9</xdr:col>
      <xdr:colOff>578644</xdr:colOff>
      <xdr:row>14</xdr:row>
      <xdr:rowOff>180975</xdr:rowOff>
    </xdr:from>
    <xdr:to>
      <xdr:col>16</xdr:col>
      <xdr:colOff>64294</xdr:colOff>
      <xdr:row>30</xdr:row>
      <xdr:rowOff>154780</xdr:rowOff>
    </xdr:to>
    <xdr:graphicFrame macro="">
      <xdr:nvGraphicFramePr>
        <xdr:cNvPr id="5" name="Chart 4">
          <a:extLst>
            <a:ext uri="{FF2B5EF4-FFF2-40B4-BE49-F238E27FC236}">
              <a16:creationId xmlns:a16="http://schemas.microsoft.com/office/drawing/2014/main" id="{B113E691-E0E6-4171-8F39-A11745985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547687</xdr:colOff>
      <xdr:row>31</xdr:row>
      <xdr:rowOff>119060</xdr:rowOff>
    </xdr:from>
    <xdr:to>
      <xdr:col>16</xdr:col>
      <xdr:colOff>35718</xdr:colOff>
      <xdr:row>46</xdr:row>
      <xdr:rowOff>178591</xdr:rowOff>
    </xdr:to>
    <xdr:graphicFrame macro="">
      <xdr:nvGraphicFramePr>
        <xdr:cNvPr id="6" name="Chart 5">
          <a:extLst>
            <a:ext uri="{FF2B5EF4-FFF2-40B4-BE49-F238E27FC236}">
              <a16:creationId xmlns:a16="http://schemas.microsoft.com/office/drawing/2014/main" id="{B98BD560-4AEE-4AE2-808D-74DC136AB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457200</xdr:colOff>
      <xdr:row>2</xdr:row>
      <xdr:rowOff>76200</xdr:rowOff>
    </xdr:from>
    <xdr:to>
      <xdr:col>15</xdr:col>
      <xdr:colOff>152400</xdr:colOff>
      <xdr:row>16</xdr:row>
      <xdr:rowOff>152400</xdr:rowOff>
    </xdr:to>
    <xdr:graphicFrame macro="">
      <xdr:nvGraphicFramePr>
        <xdr:cNvPr id="3" name="Chart 2">
          <a:extLst>
            <a:ext uri="{FF2B5EF4-FFF2-40B4-BE49-F238E27FC236}">
              <a16:creationId xmlns:a16="http://schemas.microsoft.com/office/drawing/2014/main" id="{88058A6A-93AD-49C9-B864-EBF22E8930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sde.idaho.gov/finance/" TargetMode="External"/><Relationship Id="rId2" Type="http://schemas.openxmlformats.org/officeDocument/2006/relationships/hyperlink" Target="http://apps.sde.idaho.gov/CFSGA/ViewReport?reportName=Title1SchoolStatus&amp;selectedYear=2014-2015" TargetMode="External"/><Relationship Id="rId1" Type="http://schemas.openxmlformats.org/officeDocument/2006/relationships/hyperlink" Target="http://www.sde.idaho.gov/financ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20"/>
  <sheetViews>
    <sheetView tabSelected="1" workbookViewId="0">
      <selection activeCell="B23" sqref="B23"/>
    </sheetView>
  </sheetViews>
  <sheetFormatPr defaultColWidth="9.1796875" defaultRowHeight="14.5"/>
  <cols>
    <col min="1" max="1" width="4.453125" style="40" customWidth="1"/>
    <col min="2" max="2" width="36.54296875" style="40" bestFit="1" customWidth="1"/>
    <col min="3" max="10" width="9.1796875" style="40"/>
    <col min="11" max="11" width="4.26953125" style="40" customWidth="1"/>
    <col min="12" max="16384" width="9.1796875" style="40"/>
  </cols>
  <sheetData>
    <row r="6" spans="2:11" ht="15" thickBot="1"/>
    <row r="7" spans="2:11">
      <c r="B7" s="780"/>
      <c r="C7" s="781"/>
      <c r="D7" s="781"/>
      <c r="E7" s="781"/>
      <c r="F7" s="781"/>
      <c r="G7" s="781"/>
      <c r="H7" s="781"/>
      <c r="I7" s="781"/>
      <c r="J7" s="781"/>
      <c r="K7" s="782"/>
    </row>
    <row r="8" spans="2:11" ht="20">
      <c r="B8" s="783" t="s">
        <v>267</v>
      </c>
      <c r="C8" s="351"/>
      <c r="D8" s="351"/>
      <c r="E8" s="351"/>
      <c r="F8" s="351"/>
      <c r="G8" s="351"/>
      <c r="H8" s="351"/>
      <c r="I8" s="351"/>
      <c r="J8" s="351"/>
      <c r="K8" s="776"/>
    </row>
    <row r="9" spans="2:11">
      <c r="B9" s="784"/>
      <c r="C9" s="351"/>
      <c r="D9" s="351"/>
      <c r="E9" s="351"/>
      <c r="F9" s="351"/>
      <c r="G9" s="351"/>
      <c r="H9" s="351"/>
      <c r="I9" s="351"/>
      <c r="J9" s="351"/>
      <c r="K9" s="776"/>
    </row>
    <row r="10" spans="2:11" ht="30" customHeight="1">
      <c r="B10" s="935" t="s">
        <v>2754</v>
      </c>
      <c r="C10" s="936"/>
      <c r="D10" s="936"/>
      <c r="E10" s="936"/>
      <c r="F10" s="936"/>
      <c r="G10" s="936"/>
      <c r="H10" s="936"/>
      <c r="I10" s="936"/>
      <c r="J10" s="936"/>
      <c r="K10" s="776"/>
    </row>
    <row r="11" spans="2:11">
      <c r="B11" s="775"/>
      <c r="C11" s="351"/>
      <c r="D11" s="351"/>
      <c r="E11" s="351"/>
      <c r="F11" s="351"/>
      <c r="G11" s="351"/>
      <c r="H11" s="351"/>
      <c r="I11" s="351"/>
      <c r="J11" s="351"/>
      <c r="K11" s="776"/>
    </row>
    <row r="12" spans="2:11" ht="33.75" customHeight="1">
      <c r="B12" s="935" t="s">
        <v>2751</v>
      </c>
      <c r="C12" s="936"/>
      <c r="D12" s="936"/>
      <c r="E12" s="936"/>
      <c r="F12" s="936"/>
      <c r="G12" s="936"/>
      <c r="H12" s="936"/>
      <c r="I12" s="936"/>
      <c r="J12" s="936"/>
      <c r="K12" s="776"/>
    </row>
    <row r="13" spans="2:11" ht="12" customHeight="1">
      <c r="B13" s="777"/>
      <c r="C13" s="778"/>
      <c r="D13" s="778"/>
      <c r="E13" s="778"/>
      <c r="F13" s="778"/>
      <c r="G13" s="778"/>
      <c r="H13" s="778"/>
      <c r="I13" s="778"/>
      <c r="J13" s="778"/>
      <c r="K13" s="776"/>
    </row>
    <row r="14" spans="2:11">
      <c r="B14" s="779" t="s">
        <v>2752</v>
      </c>
      <c r="C14" s="351"/>
      <c r="D14" s="351"/>
      <c r="E14" s="351"/>
      <c r="F14" s="351"/>
      <c r="G14" s="351"/>
      <c r="H14" s="351"/>
      <c r="I14" s="351"/>
      <c r="J14" s="351"/>
      <c r="K14" s="776"/>
    </row>
    <row r="15" spans="2:11">
      <c r="B15" s="775"/>
      <c r="C15" s="351"/>
      <c r="D15" s="351"/>
      <c r="E15" s="351"/>
      <c r="F15" s="351"/>
      <c r="G15" s="351"/>
      <c r="H15" s="351"/>
      <c r="I15" s="351"/>
      <c r="J15" s="351"/>
      <c r="K15" s="776"/>
    </row>
    <row r="16" spans="2:11" ht="33.75" customHeight="1">
      <c r="B16" s="937" t="s">
        <v>2753</v>
      </c>
      <c r="C16" s="936"/>
      <c r="D16" s="936"/>
      <c r="E16" s="936"/>
      <c r="F16" s="936"/>
      <c r="G16" s="936"/>
      <c r="H16" s="936"/>
      <c r="I16" s="936"/>
      <c r="J16" s="936"/>
      <c r="K16" s="776"/>
    </row>
    <row r="17" spans="2:11">
      <c r="B17" s="775"/>
      <c r="C17" s="351"/>
      <c r="D17" s="351"/>
      <c r="E17" s="351"/>
      <c r="F17" s="351"/>
      <c r="G17" s="351"/>
      <c r="H17" s="351"/>
      <c r="I17" s="351"/>
      <c r="J17" s="351"/>
      <c r="K17" s="776"/>
    </row>
    <row r="18" spans="2:11" ht="15" thickBot="1">
      <c r="B18" s="785"/>
      <c r="C18" s="786"/>
      <c r="D18" s="786"/>
      <c r="E18" s="786"/>
      <c r="F18" s="786"/>
      <c r="G18" s="786"/>
      <c r="H18" s="786"/>
      <c r="I18" s="786"/>
      <c r="J18" s="786"/>
      <c r="K18" s="787"/>
    </row>
    <row r="20" spans="2:11" ht="30" customHeight="1">
      <c r="B20" s="938" t="s">
        <v>2755</v>
      </c>
      <c r="C20" s="938"/>
      <c r="D20" s="938"/>
      <c r="E20" s="938"/>
      <c r="F20" s="938"/>
      <c r="G20" s="938"/>
      <c r="H20" s="938"/>
      <c r="I20" s="938"/>
      <c r="J20" s="938"/>
    </row>
  </sheetData>
  <mergeCells count="4">
    <mergeCell ref="B10:J10"/>
    <mergeCell ref="B12:J12"/>
    <mergeCell ref="B16:J16"/>
    <mergeCell ref="B20:J2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8"/>
  <sheetViews>
    <sheetView topLeftCell="A145" workbookViewId="0">
      <selection activeCell="G3" sqref="G3:G156"/>
    </sheetView>
  </sheetViews>
  <sheetFormatPr defaultRowHeight="14.5"/>
  <cols>
    <col min="2" max="2" width="35.81640625" customWidth="1"/>
    <col min="3" max="7" width="22.453125" customWidth="1"/>
  </cols>
  <sheetData>
    <row r="2" spans="2:7" ht="29">
      <c r="B2" s="285" t="s">
        <v>1185</v>
      </c>
      <c r="C2" s="286" t="s">
        <v>1345</v>
      </c>
      <c r="D2" s="286" t="s">
        <v>1378</v>
      </c>
      <c r="E2" s="288" t="s">
        <v>1377</v>
      </c>
      <c r="F2" s="286" t="s">
        <v>1341</v>
      </c>
      <c r="G2" s="286" t="s">
        <v>1379</v>
      </c>
    </row>
    <row r="3" spans="2:7">
      <c r="B3" s="2" t="s">
        <v>97</v>
      </c>
      <c r="C3" s="287">
        <v>0.3524982351556985</v>
      </c>
      <c r="D3" s="200">
        <v>10197.474874164534</v>
      </c>
      <c r="E3" s="124">
        <v>24238</v>
      </c>
      <c r="F3" s="200">
        <v>694830.44376598729</v>
      </c>
      <c r="G3" s="200">
        <v>8909.9439250803298</v>
      </c>
    </row>
    <row r="4" spans="2:7">
      <c r="B4" s="2" t="s">
        <v>99</v>
      </c>
      <c r="C4" s="287">
        <v>0.26971913320101143</v>
      </c>
      <c r="D4" s="200">
        <v>8072.8495030219701</v>
      </c>
      <c r="E4" s="124">
        <v>34911</v>
      </c>
      <c r="F4" s="200">
        <v>435012.0196213228</v>
      </c>
      <c r="G4" s="200">
        <v>7649.784059194134</v>
      </c>
    </row>
    <row r="5" spans="2:7">
      <c r="B5" s="2" t="s">
        <v>102</v>
      </c>
      <c r="C5" s="287">
        <v>0.40529575058723039</v>
      </c>
      <c r="D5" s="200">
        <v>7893.825562372188</v>
      </c>
      <c r="E5" s="124">
        <v>4890</v>
      </c>
      <c r="F5" s="200">
        <v>253724.48773006134</v>
      </c>
      <c r="G5" s="200">
        <v>8728.0113325957846</v>
      </c>
    </row>
    <row r="6" spans="2:7">
      <c r="B6" s="2" t="s">
        <v>103</v>
      </c>
      <c r="C6" s="287">
        <v>0.65189873417721522</v>
      </c>
      <c r="D6" s="200">
        <v>14978</v>
      </c>
      <c r="E6" s="124">
        <v>140</v>
      </c>
      <c r="F6" s="200">
        <v>1624694.55</v>
      </c>
      <c r="G6" s="200">
        <v>14978</v>
      </c>
    </row>
    <row r="7" spans="2:7">
      <c r="B7" s="2" t="s">
        <v>104</v>
      </c>
      <c r="C7" s="287">
        <v>0.54085603112840464</v>
      </c>
      <c r="D7" s="200">
        <v>10321.101265822785</v>
      </c>
      <c r="E7" s="124">
        <v>237</v>
      </c>
      <c r="F7" s="200">
        <v>655846.20253164554</v>
      </c>
      <c r="G7" s="200">
        <v>10321.101265822785</v>
      </c>
    </row>
    <row r="8" spans="2:7">
      <c r="B8" s="2" t="s">
        <v>105</v>
      </c>
      <c r="C8" s="287">
        <v>0.48328025477707004</v>
      </c>
      <c r="D8" s="200">
        <v>8450.7289719626169</v>
      </c>
      <c r="E8" s="124">
        <v>1177</v>
      </c>
      <c r="F8" s="200">
        <v>535613.07731520815</v>
      </c>
      <c r="G8" s="200">
        <v>7776.2943186725479</v>
      </c>
    </row>
    <row r="9" spans="2:7">
      <c r="B9" s="2" t="s">
        <v>106</v>
      </c>
      <c r="C9" s="287">
        <v>0.49444620755315771</v>
      </c>
      <c r="D9" s="200">
        <v>7851.5888650963598</v>
      </c>
      <c r="E9" s="124">
        <v>11675</v>
      </c>
      <c r="F9" s="200">
        <v>288140.12419700215</v>
      </c>
      <c r="G9" s="200">
        <v>8744.6023004106737</v>
      </c>
    </row>
    <row r="10" spans="2:7">
      <c r="B10" s="2" t="s">
        <v>108</v>
      </c>
      <c r="C10" s="287">
        <v>0.46146872166817771</v>
      </c>
      <c r="D10" s="200">
        <v>8717.6010101010106</v>
      </c>
      <c r="E10" s="124">
        <v>990</v>
      </c>
      <c r="F10" s="200">
        <v>825628.6</v>
      </c>
      <c r="G10" s="200">
        <v>6587.1153222671146</v>
      </c>
    </row>
    <row r="11" spans="2:7">
      <c r="B11" s="2" t="s">
        <v>109</v>
      </c>
      <c r="C11" s="287">
        <v>0.50708833151581245</v>
      </c>
      <c r="D11" s="200">
        <v>10439.495848161328</v>
      </c>
      <c r="E11" s="124">
        <v>843</v>
      </c>
      <c r="F11" s="200">
        <v>534803.24436536175</v>
      </c>
      <c r="G11" s="200">
        <v>9632.0645928057602</v>
      </c>
    </row>
    <row r="12" spans="2:7">
      <c r="B12" s="2" t="s">
        <v>110</v>
      </c>
      <c r="C12" s="287">
        <v>0.67791411042944782</v>
      </c>
      <c r="D12" s="200">
        <v>18033.351535836176</v>
      </c>
      <c r="E12" s="124">
        <v>293</v>
      </c>
      <c r="F12" s="200">
        <v>1736504.5665529009</v>
      </c>
      <c r="G12" s="200">
        <v>18033.351535836176</v>
      </c>
    </row>
    <row r="13" spans="2:7">
      <c r="B13" s="2" t="s">
        <v>111</v>
      </c>
      <c r="C13" s="287">
        <v>0.44536326048434732</v>
      </c>
      <c r="D13" s="200">
        <v>8421.7719072164946</v>
      </c>
      <c r="E13" s="124">
        <v>1552</v>
      </c>
      <c r="F13" s="200">
        <v>224672.35051546391</v>
      </c>
      <c r="G13" s="200">
        <v>8987.9126636117762</v>
      </c>
    </row>
    <row r="14" spans="2:7">
      <c r="B14" s="2" t="s">
        <v>112</v>
      </c>
      <c r="C14" s="287">
        <v>0.56882480957562565</v>
      </c>
      <c r="D14" s="200">
        <v>8217.2696877590497</v>
      </c>
      <c r="E14" s="124">
        <v>3619</v>
      </c>
      <c r="F14" s="200">
        <v>208656.08234318873</v>
      </c>
      <c r="G14" s="200">
        <v>9441.9549432330605</v>
      </c>
    </row>
    <row r="15" spans="2:7">
      <c r="B15" s="2" t="s">
        <v>113</v>
      </c>
      <c r="C15" s="287">
        <v>0.70292887029288698</v>
      </c>
      <c r="D15" s="200">
        <v>10739.219548872181</v>
      </c>
      <c r="E15" s="124">
        <v>665</v>
      </c>
      <c r="F15" s="200">
        <v>320175.05263157893</v>
      </c>
      <c r="G15" s="200">
        <v>11115.739760064505</v>
      </c>
    </row>
    <row r="16" spans="2:7">
      <c r="B16" s="2" t="s">
        <v>114</v>
      </c>
      <c r="C16" s="287">
        <v>0.55466666666666664</v>
      </c>
      <c r="D16" s="200">
        <v>7929.0976331360944</v>
      </c>
      <c r="E16" s="124">
        <v>676</v>
      </c>
      <c r="F16" s="200">
        <v>282951.24408284022</v>
      </c>
      <c r="G16" s="200">
        <v>8120.5609279653781</v>
      </c>
    </row>
    <row r="17" spans="2:7">
      <c r="B17" s="2" t="s">
        <v>115</v>
      </c>
      <c r="C17" s="287">
        <v>0.42863574966231427</v>
      </c>
      <c r="D17" s="200">
        <v>7176.0004906771346</v>
      </c>
      <c r="E17" s="124">
        <v>2038</v>
      </c>
      <c r="F17" s="200">
        <v>245081.64720314034</v>
      </c>
      <c r="G17" s="200">
        <v>7962.8177715396632</v>
      </c>
    </row>
    <row r="18" spans="2:7">
      <c r="B18" s="2" t="s">
        <v>116</v>
      </c>
      <c r="C18" s="287">
        <v>0.41674221819280749</v>
      </c>
      <c r="D18" s="200">
        <v>19337.364440078585</v>
      </c>
      <c r="E18" s="124">
        <v>3054</v>
      </c>
      <c r="F18" s="200">
        <v>2927623.0697445972</v>
      </c>
      <c r="G18" s="200">
        <v>14210.076948264572</v>
      </c>
    </row>
    <row r="19" spans="2:7">
      <c r="B19" s="2" t="s">
        <v>117</v>
      </c>
      <c r="C19" s="287">
        <v>0.50622406639004147</v>
      </c>
      <c r="D19" s="200">
        <v>17345.251162790697</v>
      </c>
      <c r="E19" s="124">
        <v>215</v>
      </c>
      <c r="F19" s="200">
        <v>1818085.6790697675</v>
      </c>
      <c r="G19" s="200">
        <v>17345.251162790697</v>
      </c>
    </row>
    <row r="20" spans="2:7">
      <c r="B20" s="2" t="s">
        <v>118</v>
      </c>
      <c r="C20" s="287">
        <v>0.45454545454545453</v>
      </c>
      <c r="D20" s="200">
        <v>9774.0993975903621</v>
      </c>
      <c r="E20" s="124">
        <v>332</v>
      </c>
      <c r="F20" s="200">
        <v>841338.00602409639</v>
      </c>
      <c r="G20" s="200">
        <v>6843.4261548784089</v>
      </c>
    </row>
    <row r="21" spans="2:7">
      <c r="B21" s="2" t="s">
        <v>119</v>
      </c>
      <c r="C21" s="287">
        <v>0.66816143497757852</v>
      </c>
      <c r="D21" s="200">
        <v>13941.777777777777</v>
      </c>
      <c r="E21" s="124">
        <v>207</v>
      </c>
      <c r="F21" s="200">
        <v>508926.961352657</v>
      </c>
      <c r="G21" s="200">
        <v>13941.777777777777</v>
      </c>
    </row>
    <row r="22" spans="2:7">
      <c r="B22" s="2" t="s">
        <v>120</v>
      </c>
      <c r="C22" s="287">
        <v>0.5542056074766355</v>
      </c>
      <c r="D22" s="200">
        <v>11391.240556660039</v>
      </c>
      <c r="E22" s="124">
        <v>1006</v>
      </c>
      <c r="F22" s="200">
        <v>1630195.6093439364</v>
      </c>
      <c r="G22" s="200">
        <v>6368.0225650845414</v>
      </c>
    </row>
    <row r="23" spans="2:7">
      <c r="B23" s="2" t="s">
        <v>121</v>
      </c>
      <c r="C23" s="287">
        <v>0.45081266039349871</v>
      </c>
      <c r="D23" s="200">
        <v>9437.0283328362657</v>
      </c>
      <c r="E23" s="124">
        <v>3353</v>
      </c>
      <c r="F23" s="200">
        <v>1252955.4894124665</v>
      </c>
      <c r="G23" s="200">
        <v>6072.6884032929784</v>
      </c>
    </row>
    <row r="24" spans="2:7">
      <c r="B24" s="2" t="s">
        <v>122</v>
      </c>
      <c r="C24" s="287">
        <v>0.49492940942533309</v>
      </c>
      <c r="D24" s="200">
        <v>7762.499789251844</v>
      </c>
      <c r="E24" s="124">
        <v>9490</v>
      </c>
      <c r="F24" s="200">
        <v>308800.54236037936</v>
      </c>
      <c r="G24" s="200">
        <v>8519.8251295629343</v>
      </c>
    </row>
    <row r="25" spans="2:7">
      <c r="B25" s="2" t="s">
        <v>123</v>
      </c>
      <c r="C25" s="287">
        <v>0.55102040816326525</v>
      </c>
      <c r="D25" s="200">
        <v>20296.816326530614</v>
      </c>
      <c r="E25" s="124">
        <v>49</v>
      </c>
      <c r="F25" s="200">
        <v>3849730.612244898</v>
      </c>
      <c r="G25" s="200">
        <v>20296.816326530614</v>
      </c>
    </row>
    <row r="26" spans="2:7">
      <c r="B26" s="2" t="s">
        <v>124</v>
      </c>
      <c r="C26" s="287">
        <v>0.42962774094849565</v>
      </c>
      <c r="D26" s="200">
        <v>7617.3242770307606</v>
      </c>
      <c r="E26" s="124">
        <v>10858</v>
      </c>
      <c r="F26" s="200">
        <v>222169.39952109044</v>
      </c>
      <c r="G26" s="200">
        <v>8434.7893390140653</v>
      </c>
    </row>
    <row r="27" spans="2:7">
      <c r="B27" s="2" t="s">
        <v>125</v>
      </c>
      <c r="C27" s="287">
        <v>0.56206896551724139</v>
      </c>
      <c r="D27" s="200">
        <v>9987.7362385321103</v>
      </c>
      <c r="E27" s="124">
        <v>1308</v>
      </c>
      <c r="F27" s="200">
        <v>649734.42813455663</v>
      </c>
      <c r="G27" s="200">
        <v>9226.3025354367364</v>
      </c>
    </row>
    <row r="28" spans="2:7">
      <c r="B28" s="2" t="s">
        <v>126</v>
      </c>
      <c r="C28" s="287">
        <v>0.46186440677966101</v>
      </c>
      <c r="D28" s="200">
        <v>10656.073979591836</v>
      </c>
      <c r="E28" s="124">
        <v>392</v>
      </c>
      <c r="F28" s="200">
        <v>401072.45663265308</v>
      </c>
      <c r="G28" s="200">
        <v>9108.3859231995157</v>
      </c>
    </row>
    <row r="29" spans="2:7">
      <c r="B29" s="2" t="s">
        <v>127</v>
      </c>
      <c r="C29" s="287">
        <v>0.40799999999999997</v>
      </c>
      <c r="D29" s="200">
        <v>18095.798449612405</v>
      </c>
      <c r="E29" s="124">
        <v>129</v>
      </c>
      <c r="F29" s="200">
        <v>991893.81395348837</v>
      </c>
      <c r="G29" s="200">
        <v>18095.798449612405</v>
      </c>
    </row>
    <row r="30" spans="2:7">
      <c r="B30" s="2" t="s">
        <v>128</v>
      </c>
      <c r="C30" s="287">
        <v>0.60365717683788001</v>
      </c>
      <c r="D30" s="200">
        <v>8136.7575105807255</v>
      </c>
      <c r="E30" s="124">
        <v>14413</v>
      </c>
      <c r="F30" s="200">
        <v>271543.59709984041</v>
      </c>
      <c r="G30" s="200">
        <v>9172.875429944319</v>
      </c>
    </row>
    <row r="31" spans="2:7">
      <c r="B31" s="2" t="s">
        <v>130</v>
      </c>
      <c r="C31" s="287">
        <v>0.82184634840341453</v>
      </c>
      <c r="D31" s="200">
        <v>8494.5389326334207</v>
      </c>
      <c r="E31" s="124">
        <v>5715</v>
      </c>
      <c r="F31" s="200">
        <v>266807.13263342081</v>
      </c>
      <c r="G31" s="200">
        <v>10306.360073222801</v>
      </c>
    </row>
    <row r="32" spans="2:7">
      <c r="B32" s="2" t="s">
        <v>131</v>
      </c>
      <c r="C32" s="287">
        <v>0</v>
      </c>
      <c r="D32" s="200">
        <v>13106.452088452088</v>
      </c>
      <c r="E32" s="124">
        <v>407</v>
      </c>
      <c r="F32" s="200">
        <v>467336.24815724813</v>
      </c>
      <c r="G32" s="200">
        <v>10416.850225509828</v>
      </c>
    </row>
    <row r="33" spans="2:7">
      <c r="B33" s="2" t="s">
        <v>132</v>
      </c>
      <c r="C33" s="287">
        <v>0.45277127244340359</v>
      </c>
      <c r="D33" s="200">
        <v>7988.5085825027681</v>
      </c>
      <c r="E33" s="124">
        <v>3612</v>
      </c>
      <c r="F33" s="200">
        <v>233017.69186046513</v>
      </c>
      <c r="G33" s="200">
        <v>8513.1773458398766</v>
      </c>
    </row>
    <row r="34" spans="2:7">
      <c r="B34" s="2" t="s">
        <v>133</v>
      </c>
      <c r="C34" s="287">
        <v>0.67007672634271098</v>
      </c>
      <c r="D34" s="200">
        <v>10033.610666666667</v>
      </c>
      <c r="E34" s="124">
        <v>375</v>
      </c>
      <c r="F34" s="200">
        <v>244914.48266666668</v>
      </c>
      <c r="G34" s="200">
        <v>9500.039290316663</v>
      </c>
    </row>
    <row r="35" spans="2:7">
      <c r="B35" s="2" t="s">
        <v>134</v>
      </c>
      <c r="C35" s="287">
        <v>0.50686641697877655</v>
      </c>
      <c r="D35" s="200">
        <v>8259.543507362785</v>
      </c>
      <c r="E35" s="124">
        <v>747</v>
      </c>
      <c r="F35" s="200">
        <v>303068.6265060241</v>
      </c>
      <c r="G35" s="200">
        <v>8168.3779121615426</v>
      </c>
    </row>
    <row r="36" spans="2:7">
      <c r="B36" s="2" t="s">
        <v>135</v>
      </c>
      <c r="C36" s="287">
        <v>0.69078014184397163</v>
      </c>
      <c r="D36" s="200">
        <v>9302.3142250530782</v>
      </c>
      <c r="E36" s="124">
        <v>942</v>
      </c>
      <c r="F36" s="200">
        <v>292204.2823779193</v>
      </c>
      <c r="G36" s="200">
        <v>10006.31115008861</v>
      </c>
    </row>
    <row r="37" spans="2:7">
      <c r="B37" s="2" t="s">
        <v>136</v>
      </c>
      <c r="C37" s="287">
        <v>0.66835269993164725</v>
      </c>
      <c r="D37" s="200">
        <v>8304.0500063783638</v>
      </c>
      <c r="E37" s="124">
        <v>7839</v>
      </c>
      <c r="F37" s="200">
        <v>241733.09337925757</v>
      </c>
      <c r="G37" s="200">
        <v>9773.0122991322824</v>
      </c>
    </row>
    <row r="38" spans="2:7">
      <c r="B38" s="2" t="s">
        <v>138</v>
      </c>
      <c r="C38" s="287">
        <v>0.47544204322200395</v>
      </c>
      <c r="D38" s="200">
        <v>9459.9483870967742</v>
      </c>
      <c r="E38" s="124">
        <v>465</v>
      </c>
      <c r="F38" s="200">
        <v>296314.29247311829</v>
      </c>
      <c r="G38" s="200">
        <v>8587.0504017933126</v>
      </c>
    </row>
    <row r="39" spans="2:7">
      <c r="B39" s="2" t="s">
        <v>139</v>
      </c>
      <c r="C39" s="287">
        <v>0.41025641025641024</v>
      </c>
      <c r="D39" s="200">
        <v>12561.240963855422</v>
      </c>
      <c r="E39" s="124">
        <v>166</v>
      </c>
      <c r="F39" s="200">
        <v>620361.77108433738</v>
      </c>
      <c r="G39" s="200">
        <v>12561.240963855422</v>
      </c>
    </row>
    <row r="40" spans="2:7">
      <c r="B40" s="2" t="s">
        <v>140</v>
      </c>
      <c r="C40" s="287">
        <v>0.34972677595628415</v>
      </c>
      <c r="D40" s="200">
        <v>9251.7194805194813</v>
      </c>
      <c r="E40" s="124">
        <v>770</v>
      </c>
      <c r="F40" s="200">
        <v>770654.95064935065</v>
      </c>
      <c r="G40" s="200">
        <v>7234.8981620903942</v>
      </c>
    </row>
    <row r="41" spans="2:7">
      <c r="B41" s="2" t="s">
        <v>141</v>
      </c>
      <c r="C41" s="287">
        <v>0.53291901340066028</v>
      </c>
      <c r="D41" s="200">
        <v>8229.9099796334012</v>
      </c>
      <c r="E41" s="124">
        <v>4910</v>
      </c>
      <c r="F41" s="200">
        <v>262903.39389002038</v>
      </c>
      <c r="G41" s="200">
        <v>8652.8684190513213</v>
      </c>
    </row>
    <row r="42" spans="2:7">
      <c r="B42" s="2" t="s">
        <v>142</v>
      </c>
      <c r="C42" s="287">
        <v>0.76100628930817615</v>
      </c>
      <c r="D42" s="200">
        <v>18358.179856115108</v>
      </c>
      <c r="E42" s="124">
        <v>139</v>
      </c>
      <c r="F42" s="200">
        <v>841549.82733812951</v>
      </c>
      <c r="G42" s="200">
        <v>18358.179856115108</v>
      </c>
    </row>
    <row r="43" spans="2:7">
      <c r="B43" s="2" t="s">
        <v>143</v>
      </c>
      <c r="C43" s="287">
        <v>0.57473684210526321</v>
      </c>
      <c r="D43" s="200">
        <v>13671.763794772507</v>
      </c>
      <c r="E43" s="124">
        <v>1033</v>
      </c>
      <c r="F43" s="200">
        <v>514476.51306873187</v>
      </c>
      <c r="G43" s="200">
        <v>11641.113016586505</v>
      </c>
    </row>
    <row r="44" spans="2:7">
      <c r="B44" s="2" t="s">
        <v>144</v>
      </c>
      <c r="C44" s="287">
        <v>0.38095238095238093</v>
      </c>
      <c r="D44" s="200">
        <v>11528.833802816902</v>
      </c>
      <c r="E44" s="124">
        <v>355</v>
      </c>
      <c r="F44" s="200">
        <v>1870354.6084507043</v>
      </c>
      <c r="G44" s="200">
        <v>4433.2732394366194</v>
      </c>
    </row>
    <row r="45" spans="2:7">
      <c r="B45" s="2" t="s">
        <v>145</v>
      </c>
      <c r="C45" s="287">
        <v>0.5</v>
      </c>
      <c r="D45" s="200">
        <v>14282.26582278481</v>
      </c>
      <c r="E45" s="124">
        <v>158</v>
      </c>
      <c r="F45" s="200">
        <v>909629.74683544307</v>
      </c>
      <c r="G45" s="200">
        <v>14282.26582278481</v>
      </c>
    </row>
    <row r="46" spans="2:7">
      <c r="B46" s="2" t="s">
        <v>146</v>
      </c>
      <c r="C46" s="287">
        <v>0</v>
      </c>
      <c r="D46" s="200">
        <v>25348.5</v>
      </c>
      <c r="E46" s="124">
        <v>6</v>
      </c>
      <c r="F46" s="200">
        <v>1798935.5</v>
      </c>
      <c r="G46" s="200">
        <v>25348.5</v>
      </c>
    </row>
    <row r="47" spans="2:7">
      <c r="B47" s="2" t="s">
        <v>147</v>
      </c>
      <c r="C47" s="287">
        <v>0.67441860465116277</v>
      </c>
      <c r="D47" s="200">
        <v>10598.710594315246</v>
      </c>
      <c r="E47" s="124">
        <v>387</v>
      </c>
      <c r="F47" s="200">
        <v>687170.07751937979</v>
      </c>
      <c r="G47" s="200">
        <v>8873.5913608354276</v>
      </c>
    </row>
    <row r="48" spans="2:7">
      <c r="B48" s="2" t="s">
        <v>148</v>
      </c>
      <c r="C48" s="287">
        <v>0.52148337595907923</v>
      </c>
      <c r="D48" s="200">
        <v>7913.9046658986172</v>
      </c>
      <c r="E48" s="124">
        <v>3472</v>
      </c>
      <c r="F48" s="200">
        <v>308906.73761520738</v>
      </c>
      <c r="G48" s="200">
        <v>8695.1358581439454</v>
      </c>
    </row>
    <row r="49" spans="2:7">
      <c r="B49" s="2" t="s">
        <v>149</v>
      </c>
      <c r="C49" s="287">
        <v>0.43193069306930693</v>
      </c>
      <c r="D49" s="200">
        <v>6786.70745776679</v>
      </c>
      <c r="E49" s="124">
        <v>2427</v>
      </c>
      <c r="F49" s="200">
        <v>191855.02760609807</v>
      </c>
      <c r="G49" s="200">
        <v>7704.9528815609929</v>
      </c>
    </row>
    <row r="50" spans="2:7">
      <c r="B50" s="2" t="s">
        <v>151</v>
      </c>
      <c r="C50" s="287">
        <v>0.47807017543859648</v>
      </c>
      <c r="D50" s="200">
        <v>8044.3430034129697</v>
      </c>
      <c r="E50" s="124">
        <v>586</v>
      </c>
      <c r="F50" s="200">
        <v>237204.09897610921</v>
      </c>
      <c r="G50" s="200">
        <v>8323.8744430920269</v>
      </c>
    </row>
    <row r="51" spans="2:7">
      <c r="B51" s="2" t="s">
        <v>152</v>
      </c>
      <c r="C51" s="287">
        <v>0.54722222222222228</v>
      </c>
      <c r="D51" s="200">
        <v>9108.8365914786973</v>
      </c>
      <c r="E51" s="124">
        <v>1995</v>
      </c>
      <c r="F51" s="200">
        <v>782524.30526315793</v>
      </c>
      <c r="G51" s="200">
        <v>7651.3701083379055</v>
      </c>
    </row>
    <row r="52" spans="2:7">
      <c r="B52" s="2" t="s">
        <v>153</v>
      </c>
      <c r="C52" s="287">
        <v>0.57480946650621745</v>
      </c>
      <c r="D52" s="200">
        <v>9226.6476190476187</v>
      </c>
      <c r="E52" s="124">
        <v>2310</v>
      </c>
      <c r="F52" s="200">
        <v>361089.95714285714</v>
      </c>
      <c r="G52" s="200">
        <v>9294.4723043503382</v>
      </c>
    </row>
    <row r="53" spans="2:7">
      <c r="B53" s="2" t="s">
        <v>155</v>
      </c>
      <c r="C53" s="287">
        <v>0.67711598746081503</v>
      </c>
      <c r="D53" s="200">
        <v>8551.9616040955625</v>
      </c>
      <c r="E53" s="124">
        <v>1172</v>
      </c>
      <c r="F53" s="200">
        <v>353929.64761092153</v>
      </c>
      <c r="G53" s="200">
        <v>8986.7253347109654</v>
      </c>
    </row>
    <row r="54" spans="2:7">
      <c r="B54" s="2" t="s">
        <v>156</v>
      </c>
      <c r="C54" s="287">
        <v>0.77683854606931535</v>
      </c>
      <c r="D54" s="200">
        <v>8259.1892411143126</v>
      </c>
      <c r="E54" s="124">
        <v>1041</v>
      </c>
      <c r="F54" s="200">
        <v>259798.49471661865</v>
      </c>
      <c r="G54" s="200">
        <v>9499.0407102842182</v>
      </c>
    </row>
    <row r="55" spans="2:7">
      <c r="B55" s="2" t="s">
        <v>157</v>
      </c>
      <c r="C55" s="287">
        <v>0.71084337349397586</v>
      </c>
      <c r="D55" s="200">
        <v>10783.863192182411</v>
      </c>
      <c r="E55" s="124">
        <v>307</v>
      </c>
      <c r="F55" s="200">
        <v>514798.55374592834</v>
      </c>
      <c r="G55" s="200">
        <v>8720.7453694589713</v>
      </c>
    </row>
    <row r="56" spans="2:7">
      <c r="B56" s="2" t="s">
        <v>158</v>
      </c>
      <c r="C56" s="287">
        <v>0.81967213114754101</v>
      </c>
      <c r="D56" s="200">
        <v>16320.6</v>
      </c>
      <c r="E56" s="124">
        <v>115</v>
      </c>
      <c r="F56" s="200">
        <v>688574.83478260867</v>
      </c>
      <c r="G56" s="200">
        <v>16320.6</v>
      </c>
    </row>
    <row r="57" spans="2:7">
      <c r="B57" s="2" t="s">
        <v>159</v>
      </c>
      <c r="C57" s="287">
        <v>0.38141809290953543</v>
      </c>
      <c r="D57" s="200">
        <v>13472.257294429708</v>
      </c>
      <c r="E57" s="124">
        <v>377</v>
      </c>
      <c r="F57" s="200">
        <v>404009.68169761274</v>
      </c>
      <c r="G57" s="200">
        <v>10706.786852400239</v>
      </c>
    </row>
    <row r="58" spans="2:7">
      <c r="B58" s="2" t="s">
        <v>1187</v>
      </c>
      <c r="C58" s="287">
        <v>0.60431654676258995</v>
      </c>
      <c r="D58" s="200">
        <v>22025.698113207549</v>
      </c>
      <c r="E58" s="124">
        <v>106</v>
      </c>
      <c r="F58" s="200">
        <v>1234629.1603773586</v>
      </c>
      <c r="G58" s="200">
        <v>22025.698113207549</v>
      </c>
    </row>
    <row r="59" spans="2:7">
      <c r="B59" s="2" t="s">
        <v>161</v>
      </c>
      <c r="C59" s="287">
        <v>0.51584786053882725</v>
      </c>
      <c r="D59" s="200">
        <v>12039.920792079209</v>
      </c>
      <c r="E59" s="124">
        <v>1111</v>
      </c>
      <c r="F59" s="200">
        <v>743623.04950495053</v>
      </c>
      <c r="G59" s="200">
        <v>10255.631679369277</v>
      </c>
    </row>
    <row r="60" spans="2:7">
      <c r="B60" s="2" t="s">
        <v>162</v>
      </c>
      <c r="C60" s="287">
        <v>0.4140067592940293</v>
      </c>
      <c r="D60" s="200">
        <v>7154.2248784440844</v>
      </c>
      <c r="E60" s="124">
        <v>4936</v>
      </c>
      <c r="F60" s="200">
        <v>185696.1193273906</v>
      </c>
      <c r="G60" s="200">
        <v>8236.0539061490581</v>
      </c>
    </row>
    <row r="61" spans="2:7">
      <c r="B61" s="2" t="s">
        <v>163</v>
      </c>
      <c r="C61" s="287">
        <v>0.47520661157024796</v>
      </c>
      <c r="D61" s="200">
        <v>9177.4296296296288</v>
      </c>
      <c r="E61" s="124">
        <v>675</v>
      </c>
      <c r="F61" s="200">
        <v>198510.04148148149</v>
      </c>
      <c r="G61" s="200">
        <v>9139.6335147249938</v>
      </c>
    </row>
    <row r="62" spans="2:7">
      <c r="B62" s="2" t="s">
        <v>164</v>
      </c>
      <c r="C62" s="287">
        <v>0.5088282504012841</v>
      </c>
      <c r="D62" s="200">
        <v>9609.5570698466781</v>
      </c>
      <c r="E62" s="124">
        <v>587</v>
      </c>
      <c r="F62" s="200">
        <v>291589.19761499146</v>
      </c>
      <c r="G62" s="200">
        <v>9306.1098008425779</v>
      </c>
    </row>
    <row r="63" spans="2:7">
      <c r="B63" s="2" t="s">
        <v>165</v>
      </c>
      <c r="C63" s="287">
        <v>0.67589662447257381</v>
      </c>
      <c r="D63" s="200">
        <v>8051.123186344239</v>
      </c>
      <c r="E63" s="124">
        <v>3515</v>
      </c>
      <c r="F63" s="200">
        <v>300590.86657183501</v>
      </c>
      <c r="G63" s="200">
        <v>9244.304261834588</v>
      </c>
    </row>
    <row r="64" spans="2:7">
      <c r="B64" s="2" t="s">
        <v>166</v>
      </c>
      <c r="C64" s="287">
        <v>0.60273972602739723</v>
      </c>
      <c r="D64" s="200">
        <v>9050</v>
      </c>
      <c r="E64" s="124">
        <v>556</v>
      </c>
      <c r="F64" s="200">
        <v>381797.85791366908</v>
      </c>
      <c r="G64" s="200">
        <v>8511.0129292961101</v>
      </c>
    </row>
    <row r="65" spans="2:7">
      <c r="B65" s="2" t="s">
        <v>167</v>
      </c>
      <c r="C65" s="287">
        <v>0.41819390371284776</v>
      </c>
      <c r="D65" s="200">
        <v>8291.6877855619859</v>
      </c>
      <c r="E65" s="124">
        <v>9849</v>
      </c>
      <c r="F65" s="200">
        <v>759417.3177987613</v>
      </c>
      <c r="G65" s="200">
        <v>7236.1760420711198</v>
      </c>
    </row>
    <row r="66" spans="2:7">
      <c r="B66" s="2" t="s">
        <v>168</v>
      </c>
      <c r="C66" s="287">
        <v>0.44638583054092867</v>
      </c>
      <c r="D66" s="200">
        <v>8313.0209130323892</v>
      </c>
      <c r="E66" s="124">
        <v>3921</v>
      </c>
      <c r="F66" s="200">
        <v>576720.6526396327</v>
      </c>
      <c r="G66" s="200">
        <v>7826.0444179302067</v>
      </c>
    </row>
    <row r="67" spans="2:7">
      <c r="B67" s="2" t="s">
        <v>169</v>
      </c>
      <c r="C67" s="287">
        <v>0.47652366046768552</v>
      </c>
      <c r="D67" s="200">
        <v>7797.5668947168379</v>
      </c>
      <c r="E67" s="124">
        <v>5262</v>
      </c>
      <c r="F67" s="200">
        <v>454962.16229570506</v>
      </c>
      <c r="G67" s="200">
        <v>7856.4136953449088</v>
      </c>
    </row>
    <row r="68" spans="2:7">
      <c r="B68" s="2" t="s">
        <v>170</v>
      </c>
      <c r="C68" s="287">
        <v>0.5</v>
      </c>
      <c r="D68" s="200">
        <v>21804.748251748253</v>
      </c>
      <c r="E68" s="124">
        <v>143</v>
      </c>
      <c r="F68" s="200">
        <v>3748133.7062937063</v>
      </c>
      <c r="G68" s="200">
        <v>21804.748251748253</v>
      </c>
    </row>
    <row r="69" spans="2:7">
      <c r="B69" s="2" t="s">
        <v>171</v>
      </c>
      <c r="C69" s="287">
        <v>0.3125</v>
      </c>
      <c r="D69" s="200">
        <v>11619.981874447392</v>
      </c>
      <c r="E69" s="124">
        <v>2262</v>
      </c>
      <c r="F69" s="200">
        <v>599525.71485411143</v>
      </c>
      <c r="G69" s="200">
        <v>10709.703641884305</v>
      </c>
    </row>
    <row r="70" spans="2:7">
      <c r="B70" s="2" t="s">
        <v>173</v>
      </c>
      <c r="C70" s="287">
        <v>0.21069182389937108</v>
      </c>
      <c r="D70" s="200">
        <v>13320.195205479453</v>
      </c>
      <c r="E70" s="124">
        <v>292</v>
      </c>
      <c r="F70" s="200">
        <v>570504.29452054796</v>
      </c>
      <c r="G70" s="200">
        <v>13320.195205479453</v>
      </c>
    </row>
    <row r="71" spans="2:7">
      <c r="B71" s="2" t="s">
        <v>174</v>
      </c>
      <c r="C71" s="287">
        <v>0.42016806722689076</v>
      </c>
      <c r="D71" s="200">
        <v>15081.293859649122</v>
      </c>
      <c r="E71" s="124">
        <v>228</v>
      </c>
      <c r="F71" s="200">
        <v>549191.40350877191</v>
      </c>
      <c r="G71" s="200">
        <v>15081.293859649122</v>
      </c>
    </row>
    <row r="72" spans="2:7">
      <c r="B72" s="2" t="s">
        <v>175</v>
      </c>
      <c r="C72" s="287">
        <v>0.43973214285714285</v>
      </c>
      <c r="D72" s="200">
        <v>11834.04326923077</v>
      </c>
      <c r="E72" s="124">
        <v>416</v>
      </c>
      <c r="F72" s="200">
        <v>555171.33894230775</v>
      </c>
      <c r="G72" s="200">
        <v>9893.5328535253939</v>
      </c>
    </row>
    <row r="73" spans="2:7">
      <c r="B73" s="2" t="s">
        <v>176</v>
      </c>
      <c r="C73" s="287">
        <v>0.35546875</v>
      </c>
      <c r="D73" s="200">
        <v>14939.616666666667</v>
      </c>
      <c r="E73" s="124">
        <v>240</v>
      </c>
      <c r="F73" s="200">
        <v>559516.90416666667</v>
      </c>
      <c r="G73" s="200">
        <v>14939.616666666667</v>
      </c>
    </row>
    <row r="74" spans="2:7">
      <c r="B74" s="2" t="s">
        <v>1481</v>
      </c>
      <c r="C74" s="287">
        <v>0.44019138755980863</v>
      </c>
      <c r="D74" s="200">
        <v>15745.478672985782</v>
      </c>
      <c r="E74" s="124">
        <v>211</v>
      </c>
      <c r="F74" s="200">
        <v>818991.69668246445</v>
      </c>
      <c r="G74" s="200">
        <v>15745.478672985781</v>
      </c>
    </row>
    <row r="75" spans="2:7">
      <c r="B75" s="2" t="s">
        <v>178</v>
      </c>
      <c r="C75" s="287">
        <v>0.62875816993464051</v>
      </c>
      <c r="D75" s="200">
        <v>9868.0849194729144</v>
      </c>
      <c r="E75" s="124">
        <v>683</v>
      </c>
      <c r="F75" s="200">
        <v>777098.77159590041</v>
      </c>
      <c r="G75" s="200">
        <v>7740.7170241285239</v>
      </c>
    </row>
    <row r="76" spans="2:7">
      <c r="B76" s="2" t="s">
        <v>179</v>
      </c>
      <c r="C76" s="287">
        <v>0.64</v>
      </c>
      <c r="D76" s="200">
        <v>22821.083333333332</v>
      </c>
      <c r="E76" s="124">
        <v>72</v>
      </c>
      <c r="F76" s="200">
        <v>1142739.1527777778</v>
      </c>
      <c r="G76" s="200">
        <v>22821.083333333336</v>
      </c>
    </row>
    <row r="77" spans="2:7">
      <c r="B77" s="2" t="s">
        <v>180</v>
      </c>
      <c r="C77" s="287">
        <v>0.47651006711409394</v>
      </c>
      <c r="D77" s="200">
        <v>18417.159090909092</v>
      </c>
      <c r="E77" s="124">
        <v>132</v>
      </c>
      <c r="F77" s="200">
        <v>861358.31818181823</v>
      </c>
      <c r="G77" s="200">
        <v>18417.159090909092</v>
      </c>
    </row>
    <row r="78" spans="2:7">
      <c r="B78" s="2" t="s">
        <v>181</v>
      </c>
      <c r="C78" s="287">
        <v>0.93548387096774188</v>
      </c>
      <c r="D78" s="200">
        <v>10512.581863979849</v>
      </c>
      <c r="E78" s="124">
        <v>397</v>
      </c>
      <c r="F78" s="200">
        <v>504261.69269521412</v>
      </c>
      <c r="G78" s="200">
        <v>10343.517635784519</v>
      </c>
    </row>
    <row r="79" spans="2:7">
      <c r="B79" s="2" t="s">
        <v>182</v>
      </c>
      <c r="C79" s="287">
        <v>0.52439024390243905</v>
      </c>
      <c r="D79" s="200">
        <v>17204.66891891892</v>
      </c>
      <c r="E79" s="124">
        <v>148</v>
      </c>
      <c r="F79" s="200">
        <v>966066.7297297297</v>
      </c>
      <c r="G79" s="200">
        <v>17204.66891891892</v>
      </c>
    </row>
    <row r="80" spans="2:7">
      <c r="B80" s="2" t="s">
        <v>183</v>
      </c>
      <c r="C80" s="287">
        <v>0.6987951807228916</v>
      </c>
      <c r="D80" s="200">
        <v>10202.639830508475</v>
      </c>
      <c r="E80" s="124">
        <v>472</v>
      </c>
      <c r="F80" s="200">
        <v>364583.89406779659</v>
      </c>
      <c r="G80" s="200">
        <v>9711.3829813213142</v>
      </c>
    </row>
    <row r="81" spans="2:7">
      <c r="B81" s="2" t="s">
        <v>184</v>
      </c>
      <c r="C81" s="287">
        <v>0.70940170940170943</v>
      </c>
      <c r="D81" s="200">
        <v>11458.348837209302</v>
      </c>
      <c r="E81" s="124">
        <v>215</v>
      </c>
      <c r="F81" s="200">
        <v>211514.45581395348</v>
      </c>
      <c r="G81" s="200">
        <v>11458.348837209302</v>
      </c>
    </row>
    <row r="82" spans="2:7">
      <c r="B82" s="2" t="s">
        <v>185</v>
      </c>
      <c r="C82" s="287">
        <v>0.49624060150375937</v>
      </c>
      <c r="D82" s="200">
        <v>11377</v>
      </c>
      <c r="E82" s="124">
        <v>193</v>
      </c>
      <c r="F82" s="200">
        <v>347524.94818652852</v>
      </c>
      <c r="G82" s="200">
        <v>11377</v>
      </c>
    </row>
    <row r="83" spans="2:7">
      <c r="B83" s="2" t="s">
        <v>186</v>
      </c>
      <c r="C83" s="287">
        <v>0.3919336163643381</v>
      </c>
      <c r="D83" s="200">
        <v>8447.3390602359759</v>
      </c>
      <c r="E83" s="124">
        <v>4831</v>
      </c>
      <c r="F83" s="200">
        <v>281010.55599254812</v>
      </c>
      <c r="G83" s="200">
        <v>9078.630951613095</v>
      </c>
    </row>
    <row r="84" spans="2:7">
      <c r="B84" s="2" t="s">
        <v>187</v>
      </c>
      <c r="C84" s="287">
        <v>0.46358454718176062</v>
      </c>
      <c r="D84" s="200">
        <v>8091.61000685401</v>
      </c>
      <c r="E84" s="124">
        <v>1459</v>
      </c>
      <c r="F84" s="200">
        <v>176449.59081562713</v>
      </c>
      <c r="G84" s="200">
        <v>8791.2606058079728</v>
      </c>
    </row>
    <row r="85" spans="2:7">
      <c r="B85" s="2" t="s">
        <v>188</v>
      </c>
      <c r="C85" s="287">
        <v>0.63497081712062253</v>
      </c>
      <c r="D85" s="200">
        <v>8316.42200908632</v>
      </c>
      <c r="E85" s="124">
        <v>3962</v>
      </c>
      <c r="F85" s="200">
        <v>318176.68298838969</v>
      </c>
      <c r="G85" s="200">
        <v>8981.3659218104658</v>
      </c>
    </row>
    <row r="86" spans="2:7">
      <c r="B86" s="2" t="s">
        <v>190</v>
      </c>
      <c r="C86" s="287">
        <v>0.39093242087254065</v>
      </c>
      <c r="D86" s="200">
        <v>9749.7338986935592</v>
      </c>
      <c r="E86" s="124">
        <v>4363</v>
      </c>
      <c r="F86" s="200">
        <v>573209.76667430671</v>
      </c>
      <c r="G86" s="200">
        <v>9115.6591028382209</v>
      </c>
    </row>
    <row r="87" spans="2:7">
      <c r="B87" s="2" t="s">
        <v>191</v>
      </c>
      <c r="C87" s="287">
        <v>0.8899253731343284</v>
      </c>
      <c r="D87" s="200">
        <v>17233.581291759467</v>
      </c>
      <c r="E87" s="124">
        <v>449</v>
      </c>
      <c r="F87" s="200">
        <v>319092.28953229397</v>
      </c>
      <c r="G87" s="200">
        <v>17396.759463930175</v>
      </c>
    </row>
    <row r="88" spans="2:7">
      <c r="B88" s="2" t="s">
        <v>192</v>
      </c>
      <c r="C88" s="287">
        <v>0.59340659340659341</v>
      </c>
      <c r="D88" s="200">
        <v>24645.211267605635</v>
      </c>
      <c r="E88" s="124">
        <v>71</v>
      </c>
      <c r="F88" s="200">
        <v>761185.14084507048</v>
      </c>
      <c r="G88" s="200">
        <v>24645.211267605635</v>
      </c>
    </row>
    <row r="89" spans="2:7">
      <c r="B89" s="2" t="s">
        <v>193</v>
      </c>
      <c r="C89" s="287">
        <v>0.46754675467546752</v>
      </c>
      <c r="D89" s="200">
        <v>8027.5112499999996</v>
      </c>
      <c r="E89" s="124">
        <v>800</v>
      </c>
      <c r="F89" s="200">
        <v>376037.255</v>
      </c>
      <c r="G89" s="200">
        <v>8015.7916513158953</v>
      </c>
    </row>
    <row r="90" spans="2:7">
      <c r="B90" s="2" t="s">
        <v>194</v>
      </c>
      <c r="C90" s="287">
        <v>0.66383495145631066</v>
      </c>
      <c r="D90" s="200">
        <v>9030.0775193798454</v>
      </c>
      <c r="E90" s="124">
        <v>774</v>
      </c>
      <c r="F90" s="200">
        <v>294019.7002583979</v>
      </c>
      <c r="G90" s="200">
        <v>9737.7614911507753</v>
      </c>
    </row>
    <row r="91" spans="2:7">
      <c r="B91" s="2" t="s">
        <v>195</v>
      </c>
      <c r="C91" s="287">
        <v>0</v>
      </c>
      <c r="D91" s="200">
        <v>23757</v>
      </c>
      <c r="E91" s="124">
        <v>11</v>
      </c>
      <c r="F91" s="200">
        <v>1680812.7272727273</v>
      </c>
      <c r="G91" s="200">
        <v>23757</v>
      </c>
    </row>
    <row r="92" spans="2:7">
      <c r="B92" s="2" t="s">
        <v>196</v>
      </c>
      <c r="C92" s="287">
        <v>0.64</v>
      </c>
      <c r="D92" s="200">
        <v>17699.882142857143</v>
      </c>
      <c r="E92" s="124">
        <v>280</v>
      </c>
      <c r="F92" s="200">
        <v>692965.01071428566</v>
      </c>
      <c r="G92" s="200">
        <v>17699.882142857143</v>
      </c>
    </row>
    <row r="93" spans="2:7">
      <c r="B93" s="2" t="s">
        <v>197</v>
      </c>
      <c r="C93" s="287">
        <v>0.60843881856540083</v>
      </c>
      <c r="D93" s="200">
        <v>7494.7752909579231</v>
      </c>
      <c r="E93" s="124">
        <v>1117</v>
      </c>
      <c r="F93" s="200">
        <v>219840.57743957028</v>
      </c>
      <c r="G93" s="200">
        <v>8789.1052340205297</v>
      </c>
    </row>
    <row r="94" spans="2:7">
      <c r="B94" s="2" t="s">
        <v>198</v>
      </c>
      <c r="C94" s="287">
        <v>0.76732358550540369</v>
      </c>
      <c r="D94" s="200">
        <v>8410.1161103047889</v>
      </c>
      <c r="E94" s="124">
        <v>1378</v>
      </c>
      <c r="F94" s="200">
        <v>267558.22568940494</v>
      </c>
      <c r="G94" s="200">
        <v>9492.907107064415</v>
      </c>
    </row>
    <row r="95" spans="2:7">
      <c r="B95" s="2" t="s">
        <v>199</v>
      </c>
      <c r="C95" s="287">
        <v>0.46262626262626261</v>
      </c>
      <c r="D95" s="200">
        <v>8425.6851642129113</v>
      </c>
      <c r="E95" s="124">
        <v>883</v>
      </c>
      <c r="F95" s="200">
        <v>438377.30690826726</v>
      </c>
      <c r="G95" s="200">
        <v>7574.2828982443361</v>
      </c>
    </row>
    <row r="96" spans="2:7">
      <c r="B96" s="2" t="s">
        <v>200</v>
      </c>
      <c r="C96" s="287">
        <v>0.46642899584076053</v>
      </c>
      <c r="D96" s="200">
        <v>7674.5502544529263</v>
      </c>
      <c r="E96" s="124">
        <v>1572</v>
      </c>
      <c r="F96" s="200">
        <v>326871.7703562341</v>
      </c>
      <c r="G96" s="200">
        <v>7874.5151293057343</v>
      </c>
    </row>
    <row r="97" spans="2:7">
      <c r="B97" s="2" t="s">
        <v>201</v>
      </c>
      <c r="C97" s="287">
        <v>0.68577348066298338</v>
      </c>
      <c r="D97" s="200">
        <v>10971.983667409057</v>
      </c>
      <c r="E97" s="124">
        <v>1347</v>
      </c>
      <c r="F97" s="200">
        <v>592603.88715664437</v>
      </c>
      <c r="G97" s="200">
        <v>10740.697147994993</v>
      </c>
    </row>
    <row r="98" spans="2:7">
      <c r="B98" s="2" t="s">
        <v>202</v>
      </c>
      <c r="C98" s="287">
        <v>0</v>
      </c>
      <c r="D98" s="200">
        <v>12552.333333333334</v>
      </c>
      <c r="E98" s="124">
        <v>165</v>
      </c>
      <c r="F98" s="200">
        <v>242445.96363636362</v>
      </c>
      <c r="G98" s="200">
        <v>12552.333333333334</v>
      </c>
    </row>
    <row r="99" spans="2:7">
      <c r="B99" s="2" t="s">
        <v>203</v>
      </c>
      <c r="C99" s="287">
        <v>0</v>
      </c>
      <c r="D99" s="200">
        <v>19401.722222222223</v>
      </c>
      <c r="E99" s="124">
        <v>18</v>
      </c>
      <c r="F99" s="200">
        <v>1395446.888888889</v>
      </c>
      <c r="G99" s="200">
        <v>19401.722222222223</v>
      </c>
    </row>
    <row r="100" spans="2:7">
      <c r="B100" s="2" t="s">
        <v>204</v>
      </c>
      <c r="C100" s="287">
        <v>0.49909420289855072</v>
      </c>
      <c r="D100" s="200">
        <v>12149.192422731805</v>
      </c>
      <c r="E100" s="124">
        <v>1003</v>
      </c>
      <c r="F100" s="200">
        <v>527574.146560319</v>
      </c>
      <c r="G100" s="200">
        <v>11682.057016990238</v>
      </c>
    </row>
    <row r="101" spans="2:7">
      <c r="B101" s="2" t="s">
        <v>205</v>
      </c>
      <c r="C101" s="287">
        <v>0.45794392523364486</v>
      </c>
      <c r="D101" s="200">
        <v>21921.57894736842</v>
      </c>
      <c r="E101" s="124">
        <v>95</v>
      </c>
      <c r="F101" s="200">
        <v>766902.37894736847</v>
      </c>
      <c r="G101" s="200">
        <v>21921.57894736842</v>
      </c>
    </row>
    <row r="102" spans="2:7">
      <c r="B102" s="2" t="s">
        <v>206</v>
      </c>
      <c r="C102" s="287">
        <v>0.50819672131147542</v>
      </c>
      <c r="D102" s="200">
        <v>13398.028384279476</v>
      </c>
      <c r="E102" s="124">
        <v>458</v>
      </c>
      <c r="F102" s="200">
        <v>522970.08515283844</v>
      </c>
      <c r="G102" s="200">
        <v>12149.097861541033</v>
      </c>
    </row>
    <row r="103" spans="2:7">
      <c r="B103" s="2" t="s">
        <v>207</v>
      </c>
      <c r="C103" s="287">
        <v>0</v>
      </c>
      <c r="D103" s="200">
        <v>100112.6</v>
      </c>
      <c r="E103" s="124">
        <v>5</v>
      </c>
      <c r="F103" s="200">
        <v>23547814.600000001</v>
      </c>
      <c r="G103" s="200">
        <v>100112.6</v>
      </c>
    </row>
    <row r="104" spans="2:7">
      <c r="B104" s="2" t="s">
        <v>208</v>
      </c>
      <c r="C104" s="287">
        <v>0.46718576195773082</v>
      </c>
      <c r="D104" s="200">
        <v>10169.931692307693</v>
      </c>
      <c r="E104" s="124">
        <v>1625</v>
      </c>
      <c r="F104" s="200">
        <v>864859.20061538462</v>
      </c>
      <c r="G104" s="200">
        <v>8612.888937958176</v>
      </c>
    </row>
    <row r="105" spans="2:7">
      <c r="B105" s="2" t="s">
        <v>209</v>
      </c>
      <c r="C105" s="287">
        <v>0.59374306634124696</v>
      </c>
      <c r="D105" s="200">
        <v>9166.7160718621017</v>
      </c>
      <c r="E105" s="124">
        <v>8238</v>
      </c>
      <c r="F105" s="200">
        <v>343142.58946346201</v>
      </c>
      <c r="G105" s="200">
        <v>9800.028233265788</v>
      </c>
    </row>
    <row r="106" spans="2:7">
      <c r="B106" s="2" t="s">
        <v>210</v>
      </c>
      <c r="C106" s="287">
        <v>0.66640502354788067</v>
      </c>
      <c r="D106" s="200">
        <v>9170.3460884353735</v>
      </c>
      <c r="E106" s="124">
        <v>1176</v>
      </c>
      <c r="F106" s="200">
        <v>494659.71428571426</v>
      </c>
      <c r="G106" s="200">
        <v>9310.194765384369</v>
      </c>
    </row>
    <row r="107" spans="2:7">
      <c r="B107" s="2" t="s">
        <v>211</v>
      </c>
      <c r="C107" s="287">
        <v>0.46276923076923077</v>
      </c>
      <c r="D107" s="200">
        <v>8346.2193979933108</v>
      </c>
      <c r="E107" s="124">
        <v>1495</v>
      </c>
      <c r="F107" s="200">
        <v>309585.56254180602</v>
      </c>
      <c r="G107" s="200">
        <v>8580.8533793674869</v>
      </c>
    </row>
    <row r="108" spans="2:7">
      <c r="B108" s="2" t="s">
        <v>212</v>
      </c>
      <c r="C108" s="287">
        <v>0.34390112842557763</v>
      </c>
      <c r="D108" s="200">
        <v>7553.4084848484845</v>
      </c>
      <c r="E108" s="124">
        <v>1650</v>
      </c>
      <c r="F108" s="200">
        <v>235645.31878787879</v>
      </c>
      <c r="G108" s="200">
        <v>7809.8751557906517</v>
      </c>
    </row>
    <row r="109" spans="2:7">
      <c r="B109" s="2" t="s">
        <v>213</v>
      </c>
      <c r="C109" s="287">
        <v>0.78333333333333333</v>
      </c>
      <c r="D109" s="200">
        <v>12149.501779359431</v>
      </c>
      <c r="E109" s="124">
        <v>281</v>
      </c>
      <c r="F109" s="200">
        <v>494399.70818505337</v>
      </c>
      <c r="G109" s="200">
        <v>12149.501779359431</v>
      </c>
    </row>
    <row r="110" spans="2:7">
      <c r="B110" s="2" t="s">
        <v>214</v>
      </c>
      <c r="C110" s="287">
        <v>0</v>
      </c>
      <c r="D110" s="200">
        <v>20255.333333333332</v>
      </c>
      <c r="E110" s="124">
        <v>9</v>
      </c>
      <c r="F110" s="200">
        <v>2157215.6666666665</v>
      </c>
      <c r="G110" s="200">
        <v>20255.333333333332</v>
      </c>
    </row>
    <row r="111" spans="2:7">
      <c r="B111" s="2" t="s">
        <v>215</v>
      </c>
      <c r="C111" s="287">
        <v>0.65346534653465349</v>
      </c>
      <c r="D111" s="200">
        <v>10813.964285714286</v>
      </c>
      <c r="E111" s="124">
        <v>280</v>
      </c>
      <c r="F111" s="200">
        <v>555701.07857142854</v>
      </c>
      <c r="G111" s="200">
        <v>10813.964285714286</v>
      </c>
    </row>
    <row r="112" spans="2:7">
      <c r="B112" s="2" t="s">
        <v>216</v>
      </c>
      <c r="C112" s="287">
        <v>0.75163398692810457</v>
      </c>
      <c r="D112" s="200">
        <v>11737.445736434109</v>
      </c>
      <c r="E112" s="124">
        <v>258</v>
      </c>
      <c r="F112" s="200">
        <v>578501.56589147286</v>
      </c>
      <c r="G112" s="200">
        <v>11737.445736434109</v>
      </c>
    </row>
    <row r="113" spans="2:7">
      <c r="B113" s="2" t="s">
        <v>217</v>
      </c>
      <c r="C113" s="287">
        <v>0.33653846153846156</v>
      </c>
      <c r="D113" s="200">
        <v>15865.987616099072</v>
      </c>
      <c r="E113" s="124">
        <v>969</v>
      </c>
      <c r="F113" s="200">
        <v>2930262.5644994839</v>
      </c>
      <c r="G113" s="200">
        <v>10225.498452012383</v>
      </c>
    </row>
    <row r="114" spans="2:7">
      <c r="B114" s="2" t="s">
        <v>218</v>
      </c>
      <c r="C114" s="287">
        <v>0.6</v>
      </c>
      <c r="D114" s="200">
        <v>12025.727626459144</v>
      </c>
      <c r="E114" s="124">
        <v>257</v>
      </c>
      <c r="F114" s="200">
        <v>1823952.7859922179</v>
      </c>
      <c r="G114" s="200">
        <v>12025.727626459144</v>
      </c>
    </row>
    <row r="115" spans="2:7">
      <c r="B115" s="2" t="s">
        <v>219</v>
      </c>
      <c r="C115" s="287">
        <v>0.59727385377942999</v>
      </c>
      <c r="D115" s="200">
        <v>7731.2074542897326</v>
      </c>
      <c r="E115" s="124">
        <v>1422</v>
      </c>
      <c r="F115" s="200">
        <v>311256.20815752464</v>
      </c>
      <c r="G115" s="200">
        <v>8359.8918512185537</v>
      </c>
    </row>
    <row r="116" spans="2:7">
      <c r="B116" s="2" t="s">
        <v>220</v>
      </c>
      <c r="C116" s="287">
        <v>0.50420168067226889</v>
      </c>
      <c r="D116" s="200">
        <v>16685.372727272726</v>
      </c>
      <c r="E116" s="124">
        <v>110</v>
      </c>
      <c r="F116" s="200">
        <v>1471384.6090909091</v>
      </c>
      <c r="G116" s="200">
        <v>16685.372727272726</v>
      </c>
    </row>
    <row r="117" spans="2:7">
      <c r="B117" s="2" t="s">
        <v>221</v>
      </c>
      <c r="C117" s="287">
        <v>0.6097560975609756</v>
      </c>
      <c r="D117" s="200">
        <v>15480.548672566372</v>
      </c>
      <c r="E117" s="124">
        <v>113</v>
      </c>
      <c r="F117" s="200">
        <v>1134844.5398230089</v>
      </c>
      <c r="G117" s="200">
        <v>15480.54867256637</v>
      </c>
    </row>
    <row r="118" spans="2:7">
      <c r="B118" s="2" t="s">
        <v>222</v>
      </c>
      <c r="C118" s="287">
        <v>0.36138613861386137</v>
      </c>
      <c r="D118" s="200">
        <v>7762.6292428198431</v>
      </c>
      <c r="E118" s="124">
        <v>383</v>
      </c>
      <c r="F118" s="200">
        <v>0</v>
      </c>
      <c r="G118" s="200">
        <v>7840.7687005858597</v>
      </c>
    </row>
    <row r="119" spans="2:7">
      <c r="B119" s="2" t="s">
        <v>223</v>
      </c>
      <c r="C119" s="287">
        <v>0.53649105848235867</v>
      </c>
      <c r="D119" s="200">
        <v>6049.1982480405713</v>
      </c>
      <c r="E119" s="124">
        <v>2169</v>
      </c>
      <c r="F119" s="200">
        <v>0</v>
      </c>
      <c r="G119" s="200">
        <v>8620.6240830487295</v>
      </c>
    </row>
    <row r="120" spans="2:7">
      <c r="B120" s="2" t="s">
        <v>1482</v>
      </c>
      <c r="C120" s="287">
        <v>0</v>
      </c>
      <c r="D120" s="200">
        <v>7150.8011869436205</v>
      </c>
      <c r="E120" s="124">
        <v>337</v>
      </c>
      <c r="F120" s="200">
        <v>0</v>
      </c>
      <c r="G120" s="200">
        <v>5528.4891507280063</v>
      </c>
    </row>
    <row r="121" spans="2:7">
      <c r="B121" s="2" t="s">
        <v>225</v>
      </c>
      <c r="C121" s="287">
        <v>0.35080645161290325</v>
      </c>
      <c r="D121" s="200">
        <v>10808.657534246575</v>
      </c>
      <c r="E121" s="124">
        <v>219</v>
      </c>
      <c r="F121" s="200">
        <v>0</v>
      </c>
      <c r="G121" s="200">
        <v>11583.758405140668</v>
      </c>
    </row>
    <row r="122" spans="2:7">
      <c r="B122" s="2" t="s">
        <v>226</v>
      </c>
      <c r="C122" s="287">
        <v>0</v>
      </c>
      <c r="D122" s="200">
        <v>7037.9746514575409</v>
      </c>
      <c r="E122" s="124">
        <v>789</v>
      </c>
      <c r="F122" s="200">
        <v>0</v>
      </c>
      <c r="G122" s="200">
        <v>7116.4607238796125</v>
      </c>
    </row>
    <row r="123" spans="2:7">
      <c r="B123" s="2" t="s">
        <v>227</v>
      </c>
      <c r="C123" s="287">
        <v>0.22222222222222221</v>
      </c>
      <c r="D123" s="200">
        <v>6847.4759999999997</v>
      </c>
      <c r="E123" s="124">
        <v>250</v>
      </c>
      <c r="F123" s="200">
        <v>0</v>
      </c>
      <c r="G123" s="200">
        <v>7058.5640000000003</v>
      </c>
    </row>
    <row r="124" spans="2:7">
      <c r="B124" s="2" t="s">
        <v>1483</v>
      </c>
      <c r="C124" s="287">
        <v>0.52716143840856922</v>
      </c>
      <c r="D124" s="200">
        <v>5192.5715835141</v>
      </c>
      <c r="E124" s="124">
        <v>922</v>
      </c>
      <c r="F124" s="200">
        <v>0</v>
      </c>
      <c r="G124" s="200">
        <v>7908.2321937377283</v>
      </c>
    </row>
    <row r="125" spans="2:7">
      <c r="B125" s="2" t="s">
        <v>229</v>
      </c>
      <c r="C125" s="287">
        <v>0.35971223021582732</v>
      </c>
      <c r="D125" s="200">
        <v>8332.1700507614205</v>
      </c>
      <c r="E125" s="124">
        <v>394</v>
      </c>
      <c r="F125" s="200">
        <v>0</v>
      </c>
      <c r="G125" s="200">
        <v>8265.8228540014206</v>
      </c>
    </row>
    <row r="126" spans="2:7">
      <c r="B126" s="2" t="s">
        <v>230</v>
      </c>
      <c r="C126" s="287">
        <v>0.36680327868852458</v>
      </c>
      <c r="D126" s="200">
        <v>5726.1464530892445</v>
      </c>
      <c r="E126" s="124">
        <v>437</v>
      </c>
      <c r="F126" s="200">
        <v>0</v>
      </c>
      <c r="G126" s="200">
        <v>7201.2586613823141</v>
      </c>
    </row>
    <row r="127" spans="2:7">
      <c r="B127" s="2" t="s">
        <v>231</v>
      </c>
      <c r="C127" s="287">
        <v>0.4375</v>
      </c>
      <c r="D127" s="200">
        <v>7872.921875</v>
      </c>
      <c r="E127" s="124">
        <v>384</v>
      </c>
      <c r="F127" s="200">
        <v>0</v>
      </c>
      <c r="G127" s="200">
        <v>8264.1017944594605</v>
      </c>
    </row>
    <row r="128" spans="2:7">
      <c r="B128" s="2" t="s">
        <v>232</v>
      </c>
      <c r="C128" s="287">
        <v>0.28235294117647058</v>
      </c>
      <c r="D128" s="200">
        <v>6214.1502347417836</v>
      </c>
      <c r="E128" s="124">
        <v>639</v>
      </c>
      <c r="F128" s="200">
        <v>0</v>
      </c>
      <c r="G128" s="200">
        <v>7013.1018184802188</v>
      </c>
    </row>
    <row r="129" spans="2:7">
      <c r="B129" s="2" t="s">
        <v>233</v>
      </c>
      <c r="C129" s="287">
        <v>0.42899850523168909</v>
      </c>
      <c r="D129" s="200">
        <v>6889.8437001594893</v>
      </c>
      <c r="E129" s="124">
        <v>627</v>
      </c>
      <c r="F129" s="200">
        <v>0</v>
      </c>
      <c r="G129" s="200">
        <v>7813.4731094465687</v>
      </c>
    </row>
    <row r="130" spans="2:7">
      <c r="B130" s="2" t="s">
        <v>1484</v>
      </c>
      <c r="C130" s="287">
        <v>0.30804597701149428</v>
      </c>
      <c r="D130" s="200">
        <v>6739.425068119891</v>
      </c>
      <c r="E130" s="124">
        <v>367</v>
      </c>
      <c r="F130" s="200">
        <v>0</v>
      </c>
      <c r="G130" s="200">
        <v>7818.983986246315</v>
      </c>
    </row>
    <row r="131" spans="2:7">
      <c r="B131" s="2" t="s">
        <v>235</v>
      </c>
      <c r="C131" s="287">
        <v>0.5761316872427984</v>
      </c>
      <c r="D131" s="200">
        <v>8829.7623318385649</v>
      </c>
      <c r="E131" s="124">
        <v>223</v>
      </c>
      <c r="F131" s="200">
        <v>0</v>
      </c>
      <c r="G131" s="200">
        <v>9554.3695399435328</v>
      </c>
    </row>
    <row r="132" spans="2:7">
      <c r="B132" s="2" t="s">
        <v>1485</v>
      </c>
      <c r="C132" s="287">
        <v>0.46889952153110048</v>
      </c>
      <c r="D132" s="200">
        <v>5005.6792873051227</v>
      </c>
      <c r="E132" s="124">
        <v>449</v>
      </c>
      <c r="F132" s="200">
        <v>0</v>
      </c>
      <c r="G132" s="200">
        <v>7062.6759575551487</v>
      </c>
    </row>
    <row r="133" spans="2:7">
      <c r="B133" s="2" t="s">
        <v>1486</v>
      </c>
      <c r="C133" s="287">
        <v>0.38695652173913042</v>
      </c>
      <c r="D133" s="200">
        <v>7735.1412213740459</v>
      </c>
      <c r="E133" s="124">
        <v>262</v>
      </c>
      <c r="F133" s="200">
        <v>0</v>
      </c>
      <c r="G133" s="200">
        <v>7735.1412213740459</v>
      </c>
    </row>
    <row r="134" spans="2:7">
      <c r="B134" s="2" t="s">
        <v>1487</v>
      </c>
      <c r="C134" s="287">
        <v>0</v>
      </c>
      <c r="D134" s="200">
        <v>7478.4208333333336</v>
      </c>
      <c r="E134" s="124">
        <v>240</v>
      </c>
      <c r="F134" s="200">
        <v>0</v>
      </c>
      <c r="G134" s="200">
        <v>7478.4208333333336</v>
      </c>
    </row>
    <row r="135" spans="2:7">
      <c r="B135" s="2" t="s">
        <v>239</v>
      </c>
      <c r="C135" s="287">
        <v>0</v>
      </c>
      <c r="D135" s="200">
        <v>6517.7950819672133</v>
      </c>
      <c r="E135" s="124">
        <v>244</v>
      </c>
      <c r="F135" s="200">
        <v>0</v>
      </c>
      <c r="G135" s="200">
        <v>6517.7950819672133</v>
      </c>
    </row>
    <row r="136" spans="2:7">
      <c r="B136" s="2" t="s">
        <v>1159</v>
      </c>
      <c r="C136" s="287">
        <v>0.30857142857142855</v>
      </c>
      <c r="D136" s="200">
        <v>8059.6530612244896</v>
      </c>
      <c r="E136" s="124">
        <v>147</v>
      </c>
      <c r="F136" s="200">
        <v>0</v>
      </c>
      <c r="G136" s="200">
        <v>8332.9084353741491</v>
      </c>
    </row>
    <row r="137" spans="2:7">
      <c r="B137" s="2" t="s">
        <v>241</v>
      </c>
      <c r="C137" s="287">
        <v>0.14613180515759314</v>
      </c>
      <c r="D137" s="200">
        <v>6741.525362318841</v>
      </c>
      <c r="E137" s="124">
        <v>276</v>
      </c>
      <c r="F137" s="200">
        <v>0</v>
      </c>
      <c r="G137" s="200">
        <v>7534.4559715128107</v>
      </c>
    </row>
    <row r="138" spans="2:7">
      <c r="B138" s="2" t="s">
        <v>1488</v>
      </c>
      <c r="C138" s="287">
        <v>0.54450261780104714</v>
      </c>
      <c r="D138" s="200">
        <v>7429.7683615819205</v>
      </c>
      <c r="E138" s="124">
        <v>177</v>
      </c>
      <c r="F138" s="200">
        <v>0</v>
      </c>
      <c r="G138" s="200">
        <v>9373.6702753867539</v>
      </c>
    </row>
    <row r="139" spans="2:7">
      <c r="B139" s="2" t="s">
        <v>1489</v>
      </c>
      <c r="C139" s="287">
        <v>0.17647058823529413</v>
      </c>
      <c r="D139" s="200">
        <v>7040.4953161592503</v>
      </c>
      <c r="E139" s="124">
        <v>854</v>
      </c>
      <c r="F139" s="200">
        <v>0</v>
      </c>
      <c r="G139" s="200">
        <v>7669.5883187310537</v>
      </c>
    </row>
    <row r="140" spans="2:7">
      <c r="B140" s="2" t="s">
        <v>1490</v>
      </c>
      <c r="C140" s="287">
        <v>0.56399999999999995</v>
      </c>
      <c r="D140" s="200">
        <v>8867.6029776674932</v>
      </c>
      <c r="E140" s="124">
        <v>403</v>
      </c>
      <c r="F140" s="200">
        <v>0</v>
      </c>
      <c r="G140" s="200">
        <v>9156.2956038577231</v>
      </c>
    </row>
    <row r="141" spans="2:7">
      <c r="B141" s="2" t="s">
        <v>1491</v>
      </c>
      <c r="C141" s="287">
        <v>0.48063380281690143</v>
      </c>
      <c r="D141" s="200">
        <v>5513.9375</v>
      </c>
      <c r="E141" s="124">
        <v>416</v>
      </c>
      <c r="F141" s="200">
        <v>0</v>
      </c>
      <c r="G141" s="200">
        <v>7839.3934470190479</v>
      </c>
    </row>
    <row r="142" spans="2:7">
      <c r="B142" s="2" t="s">
        <v>246</v>
      </c>
      <c r="C142" s="287">
        <v>0.38305084745762713</v>
      </c>
      <c r="D142" s="200">
        <v>6457.097826086957</v>
      </c>
      <c r="E142" s="124">
        <v>276</v>
      </c>
      <c r="F142" s="200">
        <v>0</v>
      </c>
      <c r="G142" s="200">
        <v>7672.9573446327677</v>
      </c>
    </row>
    <row r="143" spans="2:7">
      <c r="B143" s="2" t="s">
        <v>247</v>
      </c>
      <c r="C143" s="287">
        <v>0.9101123595505618</v>
      </c>
      <c r="D143" s="200">
        <v>8973.7707006369419</v>
      </c>
      <c r="E143" s="124">
        <v>157</v>
      </c>
      <c r="F143" s="200">
        <v>0</v>
      </c>
      <c r="G143" s="200">
        <v>10957.417412152006</v>
      </c>
    </row>
    <row r="144" spans="2:7">
      <c r="B144" s="2" t="s">
        <v>1492</v>
      </c>
      <c r="C144" s="287">
        <v>0</v>
      </c>
      <c r="D144" s="200">
        <v>6464.9638242894052</v>
      </c>
      <c r="E144" s="124">
        <v>387</v>
      </c>
      <c r="F144" s="200">
        <v>0</v>
      </c>
      <c r="G144" s="200">
        <v>6600.9460895175998</v>
      </c>
    </row>
    <row r="145" spans="2:7">
      <c r="B145" s="2" t="s">
        <v>1493</v>
      </c>
      <c r="C145" s="287">
        <v>0.71296296296296291</v>
      </c>
      <c r="D145" s="200">
        <v>6771.5184381778745</v>
      </c>
      <c r="E145" s="124">
        <v>461</v>
      </c>
      <c r="F145" s="200">
        <v>0</v>
      </c>
      <c r="G145" s="200">
        <v>9250.8579574656069</v>
      </c>
    </row>
    <row r="146" spans="2:7">
      <c r="B146" s="2" t="s">
        <v>250</v>
      </c>
      <c r="C146" s="287">
        <v>0.2857142857142857</v>
      </c>
      <c r="D146" s="200">
        <v>7054.4788135593217</v>
      </c>
      <c r="E146" s="124">
        <v>236</v>
      </c>
      <c r="F146" s="200">
        <v>0</v>
      </c>
      <c r="G146" s="200">
        <v>7619.0780871670704</v>
      </c>
    </row>
    <row r="147" spans="2:7">
      <c r="B147" s="2" t="s">
        <v>1175</v>
      </c>
      <c r="C147" s="287">
        <v>0.90476190476190477</v>
      </c>
      <c r="D147" s="200">
        <v>26572.354430379746</v>
      </c>
      <c r="E147" s="124">
        <v>79</v>
      </c>
      <c r="F147" s="200">
        <v>0</v>
      </c>
      <c r="G147" s="200">
        <v>27245.103074141047</v>
      </c>
    </row>
    <row r="148" spans="2:7">
      <c r="B148" s="2" t="s">
        <v>1494</v>
      </c>
      <c r="C148" s="287">
        <v>0.58888888888888891</v>
      </c>
      <c r="D148" s="200">
        <v>12426.556962025317</v>
      </c>
      <c r="E148" s="124">
        <v>79</v>
      </c>
      <c r="F148" s="200">
        <v>0</v>
      </c>
      <c r="G148" s="200">
        <v>12426.556962025317</v>
      </c>
    </row>
    <row r="149" spans="2:7">
      <c r="B149" s="2" t="s">
        <v>253</v>
      </c>
      <c r="C149" s="287">
        <v>0</v>
      </c>
      <c r="D149" s="200">
        <v>9130.4148936170204</v>
      </c>
      <c r="E149" s="124">
        <v>94</v>
      </c>
      <c r="F149" s="200">
        <v>0</v>
      </c>
      <c r="G149" s="200">
        <v>9130.4148936170204</v>
      </c>
    </row>
    <row r="150" spans="2:7">
      <c r="B150" s="2" t="s">
        <v>254</v>
      </c>
      <c r="C150" s="287">
        <v>0.49315068493150682</v>
      </c>
      <c r="D150" s="200">
        <v>13976.684365781712</v>
      </c>
      <c r="E150" s="124">
        <v>339</v>
      </c>
      <c r="F150" s="200">
        <v>0</v>
      </c>
      <c r="G150" s="200">
        <v>13979.863777919576</v>
      </c>
    </row>
    <row r="151" spans="2:7">
      <c r="B151" s="2" t="s">
        <v>1495</v>
      </c>
      <c r="C151" s="287">
        <v>0.31538461538461537</v>
      </c>
      <c r="D151" s="200">
        <v>9968.0423728813566</v>
      </c>
      <c r="E151" s="124">
        <v>118</v>
      </c>
      <c r="F151" s="200">
        <v>0</v>
      </c>
      <c r="G151" s="200">
        <v>10656.678096479791</v>
      </c>
    </row>
    <row r="152" spans="2:7">
      <c r="B152" s="2" t="s">
        <v>1496</v>
      </c>
      <c r="C152" s="287">
        <v>0</v>
      </c>
      <c r="D152" s="200">
        <v>9645.5932203389839</v>
      </c>
      <c r="E152" s="124">
        <v>59</v>
      </c>
      <c r="F152" s="200">
        <v>0</v>
      </c>
      <c r="G152" s="200">
        <v>9645.5932203389839</v>
      </c>
    </row>
    <row r="153" spans="2:7">
      <c r="B153" s="2" t="s">
        <v>1497</v>
      </c>
      <c r="C153" s="287">
        <v>0.50928792569659442</v>
      </c>
      <c r="D153" s="200">
        <v>6868.1806020066888</v>
      </c>
      <c r="E153" s="124">
        <v>598</v>
      </c>
      <c r="F153" s="200">
        <v>0</v>
      </c>
      <c r="G153" s="200">
        <v>7976.3397358333132</v>
      </c>
    </row>
    <row r="154" spans="2:7">
      <c r="B154" s="2" t="s">
        <v>258</v>
      </c>
      <c r="C154" s="287">
        <v>0</v>
      </c>
      <c r="D154" s="200">
        <v>6481.4341192787797</v>
      </c>
      <c r="E154" s="124">
        <v>721</v>
      </c>
      <c r="F154" s="200">
        <v>0</v>
      </c>
      <c r="G154" s="200">
        <v>6118.7433188179903</v>
      </c>
    </row>
    <row r="155" spans="2:7">
      <c r="B155" s="2" t="s">
        <v>259</v>
      </c>
      <c r="C155" s="287">
        <v>0</v>
      </c>
      <c r="D155" s="200">
        <v>6272.4949037372589</v>
      </c>
      <c r="E155" s="124">
        <v>883</v>
      </c>
      <c r="F155" s="200">
        <v>0</v>
      </c>
      <c r="G155" s="200">
        <v>6654.8754266083843</v>
      </c>
    </row>
    <row r="156" spans="2:7">
      <c r="B156" s="2" t="s">
        <v>1498</v>
      </c>
      <c r="C156" s="287">
        <v>0</v>
      </c>
      <c r="D156" s="200">
        <v>8603.1875</v>
      </c>
      <c r="E156" s="124">
        <v>128</v>
      </c>
      <c r="F156" s="200">
        <v>0</v>
      </c>
      <c r="G156" s="200">
        <v>8603.1875</v>
      </c>
    </row>
    <row r="157" spans="2:7">
      <c r="B157" s="2"/>
    </row>
    <row r="158" spans="2:7">
      <c r="B158" s="2"/>
    </row>
  </sheetData>
  <autoFilter ref="B2:G156">
    <sortState ref="B3:G156">
      <sortCondition ref="C3:C156"/>
    </sortState>
  </autoFilter>
  <sortState ref="B3:G156">
    <sortCondition ref="C3:C156"/>
  </sortState>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247"/>
  <sheetViews>
    <sheetView topLeftCell="L1" workbookViewId="0">
      <selection activeCell="R160" sqref="R160"/>
    </sheetView>
  </sheetViews>
  <sheetFormatPr defaultRowHeight="14.5"/>
  <cols>
    <col min="2" max="4" width="15" customWidth="1"/>
    <col min="6" max="8" width="15.7265625" customWidth="1"/>
    <col min="13" max="13" width="10" bestFit="1" customWidth="1"/>
    <col min="14" max="14" width="34.26953125" customWidth="1"/>
    <col min="15" max="17" width="14.7265625" customWidth="1"/>
    <col min="18" max="18" width="14.1796875" customWidth="1"/>
    <col min="19" max="19" width="9.54296875" bestFit="1" customWidth="1"/>
    <col min="22" max="22" width="11.7265625" customWidth="1"/>
    <col min="24" max="24" width="11.54296875" bestFit="1" customWidth="1"/>
    <col min="26" max="26" width="17.54296875" customWidth="1"/>
    <col min="27" max="31" width="12.81640625" customWidth="1"/>
  </cols>
  <sheetData>
    <row r="2" spans="2:41" ht="58">
      <c r="B2" s="189" t="s">
        <v>1397</v>
      </c>
      <c r="C2" s="189" t="s">
        <v>1398</v>
      </c>
      <c r="D2" s="189" t="s">
        <v>1399</v>
      </c>
      <c r="G2" s="189" t="s">
        <v>1398</v>
      </c>
      <c r="H2" s="189" t="s">
        <v>1399</v>
      </c>
      <c r="I2" s="189" t="s">
        <v>1397</v>
      </c>
      <c r="N2" t="s">
        <v>1185</v>
      </c>
      <c r="O2" s="170" t="s">
        <v>1341</v>
      </c>
      <c r="P2" s="170" t="s">
        <v>1400</v>
      </c>
      <c r="Q2" s="170" t="s">
        <v>1401</v>
      </c>
      <c r="R2" s="170" t="s">
        <v>1341</v>
      </c>
      <c r="S2" s="170" t="s">
        <v>1377</v>
      </c>
      <c r="T2" s="170" t="s">
        <v>1402</v>
      </c>
      <c r="U2" s="170" t="s">
        <v>1342</v>
      </c>
      <c r="V2" s="170" t="s">
        <v>1401</v>
      </c>
      <c r="X2" s="170" t="s">
        <v>1405</v>
      </c>
    </row>
    <row r="3" spans="2:41">
      <c r="N3" s="2" t="s">
        <v>222</v>
      </c>
      <c r="O3" s="200" t="e">
        <f>'Idaho Data'!#REF!</f>
        <v>#REF!</v>
      </c>
      <c r="P3" t="e">
        <f>'Idaho Data'!#REF!</f>
        <v>#REF!</v>
      </c>
      <c r="Q3" s="301" t="e">
        <f>SUM('Idaho Data'!#REF!)/'Idaho Data'!#REF!</f>
        <v>#REF!</v>
      </c>
      <c r="R3" s="199" t="e">
        <f t="shared" ref="R3:R57" si="0">O3</f>
        <v>#REF!</v>
      </c>
      <c r="S3" s="124">
        <f>VLOOKUP(N3, 'Idaho Data'!$B:$WB, 500, FALSE)</f>
        <v>0</v>
      </c>
      <c r="T3" t="str">
        <f t="shared" ref="T3:T57" si="1">IF(S3&lt;=300, "small", "")</f>
        <v>small</v>
      </c>
      <c r="U3" s="131">
        <f>VLOOKUP(N3, 'Idaho Data'!$B:$TO, 502, FALSE)</f>
        <v>83130</v>
      </c>
      <c r="V3" s="304" t="e">
        <f t="shared" ref="V3:V57" si="2">Q3</f>
        <v>#REF!</v>
      </c>
      <c r="W3" t="e">
        <f t="shared" ref="W3:W57" si="3">V3*S3</f>
        <v>#REF!</v>
      </c>
      <c r="X3">
        <f>VLOOKUP(N3, 'Idaho Data'!$B:$RR, 460, FALSE)</f>
        <v>0</v>
      </c>
      <c r="AK3" s="200" t="e">
        <f>AVERAGEIF(T$3:$T$156, "small", $V$3:$V$156)</f>
        <v>#REF!</v>
      </c>
      <c r="AL3" t="s">
        <v>1403</v>
      </c>
      <c r="AO3" s="200" t="e">
        <f>AVERAGEIFS($V$3:$V$156, $X$3:$X$156, 0, $T$3:$T$156, "small")</f>
        <v>#REF!</v>
      </c>
    </row>
    <row r="4" spans="2:41">
      <c r="N4" s="2" t="s">
        <v>223</v>
      </c>
      <c r="O4" s="200" t="e">
        <f>'Idaho Data'!#REF!</f>
        <v>#REF!</v>
      </c>
      <c r="P4" t="e">
        <f>'Idaho Data'!#REF!</f>
        <v>#REF!</v>
      </c>
      <c r="Q4" s="301" t="e">
        <f>SUM('Idaho Data'!#REF!)/'Idaho Data'!#REF!</f>
        <v>#REF!</v>
      </c>
      <c r="R4" s="199" t="e">
        <f t="shared" si="0"/>
        <v>#REF!</v>
      </c>
      <c r="S4" s="124">
        <f>VLOOKUP(N4, 'Idaho Data'!$B:$WB, 500, FALSE)</f>
        <v>0</v>
      </c>
      <c r="T4" t="str">
        <f t="shared" si="1"/>
        <v>small</v>
      </c>
      <c r="U4" s="131">
        <f>VLOOKUP(N4, 'Idaho Data'!$B:$TO, 502, FALSE)</f>
        <v>750082</v>
      </c>
      <c r="V4" s="304" t="e">
        <f t="shared" si="2"/>
        <v>#REF!</v>
      </c>
      <c r="W4" t="e">
        <f t="shared" si="3"/>
        <v>#REF!</v>
      </c>
      <c r="X4">
        <f>VLOOKUP(N4, 'Idaho Data'!$B:$RR, 460, FALSE)</f>
        <v>0</v>
      </c>
      <c r="Z4" t="s">
        <v>1435</v>
      </c>
      <c r="AK4" s="200" t="e">
        <f>AVERAGEIF(T$3:$T$156, "", $V$3:$V$156)</f>
        <v>#DIV/0!</v>
      </c>
      <c r="AL4" t="s">
        <v>1404</v>
      </c>
      <c r="AO4" s="200" t="e">
        <f>AVERAGEIFS($V$3:$V$156, $X$3:$X$156, 0, $T$3:$T$156, "")</f>
        <v>#DIV/0!</v>
      </c>
    </row>
    <row r="5" spans="2:41">
      <c r="N5" s="2" t="s">
        <v>224</v>
      </c>
      <c r="O5" s="200" t="e">
        <f>'Idaho Data'!#REF!</f>
        <v>#REF!</v>
      </c>
      <c r="P5" t="e">
        <f>'Idaho Data'!#REF!</f>
        <v>#REF!</v>
      </c>
      <c r="Q5" s="301" t="e">
        <f>SUM('Idaho Data'!#REF!)/'Idaho Data'!#REF!</f>
        <v>#REF!</v>
      </c>
      <c r="R5" s="199" t="e">
        <f t="shared" si="0"/>
        <v>#REF!</v>
      </c>
      <c r="S5" s="124" t="e">
        <f>VLOOKUP(N5, 'Idaho Data'!$B:$WB, 500, FALSE)</f>
        <v>#N/A</v>
      </c>
      <c r="T5" t="e">
        <f t="shared" si="1"/>
        <v>#N/A</v>
      </c>
      <c r="U5" s="131" t="e">
        <f>VLOOKUP(N5, 'Idaho Data'!$B:$TO, 502, FALSE)</f>
        <v>#N/A</v>
      </c>
      <c r="V5" s="304" t="e">
        <f t="shared" si="2"/>
        <v>#REF!</v>
      </c>
      <c r="W5" t="e">
        <f t="shared" si="3"/>
        <v>#REF!</v>
      </c>
      <c r="X5" t="e">
        <f>VLOOKUP(N5, 'Idaho Data'!$B:$RR, 460, FALSE)</f>
        <v>#N/A</v>
      </c>
    </row>
    <row r="6" spans="2:41">
      <c r="N6" s="2" t="s">
        <v>225</v>
      </c>
      <c r="O6" s="200" t="e">
        <f>'Idaho Data'!#REF!</f>
        <v>#REF!</v>
      </c>
      <c r="P6" t="e">
        <f>'Idaho Data'!#REF!</f>
        <v>#REF!</v>
      </c>
      <c r="Q6" s="301" t="e">
        <f>SUM('Idaho Data'!#REF!)/'Idaho Data'!#REF!</f>
        <v>#REF!</v>
      </c>
      <c r="R6" s="199" t="e">
        <f t="shared" si="0"/>
        <v>#REF!</v>
      </c>
      <c r="S6" s="124">
        <f>VLOOKUP(N6, 'Idaho Data'!$B:$WB, 500, FALSE)</f>
        <v>0</v>
      </c>
      <c r="T6" t="str">
        <f t="shared" si="1"/>
        <v>small</v>
      </c>
      <c r="U6" s="131">
        <f>VLOOKUP(N6, 'Idaho Data'!$B:$TO, 502, FALSE)</f>
        <v>903325</v>
      </c>
      <c r="V6" s="304" t="e">
        <f t="shared" si="2"/>
        <v>#REF!</v>
      </c>
      <c r="W6" t="e">
        <f t="shared" si="3"/>
        <v>#REF!</v>
      </c>
      <c r="X6">
        <f>VLOOKUP(N6, 'Idaho Data'!$B:$RR, 460, FALSE)</f>
        <v>0</v>
      </c>
      <c r="AK6" t="e">
        <f>SUMIF($T$3:$T$156, "small", $W$3:$W$156)</f>
        <v>#REF!</v>
      </c>
      <c r="AL6" s="305" t="e">
        <f>AK6/SUM(AK6:AK7)</f>
        <v>#REF!</v>
      </c>
    </row>
    <row r="7" spans="2:41">
      <c r="N7" s="2" t="s">
        <v>226</v>
      </c>
      <c r="O7" s="200" t="e">
        <f>'Idaho Data'!#REF!</f>
        <v>#REF!</v>
      </c>
      <c r="P7" t="e">
        <f>'Idaho Data'!#REF!</f>
        <v>#REF!</v>
      </c>
      <c r="Q7" s="301" t="e">
        <f>SUM('Idaho Data'!#REF!)/'Idaho Data'!#REF!</f>
        <v>#REF!</v>
      </c>
      <c r="R7" s="199" t="e">
        <f t="shared" si="0"/>
        <v>#REF!</v>
      </c>
      <c r="S7" s="124">
        <f>VLOOKUP(N7, 'Idaho Data'!$B:$WB, 500, FALSE)</f>
        <v>0</v>
      </c>
      <c r="T7" t="str">
        <f t="shared" si="1"/>
        <v>small</v>
      </c>
      <c r="U7" s="131">
        <f>VLOOKUP(N7, 'Idaho Data'!$B:$TO, 502, FALSE)</f>
        <v>586493</v>
      </c>
      <c r="V7" s="304" t="e">
        <f t="shared" si="2"/>
        <v>#REF!</v>
      </c>
      <c r="W7" t="e">
        <f t="shared" si="3"/>
        <v>#REF!</v>
      </c>
      <c r="X7">
        <f>VLOOKUP(N7, 'Idaho Data'!$B:$RR, 460, FALSE)</f>
        <v>2850</v>
      </c>
      <c r="AK7">
        <f>SUMIF($T$3:$T$156, "", $W$3:$W$156)</f>
        <v>0</v>
      </c>
      <c r="AL7" s="305" t="e">
        <f>AK7/SUM(AK7:AK8)</f>
        <v>#DIV/0!</v>
      </c>
    </row>
    <row r="8" spans="2:41">
      <c r="N8" s="2" t="s">
        <v>227</v>
      </c>
      <c r="O8" s="200" t="e">
        <f>'Idaho Data'!#REF!</f>
        <v>#REF!</v>
      </c>
      <c r="P8" t="e">
        <f>'Idaho Data'!#REF!</f>
        <v>#REF!</v>
      </c>
      <c r="Q8" s="301" t="e">
        <f>SUM('Idaho Data'!#REF!)/'Idaho Data'!#REF!</f>
        <v>#REF!</v>
      </c>
      <c r="R8" s="199" t="e">
        <f t="shared" si="0"/>
        <v>#REF!</v>
      </c>
      <c r="S8" s="124">
        <f>VLOOKUP(N8, 'Idaho Data'!$B:$WB, 500, FALSE)</f>
        <v>0</v>
      </c>
      <c r="T8" t="str">
        <f t="shared" si="1"/>
        <v>small</v>
      </c>
      <c r="U8" s="131">
        <f>VLOOKUP(N8, 'Idaho Data'!$B:$TO, 502, FALSE)</f>
        <v>43454</v>
      </c>
      <c r="V8" s="304" t="e">
        <f t="shared" si="2"/>
        <v>#REF!</v>
      </c>
      <c r="W8" t="e">
        <f t="shared" si="3"/>
        <v>#REF!</v>
      </c>
      <c r="X8">
        <f>VLOOKUP(N8, 'Idaho Data'!$B:$RR, 460, FALSE)</f>
        <v>0</v>
      </c>
    </row>
    <row r="9" spans="2:41">
      <c r="N9" s="2" t="s">
        <v>228</v>
      </c>
      <c r="O9" s="200" t="e">
        <f>'Idaho Data'!#REF!</f>
        <v>#REF!</v>
      </c>
      <c r="P9" t="e">
        <f>'Idaho Data'!#REF!</f>
        <v>#REF!</v>
      </c>
      <c r="Q9" s="301" t="e">
        <f>SUM('Idaho Data'!#REF!)/'Idaho Data'!#REF!</f>
        <v>#REF!</v>
      </c>
      <c r="R9" s="199" t="e">
        <f t="shared" si="0"/>
        <v>#REF!</v>
      </c>
      <c r="S9" s="124" t="e">
        <f>VLOOKUP(N9, 'Idaho Data'!$B:$WB, 500, FALSE)</f>
        <v>#N/A</v>
      </c>
      <c r="T9" t="e">
        <f t="shared" si="1"/>
        <v>#N/A</v>
      </c>
      <c r="U9" s="131" t="e">
        <f>VLOOKUP(N9, 'Idaho Data'!$B:$TO, 502, FALSE)</f>
        <v>#N/A</v>
      </c>
      <c r="V9" s="304" t="e">
        <f t="shared" si="2"/>
        <v>#REF!</v>
      </c>
      <c r="W9" t="e">
        <f t="shared" si="3"/>
        <v>#REF!</v>
      </c>
      <c r="X9" t="e">
        <f>VLOOKUP(N9, 'Idaho Data'!$B:$RR, 460, FALSE)</f>
        <v>#N/A</v>
      </c>
      <c r="AK9" t="e">
        <f>SUMIFS($W$3:$W$156, $X$3:$X$156, 0, $T$3:$T$156, "small")</f>
        <v>#REF!</v>
      </c>
      <c r="AL9" s="131" t="e">
        <f>AK9/SUM(AK9:AK10)</f>
        <v>#REF!</v>
      </c>
    </row>
    <row r="10" spans="2:41">
      <c r="N10" s="2" t="s">
        <v>229</v>
      </c>
      <c r="O10" s="200" t="e">
        <f>'Idaho Data'!#REF!</f>
        <v>#REF!</v>
      </c>
      <c r="P10" t="e">
        <f>'Idaho Data'!#REF!</f>
        <v>#REF!</v>
      </c>
      <c r="Q10" s="301" t="e">
        <f>SUM('Idaho Data'!#REF!)/'Idaho Data'!#REF!</f>
        <v>#REF!</v>
      </c>
      <c r="R10" s="199" t="e">
        <f t="shared" si="0"/>
        <v>#REF!</v>
      </c>
      <c r="S10" s="124">
        <f>VLOOKUP(N10, 'Idaho Data'!$B:$WB, 500, FALSE)</f>
        <v>0</v>
      </c>
      <c r="T10" t="str">
        <f t="shared" si="1"/>
        <v>small</v>
      </c>
      <c r="U10" s="131">
        <f>VLOOKUP(N10, 'Idaho Data'!$B:$TO, 502, FALSE)</f>
        <v>137675</v>
      </c>
      <c r="V10" s="304" t="e">
        <f t="shared" si="2"/>
        <v>#REF!</v>
      </c>
      <c r="W10" t="e">
        <f t="shared" si="3"/>
        <v>#REF!</v>
      </c>
      <c r="X10">
        <f>VLOOKUP(N10, 'Idaho Data'!$B:$RR, 460, FALSE)</f>
        <v>0</v>
      </c>
      <c r="AK10">
        <f>SUMIFS($W$3:$W$156, $X$3:$X$156, 0, $T$3:$T$156, "")</f>
        <v>0</v>
      </c>
      <c r="AL10" s="131" t="e">
        <f>AK10/SUM(AK10:AK11)</f>
        <v>#DIV/0!</v>
      </c>
    </row>
    <row r="11" spans="2:41">
      <c r="N11" s="2" t="s">
        <v>230</v>
      </c>
      <c r="O11" s="200" t="e">
        <f>'Idaho Data'!#REF!</f>
        <v>#REF!</v>
      </c>
      <c r="P11" t="e">
        <f>'Idaho Data'!#REF!</f>
        <v>#REF!</v>
      </c>
      <c r="Q11" s="301" t="e">
        <f>SUM('Idaho Data'!#REF!)/'Idaho Data'!#REF!</f>
        <v>#REF!</v>
      </c>
      <c r="R11" s="199" t="e">
        <f t="shared" si="0"/>
        <v>#REF!</v>
      </c>
      <c r="S11" s="124">
        <f>VLOOKUP(N11, 'Idaho Data'!$B:$WB, 500, FALSE)</f>
        <v>0</v>
      </c>
      <c r="T11" t="str">
        <f t="shared" si="1"/>
        <v>small</v>
      </c>
      <c r="U11" s="131">
        <f>VLOOKUP(N11, 'Idaho Data'!$B:$TO, 502, FALSE)</f>
        <v>49313</v>
      </c>
      <c r="V11" s="304" t="e">
        <f t="shared" si="2"/>
        <v>#REF!</v>
      </c>
      <c r="W11" t="e">
        <f t="shared" si="3"/>
        <v>#REF!</v>
      </c>
      <c r="X11">
        <f>VLOOKUP(N11, 'Idaho Data'!$B:$RR, 460, FALSE)</f>
        <v>0</v>
      </c>
    </row>
    <row r="12" spans="2:41">
      <c r="N12" s="2" t="s">
        <v>231</v>
      </c>
      <c r="O12" s="200">
        <f>'Idaho Data'!SE125</f>
        <v>0</v>
      </c>
      <c r="P12">
        <f>'Idaho Data'!SF125</f>
        <v>0</v>
      </c>
      <c r="Q12" s="301">
        <f>SUM('Idaho Data'!RV125:RW125)/'Idaho Data'!ST125</f>
        <v>7545.5796344647515</v>
      </c>
      <c r="R12" s="199">
        <f t="shared" si="0"/>
        <v>0</v>
      </c>
      <c r="S12" s="124">
        <f>VLOOKUP(N12, 'Idaho Data'!$B:$WB, 500, FALSE)</f>
        <v>0</v>
      </c>
      <c r="T12" t="str">
        <f t="shared" si="1"/>
        <v>small</v>
      </c>
      <c r="U12" s="131">
        <f>VLOOKUP(N12, 'Idaho Data'!$B:$TO, 502, FALSE)</f>
        <v>105720</v>
      </c>
      <c r="V12" s="304">
        <f t="shared" si="2"/>
        <v>7545.5796344647515</v>
      </c>
      <c r="W12">
        <f t="shared" si="3"/>
        <v>0</v>
      </c>
      <c r="X12">
        <f>VLOOKUP(N12, 'Idaho Data'!$B:$RR, 460, FALSE)</f>
        <v>0</v>
      </c>
      <c r="AK12">
        <f>COUNTIFS($T$3:$T$156, "")</f>
        <v>0</v>
      </c>
      <c r="AL12" t="s">
        <v>1437</v>
      </c>
    </row>
    <row r="13" spans="2:41">
      <c r="N13" s="2" t="s">
        <v>232</v>
      </c>
      <c r="O13" s="200">
        <f>'Idaho Data'!SE126</f>
        <v>0</v>
      </c>
      <c r="P13">
        <f>'Idaho Data'!SF126</f>
        <v>0</v>
      </c>
      <c r="Q13" s="301">
        <f>SUM('Idaho Data'!RV126:RW126)/'Idaho Data'!ST126</f>
        <v>5703.3789764868607</v>
      </c>
      <c r="R13" s="199">
        <f t="shared" si="0"/>
        <v>0</v>
      </c>
      <c r="S13" s="124">
        <f>VLOOKUP(N13, 'Idaho Data'!$B:$WB, 500, FALSE)</f>
        <v>0</v>
      </c>
      <c r="T13" t="str">
        <f t="shared" si="1"/>
        <v>small</v>
      </c>
      <c r="U13" s="131">
        <f>VLOOKUP(N13, 'Idaho Data'!$B:$TO, 502, FALSE)</f>
        <v>23469</v>
      </c>
      <c r="V13" s="304">
        <f t="shared" si="2"/>
        <v>5703.3789764868607</v>
      </c>
      <c r="W13">
        <f t="shared" si="3"/>
        <v>0</v>
      </c>
      <c r="X13">
        <f>VLOOKUP(N13, 'Idaho Data'!$B:$RR, 460, FALSE)</f>
        <v>0</v>
      </c>
      <c r="AK13">
        <f>COUNTIFS($T$3:$T$156, "small", $X$3:$X$156, 0)</f>
        <v>64</v>
      </c>
      <c r="AL13" t="s">
        <v>1436</v>
      </c>
    </row>
    <row r="14" spans="2:41">
      <c r="N14" s="2" t="s">
        <v>233</v>
      </c>
      <c r="O14" s="200">
        <f>'Idaho Data'!SE127</f>
        <v>0</v>
      </c>
      <c r="P14">
        <f>'Idaho Data'!SF127</f>
        <v>0</v>
      </c>
      <c r="Q14" s="301">
        <f>SUM('Idaho Data'!RV127:RW127)/'Idaho Data'!ST127</f>
        <v>7100.8278931750738</v>
      </c>
      <c r="R14" s="199">
        <f t="shared" si="0"/>
        <v>0</v>
      </c>
      <c r="S14" s="124">
        <f>VLOOKUP(N14, 'Idaho Data'!$B:$WB, 500, FALSE)</f>
        <v>0</v>
      </c>
      <c r="T14" t="str">
        <f t="shared" si="1"/>
        <v>small</v>
      </c>
      <c r="U14" s="131">
        <f>VLOOKUP(N14, 'Idaho Data'!$B:$TO, 502, FALSE)</f>
        <v>105176</v>
      </c>
      <c r="V14" s="304">
        <f t="shared" si="2"/>
        <v>7100.8278931750738</v>
      </c>
      <c r="W14">
        <f t="shared" si="3"/>
        <v>0</v>
      </c>
      <c r="X14">
        <f>VLOOKUP(N14, 'Idaho Data'!$B:$RR, 460, FALSE)</f>
        <v>0</v>
      </c>
      <c r="AK14">
        <f>COUNTIFS($T$3:$T$156, "small")</f>
        <v>133</v>
      </c>
      <c r="AL14" t="s">
        <v>1438</v>
      </c>
    </row>
    <row r="15" spans="2:41">
      <c r="N15" s="2" t="s">
        <v>234</v>
      </c>
      <c r="O15" s="200">
        <f>'Idaho Data'!SE128</f>
        <v>0</v>
      </c>
      <c r="P15">
        <f>'Idaho Data'!SF128</f>
        <v>0</v>
      </c>
      <c r="Q15" s="301">
        <f>SUM('Idaho Data'!RV128:RW128)/'Idaho Data'!ST128</f>
        <v>6683.8858447488583</v>
      </c>
      <c r="R15" s="199">
        <f t="shared" si="0"/>
        <v>0</v>
      </c>
      <c r="S15" s="124" t="e">
        <f>VLOOKUP(N15, 'Idaho Data'!$B:$WB, 500, FALSE)</f>
        <v>#N/A</v>
      </c>
      <c r="T15" t="e">
        <f t="shared" si="1"/>
        <v>#N/A</v>
      </c>
      <c r="U15" s="131" t="e">
        <f>VLOOKUP(N15, 'Idaho Data'!$B:$TO, 502, FALSE)</f>
        <v>#N/A</v>
      </c>
      <c r="V15" s="304">
        <f t="shared" si="2"/>
        <v>6683.8858447488583</v>
      </c>
      <c r="W15" t="e">
        <f t="shared" si="3"/>
        <v>#N/A</v>
      </c>
      <c r="X15" t="e">
        <f>VLOOKUP(N15, 'Idaho Data'!$B:$RR, 460, FALSE)</f>
        <v>#N/A</v>
      </c>
      <c r="AK15">
        <f>AK14-AK13</f>
        <v>69</v>
      </c>
      <c r="AL15" t="s">
        <v>1439</v>
      </c>
    </row>
    <row r="16" spans="2:41">
      <c r="N16" s="2" t="s">
        <v>235</v>
      </c>
      <c r="O16" s="200">
        <f>'Idaho Data'!SE129</f>
        <v>0</v>
      </c>
      <c r="P16">
        <f>'Idaho Data'!SF129</f>
        <v>0</v>
      </c>
      <c r="Q16" s="301">
        <f>SUM('Idaho Data'!RV129:RW129)/'Idaho Data'!ST129</f>
        <v>6294.6375158428391</v>
      </c>
      <c r="R16" s="199">
        <f t="shared" si="0"/>
        <v>0</v>
      </c>
      <c r="S16" s="124">
        <f>VLOOKUP(N16, 'Idaho Data'!$B:$WB, 500, FALSE)</f>
        <v>0</v>
      </c>
      <c r="T16" t="str">
        <f t="shared" si="1"/>
        <v>small</v>
      </c>
      <c r="U16" s="131">
        <f>VLOOKUP(N16, 'Idaho Data'!$B:$TO, 502, FALSE)</f>
        <v>139200</v>
      </c>
      <c r="V16" s="304">
        <f t="shared" si="2"/>
        <v>6294.6375158428391</v>
      </c>
      <c r="W16">
        <f t="shared" si="3"/>
        <v>0</v>
      </c>
      <c r="X16">
        <f>VLOOKUP(N16, 'Idaho Data'!$B:$RR, 460, FALSE)</f>
        <v>0</v>
      </c>
    </row>
    <row r="17" spans="14:24">
      <c r="N17" s="2" t="s">
        <v>236</v>
      </c>
      <c r="O17" s="200">
        <f>'Idaho Data'!SE130</f>
        <v>0</v>
      </c>
      <c r="P17">
        <f>'Idaho Data'!SF130</f>
        <v>0</v>
      </c>
      <c r="Q17" s="301">
        <f>SUM('Idaho Data'!RV130:RW130)/'Idaho Data'!ST130</f>
        <v>6673.66</v>
      </c>
      <c r="R17" s="199">
        <f t="shared" si="0"/>
        <v>0</v>
      </c>
      <c r="S17" s="124" t="e">
        <f>VLOOKUP(N17, 'Idaho Data'!$B:$WB, 500, FALSE)</f>
        <v>#N/A</v>
      </c>
      <c r="T17" t="e">
        <f t="shared" si="1"/>
        <v>#N/A</v>
      </c>
      <c r="U17" s="131" t="e">
        <f>VLOOKUP(N17, 'Idaho Data'!$B:$TO, 502, FALSE)</f>
        <v>#N/A</v>
      </c>
      <c r="V17" s="304">
        <f t="shared" si="2"/>
        <v>6673.66</v>
      </c>
      <c r="W17" t="e">
        <f t="shared" si="3"/>
        <v>#N/A</v>
      </c>
      <c r="X17" t="e">
        <f>VLOOKUP(N17, 'Idaho Data'!$B:$RR, 460, FALSE)</f>
        <v>#N/A</v>
      </c>
    </row>
    <row r="18" spans="14:24">
      <c r="N18" s="2" t="s">
        <v>237</v>
      </c>
      <c r="O18" s="200">
        <f>'Idaho Data'!SE131</f>
        <v>0</v>
      </c>
      <c r="P18">
        <f>'Idaho Data'!SF131</f>
        <v>0</v>
      </c>
      <c r="Q18" s="301">
        <f>SUM('Idaho Data'!RV131:RW131)/'Idaho Data'!ST131</f>
        <v>5189.6670281995657</v>
      </c>
      <c r="R18" s="199">
        <f t="shared" si="0"/>
        <v>0</v>
      </c>
      <c r="S18" s="124" t="e">
        <f>VLOOKUP(N18, 'Idaho Data'!$B:$WB, 500, FALSE)</f>
        <v>#N/A</v>
      </c>
      <c r="T18" t="e">
        <f t="shared" si="1"/>
        <v>#N/A</v>
      </c>
      <c r="U18" s="131" t="e">
        <f>VLOOKUP(N18, 'Idaho Data'!$B:$TO, 502, FALSE)</f>
        <v>#N/A</v>
      </c>
      <c r="V18" s="304">
        <f t="shared" si="2"/>
        <v>5189.6670281995657</v>
      </c>
      <c r="W18" t="e">
        <f t="shared" si="3"/>
        <v>#N/A</v>
      </c>
      <c r="X18" t="e">
        <f>VLOOKUP(N18, 'Idaho Data'!$B:$RR, 460, FALSE)</f>
        <v>#N/A</v>
      </c>
    </row>
    <row r="19" spans="14:24">
      <c r="N19" s="2" t="s">
        <v>238</v>
      </c>
      <c r="O19" s="200">
        <f>'Idaho Data'!SE132</f>
        <v>0</v>
      </c>
      <c r="P19">
        <f>'Idaho Data'!SF132</f>
        <v>0</v>
      </c>
      <c r="Q19" s="301">
        <f>SUM('Idaho Data'!RV132:RW132)/'Idaho Data'!ST132</f>
        <v>7982.7411167512691</v>
      </c>
      <c r="R19" s="199">
        <f t="shared" si="0"/>
        <v>0</v>
      </c>
      <c r="S19" s="124" t="e">
        <f>VLOOKUP(N19, 'Idaho Data'!$B:$WB, 500, FALSE)</f>
        <v>#N/A</v>
      </c>
      <c r="T19" t="e">
        <f t="shared" si="1"/>
        <v>#N/A</v>
      </c>
      <c r="U19" s="131" t="e">
        <f>VLOOKUP(N19, 'Idaho Data'!$B:$TO, 502, FALSE)</f>
        <v>#N/A</v>
      </c>
      <c r="V19" s="304">
        <f t="shared" si="2"/>
        <v>7982.7411167512691</v>
      </c>
      <c r="W19" t="e">
        <f t="shared" si="3"/>
        <v>#N/A</v>
      </c>
      <c r="X19" t="e">
        <f>VLOOKUP(N19, 'Idaho Data'!$B:$RR, 460, FALSE)</f>
        <v>#N/A</v>
      </c>
    </row>
    <row r="20" spans="14:24">
      <c r="N20" s="2" t="s">
        <v>239</v>
      </c>
      <c r="O20" s="200">
        <f>'Idaho Data'!SE133</f>
        <v>0</v>
      </c>
      <c r="P20">
        <f>'Idaho Data'!SF133</f>
        <v>0</v>
      </c>
      <c r="Q20" s="301">
        <f>SUM('Idaho Data'!RV133:RW133)/'Idaho Data'!ST133</f>
        <v>5613.3020594965674</v>
      </c>
      <c r="R20" s="199">
        <f t="shared" si="0"/>
        <v>0</v>
      </c>
      <c r="S20" s="124">
        <f>VLOOKUP(N20, 'Idaho Data'!$B:$WB, 500, FALSE)</f>
        <v>0</v>
      </c>
      <c r="T20" t="str">
        <f t="shared" si="1"/>
        <v>small</v>
      </c>
      <c r="U20" s="131">
        <f>VLOOKUP(N20, 'Idaho Data'!$B:$TO, 502, FALSE)</f>
        <v>4841</v>
      </c>
      <c r="V20" s="304">
        <f t="shared" si="2"/>
        <v>5613.3020594965674</v>
      </c>
      <c r="W20">
        <f t="shared" si="3"/>
        <v>0</v>
      </c>
      <c r="X20">
        <f>VLOOKUP(N20, 'Idaho Data'!$B:$RR, 460, FALSE)</f>
        <v>0</v>
      </c>
    </row>
    <row r="21" spans="14:24">
      <c r="N21" s="2" t="s">
        <v>240</v>
      </c>
      <c r="O21" s="200">
        <f>'Idaho Data'!SE134</f>
        <v>0</v>
      </c>
      <c r="P21">
        <f>'Idaho Data'!SF134</f>
        <v>0</v>
      </c>
      <c r="Q21" s="301">
        <f>SUM('Idaho Data'!RV134:RW134)/'Idaho Data'!ST134</f>
        <v>7597.609375</v>
      </c>
      <c r="R21" s="199">
        <f t="shared" si="0"/>
        <v>0</v>
      </c>
      <c r="S21" s="124" t="e">
        <f>VLOOKUP(N21, 'Idaho Data'!$B:$WB, 500, FALSE)</f>
        <v>#N/A</v>
      </c>
      <c r="T21" t="e">
        <f t="shared" si="1"/>
        <v>#N/A</v>
      </c>
      <c r="U21" s="131" t="e">
        <f>VLOOKUP(N21, 'Idaho Data'!$B:$TO, 502, FALSE)</f>
        <v>#N/A</v>
      </c>
      <c r="V21" s="304">
        <f t="shared" si="2"/>
        <v>7597.609375</v>
      </c>
      <c r="W21" t="e">
        <f t="shared" si="3"/>
        <v>#N/A</v>
      </c>
      <c r="X21" t="e">
        <f>VLOOKUP(N21, 'Idaho Data'!$B:$RR, 460, FALSE)</f>
        <v>#N/A</v>
      </c>
    </row>
    <row r="22" spans="14:24">
      <c r="N22" s="2" t="s">
        <v>241</v>
      </c>
      <c r="O22" s="200">
        <f>'Idaho Data'!SE135</f>
        <v>0</v>
      </c>
      <c r="P22">
        <f>'Idaho Data'!SF135</f>
        <v>0</v>
      </c>
      <c r="Q22" s="301">
        <f>SUM('Idaho Data'!RV135:RW135)/'Idaho Data'!ST135</f>
        <v>6177.422535211268</v>
      </c>
      <c r="R22" s="199">
        <f t="shared" si="0"/>
        <v>0</v>
      </c>
      <c r="S22" s="124">
        <f>VLOOKUP(N22, 'Idaho Data'!$B:$WB, 500, FALSE)</f>
        <v>0</v>
      </c>
      <c r="T22" t="str">
        <f t="shared" si="1"/>
        <v>small</v>
      </c>
      <c r="U22" s="131">
        <f>VLOOKUP(N22, 'Idaho Data'!$B:$TO, 502, FALSE)</f>
        <v>37468</v>
      </c>
      <c r="V22" s="304">
        <f t="shared" si="2"/>
        <v>6177.422535211268</v>
      </c>
      <c r="W22">
        <f t="shared" si="3"/>
        <v>0</v>
      </c>
      <c r="X22">
        <f>VLOOKUP(N22, 'Idaho Data'!$B:$RR, 460, FALSE)</f>
        <v>0</v>
      </c>
    </row>
    <row r="23" spans="14:24">
      <c r="N23" s="2" t="s">
        <v>242</v>
      </c>
      <c r="O23" s="200">
        <f>'Idaho Data'!SE136</f>
        <v>0</v>
      </c>
      <c r="P23">
        <f>'Idaho Data'!SF136</f>
        <v>0</v>
      </c>
      <c r="Q23" s="301">
        <f>SUM('Idaho Data'!RV136:RW136)/'Idaho Data'!ST136</f>
        <v>6722.0988835725675</v>
      </c>
      <c r="R23" s="199">
        <f t="shared" si="0"/>
        <v>0</v>
      </c>
      <c r="S23" s="124" t="e">
        <f>VLOOKUP(N23, 'Idaho Data'!$B:$WB, 500, FALSE)</f>
        <v>#N/A</v>
      </c>
      <c r="T23" t="e">
        <f t="shared" si="1"/>
        <v>#N/A</v>
      </c>
      <c r="U23" s="131" t="e">
        <f>VLOOKUP(N23, 'Idaho Data'!$B:$TO, 502, FALSE)</f>
        <v>#N/A</v>
      </c>
      <c r="V23" s="304">
        <f t="shared" si="2"/>
        <v>6722.0988835725675</v>
      </c>
      <c r="W23" t="e">
        <f t="shared" si="3"/>
        <v>#N/A</v>
      </c>
      <c r="X23" t="e">
        <f>VLOOKUP(N23, 'Idaho Data'!$B:$RR, 460, FALSE)</f>
        <v>#N/A</v>
      </c>
    </row>
    <row r="24" spans="14:24">
      <c r="N24" s="2" t="s">
        <v>243</v>
      </c>
      <c r="O24" s="200">
        <f>'Idaho Data'!SE137</f>
        <v>0</v>
      </c>
      <c r="P24">
        <f>'Idaho Data'!SF137</f>
        <v>0</v>
      </c>
      <c r="Q24" s="301">
        <f>SUM('Idaho Data'!RV137:RW137)/'Idaho Data'!ST137</f>
        <v>6362.0653950953674</v>
      </c>
      <c r="R24" s="199">
        <f t="shared" si="0"/>
        <v>0</v>
      </c>
      <c r="S24" s="124" t="e">
        <f>VLOOKUP(N24, 'Idaho Data'!$B:$WB, 500, FALSE)</f>
        <v>#N/A</v>
      </c>
      <c r="T24" t="e">
        <f t="shared" si="1"/>
        <v>#N/A</v>
      </c>
      <c r="U24" s="131" t="e">
        <f>VLOOKUP(N24, 'Idaho Data'!$B:$TO, 502, FALSE)</f>
        <v>#N/A</v>
      </c>
      <c r="V24" s="304">
        <f t="shared" si="2"/>
        <v>6362.0653950953674</v>
      </c>
      <c r="W24" t="e">
        <f t="shared" si="3"/>
        <v>#N/A</v>
      </c>
      <c r="X24" t="e">
        <f>VLOOKUP(N24, 'Idaho Data'!$B:$RR, 460, FALSE)</f>
        <v>#N/A</v>
      </c>
    </row>
    <row r="25" spans="14:24">
      <c r="N25" s="2" t="s">
        <v>244</v>
      </c>
      <c r="O25" s="200">
        <f>'Idaho Data'!SE138</f>
        <v>0</v>
      </c>
      <c r="P25">
        <f>'Idaho Data'!SF138</f>
        <v>0</v>
      </c>
      <c r="Q25" s="301">
        <f>SUM('Idaho Data'!RV138:RW138)/'Idaho Data'!ST138</f>
        <v>8205.5470852017934</v>
      </c>
      <c r="R25" s="199">
        <f t="shared" si="0"/>
        <v>0</v>
      </c>
      <c r="S25" s="124" t="e">
        <f>VLOOKUP(N25, 'Idaho Data'!$B:$WB, 500, FALSE)</f>
        <v>#N/A</v>
      </c>
      <c r="T25" t="e">
        <f t="shared" si="1"/>
        <v>#N/A</v>
      </c>
      <c r="U25" s="131" t="e">
        <f>VLOOKUP(N25, 'Idaho Data'!$B:$TO, 502, FALSE)</f>
        <v>#N/A</v>
      </c>
      <c r="V25" s="304">
        <f t="shared" si="2"/>
        <v>8205.5470852017934</v>
      </c>
      <c r="W25" t="e">
        <f t="shared" si="3"/>
        <v>#N/A</v>
      </c>
      <c r="X25" t="e">
        <f>VLOOKUP(N25, 'Idaho Data'!$B:$RR, 460, FALSE)</f>
        <v>#N/A</v>
      </c>
    </row>
    <row r="26" spans="14:24">
      <c r="N26" s="2" t="s">
        <v>245</v>
      </c>
      <c r="O26" s="200">
        <f>'Idaho Data'!SE139</f>
        <v>0</v>
      </c>
      <c r="P26">
        <f>'Idaho Data'!SF139</f>
        <v>0</v>
      </c>
      <c r="Q26" s="301">
        <f>SUM('Idaho Data'!RV139:RW139)/'Idaho Data'!ST139</f>
        <v>4990.7683741648107</v>
      </c>
      <c r="R26" s="199">
        <f t="shared" si="0"/>
        <v>0</v>
      </c>
      <c r="S26" s="124" t="e">
        <f>VLOOKUP(N26, 'Idaho Data'!$B:$WB, 500, FALSE)</f>
        <v>#N/A</v>
      </c>
      <c r="T26" t="e">
        <f t="shared" si="1"/>
        <v>#N/A</v>
      </c>
      <c r="U26" s="131" t="e">
        <f>VLOOKUP(N26, 'Idaho Data'!$B:$TO, 502, FALSE)</f>
        <v>#N/A</v>
      </c>
      <c r="V26" s="304">
        <f t="shared" si="2"/>
        <v>4990.7683741648107</v>
      </c>
      <c r="W26" t="e">
        <f t="shared" si="3"/>
        <v>#N/A</v>
      </c>
      <c r="X26" t="e">
        <f>VLOOKUP(N26, 'Idaho Data'!$B:$RR, 460, FALSE)</f>
        <v>#N/A</v>
      </c>
    </row>
    <row r="27" spans="14:24">
      <c r="N27" s="2" t="s">
        <v>246</v>
      </c>
      <c r="O27" s="200">
        <f>'Idaho Data'!SE140</f>
        <v>0</v>
      </c>
      <c r="P27">
        <f>'Idaho Data'!SF140</f>
        <v>0</v>
      </c>
      <c r="Q27" s="301">
        <f>SUM('Idaho Data'!RV140:RW140)/'Idaho Data'!ST140</f>
        <v>7592.5496183206105</v>
      </c>
      <c r="R27" s="199">
        <f t="shared" si="0"/>
        <v>0</v>
      </c>
      <c r="S27" s="124">
        <f>VLOOKUP(N27, 'Idaho Data'!$B:$WB, 500, FALSE)</f>
        <v>0</v>
      </c>
      <c r="T27" t="str">
        <f t="shared" si="1"/>
        <v>small</v>
      </c>
      <c r="U27" s="131">
        <f>VLOOKUP(N27, 'Idaho Data'!$B:$TO, 502, FALSE)</f>
        <v>19052</v>
      </c>
      <c r="V27" s="304">
        <f t="shared" si="2"/>
        <v>7592.5496183206105</v>
      </c>
      <c r="W27">
        <f t="shared" si="3"/>
        <v>0</v>
      </c>
      <c r="X27">
        <f>VLOOKUP(N27, 'Idaho Data'!$B:$RR, 460, FALSE)</f>
        <v>0</v>
      </c>
    </row>
    <row r="28" spans="14:24">
      <c r="N28" s="2" t="s">
        <v>247</v>
      </c>
      <c r="O28" s="200">
        <f>'Idaho Data'!SE141</f>
        <v>0</v>
      </c>
      <c r="P28">
        <f>'Idaho Data'!SF141</f>
        <v>0</v>
      </c>
      <c r="Q28" s="301">
        <f>SUM('Idaho Data'!RV141:RW141)/'Idaho Data'!ST141</f>
        <v>7409.979166666667</v>
      </c>
      <c r="R28" s="199">
        <f t="shared" si="0"/>
        <v>0</v>
      </c>
      <c r="S28" s="124">
        <f>VLOOKUP(N28, 'Idaho Data'!$B:$WB, 500, FALSE)</f>
        <v>0</v>
      </c>
      <c r="T28" t="str">
        <f t="shared" si="1"/>
        <v>small</v>
      </c>
      <c r="U28" s="131">
        <f>VLOOKUP(N28, 'Idaho Data'!$B:$TO, 502, FALSE)</f>
        <v>117416</v>
      </c>
      <c r="V28" s="304">
        <f t="shared" si="2"/>
        <v>7409.979166666667</v>
      </c>
      <c r="W28">
        <f t="shared" si="3"/>
        <v>0</v>
      </c>
      <c r="X28">
        <f>VLOOKUP(N28, 'Idaho Data'!$B:$RR, 460, FALSE)</f>
        <v>1988</v>
      </c>
    </row>
    <row r="29" spans="14:24">
      <c r="N29" s="2" t="s">
        <v>248</v>
      </c>
      <c r="O29" s="200">
        <f>'Idaho Data'!SE142</f>
        <v>0</v>
      </c>
      <c r="P29">
        <f>'Idaho Data'!SF142</f>
        <v>0</v>
      </c>
      <c r="Q29" s="301">
        <f>SUM('Idaho Data'!RV142:RW142)/'Idaho Data'!ST142</f>
        <v>6497.9549180327867</v>
      </c>
      <c r="R29" s="199">
        <f t="shared" si="0"/>
        <v>0</v>
      </c>
      <c r="S29" s="124" t="e">
        <f>VLOOKUP(N29, 'Idaho Data'!$B:$WB, 500, FALSE)</f>
        <v>#N/A</v>
      </c>
      <c r="T29" t="e">
        <f t="shared" si="1"/>
        <v>#N/A</v>
      </c>
      <c r="U29" s="131" t="e">
        <f>VLOOKUP(N29, 'Idaho Data'!$B:$TO, 502, FALSE)</f>
        <v>#N/A</v>
      </c>
      <c r="V29" s="304">
        <f t="shared" si="2"/>
        <v>6497.9549180327867</v>
      </c>
      <c r="W29" t="e">
        <f t="shared" si="3"/>
        <v>#N/A</v>
      </c>
      <c r="X29" t="e">
        <f>VLOOKUP(N29, 'Idaho Data'!$B:$RR, 460, FALSE)</f>
        <v>#N/A</v>
      </c>
    </row>
    <row r="30" spans="14:24">
      <c r="N30" s="2" t="s">
        <v>249</v>
      </c>
      <c r="O30" s="200">
        <f>'Idaho Data'!SE143</f>
        <v>0</v>
      </c>
      <c r="P30">
        <f>'Idaho Data'!SF143</f>
        <v>0</v>
      </c>
      <c r="Q30" s="301">
        <f>SUM('Idaho Data'!RV143:RW143)/'Idaho Data'!ST143</f>
        <v>7219.6462585034014</v>
      </c>
      <c r="R30" s="199">
        <f t="shared" si="0"/>
        <v>0</v>
      </c>
      <c r="S30" s="124" t="e">
        <f>VLOOKUP(N30, 'Idaho Data'!$B:$WB, 500, FALSE)</f>
        <v>#N/A</v>
      </c>
      <c r="T30" t="e">
        <f t="shared" si="1"/>
        <v>#N/A</v>
      </c>
      <c r="U30" s="131" t="e">
        <f>VLOOKUP(N30, 'Idaho Data'!$B:$TO, 502, FALSE)</f>
        <v>#N/A</v>
      </c>
      <c r="V30" s="304">
        <f t="shared" si="2"/>
        <v>7219.6462585034014</v>
      </c>
      <c r="W30" t="e">
        <f t="shared" si="3"/>
        <v>#N/A</v>
      </c>
      <c r="X30" t="e">
        <f>VLOOKUP(N30, 'Idaho Data'!$B:$RR, 460, FALSE)</f>
        <v>#N/A</v>
      </c>
    </row>
    <row r="31" spans="14:24">
      <c r="N31" s="2" t="s">
        <v>250</v>
      </c>
      <c r="O31" s="200">
        <f>'Idaho Data'!SE144</f>
        <v>0</v>
      </c>
      <c r="P31">
        <f>'Idaho Data'!SF144</f>
        <v>0</v>
      </c>
      <c r="Q31" s="301">
        <f>SUM('Idaho Data'!RV144:RW144)/'Idaho Data'!ST144</f>
        <v>6605.771739130435</v>
      </c>
      <c r="R31" s="199">
        <f t="shared" si="0"/>
        <v>0</v>
      </c>
      <c r="S31" s="124">
        <f>VLOOKUP(N31, 'Idaho Data'!$B:$WB, 500, FALSE)</f>
        <v>0</v>
      </c>
      <c r="T31" t="str">
        <f t="shared" si="1"/>
        <v>small</v>
      </c>
      <c r="U31" s="131">
        <f>VLOOKUP(N31, 'Idaho Data'!$B:$TO, 502, FALSE)</f>
        <v>144939</v>
      </c>
      <c r="V31" s="304">
        <f t="shared" si="2"/>
        <v>6605.771739130435</v>
      </c>
      <c r="W31">
        <f t="shared" si="3"/>
        <v>0</v>
      </c>
      <c r="X31">
        <f>VLOOKUP(N31, 'Idaho Data'!$B:$RR, 460, FALSE)</f>
        <v>0</v>
      </c>
    </row>
    <row r="32" spans="14:24">
      <c r="N32" s="2" t="s">
        <v>251</v>
      </c>
      <c r="O32" s="200">
        <f>'Idaho Data'!SE145</f>
        <v>0</v>
      </c>
      <c r="P32">
        <f>'Idaho Data'!SF145</f>
        <v>0</v>
      </c>
      <c r="Q32" s="301">
        <f>SUM('Idaho Data'!RV145:RW145)/'Idaho Data'!ST145</f>
        <v>6529.8135593220341</v>
      </c>
      <c r="R32" s="199">
        <f t="shared" si="0"/>
        <v>0</v>
      </c>
      <c r="S32" s="124" t="e">
        <f>VLOOKUP(N32, 'Idaho Data'!$B:$WB, 500, FALSE)</f>
        <v>#N/A</v>
      </c>
      <c r="T32" t="e">
        <f t="shared" si="1"/>
        <v>#N/A</v>
      </c>
      <c r="U32" s="131" t="e">
        <f>VLOOKUP(N32, 'Idaho Data'!$B:$TO, 502, FALSE)</f>
        <v>#N/A</v>
      </c>
      <c r="V32" s="304">
        <f t="shared" si="2"/>
        <v>6529.8135593220341</v>
      </c>
      <c r="W32" t="e">
        <f t="shared" si="3"/>
        <v>#N/A</v>
      </c>
      <c r="X32" t="e">
        <f>VLOOKUP(N32, 'Idaho Data'!$B:$RR, 460, FALSE)</f>
        <v>#N/A</v>
      </c>
    </row>
    <row r="33" spans="14:24">
      <c r="N33" s="2" t="s">
        <v>252</v>
      </c>
      <c r="O33" s="200">
        <f>'Idaho Data'!SE146</f>
        <v>0</v>
      </c>
      <c r="P33">
        <f>'Idaho Data'!SF146</f>
        <v>0</v>
      </c>
      <c r="Q33" s="301">
        <f>SUM('Idaho Data'!RV146:RW146)/'Idaho Data'!ST146</f>
        <v>5943.7997658079621</v>
      </c>
      <c r="R33" s="199">
        <f t="shared" si="0"/>
        <v>0</v>
      </c>
      <c r="S33" s="124" t="e">
        <f>VLOOKUP(N33, 'Idaho Data'!$B:$WB, 500, FALSE)</f>
        <v>#N/A</v>
      </c>
      <c r="T33" t="e">
        <f t="shared" si="1"/>
        <v>#N/A</v>
      </c>
      <c r="U33" s="131" t="e">
        <f>VLOOKUP(N33, 'Idaho Data'!$B:$TO, 502, FALSE)</f>
        <v>#N/A</v>
      </c>
      <c r="V33" s="304">
        <f t="shared" si="2"/>
        <v>5943.7997658079621</v>
      </c>
      <c r="W33" t="e">
        <f t="shared" si="3"/>
        <v>#N/A</v>
      </c>
      <c r="X33" t="e">
        <f>VLOOKUP(N33, 'Idaho Data'!$B:$RR, 460, FALSE)</f>
        <v>#N/A</v>
      </c>
    </row>
    <row r="34" spans="14:24">
      <c r="N34" s="2" t="s">
        <v>253</v>
      </c>
      <c r="O34" s="200">
        <f>'Idaho Data'!SE147</f>
        <v>0</v>
      </c>
      <c r="P34">
        <f>'Idaho Data'!SF147</f>
        <v>0</v>
      </c>
      <c r="Q34" s="301">
        <f>SUM('Idaho Data'!RV147:RW147)/'Idaho Data'!ST147</f>
        <v>7359.5632754342432</v>
      </c>
      <c r="R34" s="199">
        <f t="shared" si="0"/>
        <v>0</v>
      </c>
      <c r="S34" s="124">
        <f>VLOOKUP(N34, 'Idaho Data'!$B:$WB, 500, FALSE)</f>
        <v>0</v>
      </c>
      <c r="T34" t="str">
        <f t="shared" si="1"/>
        <v>small</v>
      </c>
      <c r="U34" s="131">
        <f>VLOOKUP(N34, 'Idaho Data'!$B:$TO, 502, FALSE)</f>
        <v>35828</v>
      </c>
      <c r="V34" s="304">
        <f t="shared" si="2"/>
        <v>7359.5632754342432</v>
      </c>
      <c r="W34">
        <f t="shared" si="3"/>
        <v>0</v>
      </c>
      <c r="X34">
        <f>VLOOKUP(N34, 'Idaho Data'!$B:$RR, 460, FALSE)</f>
        <v>0</v>
      </c>
    </row>
    <row r="35" spans="14:24">
      <c r="N35" s="2" t="s">
        <v>254</v>
      </c>
      <c r="O35" s="200">
        <f>'Idaho Data'!SE148</f>
        <v>0</v>
      </c>
      <c r="P35">
        <f>'Idaho Data'!SF148</f>
        <v>0</v>
      </c>
      <c r="Q35" s="301">
        <f>SUM('Idaho Data'!RV148:RW148)/'Idaho Data'!ST148</f>
        <v>5407.0576923076924</v>
      </c>
      <c r="R35" s="199">
        <f t="shared" si="0"/>
        <v>0</v>
      </c>
      <c r="S35" s="124">
        <f>VLOOKUP(N35, 'Idaho Data'!$B:$WB, 500, FALSE)</f>
        <v>0</v>
      </c>
      <c r="T35" t="str">
        <f t="shared" si="1"/>
        <v>small</v>
      </c>
      <c r="U35" s="131">
        <f>VLOOKUP(N35, 'Idaho Data'!$B:$TO, 502, FALSE)</f>
        <v>2139706</v>
      </c>
      <c r="V35" s="304">
        <f t="shared" si="2"/>
        <v>5407.0576923076924</v>
      </c>
      <c r="W35">
        <f t="shared" si="3"/>
        <v>0</v>
      </c>
      <c r="X35">
        <f>VLOOKUP(N35, 'Idaho Data'!$B:$RR, 460, FALSE)</f>
        <v>0</v>
      </c>
    </row>
    <row r="36" spans="14:24">
      <c r="N36" s="2" t="s">
        <v>255</v>
      </c>
      <c r="O36" s="200">
        <f>'Idaho Data'!SE149</f>
        <v>0</v>
      </c>
      <c r="P36">
        <f>'Idaho Data'!SF149</f>
        <v>0</v>
      </c>
      <c r="Q36" s="301">
        <f>SUM('Idaho Data'!RV149:RW149)/'Idaho Data'!ST149</f>
        <v>6388.06884057971</v>
      </c>
      <c r="R36" s="199">
        <f t="shared" si="0"/>
        <v>0</v>
      </c>
      <c r="S36" s="124" t="e">
        <f>VLOOKUP(N36, 'Idaho Data'!$B:$WB, 500, FALSE)</f>
        <v>#N/A</v>
      </c>
      <c r="T36" t="e">
        <f t="shared" si="1"/>
        <v>#N/A</v>
      </c>
      <c r="U36" s="131" t="e">
        <f>VLOOKUP(N36, 'Idaho Data'!$B:$TO, 502, FALSE)</f>
        <v>#N/A</v>
      </c>
      <c r="V36" s="304">
        <f t="shared" si="2"/>
        <v>6388.06884057971</v>
      </c>
      <c r="W36" t="e">
        <f t="shared" si="3"/>
        <v>#N/A</v>
      </c>
      <c r="X36" t="e">
        <f>VLOOKUP(N36, 'Idaho Data'!$B:$RR, 460, FALSE)</f>
        <v>#N/A</v>
      </c>
    </row>
    <row r="37" spans="14:24">
      <c r="N37" s="2" t="s">
        <v>256</v>
      </c>
      <c r="O37" s="200">
        <f>'Idaho Data'!SE150</f>
        <v>0</v>
      </c>
      <c r="P37">
        <f>'Idaho Data'!SF150</f>
        <v>0</v>
      </c>
      <c r="Q37" s="301">
        <f>SUM('Idaho Data'!RV150:RW150)/'Idaho Data'!ST150</f>
        <v>8225.8980891719748</v>
      </c>
      <c r="R37" s="199">
        <f t="shared" si="0"/>
        <v>0</v>
      </c>
      <c r="S37" s="124" t="e">
        <f>VLOOKUP(N37, 'Idaho Data'!$B:$WB, 500, FALSE)</f>
        <v>#N/A</v>
      </c>
      <c r="T37" t="e">
        <f t="shared" si="1"/>
        <v>#N/A</v>
      </c>
      <c r="U37" s="131" t="e">
        <f>VLOOKUP(N37, 'Idaho Data'!$B:$TO, 502, FALSE)</f>
        <v>#N/A</v>
      </c>
      <c r="V37" s="304">
        <f t="shared" si="2"/>
        <v>8225.8980891719748</v>
      </c>
      <c r="W37" t="e">
        <f t="shared" si="3"/>
        <v>#N/A</v>
      </c>
      <c r="X37" t="e">
        <f>VLOOKUP(N37, 'Idaho Data'!$B:$RR, 460, FALSE)</f>
        <v>#N/A</v>
      </c>
    </row>
    <row r="38" spans="14:24">
      <c r="N38" s="2" t="s">
        <v>257</v>
      </c>
      <c r="O38" s="200">
        <f>'Idaho Data'!SE151</f>
        <v>0</v>
      </c>
      <c r="P38">
        <f>'Idaho Data'!SF151</f>
        <v>0</v>
      </c>
      <c r="Q38" s="301">
        <f>SUM('Idaho Data'!RV151:RW151)/'Idaho Data'!ST151</f>
        <v>5840.9121447028419</v>
      </c>
      <c r="R38" s="199">
        <f t="shared" si="0"/>
        <v>0</v>
      </c>
      <c r="S38" s="124" t="e">
        <f>VLOOKUP(N38, 'Idaho Data'!$B:$WB, 500, FALSE)</f>
        <v>#N/A</v>
      </c>
      <c r="T38" t="e">
        <f t="shared" si="1"/>
        <v>#N/A</v>
      </c>
      <c r="U38" s="131" t="e">
        <f>VLOOKUP(N38, 'Idaho Data'!$B:$TO, 502, FALSE)</f>
        <v>#N/A</v>
      </c>
      <c r="V38" s="304">
        <f t="shared" si="2"/>
        <v>5840.9121447028419</v>
      </c>
      <c r="W38" t="e">
        <f t="shared" si="3"/>
        <v>#N/A</v>
      </c>
      <c r="X38" t="e">
        <f>VLOOKUP(N38, 'Idaho Data'!$B:$RR, 460, FALSE)</f>
        <v>#N/A</v>
      </c>
    </row>
    <row r="39" spans="14:24">
      <c r="N39" s="2" t="s">
        <v>258</v>
      </c>
      <c r="O39" s="200">
        <f>'Idaho Data'!SE152</f>
        <v>0</v>
      </c>
      <c r="P39">
        <f>'Idaho Data'!SF152</f>
        <v>0</v>
      </c>
      <c r="Q39" s="301">
        <f>SUM('Idaho Data'!RV152:RW152)/'Idaho Data'!ST152</f>
        <v>6701.6507592190892</v>
      </c>
      <c r="R39" s="199">
        <f t="shared" si="0"/>
        <v>0</v>
      </c>
      <c r="S39" s="124">
        <f>VLOOKUP(N39, 'Idaho Data'!$B:$WB, 500, FALSE)</f>
        <v>0</v>
      </c>
      <c r="T39" t="str">
        <f t="shared" si="1"/>
        <v>small</v>
      </c>
      <c r="U39" s="131">
        <f>VLOOKUP(N39, 'Idaho Data'!$B:$TO, 502, FALSE)</f>
        <v>381961</v>
      </c>
      <c r="V39" s="304">
        <f t="shared" si="2"/>
        <v>6701.6507592190892</v>
      </c>
      <c r="W39">
        <f t="shared" si="3"/>
        <v>0</v>
      </c>
      <c r="X39">
        <f>VLOOKUP(N39, 'Idaho Data'!$B:$RR, 460, FALSE)</f>
        <v>0</v>
      </c>
    </row>
    <row r="40" spans="14:24">
      <c r="N40" s="2" t="s">
        <v>259</v>
      </c>
      <c r="O40" s="200">
        <f>'Idaho Data'!SE153</f>
        <v>0</v>
      </c>
      <c r="P40">
        <f>'Idaho Data'!SF153</f>
        <v>0</v>
      </c>
      <c r="Q40" s="301">
        <f>SUM('Idaho Data'!RV153:RW153)/'Idaho Data'!ST153</f>
        <v>6440.3305084745762</v>
      </c>
      <c r="R40" s="199">
        <f t="shared" si="0"/>
        <v>0</v>
      </c>
      <c r="S40" s="124">
        <f>VLOOKUP(N40, 'Idaho Data'!$B:$WB, 500, FALSE)</f>
        <v>0</v>
      </c>
      <c r="T40" t="str">
        <f t="shared" si="1"/>
        <v>small</v>
      </c>
      <c r="U40" s="131">
        <f>VLOOKUP(N40, 'Idaho Data'!$B:$TO, 502, FALSE)</f>
        <v>106989</v>
      </c>
      <c r="V40" s="304">
        <f t="shared" si="2"/>
        <v>6440.3305084745762</v>
      </c>
      <c r="W40">
        <f t="shared" si="3"/>
        <v>0</v>
      </c>
      <c r="X40">
        <f>VLOOKUP(N40, 'Idaho Data'!$B:$RR, 460, FALSE)</f>
        <v>0</v>
      </c>
    </row>
    <row r="41" spans="14:24">
      <c r="N41" s="2" t="s">
        <v>260</v>
      </c>
      <c r="O41" s="200">
        <f>'Idaho Data'!SE154</f>
        <v>0</v>
      </c>
      <c r="P41">
        <f>'Idaho Data'!SF154</f>
        <v>0</v>
      </c>
      <c r="Q41" s="301">
        <f>SUM('Idaho Data'!RV154:RW154)/'Idaho Data'!ST154</f>
        <v>24463.746835443038</v>
      </c>
      <c r="R41" s="199">
        <f t="shared" si="0"/>
        <v>0</v>
      </c>
      <c r="S41" s="124" t="e">
        <f>VLOOKUP(N41, 'Idaho Data'!$B:$WB, 500, FALSE)</f>
        <v>#N/A</v>
      </c>
      <c r="T41" t="e">
        <f t="shared" si="1"/>
        <v>#N/A</v>
      </c>
      <c r="U41" s="131" t="e">
        <f>VLOOKUP(N41, 'Idaho Data'!$B:$TO, 502, FALSE)</f>
        <v>#N/A</v>
      </c>
      <c r="V41" s="304">
        <f t="shared" si="2"/>
        <v>24463.746835443038</v>
      </c>
      <c r="W41" t="e">
        <f t="shared" si="3"/>
        <v>#N/A</v>
      </c>
      <c r="X41" t="e">
        <f>VLOOKUP(N41, 'Idaho Data'!$B:$RR, 460, FALSE)</f>
        <v>#N/A</v>
      </c>
    </row>
    <row r="42" spans="14:24">
      <c r="N42" s="2" t="s">
        <v>187</v>
      </c>
      <c r="O42" s="200">
        <f>'Idaho Data'!SE91</f>
        <v>176449.59081562713</v>
      </c>
      <c r="P42">
        <f>'Idaho Data'!SF91</f>
        <v>5.1139260000000002</v>
      </c>
      <c r="Q42" s="301">
        <f>SUM('Idaho Data'!RV91:RW91)/'Idaho Data'!ST91</f>
        <v>6651.0678546949966</v>
      </c>
      <c r="R42" s="199">
        <f t="shared" si="0"/>
        <v>176449.59081562713</v>
      </c>
      <c r="S42" s="124">
        <f>VLOOKUP(N42, 'Idaho Data'!$B:$WB, 500, FALSE)</f>
        <v>0</v>
      </c>
      <c r="T42" t="str">
        <f t="shared" si="1"/>
        <v>small</v>
      </c>
      <c r="U42" s="131">
        <f>VLOOKUP(N42, 'Idaho Data'!$B:$TO, 502, FALSE)</f>
        <v>2101751</v>
      </c>
      <c r="V42" s="304">
        <f t="shared" si="2"/>
        <v>6651.0678546949966</v>
      </c>
      <c r="W42">
        <f t="shared" si="3"/>
        <v>0</v>
      </c>
      <c r="X42">
        <f>VLOOKUP(N42, 'Idaho Data'!$B:$RR, 460, FALSE)</f>
        <v>17230</v>
      </c>
    </row>
    <row r="43" spans="14:24">
      <c r="N43" s="2" t="s">
        <v>162</v>
      </c>
      <c r="O43" s="200">
        <f>'Idaho Data'!SE67</f>
        <v>185696.1193273906</v>
      </c>
      <c r="P43">
        <f>'Idaho Data'!SF67</f>
        <v>4.266089</v>
      </c>
      <c r="Q43" s="301">
        <f>SUM('Idaho Data'!RV67:RW67)/'Idaho Data'!ST67</f>
        <v>6136.4394246353322</v>
      </c>
      <c r="R43" s="199">
        <f t="shared" si="0"/>
        <v>185696.1193273906</v>
      </c>
      <c r="S43" s="124">
        <f>VLOOKUP(N43, 'Idaho Data'!$B:$WB, 500, FALSE)</f>
        <v>0</v>
      </c>
      <c r="T43" t="str">
        <f t="shared" si="1"/>
        <v>small</v>
      </c>
      <c r="U43" s="131">
        <f>VLOOKUP(N43, 'Idaho Data'!$B:$TO, 502, FALSE)</f>
        <v>5023789</v>
      </c>
      <c r="V43" s="304">
        <f t="shared" si="2"/>
        <v>6136.4394246353322</v>
      </c>
      <c r="W43">
        <f t="shared" si="3"/>
        <v>0</v>
      </c>
      <c r="X43">
        <f>VLOOKUP(N43, 'Idaho Data'!$B:$RR, 460, FALSE)</f>
        <v>34292</v>
      </c>
    </row>
    <row r="44" spans="14:24">
      <c r="N44" s="2" t="s">
        <v>197</v>
      </c>
      <c r="O44" s="200">
        <f>'Idaho Data'!SE100</f>
        <v>219840.57743957028</v>
      </c>
      <c r="P44">
        <f>'Idaho Data'!SF100</f>
        <v>3.7671999999999999</v>
      </c>
      <c r="Q44" s="301">
        <f>SUM('Idaho Data'!RV100:RW100)/'Idaho Data'!ST100</f>
        <v>6447.8415398388543</v>
      </c>
      <c r="R44" s="199">
        <f t="shared" si="0"/>
        <v>219840.57743957028</v>
      </c>
      <c r="S44" s="124">
        <f>VLOOKUP(N44, 'Idaho Data'!$B:$WB, 500, FALSE)</f>
        <v>0</v>
      </c>
      <c r="T44" t="str">
        <f t="shared" si="1"/>
        <v>small</v>
      </c>
      <c r="U44" s="131">
        <f>VLOOKUP(N44, 'Idaho Data'!$B:$TO, 502, FALSE)</f>
        <v>1169425</v>
      </c>
      <c r="V44" s="304">
        <f t="shared" si="2"/>
        <v>6447.8415398388543</v>
      </c>
      <c r="W44">
        <f t="shared" si="3"/>
        <v>0</v>
      </c>
      <c r="X44">
        <f>VLOOKUP(N44, 'Idaho Data'!$B:$RR, 460, FALSE)</f>
        <v>0</v>
      </c>
    </row>
    <row r="45" spans="14:24">
      <c r="N45" s="2" t="s">
        <v>149</v>
      </c>
      <c r="O45" s="200">
        <f>'Idaho Data'!SE56</f>
        <v>191855.02760609807</v>
      </c>
      <c r="P45">
        <f>'Idaho Data'!SF56</f>
        <v>2.0028229999999998</v>
      </c>
      <c r="Q45" s="301">
        <f>SUM('Idaho Data'!RV56:RW56)/'Idaho Data'!ST56</f>
        <v>6203.2583436341165</v>
      </c>
      <c r="R45" s="199">
        <f t="shared" si="0"/>
        <v>191855.02760609807</v>
      </c>
      <c r="S45" s="124">
        <f>VLOOKUP(N45, 'Idaho Data'!$B:$WB, 500, FALSE)</f>
        <v>0</v>
      </c>
      <c r="T45" t="str">
        <f t="shared" si="1"/>
        <v>small</v>
      </c>
      <c r="U45" s="131">
        <f>VLOOKUP(N45, 'Idaho Data'!$B:$TO, 502, FALSE)</f>
        <v>1416031</v>
      </c>
      <c r="V45" s="304">
        <f t="shared" si="2"/>
        <v>6203.2583436341165</v>
      </c>
      <c r="W45">
        <f t="shared" si="3"/>
        <v>0</v>
      </c>
      <c r="X45">
        <f>VLOOKUP(N45, 'Idaho Data'!$B:$RR, 460, FALSE)</f>
        <v>88308</v>
      </c>
    </row>
    <row r="46" spans="14:24">
      <c r="N46" s="2" t="s">
        <v>163</v>
      </c>
      <c r="O46" s="200">
        <f>'Idaho Data'!SE68</f>
        <v>198510.04148148149</v>
      </c>
      <c r="P46">
        <f>'Idaho Data'!SF68</f>
        <v>6.974596</v>
      </c>
      <c r="Q46" s="301">
        <f>SUM('Idaho Data'!RV68:RW68)/'Idaho Data'!ST68</f>
        <v>7440.3185185185184</v>
      </c>
      <c r="R46" s="199">
        <f t="shared" si="0"/>
        <v>198510.04148148149</v>
      </c>
      <c r="S46" s="124">
        <f>VLOOKUP(N46, 'Idaho Data'!$B:$WB, 500, FALSE)</f>
        <v>0</v>
      </c>
      <c r="T46" t="str">
        <f t="shared" si="1"/>
        <v>small</v>
      </c>
      <c r="U46" s="131">
        <f>VLOOKUP(N46, 'Idaho Data'!$B:$TO, 502, FALSE)</f>
        <v>1172550</v>
      </c>
      <c r="V46" s="304">
        <f t="shared" si="2"/>
        <v>7440.3185185185184</v>
      </c>
      <c r="W46">
        <f t="shared" si="3"/>
        <v>0</v>
      </c>
      <c r="X46">
        <f>VLOOKUP(N46, 'Idaho Data'!$B:$RR, 460, FALSE)</f>
        <v>44526</v>
      </c>
    </row>
    <row r="47" spans="14:24">
      <c r="N47" s="2" t="s">
        <v>112</v>
      </c>
      <c r="O47" s="200">
        <f>'Idaho Data'!SE21</f>
        <v>208656.08234318873</v>
      </c>
      <c r="P47">
        <f>'Idaho Data'!SF21</f>
        <v>4.5786059999999997</v>
      </c>
      <c r="Q47" s="301">
        <f>SUM('Idaho Data'!RV21:RW21)/'Idaho Data'!ST21</f>
        <v>6948.2025421387125</v>
      </c>
      <c r="R47" s="199">
        <f t="shared" si="0"/>
        <v>208656.08234318873</v>
      </c>
      <c r="S47" s="124">
        <f>VLOOKUP(N47, 'Idaho Data'!$B:$WB, 500, FALSE)</f>
        <v>0</v>
      </c>
      <c r="T47" t="str">
        <f t="shared" si="1"/>
        <v>small</v>
      </c>
      <c r="U47" s="131">
        <f>VLOOKUP(N47, 'Idaho Data'!$B:$TO, 502, FALSE)</f>
        <v>4592754</v>
      </c>
      <c r="V47" s="304">
        <f t="shared" si="2"/>
        <v>6948.2025421387125</v>
      </c>
      <c r="W47">
        <f t="shared" si="3"/>
        <v>0</v>
      </c>
      <c r="X47">
        <f>VLOOKUP(N47, 'Idaho Data'!$B:$RR, 460, FALSE)</f>
        <v>39441</v>
      </c>
    </row>
    <row r="48" spans="14:24">
      <c r="N48" s="2" t="s">
        <v>184</v>
      </c>
      <c r="O48" s="200">
        <f>'Idaho Data'!SE88</f>
        <v>211514.45581395348</v>
      </c>
      <c r="P48">
        <f>'Idaho Data'!SF88</f>
        <v>1.94557</v>
      </c>
      <c r="Q48" s="301">
        <f>SUM('Idaho Data'!RV88:RW88)/'Idaho Data'!ST88</f>
        <v>10000.488372093023</v>
      </c>
      <c r="R48" s="199">
        <f t="shared" si="0"/>
        <v>211514.45581395348</v>
      </c>
      <c r="S48" s="124">
        <f>VLOOKUP(N48, 'Idaho Data'!$B:$WB, 500, FALSE)</f>
        <v>0</v>
      </c>
      <c r="T48" t="str">
        <f t="shared" si="1"/>
        <v>small</v>
      </c>
      <c r="U48" s="131">
        <f>VLOOKUP(N48, 'Idaho Data'!$B:$TO, 502, FALSE)</f>
        <v>313440</v>
      </c>
      <c r="V48" s="304">
        <f t="shared" si="2"/>
        <v>10000.488372093023</v>
      </c>
      <c r="W48">
        <f t="shared" si="3"/>
        <v>0</v>
      </c>
      <c r="X48">
        <f>VLOOKUP(N48, 'Idaho Data'!$B:$RR, 460, FALSE)</f>
        <v>3400</v>
      </c>
    </row>
    <row r="49" spans="14:24">
      <c r="N49" s="2" t="s">
        <v>124</v>
      </c>
      <c r="O49" s="200">
        <f>'Idaho Data'!SE33</f>
        <v>222169.39952109044</v>
      </c>
      <c r="P49">
        <f>'Idaho Data'!SF33</f>
        <v>5.4479990000000003</v>
      </c>
      <c r="Q49" s="301">
        <f>SUM('Idaho Data'!RV33:RW33)/'Idaho Data'!ST33</f>
        <v>6091.3006078467488</v>
      </c>
      <c r="R49" s="199">
        <f t="shared" si="0"/>
        <v>222169.39952109044</v>
      </c>
      <c r="S49" s="124">
        <f>VLOOKUP(N49, 'Idaho Data'!$B:$WB, 500, FALSE)</f>
        <v>0</v>
      </c>
      <c r="T49" t="str">
        <f t="shared" si="1"/>
        <v>small</v>
      </c>
      <c r="U49" s="131">
        <f>VLOOKUP(N49, 'Idaho Data'!$B:$TO, 502, FALSE)</f>
        <v>16569565</v>
      </c>
      <c r="V49" s="304">
        <f t="shared" si="2"/>
        <v>6091.3006078467488</v>
      </c>
      <c r="W49">
        <f t="shared" si="3"/>
        <v>0</v>
      </c>
      <c r="X49">
        <f>VLOOKUP(N49, 'Idaho Data'!$B:$RR, 460, FALSE)</f>
        <v>77252</v>
      </c>
    </row>
    <row r="50" spans="14:24">
      <c r="N50" s="2" t="s">
        <v>111</v>
      </c>
      <c r="O50" s="200">
        <f>'Idaho Data'!SE20</f>
        <v>224672.35051546391</v>
      </c>
      <c r="P50">
        <f>'Idaho Data'!SF20</f>
        <v>6.2998719999999997</v>
      </c>
      <c r="Q50" s="301">
        <f>SUM('Idaho Data'!RV20:RW20)/'Idaho Data'!ST20</f>
        <v>6829.3363402061859</v>
      </c>
      <c r="R50" s="199">
        <f t="shared" si="0"/>
        <v>224672.35051546391</v>
      </c>
      <c r="S50" s="124">
        <f>VLOOKUP(N50, 'Idaho Data'!$B:$WB, 500, FALSE)</f>
        <v>0</v>
      </c>
      <c r="T50" t="str">
        <f t="shared" si="1"/>
        <v>small</v>
      </c>
      <c r="U50" s="131">
        <f>VLOOKUP(N50, 'Idaho Data'!$B:$TO, 502, FALSE)</f>
        <v>2471460</v>
      </c>
      <c r="V50" s="304">
        <f t="shared" si="2"/>
        <v>6829.3363402061859</v>
      </c>
      <c r="W50">
        <f t="shared" si="3"/>
        <v>0</v>
      </c>
      <c r="X50">
        <f>VLOOKUP(N50, 'Idaho Data'!$B:$RR, 460, FALSE)</f>
        <v>0</v>
      </c>
    </row>
    <row r="51" spans="14:24">
      <c r="N51" s="2" t="s">
        <v>132</v>
      </c>
      <c r="O51" s="200">
        <f>'Idaho Data'!SE40</f>
        <v>233017.69186046513</v>
      </c>
      <c r="P51">
        <f>'Idaho Data'!SF40</f>
        <v>5.2503479999999998</v>
      </c>
      <c r="Q51" s="301">
        <f>SUM('Idaho Data'!RV40:RW40)/'Idaho Data'!ST40</f>
        <v>6574.018826135105</v>
      </c>
      <c r="R51" s="199">
        <f t="shared" si="0"/>
        <v>233017.69186046513</v>
      </c>
      <c r="S51" s="124">
        <f>VLOOKUP(N51, 'Idaho Data'!$B:$WB, 500, FALSE)</f>
        <v>0</v>
      </c>
      <c r="T51" t="str">
        <f t="shared" si="1"/>
        <v>small</v>
      </c>
      <c r="U51" s="131">
        <f>VLOOKUP(N51, 'Idaho Data'!$B:$TO, 502, FALSE)</f>
        <v>5109137</v>
      </c>
      <c r="V51" s="304">
        <f t="shared" si="2"/>
        <v>6574.018826135105</v>
      </c>
      <c r="W51">
        <f t="shared" si="3"/>
        <v>0</v>
      </c>
      <c r="X51">
        <f>VLOOKUP(N51, 'Idaho Data'!$B:$RR, 460, FALSE)</f>
        <v>0</v>
      </c>
    </row>
    <row r="52" spans="14:24">
      <c r="N52" s="2" t="s">
        <v>115</v>
      </c>
      <c r="O52" s="200">
        <f>'Idaho Data'!SE24</f>
        <v>245081.64720314034</v>
      </c>
      <c r="P52">
        <f>'Idaho Data'!SF24</f>
        <v>3.4697260000000001</v>
      </c>
      <c r="Q52" s="301">
        <f>SUM('Idaho Data'!RV24:RW24)/'Idaho Data'!ST24</f>
        <v>6133.8267909715405</v>
      </c>
      <c r="R52" s="199">
        <f t="shared" si="0"/>
        <v>245081.64720314034</v>
      </c>
      <c r="S52" s="124">
        <f>VLOOKUP(N52, 'Idaho Data'!$B:$WB, 500, FALSE)</f>
        <v>0</v>
      </c>
      <c r="T52" t="str">
        <f t="shared" si="1"/>
        <v>small</v>
      </c>
      <c r="U52" s="131">
        <f>VLOOKUP(N52, 'Idaho Data'!$B:$TO, 502, FALSE)</f>
        <v>2123950</v>
      </c>
      <c r="V52" s="304">
        <f t="shared" si="2"/>
        <v>6133.8267909715405</v>
      </c>
      <c r="W52">
        <f t="shared" si="3"/>
        <v>0</v>
      </c>
      <c r="X52">
        <f>VLOOKUP(N52, 'Idaho Data'!$B:$RR, 460, FALSE)</f>
        <v>21856</v>
      </c>
    </row>
    <row r="53" spans="14:24">
      <c r="N53" s="2" t="s">
        <v>212</v>
      </c>
      <c r="O53" s="200">
        <f>'Idaho Data'!SE115</f>
        <v>235645.31878787879</v>
      </c>
      <c r="P53">
        <f>'Idaho Data'!SF115</f>
        <v>3.9128859999999999</v>
      </c>
      <c r="Q53" s="301">
        <f>SUM('Idaho Data'!RV115:RW115)/'Idaho Data'!ST115</f>
        <v>6388.5569696969696</v>
      </c>
      <c r="R53" s="199">
        <f t="shared" si="0"/>
        <v>235645.31878787879</v>
      </c>
      <c r="S53" s="124">
        <f>VLOOKUP(N53, 'Idaho Data'!$B:$WB, 500, FALSE)</f>
        <v>0</v>
      </c>
      <c r="T53" t="str">
        <f t="shared" si="1"/>
        <v>small</v>
      </c>
      <c r="U53" s="131">
        <f>VLOOKUP(N53, 'Idaho Data'!$B:$TO, 502, FALSE)</f>
        <v>1922005</v>
      </c>
      <c r="V53" s="304">
        <f t="shared" si="2"/>
        <v>6388.5569696969696</v>
      </c>
      <c r="W53">
        <f t="shared" si="3"/>
        <v>0</v>
      </c>
      <c r="X53">
        <f>VLOOKUP(N53, 'Idaho Data'!$B:$RR, 460, FALSE)</f>
        <v>14568</v>
      </c>
    </row>
    <row r="54" spans="14:24">
      <c r="N54" s="2" t="s">
        <v>202</v>
      </c>
      <c r="O54" s="200">
        <f>'Idaho Data'!SE105</f>
        <v>242445.96363636362</v>
      </c>
      <c r="P54">
        <f>'Idaho Data'!SF105</f>
        <v>7.5978439999999994</v>
      </c>
      <c r="Q54" s="301">
        <f>SUM('Idaho Data'!RV105:RW105)/'Idaho Data'!ST105</f>
        <v>10270.830303030303</v>
      </c>
      <c r="R54" s="199">
        <f t="shared" si="0"/>
        <v>242445.96363636362</v>
      </c>
      <c r="S54" s="124">
        <f>VLOOKUP(N54, 'Idaho Data'!$B:$WB, 500, FALSE)</f>
        <v>0</v>
      </c>
      <c r="T54" t="str">
        <f t="shared" si="1"/>
        <v>small</v>
      </c>
      <c r="U54" s="131">
        <f>VLOOKUP(N54, 'Idaho Data'!$B:$TO, 502, FALSE)</f>
        <v>376448</v>
      </c>
      <c r="V54" s="304">
        <f t="shared" si="2"/>
        <v>10270.830303030303</v>
      </c>
      <c r="W54">
        <f t="shared" si="3"/>
        <v>0</v>
      </c>
      <c r="X54">
        <f>VLOOKUP(N54, 'Idaho Data'!$B:$RR, 460, FALSE)</f>
        <v>1332</v>
      </c>
    </row>
    <row r="55" spans="14:24">
      <c r="N55" s="2" t="s">
        <v>136</v>
      </c>
      <c r="O55" s="200">
        <f>'Idaho Data'!SE44</f>
        <v>241733.09337925757</v>
      </c>
      <c r="P55">
        <f>'Idaho Data'!SF44</f>
        <v>5.8200010000000004</v>
      </c>
      <c r="Q55" s="301">
        <f>SUM('Idaho Data'!RV44:RW44)/'Idaho Data'!ST44</f>
        <v>6571.3190457966575</v>
      </c>
      <c r="R55" s="199">
        <f t="shared" si="0"/>
        <v>241733.09337925757</v>
      </c>
      <c r="S55" s="124">
        <f>VLOOKUP(N55, 'Idaho Data'!$B:$WB, 500, FALSE)</f>
        <v>0</v>
      </c>
      <c r="T55" t="str">
        <f t="shared" si="1"/>
        <v>small</v>
      </c>
      <c r="U55" s="131">
        <f>VLOOKUP(N55, 'Idaho Data'!$B:$TO, 502, FALSE)</f>
        <v>13582878</v>
      </c>
      <c r="V55" s="304">
        <f t="shared" si="2"/>
        <v>6571.3190457966575</v>
      </c>
      <c r="W55">
        <f t="shared" si="3"/>
        <v>0</v>
      </c>
      <c r="X55">
        <f>VLOOKUP(N55, 'Idaho Data'!$B:$RR, 460, FALSE)</f>
        <v>5912</v>
      </c>
    </row>
    <row r="56" spans="14:24">
      <c r="N56" s="2" t="s">
        <v>151</v>
      </c>
      <c r="O56" s="200">
        <f>'Idaho Data'!SE57</f>
        <v>237204.09897610921</v>
      </c>
      <c r="P56">
        <f>'Idaho Data'!SF57</f>
        <v>1.1995110000000002</v>
      </c>
      <c r="Q56" s="301">
        <f>SUM('Idaho Data'!RV57:RW57)/'Idaho Data'!ST57</f>
        <v>7448.1945392491471</v>
      </c>
      <c r="R56" s="199">
        <f t="shared" si="0"/>
        <v>237204.09897610921</v>
      </c>
      <c r="S56" s="124">
        <f>VLOOKUP(N56, 'Idaho Data'!$B:$WB, 500, FALSE)</f>
        <v>0</v>
      </c>
      <c r="T56" t="str">
        <f t="shared" si="1"/>
        <v>small</v>
      </c>
      <c r="U56" s="131">
        <f>VLOOKUP(N56, 'Idaho Data'!$B:$TO, 502, FALSE)</f>
        <v>349343</v>
      </c>
      <c r="V56" s="304">
        <f t="shared" si="2"/>
        <v>7448.1945392491471</v>
      </c>
      <c r="W56">
        <f t="shared" si="3"/>
        <v>0</v>
      </c>
      <c r="X56">
        <f>VLOOKUP(N56, 'Idaho Data'!$B:$RR, 460, FALSE)</f>
        <v>0</v>
      </c>
    </row>
    <row r="57" spans="14:24">
      <c r="N57" s="2" t="s">
        <v>102</v>
      </c>
      <c r="O57" s="200">
        <f>'Idaho Data'!SE12</f>
        <v>253724.48773006134</v>
      </c>
      <c r="P57">
        <f>'Idaho Data'!SF12</f>
        <v>6.172695</v>
      </c>
      <c r="Q57" s="301">
        <f>SUM('Idaho Data'!RV12:RW12)/'Idaho Data'!ST12</f>
        <v>6138.6218813905934</v>
      </c>
      <c r="R57" s="199">
        <f t="shared" si="0"/>
        <v>253724.48773006134</v>
      </c>
      <c r="S57" s="124">
        <f>VLOOKUP(N57, 'Idaho Data'!$B:$WB, 500, FALSE)</f>
        <v>0</v>
      </c>
      <c r="T57" t="str">
        <f t="shared" si="1"/>
        <v>small</v>
      </c>
      <c r="U57" s="131">
        <f>VLOOKUP(N57, 'Idaho Data'!$B:$TO, 502, FALSE)</f>
        <v>8582946</v>
      </c>
      <c r="V57" s="304">
        <f t="shared" si="2"/>
        <v>6138.6218813905934</v>
      </c>
      <c r="W57">
        <f t="shared" si="3"/>
        <v>0</v>
      </c>
      <c r="X57">
        <f>VLOOKUP(N57, 'Idaho Data'!$B:$RR, 460, FALSE)</f>
        <v>0</v>
      </c>
    </row>
    <row r="58" spans="14:24">
      <c r="N58" s="2" t="s">
        <v>133</v>
      </c>
      <c r="O58" s="200">
        <f>'Idaho Data'!SE41</f>
        <v>244914.48266666668</v>
      </c>
      <c r="P58">
        <f>'Idaho Data'!SF41</f>
        <v>4.9784129999999998</v>
      </c>
      <c r="Q58" s="301">
        <f>SUM('Idaho Data'!RV41:RW41)/'Idaho Data'!ST41</f>
        <v>8579.7919999999995</v>
      </c>
      <c r="R58" s="199">
        <f t="shared" ref="R58:R121" si="4">O58</f>
        <v>244914.48266666668</v>
      </c>
      <c r="S58" s="124">
        <f>VLOOKUP(N58, 'Idaho Data'!$B:$WB, 500, FALSE)</f>
        <v>0</v>
      </c>
      <c r="T58" t="str">
        <f t="shared" ref="T58:T121" si="5">IF(S58&lt;=300, "small", "")</f>
        <v>small</v>
      </c>
      <c r="U58" s="131">
        <f>VLOOKUP(N58, 'Idaho Data'!$B:$TO, 502, FALSE)</f>
        <v>545182</v>
      </c>
      <c r="V58" s="304">
        <f t="shared" ref="V58:V121" si="6">Q58</f>
        <v>8579.7919999999995</v>
      </c>
      <c r="W58">
        <f t="shared" ref="W58:W121" si="7">V58*S58</f>
        <v>0</v>
      </c>
      <c r="X58">
        <f>VLOOKUP(N58, 'Idaho Data'!$B:$RR, 460, FALSE)</f>
        <v>0</v>
      </c>
    </row>
    <row r="59" spans="14:24">
      <c r="N59" s="2" t="s">
        <v>194</v>
      </c>
      <c r="O59" s="200">
        <f>'Idaho Data'!SE97</f>
        <v>294019.7002583979</v>
      </c>
      <c r="P59">
        <f>'Idaho Data'!SF97</f>
        <v>4.0787129999999996</v>
      </c>
      <c r="Q59" s="301">
        <f>SUM('Idaho Data'!RV97:RW97)/'Idaho Data'!ST97</f>
        <v>7598.5387596899227</v>
      </c>
      <c r="R59" s="199">
        <f t="shared" si="4"/>
        <v>294019.7002583979</v>
      </c>
      <c r="S59" s="124">
        <f>VLOOKUP(N59, 'Idaho Data'!$B:$WB, 500, FALSE)</f>
        <v>0</v>
      </c>
      <c r="T59" t="str">
        <f t="shared" si="5"/>
        <v>small</v>
      </c>
      <c r="U59" s="131">
        <f>VLOOKUP(N59, 'Idaho Data'!$B:$TO, 502, FALSE)</f>
        <v>1108011</v>
      </c>
      <c r="V59" s="304">
        <f t="shared" si="6"/>
        <v>7598.5387596899227</v>
      </c>
      <c r="W59">
        <f t="shared" si="7"/>
        <v>0</v>
      </c>
      <c r="X59">
        <f>VLOOKUP(N59, 'Idaho Data'!$B:$RR, 460, FALSE)</f>
        <v>9702</v>
      </c>
    </row>
    <row r="60" spans="14:24">
      <c r="N60" s="2" t="s">
        <v>141</v>
      </c>
      <c r="O60" s="200">
        <f>'Idaho Data'!SE48</f>
        <v>262903.39389002038</v>
      </c>
      <c r="P60">
        <f>'Idaho Data'!SF48</f>
        <v>2.8847049999999999</v>
      </c>
      <c r="Q60" s="301">
        <f>SUM('Idaho Data'!RV48:RW48)/'Idaho Data'!ST48</f>
        <v>7077.0723014256619</v>
      </c>
      <c r="R60" s="199">
        <f t="shared" si="4"/>
        <v>262903.39389002038</v>
      </c>
      <c r="S60" s="124">
        <f>VLOOKUP(N60, 'Idaho Data'!$B:$WB, 500, FALSE)</f>
        <v>0</v>
      </c>
      <c r="T60" t="str">
        <f t="shared" si="5"/>
        <v>small</v>
      </c>
      <c r="U60" s="131">
        <f>VLOOKUP(N60, 'Idaho Data'!$B:$TO, 502, FALSE)</f>
        <v>5660433</v>
      </c>
      <c r="V60" s="304">
        <f t="shared" si="6"/>
        <v>7077.0723014256619</v>
      </c>
      <c r="W60">
        <f t="shared" si="7"/>
        <v>0</v>
      </c>
      <c r="X60">
        <f>VLOOKUP(N60, 'Idaho Data'!$B:$RR, 460, FALSE)</f>
        <v>33773</v>
      </c>
    </row>
    <row r="61" spans="14:24">
      <c r="N61" s="2" t="s">
        <v>198</v>
      </c>
      <c r="O61" s="200">
        <f>'Idaho Data'!SE101</f>
        <v>267558.22568940494</v>
      </c>
      <c r="P61">
        <f>'Idaho Data'!SF101</f>
        <v>2.3740869999999998</v>
      </c>
      <c r="Q61" s="301">
        <f>SUM('Idaho Data'!RV101:RW101)/'Idaho Data'!ST101</f>
        <v>7611.6567489114659</v>
      </c>
      <c r="R61" s="199">
        <f t="shared" si="4"/>
        <v>267558.22568940494</v>
      </c>
      <c r="S61" s="124">
        <f>VLOOKUP(N61, 'Idaho Data'!$B:$WB, 500, FALSE)</f>
        <v>0</v>
      </c>
      <c r="T61" t="str">
        <f t="shared" si="5"/>
        <v>small</v>
      </c>
      <c r="U61" s="131">
        <f>VLOOKUP(N61, 'Idaho Data'!$B:$TO, 502, FALSE)</f>
        <v>1100277</v>
      </c>
      <c r="V61" s="304">
        <f t="shared" si="6"/>
        <v>7611.6567489114659</v>
      </c>
      <c r="W61">
        <f t="shared" si="7"/>
        <v>0</v>
      </c>
      <c r="X61">
        <f>VLOOKUP(N61, 'Idaho Data'!$B:$RR, 460, FALSE)</f>
        <v>0</v>
      </c>
    </row>
    <row r="62" spans="14:24">
      <c r="N62" s="2" t="s">
        <v>130</v>
      </c>
      <c r="O62" s="200">
        <f>'Idaho Data'!SE38</f>
        <v>266807.13263342081</v>
      </c>
      <c r="P62">
        <f>'Idaho Data'!SF38</f>
        <v>4.1834310000000006</v>
      </c>
      <c r="Q62" s="301">
        <f>SUM('Idaho Data'!RV38:RW38)/'Idaho Data'!ST38</f>
        <v>7065.9401574803151</v>
      </c>
      <c r="R62" s="199">
        <f t="shared" si="4"/>
        <v>266807.13263342081</v>
      </c>
      <c r="S62" s="124">
        <f>VLOOKUP(N62, 'Idaho Data'!$B:$WB, 500, FALSE)</f>
        <v>0</v>
      </c>
      <c r="T62" t="str">
        <f t="shared" si="5"/>
        <v>small</v>
      </c>
      <c r="U62" s="131">
        <f>VLOOKUP(N62, 'Idaho Data'!$B:$TO, 502, FALSE)</f>
        <v>8164442</v>
      </c>
      <c r="V62" s="304">
        <f t="shared" si="6"/>
        <v>7065.9401574803151</v>
      </c>
      <c r="W62">
        <f t="shared" si="7"/>
        <v>0</v>
      </c>
      <c r="X62">
        <f>VLOOKUP(N62, 'Idaho Data'!$B:$RR, 460, FALSE)</f>
        <v>68020</v>
      </c>
    </row>
    <row r="63" spans="14:24">
      <c r="N63" s="2" t="s">
        <v>156</v>
      </c>
      <c r="O63" s="200">
        <f>'Idaho Data'!SE61</f>
        <v>259798.49471661865</v>
      </c>
      <c r="P63">
        <f>'Idaho Data'!SF61</f>
        <v>3.9260529999999996</v>
      </c>
      <c r="Q63" s="301">
        <f>SUM('Idaho Data'!RV61:RW61)/'Idaho Data'!ST61</f>
        <v>7141.5571565802111</v>
      </c>
      <c r="R63" s="199">
        <f t="shared" si="4"/>
        <v>259798.49471661865</v>
      </c>
      <c r="S63" s="124">
        <f>VLOOKUP(N63, 'Idaho Data'!$B:$WB, 500, FALSE)</f>
        <v>0</v>
      </c>
      <c r="T63" t="str">
        <f t="shared" si="5"/>
        <v>small</v>
      </c>
      <c r="U63" s="131">
        <f>VLOOKUP(N63, 'Idaho Data'!$B:$TO, 502, FALSE)</f>
        <v>1163455</v>
      </c>
      <c r="V63" s="304">
        <f t="shared" si="6"/>
        <v>7141.5571565802111</v>
      </c>
      <c r="W63">
        <f t="shared" si="7"/>
        <v>0</v>
      </c>
      <c r="X63">
        <f>VLOOKUP(N63, 'Idaho Data'!$B:$RR, 460, FALSE)</f>
        <v>0</v>
      </c>
    </row>
    <row r="64" spans="14:24">
      <c r="N64" s="2" t="s">
        <v>128</v>
      </c>
      <c r="O64" s="200">
        <f>'Idaho Data'!SE37</f>
        <v>271543.59709984041</v>
      </c>
      <c r="P64">
        <f>'Idaho Data'!SF37</f>
        <v>4.3491169999999997</v>
      </c>
      <c r="Q64" s="301">
        <f>SUM('Idaho Data'!RV37:RW37)/'Idaho Data'!ST37</f>
        <v>6714.660584194824</v>
      </c>
      <c r="R64" s="199">
        <f t="shared" si="4"/>
        <v>271543.59709984041</v>
      </c>
      <c r="S64" s="124">
        <f>VLOOKUP(N64, 'Idaho Data'!$B:$WB, 500, FALSE)</f>
        <v>0</v>
      </c>
      <c r="T64" t="str">
        <f t="shared" si="5"/>
        <v>small</v>
      </c>
      <c r="U64" s="131">
        <f>VLOOKUP(N64, 'Idaho Data'!$B:$TO, 502, FALSE)</f>
        <v>20496683</v>
      </c>
      <c r="V64" s="304">
        <f t="shared" si="6"/>
        <v>6714.660584194824</v>
      </c>
      <c r="W64">
        <f t="shared" si="7"/>
        <v>0</v>
      </c>
      <c r="X64">
        <f>VLOOKUP(N64, 'Idaho Data'!$B:$RR, 460, FALSE)</f>
        <v>116474</v>
      </c>
    </row>
    <row r="65" spans="14:24">
      <c r="N65" s="2" t="s">
        <v>114</v>
      </c>
      <c r="O65" s="200">
        <f>'Idaho Data'!SE23</f>
        <v>282951.24408284022</v>
      </c>
      <c r="P65">
        <f>'Idaho Data'!SF23</f>
        <v>1.7770620000000001</v>
      </c>
      <c r="Q65" s="301">
        <f>SUM('Idaho Data'!RV23:RW23)/'Idaho Data'!ST23</f>
        <v>7258.6331360946742</v>
      </c>
      <c r="R65" s="199">
        <f t="shared" si="4"/>
        <v>282951.24408284022</v>
      </c>
      <c r="S65" s="124">
        <f>VLOOKUP(N65, 'Idaho Data'!$B:$WB, 500, FALSE)</f>
        <v>0</v>
      </c>
      <c r="T65" t="str">
        <f t="shared" si="5"/>
        <v>small</v>
      </c>
      <c r="U65" s="131">
        <f>VLOOKUP(N65, 'Idaho Data'!$B:$TO, 502, FALSE)</f>
        <v>453234</v>
      </c>
      <c r="V65" s="304">
        <f t="shared" si="6"/>
        <v>7258.6331360946742</v>
      </c>
      <c r="W65">
        <f t="shared" si="7"/>
        <v>0</v>
      </c>
      <c r="X65">
        <f>VLOOKUP(N65, 'Idaho Data'!$B:$RR, 460, FALSE)</f>
        <v>52800</v>
      </c>
    </row>
    <row r="66" spans="14:24">
      <c r="N66" s="2" t="s">
        <v>186</v>
      </c>
      <c r="O66" s="200">
        <f>'Idaho Data'!SE90</f>
        <v>281010.55599254812</v>
      </c>
      <c r="P66">
        <f>'Idaho Data'!SF90</f>
        <v>4.6121570000000007</v>
      </c>
      <c r="Q66" s="301">
        <f>SUM('Idaho Data'!RV90:RW90)/'Idaho Data'!ST90</f>
        <v>6709.9033326433455</v>
      </c>
      <c r="R66" s="199">
        <f t="shared" si="4"/>
        <v>281010.55599254812</v>
      </c>
      <c r="S66" s="124">
        <f>VLOOKUP(N66, 'Idaho Data'!$B:$WB, 500, FALSE)</f>
        <v>0</v>
      </c>
      <c r="T66" t="str">
        <f t="shared" si="5"/>
        <v>small</v>
      </c>
      <c r="U66" s="131">
        <f>VLOOKUP(N66, 'Idaho Data'!$B:$TO, 502, FALSE)</f>
        <v>8393552</v>
      </c>
      <c r="V66" s="304">
        <f t="shared" si="6"/>
        <v>6709.9033326433455</v>
      </c>
      <c r="W66">
        <f t="shared" si="7"/>
        <v>0</v>
      </c>
      <c r="X66">
        <f>VLOOKUP(N66, 'Idaho Data'!$B:$RR, 460, FALSE)</f>
        <v>0</v>
      </c>
    </row>
    <row r="67" spans="14:24">
      <c r="N67" s="2" t="s">
        <v>135</v>
      </c>
      <c r="O67" s="200">
        <f>'Idaho Data'!SE43</f>
        <v>292204.2823779193</v>
      </c>
      <c r="P67">
        <f>'Idaho Data'!SF43</f>
        <v>5.9094029999999993</v>
      </c>
      <c r="Q67" s="301">
        <f>SUM('Idaho Data'!RV43:RW43)/'Idaho Data'!ST43</f>
        <v>7421.3513800424626</v>
      </c>
      <c r="R67" s="199">
        <f t="shared" si="4"/>
        <v>292204.2823779193</v>
      </c>
      <c r="S67" s="124">
        <f>VLOOKUP(N67, 'Idaho Data'!$B:$WB, 500, FALSE)</f>
        <v>0</v>
      </c>
      <c r="T67" t="str">
        <f t="shared" si="5"/>
        <v>small</v>
      </c>
      <c r="U67" s="131">
        <f>VLOOKUP(N67, 'Idaho Data'!$B:$TO, 502, FALSE)</f>
        <v>1771867</v>
      </c>
      <c r="V67" s="304">
        <f t="shared" si="6"/>
        <v>7421.3513800424626</v>
      </c>
      <c r="W67">
        <f t="shared" si="7"/>
        <v>0</v>
      </c>
      <c r="X67">
        <f>VLOOKUP(N67, 'Idaho Data'!$B:$RR, 460, FALSE)</f>
        <v>31110</v>
      </c>
    </row>
    <row r="68" spans="14:24">
      <c r="N68" s="2" t="s">
        <v>134</v>
      </c>
      <c r="O68" s="200">
        <f>'Idaho Data'!SE42</f>
        <v>303068.6265060241</v>
      </c>
      <c r="P68">
        <f>'Idaho Data'!SF42</f>
        <v>3.0175940000000003</v>
      </c>
      <c r="Q68" s="301">
        <f>SUM('Idaho Data'!RV42:RW42)/'Idaho Data'!ST42</f>
        <v>7113.4364123159303</v>
      </c>
      <c r="R68" s="199">
        <f t="shared" si="4"/>
        <v>303068.6265060241</v>
      </c>
      <c r="S68" s="124">
        <f>VLOOKUP(N68, 'Idaho Data'!$B:$WB, 500, FALSE)</f>
        <v>0</v>
      </c>
      <c r="T68" t="str">
        <f t="shared" si="5"/>
        <v>small</v>
      </c>
      <c r="U68" s="131">
        <f>VLOOKUP(N68, 'Idaho Data'!$B:$TO, 502, FALSE)</f>
        <v>856142</v>
      </c>
      <c r="V68" s="304">
        <f t="shared" si="6"/>
        <v>7113.4364123159303</v>
      </c>
      <c r="W68">
        <f t="shared" si="7"/>
        <v>0</v>
      </c>
      <c r="X68">
        <f>VLOOKUP(N68, 'Idaho Data'!$B:$RR, 460, FALSE)</f>
        <v>155</v>
      </c>
    </row>
    <row r="69" spans="14:24">
      <c r="N69" s="2" t="s">
        <v>106</v>
      </c>
      <c r="O69" s="200">
        <f>'Idaho Data'!SE16</f>
        <v>288140.12419700215</v>
      </c>
      <c r="P69">
        <f>'Idaho Data'!SF16</f>
        <v>4.4224259999999997</v>
      </c>
      <c r="Q69" s="301">
        <f>SUM('Idaho Data'!RV16:RW16)/'Idaho Data'!ST16</f>
        <v>6272.2799143468947</v>
      </c>
      <c r="R69" s="199">
        <f t="shared" si="4"/>
        <v>288140.12419700215</v>
      </c>
      <c r="S69" s="124">
        <f>VLOOKUP(N69, 'Idaho Data'!$B:$WB, 500, FALSE)</f>
        <v>0</v>
      </c>
      <c r="T69" t="str">
        <f t="shared" si="5"/>
        <v>small</v>
      </c>
      <c r="U69" s="131">
        <f>VLOOKUP(N69, 'Idaho Data'!$B:$TO, 502, FALSE)</f>
        <v>18438432</v>
      </c>
      <c r="V69" s="304">
        <f t="shared" si="6"/>
        <v>6272.2799143468947</v>
      </c>
      <c r="W69">
        <f t="shared" si="7"/>
        <v>0</v>
      </c>
      <c r="X69">
        <f>VLOOKUP(N69, 'Idaho Data'!$B:$RR, 460, FALSE)</f>
        <v>118029</v>
      </c>
    </row>
    <row r="70" spans="14:24">
      <c r="N70" s="2" t="s">
        <v>148</v>
      </c>
      <c r="O70" s="200">
        <f>'Idaho Data'!SE55</f>
        <v>308906.73761520738</v>
      </c>
      <c r="P70">
        <f>'Idaho Data'!SF55</f>
        <v>3.3565319999999996</v>
      </c>
      <c r="Q70" s="301">
        <f>SUM('Idaho Data'!RV55:RW55)/'Idaho Data'!ST55</f>
        <v>6764.5403225806449</v>
      </c>
      <c r="R70" s="199">
        <f t="shared" si="4"/>
        <v>308906.73761520738</v>
      </c>
      <c r="S70" s="124">
        <f>VLOOKUP(N70, 'Idaho Data'!$B:$WB, 500, FALSE)</f>
        <v>0</v>
      </c>
      <c r="T70" t="str">
        <f t="shared" si="5"/>
        <v>small</v>
      </c>
      <c r="U70" s="131">
        <f>VLOOKUP(N70, 'Idaho Data'!$B:$TO, 502, FALSE)</f>
        <v>3990593</v>
      </c>
      <c r="V70" s="304">
        <f t="shared" si="6"/>
        <v>6764.5403225806449</v>
      </c>
      <c r="W70">
        <f t="shared" si="7"/>
        <v>0</v>
      </c>
      <c r="X70">
        <f>VLOOKUP(N70, 'Idaho Data'!$B:$RR, 460, FALSE)</f>
        <v>26500</v>
      </c>
    </row>
    <row r="71" spans="14:24">
      <c r="N71" s="2" t="s">
        <v>164</v>
      </c>
      <c r="O71" s="200">
        <f>'Idaho Data'!SE69</f>
        <v>291589.19761499146</v>
      </c>
      <c r="P71">
        <f>'Idaho Data'!SF69</f>
        <v>4.8052719999999995</v>
      </c>
      <c r="Q71" s="301">
        <f>SUM('Idaho Data'!RV69:RW69)/'Idaho Data'!ST69</f>
        <v>7917.0102214650769</v>
      </c>
      <c r="R71" s="199">
        <f t="shared" si="4"/>
        <v>291589.19761499146</v>
      </c>
      <c r="S71" s="124">
        <f>VLOOKUP(N71, 'Idaho Data'!$B:$WB, 500, FALSE)</f>
        <v>0</v>
      </c>
      <c r="T71" t="str">
        <f t="shared" si="5"/>
        <v>small</v>
      </c>
      <c r="U71" s="131">
        <f>VLOOKUP(N71, 'Idaho Data'!$B:$TO, 502, FALSE)</f>
        <v>993525</v>
      </c>
      <c r="V71" s="304">
        <f t="shared" si="6"/>
        <v>7917.0102214650769</v>
      </c>
      <c r="W71">
        <f t="shared" si="7"/>
        <v>0</v>
      </c>
      <c r="X71">
        <f>VLOOKUP(N71, 'Idaho Data'!$B:$RR, 460, FALSE)</f>
        <v>5926</v>
      </c>
    </row>
    <row r="72" spans="14:24">
      <c r="N72" s="2" t="s">
        <v>200</v>
      </c>
      <c r="O72" s="200">
        <f>'Idaho Data'!SE103</f>
        <v>326871.7703562341</v>
      </c>
      <c r="P72">
        <f>'Idaho Data'!SF103</f>
        <v>2.7282440000000001</v>
      </c>
      <c r="Q72" s="301">
        <f>SUM('Idaho Data'!RV103:RW103)/'Idaho Data'!ST103</f>
        <v>6438.3797709923665</v>
      </c>
      <c r="R72" s="199">
        <f t="shared" si="4"/>
        <v>326871.7703562341</v>
      </c>
      <c r="S72" s="124">
        <f>VLOOKUP(N72, 'Idaho Data'!$B:$WB, 500, FALSE)</f>
        <v>0</v>
      </c>
      <c r="T72" t="str">
        <f t="shared" si="5"/>
        <v>small</v>
      </c>
      <c r="U72" s="131">
        <f>VLOOKUP(N72, 'Idaho Data'!$B:$TO, 502, FALSE)</f>
        <v>1943260</v>
      </c>
      <c r="V72" s="304">
        <f t="shared" si="6"/>
        <v>6438.3797709923665</v>
      </c>
      <c r="W72">
        <f t="shared" si="7"/>
        <v>0</v>
      </c>
      <c r="X72">
        <f>VLOOKUP(N72, 'Idaho Data'!$B:$RR, 460, FALSE)</f>
        <v>0</v>
      </c>
    </row>
    <row r="73" spans="14:24">
      <c r="N73" s="2" t="s">
        <v>165</v>
      </c>
      <c r="O73" s="200">
        <f>'Idaho Data'!SE70</f>
        <v>300590.86657183501</v>
      </c>
      <c r="P73">
        <f>'Idaho Data'!SF70</f>
        <v>3.4744750000000004</v>
      </c>
      <c r="Q73" s="301">
        <f>SUM('Idaho Data'!RV70:RW70)/'Idaho Data'!ST70</f>
        <v>6719.0523470839262</v>
      </c>
      <c r="R73" s="199">
        <f t="shared" si="4"/>
        <v>300590.86657183501</v>
      </c>
      <c r="S73" s="124">
        <f>VLOOKUP(N73, 'Idaho Data'!$B:$WB, 500, FALSE)</f>
        <v>0</v>
      </c>
      <c r="T73" t="str">
        <f t="shared" si="5"/>
        <v>small</v>
      </c>
      <c r="U73" s="131">
        <f>VLOOKUP(N73, 'Idaho Data'!$B:$TO, 502, FALSE)</f>
        <v>4682229</v>
      </c>
      <c r="V73" s="304">
        <f t="shared" si="6"/>
        <v>6719.0523470839262</v>
      </c>
      <c r="W73">
        <f t="shared" si="7"/>
        <v>0</v>
      </c>
      <c r="X73">
        <f>VLOOKUP(N73, 'Idaho Data'!$B:$RR, 460, FALSE)</f>
        <v>0</v>
      </c>
    </row>
    <row r="74" spans="14:24">
      <c r="N74" s="2" t="s">
        <v>191</v>
      </c>
      <c r="O74" s="200">
        <f>'Idaho Data'!SE94</f>
        <v>319092.28953229397</v>
      </c>
      <c r="P74">
        <f>'Idaho Data'!SF94</f>
        <v>1.935627</v>
      </c>
      <c r="Q74" s="301">
        <f>SUM('Idaho Data'!RV94:RW94)/'Idaho Data'!ST94</f>
        <v>16106.280623608018</v>
      </c>
      <c r="R74" s="199">
        <f t="shared" si="4"/>
        <v>319092.28953229397</v>
      </c>
      <c r="S74" s="124">
        <f>VLOOKUP(N74, 'Idaho Data'!$B:$WB, 500, FALSE)</f>
        <v>0</v>
      </c>
      <c r="T74" t="str">
        <f t="shared" si="5"/>
        <v>small</v>
      </c>
      <c r="U74" s="131">
        <f>VLOOKUP(N74, 'Idaho Data'!$B:$TO, 502, FALSE)</f>
        <v>506158</v>
      </c>
      <c r="V74" s="304">
        <f t="shared" si="6"/>
        <v>16106.280623608018</v>
      </c>
      <c r="W74">
        <f t="shared" si="7"/>
        <v>0</v>
      </c>
      <c r="X74">
        <f>VLOOKUP(N74, 'Idaho Data'!$B:$RR, 460, FALSE)</f>
        <v>0</v>
      </c>
    </row>
    <row r="75" spans="14:24">
      <c r="N75" s="2" t="s">
        <v>122</v>
      </c>
      <c r="O75" s="200">
        <f>'Idaho Data'!SE31</f>
        <v>308800.54236037936</v>
      </c>
      <c r="P75">
        <f>'Idaho Data'!SF31</f>
        <v>4.2431939999999999</v>
      </c>
      <c r="Q75" s="301">
        <f>SUM('Idaho Data'!RV31:RW31)/'Idaho Data'!ST31</f>
        <v>6139.5842992623811</v>
      </c>
      <c r="R75" s="199">
        <f t="shared" si="4"/>
        <v>308800.54236037936</v>
      </c>
      <c r="S75" s="124">
        <f>VLOOKUP(N75, 'Idaho Data'!$B:$WB, 500, FALSE)</f>
        <v>0</v>
      </c>
      <c r="T75" t="str">
        <f t="shared" si="5"/>
        <v>small</v>
      </c>
      <c r="U75" s="131">
        <f>VLOOKUP(N75, 'Idaho Data'!$B:$TO, 502, FALSE)</f>
        <v>15401468</v>
      </c>
      <c r="V75" s="304">
        <f t="shared" si="6"/>
        <v>6139.5842992623811</v>
      </c>
      <c r="W75">
        <f t="shared" si="7"/>
        <v>0</v>
      </c>
      <c r="X75">
        <f>VLOOKUP(N75, 'Idaho Data'!$B:$RR, 460, FALSE)</f>
        <v>80609</v>
      </c>
    </row>
    <row r="76" spans="14:24">
      <c r="N76" s="2" t="s">
        <v>188</v>
      </c>
      <c r="O76" s="200">
        <f>'Idaho Data'!SE92</f>
        <v>318176.68298838969</v>
      </c>
      <c r="P76">
        <f>'Idaho Data'!SF92</f>
        <v>2.8893210000000003</v>
      </c>
      <c r="Q76" s="301">
        <f>SUM('Idaho Data'!RV92:RW92)/'Idaho Data'!ST92</f>
        <v>7085.958101968703</v>
      </c>
      <c r="R76" s="199">
        <f t="shared" si="4"/>
        <v>318176.68298838969</v>
      </c>
      <c r="S76" s="124">
        <f>VLOOKUP(N76, 'Idaho Data'!$B:$WB, 500, FALSE)</f>
        <v>0</v>
      </c>
      <c r="T76" t="str">
        <f t="shared" si="5"/>
        <v>small</v>
      </c>
      <c r="U76" s="131">
        <f>VLOOKUP(N76, 'Idaho Data'!$B:$TO, 502, FALSE)</f>
        <v>4875098</v>
      </c>
      <c r="V76" s="304">
        <f t="shared" si="6"/>
        <v>7085.958101968703</v>
      </c>
      <c r="W76">
        <f t="shared" si="7"/>
        <v>0</v>
      </c>
      <c r="X76">
        <f>VLOOKUP(N76, 'Idaho Data'!$B:$RR, 460, FALSE)</f>
        <v>41100</v>
      </c>
    </row>
    <row r="77" spans="14:24">
      <c r="N77" s="2" t="s">
        <v>211</v>
      </c>
      <c r="O77" s="200">
        <f>'Idaho Data'!SE114</f>
        <v>309585.56254180602</v>
      </c>
      <c r="P77">
        <f>'Idaho Data'!SF114</f>
        <v>3.8903099999999999</v>
      </c>
      <c r="Q77" s="301">
        <f>SUM('Idaho Data'!RV114:RW114)/'Idaho Data'!ST114</f>
        <v>6599.3277591973247</v>
      </c>
      <c r="R77" s="199">
        <f t="shared" si="4"/>
        <v>309585.56254180602</v>
      </c>
      <c r="S77" s="124">
        <f>VLOOKUP(N77, 'Idaho Data'!$B:$WB, 500, FALSE)</f>
        <v>0</v>
      </c>
      <c r="T77" t="str">
        <f t="shared" si="5"/>
        <v>small</v>
      </c>
      <c r="U77" s="131">
        <f>VLOOKUP(N77, 'Idaho Data'!$B:$TO, 502, FALSE)</f>
        <v>2611603</v>
      </c>
      <c r="V77" s="304">
        <f t="shared" si="6"/>
        <v>6599.3277591973247</v>
      </c>
      <c r="W77">
        <f t="shared" si="7"/>
        <v>0</v>
      </c>
      <c r="X77">
        <f>VLOOKUP(N77, 'Idaho Data'!$B:$RR, 460, FALSE)</f>
        <v>0</v>
      </c>
    </row>
    <row r="78" spans="14:24">
      <c r="N78" s="2" t="s">
        <v>219</v>
      </c>
      <c r="O78" s="200">
        <f>'Idaho Data'!SE122</f>
        <v>311256.20815752464</v>
      </c>
      <c r="P78">
        <f>'Idaho Data'!SF122</f>
        <v>1.5727250000000002</v>
      </c>
      <c r="Q78" s="301">
        <f>SUM('Idaho Data'!RV122:RW122)/'Idaho Data'!ST122</f>
        <v>6897.6251758087201</v>
      </c>
      <c r="R78" s="199">
        <f t="shared" si="4"/>
        <v>311256.20815752464</v>
      </c>
      <c r="S78" s="124">
        <f>VLOOKUP(N78, 'Idaho Data'!$B:$WB, 500, FALSE)</f>
        <v>0</v>
      </c>
      <c r="T78" t="str">
        <f t="shared" si="5"/>
        <v>small</v>
      </c>
      <c r="U78" s="131">
        <f>VLOOKUP(N78, 'Idaho Data'!$B:$TO, 502, FALSE)</f>
        <v>1185354</v>
      </c>
      <c r="V78" s="304">
        <f t="shared" si="6"/>
        <v>6897.6251758087201</v>
      </c>
      <c r="W78">
        <f t="shared" si="7"/>
        <v>0</v>
      </c>
      <c r="X78">
        <f>VLOOKUP(N78, 'Idaho Data'!$B:$RR, 460, FALSE)</f>
        <v>0</v>
      </c>
    </row>
    <row r="79" spans="14:24">
      <c r="N79" s="2" t="s">
        <v>138</v>
      </c>
      <c r="O79" s="200">
        <f>'Idaho Data'!SE45</f>
        <v>296314.29247311829</v>
      </c>
      <c r="P79">
        <f>'Idaho Data'!SF45</f>
        <v>3.3386450000000005</v>
      </c>
      <c r="Q79" s="301">
        <f>SUM('Idaho Data'!RV45:RW45)/'Idaho Data'!ST45</f>
        <v>8277.6215053763444</v>
      </c>
      <c r="R79" s="199">
        <f t="shared" si="4"/>
        <v>296314.29247311829</v>
      </c>
      <c r="S79" s="124">
        <f>VLOOKUP(N79, 'Idaho Data'!$B:$WB, 500, FALSE)</f>
        <v>0</v>
      </c>
      <c r="T79" t="str">
        <f t="shared" si="5"/>
        <v>small</v>
      </c>
      <c r="U79" s="131">
        <f>VLOOKUP(N79, 'Idaho Data'!$B:$TO, 502, FALSE)</f>
        <v>549782</v>
      </c>
      <c r="V79" s="304">
        <f t="shared" si="6"/>
        <v>8277.6215053763444</v>
      </c>
      <c r="W79">
        <f t="shared" si="7"/>
        <v>0</v>
      </c>
      <c r="X79">
        <f>VLOOKUP(N79, 'Idaho Data'!$B:$RR, 460, FALSE)</f>
        <v>0</v>
      </c>
    </row>
    <row r="80" spans="14:24">
      <c r="N80" s="2" t="s">
        <v>153</v>
      </c>
      <c r="O80" s="200">
        <f>'Idaho Data'!SE59</f>
        <v>361089.95714285714</v>
      </c>
      <c r="P80">
        <f>'Idaho Data'!SF59</f>
        <v>2.8371279999999999</v>
      </c>
      <c r="Q80" s="301">
        <f>SUM('Idaho Data'!RV59:RW59)/'Idaho Data'!ST59</f>
        <v>7530.7580086580083</v>
      </c>
      <c r="R80" s="199">
        <f t="shared" si="4"/>
        <v>361089.95714285714</v>
      </c>
      <c r="S80" s="124">
        <f>VLOOKUP(N80, 'Idaho Data'!$B:$WB, 500, FALSE)</f>
        <v>0</v>
      </c>
      <c r="T80" t="str">
        <f t="shared" si="5"/>
        <v>small</v>
      </c>
      <c r="U80" s="131">
        <f>VLOOKUP(N80, 'Idaho Data'!$B:$TO, 502, FALSE)</f>
        <v>3917505</v>
      </c>
      <c r="V80" s="304">
        <f t="shared" si="6"/>
        <v>7530.7580086580083</v>
      </c>
      <c r="W80">
        <f t="shared" si="7"/>
        <v>0</v>
      </c>
      <c r="X80">
        <f>VLOOKUP(N80, 'Idaho Data'!$B:$RR, 460, FALSE)</f>
        <v>0</v>
      </c>
    </row>
    <row r="81" spans="13:24">
      <c r="N81" s="2" t="s">
        <v>113</v>
      </c>
      <c r="O81" s="200">
        <f>'Idaho Data'!SE22</f>
        <v>320175.05263157893</v>
      </c>
      <c r="P81">
        <f>'Idaho Data'!SF22</f>
        <v>7.9467930000000004</v>
      </c>
      <c r="Q81" s="301">
        <f>SUM('Idaho Data'!RV22:RW22)/'Idaho Data'!ST22</f>
        <v>8024.7248120300756</v>
      </c>
      <c r="R81" s="199">
        <f t="shared" si="4"/>
        <v>320175.05263157893</v>
      </c>
      <c r="S81" s="124">
        <f>VLOOKUP(N81, 'Idaho Data'!$B:$WB, 500, FALSE)</f>
        <v>0</v>
      </c>
      <c r="T81" t="str">
        <f t="shared" si="5"/>
        <v>small</v>
      </c>
      <c r="U81" s="131">
        <f>VLOOKUP(N81, 'Idaho Data'!$B:$TO, 502, FALSE)</f>
        <v>1805139</v>
      </c>
      <c r="V81" s="304">
        <f t="shared" si="6"/>
        <v>8024.7248120300756</v>
      </c>
      <c r="W81">
        <f t="shared" si="7"/>
        <v>0</v>
      </c>
      <c r="X81">
        <f>VLOOKUP(N81, 'Idaho Data'!$B:$RR, 460, FALSE)</f>
        <v>7254</v>
      </c>
    </row>
    <row r="82" spans="13:24">
      <c r="N82" s="2" t="s">
        <v>183</v>
      </c>
      <c r="O82" s="200">
        <f>'Idaho Data'!SE87</f>
        <v>364583.89406779659</v>
      </c>
      <c r="P82">
        <f>'Idaho Data'!SF87</f>
        <v>3.343404</v>
      </c>
      <c r="Q82" s="301">
        <f>SUM('Idaho Data'!RV87:RW87)/'Idaho Data'!ST87</f>
        <v>8612.8177966101703</v>
      </c>
      <c r="R82" s="199">
        <f t="shared" si="4"/>
        <v>364583.89406779659</v>
      </c>
      <c r="S82" s="124">
        <f>VLOOKUP(N82, 'Idaho Data'!$B:$WB, 500, FALSE)</f>
        <v>0</v>
      </c>
      <c r="T82" t="str">
        <f t="shared" si="5"/>
        <v>small</v>
      </c>
      <c r="U82" s="131">
        <f>VLOOKUP(N82, 'Idaho Data'!$B:$TO, 502, FALSE)</f>
        <v>750396</v>
      </c>
      <c r="V82" s="304">
        <f t="shared" si="6"/>
        <v>8612.8177966101703</v>
      </c>
      <c r="W82">
        <f t="shared" si="7"/>
        <v>0</v>
      </c>
      <c r="X82">
        <f>VLOOKUP(N82, 'Idaho Data'!$B:$RR, 460, FALSE)</f>
        <v>0</v>
      </c>
    </row>
    <row r="83" spans="13:24">
      <c r="N83" s="2" t="s">
        <v>155</v>
      </c>
      <c r="O83" s="200">
        <f>'Idaho Data'!SE60</f>
        <v>353929.64761092153</v>
      </c>
      <c r="P83">
        <f>'Idaho Data'!SF60</f>
        <v>2.7761880000000003</v>
      </c>
      <c r="Q83" s="301">
        <f>SUM('Idaho Data'!RV60:RW60)/'Idaho Data'!ST60</f>
        <v>7326.3430034129697</v>
      </c>
      <c r="R83" s="199">
        <f t="shared" si="4"/>
        <v>353929.64761092153</v>
      </c>
      <c r="S83" s="124">
        <f>VLOOKUP(N83, 'Idaho Data'!$B:$WB, 500, FALSE)</f>
        <v>0</v>
      </c>
      <c r="T83" t="str">
        <f t="shared" si="5"/>
        <v>small</v>
      </c>
      <c r="U83" s="131">
        <f>VLOOKUP(N83, 'Idaho Data'!$B:$TO, 502, FALSE)</f>
        <v>1436425</v>
      </c>
      <c r="V83" s="304">
        <f t="shared" si="6"/>
        <v>7326.3430034129697</v>
      </c>
      <c r="W83">
        <f t="shared" si="7"/>
        <v>0</v>
      </c>
      <c r="X83">
        <f>VLOOKUP(N83, 'Idaho Data'!$B:$RR, 460, FALSE)</f>
        <v>14919</v>
      </c>
    </row>
    <row r="84" spans="13:24">
      <c r="N84" s="2" t="s">
        <v>209</v>
      </c>
      <c r="O84" s="200">
        <f>'Idaho Data'!SE112</f>
        <v>343142.58946346201</v>
      </c>
      <c r="P84">
        <f>'Idaho Data'!SF112</f>
        <v>4.7654489999999994</v>
      </c>
      <c r="Q84" s="301">
        <f>SUM('Idaho Data'!RV112:RW112)/'Idaho Data'!ST112</f>
        <v>6731.8122117018693</v>
      </c>
      <c r="R84" s="199">
        <f t="shared" si="4"/>
        <v>343142.58946346201</v>
      </c>
      <c r="S84" s="124">
        <f>VLOOKUP(N84, 'Idaho Data'!$B:$WB, 500, FALSE)</f>
        <v>0</v>
      </c>
      <c r="T84" t="str">
        <f t="shared" si="5"/>
        <v>small</v>
      </c>
      <c r="U84" s="131">
        <f>VLOOKUP(N84, 'Idaho Data'!$B:$TO, 502, FALSE)</f>
        <v>20058738</v>
      </c>
      <c r="V84" s="304">
        <f t="shared" si="6"/>
        <v>6731.8122117018693</v>
      </c>
      <c r="W84">
        <f t="shared" si="7"/>
        <v>0</v>
      </c>
      <c r="X84">
        <f>VLOOKUP(N84, 'Idaho Data'!$B:$RR, 460, FALSE)</f>
        <v>149</v>
      </c>
    </row>
    <row r="85" spans="13:24">
      <c r="N85" s="2" t="s">
        <v>185</v>
      </c>
      <c r="O85" s="200">
        <f>'Idaho Data'!SE89</f>
        <v>347524.94818652852</v>
      </c>
      <c r="P85">
        <f>'Idaho Data'!SF89</f>
        <v>5.6007609999999994</v>
      </c>
      <c r="Q85" s="301">
        <f>SUM('Idaho Data'!RV89:RW89)/'Idaho Data'!ST89</f>
        <v>9230.9067357512959</v>
      </c>
      <c r="R85" s="199">
        <f t="shared" si="4"/>
        <v>347524.94818652852</v>
      </c>
      <c r="S85" s="124">
        <f>VLOOKUP(N85, 'Idaho Data'!$B:$WB, 500, FALSE)</f>
        <v>0</v>
      </c>
      <c r="T85" t="str">
        <f t="shared" si="5"/>
        <v>small</v>
      </c>
      <c r="U85" s="131">
        <f>VLOOKUP(N85, 'Idaho Data'!$B:$TO, 502, FALSE)</f>
        <v>414196</v>
      </c>
      <c r="V85" s="304">
        <f t="shared" si="6"/>
        <v>9230.9067357512959</v>
      </c>
      <c r="W85">
        <f t="shared" si="7"/>
        <v>0</v>
      </c>
      <c r="X85">
        <f>VLOOKUP(N85, 'Idaho Data'!$B:$RR, 460, FALSE)</f>
        <v>0</v>
      </c>
    </row>
    <row r="86" spans="13:24">
      <c r="N86" s="2" t="s">
        <v>166</v>
      </c>
      <c r="O86" s="200">
        <f>'Idaho Data'!SE71</f>
        <v>381797.85791366908</v>
      </c>
      <c r="P86">
        <f>'Idaho Data'!SF71</f>
        <v>2.8757820000000001</v>
      </c>
      <c r="Q86" s="301">
        <f>SUM('Idaho Data'!RV71:RW71)/'Idaho Data'!ST71</f>
        <v>7761.1780575539569</v>
      </c>
      <c r="R86" s="199">
        <f t="shared" si="4"/>
        <v>381797.85791366908</v>
      </c>
      <c r="S86" s="124">
        <f>VLOOKUP(N86, 'Idaho Data'!$B:$WB, 500, FALSE)</f>
        <v>0</v>
      </c>
      <c r="T86" t="str">
        <f t="shared" si="5"/>
        <v>small</v>
      </c>
      <c r="U86" s="131">
        <f>VLOOKUP(N86, 'Idaho Data'!$B:$TO, 502, FALSE)</f>
        <v>716585</v>
      </c>
      <c r="V86" s="304">
        <f t="shared" si="6"/>
        <v>7761.1780575539569</v>
      </c>
      <c r="W86">
        <f t="shared" si="7"/>
        <v>0</v>
      </c>
      <c r="X86">
        <f>VLOOKUP(N86, 'Idaho Data'!$B:$RR, 460, FALSE)</f>
        <v>0</v>
      </c>
    </row>
    <row r="87" spans="13:24">
      <c r="N87" s="2" t="s">
        <v>193</v>
      </c>
      <c r="O87" s="200">
        <f>'Idaho Data'!SE96</f>
        <v>376037.255</v>
      </c>
      <c r="P87">
        <f>'Idaho Data'!SF96</f>
        <v>2.0984929999999999</v>
      </c>
      <c r="Q87" s="301">
        <f>SUM('Idaho Data'!RV96:RW96)/'Idaho Data'!ST96</f>
        <v>6934.17</v>
      </c>
      <c r="R87" s="199">
        <f t="shared" si="4"/>
        <v>376037.255</v>
      </c>
      <c r="S87" s="124">
        <f>VLOOKUP(N87, 'Idaho Data'!$B:$WB, 500, FALSE)</f>
        <v>0</v>
      </c>
      <c r="T87" t="str">
        <f t="shared" si="5"/>
        <v>small</v>
      </c>
      <c r="U87" s="131">
        <f>VLOOKUP(N87, 'Idaho Data'!$B:$TO, 502, FALSE)</f>
        <v>874673</v>
      </c>
      <c r="V87" s="304">
        <f t="shared" si="6"/>
        <v>6934.17</v>
      </c>
      <c r="W87">
        <f t="shared" si="7"/>
        <v>0</v>
      </c>
      <c r="X87">
        <f>VLOOKUP(N87, 'Idaho Data'!$B:$RR, 460, FALSE)</f>
        <v>0</v>
      </c>
    </row>
    <row r="88" spans="13:24">
      <c r="N88" s="2" t="s">
        <v>126</v>
      </c>
      <c r="O88" s="200">
        <f>'Idaho Data'!SE35</f>
        <v>401072.45663265308</v>
      </c>
      <c r="P88">
        <f>'Idaho Data'!SF35</f>
        <v>3.5897510000000001</v>
      </c>
      <c r="Q88" s="301">
        <f>SUM('Idaho Data'!RV35:RW35)/'Idaho Data'!ST35</f>
        <v>8593.1122448979586</v>
      </c>
      <c r="R88" s="199">
        <f t="shared" si="4"/>
        <v>401072.45663265308</v>
      </c>
      <c r="S88" s="124">
        <f>VLOOKUP(N88, 'Idaho Data'!$B:$WB, 500, FALSE)</f>
        <v>0</v>
      </c>
      <c r="T88" t="str">
        <f t="shared" si="5"/>
        <v>small</v>
      </c>
      <c r="U88" s="131">
        <f>VLOOKUP(N88, 'Idaho Data'!$B:$TO, 502, FALSE)</f>
        <v>808681</v>
      </c>
      <c r="V88" s="304">
        <f t="shared" si="6"/>
        <v>8593.1122448979586</v>
      </c>
      <c r="W88">
        <f t="shared" si="7"/>
        <v>0</v>
      </c>
      <c r="X88">
        <f>VLOOKUP(N88, 'Idaho Data'!$B:$RR, 460, FALSE)</f>
        <v>3614</v>
      </c>
    </row>
    <row r="89" spans="13:24">
      <c r="N89" s="2" t="s">
        <v>199</v>
      </c>
      <c r="O89" s="200">
        <f>'Idaho Data'!SE102</f>
        <v>438377.30690826726</v>
      </c>
      <c r="P89">
        <f>'Idaho Data'!SF102</f>
        <v>2.2590490000000001</v>
      </c>
      <c r="Q89" s="301">
        <f>SUM('Idaho Data'!RV102:RW102)/'Idaho Data'!ST102</f>
        <v>7257.3374858437146</v>
      </c>
      <c r="R89" s="199">
        <f t="shared" si="4"/>
        <v>438377.30690826726</v>
      </c>
      <c r="S89" s="124">
        <f>VLOOKUP(N89, 'Idaho Data'!$B:$WB, 500, FALSE)</f>
        <v>0</v>
      </c>
      <c r="T89" t="str">
        <f t="shared" si="5"/>
        <v>small</v>
      </c>
      <c r="U89" s="131">
        <f>VLOOKUP(N89, 'Idaho Data'!$B:$TO, 502, FALSE)</f>
        <v>1031651</v>
      </c>
      <c r="V89" s="304">
        <f t="shared" si="6"/>
        <v>7257.3374858437146</v>
      </c>
      <c r="W89">
        <f t="shared" si="7"/>
        <v>0</v>
      </c>
      <c r="X89">
        <f>VLOOKUP(N89, 'Idaho Data'!$B:$RR, 460, FALSE)</f>
        <v>0</v>
      </c>
    </row>
    <row r="90" spans="13:24">
      <c r="N90" s="2" t="s">
        <v>99</v>
      </c>
      <c r="O90" s="200">
        <f>'Idaho Data'!SE11</f>
        <v>435012.0196213228</v>
      </c>
      <c r="P90">
        <f>'Idaho Data'!SF11</f>
        <v>4.2156440000000002</v>
      </c>
      <c r="Q90" s="301">
        <f>SUM('Idaho Data'!RV11:RW11)/'Idaho Data'!ST11</f>
        <v>5893.9255821947236</v>
      </c>
      <c r="R90" s="199">
        <f t="shared" si="4"/>
        <v>435012.0196213228</v>
      </c>
      <c r="S90" s="124">
        <f>VLOOKUP(N90, 'Idaho Data'!$B:$WB, 500, FALSE)</f>
        <v>0</v>
      </c>
      <c r="T90" t="str">
        <f t="shared" si="5"/>
        <v>small</v>
      </c>
      <c r="U90" s="131">
        <f>VLOOKUP(N90, 'Idaho Data'!$B:$TO, 502, FALSE)</f>
        <v>76068413</v>
      </c>
      <c r="V90" s="304">
        <f t="shared" si="6"/>
        <v>5893.9255821947236</v>
      </c>
      <c r="W90">
        <f t="shared" si="7"/>
        <v>0</v>
      </c>
      <c r="X90">
        <f>VLOOKUP(N90, 'Idaho Data'!$B:$RR, 460, FALSE)</f>
        <v>0</v>
      </c>
    </row>
    <row r="91" spans="13:24">
      <c r="N91" s="2" t="s">
        <v>159</v>
      </c>
      <c r="O91" s="200">
        <f>'Idaho Data'!SE64</f>
        <v>404009.68169761274</v>
      </c>
      <c r="P91">
        <f>'Idaho Data'!SF64</f>
        <v>2.4086080000000001</v>
      </c>
      <c r="Q91" s="301">
        <f>SUM('Idaho Data'!RV64:RW64)/'Idaho Data'!ST64</f>
        <v>10411.214854111406</v>
      </c>
      <c r="R91" s="199">
        <f t="shared" si="4"/>
        <v>404009.68169761274</v>
      </c>
      <c r="S91" s="124">
        <f>VLOOKUP(N91, 'Idaho Data'!$B:$WB, 500, FALSE)</f>
        <v>0</v>
      </c>
      <c r="T91" t="str">
        <f t="shared" si="5"/>
        <v>small</v>
      </c>
      <c r="U91" s="131">
        <f>VLOOKUP(N91, 'Idaho Data'!$B:$TO, 502, FALSE)</f>
        <v>1154013</v>
      </c>
      <c r="V91" s="304">
        <f t="shared" si="6"/>
        <v>10411.214854111406</v>
      </c>
      <c r="W91">
        <f t="shared" si="7"/>
        <v>0</v>
      </c>
      <c r="X91">
        <f>VLOOKUP(N91, 'Idaho Data'!$B:$RR, 460, FALSE)</f>
        <v>29225</v>
      </c>
    </row>
    <row r="92" spans="13:24">
      <c r="M92" s="199"/>
      <c r="N92" s="2" t="s">
        <v>119</v>
      </c>
      <c r="O92" s="200">
        <f>'Idaho Data'!SE28</f>
        <v>508926.961352657</v>
      </c>
      <c r="P92">
        <f>'Idaho Data'!SF28</f>
        <v>4.2278020000000005</v>
      </c>
      <c r="Q92" s="301">
        <f>SUM('Idaho Data'!RV28:RW28)/'Idaho Data'!ST28</f>
        <v>11336.304347826086</v>
      </c>
      <c r="R92" s="199">
        <f t="shared" si="4"/>
        <v>508926.961352657</v>
      </c>
      <c r="S92" s="124">
        <f>VLOOKUP(N92, 'Idaho Data'!$B:$WB, 500, FALSE)</f>
        <v>0</v>
      </c>
      <c r="T92" t="str">
        <f t="shared" si="5"/>
        <v>small</v>
      </c>
      <c r="U92" s="131">
        <f>VLOOKUP(N92, 'Idaho Data'!$B:$TO, 502, FALSE)</f>
        <v>539333</v>
      </c>
      <c r="V92" s="304">
        <f t="shared" si="6"/>
        <v>11336.304347826086</v>
      </c>
      <c r="W92">
        <f t="shared" si="7"/>
        <v>0</v>
      </c>
      <c r="X92">
        <f>VLOOKUP(N92, 'Idaho Data'!$B:$RR, 460, FALSE)</f>
        <v>0</v>
      </c>
    </row>
    <row r="93" spans="13:24">
      <c r="N93" s="2" t="s">
        <v>169</v>
      </c>
      <c r="O93" s="200">
        <f>'Idaho Data'!SE74</f>
        <v>454962.16229570506</v>
      </c>
      <c r="P93">
        <f>'Idaho Data'!SF74</f>
        <v>2.824919</v>
      </c>
      <c r="Q93" s="301">
        <f>SUM('Idaho Data'!RV74:RW74)/'Idaho Data'!ST74</f>
        <v>6207.8648802736598</v>
      </c>
      <c r="R93" s="199">
        <f t="shared" si="4"/>
        <v>454962.16229570506</v>
      </c>
      <c r="S93" s="124">
        <f>VLOOKUP(N93, 'Idaho Data'!$B:$WB, 500, FALSE)</f>
        <v>0</v>
      </c>
      <c r="T93" t="str">
        <f t="shared" si="5"/>
        <v>small</v>
      </c>
      <c r="U93" s="131">
        <f>VLOOKUP(N93, 'Idaho Data'!$B:$TO, 502, FALSE)</f>
        <v>8365012</v>
      </c>
      <c r="V93" s="304">
        <f t="shared" si="6"/>
        <v>6207.8648802736598</v>
      </c>
      <c r="W93">
        <f t="shared" si="7"/>
        <v>0</v>
      </c>
      <c r="X93">
        <f>VLOOKUP(N93, 'Idaho Data'!$B:$RR, 460, FALSE)</f>
        <v>42729</v>
      </c>
    </row>
    <row r="94" spans="13:24">
      <c r="N94" s="2" t="s">
        <v>131</v>
      </c>
      <c r="O94" s="200">
        <f>'Idaho Data'!SE39</f>
        <v>467336.24815724813</v>
      </c>
      <c r="P94">
        <f>'Idaho Data'!SF39</f>
        <v>5.7300809999999993</v>
      </c>
      <c r="Q94" s="301">
        <f>SUM('Idaho Data'!RV39:RW39)/'Idaho Data'!ST39</f>
        <v>8917.5282555282556</v>
      </c>
      <c r="R94" s="199">
        <f t="shared" si="4"/>
        <v>467336.24815724813</v>
      </c>
      <c r="S94" s="124">
        <f>VLOOKUP(N94, 'Idaho Data'!$B:$WB, 500, FALSE)</f>
        <v>0</v>
      </c>
      <c r="T94" t="str">
        <f t="shared" si="5"/>
        <v>small</v>
      </c>
      <c r="U94" s="131">
        <f>VLOOKUP(N94, 'Idaho Data'!$B:$TO, 502, FALSE)</f>
        <v>1704892</v>
      </c>
      <c r="V94" s="304">
        <f t="shared" si="6"/>
        <v>8917.5282555282556</v>
      </c>
      <c r="W94">
        <f t="shared" si="7"/>
        <v>0</v>
      </c>
      <c r="X94">
        <f>VLOOKUP(N94, 'Idaho Data'!$B:$RR, 460, FALSE)</f>
        <v>0</v>
      </c>
    </row>
    <row r="95" spans="13:24">
      <c r="N95" s="2" t="s">
        <v>213</v>
      </c>
      <c r="O95" s="200">
        <f>'Idaho Data'!SE116</f>
        <v>494399.70818505337</v>
      </c>
      <c r="P95">
        <f>'Idaho Data'!SF116</f>
        <v>3.4477980000000001</v>
      </c>
      <c r="Q95" s="301">
        <f>SUM('Idaho Data'!RV116:RW116)/'Idaho Data'!ST116</f>
        <v>10102.686832740214</v>
      </c>
      <c r="R95" s="199">
        <f t="shared" si="4"/>
        <v>494399.70818505337</v>
      </c>
      <c r="S95" s="124">
        <f>VLOOKUP(N95, 'Idaho Data'!$B:$WB, 500, FALSE)</f>
        <v>0</v>
      </c>
      <c r="T95" t="str">
        <f t="shared" si="5"/>
        <v>small</v>
      </c>
      <c r="U95" s="131">
        <f>VLOOKUP(N95, 'Idaho Data'!$B:$TO, 502, FALSE)</f>
        <v>575155</v>
      </c>
      <c r="V95" s="304">
        <f t="shared" si="6"/>
        <v>10102.686832740214</v>
      </c>
      <c r="W95">
        <f t="shared" si="7"/>
        <v>0</v>
      </c>
      <c r="X95">
        <f>VLOOKUP(N95, 'Idaho Data'!$B:$RR, 460, FALSE)</f>
        <v>0</v>
      </c>
    </row>
    <row r="96" spans="13:24">
      <c r="N96" s="2" t="s">
        <v>210</v>
      </c>
      <c r="O96" s="200">
        <f>'Idaho Data'!SE113</f>
        <v>494659.71428571426</v>
      </c>
      <c r="P96">
        <f>'Idaho Data'!SF113</f>
        <v>2.6633279999999999</v>
      </c>
      <c r="Q96" s="301">
        <f>SUM('Idaho Data'!RV113:RW113)/'Idaho Data'!ST113</f>
        <v>7543.3035714285716</v>
      </c>
      <c r="R96" s="199">
        <f t="shared" si="4"/>
        <v>494659.71428571426</v>
      </c>
      <c r="S96" s="124">
        <f>VLOOKUP(N96, 'Idaho Data'!$B:$WB, 500, FALSE)</f>
        <v>0</v>
      </c>
      <c r="T96" t="str">
        <f t="shared" si="5"/>
        <v>small</v>
      </c>
      <c r="U96" s="131">
        <f>VLOOKUP(N96, 'Idaho Data'!$B:$TO, 502, FALSE)</f>
        <v>1913402</v>
      </c>
      <c r="V96" s="304">
        <f t="shared" si="6"/>
        <v>7543.3035714285716</v>
      </c>
      <c r="W96">
        <f t="shared" si="7"/>
        <v>0</v>
      </c>
      <c r="X96">
        <f>VLOOKUP(N96, 'Idaho Data'!$B:$RR, 460, FALSE)</f>
        <v>0</v>
      </c>
    </row>
    <row r="97" spans="14:24">
      <c r="N97" s="2" t="s">
        <v>215</v>
      </c>
      <c r="O97" s="200">
        <f>'Idaho Data'!SE118</f>
        <v>555701.07857142854</v>
      </c>
      <c r="P97">
        <f>'Idaho Data'!SF118</f>
        <v>2.7269989999999997</v>
      </c>
      <c r="Q97" s="301">
        <f>SUM('Idaho Data'!RV118:RW118)/'Idaho Data'!ST118</f>
        <v>8935.096428571429</v>
      </c>
      <c r="R97" s="199">
        <f t="shared" si="4"/>
        <v>555701.07857142854</v>
      </c>
      <c r="S97" s="124">
        <f>VLOOKUP(N97, 'Idaho Data'!$B:$WB, 500, FALSE)</f>
        <v>0</v>
      </c>
      <c r="T97" t="str">
        <f t="shared" si="5"/>
        <v>small</v>
      </c>
      <c r="U97" s="131">
        <f>VLOOKUP(N97, 'Idaho Data'!$B:$TO, 502, FALSE)</f>
        <v>526083</v>
      </c>
      <c r="V97" s="304">
        <f t="shared" si="6"/>
        <v>8935.096428571429</v>
      </c>
      <c r="W97">
        <f t="shared" si="7"/>
        <v>0</v>
      </c>
      <c r="X97">
        <f>VLOOKUP(N97, 'Idaho Data'!$B:$RR, 460, FALSE)</f>
        <v>0</v>
      </c>
    </row>
    <row r="98" spans="14:24">
      <c r="N98" s="2" t="s">
        <v>206</v>
      </c>
      <c r="O98" s="200">
        <f>'Idaho Data'!SE109</f>
        <v>522970.08515283844</v>
      </c>
      <c r="P98">
        <f>'Idaho Data'!SF109</f>
        <v>9.1256059999999994</v>
      </c>
      <c r="Q98" s="301">
        <f>SUM('Idaho Data'!RV109:RW109)/'Idaho Data'!ST109</f>
        <v>8365.8515283842789</v>
      </c>
      <c r="R98" s="199">
        <f t="shared" si="4"/>
        <v>522970.08515283844</v>
      </c>
      <c r="S98" s="124">
        <f>VLOOKUP(N98, 'Idaho Data'!$B:$WB, 500, FALSE)</f>
        <v>0</v>
      </c>
      <c r="T98" t="str">
        <f t="shared" si="5"/>
        <v>small</v>
      </c>
      <c r="U98" s="131">
        <f>VLOOKUP(N98, 'Idaho Data'!$B:$TO, 502, FALSE)</f>
        <v>2304737</v>
      </c>
      <c r="V98" s="304">
        <f t="shared" si="6"/>
        <v>8365.8515283842789</v>
      </c>
      <c r="W98">
        <f t="shared" si="7"/>
        <v>0</v>
      </c>
      <c r="X98">
        <f>VLOOKUP(N98, 'Idaho Data'!$B:$RR, 460, FALSE)</f>
        <v>27904</v>
      </c>
    </row>
    <row r="99" spans="14:24">
      <c r="N99" s="2" t="s">
        <v>204</v>
      </c>
      <c r="O99" s="200">
        <f>'Idaho Data'!SE107</f>
        <v>527574.146560319</v>
      </c>
      <c r="P99">
        <f>'Idaho Data'!SF107</f>
        <v>6.9209719999999999</v>
      </c>
      <c r="Q99" s="301">
        <f>SUM('Idaho Data'!RV107:RW107)/'Idaho Data'!ST107</f>
        <v>7628.0498504486541</v>
      </c>
      <c r="R99" s="199">
        <f t="shared" si="4"/>
        <v>527574.146560319</v>
      </c>
      <c r="S99" s="124">
        <f>VLOOKUP(N99, 'Idaho Data'!$B:$WB, 500, FALSE)</f>
        <v>0</v>
      </c>
      <c r="T99" t="str">
        <f t="shared" si="5"/>
        <v>small</v>
      </c>
      <c r="U99" s="131">
        <f>VLOOKUP(N99, 'Idaho Data'!$B:$TO, 502, FALSE)</f>
        <v>4534706</v>
      </c>
      <c r="V99" s="304">
        <f t="shared" si="6"/>
        <v>7628.0498504486541</v>
      </c>
      <c r="W99">
        <f t="shared" si="7"/>
        <v>0</v>
      </c>
      <c r="X99">
        <f>VLOOKUP(N99, 'Idaho Data'!$B:$RR, 460, FALSE)</f>
        <v>10090</v>
      </c>
    </row>
    <row r="100" spans="14:24">
      <c r="N100" s="2" t="s">
        <v>157</v>
      </c>
      <c r="O100" s="200">
        <f>'Idaho Data'!SE62</f>
        <v>514798.55374592834</v>
      </c>
      <c r="P100">
        <f>'Idaho Data'!SF62</f>
        <v>2.6978010000000001</v>
      </c>
      <c r="Q100" s="301">
        <f>SUM('Idaho Data'!RV62:RW62)/'Idaho Data'!ST62</f>
        <v>9122.511400651465</v>
      </c>
      <c r="R100" s="199">
        <f t="shared" si="4"/>
        <v>514798.55374592834</v>
      </c>
      <c r="S100" s="124">
        <f>VLOOKUP(N100, 'Idaho Data'!$B:$WB, 500, FALSE)</f>
        <v>0</v>
      </c>
      <c r="T100" t="str">
        <f t="shared" si="5"/>
        <v>small</v>
      </c>
      <c r="U100" s="131">
        <f>VLOOKUP(N100, 'Idaho Data'!$B:$TO, 502, FALSE)</f>
        <v>510035</v>
      </c>
      <c r="V100" s="304">
        <f t="shared" si="6"/>
        <v>9122.511400651465</v>
      </c>
      <c r="W100">
        <f t="shared" si="7"/>
        <v>0</v>
      </c>
      <c r="X100">
        <f>VLOOKUP(N100, 'Idaho Data'!$B:$RR, 460, FALSE)</f>
        <v>0</v>
      </c>
    </row>
    <row r="101" spans="14:24">
      <c r="N101" s="2" t="s">
        <v>181</v>
      </c>
      <c r="O101" s="200">
        <f>'Idaho Data'!SE85</f>
        <v>504261.69269521412</v>
      </c>
      <c r="P101">
        <f>'Idaho Data'!SF85</f>
        <v>1.5214999999999999E-2</v>
      </c>
      <c r="Q101" s="301">
        <f>SUM('Idaho Data'!RV85:RW85)/'Idaho Data'!ST85</f>
        <v>9904.2997481108305</v>
      </c>
      <c r="R101" s="199">
        <f t="shared" si="4"/>
        <v>504261.69269521412</v>
      </c>
      <c r="S101" s="124">
        <f>VLOOKUP(N101, 'Idaho Data'!$B:$WB, 500, FALSE)</f>
        <v>0</v>
      </c>
      <c r="T101" t="str">
        <f t="shared" si="5"/>
        <v>small</v>
      </c>
      <c r="U101" s="131">
        <f>VLOOKUP(N101, 'Idaho Data'!$B:$TO, 502, FALSE)</f>
        <v>241488</v>
      </c>
      <c r="V101" s="304">
        <f t="shared" si="6"/>
        <v>9904.2997481108305</v>
      </c>
      <c r="W101">
        <f t="shared" si="7"/>
        <v>0</v>
      </c>
      <c r="X101">
        <f>VLOOKUP(N101, 'Idaho Data'!$B:$RR, 460, FALSE)</f>
        <v>0</v>
      </c>
    </row>
    <row r="102" spans="14:24">
      <c r="N102" s="2" t="s">
        <v>176</v>
      </c>
      <c r="O102" s="200">
        <f>'Idaho Data'!SE80</f>
        <v>559516.90416666667</v>
      </c>
      <c r="P102">
        <f>'Idaho Data'!SF80</f>
        <v>8.9992519999999985</v>
      </c>
      <c r="Q102" s="301">
        <f>SUM('Idaho Data'!RV80:RW80)/'Idaho Data'!ST80</f>
        <v>9269.7124999999996</v>
      </c>
      <c r="R102" s="199">
        <f t="shared" si="4"/>
        <v>559516.90416666667</v>
      </c>
      <c r="S102" s="124">
        <f>VLOOKUP(N102, 'Idaho Data'!$B:$WB, 500, FALSE)</f>
        <v>0</v>
      </c>
      <c r="T102" t="str">
        <f t="shared" si="5"/>
        <v>small</v>
      </c>
      <c r="U102" s="131">
        <f>VLOOKUP(N102, 'Idaho Data'!$B:$TO, 502, FALSE)</f>
        <v>1360777</v>
      </c>
      <c r="V102" s="304">
        <f t="shared" si="6"/>
        <v>9269.7124999999996</v>
      </c>
      <c r="W102">
        <f t="shared" si="7"/>
        <v>0</v>
      </c>
      <c r="X102">
        <f>VLOOKUP(N102, 'Idaho Data'!$B:$RR, 460, FALSE)</f>
        <v>25332</v>
      </c>
    </row>
    <row r="103" spans="14:24">
      <c r="N103" s="2" t="s">
        <v>175</v>
      </c>
      <c r="O103" s="200">
        <f>'Idaho Data'!SE79</f>
        <v>555171.33894230775</v>
      </c>
      <c r="P103">
        <f>'Idaho Data'!SF79</f>
        <v>5.9677959999999999</v>
      </c>
      <c r="Q103" s="301">
        <f>SUM('Idaho Data'!RV79:RW79)/'Idaho Data'!ST79</f>
        <v>8259.4735576923085</v>
      </c>
      <c r="R103" s="199">
        <f t="shared" si="4"/>
        <v>555171.33894230775</v>
      </c>
      <c r="S103" s="124">
        <f>VLOOKUP(N103, 'Idaho Data'!$B:$WB, 500, FALSE)</f>
        <v>0</v>
      </c>
      <c r="T103" t="str">
        <f t="shared" si="5"/>
        <v>small</v>
      </c>
      <c r="U103" s="131">
        <f>VLOOKUP(N103, 'Idaho Data'!$B:$TO, 502, FALSE)</f>
        <v>1487021</v>
      </c>
      <c r="V103" s="304">
        <f t="shared" si="6"/>
        <v>8259.4735576923085</v>
      </c>
      <c r="W103">
        <f t="shared" si="7"/>
        <v>0</v>
      </c>
      <c r="X103">
        <f>VLOOKUP(N103, 'Idaho Data'!$B:$RR, 460, FALSE)</f>
        <v>42825</v>
      </c>
    </row>
    <row r="104" spans="14:24">
      <c r="N104" s="2" t="s">
        <v>105</v>
      </c>
      <c r="O104" s="200">
        <f>'Idaho Data'!SE15</f>
        <v>535613.07731520815</v>
      </c>
      <c r="P104">
        <f>'Idaho Data'!SF15</f>
        <v>2.5494669999999999</v>
      </c>
      <c r="Q104" s="301">
        <f>SUM('Idaho Data'!RV15:RW15)/'Idaho Data'!ST15</f>
        <v>6819.6253186066269</v>
      </c>
      <c r="R104" s="199">
        <f t="shared" si="4"/>
        <v>535613.07731520815</v>
      </c>
      <c r="S104" s="124">
        <f>VLOOKUP(N104, 'Idaho Data'!$B:$WB, 500, FALSE)</f>
        <v>0</v>
      </c>
      <c r="T104" t="str">
        <f t="shared" si="5"/>
        <v>small</v>
      </c>
      <c r="U104" s="131">
        <f>VLOOKUP(N104, 'Idaho Data'!$B:$TO, 502, FALSE)</f>
        <v>1919809</v>
      </c>
      <c r="V104" s="304">
        <f t="shared" si="6"/>
        <v>6819.6253186066269</v>
      </c>
      <c r="W104">
        <f t="shared" si="7"/>
        <v>0</v>
      </c>
      <c r="X104">
        <f>VLOOKUP(N104, 'Idaho Data'!$B:$RR, 460, FALSE)</f>
        <v>15000</v>
      </c>
    </row>
    <row r="105" spans="14:24">
      <c r="N105" s="2" t="s">
        <v>143</v>
      </c>
      <c r="O105" s="200">
        <f>'Idaho Data'!SE50</f>
        <v>514476.51306873187</v>
      </c>
      <c r="P105">
        <f>'Idaho Data'!SF50</f>
        <v>4.4781880000000003</v>
      </c>
      <c r="Q105" s="301">
        <f>SUM('Idaho Data'!RV50:RW50)/'Idaho Data'!ST50</f>
        <v>9867.1868344627292</v>
      </c>
      <c r="R105" s="199">
        <f t="shared" si="4"/>
        <v>514476.51306873187</v>
      </c>
      <c r="S105" s="124">
        <f>VLOOKUP(N105, 'Idaho Data'!$B:$WB, 500, FALSE)</f>
        <v>0</v>
      </c>
      <c r="T105" t="str">
        <f t="shared" si="5"/>
        <v>small</v>
      </c>
      <c r="U105" s="131">
        <f>VLOOKUP(N105, 'Idaho Data'!$B:$TO, 502, FALSE)</f>
        <v>3930128</v>
      </c>
      <c r="V105" s="304">
        <f t="shared" si="6"/>
        <v>9867.1868344627292</v>
      </c>
      <c r="W105">
        <f t="shared" si="7"/>
        <v>0</v>
      </c>
      <c r="X105">
        <f>VLOOKUP(N105, 'Idaho Data'!$B:$RR, 460, FALSE)</f>
        <v>28613</v>
      </c>
    </row>
    <row r="106" spans="14:24">
      <c r="N106" s="2" t="s">
        <v>109</v>
      </c>
      <c r="O106" s="200">
        <f>'Idaho Data'!SE18</f>
        <v>534803.24436536175</v>
      </c>
      <c r="P106">
        <f>'Idaho Data'!SF18</f>
        <v>4.6105949999999991</v>
      </c>
      <c r="Q106" s="301">
        <f>SUM('Idaho Data'!RV18:RW18)/'Idaho Data'!ST18</f>
        <v>7551.303677342823</v>
      </c>
      <c r="R106" s="199">
        <f t="shared" si="4"/>
        <v>534803.24436536175</v>
      </c>
      <c r="S106" s="124">
        <f>VLOOKUP(N106, 'Idaho Data'!$B:$WB, 500, FALSE)</f>
        <v>0</v>
      </c>
      <c r="T106" t="str">
        <f t="shared" si="5"/>
        <v>small</v>
      </c>
      <c r="U106" s="131">
        <f>VLOOKUP(N106, 'Idaho Data'!$B:$TO, 502, FALSE)</f>
        <v>2434746</v>
      </c>
      <c r="V106" s="304">
        <f t="shared" si="6"/>
        <v>7551.303677342823</v>
      </c>
      <c r="W106">
        <f t="shared" si="7"/>
        <v>0</v>
      </c>
      <c r="X106">
        <f>VLOOKUP(N106, 'Idaho Data'!$B:$RR, 460, FALSE)</f>
        <v>10112</v>
      </c>
    </row>
    <row r="107" spans="14:24">
      <c r="N107" s="2" t="s">
        <v>139</v>
      </c>
      <c r="O107" s="200">
        <f>'Idaho Data'!SE46</f>
        <v>620361.77108433738</v>
      </c>
      <c r="P107">
        <f>'Idaho Data'!SF46</f>
        <v>2.907689</v>
      </c>
      <c r="Q107" s="301">
        <f>SUM('Idaho Data'!RV46:RW46)/'Idaho Data'!ST46</f>
        <v>10499.072289156626</v>
      </c>
      <c r="R107" s="199">
        <f t="shared" si="4"/>
        <v>620361.77108433738</v>
      </c>
      <c r="S107" s="124">
        <f>VLOOKUP(N107, 'Idaho Data'!$B:$WB, 500, FALSE)</f>
        <v>0</v>
      </c>
      <c r="T107" t="str">
        <f t="shared" si="5"/>
        <v>small</v>
      </c>
      <c r="U107" s="131">
        <f>VLOOKUP(N107, 'Idaho Data'!$B:$TO, 502, FALSE)</f>
        <v>342320</v>
      </c>
      <c r="V107" s="304">
        <f t="shared" si="6"/>
        <v>10499.072289156626</v>
      </c>
      <c r="W107">
        <f t="shared" si="7"/>
        <v>0</v>
      </c>
      <c r="X107">
        <f>VLOOKUP(N107, 'Idaho Data'!$B:$RR, 460, FALSE)</f>
        <v>5000</v>
      </c>
    </row>
    <row r="108" spans="14:24">
      <c r="N108" s="2" t="s">
        <v>190</v>
      </c>
      <c r="O108" s="200">
        <f>'Idaho Data'!SE93</f>
        <v>573209.76667430671</v>
      </c>
      <c r="P108">
        <f>'Idaho Data'!SF93</f>
        <v>5.2001259999999991</v>
      </c>
      <c r="Q108" s="301">
        <f>SUM('Idaho Data'!RV93:RW93)/'Idaho Data'!ST93</f>
        <v>6205.0462984185197</v>
      </c>
      <c r="R108" s="199">
        <f t="shared" si="4"/>
        <v>573209.76667430671</v>
      </c>
      <c r="S108" s="124">
        <f>VLOOKUP(N108, 'Idaho Data'!$B:$WB, 500, FALSE)</f>
        <v>0</v>
      </c>
      <c r="T108" t="str">
        <f t="shared" si="5"/>
        <v>small</v>
      </c>
      <c r="U108" s="131">
        <f>VLOOKUP(N108, 'Idaho Data'!$B:$TO, 502, FALSE)</f>
        <v>15465472</v>
      </c>
      <c r="V108" s="304">
        <f t="shared" si="6"/>
        <v>6205.0462984185197</v>
      </c>
      <c r="W108">
        <f t="shared" si="7"/>
        <v>0</v>
      </c>
      <c r="X108">
        <f>VLOOKUP(N108, 'Idaho Data'!$B:$RR, 460, FALSE)</f>
        <v>66919</v>
      </c>
    </row>
    <row r="109" spans="14:24">
      <c r="N109" s="2" t="s">
        <v>168</v>
      </c>
      <c r="O109" s="200">
        <f>'Idaho Data'!SE73</f>
        <v>576720.6526396327</v>
      </c>
      <c r="P109">
        <f>'Idaho Data'!SF73</f>
        <v>3.1898319999999996</v>
      </c>
      <c r="Q109" s="301">
        <f>SUM('Idaho Data'!RV73:RW73)/'Idaho Data'!ST73</f>
        <v>6176.6615659270592</v>
      </c>
      <c r="R109" s="199">
        <f t="shared" si="4"/>
        <v>576720.6526396327</v>
      </c>
      <c r="S109" s="124">
        <f>VLOOKUP(N109, 'Idaho Data'!$B:$WB, 500, FALSE)</f>
        <v>0</v>
      </c>
      <c r="T109" t="str">
        <f t="shared" si="5"/>
        <v>small</v>
      </c>
      <c r="U109" s="131">
        <f>VLOOKUP(N109, 'Idaho Data'!$B:$TO, 502, FALSE)</f>
        <v>8376665</v>
      </c>
      <c r="V109" s="304">
        <f t="shared" si="6"/>
        <v>6176.6615659270592</v>
      </c>
      <c r="W109">
        <f t="shared" si="7"/>
        <v>0</v>
      </c>
      <c r="X109">
        <f>VLOOKUP(N109, 'Idaho Data'!$B:$RR, 460, FALSE)</f>
        <v>0</v>
      </c>
    </row>
    <row r="110" spans="14:24">
      <c r="N110" s="2" t="s">
        <v>174</v>
      </c>
      <c r="O110" s="200">
        <f>'Idaho Data'!SE78</f>
        <v>549191.40350877191</v>
      </c>
      <c r="P110">
        <f>'Idaho Data'!SF78</f>
        <v>8.1754800000000003</v>
      </c>
      <c r="Q110" s="301">
        <f>SUM('Idaho Data'!RV78:RW78)/'Idaho Data'!ST78</f>
        <v>10107.245614035088</v>
      </c>
      <c r="R110" s="199">
        <f t="shared" si="4"/>
        <v>549191.40350877191</v>
      </c>
      <c r="S110" s="124">
        <f>VLOOKUP(N110, 'Idaho Data'!$B:$WB, 500, FALSE)</f>
        <v>0</v>
      </c>
      <c r="T110" t="str">
        <f t="shared" si="5"/>
        <v>small</v>
      </c>
      <c r="U110" s="131">
        <f>VLOOKUP(N110, 'Idaho Data'!$B:$TO, 502, FALSE)</f>
        <v>1134083</v>
      </c>
      <c r="V110" s="304">
        <f t="shared" si="6"/>
        <v>10107.245614035088</v>
      </c>
      <c r="W110">
        <f t="shared" si="7"/>
        <v>0</v>
      </c>
      <c r="X110">
        <f>VLOOKUP(N110, 'Idaho Data'!$B:$RR, 460, FALSE)</f>
        <v>9143</v>
      </c>
    </row>
    <row r="111" spans="14:24">
      <c r="N111" s="2" t="s">
        <v>171</v>
      </c>
      <c r="O111" s="200">
        <f>'Idaho Data'!SE76</f>
        <v>599525.71485411143</v>
      </c>
      <c r="P111">
        <f>'Idaho Data'!SF76</f>
        <v>7.5023150000000003</v>
      </c>
      <c r="Q111" s="301">
        <f>SUM('Idaho Data'!RV76:RW76)/'Idaho Data'!ST76</f>
        <v>6375.5791335101676</v>
      </c>
      <c r="R111" s="199">
        <f t="shared" si="4"/>
        <v>599525.71485411143</v>
      </c>
      <c r="S111" s="124">
        <f>VLOOKUP(N111, 'Idaho Data'!$B:$WB, 500, FALSE)</f>
        <v>0</v>
      </c>
      <c r="T111" t="str">
        <f t="shared" si="5"/>
        <v>small</v>
      </c>
      <c r="U111" s="131">
        <f>VLOOKUP(N111, 'Idaho Data'!$B:$TO, 502, FALSE)</f>
        <v>11862839</v>
      </c>
      <c r="V111" s="304">
        <f t="shared" si="6"/>
        <v>6375.5791335101676</v>
      </c>
      <c r="W111">
        <f t="shared" si="7"/>
        <v>0</v>
      </c>
      <c r="X111">
        <f>VLOOKUP(N111, 'Idaho Data'!$B:$RR, 460, FALSE)</f>
        <v>23297</v>
      </c>
    </row>
    <row r="112" spans="14:24">
      <c r="N112" s="2" t="s">
        <v>201</v>
      </c>
      <c r="O112" s="200">
        <f>'Idaho Data'!SE104</f>
        <v>592603.88715664437</v>
      </c>
      <c r="P112">
        <f>'Idaho Data'!SF104</f>
        <v>5.2459660000000001</v>
      </c>
      <c r="Q112" s="301">
        <f>SUM('Idaho Data'!RV104:RW104)/'Idaho Data'!ST104</f>
        <v>7430.5827765404601</v>
      </c>
      <c r="R112" s="199">
        <f t="shared" si="4"/>
        <v>592603.88715664437</v>
      </c>
      <c r="S112" s="124">
        <f>VLOOKUP(N112, 'Idaho Data'!$B:$WB, 500, FALSE)</f>
        <v>0</v>
      </c>
      <c r="T112" t="str">
        <f t="shared" si="5"/>
        <v>small</v>
      </c>
      <c r="U112" s="131">
        <f>VLOOKUP(N112, 'Idaho Data'!$B:$TO, 502, FALSE)</f>
        <v>4770267</v>
      </c>
      <c r="V112" s="304">
        <f t="shared" si="6"/>
        <v>7430.5827765404601</v>
      </c>
      <c r="W112">
        <f t="shared" si="7"/>
        <v>0</v>
      </c>
      <c r="X112">
        <f>VLOOKUP(N112, 'Idaho Data'!$B:$RR, 460, FALSE)</f>
        <v>22052</v>
      </c>
    </row>
    <row r="113" spans="14:24">
      <c r="N113" s="2" t="s">
        <v>216</v>
      </c>
      <c r="O113" s="200">
        <f>'Idaho Data'!SE119</f>
        <v>578501.56589147286</v>
      </c>
      <c r="P113">
        <f>'Idaho Data'!SF119</f>
        <v>2.7287080000000001</v>
      </c>
      <c r="Q113" s="301">
        <f>SUM('Idaho Data'!RV119:RW119)/'Idaho Data'!ST119</f>
        <v>9755.0348837209294</v>
      </c>
      <c r="R113" s="199">
        <f t="shared" si="4"/>
        <v>578501.56589147286</v>
      </c>
      <c r="S113" s="124">
        <f>VLOOKUP(N113, 'Idaho Data'!$B:$WB, 500, FALSE)</f>
        <v>0</v>
      </c>
      <c r="T113" t="str">
        <f t="shared" si="5"/>
        <v>small</v>
      </c>
      <c r="U113" s="131">
        <f>VLOOKUP(N113, 'Idaho Data'!$B:$TO, 502, FALSE)</f>
        <v>511462</v>
      </c>
      <c r="V113" s="304">
        <f t="shared" si="6"/>
        <v>9755.0348837209294</v>
      </c>
      <c r="W113">
        <f t="shared" si="7"/>
        <v>0</v>
      </c>
      <c r="X113">
        <f>VLOOKUP(N113, 'Idaho Data'!$B:$RR, 460, FALSE)</f>
        <v>25738</v>
      </c>
    </row>
    <row r="114" spans="14:24">
      <c r="N114" s="2" t="s">
        <v>173</v>
      </c>
      <c r="O114" s="200">
        <f>'Idaho Data'!SE77</f>
        <v>570504.29452054796</v>
      </c>
      <c r="P114">
        <f>'Idaho Data'!SF77</f>
        <v>7.2117519999999997</v>
      </c>
      <c r="Q114" s="301">
        <f>SUM('Idaho Data'!RV77:RW77)/'Idaho Data'!ST77</f>
        <v>8491.6541095890407</v>
      </c>
      <c r="R114" s="199">
        <f t="shared" si="4"/>
        <v>570504.29452054796</v>
      </c>
      <c r="S114" s="124">
        <f>VLOOKUP(N114, 'Idaho Data'!$B:$WB, 500, FALSE)</f>
        <v>0</v>
      </c>
      <c r="T114" t="str">
        <f t="shared" si="5"/>
        <v>small</v>
      </c>
      <c r="U114" s="131">
        <f>VLOOKUP(N114, 'Idaho Data'!$B:$TO, 502, FALSE)</f>
        <v>1409934</v>
      </c>
      <c r="V114" s="304">
        <f t="shared" si="6"/>
        <v>8491.6541095890407</v>
      </c>
      <c r="W114">
        <f t="shared" si="7"/>
        <v>0</v>
      </c>
      <c r="X114">
        <f>VLOOKUP(N114, 'Idaho Data'!$B:$RR, 460, FALSE)</f>
        <v>30000</v>
      </c>
    </row>
    <row r="115" spans="14:24">
      <c r="N115" s="2" t="s">
        <v>147</v>
      </c>
      <c r="O115" s="200">
        <f>'Idaho Data'!SE54</f>
        <v>687170.07751937979</v>
      </c>
      <c r="P115">
        <f>'Idaho Data'!SF54</f>
        <v>1.326441</v>
      </c>
      <c r="Q115" s="301">
        <f>SUM('Idaho Data'!RV54:RW54)/'Idaho Data'!ST54</f>
        <v>8479.5064599483212</v>
      </c>
      <c r="R115" s="199">
        <f t="shared" si="4"/>
        <v>687170.07751937979</v>
      </c>
      <c r="S115" s="124">
        <f>VLOOKUP(N115, 'Idaho Data'!$B:$WB, 500, FALSE)</f>
        <v>0</v>
      </c>
      <c r="T115" t="str">
        <f t="shared" si="5"/>
        <v>small</v>
      </c>
      <c r="U115" s="131">
        <f>VLOOKUP(N115, 'Idaho Data'!$B:$TO, 502, FALSE)</f>
        <v>820132</v>
      </c>
      <c r="V115" s="304">
        <f t="shared" si="6"/>
        <v>8479.5064599483212</v>
      </c>
      <c r="W115">
        <f t="shared" si="7"/>
        <v>0</v>
      </c>
      <c r="X115">
        <f>VLOOKUP(N115, 'Idaho Data'!$B:$RR, 460, FALSE)</f>
        <v>0</v>
      </c>
    </row>
    <row r="116" spans="14:24">
      <c r="N116" s="2" t="s">
        <v>158</v>
      </c>
      <c r="O116" s="200">
        <f>'Idaho Data'!SE63</f>
        <v>688574.83478260867</v>
      </c>
      <c r="P116">
        <f>'Idaho Data'!SF63</f>
        <v>1.7244690000000003</v>
      </c>
      <c r="Q116" s="301">
        <f>SUM('Idaho Data'!RV63:RW63)/'Idaho Data'!ST63</f>
        <v>14500.347826086956</v>
      </c>
      <c r="R116" s="199">
        <f t="shared" si="4"/>
        <v>688574.83478260867</v>
      </c>
      <c r="S116" s="124">
        <f>VLOOKUP(N116, 'Idaho Data'!$B:$WB, 500, FALSE)</f>
        <v>0</v>
      </c>
      <c r="T116" t="str">
        <f t="shared" si="5"/>
        <v>small</v>
      </c>
      <c r="U116" s="131">
        <f>VLOOKUP(N116, 'Idaho Data'!$B:$TO, 502, FALSE)</f>
        <v>209329</v>
      </c>
      <c r="V116" s="304">
        <f t="shared" si="6"/>
        <v>14500.347826086956</v>
      </c>
      <c r="W116">
        <f t="shared" si="7"/>
        <v>0</v>
      </c>
      <c r="X116">
        <f>VLOOKUP(N116, 'Idaho Data'!$B:$RR, 460, FALSE)</f>
        <v>0</v>
      </c>
    </row>
    <row r="117" spans="14:24">
      <c r="N117" s="2" t="s">
        <v>192</v>
      </c>
      <c r="O117" s="200">
        <f>'Idaho Data'!SE95</f>
        <v>761185.14084507048</v>
      </c>
      <c r="P117">
        <f>'Idaho Data'!SF95</f>
        <v>4.6413349999999998</v>
      </c>
      <c r="Q117" s="301">
        <f>SUM('Idaho Data'!RV95:RW95)/'Idaho Data'!ST95</f>
        <v>20482.464788732395</v>
      </c>
      <c r="R117" s="199">
        <f t="shared" si="4"/>
        <v>761185.14084507048</v>
      </c>
      <c r="S117" s="124">
        <f>VLOOKUP(N117, 'Idaho Data'!$B:$WB, 500, FALSE)</f>
        <v>0</v>
      </c>
      <c r="T117" t="str">
        <f t="shared" si="5"/>
        <v>small</v>
      </c>
      <c r="U117" s="131">
        <f>VLOOKUP(N117, 'Idaho Data'!$B:$TO, 502, FALSE)</f>
        <v>295555</v>
      </c>
      <c r="V117" s="304">
        <f t="shared" si="6"/>
        <v>20482.464788732395</v>
      </c>
      <c r="W117">
        <f t="shared" si="7"/>
        <v>0</v>
      </c>
      <c r="X117">
        <f>VLOOKUP(N117, 'Idaho Data'!$B:$RR, 460, FALSE)</f>
        <v>0</v>
      </c>
    </row>
    <row r="118" spans="14:24">
      <c r="N118" s="2" t="s">
        <v>97</v>
      </c>
      <c r="O118" s="200">
        <f>'Idaho Data'!SE10</f>
        <v>694830.44376598729</v>
      </c>
      <c r="P118">
        <f>'Idaho Data'!SF10</f>
        <v>5.0486760000000004</v>
      </c>
      <c r="Q118" s="301">
        <f>SUM('Idaho Data'!RV10:RW10)/'Idaho Data'!ST10</f>
        <v>6278.0135324696757</v>
      </c>
      <c r="R118" s="199">
        <f t="shared" si="4"/>
        <v>694830.44376598729</v>
      </c>
      <c r="S118" s="124">
        <f>VLOOKUP(N118, 'Idaho Data'!$B:$WB, 500, FALSE)</f>
        <v>0</v>
      </c>
      <c r="T118" t="str">
        <f t="shared" si="5"/>
        <v>small</v>
      </c>
      <c r="U118" s="131">
        <f>VLOOKUP(N118, 'Idaho Data'!$B:$TO, 502, FALSE)</f>
        <v>94999904</v>
      </c>
      <c r="V118" s="304">
        <f t="shared" si="6"/>
        <v>6278.0135324696757</v>
      </c>
      <c r="W118">
        <f t="shared" si="7"/>
        <v>0</v>
      </c>
      <c r="X118">
        <f>VLOOKUP(N118, 'Idaho Data'!$B:$RR, 460, FALSE)</f>
        <v>0</v>
      </c>
    </row>
    <row r="119" spans="14:24">
      <c r="N119" s="2" t="s">
        <v>125</v>
      </c>
      <c r="O119" s="200">
        <f>'Idaho Data'!SE34</f>
        <v>649734.42813455663</v>
      </c>
      <c r="P119">
        <f>'Idaho Data'!SF34</f>
        <v>3.8442050000000001</v>
      </c>
      <c r="Q119" s="301">
        <f>SUM('Idaho Data'!RV34:RW34)/'Idaho Data'!ST34</f>
        <v>7261.2247706422022</v>
      </c>
      <c r="R119" s="199">
        <f t="shared" si="4"/>
        <v>649734.42813455663</v>
      </c>
      <c r="S119" s="124">
        <f>VLOOKUP(N119, 'Idaho Data'!$B:$WB, 500, FALSE)</f>
        <v>0</v>
      </c>
      <c r="T119" t="str">
        <f t="shared" si="5"/>
        <v>small</v>
      </c>
      <c r="U119" s="131">
        <f>VLOOKUP(N119, 'Idaho Data'!$B:$TO, 502, FALSE)</f>
        <v>3566277</v>
      </c>
      <c r="V119" s="304">
        <f t="shared" si="6"/>
        <v>7261.2247706422022</v>
      </c>
      <c r="W119">
        <f t="shared" si="7"/>
        <v>0</v>
      </c>
      <c r="X119">
        <f>VLOOKUP(N119, 'Idaho Data'!$B:$RR, 460, FALSE)</f>
        <v>73910</v>
      </c>
    </row>
    <row r="120" spans="14:24">
      <c r="N120" s="2" t="s">
        <v>104</v>
      </c>
      <c r="O120" s="200">
        <f>'Idaho Data'!SE14</f>
        <v>655846.20253164554</v>
      </c>
      <c r="P120">
        <f>'Idaho Data'!SF14</f>
        <v>0.78843000000000008</v>
      </c>
      <c r="Q120" s="301">
        <f>SUM('Idaho Data'!RV14:RW14)/'Idaho Data'!ST14</f>
        <v>9233.835443037975</v>
      </c>
      <c r="R120" s="199">
        <f t="shared" si="4"/>
        <v>655846.20253164554</v>
      </c>
      <c r="S120" s="124">
        <f>VLOOKUP(N120, 'Idaho Data'!$B:$WB, 500, FALSE)</f>
        <v>0</v>
      </c>
      <c r="T120" t="str">
        <f t="shared" si="5"/>
        <v>small</v>
      </c>
      <c r="U120" s="131">
        <f>VLOOKUP(N120, 'Idaho Data'!$B:$TO, 502, FALSE)</f>
        <v>257682</v>
      </c>
      <c r="V120" s="304">
        <f t="shared" si="6"/>
        <v>9233.835443037975</v>
      </c>
      <c r="W120">
        <f t="shared" si="7"/>
        <v>0</v>
      </c>
      <c r="X120">
        <f>VLOOKUP(N120, 'Idaho Data'!$B:$RR, 460, FALSE)</f>
        <v>0</v>
      </c>
    </row>
    <row r="121" spans="14:24">
      <c r="N121" s="2" t="s">
        <v>196</v>
      </c>
      <c r="O121" s="200">
        <f>'Idaho Data'!SE99</f>
        <v>692965.01071428566</v>
      </c>
      <c r="P121">
        <f>'Idaho Data'!SF99</f>
        <v>5.2650459999999999</v>
      </c>
      <c r="Q121" s="301">
        <f>SUM('Idaho Data'!RV99:RW99)/'Idaho Data'!ST99</f>
        <v>13460.428571428571</v>
      </c>
      <c r="R121" s="199">
        <f t="shared" si="4"/>
        <v>692965.01071428566</v>
      </c>
      <c r="S121" s="124">
        <f>VLOOKUP(N121, 'Idaho Data'!$B:$WB, 500, FALSE)</f>
        <v>0</v>
      </c>
      <c r="T121" t="str">
        <f t="shared" si="5"/>
        <v>small</v>
      </c>
      <c r="U121" s="131">
        <f>VLOOKUP(N121, 'Idaho Data'!$B:$TO, 502, FALSE)</f>
        <v>1187047</v>
      </c>
      <c r="V121" s="304">
        <f t="shared" si="6"/>
        <v>13460.428571428571</v>
      </c>
      <c r="W121">
        <f t="shared" si="7"/>
        <v>0</v>
      </c>
      <c r="X121">
        <f>VLOOKUP(N121, 'Idaho Data'!$B:$RR, 460, FALSE)</f>
        <v>31603</v>
      </c>
    </row>
    <row r="122" spans="14:24">
      <c r="N122" s="2" t="s">
        <v>178</v>
      </c>
      <c r="O122" s="200">
        <f>'Idaho Data'!SE82</f>
        <v>777098.77159590041</v>
      </c>
      <c r="P122">
        <f>'Idaho Data'!SF82</f>
        <v>0.77559400000000001</v>
      </c>
      <c r="Q122" s="301">
        <f>SUM('Idaho Data'!RV82:RW82)/'Idaho Data'!ST82</f>
        <v>8543.6354319180082</v>
      </c>
      <c r="R122" s="199">
        <f t="shared" ref="R122:R156" si="8">O122</f>
        <v>777098.77159590041</v>
      </c>
      <c r="S122" s="124">
        <f>VLOOKUP(N122, 'Idaho Data'!$B:$WB, 500, FALSE)</f>
        <v>0</v>
      </c>
      <c r="T122" t="str">
        <f t="shared" ref="T122:T156" si="9">IF(S122&lt;=300, "small", "")</f>
        <v>small</v>
      </c>
      <c r="U122" s="131">
        <f>VLOOKUP(N122, 'Idaho Data'!$B:$TO, 502, FALSE)</f>
        <v>904599</v>
      </c>
      <c r="V122" s="304">
        <f t="shared" ref="V122:V156" si="10">Q122</f>
        <v>8543.6354319180082</v>
      </c>
      <c r="W122">
        <f t="shared" ref="W122:W156" si="11">V122*S122</f>
        <v>0</v>
      </c>
      <c r="X122">
        <f>VLOOKUP(N122, 'Idaho Data'!$B:$RR, 460, FALSE)</f>
        <v>29256</v>
      </c>
    </row>
    <row r="123" spans="14:24">
      <c r="N123" s="2" t="s">
        <v>167</v>
      </c>
      <c r="O123" s="200">
        <f>'Idaho Data'!SE72</f>
        <v>759417.3177987613</v>
      </c>
      <c r="P123">
        <f>'Idaho Data'!SF72</f>
        <v>2.375734</v>
      </c>
      <c r="Q123" s="301">
        <f>SUM('Idaho Data'!RV72:RW72)/'Idaho Data'!ST72</f>
        <v>5951.151995126409</v>
      </c>
      <c r="R123" s="199">
        <f t="shared" si="8"/>
        <v>759417.3177987613</v>
      </c>
      <c r="S123" s="124">
        <f>VLOOKUP(N123, 'Idaho Data'!$B:$WB, 500, FALSE)</f>
        <v>0</v>
      </c>
      <c r="T123" t="str">
        <f t="shared" si="9"/>
        <v>small</v>
      </c>
      <c r="U123" s="131">
        <f>VLOOKUP(N123, 'Idaho Data'!$B:$TO, 502, FALSE)</f>
        <v>23051937</v>
      </c>
      <c r="V123" s="304">
        <f t="shared" si="10"/>
        <v>5951.151995126409</v>
      </c>
      <c r="W123">
        <f t="shared" si="11"/>
        <v>0</v>
      </c>
      <c r="X123">
        <f>VLOOKUP(N123, 'Idaho Data'!$B:$RR, 460, FALSE)</f>
        <v>106224</v>
      </c>
    </row>
    <row r="124" spans="14:24">
      <c r="N124" s="2" t="s">
        <v>161</v>
      </c>
      <c r="O124" s="200">
        <f>'Idaho Data'!SE66</f>
        <v>743623.04950495053</v>
      </c>
      <c r="P124">
        <f>'Idaho Data'!SF66</f>
        <v>3.2440250000000002</v>
      </c>
      <c r="Q124" s="301">
        <f>SUM('Idaho Data'!RV66:RW66)/'Idaho Data'!ST66</f>
        <v>8947.786678667866</v>
      </c>
      <c r="R124" s="199">
        <f t="shared" si="8"/>
        <v>743623.04950495053</v>
      </c>
      <c r="S124" s="124">
        <f>VLOOKUP(N124, 'Idaho Data'!$B:$WB, 500, FALSE)</f>
        <v>0</v>
      </c>
      <c r="T124" t="str">
        <f t="shared" si="9"/>
        <v>small</v>
      </c>
      <c r="U124" s="131">
        <f>VLOOKUP(N124, 'Idaho Data'!$B:$TO, 502, FALSE)</f>
        <v>3435361</v>
      </c>
      <c r="V124" s="304">
        <f t="shared" si="10"/>
        <v>8947.786678667866</v>
      </c>
      <c r="W124">
        <f t="shared" si="11"/>
        <v>0</v>
      </c>
      <c r="X124">
        <f>VLOOKUP(N124, 'Idaho Data'!$B:$RR, 460, FALSE)</f>
        <v>11915</v>
      </c>
    </row>
    <row r="125" spans="14:24">
      <c r="N125" s="2" t="s">
        <v>140</v>
      </c>
      <c r="O125" s="200">
        <f>'Idaho Data'!SE47</f>
        <v>770654.95064935065</v>
      </c>
      <c r="P125">
        <f>'Idaho Data'!SF47</f>
        <v>2.4155610000000003</v>
      </c>
      <c r="Q125" s="301">
        <f>SUM('Idaho Data'!RV47:RW47)/'Idaho Data'!ST47</f>
        <v>6863.7636363636366</v>
      </c>
      <c r="R125" s="199">
        <f t="shared" si="8"/>
        <v>770654.95064935065</v>
      </c>
      <c r="S125" s="124">
        <f>VLOOKUP(N125, 'Idaho Data'!$B:$WB, 500, FALSE)</f>
        <v>0</v>
      </c>
      <c r="T125" t="str">
        <f t="shared" si="9"/>
        <v>small</v>
      </c>
      <c r="U125" s="131">
        <f>VLOOKUP(N125, 'Idaho Data'!$B:$TO, 502, FALSE)</f>
        <v>1838726</v>
      </c>
      <c r="V125" s="304">
        <f t="shared" si="10"/>
        <v>6863.7636363636366</v>
      </c>
      <c r="W125">
        <f t="shared" si="11"/>
        <v>0</v>
      </c>
      <c r="X125">
        <f>VLOOKUP(N125, 'Idaho Data'!$B:$RR, 460, FALSE)</f>
        <v>40787</v>
      </c>
    </row>
    <row r="126" spans="14:24">
      <c r="N126" s="2" t="s">
        <v>108</v>
      </c>
      <c r="O126" s="200">
        <f>'Idaho Data'!SE17</f>
        <v>825628.6</v>
      </c>
      <c r="P126">
        <f>'Idaho Data'!SF17</f>
        <v>1.5609310000000001</v>
      </c>
      <c r="Q126" s="301">
        <f>SUM('Idaho Data'!RV17:RW17)/'Idaho Data'!ST17</f>
        <v>7168.7070707070707</v>
      </c>
      <c r="R126" s="199">
        <f t="shared" si="8"/>
        <v>825628.6</v>
      </c>
      <c r="S126" s="124">
        <f>VLOOKUP(N126, 'Idaho Data'!$B:$WB, 500, FALSE)</f>
        <v>0</v>
      </c>
      <c r="T126" t="str">
        <f t="shared" si="9"/>
        <v>small</v>
      </c>
      <c r="U126" s="131">
        <f>VLOOKUP(N126, 'Idaho Data'!$B:$TO, 502, FALSE)</f>
        <v>1533405</v>
      </c>
      <c r="V126" s="304">
        <f t="shared" si="10"/>
        <v>7168.7070707070707</v>
      </c>
      <c r="W126">
        <f t="shared" si="11"/>
        <v>0</v>
      </c>
      <c r="X126">
        <f>VLOOKUP(N126, 'Idaho Data'!$B:$RR, 460, FALSE)</f>
        <v>0</v>
      </c>
    </row>
    <row r="127" spans="14:24">
      <c r="N127" s="2" t="s">
        <v>152</v>
      </c>
      <c r="O127" s="200">
        <f>'Idaho Data'!SE58</f>
        <v>782524.30526315793</v>
      </c>
      <c r="P127">
        <f>'Idaho Data'!SF58</f>
        <v>2.4151659999999997</v>
      </c>
      <c r="Q127" s="301">
        <f>SUM('Idaho Data'!RV58:RW58)/'Idaho Data'!ST58</f>
        <v>6992.7954887218048</v>
      </c>
      <c r="R127" s="199">
        <f t="shared" si="8"/>
        <v>782524.30526315793</v>
      </c>
      <c r="S127" s="124">
        <f>VLOOKUP(N127, 'Idaho Data'!$B:$WB, 500, FALSE)</f>
        <v>0</v>
      </c>
      <c r="T127" t="str">
        <f t="shared" si="9"/>
        <v>small</v>
      </c>
      <c r="U127" s="131">
        <f>VLOOKUP(N127, 'Idaho Data'!$B:$TO, 502, FALSE)</f>
        <v>4221502</v>
      </c>
      <c r="V127" s="304">
        <f t="shared" si="10"/>
        <v>6992.7954887218048</v>
      </c>
      <c r="W127">
        <f t="shared" si="11"/>
        <v>0</v>
      </c>
      <c r="X127">
        <f>VLOOKUP(N127, 'Idaho Data'!$B:$RR, 460, FALSE)</f>
        <v>20000</v>
      </c>
    </row>
    <row r="128" spans="14:24">
      <c r="N128" s="2" t="s">
        <v>118</v>
      </c>
      <c r="O128" s="200">
        <f>'Idaho Data'!SE27</f>
        <v>841338.00602409639</v>
      </c>
      <c r="P128">
        <f>'Idaho Data'!SF27</f>
        <v>1.4618960000000001</v>
      </c>
      <c r="Q128" s="301">
        <f>SUM('Idaho Data'!RV27:RW27)/'Idaho Data'!ST27</f>
        <v>8235.9909638554218</v>
      </c>
      <c r="R128" s="199">
        <f t="shared" si="8"/>
        <v>841338.00602409639</v>
      </c>
      <c r="S128" s="124">
        <f>VLOOKUP(N128, 'Idaho Data'!$B:$WB, 500, FALSE)</f>
        <v>0</v>
      </c>
      <c r="T128" t="str">
        <f t="shared" si="9"/>
        <v>small</v>
      </c>
      <c r="U128" s="131">
        <f>VLOOKUP(N128, 'Idaho Data'!$B:$TO, 502, FALSE)</f>
        <v>510652</v>
      </c>
      <c r="V128" s="304">
        <f t="shared" si="10"/>
        <v>8235.9909638554218</v>
      </c>
      <c r="W128">
        <f t="shared" si="11"/>
        <v>0</v>
      </c>
      <c r="X128">
        <f>VLOOKUP(N128, 'Idaho Data'!$B:$RR, 460, FALSE)</f>
        <v>0</v>
      </c>
    </row>
    <row r="129" spans="14:24">
      <c r="N129" s="2" t="s">
        <v>182</v>
      </c>
      <c r="O129" s="200">
        <f>'Idaho Data'!SE86</f>
        <v>966066.7297297297</v>
      </c>
      <c r="P129">
        <f>'Idaho Data'!SF86</f>
        <v>3.7920060000000002</v>
      </c>
      <c r="Q129" s="301">
        <f>SUM('Idaho Data'!RV86:RW86)/'Idaho Data'!ST86</f>
        <v>12764.621621621622</v>
      </c>
      <c r="R129" s="199">
        <f t="shared" si="8"/>
        <v>966066.7297297297</v>
      </c>
      <c r="S129" s="124">
        <f>VLOOKUP(N129, 'Idaho Data'!$B:$WB, 500, FALSE)</f>
        <v>0</v>
      </c>
      <c r="T129" t="str">
        <f t="shared" si="9"/>
        <v>small</v>
      </c>
      <c r="U129" s="131">
        <f>VLOOKUP(N129, 'Idaho Data'!$B:$TO, 502, FALSE)</f>
        <v>657127</v>
      </c>
      <c r="V129" s="304">
        <f t="shared" si="10"/>
        <v>12764.621621621622</v>
      </c>
      <c r="W129">
        <f t="shared" si="11"/>
        <v>0</v>
      </c>
      <c r="X129">
        <f>VLOOKUP(N129, 'Idaho Data'!$B:$RR, 460, FALSE)</f>
        <v>16128</v>
      </c>
    </row>
    <row r="130" spans="14:24">
      <c r="N130" s="2" t="s">
        <v>205</v>
      </c>
      <c r="O130" s="200">
        <f>'Idaho Data'!SE108</f>
        <v>766902.37894736847</v>
      </c>
      <c r="P130">
        <f>'Idaho Data'!SF108</f>
        <v>6.9706950000000001</v>
      </c>
      <c r="Q130" s="301">
        <f>SUM('Idaho Data'!RV108:RW108)/'Idaho Data'!ST108</f>
        <v>15610.410526315789</v>
      </c>
      <c r="R130" s="199">
        <f t="shared" si="8"/>
        <v>766902.37894736847</v>
      </c>
      <c r="S130" s="124">
        <f>VLOOKUP(N130, 'Idaho Data'!$B:$WB, 500, FALSE)</f>
        <v>0</v>
      </c>
      <c r="T130" t="str">
        <f t="shared" si="9"/>
        <v>small</v>
      </c>
      <c r="U130" s="131">
        <f>VLOOKUP(N130, 'Idaho Data'!$B:$TO, 502, FALSE)</f>
        <v>599561</v>
      </c>
      <c r="V130" s="304">
        <f t="shared" si="10"/>
        <v>15610.410526315789</v>
      </c>
      <c r="W130">
        <f t="shared" si="11"/>
        <v>0</v>
      </c>
      <c r="X130">
        <f>VLOOKUP(N130, 'Idaho Data'!$B:$RR, 460, FALSE)</f>
        <v>90</v>
      </c>
    </row>
    <row r="131" spans="14:24">
      <c r="N131" s="2" t="s">
        <v>208</v>
      </c>
      <c r="O131" s="200">
        <f>'Idaho Data'!SE111</f>
        <v>864859.20061538462</v>
      </c>
      <c r="P131">
        <f>'Idaho Data'!SF111</f>
        <v>3.5788399999999996</v>
      </c>
      <c r="Q131" s="301">
        <f>SUM('Idaho Data'!RV111:RW111)/'Idaho Data'!ST111</f>
        <v>6515.851076923077</v>
      </c>
      <c r="R131" s="199">
        <f t="shared" si="8"/>
        <v>864859.20061538462</v>
      </c>
      <c r="S131" s="124">
        <f>VLOOKUP(N131, 'Idaho Data'!$B:$WB, 500, FALSE)</f>
        <v>0</v>
      </c>
      <c r="T131" t="str">
        <f t="shared" si="9"/>
        <v>small</v>
      </c>
      <c r="U131" s="131">
        <f>VLOOKUP(N131, 'Idaho Data'!$B:$TO, 502, FALSE)</f>
        <v>5937881</v>
      </c>
      <c r="V131" s="304">
        <f t="shared" si="10"/>
        <v>6515.851076923077</v>
      </c>
      <c r="W131">
        <f t="shared" si="11"/>
        <v>0</v>
      </c>
      <c r="X131">
        <f>VLOOKUP(N131, 'Idaho Data'!$B:$RR, 460, FALSE)</f>
        <v>13536</v>
      </c>
    </row>
    <row r="132" spans="14:24">
      <c r="N132" s="2" t="s">
        <v>142</v>
      </c>
      <c r="O132" s="200">
        <f>'Idaho Data'!SE49</f>
        <v>841549.82733812951</v>
      </c>
      <c r="P132">
        <f>'Idaho Data'!SF49</f>
        <v>3.0808770000000001</v>
      </c>
      <c r="Q132" s="301">
        <f>SUM('Idaho Data'!RV49:RW49)/'Idaho Data'!ST49</f>
        <v>15063.769784172662</v>
      </c>
      <c r="R132" s="199">
        <f t="shared" si="8"/>
        <v>841549.82733812951</v>
      </c>
      <c r="S132" s="124">
        <f>VLOOKUP(N132, 'Idaho Data'!$B:$WB, 500, FALSE)</f>
        <v>0</v>
      </c>
      <c r="T132" t="str">
        <f t="shared" si="9"/>
        <v>small</v>
      </c>
      <c r="U132" s="131">
        <f>VLOOKUP(N132, 'Idaho Data'!$B:$TO, 502, FALSE)</f>
        <v>457923</v>
      </c>
      <c r="V132" s="304">
        <f t="shared" si="10"/>
        <v>15063.769784172662</v>
      </c>
      <c r="W132">
        <f t="shared" si="11"/>
        <v>0</v>
      </c>
      <c r="X132">
        <f>VLOOKUP(N132, 'Idaho Data'!$B:$RR, 460, FALSE)</f>
        <v>56060</v>
      </c>
    </row>
    <row r="133" spans="14:24">
      <c r="N133" s="2" t="s">
        <v>177</v>
      </c>
      <c r="O133" s="200">
        <f>'Idaho Data'!SE81</f>
        <v>818991.69668246445</v>
      </c>
      <c r="P133">
        <f>'Idaho Data'!SF81</f>
        <v>5.8089579999999996</v>
      </c>
      <c r="Q133" s="301">
        <f>SUM('Idaho Data'!RV81:RW81)/'Idaho Data'!ST81</f>
        <v>10300.701421800948</v>
      </c>
      <c r="R133" s="199">
        <f t="shared" si="8"/>
        <v>818991.69668246445</v>
      </c>
      <c r="S133" s="124" t="e">
        <f>VLOOKUP(N133, 'Idaho Data'!$B:$WB, 500, FALSE)</f>
        <v>#N/A</v>
      </c>
      <c r="T133" t="e">
        <f t="shared" si="9"/>
        <v>#N/A</v>
      </c>
      <c r="U133" s="131" t="e">
        <f>VLOOKUP(N133, 'Idaho Data'!$B:$TO, 502, FALSE)</f>
        <v>#N/A</v>
      </c>
      <c r="V133" s="304">
        <f t="shared" si="10"/>
        <v>10300.701421800948</v>
      </c>
      <c r="W133" t="e">
        <f t="shared" si="11"/>
        <v>#N/A</v>
      </c>
      <c r="X133" t="e">
        <f>VLOOKUP(N133, 'Idaho Data'!$B:$RR, 460, FALSE)</f>
        <v>#N/A</v>
      </c>
    </row>
    <row r="134" spans="14:24">
      <c r="N134" s="2" t="s">
        <v>145</v>
      </c>
      <c r="O134" s="200">
        <f>'Idaho Data'!SE52</f>
        <v>909629.74683544307</v>
      </c>
      <c r="P134">
        <f>'Idaho Data'!SF52</f>
        <v>1.917208</v>
      </c>
      <c r="Q134" s="301">
        <f>SUM('Idaho Data'!RV52:RW52)/'Idaho Data'!ST52</f>
        <v>11866.335443037975</v>
      </c>
      <c r="R134" s="199">
        <f t="shared" si="8"/>
        <v>909629.74683544307</v>
      </c>
      <c r="S134" s="124">
        <f>VLOOKUP(N134, 'Idaho Data'!$B:$WB, 500, FALSE)</f>
        <v>0</v>
      </c>
      <c r="T134" t="str">
        <f t="shared" si="9"/>
        <v>small</v>
      </c>
      <c r="U134" s="131">
        <f>VLOOKUP(N134, 'Idaho Data'!$B:$TO, 502, FALSE)</f>
        <v>381717</v>
      </c>
      <c r="V134" s="304">
        <f t="shared" si="10"/>
        <v>11866.335443037975</v>
      </c>
      <c r="W134">
        <f t="shared" si="11"/>
        <v>0</v>
      </c>
      <c r="X134">
        <f>VLOOKUP(N134, 'Idaho Data'!$B:$RR, 460, FALSE)</f>
        <v>9993</v>
      </c>
    </row>
    <row r="135" spans="14:24">
      <c r="N135" s="2" t="s">
        <v>127</v>
      </c>
      <c r="O135" s="200">
        <f>'Idaho Data'!SE36</f>
        <v>991893.81395348837</v>
      </c>
      <c r="P135">
        <f>'Idaho Data'!SF36</f>
        <v>4.2637330000000002</v>
      </c>
      <c r="Q135" s="301">
        <f>SUM('Idaho Data'!RV36:RW36)/'Idaho Data'!ST36</f>
        <v>13365.697674418605</v>
      </c>
      <c r="R135" s="199">
        <f t="shared" si="8"/>
        <v>991893.81395348837</v>
      </c>
      <c r="S135" s="124">
        <f>VLOOKUP(N135, 'Idaho Data'!$B:$WB, 500, FALSE)</f>
        <v>0</v>
      </c>
      <c r="T135" t="str">
        <f t="shared" si="9"/>
        <v>small</v>
      </c>
      <c r="U135" s="131">
        <f>VLOOKUP(N135, 'Idaho Data'!$B:$TO, 502, FALSE)</f>
        <v>610183</v>
      </c>
      <c r="V135" s="304">
        <f t="shared" si="10"/>
        <v>13365.697674418605</v>
      </c>
      <c r="W135">
        <f t="shared" si="11"/>
        <v>0</v>
      </c>
      <c r="X135">
        <f>VLOOKUP(N135, 'Idaho Data'!$B:$RR, 460, FALSE)</f>
        <v>15000</v>
      </c>
    </row>
    <row r="136" spans="14:24">
      <c r="N136" s="2" t="s">
        <v>180</v>
      </c>
      <c r="O136" s="200">
        <f>'Idaho Data'!SE84</f>
        <v>861358.31818181823</v>
      </c>
      <c r="P136">
        <f>'Idaho Data'!SF84</f>
        <v>4.5810829999999996</v>
      </c>
      <c r="Q136" s="301">
        <f>SUM('Idaho Data'!RV84:RW84)/'Idaho Data'!ST84</f>
        <v>13588.25</v>
      </c>
      <c r="R136" s="199">
        <f t="shared" si="8"/>
        <v>861358.31818181823</v>
      </c>
      <c r="S136" s="124">
        <f>VLOOKUP(N136, 'Idaho Data'!$B:$WB, 500, FALSE)</f>
        <v>0</v>
      </c>
      <c r="T136" t="str">
        <f t="shared" si="9"/>
        <v>small</v>
      </c>
      <c r="U136" s="131">
        <f>VLOOKUP(N136, 'Idaho Data'!$B:$TO, 502, FALSE)</f>
        <v>637416</v>
      </c>
      <c r="V136" s="304">
        <f t="shared" si="10"/>
        <v>13588.25</v>
      </c>
      <c r="W136">
        <f t="shared" si="11"/>
        <v>0</v>
      </c>
      <c r="X136">
        <f>VLOOKUP(N136, 'Idaho Data'!$B:$RR, 460, FALSE)</f>
        <v>6254</v>
      </c>
    </row>
    <row r="137" spans="14:24">
      <c r="N137" s="2" t="s">
        <v>179</v>
      </c>
      <c r="O137" s="200">
        <f>'Idaho Data'!SE83</f>
        <v>1142739.1527777778</v>
      </c>
      <c r="P137">
        <f>'Idaho Data'!SF83</f>
        <v>0.37122100000000002</v>
      </c>
      <c r="Q137" s="301">
        <f>SUM('Idaho Data'!RV83:RW83)/'Idaho Data'!ST83</f>
        <v>20762.958333333332</v>
      </c>
      <c r="R137" s="199">
        <f t="shared" si="8"/>
        <v>1142739.1527777778</v>
      </c>
      <c r="S137" s="124">
        <f>VLOOKUP(N137, 'Idaho Data'!$B:$WB, 500, FALSE)</f>
        <v>0</v>
      </c>
      <c r="T137" t="str">
        <f t="shared" si="9"/>
        <v>small</v>
      </c>
      <c r="U137" s="131">
        <f>VLOOKUP(N137, 'Idaho Data'!$B:$TO, 502, FALSE)</f>
        <v>148185</v>
      </c>
      <c r="V137" s="304">
        <f t="shared" si="10"/>
        <v>20762.958333333332</v>
      </c>
      <c r="W137">
        <f t="shared" si="11"/>
        <v>0</v>
      </c>
      <c r="X137">
        <f>VLOOKUP(N137, 'Idaho Data'!$B:$RR, 460, FALSE)</f>
        <v>22000</v>
      </c>
    </row>
    <row r="138" spans="14:24">
      <c r="N138" s="2" t="s">
        <v>221</v>
      </c>
      <c r="O138" s="200">
        <f>'Idaho Data'!SE124</f>
        <v>1134844.5398230089</v>
      </c>
      <c r="P138">
        <f>'Idaho Data'!SF124</f>
        <v>0.11036599999999999</v>
      </c>
      <c r="Q138" s="301">
        <f>SUM('Idaho Data'!RV124:RW124)/'Idaho Data'!ST124</f>
        <v>14644.867256637168</v>
      </c>
      <c r="R138" s="199">
        <f t="shared" si="8"/>
        <v>1134844.5398230089</v>
      </c>
      <c r="S138" s="124">
        <f>VLOOKUP(N138, 'Idaho Data'!$B:$WB, 500, FALSE)</f>
        <v>0</v>
      </c>
      <c r="T138" t="str">
        <f t="shared" si="9"/>
        <v>small</v>
      </c>
      <c r="U138" s="131">
        <f>VLOOKUP(N138, 'Idaho Data'!$B:$TO, 502, FALSE)</f>
        <v>94432</v>
      </c>
      <c r="V138" s="304">
        <f t="shared" si="10"/>
        <v>14644.867256637168</v>
      </c>
      <c r="W138">
        <f t="shared" si="11"/>
        <v>0</v>
      </c>
      <c r="X138">
        <f>VLOOKUP(N138, 'Idaho Data'!$B:$RR, 460, FALSE)</f>
        <v>0</v>
      </c>
    </row>
    <row r="139" spans="14:24">
      <c r="N139" s="2" t="s">
        <v>121</v>
      </c>
      <c r="O139" s="200">
        <f>'Idaho Data'!SE30</f>
        <v>1252955.4894124665</v>
      </c>
      <c r="P139">
        <f>'Idaho Data'!SF30</f>
        <v>1.8493190000000002</v>
      </c>
      <c r="Q139" s="301">
        <f>SUM('Idaho Data'!RV30:RW30)/'Idaho Data'!ST30</f>
        <v>6678.6972860125261</v>
      </c>
      <c r="R139" s="199">
        <f t="shared" si="8"/>
        <v>1252955.4894124665</v>
      </c>
      <c r="S139" s="124">
        <f>VLOOKUP(N139, 'Idaho Data'!$B:$WB, 500, FALSE)</f>
        <v>0</v>
      </c>
      <c r="T139" t="str">
        <f t="shared" si="9"/>
        <v>small</v>
      </c>
      <c r="U139" s="131">
        <f>VLOOKUP(N139, 'Idaho Data'!$B:$TO, 502, FALSE)</f>
        <v>9248684</v>
      </c>
      <c r="V139" s="304">
        <f t="shared" si="10"/>
        <v>6678.6972860125261</v>
      </c>
      <c r="W139">
        <f t="shared" si="11"/>
        <v>0</v>
      </c>
      <c r="X139">
        <f>VLOOKUP(N139, 'Idaho Data'!$B:$RR, 460, FALSE)</f>
        <v>0</v>
      </c>
    </row>
    <row r="140" spans="14:24">
      <c r="N140" s="2" t="s">
        <v>160</v>
      </c>
      <c r="O140" s="200">
        <f>'Idaho Data'!SE65</f>
        <v>1234629.1603773586</v>
      </c>
      <c r="P140">
        <f>'Idaho Data'!SF65</f>
        <v>4.0676740000000002</v>
      </c>
      <c r="Q140" s="301">
        <f>SUM('Idaho Data'!RV65:RW65)/'Idaho Data'!ST65</f>
        <v>16186.896226415094</v>
      </c>
      <c r="R140" s="199">
        <f t="shared" si="8"/>
        <v>1234629.1603773586</v>
      </c>
      <c r="S140" s="124" t="e">
        <f>VLOOKUP(N140, 'Idaho Data'!$B:$WB, 500, FALSE)</f>
        <v>#N/A</v>
      </c>
      <c r="T140" t="e">
        <f t="shared" si="9"/>
        <v>#N/A</v>
      </c>
      <c r="U140" s="131" t="e">
        <f>VLOOKUP(N140, 'Idaho Data'!$B:$TO, 502, FALSE)</f>
        <v>#N/A</v>
      </c>
      <c r="V140" s="304">
        <f t="shared" si="10"/>
        <v>16186.896226415094</v>
      </c>
      <c r="W140" t="e">
        <f t="shared" si="11"/>
        <v>#N/A</v>
      </c>
      <c r="X140" t="e">
        <f>VLOOKUP(N140, 'Idaho Data'!$B:$RR, 460, FALSE)</f>
        <v>#N/A</v>
      </c>
    </row>
    <row r="141" spans="14:24">
      <c r="N141" s="2" t="s">
        <v>203</v>
      </c>
      <c r="O141" s="200">
        <f>'Idaho Data'!SE106</f>
        <v>1395446.888888889</v>
      </c>
      <c r="P141">
        <f>'Idaho Data'!SF106</f>
        <v>2.1348399999999996</v>
      </c>
      <c r="Q141" s="301">
        <f>SUM('Idaho Data'!RV106:RW106)/'Idaho Data'!ST106</f>
        <v>16300.833333333334</v>
      </c>
      <c r="R141" s="199">
        <f t="shared" si="8"/>
        <v>1395446.888888889</v>
      </c>
      <c r="S141" s="124">
        <f>VLOOKUP(N141, 'Idaho Data'!$B:$WB, 500, FALSE)</f>
        <v>0</v>
      </c>
      <c r="T141" t="str">
        <f t="shared" si="9"/>
        <v>small</v>
      </c>
      <c r="U141" s="131">
        <f>VLOOKUP(N141, 'Idaho Data'!$B:$TO, 502, FALSE)</f>
        <v>55816</v>
      </c>
      <c r="V141" s="304">
        <f t="shared" si="10"/>
        <v>16300.833333333334</v>
      </c>
      <c r="W141">
        <f t="shared" si="11"/>
        <v>0</v>
      </c>
      <c r="X141">
        <f>VLOOKUP(N141, 'Idaho Data'!$B:$RR, 460, FALSE)</f>
        <v>0</v>
      </c>
    </row>
    <row r="142" spans="14:24">
      <c r="N142" s="2" t="s">
        <v>110</v>
      </c>
      <c r="O142" s="200">
        <f>'Idaho Data'!SE19</f>
        <v>1736504.5665529009</v>
      </c>
      <c r="P142">
        <f>'Idaho Data'!SF19</f>
        <v>1.1141699999999999</v>
      </c>
      <c r="Q142" s="301">
        <f>SUM('Idaho Data'!RV19:RW19)/'Idaho Data'!ST19</f>
        <v>15050.409556313993</v>
      </c>
      <c r="R142" s="199">
        <f t="shared" si="8"/>
        <v>1736504.5665529009</v>
      </c>
      <c r="S142" s="124">
        <f>VLOOKUP(N142, 'Idaho Data'!$B:$WB, 500, FALSE)</f>
        <v>0</v>
      </c>
      <c r="T142" t="str">
        <f t="shared" si="9"/>
        <v>small</v>
      </c>
      <c r="U142" s="131">
        <f>VLOOKUP(N142, 'Idaho Data'!$B:$TO, 502, FALSE)</f>
        <v>874002</v>
      </c>
      <c r="V142" s="304">
        <f t="shared" si="10"/>
        <v>15050.409556313993</v>
      </c>
      <c r="W142">
        <f t="shared" si="11"/>
        <v>0</v>
      </c>
      <c r="X142">
        <f>VLOOKUP(N142, 'Idaho Data'!$B:$RR, 460, FALSE)</f>
        <v>82000</v>
      </c>
    </row>
    <row r="143" spans="14:24">
      <c r="N143" s="2" t="s">
        <v>120</v>
      </c>
      <c r="O143" s="200">
        <f>'Idaho Data'!SE29</f>
        <v>1630195.6093439364</v>
      </c>
      <c r="P143">
        <f>'Idaho Data'!SF29</f>
        <v>1.8923699999999999</v>
      </c>
      <c r="Q143" s="301">
        <f>SUM('Idaho Data'!RV29:RW29)/'Idaho Data'!ST29</f>
        <v>7772.6669980119286</v>
      </c>
      <c r="R143" s="199">
        <f t="shared" si="8"/>
        <v>1630195.6093439364</v>
      </c>
      <c r="S143" s="124">
        <f>VLOOKUP(N143, 'Idaho Data'!$B:$WB, 500, FALSE)</f>
        <v>0</v>
      </c>
      <c r="T143" t="str">
        <f t="shared" si="9"/>
        <v>small</v>
      </c>
      <c r="U143" s="131">
        <f>VLOOKUP(N143, 'Idaho Data'!$B:$TO, 502, FALSE)</f>
        <v>3640285</v>
      </c>
      <c r="V143" s="304">
        <f t="shared" si="10"/>
        <v>7772.6669980119286</v>
      </c>
      <c r="W143">
        <f t="shared" si="11"/>
        <v>0</v>
      </c>
      <c r="X143">
        <f>VLOOKUP(N143, 'Idaho Data'!$B:$RR, 460, FALSE)</f>
        <v>45981</v>
      </c>
    </row>
    <row r="144" spans="14:24">
      <c r="N144" s="2" t="s">
        <v>103</v>
      </c>
      <c r="O144" s="200">
        <f>'Idaho Data'!SE13</f>
        <v>1624694.55</v>
      </c>
      <c r="P144">
        <f>'Idaho Data'!SF13</f>
        <v>1.4074119999999999</v>
      </c>
      <c r="Q144" s="301">
        <f>SUM('Idaho Data'!RV13:RW13)/'Idaho Data'!ST13</f>
        <v>12500.392857142857</v>
      </c>
      <c r="R144" s="199">
        <f t="shared" si="8"/>
        <v>1624694.55</v>
      </c>
      <c r="S144" s="124">
        <f>VLOOKUP(N144, 'Idaho Data'!$B:$WB, 500, FALSE)</f>
        <v>0</v>
      </c>
      <c r="T144" t="str">
        <f t="shared" si="9"/>
        <v>small</v>
      </c>
      <c r="U144" s="131">
        <f>VLOOKUP(N144, 'Idaho Data'!$B:$TO, 502, FALSE)</f>
        <v>346865</v>
      </c>
      <c r="V144" s="304">
        <f t="shared" si="10"/>
        <v>12500.392857142857</v>
      </c>
      <c r="W144">
        <f t="shared" si="11"/>
        <v>0</v>
      </c>
      <c r="X144">
        <f>VLOOKUP(N144, 'Idaho Data'!$B:$RR, 460, FALSE)</f>
        <v>0</v>
      </c>
    </row>
    <row r="145" spans="14:24">
      <c r="N145" s="2" t="s">
        <v>220</v>
      </c>
      <c r="O145" s="200">
        <f>'Idaho Data'!SE123</f>
        <v>1471384.6090909091</v>
      </c>
      <c r="P145">
        <f>'Idaho Data'!SF123</f>
        <v>1.3218970000000001</v>
      </c>
      <c r="Q145" s="301">
        <f>SUM('Idaho Data'!RV123:RW123)/'Idaho Data'!ST123</f>
        <v>13867.781818181818</v>
      </c>
      <c r="R145" s="199">
        <f t="shared" si="8"/>
        <v>1471384.6090909091</v>
      </c>
      <c r="S145" s="124">
        <f>VLOOKUP(N145, 'Idaho Data'!$B:$WB, 500, FALSE)</f>
        <v>0</v>
      </c>
      <c r="T145" t="str">
        <f t="shared" si="9"/>
        <v>small</v>
      </c>
      <c r="U145" s="131">
        <f>VLOOKUP(N145, 'Idaho Data'!$B:$TO, 502, FALSE)</f>
        <v>309935</v>
      </c>
      <c r="V145" s="304">
        <f t="shared" si="10"/>
        <v>13867.781818181818</v>
      </c>
      <c r="W145">
        <f t="shared" si="11"/>
        <v>0</v>
      </c>
      <c r="X145">
        <f>VLOOKUP(N145, 'Idaho Data'!$B:$RR, 460, FALSE)</f>
        <v>15000</v>
      </c>
    </row>
    <row r="146" spans="14:24">
      <c r="N146" s="2" t="s">
        <v>214</v>
      </c>
      <c r="O146" s="200">
        <f>'Idaho Data'!SE117</f>
        <v>2157215.6666666665</v>
      </c>
      <c r="P146">
        <f>'Idaho Data'!SF117</f>
        <v>1.307601</v>
      </c>
      <c r="Q146" s="301">
        <f>SUM('Idaho Data'!RV117:RW117)/'Idaho Data'!ST117</f>
        <v>17383.888888888891</v>
      </c>
      <c r="R146" s="199">
        <f t="shared" si="8"/>
        <v>2157215.6666666665</v>
      </c>
      <c r="S146" s="124">
        <f>VLOOKUP(N146, 'Idaho Data'!$B:$WB, 500, FALSE)</f>
        <v>0</v>
      </c>
      <c r="T146" t="str">
        <f t="shared" si="9"/>
        <v>small</v>
      </c>
      <c r="U146" s="131">
        <f>VLOOKUP(N146, 'Idaho Data'!$B:$TO, 502, FALSE)</f>
        <v>25843</v>
      </c>
      <c r="V146" s="304">
        <f t="shared" si="10"/>
        <v>17383.888888888891</v>
      </c>
      <c r="W146">
        <f t="shared" si="11"/>
        <v>0</v>
      </c>
      <c r="X146">
        <f>VLOOKUP(N146, 'Idaho Data'!$B:$RR, 460, FALSE)</f>
        <v>0</v>
      </c>
    </row>
    <row r="147" spans="14:24">
      <c r="N147" s="2" t="s">
        <v>195</v>
      </c>
      <c r="O147" s="200">
        <f>'Idaho Data'!SE98</f>
        <v>1680812.7272727273</v>
      </c>
      <c r="P147">
        <f>'Idaho Data'!SF98</f>
        <v>0.54870600000000003</v>
      </c>
      <c r="Q147" s="301">
        <f>SUM('Idaho Data'!RV98:RW98)/'Idaho Data'!ST98</f>
        <v>21789.545454545456</v>
      </c>
      <c r="R147" s="199">
        <f t="shared" si="8"/>
        <v>1680812.7272727273</v>
      </c>
      <c r="S147" s="124">
        <f>VLOOKUP(N147, 'Idaho Data'!$B:$WB, 500, FALSE)</f>
        <v>0</v>
      </c>
      <c r="T147" t="str">
        <f t="shared" si="9"/>
        <v>small</v>
      </c>
      <c r="U147" s="131">
        <f>VLOOKUP(N147, 'Idaho Data'!$B:$TO, 502, FALSE)</f>
        <v>21642</v>
      </c>
      <c r="V147" s="304">
        <f t="shared" si="10"/>
        <v>21789.545454545456</v>
      </c>
      <c r="W147">
        <f t="shared" si="11"/>
        <v>0</v>
      </c>
      <c r="X147">
        <f>VLOOKUP(N147, 'Idaho Data'!$B:$RR, 460, FALSE)</f>
        <v>0</v>
      </c>
    </row>
    <row r="148" spans="14:24">
      <c r="N148" s="2" t="s">
        <v>144</v>
      </c>
      <c r="O148" s="200">
        <f>'Idaho Data'!SE51</f>
        <v>1870354.6084507043</v>
      </c>
      <c r="P148">
        <f>'Idaho Data'!SF51</f>
        <v>0.68739899999999998</v>
      </c>
      <c r="Q148" s="301">
        <f>SUM('Idaho Data'!RV51:RW51)/'Idaho Data'!ST51</f>
        <v>9333.4704225352107</v>
      </c>
      <c r="R148" s="199">
        <f t="shared" si="8"/>
        <v>1870354.6084507043</v>
      </c>
      <c r="S148" s="124">
        <f>VLOOKUP(N148, 'Idaho Data'!$B:$WB, 500, FALSE)</f>
        <v>0</v>
      </c>
      <c r="T148" t="str">
        <f t="shared" si="9"/>
        <v>small</v>
      </c>
      <c r="U148" s="131">
        <f>VLOOKUP(N148, 'Idaho Data'!$B:$TO, 502, FALSE)</f>
        <v>779354</v>
      </c>
      <c r="V148" s="304">
        <f t="shared" si="10"/>
        <v>9333.4704225352107</v>
      </c>
      <c r="W148">
        <f t="shared" si="11"/>
        <v>0</v>
      </c>
      <c r="X148">
        <f>VLOOKUP(N148, 'Idaho Data'!$B:$RR, 460, FALSE)</f>
        <v>6556</v>
      </c>
    </row>
    <row r="149" spans="14:24">
      <c r="N149" s="2" t="s">
        <v>117</v>
      </c>
      <c r="O149" s="200">
        <f>'Idaho Data'!SE26</f>
        <v>1818085.6790697675</v>
      </c>
      <c r="P149">
        <f>'Idaho Data'!SF26</f>
        <v>3.3692659999999997</v>
      </c>
      <c r="Q149" s="301">
        <f>SUM('Idaho Data'!RV26:RW26)/'Idaho Data'!ST26</f>
        <v>10550.841860465116</v>
      </c>
      <c r="R149" s="199">
        <f t="shared" si="8"/>
        <v>1818085.6790697675</v>
      </c>
      <c r="S149" s="124">
        <f>VLOOKUP(N149, 'Idaho Data'!$B:$WB, 500, FALSE)</f>
        <v>0</v>
      </c>
      <c r="T149" t="str">
        <f t="shared" si="9"/>
        <v>small</v>
      </c>
      <c r="U149" s="131">
        <f>VLOOKUP(N149, 'Idaho Data'!$B:$TO, 502, FALSE)</f>
        <v>1460798</v>
      </c>
      <c r="V149" s="304">
        <f t="shared" si="10"/>
        <v>10550.841860465116</v>
      </c>
      <c r="W149">
        <f t="shared" si="11"/>
        <v>0</v>
      </c>
      <c r="X149">
        <f>VLOOKUP(N149, 'Idaho Data'!$B:$RR, 460, FALSE)</f>
        <v>0</v>
      </c>
    </row>
    <row r="150" spans="14:24">
      <c r="N150" s="2" t="s">
        <v>218</v>
      </c>
      <c r="O150" s="200">
        <f>'Idaho Data'!SE121</f>
        <v>1823952.7859922179</v>
      </c>
      <c r="P150">
        <f>'Idaho Data'!SF121</f>
        <v>1.293023</v>
      </c>
      <c r="Q150" s="301">
        <f>SUM('Idaho Data'!RV121:RW121)/'Idaho Data'!ST121</f>
        <v>9073.8638132295728</v>
      </c>
      <c r="R150" s="199">
        <f t="shared" si="8"/>
        <v>1823952.7859922179</v>
      </c>
      <c r="S150" s="124">
        <f>VLOOKUP(N150, 'Idaho Data'!$B:$WB, 500, FALSE)</f>
        <v>0</v>
      </c>
      <c r="T150" t="str">
        <f t="shared" si="9"/>
        <v>small</v>
      </c>
      <c r="U150" s="131">
        <f>VLOOKUP(N150, 'Idaho Data'!$B:$TO, 502, FALSE)</f>
        <v>758629</v>
      </c>
      <c r="V150" s="304">
        <f t="shared" si="10"/>
        <v>9073.8638132295728</v>
      </c>
      <c r="W150">
        <f t="shared" si="11"/>
        <v>0</v>
      </c>
      <c r="X150">
        <f>VLOOKUP(N150, 'Idaho Data'!$B:$RR, 460, FALSE)</f>
        <v>31484</v>
      </c>
    </row>
    <row r="151" spans="14:24">
      <c r="N151" s="2" t="s">
        <v>146</v>
      </c>
      <c r="O151" s="200">
        <f>'Idaho Data'!SE53</f>
        <v>1798935.5</v>
      </c>
      <c r="P151">
        <f>'Idaho Data'!SF53</f>
        <v>0</v>
      </c>
      <c r="Q151" s="301">
        <f>SUM('Idaho Data'!RV53:RW53)/'Idaho Data'!ST53</f>
        <v>25346.833333333332</v>
      </c>
      <c r="R151" s="199">
        <f t="shared" si="8"/>
        <v>1798935.5</v>
      </c>
      <c r="S151" s="124">
        <f>VLOOKUP(N151, 'Idaho Data'!$B:$WB, 500, FALSE)</f>
        <v>0</v>
      </c>
      <c r="T151" t="str">
        <f t="shared" si="9"/>
        <v>small</v>
      </c>
      <c r="U151" s="131">
        <f>VLOOKUP(N151, 'Idaho Data'!$B:$TO, 502, FALSE)</f>
        <v>10</v>
      </c>
      <c r="V151" s="304">
        <f t="shared" si="10"/>
        <v>25346.833333333332</v>
      </c>
      <c r="W151">
        <f t="shared" si="11"/>
        <v>0</v>
      </c>
      <c r="X151">
        <f>VLOOKUP(N151, 'Idaho Data'!$B:$RR, 460, FALSE)</f>
        <v>0</v>
      </c>
    </row>
    <row r="152" spans="14:24">
      <c r="N152" s="2" t="s">
        <v>116</v>
      </c>
      <c r="O152" s="200">
        <f>'Idaho Data'!SE25</f>
        <v>2927623.0697445972</v>
      </c>
      <c r="P152">
        <f>'Idaho Data'!SF25</f>
        <v>4.242661</v>
      </c>
      <c r="Q152" s="301">
        <f>SUM('Idaho Data'!RV25:RW25)/'Idaho Data'!ST25</f>
        <v>6089.9462999345124</v>
      </c>
      <c r="R152" s="199">
        <f t="shared" si="8"/>
        <v>2927623.0697445972</v>
      </c>
      <c r="S152" s="124">
        <f>VLOOKUP(N152, 'Idaho Data'!$B:$WB, 500, FALSE)</f>
        <v>0</v>
      </c>
      <c r="T152" t="str">
        <f t="shared" si="9"/>
        <v>small</v>
      </c>
      <c r="U152" s="131">
        <f>VLOOKUP(N152, 'Idaho Data'!$B:$TO, 502, FALSE)</f>
        <v>40457615</v>
      </c>
      <c r="V152" s="304">
        <f t="shared" si="10"/>
        <v>6089.9462999345124</v>
      </c>
      <c r="W152">
        <f t="shared" si="11"/>
        <v>0</v>
      </c>
      <c r="X152">
        <f>VLOOKUP(N152, 'Idaho Data'!$B:$RR, 460, FALSE)</f>
        <v>287144</v>
      </c>
    </row>
    <row r="153" spans="14:24">
      <c r="N153" s="2" t="s">
        <v>217</v>
      </c>
      <c r="O153" s="200">
        <f>'Idaho Data'!SE120</f>
        <v>2930262.5644994839</v>
      </c>
      <c r="P153">
        <f>'Idaho Data'!SF120</f>
        <v>2.8375490000000001</v>
      </c>
      <c r="Q153" s="301">
        <f>SUM('Idaho Data'!RV120:RW120)/'Idaho Data'!ST120</f>
        <v>7256.9638802889576</v>
      </c>
      <c r="R153" s="199">
        <f t="shared" si="8"/>
        <v>2930262.5644994839</v>
      </c>
      <c r="S153" s="124">
        <f>VLOOKUP(N153, 'Idaho Data'!$B:$WB, 500, FALSE)</f>
        <v>0</v>
      </c>
      <c r="T153" t="str">
        <f t="shared" si="9"/>
        <v>small</v>
      </c>
      <c r="U153" s="131">
        <f>VLOOKUP(N153, 'Idaho Data'!$B:$TO, 502, FALSE)</f>
        <v>8342144</v>
      </c>
      <c r="V153" s="304">
        <f t="shared" si="10"/>
        <v>7256.9638802889576</v>
      </c>
      <c r="W153">
        <f t="shared" si="11"/>
        <v>0</v>
      </c>
      <c r="X153">
        <f>VLOOKUP(N153, 'Idaho Data'!$B:$RR, 460, FALSE)</f>
        <v>30000</v>
      </c>
    </row>
    <row r="154" spans="14:24">
      <c r="N154" s="2" t="s">
        <v>170</v>
      </c>
      <c r="O154" s="200">
        <f>'Idaho Data'!SE75</f>
        <v>3748133.7062937063</v>
      </c>
      <c r="P154">
        <f>'Idaho Data'!SF75</f>
        <v>2.1323380000000003</v>
      </c>
      <c r="Q154" s="301">
        <f>SUM('Idaho Data'!RV75:RW75)/'Idaho Data'!ST75</f>
        <v>12643.041958041958</v>
      </c>
      <c r="R154" s="199">
        <f t="shared" si="8"/>
        <v>3748133.7062937063</v>
      </c>
      <c r="S154" s="124">
        <f>VLOOKUP(N154, 'Idaho Data'!$B:$WB, 500, FALSE)</f>
        <v>0</v>
      </c>
      <c r="T154" t="str">
        <f t="shared" si="9"/>
        <v>small</v>
      </c>
      <c r="U154" s="131">
        <f>VLOOKUP(N154, 'Idaho Data'!$B:$TO, 502, FALSE)</f>
        <v>1310124</v>
      </c>
      <c r="V154" s="304">
        <f t="shared" si="10"/>
        <v>12643.041958041958</v>
      </c>
      <c r="W154">
        <f t="shared" si="11"/>
        <v>0</v>
      </c>
      <c r="X154">
        <f>VLOOKUP(N154, 'Idaho Data'!$B:$RR, 460, FALSE)</f>
        <v>23387</v>
      </c>
    </row>
    <row r="155" spans="14:24">
      <c r="N155" s="2" t="s">
        <v>123</v>
      </c>
      <c r="O155" s="200">
        <f>'Idaho Data'!SE32</f>
        <v>3849730.612244898</v>
      </c>
      <c r="P155">
        <f>'Idaho Data'!SF32</f>
        <v>1.6638900000000001</v>
      </c>
      <c r="Q155" s="301">
        <f>SUM('Idaho Data'!RV32:RW32)/'Idaho Data'!ST32</f>
        <v>12928.204081632653</v>
      </c>
      <c r="R155" s="199">
        <f t="shared" si="8"/>
        <v>3849730.612244898</v>
      </c>
      <c r="S155" s="124">
        <f>VLOOKUP(N155, 'Idaho Data'!$B:$WB, 500, FALSE)</f>
        <v>0</v>
      </c>
      <c r="T155" t="str">
        <f t="shared" si="9"/>
        <v>small</v>
      </c>
      <c r="U155" s="131">
        <f>VLOOKUP(N155, 'Idaho Data'!$B:$TO, 502, FALSE)</f>
        <v>361062</v>
      </c>
      <c r="V155" s="304">
        <f t="shared" si="10"/>
        <v>12928.204081632653</v>
      </c>
      <c r="W155">
        <f t="shared" si="11"/>
        <v>0</v>
      </c>
      <c r="X155">
        <f>VLOOKUP(N155, 'Idaho Data'!$B:$RR, 460, FALSE)</f>
        <v>10029</v>
      </c>
    </row>
    <row r="156" spans="14:24">
      <c r="N156" s="2" t="s">
        <v>207</v>
      </c>
      <c r="O156" s="200">
        <f>'Idaho Data'!SE110</f>
        <v>23547814.600000001</v>
      </c>
      <c r="P156">
        <f>'Idaho Data'!SF110</f>
        <v>1.3649930000000001</v>
      </c>
      <c r="Q156" s="301">
        <f>SUM('Idaho Data'!RV110:RW110)/'Idaho Data'!ST110</f>
        <v>64673.599999999999</v>
      </c>
      <c r="R156" s="199">
        <f t="shared" si="8"/>
        <v>23547814.600000001</v>
      </c>
      <c r="S156" s="124">
        <f>VLOOKUP(N156, 'Idaho Data'!$B:$WB, 500, FALSE)</f>
        <v>0</v>
      </c>
      <c r="T156" t="str">
        <f t="shared" si="9"/>
        <v>small</v>
      </c>
      <c r="U156" s="131">
        <f>VLOOKUP(N156, 'Idaho Data'!$B:$TO, 502, FALSE)</f>
        <v>177195</v>
      </c>
      <c r="V156" s="304">
        <f t="shared" si="10"/>
        <v>64673.599999999999</v>
      </c>
      <c r="W156">
        <f t="shared" si="11"/>
        <v>0</v>
      </c>
      <c r="X156">
        <f>VLOOKUP(N156, 'Idaho Data'!$B:$RR, 460, FALSE)</f>
        <v>0</v>
      </c>
    </row>
    <row r="158" spans="14:24">
      <c r="Q158" s="303">
        <f>MEDIAN($Q$42:$Q$156)</f>
        <v>7761.1780575539569</v>
      </c>
      <c r="R158" s="303">
        <f>MEDIAN($R$42:$R$156)</f>
        <v>514798.55374592834</v>
      </c>
    </row>
    <row r="159" spans="14:24">
      <c r="Q159" s="303">
        <f>MIN($Q$42:$Q$156)</f>
        <v>5893.9255821947236</v>
      </c>
      <c r="R159" s="303">
        <f>MIN($R$42:$R$156)</f>
        <v>176449.59081562713</v>
      </c>
    </row>
    <row r="160" spans="14:24">
      <c r="Q160" s="303">
        <f>MAX($Q$42:$Q$156)</f>
        <v>64673.599999999999</v>
      </c>
      <c r="R160" s="303">
        <f>MAX($R$42:$R$156)</f>
        <v>23547814.600000001</v>
      </c>
    </row>
    <row r="163" spans="14:19">
      <c r="N163" t="s">
        <v>187</v>
      </c>
      <c r="O163">
        <v>163413.08586184634</v>
      </c>
      <c r="P163">
        <v>3.9654979999999997</v>
      </c>
      <c r="Q163" s="200">
        <v>6020.5416397675917</v>
      </c>
      <c r="R163" s="200">
        <v>163413.08586184634</v>
      </c>
      <c r="S163">
        <v>1549</v>
      </c>
    </row>
    <row r="164" spans="14:19">
      <c r="N164" t="s">
        <v>162</v>
      </c>
      <c r="O164">
        <v>169511.57319189972</v>
      </c>
      <c r="P164">
        <v>4.273898</v>
      </c>
      <c r="Q164" s="200">
        <v>5374.144455159113</v>
      </c>
      <c r="R164" s="200">
        <v>169511.57319189972</v>
      </c>
      <c r="S164">
        <v>5185</v>
      </c>
    </row>
    <row r="165" spans="14:19">
      <c r="N165" t="s">
        <v>197</v>
      </c>
      <c r="O165">
        <v>171877.73588039866</v>
      </c>
      <c r="P165">
        <v>4.3116679999999992</v>
      </c>
      <c r="Q165" s="200">
        <v>5776.8920265780735</v>
      </c>
      <c r="R165" s="200">
        <v>171877.73588039866</v>
      </c>
      <c r="S165">
        <v>1204</v>
      </c>
    </row>
    <row r="166" spans="14:19">
      <c r="N166" t="s">
        <v>149</v>
      </c>
      <c r="O166">
        <v>175174.22506687045</v>
      </c>
      <c r="P166">
        <v>1.420121</v>
      </c>
      <c r="Q166" s="200">
        <v>5014.7928926251434</v>
      </c>
      <c r="R166" s="200">
        <v>175174.22506687045</v>
      </c>
      <c r="S166">
        <v>2617</v>
      </c>
    </row>
    <row r="167" spans="14:19">
      <c r="N167" t="s">
        <v>163</v>
      </c>
      <c r="O167">
        <v>186494.2816091954</v>
      </c>
      <c r="P167">
        <v>7.1724950000000005</v>
      </c>
      <c r="Q167" s="200">
        <v>6881.3764367816093</v>
      </c>
      <c r="R167" s="200">
        <v>186494.2816091954</v>
      </c>
      <c r="S167">
        <v>696</v>
      </c>
    </row>
    <row r="168" spans="14:19">
      <c r="N168" t="s">
        <v>112</v>
      </c>
      <c r="O168">
        <v>190478.67916456971</v>
      </c>
      <c r="P168">
        <v>3.7912919999999999</v>
      </c>
      <c r="Q168" s="200">
        <v>6237.6570206341221</v>
      </c>
      <c r="R168" s="200">
        <v>190478.67916456971</v>
      </c>
      <c r="S168">
        <v>3974</v>
      </c>
    </row>
    <row r="169" spans="14:19">
      <c r="N169" t="s">
        <v>124</v>
      </c>
      <c r="O169">
        <v>195062.59564369862</v>
      </c>
      <c r="P169">
        <v>5.4480000000000004</v>
      </c>
      <c r="Q169" s="200">
        <v>5269.1112806170013</v>
      </c>
      <c r="R169" s="200">
        <v>195062.59564369862</v>
      </c>
      <c r="S169">
        <v>11799</v>
      </c>
    </row>
    <row r="170" spans="14:19">
      <c r="N170" t="s">
        <v>111</v>
      </c>
      <c r="O170">
        <v>204748.53582001184</v>
      </c>
      <c r="P170">
        <v>5.9462790000000005</v>
      </c>
      <c r="Q170" s="200">
        <v>6133.1308466548253</v>
      </c>
      <c r="R170" s="200">
        <v>204748.53582001184</v>
      </c>
      <c r="S170">
        <v>1689</v>
      </c>
    </row>
    <row r="171" spans="14:19">
      <c r="N171" t="s">
        <v>132</v>
      </c>
      <c r="O171">
        <v>205828.3282626101</v>
      </c>
      <c r="P171">
        <v>5.2503479999999998</v>
      </c>
      <c r="Q171" s="200">
        <v>5994.738991192954</v>
      </c>
      <c r="R171" s="200">
        <v>205828.3282626101</v>
      </c>
      <c r="S171">
        <v>3747</v>
      </c>
    </row>
    <row r="172" spans="14:19">
      <c r="N172" t="s">
        <v>115</v>
      </c>
      <c r="O172">
        <v>211501.952817224</v>
      </c>
      <c r="P172">
        <v>3.7660470000000004</v>
      </c>
      <c r="Q172" s="200">
        <v>5620.8813559322034</v>
      </c>
      <c r="R172" s="200">
        <v>211501.952817224</v>
      </c>
      <c r="S172">
        <v>2183</v>
      </c>
    </row>
    <row r="173" spans="14:19">
      <c r="N173" t="s">
        <v>212</v>
      </c>
      <c r="O173">
        <v>213781.44320188346</v>
      </c>
      <c r="P173">
        <v>3.9712909999999999</v>
      </c>
      <c r="Q173" s="200">
        <v>5802.5885815185402</v>
      </c>
      <c r="R173" s="200">
        <v>213781.44320188346</v>
      </c>
      <c r="S173">
        <v>1699</v>
      </c>
    </row>
    <row r="174" spans="14:19">
      <c r="N174" t="s">
        <v>136</v>
      </c>
      <c r="O174">
        <v>219964.49461444307</v>
      </c>
      <c r="P174">
        <v>5.8199999999999994</v>
      </c>
      <c r="Q174" s="200">
        <v>5493.3176254589962</v>
      </c>
      <c r="R174" s="200">
        <v>219964.49461444307</v>
      </c>
      <c r="S174">
        <v>8170</v>
      </c>
    </row>
    <row r="175" spans="14:19">
      <c r="N175" t="s">
        <v>151</v>
      </c>
      <c r="O175">
        <v>221501.19230769231</v>
      </c>
      <c r="P175">
        <v>1.2804310000000001</v>
      </c>
      <c r="Q175" s="200">
        <v>7080.8110367892978</v>
      </c>
      <c r="R175" s="200">
        <v>221501.19230769231</v>
      </c>
      <c r="S175">
        <v>598</v>
      </c>
    </row>
    <row r="176" spans="14:19">
      <c r="N176" t="s">
        <v>102</v>
      </c>
      <c r="O176">
        <v>222272.87574763651</v>
      </c>
      <c r="P176">
        <v>6.6514769999999999</v>
      </c>
      <c r="Q176" s="200">
        <v>5575.1379509936332</v>
      </c>
      <c r="R176" s="200">
        <v>222272.87574763651</v>
      </c>
      <c r="S176">
        <v>5183</v>
      </c>
    </row>
    <row r="177" spans="14:19">
      <c r="N177" t="s">
        <v>133</v>
      </c>
      <c r="O177">
        <v>224042.01298701297</v>
      </c>
      <c r="P177">
        <v>4.77902</v>
      </c>
      <c r="Q177" s="200">
        <v>7569.2675324675329</v>
      </c>
      <c r="R177" s="200">
        <v>224042.01298701297</v>
      </c>
      <c r="S177">
        <v>385</v>
      </c>
    </row>
    <row r="178" spans="14:19">
      <c r="N178" t="s">
        <v>194</v>
      </c>
      <c r="O178">
        <v>227381.48152562574</v>
      </c>
      <c r="P178">
        <v>3.4850680000000001</v>
      </c>
      <c r="Q178" s="200">
        <v>6893.041716328963</v>
      </c>
      <c r="R178" s="200">
        <v>227381.48152562574</v>
      </c>
      <c r="S178">
        <v>839</v>
      </c>
    </row>
    <row r="179" spans="14:19">
      <c r="N179" t="s">
        <v>141</v>
      </c>
      <c r="O179">
        <v>227878.56436584902</v>
      </c>
      <c r="P179">
        <v>2.8189920000000002</v>
      </c>
      <c r="Q179" s="200">
        <v>6039.9731888191673</v>
      </c>
      <c r="R179" s="200">
        <v>227878.56436584902</v>
      </c>
      <c r="S179">
        <v>5259</v>
      </c>
    </row>
    <row r="180" spans="14:19">
      <c r="N180" t="s">
        <v>198</v>
      </c>
      <c r="O180">
        <v>228325.22411533422</v>
      </c>
      <c r="P180">
        <v>3.3469070000000003</v>
      </c>
      <c r="Q180" s="200">
        <v>6440.0557011795545</v>
      </c>
      <c r="R180" s="200">
        <v>228325.22411533422</v>
      </c>
      <c r="S180">
        <v>1526</v>
      </c>
    </row>
    <row r="181" spans="14:19">
      <c r="N181" t="s">
        <v>130</v>
      </c>
      <c r="O181">
        <v>229661.26680844103</v>
      </c>
      <c r="P181">
        <v>4.6017360000000007</v>
      </c>
      <c r="Q181" s="200">
        <v>6215.0073613610339</v>
      </c>
      <c r="R181" s="200">
        <v>229661.26680844103</v>
      </c>
      <c r="S181">
        <v>6113</v>
      </c>
    </row>
    <row r="182" spans="14:19">
      <c r="N182" t="s">
        <v>156</v>
      </c>
      <c r="O182">
        <v>232619.47791519435</v>
      </c>
      <c r="P182">
        <v>5.1315439999999999</v>
      </c>
      <c r="Q182" s="200">
        <v>6232.7782685512366</v>
      </c>
      <c r="R182" s="200">
        <v>232619.47791519435</v>
      </c>
      <c r="S182">
        <v>1132</v>
      </c>
    </row>
    <row r="183" spans="14:19">
      <c r="N183" t="s">
        <v>128</v>
      </c>
      <c r="O183">
        <v>238228.35080619258</v>
      </c>
      <c r="P183">
        <v>4.2278960000000003</v>
      </c>
      <c r="Q183" s="200">
        <v>5699.8415237361087</v>
      </c>
      <c r="R183" s="200">
        <v>238228.35080619258</v>
      </c>
      <c r="S183">
        <v>15567</v>
      </c>
    </row>
    <row r="184" spans="14:19">
      <c r="N184" t="s">
        <v>114</v>
      </c>
      <c r="O184">
        <v>244428.81201044386</v>
      </c>
      <c r="P184">
        <v>1.8485739999999999</v>
      </c>
      <c r="Q184" s="200">
        <v>6050.6109660574411</v>
      </c>
      <c r="R184" s="200">
        <v>244428.81201044386</v>
      </c>
      <c r="S184">
        <v>766</v>
      </c>
    </row>
    <row r="185" spans="14:19">
      <c r="N185" t="s">
        <v>186</v>
      </c>
      <c r="O185">
        <v>247636.88350455515</v>
      </c>
      <c r="P185">
        <v>4.6121899999999991</v>
      </c>
      <c r="Q185" s="200">
        <v>5684.0416747431673</v>
      </c>
      <c r="R185" s="200">
        <v>247636.88350455515</v>
      </c>
      <c r="S185">
        <v>5159</v>
      </c>
    </row>
    <row r="186" spans="14:19">
      <c r="N186" t="s">
        <v>135</v>
      </c>
      <c r="O186">
        <v>249505.49034749035</v>
      </c>
      <c r="P186">
        <v>6.0278069999999992</v>
      </c>
      <c r="Q186" s="200">
        <v>6736.6901544401544</v>
      </c>
      <c r="R186" s="200">
        <v>249505.49034749035</v>
      </c>
      <c r="S186">
        <v>1036</v>
      </c>
    </row>
    <row r="187" spans="14:19">
      <c r="N187" t="s">
        <v>134</v>
      </c>
      <c r="O187">
        <v>252443.28834355829</v>
      </c>
      <c r="P187">
        <v>3.0849380000000002</v>
      </c>
      <c r="Q187" s="200">
        <v>5998.9963190184053</v>
      </c>
      <c r="R187" s="200">
        <v>252443.28834355829</v>
      </c>
      <c r="S187">
        <v>815</v>
      </c>
    </row>
    <row r="188" spans="14:19">
      <c r="N188" t="s">
        <v>106</v>
      </c>
      <c r="O188">
        <v>265724.19929189613</v>
      </c>
      <c r="P188">
        <v>4.1462269999999997</v>
      </c>
      <c r="Q188" s="200">
        <v>5405.5125885129819</v>
      </c>
      <c r="R188" s="200">
        <v>265724.19929189613</v>
      </c>
      <c r="S188">
        <v>12710</v>
      </c>
    </row>
    <row r="189" spans="14:19">
      <c r="N189" t="s">
        <v>148</v>
      </c>
      <c r="O189">
        <v>266915.29400945874</v>
      </c>
      <c r="P189">
        <v>3.2116130000000003</v>
      </c>
      <c r="Q189" s="200">
        <v>5938.3791382028376</v>
      </c>
      <c r="R189" s="200">
        <v>266915.29400945874</v>
      </c>
      <c r="S189">
        <v>3806</v>
      </c>
    </row>
    <row r="190" spans="14:19">
      <c r="N190" t="s">
        <v>164</v>
      </c>
      <c r="O190">
        <v>271244.13696369639</v>
      </c>
      <c r="P190">
        <v>4.2516300000000005</v>
      </c>
      <c r="Q190" s="200">
        <v>7395.1716171617163</v>
      </c>
      <c r="R190" s="200">
        <v>271244.13696369639</v>
      </c>
      <c r="S190">
        <v>606</v>
      </c>
    </row>
    <row r="191" spans="14:19">
      <c r="N191" t="s">
        <v>200</v>
      </c>
      <c r="O191">
        <v>273644.55158264947</v>
      </c>
      <c r="P191">
        <v>3.5292870000000005</v>
      </c>
      <c r="Q191" s="200">
        <v>5793.0668229777257</v>
      </c>
      <c r="R191" s="200">
        <v>273644.55158264947</v>
      </c>
      <c r="S191">
        <v>1706</v>
      </c>
    </row>
    <row r="192" spans="14:19">
      <c r="N192" t="s">
        <v>165</v>
      </c>
      <c r="O192">
        <v>275236.31041890441</v>
      </c>
      <c r="P192">
        <v>3.4904770000000007</v>
      </c>
      <c r="Q192" s="200">
        <v>5841.6047261009671</v>
      </c>
      <c r="R192" s="200">
        <v>275236.31041890441</v>
      </c>
      <c r="S192">
        <v>3724</v>
      </c>
    </row>
    <row r="193" spans="14:19">
      <c r="N193" t="s">
        <v>191</v>
      </c>
      <c r="O193">
        <v>278631.5</v>
      </c>
      <c r="P193">
        <v>1.982348</v>
      </c>
      <c r="Q193" s="200">
        <v>13790.631048387097</v>
      </c>
      <c r="R193" s="200">
        <v>278631.5</v>
      </c>
      <c r="S193">
        <v>496</v>
      </c>
    </row>
    <row r="194" spans="14:19">
      <c r="N194" t="s">
        <v>122</v>
      </c>
      <c r="O194">
        <v>283208.18564453127</v>
      </c>
      <c r="P194">
        <v>4.250356</v>
      </c>
      <c r="Q194" s="200">
        <v>5434.0670898437502</v>
      </c>
      <c r="R194" s="200">
        <v>283208.18564453127</v>
      </c>
      <c r="S194">
        <v>10240</v>
      </c>
    </row>
    <row r="195" spans="14:19">
      <c r="N195" t="s">
        <v>188</v>
      </c>
      <c r="O195">
        <v>284702.26438641088</v>
      </c>
      <c r="P195">
        <v>2.9972949999999998</v>
      </c>
      <c r="Q195" s="200">
        <v>5883.2172405823894</v>
      </c>
      <c r="R195" s="200">
        <v>284702.26438641088</v>
      </c>
      <c r="S195">
        <v>4327</v>
      </c>
    </row>
    <row r="196" spans="14:19">
      <c r="N196" t="s">
        <v>211</v>
      </c>
      <c r="O196">
        <v>286193.96655737708</v>
      </c>
      <c r="P196">
        <v>3.9355310000000001</v>
      </c>
      <c r="Q196" s="200">
        <v>6017.8911475409832</v>
      </c>
      <c r="R196" s="200">
        <v>286193.96655737708</v>
      </c>
      <c r="S196">
        <v>1525</v>
      </c>
    </row>
    <row r="197" spans="14:19">
      <c r="N197" t="s">
        <v>219</v>
      </c>
      <c r="O197">
        <v>290933.62945527909</v>
      </c>
      <c r="P197">
        <v>1.6262670000000001</v>
      </c>
      <c r="Q197" s="200">
        <v>6367.1862811028914</v>
      </c>
      <c r="R197" s="200">
        <v>290933.62945527909</v>
      </c>
      <c r="S197">
        <v>1487</v>
      </c>
    </row>
    <row r="198" spans="14:19">
      <c r="N198" t="s">
        <v>138</v>
      </c>
      <c r="O198">
        <v>293420.98013245035</v>
      </c>
      <c r="P198">
        <v>3.7452390000000002</v>
      </c>
      <c r="Q198" s="200">
        <v>7186.8035320088302</v>
      </c>
      <c r="R198" s="200">
        <v>293420.98013245035</v>
      </c>
      <c r="S198">
        <v>453</v>
      </c>
    </row>
    <row r="199" spans="14:19">
      <c r="N199" t="s">
        <v>153</v>
      </c>
      <c r="O199">
        <v>296357.13034865295</v>
      </c>
      <c r="P199">
        <v>3.161378</v>
      </c>
      <c r="Q199" s="200">
        <v>6022.4766244057055</v>
      </c>
      <c r="R199" s="200">
        <v>296357.13034865295</v>
      </c>
      <c r="S199">
        <v>2524</v>
      </c>
    </row>
    <row r="200" spans="14:19">
      <c r="N200" t="s">
        <v>113</v>
      </c>
      <c r="O200">
        <v>305177.86721991701</v>
      </c>
      <c r="P200">
        <v>6.598827</v>
      </c>
      <c r="Q200" s="200">
        <v>7249.0733056708159</v>
      </c>
      <c r="R200" s="200">
        <v>305177.86721991701</v>
      </c>
      <c r="S200">
        <v>723</v>
      </c>
    </row>
    <row r="201" spans="14:19">
      <c r="N201" t="s">
        <v>183</v>
      </c>
      <c r="O201">
        <v>314634.28875968989</v>
      </c>
      <c r="P201">
        <v>3.6176740000000005</v>
      </c>
      <c r="Q201" s="200">
        <v>7261.1472868217052</v>
      </c>
      <c r="R201" s="200">
        <v>314634.28875968989</v>
      </c>
      <c r="S201">
        <v>516</v>
      </c>
    </row>
    <row r="202" spans="14:19">
      <c r="N202" t="s">
        <v>155</v>
      </c>
      <c r="O202">
        <v>320778.85214626393</v>
      </c>
      <c r="P202">
        <v>3.288821</v>
      </c>
      <c r="Q202" s="200">
        <v>6249.7376788553256</v>
      </c>
      <c r="R202" s="200">
        <v>320778.85214626393</v>
      </c>
      <c r="S202">
        <v>1258</v>
      </c>
    </row>
    <row r="203" spans="14:19">
      <c r="N203" t="s">
        <v>209</v>
      </c>
      <c r="O203">
        <v>321990.95029340696</v>
      </c>
      <c r="P203">
        <v>4.7863639999999998</v>
      </c>
      <c r="Q203" s="200">
        <v>5859.1637325969396</v>
      </c>
      <c r="R203" s="200">
        <v>321990.95029340696</v>
      </c>
      <c r="S203">
        <v>8691</v>
      </c>
    </row>
    <row r="204" spans="14:19">
      <c r="N204" t="s">
        <v>166</v>
      </c>
      <c r="O204">
        <v>340858.53637901862</v>
      </c>
      <c r="P204">
        <v>3.0341330000000002</v>
      </c>
      <c r="Q204" s="200">
        <v>7095.8341793570216</v>
      </c>
      <c r="R204" s="200">
        <v>340858.53637901862</v>
      </c>
      <c r="S204">
        <v>591</v>
      </c>
    </row>
    <row r="205" spans="14:19">
      <c r="N205" t="s">
        <v>193</v>
      </c>
      <c r="O205">
        <v>345333.96830985916</v>
      </c>
      <c r="P205">
        <v>3.1249470000000001</v>
      </c>
      <c r="Q205" s="200">
        <v>6262.3802816901407</v>
      </c>
      <c r="R205" s="200">
        <v>345333.96830985916</v>
      </c>
      <c r="S205">
        <v>852</v>
      </c>
    </row>
    <row r="206" spans="14:19">
      <c r="N206" t="s">
        <v>126</v>
      </c>
      <c r="O206">
        <v>366617.28</v>
      </c>
      <c r="P206">
        <v>3.6889749999999997</v>
      </c>
      <c r="Q206" s="200">
        <v>7437.9505882352942</v>
      </c>
      <c r="R206" s="200">
        <v>366617.28</v>
      </c>
      <c r="S206">
        <v>425</v>
      </c>
    </row>
    <row r="207" spans="14:19">
      <c r="N207" t="s">
        <v>199</v>
      </c>
      <c r="O207">
        <v>380971.10463861917</v>
      </c>
      <c r="P207">
        <v>2.468181</v>
      </c>
      <c r="Q207" s="200">
        <v>6535.2524271844659</v>
      </c>
      <c r="R207" s="200">
        <v>380971.10463861917</v>
      </c>
      <c r="S207">
        <v>927</v>
      </c>
    </row>
    <row r="208" spans="14:19">
      <c r="N208" t="s">
        <v>99</v>
      </c>
      <c r="O208">
        <v>383354.12572724046</v>
      </c>
      <c r="P208">
        <v>4.0874199999999998</v>
      </c>
      <c r="Q208" s="200">
        <v>5187.6570975936193</v>
      </c>
      <c r="R208" s="200">
        <v>383354.12572724046</v>
      </c>
      <c r="S208">
        <v>36611</v>
      </c>
    </row>
    <row r="209" spans="14:19">
      <c r="N209" t="s">
        <v>159</v>
      </c>
      <c r="O209">
        <v>386598.8445595855</v>
      </c>
      <c r="P209">
        <v>2.4519739999999999</v>
      </c>
      <c r="Q209" s="200">
        <v>9158.6554404145081</v>
      </c>
      <c r="R209" s="200">
        <v>386598.8445595855</v>
      </c>
      <c r="S209">
        <v>386</v>
      </c>
    </row>
    <row r="210" spans="14:19">
      <c r="N210" t="s">
        <v>169</v>
      </c>
      <c r="O210">
        <v>403317.94541210274</v>
      </c>
      <c r="P210">
        <v>3.0787139999999997</v>
      </c>
      <c r="Q210" s="200">
        <v>5620.913449452325</v>
      </c>
      <c r="R210" s="200">
        <v>403317.94541210274</v>
      </c>
      <c r="S210">
        <v>5569</v>
      </c>
    </row>
    <row r="211" spans="14:19">
      <c r="N211" t="s">
        <v>131</v>
      </c>
      <c r="O211">
        <v>406267.42725173209</v>
      </c>
      <c r="P211">
        <v>6.2537050000000001</v>
      </c>
      <c r="Q211" s="200">
        <v>7699.900692840647</v>
      </c>
      <c r="R211" s="200">
        <v>406267.42725173209</v>
      </c>
      <c r="S211">
        <v>433</v>
      </c>
    </row>
    <row r="212" spans="14:19">
      <c r="N212" t="s">
        <v>213</v>
      </c>
      <c r="O212">
        <v>407019.22955974843</v>
      </c>
      <c r="P212">
        <v>2.6221550000000002</v>
      </c>
      <c r="Q212" s="200">
        <v>8889.6069182389929</v>
      </c>
      <c r="R212" s="200">
        <v>407019.22955974843</v>
      </c>
      <c r="S212">
        <v>318</v>
      </c>
    </row>
    <row r="213" spans="14:19">
      <c r="N213" t="s">
        <v>210</v>
      </c>
      <c r="O213">
        <v>432992.25400641025</v>
      </c>
      <c r="P213">
        <v>2.0036070000000001</v>
      </c>
      <c r="Q213" s="200">
        <v>6458.770833333333</v>
      </c>
      <c r="R213" s="200">
        <v>432992.25400641025</v>
      </c>
      <c r="S213">
        <v>1248</v>
      </c>
    </row>
    <row r="214" spans="14:19">
      <c r="N214" t="s">
        <v>215</v>
      </c>
      <c r="O214">
        <v>438110.03846153844</v>
      </c>
      <c r="P214">
        <v>3.0968840000000002</v>
      </c>
      <c r="Q214" s="200">
        <v>7778.1955128205127</v>
      </c>
      <c r="R214" s="200">
        <v>438110.03846153844</v>
      </c>
      <c r="S214">
        <v>312</v>
      </c>
    </row>
    <row r="215" spans="14:19">
      <c r="N215" t="s">
        <v>206</v>
      </c>
      <c r="O215">
        <v>445668.04863813228</v>
      </c>
      <c r="P215">
        <v>11.173755999999999</v>
      </c>
      <c r="Q215" s="200">
        <v>7439.1906614785994</v>
      </c>
      <c r="R215" s="200">
        <v>445668.04863813228</v>
      </c>
      <c r="S215">
        <v>514</v>
      </c>
    </row>
    <row r="216" spans="14:19">
      <c r="N216" t="s">
        <v>204</v>
      </c>
      <c r="O216">
        <v>447860.40369393141</v>
      </c>
      <c r="P216">
        <v>6.7314150000000001</v>
      </c>
      <c r="Q216" s="200">
        <v>6771.0985048372913</v>
      </c>
      <c r="R216" s="200">
        <v>447860.40369393141</v>
      </c>
      <c r="S216">
        <v>1137</v>
      </c>
    </row>
    <row r="217" spans="14:19">
      <c r="N217" t="s">
        <v>157</v>
      </c>
      <c r="O217">
        <v>451085.67846607667</v>
      </c>
      <c r="P217">
        <v>2.8235000000000001</v>
      </c>
      <c r="Q217" s="200">
        <v>7886.6873156342181</v>
      </c>
      <c r="R217" s="200">
        <v>451085.67846607667</v>
      </c>
      <c r="S217">
        <v>339</v>
      </c>
    </row>
    <row r="218" spans="14:19">
      <c r="N218" t="s">
        <v>181</v>
      </c>
      <c r="O218">
        <v>457126.21016166284</v>
      </c>
      <c r="P218">
        <v>4.5370759999999999</v>
      </c>
      <c r="Q218" s="200">
        <v>9110.2886836027719</v>
      </c>
      <c r="R218" s="200">
        <v>457126.21016166284</v>
      </c>
      <c r="S218">
        <v>433</v>
      </c>
    </row>
    <row r="219" spans="14:19">
      <c r="N219" t="s">
        <v>175</v>
      </c>
      <c r="O219">
        <v>478784.60377358488</v>
      </c>
      <c r="P219">
        <v>6.0296810000000001</v>
      </c>
      <c r="Q219" s="200">
        <v>7150.9140461215929</v>
      </c>
      <c r="R219" s="200">
        <v>478784.60377358488</v>
      </c>
      <c r="S219">
        <v>477</v>
      </c>
    </row>
    <row r="220" spans="14:19">
      <c r="N220" t="s">
        <v>105</v>
      </c>
      <c r="O220">
        <v>480384.48655063292</v>
      </c>
      <c r="P220">
        <v>2.116266</v>
      </c>
      <c r="Q220" s="200">
        <v>6015.5474683544307</v>
      </c>
      <c r="R220" s="200">
        <v>480384.48655063292</v>
      </c>
      <c r="S220">
        <v>1264</v>
      </c>
    </row>
    <row r="221" spans="14:19">
      <c r="N221" t="s">
        <v>143</v>
      </c>
      <c r="O221">
        <v>482237.81001890358</v>
      </c>
      <c r="P221">
        <v>4.6612849999999995</v>
      </c>
      <c r="Q221" s="200">
        <v>8930.6805293005673</v>
      </c>
      <c r="R221" s="200">
        <v>482237.81001890358</v>
      </c>
      <c r="S221">
        <v>1058</v>
      </c>
    </row>
    <row r="222" spans="14:19">
      <c r="N222" t="s">
        <v>109</v>
      </c>
      <c r="O222">
        <v>484969.90998902306</v>
      </c>
      <c r="P222">
        <v>4.1850590000000008</v>
      </c>
      <c r="Q222" s="200">
        <v>6651.6520307354558</v>
      </c>
      <c r="R222" s="200">
        <v>484969.90998902306</v>
      </c>
      <c r="S222">
        <v>911</v>
      </c>
    </row>
    <row r="223" spans="14:19">
      <c r="N223" t="s">
        <v>190</v>
      </c>
      <c r="O223">
        <v>502886.00317191792</v>
      </c>
      <c r="P223">
        <v>5.199860000000001</v>
      </c>
      <c r="Q223" s="200">
        <v>5594.9843518714315</v>
      </c>
      <c r="R223" s="200">
        <v>502886.00317191792</v>
      </c>
      <c r="S223">
        <v>4729</v>
      </c>
    </row>
    <row r="224" spans="14:19">
      <c r="N224" t="s">
        <v>168</v>
      </c>
      <c r="O224">
        <v>516765.101515516</v>
      </c>
      <c r="P224">
        <v>3.3146840000000002</v>
      </c>
      <c r="Q224" s="200">
        <v>5597.1246090930963</v>
      </c>
      <c r="R224" s="200">
        <v>516765.101515516</v>
      </c>
      <c r="S224">
        <v>4157</v>
      </c>
    </row>
    <row r="225" spans="14:19">
      <c r="N225" t="s">
        <v>171</v>
      </c>
      <c r="O225">
        <v>540047.01984609151</v>
      </c>
      <c r="P225">
        <v>7.6207869999999991</v>
      </c>
      <c r="Q225" s="200">
        <v>5221.5678412312673</v>
      </c>
      <c r="R225" s="200">
        <v>540047.01984609151</v>
      </c>
      <c r="S225">
        <v>2469</v>
      </c>
    </row>
    <row r="226" spans="14:19">
      <c r="N226" t="s">
        <v>201</v>
      </c>
      <c r="O226">
        <v>542662.96925227111</v>
      </c>
      <c r="P226">
        <v>5.2294890000000001</v>
      </c>
      <c r="Q226" s="200">
        <v>6658.5101327742841</v>
      </c>
      <c r="R226" s="200">
        <v>542662.96925227111</v>
      </c>
      <c r="S226">
        <v>1431</v>
      </c>
    </row>
    <row r="227" spans="14:19">
      <c r="N227" t="s">
        <v>147</v>
      </c>
      <c r="O227">
        <v>564585.60900473932</v>
      </c>
      <c r="P227">
        <v>1.820829</v>
      </c>
      <c r="Q227" s="200">
        <v>7747.6350710900469</v>
      </c>
      <c r="R227" s="200">
        <v>564585.60900473932</v>
      </c>
      <c r="S227">
        <v>422</v>
      </c>
    </row>
    <row r="228" spans="14:19">
      <c r="N228" t="s">
        <v>97</v>
      </c>
      <c r="O228">
        <v>606508.42263252847</v>
      </c>
      <c r="P228">
        <v>5.2329400000000001</v>
      </c>
      <c r="Q228" s="200">
        <v>5527.1191892825609</v>
      </c>
      <c r="R228" s="200">
        <v>606508.42263252847</v>
      </c>
      <c r="S228">
        <v>26051</v>
      </c>
    </row>
    <row r="229" spans="14:19">
      <c r="N229" t="s">
        <v>125</v>
      </c>
      <c r="O229">
        <v>617196.61976047908</v>
      </c>
      <c r="P229">
        <v>2.770518</v>
      </c>
      <c r="Q229" s="200">
        <v>6631.0523952095809</v>
      </c>
      <c r="R229" s="200">
        <v>617196.61976047908</v>
      </c>
      <c r="S229">
        <v>1336</v>
      </c>
    </row>
    <row r="230" spans="14:19">
      <c r="N230" t="s">
        <v>178</v>
      </c>
      <c r="O230">
        <v>669988.27061855665</v>
      </c>
      <c r="P230">
        <v>0.82773600000000003</v>
      </c>
      <c r="Q230" s="200">
        <v>8534.0592783505163</v>
      </c>
      <c r="R230" s="200">
        <v>669988.27061855665</v>
      </c>
      <c r="S230">
        <v>776</v>
      </c>
    </row>
    <row r="231" spans="14:19">
      <c r="N231" t="s">
        <v>167</v>
      </c>
      <c r="O231">
        <v>680881.80477202474</v>
      </c>
      <c r="P231">
        <v>2.1055929999999998</v>
      </c>
      <c r="Q231" s="200">
        <v>5326.747585007728</v>
      </c>
      <c r="R231" s="200">
        <v>680881.80477202474</v>
      </c>
      <c r="S231">
        <v>10352</v>
      </c>
    </row>
    <row r="232" spans="14:19">
      <c r="N232" t="s">
        <v>161</v>
      </c>
      <c r="O232">
        <v>688252.53670886077</v>
      </c>
      <c r="P232">
        <v>3.283045</v>
      </c>
      <c r="Q232" s="200">
        <v>7998.6953586497893</v>
      </c>
      <c r="R232" s="200">
        <v>688252.53670886077</v>
      </c>
      <c r="S232">
        <v>1185</v>
      </c>
    </row>
    <row r="233" spans="14:19">
      <c r="N233" t="s">
        <v>140</v>
      </c>
      <c r="O233">
        <v>694641.23220973788</v>
      </c>
      <c r="P233">
        <v>2.6397029999999999</v>
      </c>
      <c r="Q233" s="200">
        <v>6167.9563046192261</v>
      </c>
      <c r="R233" s="200">
        <v>694641.23220973788</v>
      </c>
      <c r="S233">
        <v>801</v>
      </c>
    </row>
    <row r="234" spans="14:19">
      <c r="N234" t="s">
        <v>108</v>
      </c>
      <c r="O234">
        <v>702726.89249304915</v>
      </c>
      <c r="P234">
        <v>1.6989529999999999</v>
      </c>
      <c r="Q234" s="200">
        <v>6273.2789620018539</v>
      </c>
      <c r="R234" s="200">
        <v>702726.89249304915</v>
      </c>
      <c r="S234">
        <v>1079</v>
      </c>
    </row>
    <row r="235" spans="14:19">
      <c r="N235" t="s">
        <v>152</v>
      </c>
      <c r="O235">
        <v>709088.91846083372</v>
      </c>
      <c r="P235">
        <v>2.5137740000000002</v>
      </c>
      <c r="Q235" s="200">
        <v>6157.565277141548</v>
      </c>
      <c r="R235" s="200">
        <v>709088.91846083372</v>
      </c>
      <c r="S235">
        <v>2183</v>
      </c>
    </row>
    <row r="236" spans="14:19">
      <c r="N236" t="s">
        <v>118</v>
      </c>
      <c r="O236">
        <v>719780.90358126722</v>
      </c>
      <c r="P236">
        <v>1.563423</v>
      </c>
      <c r="Q236" s="200">
        <v>7501.3498622589532</v>
      </c>
      <c r="R236" s="200">
        <v>719780.90358126722</v>
      </c>
      <c r="S236">
        <v>363</v>
      </c>
    </row>
    <row r="237" spans="14:19">
      <c r="N237" t="s">
        <v>208</v>
      </c>
      <c r="O237">
        <v>775896.52094395284</v>
      </c>
      <c r="P237">
        <v>3.9706289999999997</v>
      </c>
      <c r="Q237" s="200">
        <v>5735.4566371681412</v>
      </c>
      <c r="R237" s="200">
        <v>775896.52094395284</v>
      </c>
      <c r="S237">
        <v>1695</v>
      </c>
    </row>
    <row r="238" spans="14:19">
      <c r="N238" t="s">
        <v>121</v>
      </c>
      <c r="O238">
        <v>1151463.2948139796</v>
      </c>
      <c r="P238">
        <v>1.8959039999999998</v>
      </c>
      <c r="Q238" s="200">
        <v>6070.5899098083428</v>
      </c>
      <c r="R238" s="200">
        <v>1151463.2948139796</v>
      </c>
      <c r="S238">
        <v>3548</v>
      </c>
    </row>
    <row r="239" spans="14:19">
      <c r="N239" t="s">
        <v>110</v>
      </c>
      <c r="O239">
        <v>1356708.6132596685</v>
      </c>
      <c r="P239">
        <v>1.1532830000000001</v>
      </c>
      <c r="Q239" s="200">
        <v>11343.046961325967</v>
      </c>
      <c r="R239" s="200">
        <v>1356708.6132596685</v>
      </c>
      <c r="S239">
        <v>362</v>
      </c>
    </row>
    <row r="240" spans="14:19">
      <c r="N240" t="s">
        <v>120</v>
      </c>
      <c r="O240">
        <v>1368470.763603925</v>
      </c>
      <c r="P240">
        <v>2.0188790000000001</v>
      </c>
      <c r="Q240" s="200">
        <v>7138.0107047279216</v>
      </c>
      <c r="R240" s="200">
        <v>1368470.763603925</v>
      </c>
      <c r="S240">
        <v>1121</v>
      </c>
    </row>
    <row r="241" spans="14:19">
      <c r="N241" t="s">
        <v>144</v>
      </c>
      <c r="O241">
        <v>1693353.9075</v>
      </c>
      <c r="P241">
        <v>0.67373700000000014</v>
      </c>
      <c r="Q241" s="200">
        <v>8390.4025000000001</v>
      </c>
      <c r="R241" s="200">
        <v>1693353.9075</v>
      </c>
      <c r="S241">
        <v>400</v>
      </c>
    </row>
    <row r="242" spans="14:19">
      <c r="N242" t="s">
        <v>116</v>
      </c>
      <c r="O242">
        <v>2656653.2595348838</v>
      </c>
      <c r="P242">
        <v>4.4308690000000004</v>
      </c>
      <c r="Q242" s="200">
        <v>5564.9252713178294</v>
      </c>
      <c r="R242" s="200">
        <v>2656653.2595348838</v>
      </c>
      <c r="S242">
        <v>3225</v>
      </c>
    </row>
    <row r="243" spans="14:19">
      <c r="N243" t="s">
        <v>217</v>
      </c>
      <c r="O243">
        <v>2668486.6277665994</v>
      </c>
      <c r="P243">
        <v>3.0353509999999999</v>
      </c>
      <c r="Q243" s="200">
        <v>6772.3621730382292</v>
      </c>
      <c r="R243" s="200">
        <v>2668486.6277665994</v>
      </c>
      <c r="S243">
        <v>994</v>
      </c>
    </row>
    <row r="245" spans="14:19">
      <c r="Q245" s="199">
        <f>MEDIAN(Q$163:Q$243)</f>
        <v>6237.6570206341221</v>
      </c>
      <c r="R245" s="199">
        <f>MEDIAN(R$163:R$243)</f>
        <v>321990.95029340696</v>
      </c>
    </row>
    <row r="246" spans="14:19">
      <c r="Q246" s="199">
        <f>MIN(Q$163:Q$243)</f>
        <v>5014.7928926251434</v>
      </c>
      <c r="R246" s="199">
        <f>MIN(R$163:R$243)</f>
        <v>163413.08586184634</v>
      </c>
    </row>
    <row r="247" spans="14:19">
      <c r="Q247" s="199">
        <f>MAX(Q$163:Q$243)</f>
        <v>13790.631048387097</v>
      </c>
      <c r="R247" s="199">
        <f>MAX(R$163:R$243)</f>
        <v>2668486.6277665994</v>
      </c>
    </row>
  </sheetData>
  <sortState ref="N173:S253">
    <sortCondition ref="R173:R253"/>
  </sortState>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10"/>
  <sheetViews>
    <sheetView topLeftCell="A123" workbookViewId="0">
      <selection activeCell="D133" sqref="D133"/>
    </sheetView>
  </sheetViews>
  <sheetFormatPr defaultRowHeight="14.5"/>
  <cols>
    <col min="2" max="2" width="23.26953125" customWidth="1"/>
    <col min="3" max="4" width="12.54296875" customWidth="1"/>
    <col min="5" max="5" width="11.26953125" customWidth="1"/>
  </cols>
  <sheetData>
    <row r="2" spans="2:10">
      <c r="C2" t="s">
        <v>1440</v>
      </c>
    </row>
    <row r="5" spans="2:10" ht="43.5">
      <c r="B5" s="285" t="s">
        <v>1185</v>
      </c>
      <c r="C5" s="286" t="s">
        <v>1345</v>
      </c>
      <c r="D5" s="286" t="s">
        <v>1378</v>
      </c>
      <c r="E5" s="286" t="s">
        <v>1379</v>
      </c>
    </row>
    <row r="6" spans="2:10">
      <c r="B6" s="133" t="str">
        <f>'Idaho Data'!B53</f>
        <v>Prairie Elementary</v>
      </c>
      <c r="C6" s="287">
        <v>0</v>
      </c>
      <c r="D6" s="200">
        <v>20497.833333333332</v>
      </c>
      <c r="E6" s="200">
        <v>3342</v>
      </c>
      <c r="J6" s="200"/>
    </row>
    <row r="7" spans="2:10">
      <c r="B7" s="133" t="str">
        <f>'Idaho Data'!B98</f>
        <v>Pleasant Valley Elementary</v>
      </c>
      <c r="C7" s="287">
        <v>0</v>
      </c>
      <c r="D7" s="200">
        <v>16375</v>
      </c>
      <c r="E7" s="200">
        <v>3342</v>
      </c>
      <c r="J7" s="200"/>
    </row>
    <row r="8" spans="2:10">
      <c r="B8" s="133" t="str">
        <f>'Idaho Data'!B117</f>
        <v>Three Creek Joint Elementary</v>
      </c>
      <c r="C8" s="287">
        <v>0</v>
      </c>
      <c r="D8" s="200">
        <v>8559.2727272727279</v>
      </c>
      <c r="E8" s="200">
        <v>3342</v>
      </c>
      <c r="J8" s="200"/>
    </row>
    <row r="9" spans="2:10">
      <c r="B9" s="133" t="str">
        <f>'Idaho Data'!B110</f>
        <v>Avery</v>
      </c>
      <c r="C9" s="287">
        <v>0.14000000000000001</v>
      </c>
      <c r="D9" s="200">
        <v>11709.037037037036</v>
      </c>
      <c r="E9" s="200">
        <v>3529.152</v>
      </c>
      <c r="J9" s="200"/>
    </row>
    <row r="10" spans="2:10">
      <c r="B10" s="133" t="str">
        <f>'Idaho Data'!B106</f>
        <v>Arbon Elementary</v>
      </c>
      <c r="C10" s="287">
        <v>0</v>
      </c>
      <c r="D10" s="200">
        <v>9205.7837837837833</v>
      </c>
      <c r="E10" s="200">
        <v>3342</v>
      </c>
      <c r="J10" s="200"/>
    </row>
    <row r="11" spans="2:10">
      <c r="B11" s="133" t="str">
        <f>'Idaho Data'!B150</f>
        <v>Heritage Academy</v>
      </c>
      <c r="C11" s="287">
        <v>0.6</v>
      </c>
      <c r="D11" s="200">
        <v>6521.1555555555551</v>
      </c>
      <c r="E11" s="200">
        <v>4144.08</v>
      </c>
      <c r="J11" s="200"/>
    </row>
    <row r="12" spans="2:10">
      <c r="B12" s="133" t="str">
        <f>'Idaho Data'!B32</f>
        <v>Swan Valley Elementary</v>
      </c>
      <c r="C12" s="287">
        <v>0.5625</v>
      </c>
      <c r="D12" s="200">
        <v>6846.260869565217</v>
      </c>
      <c r="E12" s="200">
        <v>4093.9500000000003</v>
      </c>
      <c r="J12" s="200"/>
    </row>
    <row r="13" spans="2:10">
      <c r="B13" s="133" t="str">
        <f>'Idaho Data'!B146</f>
        <v>Sage International Charter</v>
      </c>
      <c r="C13" s="287">
        <v>0</v>
      </c>
      <c r="D13" s="200">
        <v>5248.666666666667</v>
      </c>
      <c r="E13" s="200">
        <v>3342</v>
      </c>
      <c r="J13" s="200"/>
    </row>
    <row r="14" spans="2:10">
      <c r="B14" s="133" t="str">
        <f>'Idaho Data'!B83</f>
        <v>South Lemhi</v>
      </c>
      <c r="C14" s="287">
        <v>0.56097560975609762</v>
      </c>
      <c r="D14" s="200">
        <v>12964.738853503184</v>
      </c>
      <c r="E14" s="200">
        <v>4091.9121951219508</v>
      </c>
      <c r="J14" s="200"/>
    </row>
    <row r="15" spans="2:10">
      <c r="B15" s="133" t="str">
        <f>'Idaho Data'!B147</f>
        <v>Another Choice Charter School</v>
      </c>
      <c r="C15" s="287">
        <v>0</v>
      </c>
      <c r="D15" s="200">
        <v>6358.4905660377362</v>
      </c>
      <c r="E15" s="200">
        <v>3342</v>
      </c>
      <c r="J15" s="200"/>
    </row>
    <row r="16" spans="2:10">
      <c r="B16" s="133" t="str">
        <f>'Idaho Data'!B95</f>
        <v>Culdesac Joint</v>
      </c>
      <c r="C16" s="287">
        <v>0.76470588235294112</v>
      </c>
      <c r="D16" s="200">
        <v>11140.552147239263</v>
      </c>
      <c r="E16" s="200">
        <v>4364.2588235294115</v>
      </c>
      <c r="J16" s="200"/>
    </row>
    <row r="17" spans="2:10">
      <c r="B17" s="133" t="str">
        <f>'Idaho Data'!B145</f>
        <v>Monticello Montessori</v>
      </c>
      <c r="C17" s="287">
        <v>0.85981308411214952</v>
      </c>
      <c r="D17" s="200">
        <v>4898.0898876404499</v>
      </c>
      <c r="E17" s="200">
        <v>4491.3981308411212</v>
      </c>
      <c r="J17" s="200"/>
    </row>
    <row r="18" spans="2:10">
      <c r="B18" s="133" t="str">
        <f>'Idaho Data'!B123</f>
        <v>Cambridge Joint</v>
      </c>
      <c r="C18" s="287">
        <v>0.66666666666666663</v>
      </c>
      <c r="D18" s="200">
        <v>10012.492610837438</v>
      </c>
      <c r="E18" s="200">
        <v>4233.2</v>
      </c>
      <c r="J18" s="200"/>
    </row>
    <row r="19" spans="2:10">
      <c r="B19" s="133" t="str">
        <f>'Idaho Data'!B65</f>
        <v>Salmon River</v>
      </c>
      <c r="C19" s="287">
        <v>0.64912280701754388</v>
      </c>
      <c r="D19" s="200">
        <v>10176.396135265701</v>
      </c>
      <c r="E19" s="200">
        <v>4209.7473684210527</v>
      </c>
      <c r="J19" s="200"/>
    </row>
    <row r="20" spans="2:10">
      <c r="B20" s="133" t="str">
        <f>'Idaho Data'!B108</f>
        <v>Mullan</v>
      </c>
      <c r="C20" s="287">
        <v>0.52427184466019416</v>
      </c>
      <c r="D20" s="200">
        <v>8946.1784037558682</v>
      </c>
      <c r="E20" s="200">
        <v>4042.8466019417474</v>
      </c>
      <c r="J20" s="200"/>
    </row>
    <row r="21" spans="2:10">
      <c r="B21" s="133" t="str">
        <f>'Idaho Data'!B154</f>
        <v>Chief Tahgee Elementary Academy</v>
      </c>
      <c r="C21" s="287">
        <v>0</v>
      </c>
      <c r="D21" s="200">
        <v>6042.136752136752</v>
      </c>
      <c r="E21" s="200">
        <v>3342</v>
      </c>
      <c r="J21" s="200"/>
    </row>
    <row r="22" spans="2:10">
      <c r="B22" s="133" t="str">
        <f>'Idaho Data'!B124</f>
        <v>Midvale</v>
      </c>
      <c r="C22" s="287">
        <v>0.625</v>
      </c>
      <c r="D22" s="200">
        <v>9432.2572614107885</v>
      </c>
      <c r="E22" s="200">
        <v>4177.5</v>
      </c>
      <c r="J22" s="200"/>
    </row>
    <row r="23" spans="2:10">
      <c r="B23" s="133" t="str">
        <f>'Idaho Data'!B84</f>
        <v>Nezperce Joint</v>
      </c>
      <c r="C23" s="287">
        <v>0.73913043478260865</v>
      </c>
      <c r="D23" s="200">
        <v>9227.3360995850617</v>
      </c>
      <c r="E23" s="200">
        <v>4330.0695652173918</v>
      </c>
      <c r="J23" s="200"/>
    </row>
    <row r="24" spans="2:10">
      <c r="B24" s="133" t="str">
        <f>'Idaho Data'!B63</f>
        <v>Bliss Joint</v>
      </c>
      <c r="C24" s="287">
        <v>0.81967213114754101</v>
      </c>
      <c r="D24" s="200">
        <v>8651.7803921568629</v>
      </c>
      <c r="E24" s="200">
        <v>4437.7377049180332</v>
      </c>
      <c r="J24" s="200"/>
    </row>
    <row r="25" spans="2:10">
      <c r="B25" s="133" t="str">
        <f>'Idaho Data'!B149</f>
        <v>Legacy Charter School</v>
      </c>
      <c r="C25" s="287">
        <v>0.28888888888888886</v>
      </c>
      <c r="D25" s="200">
        <v>4119.9406779661012</v>
      </c>
      <c r="E25" s="200">
        <v>3728.1866666666665</v>
      </c>
      <c r="J25" s="200"/>
    </row>
    <row r="26" spans="2:10">
      <c r="B26" s="133" t="str">
        <f>'Idaho Data'!B49</f>
        <v>Clark County Joint</v>
      </c>
      <c r="C26" s="287">
        <v>0.79245283018867929</v>
      </c>
      <c r="D26" s="200">
        <v>7892.6109090909094</v>
      </c>
      <c r="E26" s="200">
        <v>4401.3509433962272</v>
      </c>
      <c r="J26" s="200"/>
    </row>
    <row r="27" spans="2:10">
      <c r="B27" s="133" t="str">
        <f>'Idaho Data'!B13</f>
        <v>Meadows Valley</v>
      </c>
      <c r="C27" s="287">
        <v>0.59006211180124224</v>
      </c>
      <c r="D27" s="200">
        <v>7751.0709219858154</v>
      </c>
      <c r="E27" s="200">
        <v>4130.7950310559008</v>
      </c>
      <c r="J27" s="200"/>
    </row>
    <row r="28" spans="2:10">
      <c r="B28" s="133" t="str">
        <f>'Idaho Data'!B36</f>
        <v>Camas County</v>
      </c>
      <c r="C28" s="287">
        <v>0.51006711409395977</v>
      </c>
      <c r="D28" s="200">
        <v>7686.0845070422538</v>
      </c>
      <c r="E28" s="200">
        <v>4023.8577181208052</v>
      </c>
      <c r="J28" s="200"/>
    </row>
    <row r="29" spans="2:10">
      <c r="B29" s="133" t="str">
        <f>'Idaho Data'!B75</f>
        <v>Kootenai Joint</v>
      </c>
      <c r="C29" s="287">
        <v>0.59036144578313254</v>
      </c>
      <c r="D29" s="200">
        <v>6850.6687306501544</v>
      </c>
      <c r="E29" s="200">
        <v>4131.1951807228916</v>
      </c>
      <c r="J29" s="200"/>
    </row>
    <row r="30" spans="2:10">
      <c r="B30" s="133" t="str">
        <f>'Idaho Data'!B52</f>
        <v>Mackay Joint</v>
      </c>
      <c r="C30" s="287">
        <v>0.51923076923076927</v>
      </c>
      <c r="D30" s="200">
        <v>7109.2915360501565</v>
      </c>
      <c r="E30" s="200">
        <v>4036.1076923076926</v>
      </c>
      <c r="J30" s="200"/>
    </row>
    <row r="31" spans="2:10">
      <c r="B31" s="133" t="str">
        <f>'Idaho Data'!B134</f>
        <v>Taylor's Crossing Charter School</v>
      </c>
      <c r="C31" s="287">
        <v>0.39759036144578314</v>
      </c>
      <c r="D31" s="200">
        <v>4416.3012820512822</v>
      </c>
      <c r="E31" s="200">
        <v>3873.4987951807234</v>
      </c>
      <c r="J31" s="200"/>
    </row>
    <row r="32" spans="2:10">
      <c r="B32" s="133" t="str">
        <f>'Idaho Data'!B86</f>
        <v>Highland Joint</v>
      </c>
      <c r="C32" s="287">
        <v>0.54069767441860461</v>
      </c>
      <c r="D32" s="200">
        <v>6619.85632183908</v>
      </c>
      <c r="E32" s="200">
        <v>4064.8046511627904</v>
      </c>
      <c r="J32" s="200"/>
    </row>
    <row r="33" spans="2:10">
      <c r="B33" s="133" t="str">
        <f>'Idaho Data'!B141</f>
        <v>Idaho Connects Online School</v>
      </c>
      <c r="C33" s="287">
        <v>0.6594594594594595</v>
      </c>
      <c r="D33" s="200">
        <v>4534.6608187134507</v>
      </c>
      <c r="E33" s="200">
        <v>4223.5654054054057</v>
      </c>
      <c r="J33" s="200"/>
    </row>
    <row r="34" spans="2:10">
      <c r="B34" s="133" t="str">
        <f>'Idaho Data'!B105</f>
        <v>Rockland</v>
      </c>
      <c r="C34" s="287">
        <v>1</v>
      </c>
      <c r="D34" s="200">
        <v>6284.9388888888889</v>
      </c>
      <c r="E34" s="200">
        <v>4678.8</v>
      </c>
      <c r="J34" s="200"/>
    </row>
    <row r="35" spans="2:10">
      <c r="B35" s="133" t="str">
        <f>'Idaho Data'!B46</f>
        <v>North Gem</v>
      </c>
      <c r="C35" s="287">
        <v>0.478494623655914</v>
      </c>
      <c r="D35" s="200">
        <v>6176.337801608579</v>
      </c>
      <c r="E35" s="200">
        <v>3981.6516129032261</v>
      </c>
      <c r="J35" s="200"/>
    </row>
    <row r="36" spans="2:10">
      <c r="B36" s="133" t="str">
        <f>'Idaho Data'!B89</f>
        <v>Richfield</v>
      </c>
      <c r="C36" s="287">
        <v>0.72680412371134018</v>
      </c>
      <c r="D36" s="200">
        <v>5799.5038363171352</v>
      </c>
      <c r="E36" s="200">
        <v>4313.5917525773193</v>
      </c>
      <c r="J36" s="200"/>
    </row>
    <row r="37" spans="2:10">
      <c r="B37" s="133" t="str">
        <f>'Idaho Data'!B26</f>
        <v>Garden Valley</v>
      </c>
      <c r="C37" s="287">
        <v>0.6333333333333333</v>
      </c>
      <c r="D37" s="200">
        <v>7949.3186274509808</v>
      </c>
      <c r="E37" s="200">
        <v>4188.6400000000003</v>
      </c>
      <c r="J37" s="200"/>
    </row>
    <row r="38" spans="2:10">
      <c r="B38" s="133" t="str">
        <f>'Idaho Data'!B81</f>
        <v>Whitepine Joint</v>
      </c>
      <c r="C38" s="287">
        <v>0.42325581395348838</v>
      </c>
      <c r="D38" s="200">
        <v>6541.125</v>
      </c>
      <c r="E38" s="200">
        <v>3907.8083720930231</v>
      </c>
      <c r="J38" s="200"/>
    </row>
    <row r="39" spans="2:10">
      <c r="B39" s="133" t="str">
        <f>'Idaho Data'!B88</f>
        <v>Dietrich</v>
      </c>
      <c r="C39" s="287">
        <v>0.69915254237288138</v>
      </c>
      <c r="D39" s="200">
        <v>6154.9002320185618</v>
      </c>
      <c r="E39" s="200">
        <v>4276.6271186440681</v>
      </c>
      <c r="J39" s="200"/>
    </row>
    <row r="40" spans="2:10">
      <c r="B40" s="133" t="str">
        <f>'Idaho Data'!B136</f>
        <v>Vision Charter School</v>
      </c>
      <c r="C40" s="287">
        <v>0.50672645739910316</v>
      </c>
      <c r="D40" s="200">
        <v>3602.7371007371007</v>
      </c>
      <c r="E40" s="200">
        <v>4019.391928251121</v>
      </c>
      <c r="J40" s="200"/>
    </row>
    <row r="41" spans="2:10">
      <c r="B41" s="133" t="str">
        <f>'Idaho Data'!B14</f>
        <v>Council</v>
      </c>
      <c r="C41" s="287">
        <v>0.57333333333333336</v>
      </c>
      <c r="D41" s="200">
        <v>5920.9066666666668</v>
      </c>
      <c r="E41" s="200">
        <v>4108.4319999999998</v>
      </c>
      <c r="J41" s="200"/>
    </row>
    <row r="42" spans="2:10">
      <c r="B42" s="133" t="str">
        <f>'Idaho Data'!B78</f>
        <v>Kendrick Joint</v>
      </c>
      <c r="C42" s="287">
        <v>0.40625</v>
      </c>
      <c r="D42" s="200">
        <v>5827.8903508771928</v>
      </c>
      <c r="E42" s="200">
        <v>3885.0749999999998</v>
      </c>
      <c r="J42" s="200"/>
    </row>
    <row r="43" spans="2:10">
      <c r="B43" s="133" t="str">
        <f>'Idaho Data'!B144</f>
        <v>The Village Charter School</v>
      </c>
      <c r="C43" s="287">
        <v>0.27727272727272728</v>
      </c>
      <c r="D43" s="200">
        <v>4444.333333333333</v>
      </c>
      <c r="E43" s="200">
        <v>3712.6581818181821</v>
      </c>
      <c r="J43" s="200"/>
    </row>
    <row r="44" spans="2:10">
      <c r="B44" s="133" t="e">
        <f>'Idaho Data'!#REF!</f>
        <v>#REF!</v>
      </c>
      <c r="C44" s="287">
        <v>0.40926640926640928</v>
      </c>
      <c r="D44" s="200">
        <v>4344.7348643006262</v>
      </c>
      <c r="E44" s="200">
        <v>3889.1073359073362</v>
      </c>
      <c r="J44" s="200"/>
    </row>
    <row r="45" spans="2:10">
      <c r="B45" s="133" t="str">
        <f>'Idaho Data'!B119</f>
        <v>Murtaugh Joint</v>
      </c>
      <c r="C45" s="287">
        <v>0.84782608695652173</v>
      </c>
      <c r="D45" s="200">
        <v>5393.6291666666666</v>
      </c>
      <c r="E45" s="200">
        <v>4475.3739130434788</v>
      </c>
      <c r="J45" s="200"/>
    </row>
    <row r="46" spans="2:10">
      <c r="B46" s="133" t="str">
        <f>'Idaho Data'!B28</f>
        <v>Horseshoe Bend</v>
      </c>
      <c r="C46" s="287">
        <v>0.5892857142857143</v>
      </c>
      <c r="D46" s="200">
        <v>5741.3075356415475</v>
      </c>
      <c r="E46" s="200">
        <v>4129.7571428571428</v>
      </c>
      <c r="J46" s="200"/>
    </row>
    <row r="47" spans="2:10">
      <c r="B47" s="133" t="str">
        <f>'Idaho Data'!B132</f>
        <v>Liberty Charter School</v>
      </c>
      <c r="C47" s="287">
        <v>0</v>
      </c>
      <c r="D47" s="200">
        <v>5748.4015748031497</v>
      </c>
      <c r="E47" s="200">
        <v>3342</v>
      </c>
      <c r="J47" s="200"/>
    </row>
    <row r="48" spans="2:10">
      <c r="B48" s="133" t="str">
        <f>'Idaho Data'!B133</f>
        <v>Academy at the Roosevelt Center</v>
      </c>
      <c r="C48" s="287">
        <v>0</v>
      </c>
      <c r="D48" s="200">
        <v>5402.9529411764706</v>
      </c>
      <c r="E48" s="200">
        <v>3342</v>
      </c>
      <c r="J48" s="200"/>
    </row>
    <row r="49" spans="2:10">
      <c r="B49" s="133" t="str">
        <f>'Idaho Data'!B121</f>
        <v>Cascade</v>
      </c>
      <c r="C49" s="287">
        <v>0.51636363636363636</v>
      </c>
      <c r="D49" s="200">
        <v>5987.3041749502981</v>
      </c>
      <c r="E49" s="200">
        <v>4032.2749090909087</v>
      </c>
      <c r="J49" s="200"/>
    </row>
    <row r="50" spans="2:10">
      <c r="B50" s="133" t="str">
        <f>'Idaho Data'!B129</f>
        <v>Compass Charter School</v>
      </c>
      <c r="C50" s="287">
        <v>0.62745098039215685</v>
      </c>
      <c r="D50" s="200">
        <v>4894.7389558232935</v>
      </c>
      <c r="E50" s="200">
        <v>4180.7764705882355</v>
      </c>
      <c r="J50" s="200"/>
    </row>
    <row r="51" spans="2:10">
      <c r="B51" s="133" t="e">
        <f>'Idaho Data'!#REF!</f>
        <v>#REF!</v>
      </c>
      <c r="C51" s="287">
        <v>0.28413284132841327</v>
      </c>
      <c r="D51" s="200">
        <v>5095.152091254753</v>
      </c>
      <c r="E51" s="200">
        <v>3721.8287822878228</v>
      </c>
      <c r="J51" s="200"/>
    </row>
    <row r="52" spans="2:10">
      <c r="B52" s="133" t="e">
        <f>'Idaho Data'!#REF!</f>
        <v>#REF!</v>
      </c>
      <c r="C52" s="287">
        <v>0.46014492753623187</v>
      </c>
      <c r="D52" s="200">
        <v>4821.4600760456278</v>
      </c>
      <c r="E52" s="200">
        <v>3957.1217391304349</v>
      </c>
      <c r="J52" s="200"/>
    </row>
    <row r="53" spans="2:10">
      <c r="B53" s="133" t="str">
        <f>'Idaho Data'!B99</f>
        <v>Bruneau-Grand View Joint</v>
      </c>
      <c r="C53" s="287">
        <v>0.67532467532467533</v>
      </c>
      <c r="D53" s="200">
        <v>5148.6764705882351</v>
      </c>
      <c r="E53" s="200">
        <v>4244.7740259740267</v>
      </c>
      <c r="J53" s="200"/>
    </row>
    <row r="54" spans="2:10">
      <c r="B54" s="133" t="str">
        <f>'Idaho Data'!B80</f>
        <v>Troy</v>
      </c>
      <c r="C54" s="287">
        <v>0.35563380281690143</v>
      </c>
      <c r="D54" s="200">
        <v>6078</v>
      </c>
      <c r="E54" s="200">
        <v>3817.4112676056338</v>
      </c>
      <c r="J54" s="200"/>
    </row>
    <row r="55" spans="2:10">
      <c r="B55" s="133" t="str">
        <f>'Idaho Data'!B130</f>
        <v>Falcon Ridge Charter School</v>
      </c>
      <c r="C55" s="287">
        <v>0.44827586206896552</v>
      </c>
      <c r="D55" s="200">
        <v>5138.3013698630139</v>
      </c>
      <c r="E55" s="200">
        <v>3941.2551724137929</v>
      </c>
      <c r="J55" s="200"/>
    </row>
    <row r="56" spans="2:10">
      <c r="B56" s="133" t="str">
        <f>'Idaho Data'!B77</f>
        <v>Genesee Joint</v>
      </c>
      <c r="C56" s="287">
        <v>0.30662020905923343</v>
      </c>
      <c r="D56" s="200">
        <v>5564.6654929577462</v>
      </c>
      <c r="E56" s="200">
        <v>3751.8898954703832</v>
      </c>
      <c r="J56" s="200"/>
    </row>
    <row r="57" spans="2:10">
      <c r="B57" s="133" t="e">
        <f>'Idaho Data'!#REF!</f>
        <v>#REF!</v>
      </c>
      <c r="C57" s="287">
        <v>0</v>
      </c>
      <c r="D57" s="200">
        <v>5700.8989898989903</v>
      </c>
      <c r="E57" s="200">
        <v>3342</v>
      </c>
      <c r="J57" s="200"/>
    </row>
    <row r="58" spans="2:10">
      <c r="B58" s="133" t="str">
        <f>'Idaho Data'!B140</f>
        <v>Idaho Science &amp; Tech. Charter Sch</v>
      </c>
      <c r="C58" s="287">
        <v>0.34642857142857142</v>
      </c>
      <c r="D58" s="200">
        <v>4319.3875432525956</v>
      </c>
      <c r="E58" s="200">
        <v>3805.1057142857139</v>
      </c>
      <c r="J58" s="200"/>
    </row>
    <row r="59" spans="2:10">
      <c r="B59" s="133" t="str">
        <f>'Idaho Data'!B131</f>
        <v>Inspire Charter School</v>
      </c>
      <c r="C59" s="287">
        <v>0.4375</v>
      </c>
      <c r="D59" s="200">
        <v>4782.6266233766237</v>
      </c>
      <c r="E59" s="200">
        <v>3926.8500000000004</v>
      </c>
      <c r="J59" s="200"/>
    </row>
    <row r="60" spans="2:10">
      <c r="B60" s="133" t="str">
        <f>'Idaho Data'!B118</f>
        <v>Castleford Joint</v>
      </c>
      <c r="C60" s="287">
        <v>0.55128205128205132</v>
      </c>
      <c r="D60" s="200">
        <v>5206.1636060100163</v>
      </c>
      <c r="E60" s="200">
        <v>4078.9538461538468</v>
      </c>
      <c r="J60" s="200"/>
    </row>
    <row r="61" spans="2:10">
      <c r="B61" s="133" t="str">
        <f>'Idaho Data'!B135</f>
        <v>Xavier Charter School</v>
      </c>
      <c r="C61" s="287">
        <v>0.25912408759124089</v>
      </c>
      <c r="D61" s="200">
        <v>3679.9584055459272</v>
      </c>
      <c r="E61" s="200">
        <v>3688.3970802919707</v>
      </c>
      <c r="J61" s="200"/>
    </row>
    <row r="62" spans="2:10">
      <c r="B62" s="133" t="str">
        <f>'Idaho Data'!B116</f>
        <v>Hansen</v>
      </c>
      <c r="C62" s="287">
        <v>0.70285714285714285</v>
      </c>
      <c r="D62" s="200">
        <v>5330.3666121112929</v>
      </c>
      <c r="E62" s="200">
        <v>4281.5794285714292</v>
      </c>
      <c r="J62" s="200"/>
    </row>
    <row r="63" spans="2:10">
      <c r="B63" s="133" t="str">
        <f>'Idaho Data'!B148</f>
        <v>Blackfoot Charter Comm. Learning Ctr</v>
      </c>
      <c r="C63" s="287">
        <v>0.56111111111111112</v>
      </c>
      <c r="D63" s="200">
        <v>5091.5090361445782</v>
      </c>
      <c r="E63" s="200">
        <v>4092.0933333333337</v>
      </c>
      <c r="J63" s="200"/>
    </row>
    <row r="64" spans="2:10">
      <c r="B64" s="133" t="str">
        <f>'Idaho Data'!B139</f>
        <v>iSucceed Virtual Charter School</v>
      </c>
      <c r="C64" s="287">
        <v>0.5089285714285714</v>
      </c>
      <c r="D64" s="200">
        <v>3561.9659863945576</v>
      </c>
      <c r="E64" s="200">
        <v>4022.3357142857139</v>
      </c>
      <c r="J64" s="200"/>
    </row>
    <row r="65" spans="2:10">
      <c r="B65" s="133" t="str">
        <f>'Idaho Data'!B62</f>
        <v>Hagerman Joint</v>
      </c>
      <c r="C65" s="287">
        <v>0.6097560975609756</v>
      </c>
      <c r="D65" s="200">
        <v>5477.2401215805476</v>
      </c>
      <c r="E65" s="200">
        <v>4157.121951219513</v>
      </c>
      <c r="J65" s="200"/>
    </row>
    <row r="66" spans="2:10">
      <c r="B66" s="133" t="str">
        <f>'Idaho Data'!B19</f>
        <v>Plummer / Worley Joint</v>
      </c>
      <c r="C66" s="287">
        <v>0.70299727520435973</v>
      </c>
      <c r="D66" s="200">
        <v>4807.0561151079137</v>
      </c>
      <c r="E66" s="200">
        <v>4281.7667574931884</v>
      </c>
      <c r="J66" s="200"/>
    </row>
    <row r="67" spans="2:10">
      <c r="B67" s="133" t="str">
        <f>'Idaho Data'!B27</f>
        <v>Basin</v>
      </c>
      <c r="C67" s="287">
        <v>0.47091412742382271</v>
      </c>
      <c r="D67" s="200">
        <v>4972.3760683760684</v>
      </c>
      <c r="E67" s="200">
        <v>3971.5180055401661</v>
      </c>
      <c r="J67" s="200"/>
    </row>
    <row r="68" spans="2:10">
      <c r="B68" s="133" t="str">
        <f>'Idaho Data'!B138</f>
        <v>North Valley Academy</v>
      </c>
      <c r="C68" s="287">
        <v>0.68025078369905956</v>
      </c>
      <c r="D68" s="200">
        <v>4945.2280219780223</v>
      </c>
      <c r="E68" s="200">
        <v>4251.359247648903</v>
      </c>
      <c r="J68" s="200"/>
    </row>
    <row r="69" spans="2:10">
      <c r="B69" s="133" t="str">
        <f>'Idaho Data'!B41</f>
        <v>Notus</v>
      </c>
      <c r="C69" s="287">
        <v>0.71957671957671954</v>
      </c>
      <c r="D69" s="200">
        <v>5080.3013333333338</v>
      </c>
      <c r="E69" s="200">
        <v>4303.9301587301588</v>
      </c>
      <c r="J69" s="200"/>
    </row>
    <row r="70" spans="2:10">
      <c r="B70" s="133" t="str">
        <f>'Idaho Data'!B64</f>
        <v>Cottonwood Joint</v>
      </c>
      <c r="C70" s="287">
        <v>0.40979381443298968</v>
      </c>
      <c r="D70" s="200">
        <v>5312.39402173913</v>
      </c>
      <c r="E70" s="200">
        <v>3889.8123711340209</v>
      </c>
      <c r="J70" s="200"/>
    </row>
    <row r="71" spans="2:10">
      <c r="B71" s="133" t="str">
        <f>'Idaho Data'!B142</f>
        <v>Kootenai Bridge Academy</v>
      </c>
      <c r="C71" s="287">
        <v>0</v>
      </c>
      <c r="D71" s="200">
        <v>4014.3794037940379</v>
      </c>
      <c r="E71" s="200">
        <v>3342</v>
      </c>
      <c r="J71" s="200"/>
    </row>
    <row r="72" spans="2:10">
      <c r="B72" s="133" t="str">
        <f>'Idaho Data'!B51</f>
        <v>Challis Joint</v>
      </c>
      <c r="C72" s="287">
        <v>0.38502673796791442</v>
      </c>
      <c r="D72" s="200">
        <v>5199.0706033376127</v>
      </c>
      <c r="E72" s="200">
        <v>3856.7037433155083</v>
      </c>
      <c r="J72" s="200"/>
    </row>
    <row r="73" spans="2:10">
      <c r="B73" s="133" t="e">
        <f>'Idaho Data'!#REF!</f>
        <v>#REF!</v>
      </c>
      <c r="C73" s="287">
        <v>0.35180722891566263</v>
      </c>
      <c r="D73" s="200">
        <v>4902.1192546583852</v>
      </c>
      <c r="E73" s="200">
        <v>3812.295903614458</v>
      </c>
      <c r="J73" s="200"/>
    </row>
    <row r="74" spans="2:10">
      <c r="B74" s="133" t="str">
        <f>'Idaho Data'!B125</f>
        <v>Victory Charter School</v>
      </c>
      <c r="C74" s="287">
        <v>0.40540540540540543</v>
      </c>
      <c r="D74" s="200">
        <v>4877.4937655860349</v>
      </c>
      <c r="E74" s="200">
        <v>3883.9459459459458</v>
      </c>
      <c r="J74" s="200"/>
    </row>
    <row r="75" spans="2:10">
      <c r="B75" s="133" t="e">
        <f>'Idaho Data'!#REF!</f>
        <v>#REF!</v>
      </c>
      <c r="C75" s="287">
        <v>0.317016317016317</v>
      </c>
      <c r="D75" s="200">
        <v>5142.2029339853298</v>
      </c>
      <c r="E75" s="200">
        <v>3765.7874125874127</v>
      </c>
      <c r="J75" s="200"/>
    </row>
    <row r="76" spans="2:10">
      <c r="B76" s="133" t="str">
        <f>'Idaho Data'!B54</f>
        <v>Glenns Ferry Joint</v>
      </c>
      <c r="C76" s="287">
        <v>0.66666666666666663</v>
      </c>
      <c r="D76" s="200">
        <v>4914.5310173697271</v>
      </c>
      <c r="E76" s="200">
        <v>4233.2</v>
      </c>
      <c r="J76" s="200"/>
    </row>
    <row r="77" spans="2:10">
      <c r="B77" s="133" t="str">
        <f>'Idaho Data'!B35</f>
        <v>Butte County</v>
      </c>
      <c r="C77" s="287">
        <v>0.47685185185185186</v>
      </c>
      <c r="D77" s="200">
        <v>5003.5733662145503</v>
      </c>
      <c r="E77" s="200">
        <v>3979.4555555555553</v>
      </c>
      <c r="J77" s="200"/>
    </row>
    <row r="78" spans="2:10">
      <c r="B78" s="133" t="str">
        <f>'Idaho Data'!B39</f>
        <v>Wilder</v>
      </c>
      <c r="C78" s="287">
        <v>1</v>
      </c>
      <c r="D78" s="200">
        <v>4534.8809815950917</v>
      </c>
      <c r="E78" s="200">
        <v>4678.8</v>
      </c>
      <c r="J78" s="200"/>
    </row>
    <row r="79" spans="2:10">
      <c r="B79" s="133" t="str">
        <f>'Idaho Data'!B85</f>
        <v>Kamiah Joint</v>
      </c>
      <c r="C79" s="287">
        <v>0.6831275720164609</v>
      </c>
      <c r="D79" s="200">
        <v>5297.0337349397587</v>
      </c>
      <c r="E79" s="200">
        <v>4255.204938271605</v>
      </c>
      <c r="J79" s="200"/>
    </row>
    <row r="80" spans="2:10">
      <c r="B80" s="133" t="str">
        <f>'Idaho Data'!B45</f>
        <v>Grace Joint</v>
      </c>
      <c r="C80" s="287">
        <v>0.51759834368530022</v>
      </c>
      <c r="D80" s="200">
        <v>4884.147727272727</v>
      </c>
      <c r="E80" s="200">
        <v>4033.9254658385094</v>
      </c>
      <c r="J80" s="200"/>
    </row>
    <row r="81" spans="2:10">
      <c r="B81" s="133" t="str">
        <f>'Idaho Data'!B128</f>
        <v>Rolling Hills Charter School</v>
      </c>
      <c r="C81" s="287">
        <v>0.3296943231441048</v>
      </c>
      <c r="D81" s="200">
        <v>4029.5796766743647</v>
      </c>
      <c r="E81" s="200">
        <v>3782.7353711790392</v>
      </c>
      <c r="J81" s="200"/>
    </row>
    <row r="82" spans="2:10">
      <c r="B82" s="133" t="str">
        <f>'Idaho Data'!B79</f>
        <v>Potlatch</v>
      </c>
      <c r="C82" s="287">
        <v>0.53483146067415732</v>
      </c>
      <c r="D82" s="200">
        <v>4955.8275109170308</v>
      </c>
      <c r="E82" s="200">
        <v>4056.9626966292135</v>
      </c>
      <c r="J82" s="200"/>
    </row>
    <row r="83" spans="2:10">
      <c r="B83" s="133" t="str">
        <f>'Idaho Data'!B143</f>
        <v>Palouse Prairie Charter School</v>
      </c>
      <c r="C83" s="287">
        <v>0.69958847736625518</v>
      </c>
      <c r="D83" s="200">
        <v>3803.3549783549784</v>
      </c>
      <c r="E83" s="200">
        <v>4277.2098765432102</v>
      </c>
      <c r="J83" s="200"/>
    </row>
    <row r="84" spans="2:10">
      <c r="B84" s="133" t="str">
        <f>'Idaho Data'!B94</f>
        <v>Lapwai</v>
      </c>
      <c r="C84" s="287">
        <v>0.88625592417061616</v>
      </c>
      <c r="D84" s="200">
        <v>4795.833333333333</v>
      </c>
      <c r="E84" s="200">
        <v>4526.7469194312798</v>
      </c>
      <c r="J84" s="200"/>
    </row>
    <row r="85" spans="2:10">
      <c r="B85" s="133" t="str">
        <f>'Idaho Data'!B109</f>
        <v>Wallace</v>
      </c>
      <c r="C85" s="287">
        <v>0.55776892430278879</v>
      </c>
      <c r="D85" s="200">
        <v>4580.5055611729022</v>
      </c>
      <c r="E85" s="200">
        <v>4087.625498007968</v>
      </c>
      <c r="J85" s="200"/>
    </row>
    <row r="86" spans="2:10">
      <c r="B86" s="133" t="str">
        <f>'Idaho Data'!B87</f>
        <v>Shoshone Joint</v>
      </c>
      <c r="C86" s="287">
        <v>0.7079107505070994</v>
      </c>
      <c r="D86" s="200">
        <v>4827.1676767676772</v>
      </c>
      <c r="E86" s="200">
        <v>4288.3350912778906</v>
      </c>
      <c r="J86" s="200"/>
    </row>
    <row r="87" spans="2:10">
      <c r="B87" s="133" t="str">
        <f>'Idaho Data'!B71</f>
        <v>Valley</v>
      </c>
      <c r="C87" s="287">
        <v>0.62931034482758619</v>
      </c>
      <c r="D87" s="200">
        <v>4687.595800524934</v>
      </c>
      <c r="E87" s="200">
        <v>4183.2620689655168</v>
      </c>
      <c r="J87" s="200"/>
    </row>
    <row r="88" spans="2:10">
      <c r="B88" s="133" t="str">
        <f>'Idaho Data'!B57</f>
        <v>West Side Joint</v>
      </c>
      <c r="C88" s="287">
        <v>0.49612403100775193</v>
      </c>
      <c r="D88" s="200">
        <v>4469.4943527367504</v>
      </c>
      <c r="E88" s="200">
        <v>4005.2186046511624</v>
      </c>
      <c r="J88" s="200"/>
    </row>
    <row r="89" spans="2:10">
      <c r="B89" s="133" t="str">
        <f>'Idaho Data'!B69</f>
        <v>West Jefferson</v>
      </c>
      <c r="C89" s="287">
        <v>0.52419354838709675</v>
      </c>
      <c r="D89" s="200">
        <v>4760.707275803723</v>
      </c>
      <c r="E89" s="200">
        <v>4042.7419354838712</v>
      </c>
      <c r="J89" s="200"/>
    </row>
    <row r="90" spans="2:10">
      <c r="B90" s="133" t="str">
        <f>'Idaho Data'!B126</f>
        <v>Idaho Virtual Academy</v>
      </c>
      <c r="C90" s="287">
        <v>0.28281250000000002</v>
      </c>
      <c r="D90" s="200">
        <v>4091.9968454258674</v>
      </c>
      <c r="E90" s="200">
        <v>3720.0637499999998</v>
      </c>
      <c r="J90" s="200"/>
    </row>
    <row r="91" spans="2:10">
      <c r="B91" s="133" t="e">
        <f>'Idaho Data'!#REF!</f>
        <v>#REF!</v>
      </c>
      <c r="C91" s="287">
        <v>0</v>
      </c>
      <c r="D91" s="200">
        <v>4231.871473354232</v>
      </c>
      <c r="E91" s="200">
        <v>3342</v>
      </c>
      <c r="J91" s="200"/>
    </row>
    <row r="92" spans="2:10">
      <c r="B92" s="133" t="str">
        <f>'Idaho Data'!B127</f>
        <v>Richard McKenna Charter School</v>
      </c>
      <c r="C92" s="287">
        <v>0.25301204819277107</v>
      </c>
      <c r="D92" s="200">
        <v>4312.2296072507552</v>
      </c>
      <c r="E92" s="200">
        <v>3680.2265060240961</v>
      </c>
      <c r="J92" s="200"/>
    </row>
    <row r="93" spans="2:10">
      <c r="B93" s="133" t="str">
        <f>'Idaho Data'!B68</f>
        <v>Ririe Joint</v>
      </c>
      <c r="C93" s="287">
        <v>0.54256854256854259</v>
      </c>
      <c r="D93" s="200">
        <v>4458.1820873427087</v>
      </c>
      <c r="E93" s="200">
        <v>4067.305627705628</v>
      </c>
      <c r="J93" s="200"/>
    </row>
    <row r="94" spans="2:10">
      <c r="B94" s="133" t="str">
        <f>'Idaho Data'!B152</f>
        <v>Heritage Community Charter Sch</v>
      </c>
      <c r="C94" s="287">
        <v>0</v>
      </c>
      <c r="D94" s="200">
        <v>4547.0712250712249</v>
      </c>
      <c r="E94" s="200">
        <v>3342</v>
      </c>
      <c r="J94" s="200"/>
    </row>
    <row r="95" spans="2:10">
      <c r="B95" s="133" t="str">
        <f>'Idaho Data'!B151</f>
        <v>N. Idaho STEM Charter</v>
      </c>
      <c r="C95" s="287">
        <v>0.47499999999999998</v>
      </c>
      <c r="D95" s="200">
        <v>4521.2125279642059</v>
      </c>
      <c r="E95" s="200">
        <v>3976.9799999999996</v>
      </c>
      <c r="J95" s="200"/>
    </row>
    <row r="96" spans="2:10">
      <c r="B96" s="133" t="str">
        <f>'Idaho Data'!B22</f>
        <v>Aberdeen</v>
      </c>
      <c r="C96" s="287">
        <v>0.71486486486486489</v>
      </c>
      <c r="D96" s="200">
        <v>4513.9452843772497</v>
      </c>
      <c r="E96" s="200">
        <v>4297.6313513513514</v>
      </c>
      <c r="J96" s="200"/>
    </row>
    <row r="97" spans="2:10">
      <c r="B97" s="133" t="str">
        <f>'Idaho Data'!B23</f>
        <v>Firth</v>
      </c>
      <c r="C97" s="287">
        <v>0.5879194630872483</v>
      </c>
      <c r="D97" s="200">
        <v>4368.1586440677966</v>
      </c>
      <c r="E97" s="200">
        <v>4127.9307382550332</v>
      </c>
      <c r="J97" s="200"/>
    </row>
    <row r="98" spans="2:10">
      <c r="B98" s="133" t="str">
        <f>'Idaho Data'!B82</f>
        <v>Salmon</v>
      </c>
      <c r="C98" s="287">
        <v>0.25102880658436216</v>
      </c>
      <c r="D98" s="200">
        <v>4510.5378486055779</v>
      </c>
      <c r="E98" s="200">
        <v>3677.5753086419754</v>
      </c>
      <c r="J98" s="200"/>
    </row>
    <row r="99" spans="2:10">
      <c r="B99" s="133" t="str">
        <f>'Idaho Data'!B47</f>
        <v>Soda Springs Joint</v>
      </c>
      <c r="C99" s="287">
        <v>0.3603385731559855</v>
      </c>
      <c r="D99" s="200">
        <v>4332.704737183647</v>
      </c>
      <c r="E99" s="200">
        <v>3823.7006045949211</v>
      </c>
      <c r="J99" s="200"/>
    </row>
    <row r="100" spans="2:10">
      <c r="B100" s="133" t="str">
        <f>'Idaho Data'!B42</f>
        <v>Melba Joint</v>
      </c>
      <c r="C100" s="287">
        <v>0.52897657213316895</v>
      </c>
      <c r="D100" s="200">
        <v>4063.4164556962023</v>
      </c>
      <c r="E100" s="200">
        <v>4049.1358816276206</v>
      </c>
      <c r="J100" s="200"/>
    </row>
    <row r="101" spans="2:10">
      <c r="B101" s="133" t="str">
        <f>'Idaho Data'!B137</f>
        <v>White Pine Charter School</v>
      </c>
      <c r="C101" s="287">
        <v>0.13944954128440368</v>
      </c>
      <c r="D101" s="200">
        <v>4044.9465174129355</v>
      </c>
      <c r="E101" s="200">
        <v>3528.4161467889912</v>
      </c>
      <c r="J101" s="200"/>
    </row>
    <row r="102" spans="2:10">
      <c r="B102" s="133" t="str">
        <f>'Idaho Data'!B97</f>
        <v>Marsing Joint</v>
      </c>
      <c r="C102" s="287">
        <v>0.69493521790341584</v>
      </c>
      <c r="D102" s="200">
        <v>4223.069050554871</v>
      </c>
      <c r="E102" s="200">
        <v>4270.9893992932866</v>
      </c>
      <c r="J102" s="200"/>
    </row>
    <row r="103" spans="2:10">
      <c r="B103" s="133" t="str">
        <f>'Idaho Data'!B96</f>
        <v>Oneida County</v>
      </c>
      <c r="C103" s="287">
        <v>0.49693251533742333</v>
      </c>
      <c r="D103" s="200">
        <v>4224.634086744044</v>
      </c>
      <c r="E103" s="200">
        <v>4006.299386503068</v>
      </c>
      <c r="J103" s="200"/>
    </row>
    <row r="104" spans="2:10">
      <c r="B104" s="133" t="str">
        <f>'Idaho Data'!B18</f>
        <v>St. Maries Joint</v>
      </c>
      <c r="C104" s="287">
        <v>0.532258064516129</v>
      </c>
      <c r="D104" s="200">
        <v>4402.9652421652418</v>
      </c>
      <c r="E104" s="200">
        <v>4053.5225806451613</v>
      </c>
      <c r="J104" s="200"/>
    </row>
    <row r="105" spans="2:10">
      <c r="B105" s="133" t="str">
        <f>'Idaho Data'!B102</f>
        <v>New Plymouth</v>
      </c>
      <c r="C105" s="287">
        <v>0.50564334085778784</v>
      </c>
      <c r="D105" s="200">
        <v>4662.3467112597546</v>
      </c>
      <c r="E105" s="200">
        <v>4017.9440180586907</v>
      </c>
      <c r="J105" s="200"/>
    </row>
    <row r="106" spans="2:10">
      <c r="B106" s="133" t="e">
        <f>'Idaho Data'!#REF!</f>
        <v>#REF!</v>
      </c>
      <c r="C106" s="287">
        <v>0.55769230769230771</v>
      </c>
      <c r="D106" s="200">
        <v>3937.9350026638253</v>
      </c>
      <c r="E106" s="200">
        <v>4087.523076923077</v>
      </c>
      <c r="J106" s="200"/>
    </row>
    <row r="107" spans="2:10">
      <c r="B107" s="133" t="str">
        <f>'Idaho Data'!B153</f>
        <v>American Heritage Charter School</v>
      </c>
      <c r="C107" s="287">
        <v>0</v>
      </c>
      <c r="D107" s="200">
        <v>4154.5150713907988</v>
      </c>
      <c r="E107" s="200">
        <v>3342</v>
      </c>
      <c r="J107" s="200"/>
    </row>
    <row r="108" spans="2:10">
      <c r="B108" s="133" t="str">
        <f>'Idaho Data'!B120</f>
        <v>McCall-Donnelly Joint</v>
      </c>
      <c r="C108" s="287">
        <v>0.37370600414078675</v>
      </c>
      <c r="D108" s="200">
        <v>4461.668936616029</v>
      </c>
      <c r="E108" s="200">
        <v>3841.5701863354038</v>
      </c>
      <c r="J108" s="200"/>
    </row>
    <row r="109" spans="2:10">
      <c r="B109" s="133" t="str">
        <f>'Idaho Data'!B43</f>
        <v>Parma</v>
      </c>
      <c r="C109" s="287">
        <v>0.65982404692082108</v>
      </c>
      <c r="D109" s="200">
        <v>4126.6058174523569</v>
      </c>
      <c r="E109" s="200">
        <v>4224.0527859237536</v>
      </c>
      <c r="J109" s="200"/>
    </row>
    <row r="110" spans="2:10">
      <c r="B110" s="133" t="str">
        <f>'Idaho Data'!B50</f>
        <v>Orofino Joint</v>
      </c>
      <c r="C110" s="287">
        <v>0.54741784037558683</v>
      </c>
      <c r="D110" s="200">
        <v>5663.5953079178889</v>
      </c>
      <c r="E110" s="200">
        <v>4073.7881690140848</v>
      </c>
      <c r="J110" s="200"/>
    </row>
    <row r="111" spans="2:10">
      <c r="B111" s="133" t="str">
        <f>'Idaho Data'!B17</f>
        <v>Bear Lake County</v>
      </c>
      <c r="C111" s="287">
        <v>0.44557195571955721</v>
      </c>
      <c r="D111" s="200">
        <v>4414.1154401154399</v>
      </c>
      <c r="E111" s="200">
        <v>3937.6405904059043</v>
      </c>
      <c r="J111" s="200"/>
    </row>
    <row r="112" spans="2:10">
      <c r="B112" s="133" t="str">
        <f>'Idaho Data'!B29</f>
        <v>West Bonner County</v>
      </c>
      <c r="C112" s="287">
        <v>0.64132231404958673</v>
      </c>
      <c r="D112" s="200">
        <v>4425.2896073903003</v>
      </c>
      <c r="E112" s="200">
        <v>4199.3196694214876</v>
      </c>
      <c r="J112" s="200"/>
    </row>
    <row r="113" spans="2:10">
      <c r="B113" s="133" t="str">
        <f>'Idaho Data'!B61</f>
        <v>Wendell</v>
      </c>
      <c r="C113" s="287">
        <v>0.71189427312775333</v>
      </c>
      <c r="D113" s="200">
        <v>4239.2265805260731</v>
      </c>
      <c r="E113" s="200">
        <v>4293.6602643171809</v>
      </c>
      <c r="J113" s="200"/>
    </row>
    <row r="114" spans="2:10">
      <c r="B114" s="133" t="str">
        <f>'Idaho Data'!B107</f>
        <v>Kellogg</v>
      </c>
      <c r="C114" s="287">
        <v>0.49449618966977138</v>
      </c>
      <c r="D114" s="200">
        <v>4132.2477148080443</v>
      </c>
      <c r="E114" s="200">
        <v>4003.04250635055</v>
      </c>
      <c r="J114" s="200"/>
    </row>
    <row r="115" spans="2:10">
      <c r="B115" s="133" t="str">
        <f>'Idaho Data'!B66</f>
        <v>Mountain View</v>
      </c>
      <c r="C115" s="287">
        <v>0.52317880794701987</v>
      </c>
      <c r="D115" s="200">
        <v>4501.5952485701719</v>
      </c>
      <c r="E115" s="200">
        <v>4041.3854304635761</v>
      </c>
      <c r="J115" s="200"/>
    </row>
    <row r="116" spans="2:10">
      <c r="B116" s="133" t="str">
        <f>'Idaho Data'!B100</f>
        <v>Homedale Joint</v>
      </c>
      <c r="C116" s="287">
        <v>0.67242948134667879</v>
      </c>
      <c r="D116" s="200">
        <v>3989.501300954033</v>
      </c>
      <c r="E116" s="200">
        <v>4240.9037306642404</v>
      </c>
      <c r="J116" s="200"/>
    </row>
    <row r="117" spans="2:10">
      <c r="B117" s="133" t="str">
        <f>'Idaho Data'!B113</f>
        <v>Buhl Joint</v>
      </c>
      <c r="C117" s="287">
        <v>0.82778702163061568</v>
      </c>
      <c r="D117" s="200">
        <v>4017.134953897737</v>
      </c>
      <c r="E117" s="200">
        <v>4448.5856905158071</v>
      </c>
      <c r="J117" s="200"/>
    </row>
    <row r="118" spans="2:10">
      <c r="B118" s="133" t="str">
        <f>'Idaho Data'!B60</f>
        <v>Gooding Joint</v>
      </c>
      <c r="C118" s="287">
        <v>0.60739575137686863</v>
      </c>
      <c r="D118" s="200">
        <v>3850.4743801652894</v>
      </c>
      <c r="E118" s="200">
        <v>4153.966640440598</v>
      </c>
      <c r="J118" s="200"/>
    </row>
    <row r="119" spans="2:10">
      <c r="B119" s="133" t="str">
        <f>'Idaho Data'!B15</f>
        <v>Marsh Valley Joint</v>
      </c>
      <c r="C119" s="287">
        <v>0.48328025477707004</v>
      </c>
      <c r="D119" s="200">
        <v>4229.4958949096881</v>
      </c>
      <c r="E119" s="200">
        <v>3988.0490445859873</v>
      </c>
      <c r="J119" s="200"/>
    </row>
    <row r="120" spans="2:10">
      <c r="B120" s="133" t="str">
        <f>'Idaho Data'!B34</f>
        <v>Boundary County</v>
      </c>
      <c r="C120" s="287">
        <v>0.5254957507082153</v>
      </c>
      <c r="D120" s="200">
        <v>4240.2030338389732</v>
      </c>
      <c r="E120" s="200">
        <v>4044.4827195467424</v>
      </c>
      <c r="J120" s="200"/>
    </row>
    <row r="121" spans="2:10">
      <c r="B121" s="133" t="str">
        <f>'Idaho Data'!B104</f>
        <v>American Falls Joint</v>
      </c>
      <c r="C121" s="287">
        <v>0.696024941543258</v>
      </c>
      <c r="D121" s="200">
        <v>4103.9772976931527</v>
      </c>
      <c r="E121" s="200">
        <v>4272.4461418550272</v>
      </c>
      <c r="J121" s="200"/>
    </row>
    <row r="122" spans="2:10">
      <c r="B122" s="133" t="str">
        <f>'Idaho Data'!B122</f>
        <v>Weiser</v>
      </c>
      <c r="C122" s="287">
        <v>0.67002688172043012</v>
      </c>
      <c r="D122" s="200">
        <v>4213.5045107564192</v>
      </c>
      <c r="E122" s="200">
        <v>4237.691935483871</v>
      </c>
      <c r="J122" s="200"/>
    </row>
    <row r="123" spans="2:10">
      <c r="B123" s="133" t="str">
        <f>'Idaho Data'!B114</f>
        <v>Filer</v>
      </c>
      <c r="C123" s="287">
        <v>0.66912257200267922</v>
      </c>
      <c r="D123" s="200">
        <v>4101.6924119241194</v>
      </c>
      <c r="E123" s="200">
        <v>4236.4830542531818</v>
      </c>
      <c r="J123" s="200"/>
    </row>
    <row r="124" spans="2:10">
      <c r="B124" s="133" t="str">
        <f>'Idaho Data'!B101</f>
        <v>Payette Joint</v>
      </c>
      <c r="C124" s="287">
        <v>0.71612074502247913</v>
      </c>
      <c r="D124" s="200">
        <v>3997.73933810986</v>
      </c>
      <c r="E124" s="200">
        <v>4299.31021194605</v>
      </c>
      <c r="J124" s="200"/>
    </row>
    <row r="125" spans="2:10">
      <c r="B125" s="133" t="str">
        <f>'Idaho Data'!B91</f>
        <v>Sugar-Salem Joint</v>
      </c>
      <c r="C125" s="287">
        <v>0.51385224274406327</v>
      </c>
      <c r="D125" s="200">
        <v>4097.3570231310759</v>
      </c>
      <c r="E125" s="200">
        <v>4028.9176781002639</v>
      </c>
      <c r="J125" s="200"/>
    </row>
    <row r="126" spans="2:10">
      <c r="B126" s="133" t="str">
        <f>'Idaho Data'!B20</f>
        <v>Snake River</v>
      </c>
      <c r="C126" s="287">
        <v>0.45627602617489588</v>
      </c>
      <c r="D126" s="200">
        <v>4044.7726296409942</v>
      </c>
      <c r="E126" s="200">
        <v>3951.949791790601</v>
      </c>
      <c r="J126" s="200"/>
    </row>
    <row r="127" spans="2:10">
      <c r="B127" s="133" t="str">
        <f>'Idaho Data'!B111</f>
        <v>Teton County</v>
      </c>
      <c r="C127" s="287">
        <v>0.47914183551847439</v>
      </c>
      <c r="D127" s="200">
        <v>3828.0593325092709</v>
      </c>
      <c r="E127" s="200">
        <v>3982.5168057210967</v>
      </c>
      <c r="J127" s="200"/>
    </row>
    <row r="128" spans="2:10">
      <c r="B128" s="133" t="str">
        <f>'Idaho Data'!B115</f>
        <v>Kimberly</v>
      </c>
      <c r="C128" s="287">
        <v>0.39775413711583923</v>
      </c>
      <c r="D128" s="200">
        <v>4116.5216324025778</v>
      </c>
      <c r="E128" s="200">
        <v>3873.7177304964544</v>
      </c>
      <c r="J128" s="200"/>
    </row>
    <row r="129" spans="2:10">
      <c r="B129" s="133" t="str">
        <f>'Idaho Data'!B103</f>
        <v>Fruitland</v>
      </c>
      <c r="C129" s="287">
        <v>0.47374701670644392</v>
      </c>
      <c r="D129" s="200">
        <v>4016.7825295723383</v>
      </c>
      <c r="E129" s="200">
        <v>3975.3050119331738</v>
      </c>
      <c r="J129" s="200"/>
    </row>
    <row r="130" spans="2:10">
      <c r="B130" s="133" t="str">
        <f>'Idaho Data'!B24</f>
        <v>Shelley Joint</v>
      </c>
      <c r="C130" s="287">
        <v>0.42784552845528456</v>
      </c>
      <c r="D130" s="200">
        <v>3761.042690197949</v>
      </c>
      <c r="E130" s="200">
        <v>3913.9439024390244</v>
      </c>
      <c r="J130" s="200"/>
    </row>
    <row r="131" spans="2:10">
      <c r="B131" s="133" t="str">
        <f>'Idaho Data'!B58</f>
        <v>Fremont County Joint</v>
      </c>
      <c r="C131" s="287">
        <v>0.56920256645279566</v>
      </c>
      <c r="D131" s="200">
        <v>4210.3719714964373</v>
      </c>
      <c r="E131" s="200">
        <v>4102.9099908340968</v>
      </c>
      <c r="J131" s="200"/>
    </row>
    <row r="132" spans="2:10">
      <c r="B132" s="133" t="e">
        <f>'Idaho Data'!#REF!</f>
        <v>#REF!</v>
      </c>
      <c r="C132" s="287">
        <v>0.60346735521947625</v>
      </c>
      <c r="D132" s="200">
        <v>3974.270981210856</v>
      </c>
      <c r="E132" s="200">
        <v>4148.7151604573965</v>
      </c>
      <c r="J132" s="200"/>
    </row>
    <row r="133" spans="2:10">
      <c r="B133" s="133" t="str">
        <f>'Idaho Data'!B76</f>
        <v>Moscow</v>
      </c>
      <c r="C133" s="287">
        <v>0.32112166440524648</v>
      </c>
      <c r="D133" s="200">
        <v>3593.0542666142351</v>
      </c>
      <c r="E133" s="200">
        <v>3771.2754409769332</v>
      </c>
      <c r="J133" s="200"/>
    </row>
    <row r="134" spans="2:10">
      <c r="B134" s="133" t="str">
        <f>'Idaho Data'!B59</f>
        <v>Emmett Independent</v>
      </c>
      <c r="C134" s="287">
        <v>0.60132760640374849</v>
      </c>
      <c r="D134" s="200">
        <v>3945.5156193647895</v>
      </c>
      <c r="E134" s="200">
        <v>4145.8547442405315</v>
      </c>
      <c r="J134" s="200"/>
    </row>
    <row r="135" spans="2:10">
      <c r="B135" s="133" t="str">
        <f>'Idaho Data'!B56</f>
        <v>Preston Joint</v>
      </c>
      <c r="C135" s="287">
        <v>0.48118393234672302</v>
      </c>
      <c r="D135" s="200">
        <v>3705.5160349854227</v>
      </c>
      <c r="E135" s="200">
        <v>3985.2466807610995</v>
      </c>
      <c r="J135" s="200"/>
    </row>
    <row r="136" spans="2:10">
      <c r="B136" s="133" t="str">
        <f>'Idaho Data'!B25</f>
        <v>Blaine County</v>
      </c>
      <c r="C136" s="287">
        <v>0.43253848475701778</v>
      </c>
      <c r="D136" s="200">
        <v>3848.834460547504</v>
      </c>
      <c r="E136" s="200">
        <v>3920.2174464231816</v>
      </c>
      <c r="J136" s="200"/>
    </row>
    <row r="137" spans="2:10">
      <c r="B137" s="133" t="str">
        <f>'Idaho Data'!B30</f>
        <v>Lake Pend Oreille</v>
      </c>
      <c r="C137" s="287">
        <v>0.51173184357541901</v>
      </c>
      <c r="D137" s="200">
        <v>4165.2681433984262</v>
      </c>
      <c r="E137" s="200">
        <v>4026.0831284916203</v>
      </c>
      <c r="J137" s="200"/>
    </row>
    <row r="138" spans="2:10">
      <c r="B138" s="133" t="str">
        <f>'Idaho Data'!B70</f>
        <v>Jerome Joint</v>
      </c>
      <c r="C138" s="287">
        <v>0.68334280841387152</v>
      </c>
      <c r="D138" s="200">
        <v>3770.8099173553719</v>
      </c>
      <c r="E138" s="200">
        <v>4255.4926662876633</v>
      </c>
      <c r="J138" s="200"/>
    </row>
    <row r="139" spans="2:10">
      <c r="B139" s="133" t="str">
        <f>'Idaho Data'!B40</f>
        <v>Middleton</v>
      </c>
      <c r="C139" s="287">
        <v>0.53923160173160178</v>
      </c>
      <c r="D139" s="200">
        <v>3863.2359922715982</v>
      </c>
      <c r="E139" s="200">
        <v>4062.8448051948053</v>
      </c>
      <c r="J139" s="200"/>
    </row>
    <row r="140" spans="2:10">
      <c r="B140" s="133" t="str">
        <f>'Idaho Data'!B55</f>
        <v>Mountain Home</v>
      </c>
      <c r="C140" s="287">
        <v>0.50199203187250996</v>
      </c>
      <c r="D140" s="200">
        <v>4241.4037488028462</v>
      </c>
      <c r="E140" s="200">
        <v>4013.0629482071713</v>
      </c>
      <c r="J140" s="200"/>
    </row>
    <row r="141" spans="2:10">
      <c r="B141" s="133" t="str">
        <f>'Idaho Data'!B21</f>
        <v>Blackfoot</v>
      </c>
      <c r="C141" s="287">
        <v>0.59452318039875085</v>
      </c>
      <c r="D141" s="200">
        <v>3926.0732121845995</v>
      </c>
      <c r="E141" s="200">
        <v>4136.7585875570503</v>
      </c>
      <c r="J141" s="200"/>
    </row>
    <row r="142" spans="2:10">
      <c r="B142" s="133" t="str">
        <f>'Idaho Data'!B73</f>
        <v>Lakeland</v>
      </c>
      <c r="C142" s="287">
        <v>0.50401948842874544</v>
      </c>
      <c r="D142" s="200">
        <v>3904.7396442343575</v>
      </c>
      <c r="E142" s="200">
        <v>4015.773252131547</v>
      </c>
      <c r="J142" s="200"/>
    </row>
    <row r="143" spans="2:10">
      <c r="B143" s="133" t="str">
        <f>'Idaho Data'!B92</f>
        <v>Minidoka County Joint</v>
      </c>
      <c r="C143" s="287">
        <v>0.6454749439042633</v>
      </c>
      <c r="D143" s="200">
        <v>3821.624702549575</v>
      </c>
      <c r="E143" s="200">
        <v>4204.8709050112193</v>
      </c>
      <c r="J143" s="200"/>
    </row>
    <row r="144" spans="2:10">
      <c r="B144" s="133" t="str">
        <f>'Idaho Data'!B93</f>
        <v>Lewiston Independent</v>
      </c>
      <c r="C144" s="287">
        <v>0.40529189416211675</v>
      </c>
      <c r="D144" s="200">
        <v>3906.1832895888015</v>
      </c>
      <c r="E144" s="200">
        <v>3883.7942041159181</v>
      </c>
      <c r="J144" s="200"/>
    </row>
    <row r="145" spans="2:10">
      <c r="B145" s="133" t="str">
        <f>'Idaho Data'!B90</f>
        <v>Madison</v>
      </c>
      <c r="C145" s="287">
        <v>0.40231010180109633</v>
      </c>
      <c r="D145" s="200">
        <v>3711.8817454692721</v>
      </c>
      <c r="E145" s="200">
        <v>3879.8081440877058</v>
      </c>
      <c r="J145" s="200"/>
    </row>
    <row r="146" spans="2:10">
      <c r="B146" s="133" t="str">
        <f>'Idaho Data'!B12</f>
        <v>Kuna Joint</v>
      </c>
      <c r="C146" s="287">
        <v>0.43022241604884431</v>
      </c>
      <c r="D146" s="200">
        <v>3706.5496549654968</v>
      </c>
      <c r="E146" s="200">
        <v>3917.1213257740951</v>
      </c>
      <c r="J146" s="200"/>
    </row>
    <row r="147" spans="2:10">
      <c r="B147" s="133" t="str">
        <f>'Idaho Data'!B67</f>
        <v>Jefferson County Joint</v>
      </c>
      <c r="C147" s="287">
        <v>0.44273743016759776</v>
      </c>
      <c r="D147" s="200">
        <v>3693.1704465275679</v>
      </c>
      <c r="E147" s="200">
        <v>3933.8513966480446</v>
      </c>
      <c r="J147" s="200"/>
    </row>
    <row r="148" spans="2:10">
      <c r="B148" s="133" t="str">
        <f>'Idaho Data'!B48</f>
        <v>Cassia County Joint</v>
      </c>
      <c r="C148" s="287">
        <v>0.5551203133743704</v>
      </c>
      <c r="D148" s="200">
        <v>4133.9225742574254</v>
      </c>
      <c r="E148" s="200">
        <v>4084.0848349188586</v>
      </c>
      <c r="J148" s="200"/>
    </row>
    <row r="149" spans="2:10">
      <c r="B149" s="133" t="str">
        <f>'Idaho Data'!B74</f>
        <v>Post Falls</v>
      </c>
      <c r="C149" s="287">
        <v>0.5276867030965392</v>
      </c>
      <c r="D149" s="200">
        <v>3869.1485314685315</v>
      </c>
      <c r="E149" s="200">
        <v>4047.4115846994541</v>
      </c>
      <c r="J149" s="200"/>
    </row>
    <row r="150" spans="2:10">
      <c r="B150" s="133" t="str">
        <f>'Idaho Data'!B38</f>
        <v>Caldwell</v>
      </c>
      <c r="C150" s="287">
        <v>0.86003983342386381</v>
      </c>
      <c r="D150" s="200">
        <v>3753.6503532215506</v>
      </c>
      <c r="E150" s="200">
        <v>4491.7012493210214</v>
      </c>
      <c r="J150" s="200"/>
    </row>
    <row r="151" spans="2:10">
      <c r="B151" s="133" t="str">
        <f>'Idaho Data'!B44</f>
        <v>Vallivue</v>
      </c>
      <c r="C151" s="287">
        <v>0.6492603363257049</v>
      </c>
      <c r="D151" s="200">
        <v>3680.5349669436528</v>
      </c>
      <c r="E151" s="200">
        <v>4209.9312176002031</v>
      </c>
      <c r="J151" s="200"/>
    </row>
    <row r="152" spans="2:10">
      <c r="B152" s="133" t="str">
        <f>'Idaho Data'!B112</f>
        <v>Twin Falls</v>
      </c>
      <c r="C152" s="287">
        <v>0.59075442919159915</v>
      </c>
      <c r="D152" s="200">
        <v>3828.6836538461539</v>
      </c>
      <c r="E152" s="200">
        <v>4131.7205209433296</v>
      </c>
      <c r="J152" s="200"/>
    </row>
    <row r="153" spans="2:10">
      <c r="B153" s="133" t="str">
        <f>'Idaho Data'!B31</f>
        <v>Idaho Falls</v>
      </c>
      <c r="C153" s="287">
        <v>0.49929335756107407</v>
      </c>
      <c r="D153" s="200">
        <v>3755.6596478766046</v>
      </c>
      <c r="E153" s="200">
        <v>4009.4553603876439</v>
      </c>
      <c r="J153" s="200"/>
    </row>
    <row r="154" spans="2:10">
      <c r="B154" s="133" t="str">
        <f>'Idaho Data'!B72</f>
        <v>Coeur d' Alene</v>
      </c>
      <c r="C154" s="287">
        <v>0.43702407902860668</v>
      </c>
      <c r="D154" s="200">
        <v>3803.8919541380865</v>
      </c>
      <c r="E154" s="200">
        <v>3926.2137888454413</v>
      </c>
      <c r="J154" s="200"/>
    </row>
    <row r="155" spans="2:10">
      <c r="B155" s="133" t="str">
        <f>'Idaho Data'!B33</f>
        <v>Bonneville Joint</v>
      </c>
      <c r="C155" s="287">
        <v>0.4150247413405308</v>
      </c>
      <c r="D155" s="200">
        <v>3675.9810652981773</v>
      </c>
      <c r="E155" s="200">
        <v>3896.8050742240216</v>
      </c>
      <c r="J155" s="200"/>
    </row>
    <row r="156" spans="2:10">
      <c r="B156" s="133" t="str">
        <f>'Idaho Data'!B16</f>
        <v>Pocatello</v>
      </c>
      <c r="C156" s="287">
        <v>0.51887537513820881</v>
      </c>
      <c r="D156" s="200">
        <v>3697.2245872289636</v>
      </c>
      <c r="E156" s="200">
        <v>4035.6326014847577</v>
      </c>
      <c r="J156" s="200"/>
    </row>
    <row r="157" spans="2:10">
      <c r="B157" s="133" t="str">
        <f>'Idaho Data'!B37</f>
        <v>Nampa</v>
      </c>
      <c r="C157" s="287">
        <v>0.64852093986665804</v>
      </c>
      <c r="D157" s="200">
        <v>3582.2767335534672</v>
      </c>
      <c r="E157" s="200">
        <v>4208.942792413749</v>
      </c>
      <c r="J157" s="200"/>
    </row>
    <row r="158" spans="2:10">
      <c r="B158" s="133" t="str">
        <f>'Idaho Data'!B10</f>
        <v>Boise Independent</v>
      </c>
      <c r="C158" s="287">
        <v>0.43365376362543989</v>
      </c>
      <c r="D158" s="200">
        <v>3866.5851161878613</v>
      </c>
      <c r="E158" s="200">
        <v>3921.7083512144877</v>
      </c>
      <c r="J158" s="200"/>
    </row>
    <row r="159" spans="2:10">
      <c r="B159" s="133" t="str">
        <f>'Idaho Data'!B11</f>
        <v>Meridian Joint</v>
      </c>
      <c r="C159" s="287">
        <v>0.30022542335605895</v>
      </c>
      <c r="D159" s="200">
        <v>3951.1839399288338</v>
      </c>
      <c r="E159" s="200">
        <v>3743.3413459423796</v>
      </c>
      <c r="J159" s="200"/>
    </row>
    <row r="160" spans="2:10">
      <c r="B160" s="133"/>
      <c r="C160" s="287"/>
      <c r="D160" s="200"/>
      <c r="E160" s="200"/>
    </row>
    <row r="161" spans="2:5">
      <c r="B161" s="133"/>
      <c r="C161" s="287"/>
      <c r="D161" s="200"/>
      <c r="E161" s="200"/>
    </row>
    <row r="162" spans="2:5">
      <c r="B162" s="133"/>
      <c r="C162" s="287"/>
      <c r="D162" s="200"/>
      <c r="E162" s="200"/>
    </row>
    <row r="163" spans="2:5">
      <c r="B163" s="133"/>
      <c r="C163" s="287"/>
      <c r="D163" s="200"/>
      <c r="E163" s="200"/>
    </row>
    <row r="164" spans="2:5">
      <c r="B164" s="133"/>
      <c r="C164" s="287"/>
      <c r="D164" s="200"/>
      <c r="E164" s="200"/>
    </row>
    <row r="165" spans="2:5">
      <c r="B165" s="133"/>
      <c r="C165" s="287"/>
      <c r="D165" s="200"/>
      <c r="E165" s="200"/>
    </row>
    <row r="166" spans="2:5">
      <c r="B166" s="133"/>
      <c r="C166" s="287"/>
      <c r="D166" s="200"/>
      <c r="E166" s="200"/>
    </row>
    <row r="167" spans="2:5">
      <c r="B167" s="133"/>
      <c r="C167" s="287"/>
      <c r="D167" s="200"/>
      <c r="E167" s="200"/>
    </row>
    <row r="168" spans="2:5">
      <c r="B168" s="133"/>
      <c r="C168" s="287"/>
      <c r="D168" s="200"/>
      <c r="E168" s="200"/>
    </row>
    <row r="169" spans="2:5">
      <c r="B169" s="133"/>
      <c r="C169" s="287"/>
      <c r="D169" s="200"/>
      <c r="E169" s="200"/>
    </row>
    <row r="170" spans="2:5">
      <c r="B170" s="133"/>
      <c r="C170" s="287"/>
      <c r="D170" s="200"/>
      <c r="E170" s="200"/>
    </row>
    <row r="171" spans="2:5">
      <c r="B171" s="133"/>
      <c r="C171" s="287"/>
      <c r="D171" s="200"/>
      <c r="E171" s="200"/>
    </row>
    <row r="172" spans="2:5">
      <c r="B172" s="133"/>
      <c r="C172" s="287"/>
      <c r="D172" s="200"/>
      <c r="E172" s="200"/>
    </row>
    <row r="173" spans="2:5">
      <c r="B173" s="133"/>
      <c r="C173" s="287"/>
      <c r="D173" s="200"/>
      <c r="E173" s="200"/>
    </row>
    <row r="174" spans="2:5">
      <c r="B174" s="133"/>
      <c r="C174" s="287"/>
      <c r="D174" s="200"/>
      <c r="E174" s="200"/>
    </row>
    <row r="175" spans="2:5">
      <c r="B175" s="133"/>
      <c r="C175" s="287"/>
      <c r="D175" s="200"/>
      <c r="E175" s="200"/>
    </row>
    <row r="176" spans="2:5">
      <c r="B176" s="133"/>
      <c r="C176" s="287"/>
      <c r="D176" s="200"/>
      <c r="E176" s="200"/>
    </row>
    <row r="177" spans="2:5">
      <c r="B177" s="133"/>
      <c r="C177" s="287"/>
      <c r="D177" s="200"/>
      <c r="E177" s="200"/>
    </row>
    <row r="178" spans="2:5">
      <c r="B178" s="133"/>
      <c r="C178" s="287"/>
      <c r="D178" s="200"/>
      <c r="E178" s="200"/>
    </row>
    <row r="179" spans="2:5">
      <c r="B179" s="133"/>
      <c r="C179" s="287"/>
      <c r="D179" s="200"/>
      <c r="E179" s="200"/>
    </row>
    <row r="180" spans="2:5">
      <c r="B180" s="133"/>
      <c r="C180" s="287"/>
      <c r="D180" s="200"/>
      <c r="E180" s="200"/>
    </row>
    <row r="181" spans="2:5">
      <c r="B181" s="133"/>
      <c r="C181" s="287"/>
      <c r="D181" s="200"/>
      <c r="E181" s="200"/>
    </row>
    <row r="182" spans="2:5">
      <c r="B182" s="133"/>
      <c r="C182" s="287"/>
      <c r="D182" s="200"/>
      <c r="E182" s="200"/>
    </row>
    <row r="183" spans="2:5">
      <c r="B183" s="133"/>
      <c r="C183" s="287"/>
      <c r="D183" s="200"/>
      <c r="E183" s="200"/>
    </row>
    <row r="184" spans="2:5">
      <c r="B184" s="133"/>
      <c r="C184" s="287"/>
      <c r="D184" s="200"/>
      <c r="E184" s="200"/>
    </row>
    <row r="185" spans="2:5">
      <c r="B185" s="133"/>
      <c r="C185" s="287"/>
      <c r="D185" s="200"/>
      <c r="E185" s="200"/>
    </row>
    <row r="186" spans="2:5">
      <c r="B186" s="133"/>
      <c r="C186" s="287"/>
      <c r="D186" s="200"/>
      <c r="E186" s="200"/>
    </row>
    <row r="187" spans="2:5">
      <c r="B187" s="133"/>
      <c r="C187" s="287"/>
      <c r="D187" s="200"/>
      <c r="E187" s="200"/>
    </row>
    <row r="188" spans="2:5">
      <c r="B188" s="133"/>
      <c r="C188" s="287"/>
      <c r="D188" s="200"/>
      <c r="E188" s="200"/>
    </row>
    <row r="189" spans="2:5">
      <c r="B189" s="133"/>
      <c r="C189" s="287"/>
      <c r="D189" s="200"/>
      <c r="E189" s="200"/>
    </row>
    <row r="190" spans="2:5">
      <c r="B190" s="133"/>
      <c r="C190" s="287"/>
      <c r="D190" s="200"/>
      <c r="E190" s="200"/>
    </row>
    <row r="191" spans="2:5">
      <c r="B191" s="133"/>
      <c r="C191" s="287"/>
      <c r="D191" s="200"/>
      <c r="E191" s="200"/>
    </row>
    <row r="192" spans="2:5">
      <c r="B192" s="133"/>
      <c r="C192" s="287"/>
      <c r="D192" s="200"/>
      <c r="E192" s="200"/>
    </row>
    <row r="193" spans="2:5">
      <c r="B193" s="133"/>
      <c r="C193" s="287"/>
      <c r="D193" s="200"/>
      <c r="E193" s="200"/>
    </row>
    <row r="194" spans="2:5">
      <c r="B194" s="133"/>
      <c r="C194" s="287"/>
      <c r="D194" s="200"/>
      <c r="E194" s="200"/>
    </row>
    <row r="195" spans="2:5">
      <c r="B195" s="133"/>
      <c r="C195" s="287"/>
      <c r="D195" s="200"/>
      <c r="E195" s="200"/>
    </row>
    <row r="196" spans="2:5">
      <c r="B196" s="133"/>
      <c r="C196" s="287"/>
      <c r="D196" s="200"/>
      <c r="E196" s="200"/>
    </row>
    <row r="197" spans="2:5">
      <c r="B197" s="133"/>
      <c r="C197" s="287"/>
      <c r="D197" s="200"/>
      <c r="E197" s="200"/>
    </row>
    <row r="198" spans="2:5">
      <c r="B198" s="133"/>
      <c r="C198" s="287"/>
      <c r="D198" s="200"/>
      <c r="E198" s="200"/>
    </row>
    <row r="199" spans="2:5">
      <c r="B199" s="133"/>
      <c r="C199" s="287"/>
      <c r="D199" s="200"/>
      <c r="E199" s="200"/>
    </row>
    <row r="200" spans="2:5">
      <c r="B200" s="133"/>
      <c r="C200" s="287"/>
      <c r="D200" s="200"/>
      <c r="E200" s="200"/>
    </row>
    <row r="201" spans="2:5">
      <c r="B201" s="133"/>
      <c r="C201" s="287"/>
      <c r="D201" s="200"/>
      <c r="E201" s="200"/>
    </row>
    <row r="202" spans="2:5">
      <c r="B202" s="133"/>
      <c r="C202" s="287"/>
      <c r="D202" s="200"/>
      <c r="E202" s="200"/>
    </row>
    <row r="203" spans="2:5">
      <c r="B203" s="133"/>
      <c r="C203" s="287"/>
      <c r="D203" s="200"/>
      <c r="E203" s="200"/>
    </row>
    <row r="204" spans="2:5">
      <c r="B204" s="133"/>
      <c r="C204" s="287"/>
      <c r="D204" s="200"/>
      <c r="E204" s="200"/>
    </row>
    <row r="205" spans="2:5">
      <c r="B205" s="133"/>
      <c r="C205" s="287"/>
      <c r="D205" s="200"/>
      <c r="E205" s="200"/>
    </row>
    <row r="206" spans="2:5">
      <c r="B206" s="133"/>
      <c r="C206" s="287"/>
      <c r="D206" s="200"/>
      <c r="E206" s="200"/>
    </row>
    <row r="207" spans="2:5">
      <c r="B207" s="133"/>
      <c r="C207" s="287"/>
      <c r="D207" s="200"/>
      <c r="E207" s="200"/>
    </row>
    <row r="208" spans="2:5">
      <c r="B208" s="133"/>
      <c r="C208" s="287"/>
      <c r="D208" s="200"/>
      <c r="E208" s="200"/>
    </row>
    <row r="209" spans="2:5">
      <c r="B209" s="133"/>
      <c r="C209" s="287"/>
      <c r="D209" s="200"/>
      <c r="E209" s="200"/>
    </row>
    <row r="210" spans="2:5">
      <c r="B210" s="133"/>
      <c r="C210" s="287"/>
      <c r="D210" s="200"/>
      <c r="E210" s="200"/>
    </row>
    <row r="211" spans="2:5">
      <c r="B211" s="133"/>
      <c r="C211" s="287"/>
      <c r="D211" s="200"/>
      <c r="E211" s="200"/>
    </row>
    <row r="212" spans="2:5">
      <c r="B212" s="133"/>
      <c r="C212" s="287"/>
      <c r="D212" s="200"/>
      <c r="E212" s="200"/>
    </row>
    <row r="213" spans="2:5">
      <c r="B213" s="133"/>
      <c r="C213" s="287"/>
      <c r="D213" s="200"/>
      <c r="E213" s="200"/>
    </row>
    <row r="214" spans="2:5">
      <c r="B214" s="133"/>
      <c r="C214" s="287"/>
      <c r="D214" s="200"/>
      <c r="E214" s="200"/>
    </row>
    <row r="215" spans="2:5">
      <c r="B215" s="133"/>
      <c r="C215" s="287"/>
      <c r="D215" s="200"/>
      <c r="E215" s="200"/>
    </row>
    <row r="216" spans="2:5">
      <c r="B216" s="133"/>
      <c r="C216" s="287"/>
      <c r="D216" s="200"/>
      <c r="E216" s="200"/>
    </row>
    <row r="217" spans="2:5">
      <c r="B217" s="133"/>
      <c r="C217" s="287"/>
      <c r="D217" s="200"/>
      <c r="E217" s="200"/>
    </row>
    <row r="218" spans="2:5">
      <c r="B218" s="133"/>
      <c r="C218" s="287"/>
      <c r="D218" s="200"/>
      <c r="E218" s="200"/>
    </row>
    <row r="219" spans="2:5">
      <c r="B219" s="133"/>
      <c r="C219" s="287"/>
      <c r="D219" s="200"/>
      <c r="E219" s="200"/>
    </row>
    <row r="220" spans="2:5">
      <c r="B220" s="133"/>
      <c r="C220" s="287"/>
      <c r="D220" s="200"/>
      <c r="E220" s="200"/>
    </row>
    <row r="221" spans="2:5">
      <c r="B221" s="133"/>
      <c r="C221" s="287"/>
      <c r="D221" s="200"/>
      <c r="E221" s="200"/>
    </row>
    <row r="222" spans="2:5">
      <c r="B222" s="133"/>
      <c r="C222" s="287"/>
      <c r="D222" s="200"/>
      <c r="E222" s="200"/>
    </row>
    <row r="223" spans="2:5">
      <c r="B223" s="133"/>
      <c r="C223" s="287"/>
      <c r="D223" s="200"/>
      <c r="E223" s="200"/>
    </row>
    <row r="224" spans="2:5">
      <c r="B224" s="133"/>
      <c r="C224" s="287"/>
      <c r="D224" s="200"/>
      <c r="E224" s="200"/>
    </row>
    <row r="225" spans="2:5">
      <c r="B225" s="133"/>
      <c r="C225" s="287"/>
      <c r="D225" s="200"/>
      <c r="E225" s="200"/>
    </row>
    <row r="226" spans="2:5">
      <c r="B226" s="133"/>
      <c r="C226" s="287"/>
      <c r="D226" s="200"/>
      <c r="E226" s="200"/>
    </row>
    <row r="227" spans="2:5">
      <c r="B227" s="133"/>
      <c r="C227" s="287"/>
      <c r="D227" s="200"/>
      <c r="E227" s="200"/>
    </row>
    <row r="228" spans="2:5">
      <c r="B228" s="133"/>
      <c r="C228" s="287"/>
      <c r="D228" s="200"/>
      <c r="E228" s="200"/>
    </row>
    <row r="229" spans="2:5">
      <c r="B229" s="133"/>
      <c r="C229" s="287"/>
      <c r="D229" s="200"/>
      <c r="E229" s="200"/>
    </row>
    <row r="230" spans="2:5">
      <c r="B230" s="133"/>
      <c r="C230" s="287"/>
      <c r="D230" s="200"/>
      <c r="E230" s="200"/>
    </row>
    <row r="231" spans="2:5">
      <c r="B231" s="133"/>
      <c r="C231" s="287"/>
      <c r="D231" s="200"/>
      <c r="E231" s="200"/>
    </row>
    <row r="232" spans="2:5">
      <c r="B232" s="133"/>
      <c r="C232" s="287"/>
      <c r="D232" s="200"/>
      <c r="E232" s="200"/>
    </row>
    <row r="233" spans="2:5">
      <c r="B233" s="133"/>
      <c r="C233" s="287"/>
      <c r="D233" s="200"/>
      <c r="E233" s="200"/>
    </row>
    <row r="234" spans="2:5">
      <c r="B234" s="133"/>
      <c r="C234" s="287"/>
      <c r="D234" s="200"/>
      <c r="E234" s="200"/>
    </row>
    <row r="235" spans="2:5">
      <c r="B235" s="133"/>
      <c r="C235" s="287"/>
      <c r="D235" s="200"/>
      <c r="E235" s="200"/>
    </row>
    <row r="236" spans="2:5">
      <c r="B236" s="133"/>
      <c r="C236" s="287"/>
      <c r="D236" s="200"/>
      <c r="E236" s="200"/>
    </row>
    <row r="237" spans="2:5">
      <c r="B237" s="133"/>
      <c r="C237" s="287"/>
      <c r="D237" s="200"/>
      <c r="E237" s="200"/>
    </row>
    <row r="238" spans="2:5">
      <c r="B238" s="133"/>
      <c r="C238" s="287"/>
      <c r="D238" s="200"/>
      <c r="E238" s="200"/>
    </row>
    <row r="239" spans="2:5">
      <c r="B239" s="133"/>
      <c r="C239" s="287"/>
      <c r="D239" s="200"/>
      <c r="E239" s="200"/>
    </row>
    <row r="240" spans="2:5">
      <c r="B240" s="133"/>
      <c r="C240" s="287"/>
      <c r="D240" s="200"/>
      <c r="E240" s="200"/>
    </row>
    <row r="241" spans="2:5">
      <c r="B241" s="133"/>
      <c r="C241" s="287"/>
      <c r="D241" s="200"/>
      <c r="E241" s="200"/>
    </row>
    <row r="242" spans="2:5">
      <c r="B242" s="133"/>
      <c r="C242" s="287"/>
      <c r="D242" s="200"/>
      <c r="E242" s="200"/>
    </row>
    <row r="243" spans="2:5">
      <c r="B243" s="133"/>
      <c r="C243" s="287"/>
      <c r="D243" s="200"/>
      <c r="E243" s="200"/>
    </row>
    <row r="244" spans="2:5">
      <c r="B244" s="133"/>
      <c r="C244" s="287"/>
      <c r="D244" s="200"/>
      <c r="E244" s="200"/>
    </row>
    <row r="245" spans="2:5">
      <c r="B245" s="133"/>
      <c r="C245" s="287"/>
      <c r="D245" s="200"/>
      <c r="E245" s="200"/>
    </row>
    <row r="246" spans="2:5">
      <c r="B246" s="133"/>
      <c r="C246" s="287"/>
      <c r="D246" s="200"/>
      <c r="E246" s="200"/>
    </row>
    <row r="247" spans="2:5">
      <c r="B247" s="133"/>
      <c r="C247" s="287"/>
      <c r="D247" s="200"/>
      <c r="E247" s="200"/>
    </row>
    <row r="248" spans="2:5">
      <c r="B248" s="133"/>
      <c r="C248" s="287"/>
      <c r="D248" s="200"/>
      <c r="E248" s="200"/>
    </row>
    <row r="249" spans="2:5">
      <c r="B249" s="133"/>
      <c r="C249" s="287"/>
      <c r="D249" s="200"/>
      <c r="E249" s="200"/>
    </row>
    <row r="250" spans="2:5">
      <c r="B250" s="133"/>
      <c r="C250" s="287"/>
      <c r="D250" s="200"/>
      <c r="E250" s="200"/>
    </row>
    <row r="251" spans="2:5">
      <c r="B251" s="133"/>
      <c r="C251" s="287"/>
      <c r="D251" s="200"/>
      <c r="E251" s="200"/>
    </row>
    <row r="252" spans="2:5">
      <c r="B252" s="133"/>
      <c r="C252" s="287"/>
      <c r="D252" s="200"/>
      <c r="E252" s="200"/>
    </row>
    <row r="253" spans="2:5">
      <c r="B253" s="133"/>
      <c r="C253" s="287"/>
      <c r="D253" s="200"/>
      <c r="E253" s="200"/>
    </row>
    <row r="254" spans="2:5">
      <c r="B254" s="133"/>
      <c r="C254" s="287"/>
      <c r="D254" s="200"/>
      <c r="E254" s="200"/>
    </row>
    <row r="255" spans="2:5">
      <c r="B255" s="133"/>
      <c r="C255" s="287"/>
      <c r="D255" s="200"/>
      <c r="E255" s="200"/>
    </row>
    <row r="256" spans="2:5">
      <c r="B256" s="133"/>
      <c r="C256" s="287"/>
      <c r="D256" s="200"/>
      <c r="E256" s="200"/>
    </row>
    <row r="257" spans="2:5">
      <c r="B257" s="133"/>
      <c r="C257" s="287"/>
      <c r="D257" s="200"/>
      <c r="E257" s="200"/>
    </row>
    <row r="258" spans="2:5">
      <c r="B258" s="133"/>
      <c r="C258" s="287"/>
      <c r="D258" s="200"/>
      <c r="E258" s="200"/>
    </row>
    <row r="259" spans="2:5">
      <c r="B259" s="133"/>
      <c r="C259" s="287"/>
      <c r="D259" s="200"/>
      <c r="E259" s="200"/>
    </row>
    <row r="260" spans="2:5">
      <c r="B260" s="133"/>
      <c r="C260" s="287"/>
      <c r="D260" s="200"/>
      <c r="E260" s="200"/>
    </row>
    <row r="261" spans="2:5">
      <c r="B261" s="133"/>
      <c r="C261" s="287"/>
      <c r="D261" s="200"/>
      <c r="E261" s="200"/>
    </row>
    <row r="262" spans="2:5">
      <c r="B262" s="133"/>
      <c r="C262" s="287"/>
      <c r="D262" s="200"/>
      <c r="E262" s="200"/>
    </row>
    <row r="263" spans="2:5">
      <c r="B263" s="133"/>
      <c r="C263" s="287"/>
      <c r="D263" s="200"/>
      <c r="E263" s="200"/>
    </row>
    <row r="264" spans="2:5">
      <c r="B264" s="133"/>
      <c r="C264" s="287"/>
      <c r="D264" s="200"/>
      <c r="E264" s="200"/>
    </row>
    <row r="265" spans="2:5">
      <c r="B265" s="133"/>
      <c r="C265" s="287"/>
      <c r="D265" s="200"/>
      <c r="E265" s="200"/>
    </row>
    <row r="266" spans="2:5">
      <c r="B266" s="133"/>
      <c r="C266" s="287"/>
      <c r="D266" s="200"/>
      <c r="E266" s="200"/>
    </row>
    <row r="267" spans="2:5">
      <c r="B267" s="133"/>
      <c r="C267" s="287"/>
      <c r="D267" s="200"/>
      <c r="E267" s="200"/>
    </row>
    <row r="268" spans="2:5">
      <c r="B268" s="133"/>
      <c r="C268" s="287"/>
      <c r="D268" s="200"/>
      <c r="E268" s="200"/>
    </row>
    <row r="269" spans="2:5">
      <c r="B269" s="133"/>
      <c r="C269" s="287"/>
      <c r="D269" s="200"/>
      <c r="E269" s="200"/>
    </row>
    <row r="270" spans="2:5">
      <c r="B270" s="133"/>
      <c r="C270" s="287"/>
      <c r="D270" s="200"/>
      <c r="E270" s="200"/>
    </row>
    <row r="271" spans="2:5">
      <c r="B271" s="133"/>
      <c r="C271" s="287"/>
      <c r="D271" s="200"/>
      <c r="E271" s="200"/>
    </row>
    <row r="272" spans="2:5">
      <c r="B272" s="133"/>
      <c r="C272" s="287"/>
      <c r="D272" s="200"/>
      <c r="E272" s="200"/>
    </row>
    <row r="273" spans="2:5">
      <c r="B273" s="133"/>
      <c r="C273" s="287"/>
      <c r="D273" s="200"/>
      <c r="E273" s="200"/>
    </row>
    <row r="274" spans="2:5">
      <c r="B274" s="133"/>
      <c r="C274" s="287"/>
      <c r="D274" s="200"/>
      <c r="E274" s="200"/>
    </row>
    <row r="275" spans="2:5">
      <c r="B275" s="133"/>
      <c r="C275" s="287"/>
      <c r="D275" s="200"/>
      <c r="E275" s="200"/>
    </row>
    <row r="276" spans="2:5">
      <c r="B276" s="133"/>
      <c r="C276" s="287"/>
      <c r="D276" s="200"/>
      <c r="E276" s="200"/>
    </row>
    <row r="277" spans="2:5">
      <c r="B277" s="133"/>
      <c r="C277" s="287"/>
      <c r="D277" s="200"/>
      <c r="E277" s="200"/>
    </row>
    <row r="278" spans="2:5">
      <c r="B278" s="133"/>
      <c r="C278" s="287"/>
      <c r="D278" s="200"/>
      <c r="E278" s="200"/>
    </row>
    <row r="279" spans="2:5">
      <c r="B279" s="133"/>
      <c r="C279" s="287"/>
      <c r="D279" s="200"/>
      <c r="E279" s="200"/>
    </row>
    <row r="280" spans="2:5">
      <c r="B280" s="133"/>
      <c r="C280" s="287"/>
      <c r="D280" s="200"/>
      <c r="E280" s="200"/>
    </row>
    <row r="281" spans="2:5">
      <c r="B281" s="133"/>
      <c r="C281" s="287"/>
      <c r="D281" s="200"/>
      <c r="E281" s="200"/>
    </row>
    <row r="282" spans="2:5">
      <c r="B282" s="133"/>
      <c r="C282" s="287"/>
      <c r="D282" s="200"/>
      <c r="E282" s="200"/>
    </row>
    <row r="283" spans="2:5">
      <c r="B283" s="133"/>
      <c r="C283" s="287"/>
      <c r="D283" s="200"/>
      <c r="E283" s="200"/>
    </row>
    <row r="284" spans="2:5">
      <c r="B284" s="133"/>
      <c r="C284" s="287"/>
      <c r="D284" s="200"/>
      <c r="E284" s="200"/>
    </row>
    <row r="285" spans="2:5">
      <c r="B285" s="133"/>
      <c r="C285" s="287"/>
      <c r="D285" s="200"/>
      <c r="E285" s="200"/>
    </row>
    <row r="286" spans="2:5">
      <c r="B286" s="133"/>
      <c r="C286" s="287"/>
      <c r="D286" s="200"/>
      <c r="E286" s="200"/>
    </row>
    <row r="287" spans="2:5">
      <c r="B287" s="133"/>
      <c r="C287" s="287"/>
      <c r="D287" s="200"/>
      <c r="E287" s="200"/>
    </row>
    <row r="288" spans="2:5">
      <c r="B288" s="133"/>
      <c r="C288" s="287"/>
      <c r="D288" s="200"/>
      <c r="E288" s="200"/>
    </row>
    <row r="289" spans="2:5">
      <c r="B289" s="133"/>
      <c r="C289" s="287"/>
      <c r="D289" s="200"/>
      <c r="E289" s="200"/>
    </row>
    <row r="290" spans="2:5">
      <c r="B290" s="133"/>
      <c r="C290" s="287"/>
      <c r="D290" s="200"/>
      <c r="E290" s="200"/>
    </row>
    <row r="291" spans="2:5">
      <c r="B291" s="133"/>
      <c r="C291" s="287"/>
      <c r="D291" s="200"/>
      <c r="E291" s="200"/>
    </row>
    <row r="292" spans="2:5">
      <c r="B292" s="133"/>
      <c r="C292" s="287"/>
      <c r="D292" s="200"/>
      <c r="E292" s="200"/>
    </row>
    <row r="293" spans="2:5">
      <c r="B293" s="133"/>
      <c r="C293" s="287"/>
      <c r="D293" s="200"/>
      <c r="E293" s="200"/>
    </row>
    <row r="294" spans="2:5">
      <c r="B294" s="133"/>
      <c r="C294" s="287"/>
      <c r="D294" s="200"/>
      <c r="E294" s="200"/>
    </row>
    <row r="295" spans="2:5">
      <c r="B295" s="133"/>
      <c r="C295" s="287"/>
      <c r="D295" s="200"/>
      <c r="E295" s="200"/>
    </row>
    <row r="296" spans="2:5">
      <c r="B296" s="133"/>
      <c r="C296" s="287"/>
      <c r="D296" s="200"/>
      <c r="E296" s="200"/>
    </row>
    <row r="297" spans="2:5">
      <c r="B297" s="133"/>
      <c r="C297" s="287"/>
      <c r="D297" s="200"/>
      <c r="E297" s="200"/>
    </row>
    <row r="298" spans="2:5">
      <c r="B298" s="133"/>
      <c r="C298" s="287"/>
      <c r="D298" s="200"/>
      <c r="E298" s="200"/>
    </row>
    <row r="299" spans="2:5">
      <c r="B299" s="133"/>
      <c r="C299" s="287"/>
      <c r="D299" s="200"/>
      <c r="E299" s="200"/>
    </row>
    <row r="300" spans="2:5">
      <c r="B300" s="133"/>
      <c r="C300" s="287"/>
      <c r="D300" s="200"/>
      <c r="E300" s="200"/>
    </row>
    <row r="301" spans="2:5">
      <c r="B301" s="133"/>
      <c r="C301" s="287"/>
      <c r="D301" s="200"/>
      <c r="E301" s="200"/>
    </row>
    <row r="302" spans="2:5">
      <c r="B302" s="133"/>
      <c r="C302" s="287"/>
      <c r="D302" s="200"/>
      <c r="E302" s="200"/>
    </row>
    <row r="303" spans="2:5">
      <c r="B303" s="133"/>
      <c r="C303" s="287"/>
      <c r="D303" s="200"/>
      <c r="E303" s="200"/>
    </row>
    <row r="304" spans="2:5">
      <c r="B304" s="133"/>
      <c r="C304" s="287"/>
      <c r="D304" s="200"/>
      <c r="E304" s="200"/>
    </row>
    <row r="305" spans="2:5">
      <c r="B305" s="133"/>
      <c r="C305" s="287"/>
      <c r="D305" s="200"/>
      <c r="E305" s="200"/>
    </row>
    <row r="306" spans="2:5">
      <c r="B306" s="133"/>
      <c r="C306" s="287"/>
      <c r="D306" s="200"/>
      <c r="E306" s="200"/>
    </row>
    <row r="307" spans="2:5">
      <c r="B307" s="133"/>
      <c r="C307" s="287"/>
      <c r="D307" s="200"/>
      <c r="E307" s="200"/>
    </row>
    <row r="308" spans="2:5">
      <c r="B308" s="133"/>
      <c r="C308" s="287"/>
      <c r="D308" s="200"/>
      <c r="E308" s="200"/>
    </row>
    <row r="309" spans="2:5">
      <c r="B309" s="133"/>
      <c r="C309" s="287"/>
      <c r="D309" s="200"/>
      <c r="E309" s="200"/>
    </row>
    <row r="310" spans="2:5">
      <c r="B310" s="133"/>
      <c r="C310" s="287"/>
      <c r="D310" s="200"/>
      <c r="E310" s="200"/>
    </row>
    <row r="311" spans="2:5">
      <c r="B311" s="133"/>
      <c r="C311" s="287"/>
      <c r="D311" s="200"/>
      <c r="E311" s="200"/>
    </row>
    <row r="312" spans="2:5">
      <c r="B312" s="133"/>
      <c r="C312" s="287"/>
      <c r="D312" s="200"/>
      <c r="E312" s="200"/>
    </row>
    <row r="313" spans="2:5">
      <c r="B313" s="133"/>
      <c r="C313" s="287"/>
      <c r="D313" s="200"/>
      <c r="E313" s="200"/>
    </row>
    <row r="314" spans="2:5">
      <c r="B314" s="133"/>
      <c r="C314" s="287"/>
      <c r="D314" s="200"/>
      <c r="E314" s="200"/>
    </row>
    <row r="315" spans="2:5">
      <c r="B315" s="133"/>
      <c r="C315" s="287"/>
      <c r="D315" s="200"/>
      <c r="E315" s="200"/>
    </row>
    <row r="316" spans="2:5">
      <c r="B316" s="133"/>
      <c r="C316" s="287"/>
      <c r="D316" s="200"/>
      <c r="E316" s="200"/>
    </row>
    <row r="317" spans="2:5">
      <c r="B317" s="133"/>
      <c r="C317" s="287"/>
      <c r="D317" s="200"/>
      <c r="E317" s="200"/>
    </row>
    <row r="318" spans="2:5">
      <c r="B318" s="133"/>
      <c r="C318" s="287"/>
      <c r="D318" s="200"/>
      <c r="E318" s="200"/>
    </row>
    <row r="319" spans="2:5">
      <c r="B319" s="133"/>
      <c r="C319" s="287"/>
      <c r="D319" s="200"/>
      <c r="E319" s="200"/>
    </row>
    <row r="320" spans="2:5">
      <c r="B320" s="133"/>
      <c r="C320" s="287"/>
      <c r="D320" s="200"/>
      <c r="E320" s="200"/>
    </row>
    <row r="321" spans="2:5">
      <c r="B321" s="133"/>
      <c r="C321" s="287"/>
      <c r="D321" s="200"/>
      <c r="E321" s="200"/>
    </row>
    <row r="322" spans="2:5">
      <c r="B322" s="133"/>
      <c r="C322" s="287"/>
      <c r="D322" s="200"/>
      <c r="E322" s="200"/>
    </row>
    <row r="323" spans="2:5">
      <c r="B323" s="133"/>
      <c r="C323" s="287"/>
      <c r="D323" s="200"/>
      <c r="E323" s="200"/>
    </row>
    <row r="324" spans="2:5">
      <c r="B324" s="133"/>
      <c r="C324" s="287"/>
      <c r="D324" s="200"/>
      <c r="E324" s="200"/>
    </row>
    <row r="325" spans="2:5">
      <c r="B325" s="133"/>
      <c r="C325" s="287"/>
      <c r="D325" s="200"/>
      <c r="E325" s="200"/>
    </row>
    <row r="326" spans="2:5">
      <c r="B326" s="133"/>
      <c r="C326" s="287"/>
      <c r="D326" s="200"/>
      <c r="E326" s="200"/>
    </row>
    <row r="327" spans="2:5">
      <c r="B327" s="133"/>
      <c r="C327" s="287"/>
      <c r="D327" s="200"/>
      <c r="E327" s="200"/>
    </row>
    <row r="328" spans="2:5">
      <c r="B328" s="133"/>
      <c r="C328" s="287"/>
      <c r="D328" s="200"/>
      <c r="E328" s="200"/>
    </row>
    <row r="329" spans="2:5">
      <c r="B329" s="133"/>
      <c r="C329" s="287"/>
      <c r="D329" s="200"/>
      <c r="E329" s="200"/>
    </row>
    <row r="330" spans="2:5">
      <c r="B330" s="133"/>
      <c r="C330" s="287"/>
      <c r="D330" s="200"/>
      <c r="E330" s="200"/>
    </row>
    <row r="331" spans="2:5">
      <c r="B331" s="133"/>
      <c r="C331" s="287"/>
      <c r="D331" s="200"/>
      <c r="E331" s="200"/>
    </row>
    <row r="332" spans="2:5">
      <c r="B332" s="133"/>
      <c r="C332" s="287"/>
      <c r="D332" s="200"/>
      <c r="E332" s="200"/>
    </row>
    <row r="333" spans="2:5">
      <c r="B333" s="133"/>
      <c r="C333" s="287"/>
      <c r="D333" s="200"/>
      <c r="E333" s="200"/>
    </row>
    <row r="334" spans="2:5">
      <c r="B334" s="133"/>
      <c r="C334" s="287"/>
      <c r="D334" s="200"/>
      <c r="E334" s="200"/>
    </row>
    <row r="335" spans="2:5">
      <c r="B335" s="133"/>
      <c r="C335" s="287"/>
      <c r="D335" s="200"/>
      <c r="E335" s="200"/>
    </row>
    <row r="336" spans="2:5">
      <c r="B336" s="133"/>
      <c r="C336" s="287"/>
      <c r="D336" s="200"/>
      <c r="E336" s="200"/>
    </row>
    <row r="337" spans="2:5">
      <c r="B337" s="133"/>
      <c r="C337" s="287"/>
      <c r="D337" s="200"/>
      <c r="E337" s="200"/>
    </row>
    <row r="338" spans="2:5">
      <c r="B338" s="133"/>
      <c r="C338" s="287"/>
      <c r="D338" s="200"/>
      <c r="E338" s="200"/>
    </row>
    <row r="339" spans="2:5">
      <c r="B339" s="133"/>
      <c r="C339" s="287"/>
      <c r="D339" s="200"/>
      <c r="E339" s="200"/>
    </row>
    <row r="340" spans="2:5">
      <c r="B340" s="133"/>
      <c r="C340" s="287"/>
      <c r="D340" s="200"/>
      <c r="E340" s="200"/>
    </row>
    <row r="341" spans="2:5">
      <c r="B341" s="133"/>
      <c r="C341" s="287"/>
      <c r="D341" s="200"/>
      <c r="E341" s="200"/>
    </row>
    <row r="342" spans="2:5">
      <c r="B342" s="133"/>
      <c r="C342" s="287"/>
      <c r="D342" s="200"/>
      <c r="E342" s="200"/>
    </row>
    <row r="343" spans="2:5">
      <c r="B343" s="133"/>
      <c r="C343" s="287"/>
      <c r="D343" s="200"/>
      <c r="E343" s="200"/>
    </row>
    <row r="344" spans="2:5">
      <c r="B344" s="133"/>
      <c r="C344" s="287"/>
      <c r="D344" s="200"/>
      <c r="E344" s="200"/>
    </row>
    <row r="345" spans="2:5">
      <c r="B345" s="133"/>
      <c r="C345" s="287"/>
      <c r="D345" s="200"/>
      <c r="E345" s="200"/>
    </row>
    <row r="346" spans="2:5">
      <c r="B346" s="133"/>
      <c r="C346" s="287"/>
      <c r="D346" s="200"/>
      <c r="E346" s="200"/>
    </row>
    <row r="347" spans="2:5">
      <c r="B347" s="133"/>
      <c r="C347" s="287"/>
      <c r="D347" s="200"/>
      <c r="E347" s="200"/>
    </row>
    <row r="348" spans="2:5">
      <c r="B348" s="133"/>
      <c r="C348" s="287"/>
      <c r="D348" s="200"/>
      <c r="E348" s="200"/>
    </row>
    <row r="349" spans="2:5">
      <c r="B349" s="133"/>
      <c r="C349" s="287"/>
      <c r="D349" s="200"/>
      <c r="E349" s="200"/>
    </row>
    <row r="350" spans="2:5">
      <c r="B350" s="133"/>
      <c r="C350" s="287"/>
      <c r="D350" s="200"/>
      <c r="E350" s="200"/>
    </row>
    <row r="351" spans="2:5">
      <c r="B351" s="133"/>
      <c r="C351" s="287"/>
      <c r="D351" s="200"/>
      <c r="E351" s="200"/>
    </row>
    <row r="352" spans="2:5">
      <c r="B352" s="133"/>
      <c r="C352" s="287"/>
      <c r="D352" s="200"/>
      <c r="E352" s="200"/>
    </row>
    <row r="353" spans="2:5">
      <c r="B353" s="133"/>
      <c r="C353" s="287"/>
      <c r="D353" s="200"/>
      <c r="E353" s="200"/>
    </row>
    <row r="354" spans="2:5">
      <c r="B354" s="133"/>
      <c r="C354" s="287"/>
      <c r="D354" s="200"/>
      <c r="E354" s="200"/>
    </row>
    <row r="355" spans="2:5">
      <c r="B355" s="133"/>
      <c r="C355" s="287"/>
      <c r="D355" s="200"/>
      <c r="E355" s="200"/>
    </row>
    <row r="356" spans="2:5">
      <c r="B356" s="133"/>
      <c r="C356" s="287"/>
      <c r="D356" s="200"/>
      <c r="E356" s="200"/>
    </row>
    <row r="357" spans="2:5">
      <c r="B357" s="133"/>
      <c r="C357" s="287"/>
      <c r="D357" s="200"/>
      <c r="E357" s="200"/>
    </row>
    <row r="358" spans="2:5">
      <c r="B358" s="133"/>
      <c r="C358" s="287"/>
      <c r="D358" s="200"/>
      <c r="E358" s="200"/>
    </row>
    <row r="359" spans="2:5">
      <c r="B359" s="133"/>
      <c r="C359" s="287"/>
      <c r="D359" s="200"/>
      <c r="E359" s="200"/>
    </row>
    <row r="360" spans="2:5">
      <c r="B360" s="133"/>
      <c r="C360" s="287"/>
      <c r="D360" s="200"/>
      <c r="E360" s="200"/>
    </row>
    <row r="361" spans="2:5">
      <c r="B361" s="133"/>
      <c r="C361" s="287"/>
      <c r="D361" s="200"/>
      <c r="E361" s="200"/>
    </row>
    <row r="362" spans="2:5">
      <c r="B362" s="133"/>
      <c r="C362" s="287"/>
      <c r="D362" s="200"/>
      <c r="E362" s="200"/>
    </row>
    <row r="363" spans="2:5">
      <c r="B363" s="133"/>
      <c r="C363" s="287"/>
      <c r="D363" s="200"/>
      <c r="E363" s="200"/>
    </row>
    <row r="364" spans="2:5">
      <c r="B364" s="133"/>
      <c r="C364" s="287"/>
      <c r="D364" s="200"/>
      <c r="E364" s="200"/>
    </row>
    <row r="365" spans="2:5">
      <c r="B365" s="133"/>
      <c r="C365" s="287"/>
      <c r="D365" s="200"/>
      <c r="E365" s="200"/>
    </row>
    <row r="366" spans="2:5">
      <c r="B366" s="133"/>
      <c r="C366" s="287"/>
      <c r="D366" s="200"/>
      <c r="E366" s="200"/>
    </row>
    <row r="367" spans="2:5">
      <c r="B367" s="133"/>
      <c r="C367" s="287"/>
      <c r="D367" s="200"/>
      <c r="E367" s="200"/>
    </row>
    <row r="368" spans="2:5">
      <c r="B368" s="133"/>
      <c r="C368" s="287"/>
      <c r="D368" s="200"/>
      <c r="E368" s="200"/>
    </row>
    <row r="369" spans="2:5">
      <c r="B369" s="133"/>
      <c r="C369" s="287"/>
      <c r="D369" s="200"/>
      <c r="E369" s="200"/>
    </row>
    <row r="370" spans="2:5">
      <c r="B370" s="133"/>
      <c r="C370" s="287"/>
      <c r="D370" s="200"/>
      <c r="E370" s="200"/>
    </row>
    <row r="371" spans="2:5">
      <c r="B371" s="133"/>
      <c r="C371" s="287"/>
      <c r="D371" s="200"/>
      <c r="E371" s="200"/>
    </row>
    <row r="372" spans="2:5">
      <c r="B372" s="133"/>
      <c r="C372" s="287"/>
      <c r="D372" s="200"/>
      <c r="E372" s="200"/>
    </row>
    <row r="373" spans="2:5">
      <c r="B373" s="133"/>
      <c r="C373" s="287"/>
      <c r="D373" s="200"/>
      <c r="E373" s="200"/>
    </row>
    <row r="374" spans="2:5">
      <c r="B374" s="133"/>
      <c r="C374" s="287"/>
      <c r="D374" s="200"/>
      <c r="E374" s="200"/>
    </row>
    <row r="375" spans="2:5">
      <c r="B375" s="133"/>
      <c r="C375" s="287"/>
      <c r="D375" s="200"/>
      <c r="E375" s="200"/>
    </row>
    <row r="376" spans="2:5">
      <c r="B376" s="133"/>
      <c r="C376" s="287"/>
      <c r="D376" s="200"/>
      <c r="E376" s="200"/>
    </row>
    <row r="377" spans="2:5">
      <c r="B377" s="133"/>
      <c r="C377" s="287"/>
      <c r="D377" s="200"/>
      <c r="E377" s="200"/>
    </row>
    <row r="378" spans="2:5">
      <c r="B378" s="133"/>
      <c r="C378" s="287"/>
      <c r="D378" s="200"/>
      <c r="E378" s="200"/>
    </row>
    <row r="379" spans="2:5">
      <c r="B379" s="133"/>
      <c r="C379" s="287"/>
      <c r="D379" s="200"/>
      <c r="E379" s="200"/>
    </row>
    <row r="380" spans="2:5">
      <c r="B380" s="133"/>
      <c r="C380" s="287"/>
      <c r="D380" s="200"/>
      <c r="E380" s="200"/>
    </row>
    <row r="381" spans="2:5">
      <c r="B381" s="133"/>
      <c r="C381" s="287"/>
      <c r="D381" s="200"/>
      <c r="E381" s="200"/>
    </row>
    <row r="382" spans="2:5">
      <c r="B382" s="133"/>
      <c r="C382" s="287"/>
      <c r="D382" s="200"/>
      <c r="E382" s="200"/>
    </row>
    <row r="383" spans="2:5">
      <c r="B383" s="133"/>
      <c r="C383" s="287"/>
      <c r="D383" s="200"/>
      <c r="E383" s="200"/>
    </row>
    <row r="384" spans="2:5">
      <c r="B384" s="133"/>
      <c r="C384" s="287"/>
      <c r="D384" s="200"/>
      <c r="E384" s="200"/>
    </row>
    <row r="385" spans="2:5">
      <c r="B385" s="133"/>
      <c r="C385" s="287"/>
      <c r="D385" s="200"/>
      <c r="E385" s="200"/>
    </row>
    <row r="386" spans="2:5">
      <c r="B386" s="133"/>
      <c r="C386" s="287"/>
      <c r="D386" s="200"/>
      <c r="E386" s="200"/>
    </row>
    <row r="387" spans="2:5">
      <c r="B387" s="133"/>
      <c r="C387" s="287"/>
      <c r="D387" s="200"/>
      <c r="E387" s="200"/>
    </row>
    <row r="388" spans="2:5">
      <c r="B388" s="133"/>
      <c r="C388" s="287"/>
      <c r="D388" s="200"/>
      <c r="E388" s="200"/>
    </row>
    <row r="389" spans="2:5">
      <c r="B389" s="133"/>
      <c r="C389" s="287"/>
      <c r="D389" s="200"/>
      <c r="E389" s="200"/>
    </row>
    <row r="390" spans="2:5">
      <c r="B390" s="133"/>
      <c r="C390" s="287"/>
      <c r="D390" s="200"/>
      <c r="E390" s="200"/>
    </row>
    <row r="391" spans="2:5">
      <c r="B391" s="133"/>
      <c r="C391" s="287"/>
      <c r="D391" s="200"/>
      <c r="E391" s="200"/>
    </row>
    <row r="392" spans="2:5">
      <c r="B392" s="133"/>
      <c r="C392" s="287"/>
      <c r="D392" s="200"/>
      <c r="E392" s="200"/>
    </row>
    <row r="393" spans="2:5">
      <c r="B393" s="133"/>
      <c r="C393" s="287"/>
      <c r="D393" s="200"/>
      <c r="E393" s="200"/>
    </row>
    <row r="394" spans="2:5">
      <c r="B394" s="133"/>
      <c r="C394" s="287"/>
      <c r="D394" s="200"/>
      <c r="E394" s="200"/>
    </row>
    <row r="395" spans="2:5">
      <c r="B395" s="133"/>
      <c r="C395" s="287"/>
      <c r="D395" s="200"/>
      <c r="E395" s="200"/>
    </row>
    <row r="396" spans="2:5">
      <c r="B396" s="133"/>
      <c r="C396" s="287"/>
      <c r="D396" s="200"/>
      <c r="E396" s="200"/>
    </row>
    <row r="397" spans="2:5">
      <c r="B397" s="133"/>
      <c r="C397" s="287"/>
      <c r="D397" s="200"/>
      <c r="E397" s="200"/>
    </row>
    <row r="398" spans="2:5">
      <c r="B398" s="133"/>
      <c r="C398" s="287"/>
      <c r="D398" s="200"/>
      <c r="E398" s="200"/>
    </row>
    <row r="399" spans="2:5">
      <c r="B399" s="133"/>
      <c r="C399" s="287"/>
      <c r="D399" s="200"/>
      <c r="E399" s="200"/>
    </row>
    <row r="400" spans="2:5">
      <c r="B400" s="133"/>
      <c r="C400" s="287"/>
      <c r="D400" s="200"/>
      <c r="E400" s="200"/>
    </row>
    <row r="401" spans="2:5">
      <c r="B401" s="133"/>
      <c r="C401" s="287"/>
      <c r="D401" s="200"/>
      <c r="E401" s="200"/>
    </row>
    <row r="402" spans="2:5">
      <c r="B402" s="133"/>
      <c r="C402" s="287"/>
      <c r="D402" s="200"/>
      <c r="E402" s="200"/>
    </row>
    <row r="403" spans="2:5">
      <c r="B403" s="133"/>
      <c r="C403" s="287"/>
      <c r="D403" s="200"/>
      <c r="E403" s="200"/>
    </row>
    <row r="404" spans="2:5">
      <c r="B404" s="133"/>
      <c r="C404" s="287"/>
      <c r="D404" s="200"/>
      <c r="E404" s="200"/>
    </row>
    <row r="405" spans="2:5">
      <c r="B405" s="133"/>
      <c r="C405" s="287"/>
      <c r="D405" s="200"/>
      <c r="E405" s="200"/>
    </row>
    <row r="406" spans="2:5">
      <c r="B406" s="133"/>
      <c r="C406" s="287"/>
      <c r="D406" s="200"/>
      <c r="E406" s="200"/>
    </row>
    <row r="407" spans="2:5">
      <c r="B407" s="133"/>
      <c r="C407" s="287"/>
      <c r="D407" s="200"/>
      <c r="E407" s="200"/>
    </row>
    <row r="408" spans="2:5">
      <c r="B408" s="133"/>
      <c r="C408" s="287"/>
      <c r="D408" s="200"/>
      <c r="E408" s="200"/>
    </row>
    <row r="409" spans="2:5">
      <c r="B409" s="133"/>
      <c r="C409" s="287"/>
      <c r="D409" s="200"/>
      <c r="E409" s="200"/>
    </row>
    <row r="410" spans="2:5">
      <c r="B410" s="133"/>
      <c r="C410" s="287"/>
      <c r="D410" s="200"/>
      <c r="E410" s="200"/>
    </row>
    <row r="411" spans="2:5">
      <c r="B411" s="133"/>
      <c r="C411" s="287"/>
      <c r="D411" s="200"/>
      <c r="E411" s="200"/>
    </row>
    <row r="412" spans="2:5">
      <c r="B412" s="133"/>
      <c r="C412" s="287"/>
      <c r="D412" s="200"/>
      <c r="E412" s="200"/>
    </row>
    <row r="413" spans="2:5">
      <c r="B413" s="133"/>
      <c r="C413" s="287"/>
      <c r="D413" s="200"/>
      <c r="E413" s="200"/>
    </row>
    <row r="414" spans="2:5">
      <c r="B414" s="133"/>
      <c r="C414" s="287"/>
      <c r="D414" s="200"/>
      <c r="E414" s="200"/>
    </row>
    <row r="415" spans="2:5">
      <c r="B415" s="133"/>
      <c r="C415" s="287"/>
      <c r="D415" s="200"/>
      <c r="E415" s="200"/>
    </row>
    <row r="416" spans="2:5">
      <c r="B416" s="133"/>
      <c r="C416" s="287"/>
      <c r="D416" s="200"/>
      <c r="E416" s="200"/>
    </row>
    <row r="417" spans="2:5">
      <c r="B417" s="133"/>
      <c r="C417" s="287"/>
      <c r="D417" s="200"/>
      <c r="E417" s="200"/>
    </row>
    <row r="418" spans="2:5">
      <c r="B418" s="133"/>
      <c r="C418" s="287"/>
      <c r="D418" s="200"/>
      <c r="E418" s="200"/>
    </row>
    <row r="419" spans="2:5">
      <c r="B419" s="133"/>
      <c r="C419" s="287"/>
      <c r="D419" s="200"/>
      <c r="E419" s="200"/>
    </row>
    <row r="420" spans="2:5">
      <c r="B420" s="133"/>
      <c r="C420" s="287"/>
      <c r="D420" s="200"/>
      <c r="E420" s="200"/>
    </row>
    <row r="421" spans="2:5">
      <c r="B421" s="133"/>
      <c r="C421" s="287"/>
      <c r="D421" s="200"/>
      <c r="E421" s="200"/>
    </row>
    <row r="422" spans="2:5">
      <c r="B422" s="133"/>
      <c r="C422" s="287"/>
      <c r="D422" s="200"/>
      <c r="E422" s="200"/>
    </row>
    <row r="423" spans="2:5">
      <c r="B423" s="133"/>
      <c r="C423" s="287"/>
      <c r="D423" s="200"/>
      <c r="E423" s="200"/>
    </row>
    <row r="424" spans="2:5">
      <c r="B424" s="133"/>
      <c r="C424" s="287"/>
      <c r="D424" s="200"/>
      <c r="E424" s="200"/>
    </row>
    <row r="425" spans="2:5">
      <c r="B425" s="133"/>
      <c r="C425" s="287"/>
      <c r="D425" s="200"/>
      <c r="E425" s="200"/>
    </row>
    <row r="426" spans="2:5">
      <c r="B426" s="133"/>
      <c r="C426" s="287"/>
      <c r="D426" s="200"/>
      <c r="E426" s="200"/>
    </row>
    <row r="427" spans="2:5">
      <c r="B427" s="133"/>
      <c r="C427" s="287"/>
      <c r="D427" s="200"/>
      <c r="E427" s="200"/>
    </row>
    <row r="428" spans="2:5">
      <c r="B428" s="133"/>
      <c r="C428" s="287"/>
      <c r="D428" s="200"/>
      <c r="E428" s="200"/>
    </row>
    <row r="429" spans="2:5">
      <c r="B429" s="133"/>
      <c r="C429" s="287"/>
      <c r="D429" s="200"/>
      <c r="E429" s="200"/>
    </row>
    <row r="430" spans="2:5">
      <c r="B430" s="133"/>
      <c r="C430" s="287"/>
      <c r="D430" s="200"/>
      <c r="E430" s="200"/>
    </row>
    <row r="431" spans="2:5">
      <c r="B431" s="133"/>
      <c r="C431" s="287"/>
      <c r="D431" s="200"/>
      <c r="E431" s="200"/>
    </row>
    <row r="432" spans="2:5">
      <c r="B432" s="133"/>
      <c r="C432" s="287"/>
      <c r="D432" s="200"/>
      <c r="E432" s="200"/>
    </row>
    <row r="433" spans="2:5">
      <c r="B433" s="133"/>
      <c r="C433" s="287"/>
      <c r="D433" s="200"/>
      <c r="E433" s="200"/>
    </row>
    <row r="434" spans="2:5">
      <c r="B434" s="133"/>
      <c r="C434" s="287"/>
      <c r="D434" s="200"/>
      <c r="E434" s="200"/>
    </row>
    <row r="435" spans="2:5">
      <c r="B435" s="133"/>
      <c r="C435" s="287"/>
      <c r="D435" s="200"/>
      <c r="E435" s="200"/>
    </row>
    <row r="436" spans="2:5">
      <c r="B436" s="133"/>
      <c r="C436" s="287"/>
      <c r="D436" s="200"/>
      <c r="E436" s="200"/>
    </row>
    <row r="437" spans="2:5">
      <c r="B437" s="133"/>
      <c r="C437" s="287"/>
      <c r="D437" s="200"/>
      <c r="E437" s="200"/>
    </row>
    <row r="438" spans="2:5">
      <c r="B438" s="133"/>
      <c r="C438" s="287"/>
      <c r="D438" s="200"/>
      <c r="E438" s="200"/>
    </row>
    <row r="439" spans="2:5">
      <c r="B439" s="133"/>
      <c r="C439" s="287"/>
      <c r="D439" s="200"/>
      <c r="E439" s="200"/>
    </row>
    <row r="440" spans="2:5">
      <c r="B440" s="133"/>
      <c r="C440" s="287"/>
      <c r="D440" s="200"/>
      <c r="E440" s="200"/>
    </row>
    <row r="441" spans="2:5">
      <c r="B441" s="133"/>
      <c r="C441" s="287"/>
      <c r="D441" s="200"/>
      <c r="E441" s="200"/>
    </row>
    <row r="442" spans="2:5">
      <c r="B442" s="133"/>
      <c r="C442" s="287"/>
      <c r="D442" s="200"/>
      <c r="E442" s="200"/>
    </row>
    <row r="443" spans="2:5">
      <c r="B443" s="133"/>
      <c r="C443" s="287"/>
      <c r="D443" s="200"/>
      <c r="E443" s="200"/>
    </row>
    <row r="444" spans="2:5">
      <c r="B444" s="133"/>
      <c r="C444" s="287"/>
      <c r="D444" s="200"/>
      <c r="E444" s="200"/>
    </row>
    <row r="445" spans="2:5">
      <c r="B445" s="133"/>
      <c r="C445" s="287"/>
      <c r="D445" s="200"/>
      <c r="E445" s="200"/>
    </row>
    <row r="446" spans="2:5">
      <c r="B446" s="133"/>
      <c r="C446" s="287"/>
      <c r="D446" s="200"/>
      <c r="E446" s="200"/>
    </row>
    <row r="447" spans="2:5">
      <c r="B447" s="133"/>
      <c r="C447" s="287"/>
      <c r="D447" s="200"/>
      <c r="E447" s="200"/>
    </row>
    <row r="448" spans="2:5">
      <c r="B448" s="133"/>
      <c r="C448" s="287"/>
      <c r="D448" s="200"/>
      <c r="E448" s="200"/>
    </row>
    <row r="449" spans="2:5">
      <c r="B449" s="133"/>
      <c r="C449" s="287"/>
      <c r="D449" s="200"/>
      <c r="E449" s="200"/>
    </row>
    <row r="450" spans="2:5">
      <c r="B450" s="133"/>
      <c r="C450" s="287"/>
      <c r="D450" s="200"/>
      <c r="E450" s="200"/>
    </row>
    <row r="451" spans="2:5">
      <c r="B451" s="133"/>
      <c r="C451" s="287"/>
      <c r="D451" s="200"/>
      <c r="E451" s="200"/>
    </row>
    <row r="452" spans="2:5">
      <c r="B452" s="133"/>
      <c r="C452" s="287"/>
      <c r="D452" s="200"/>
      <c r="E452" s="200"/>
    </row>
    <row r="453" spans="2:5">
      <c r="B453" s="133"/>
      <c r="C453" s="287"/>
      <c r="D453" s="200"/>
      <c r="E453" s="200"/>
    </row>
    <row r="454" spans="2:5">
      <c r="B454" s="133"/>
      <c r="C454" s="287"/>
      <c r="D454" s="200"/>
      <c r="E454" s="200"/>
    </row>
    <row r="455" spans="2:5">
      <c r="B455" s="133"/>
      <c r="C455" s="287"/>
      <c r="D455" s="200"/>
      <c r="E455" s="200"/>
    </row>
    <row r="456" spans="2:5">
      <c r="B456" s="133"/>
      <c r="C456" s="287"/>
      <c r="D456" s="200"/>
      <c r="E456" s="200"/>
    </row>
    <row r="457" spans="2:5">
      <c r="B457" s="133"/>
      <c r="C457" s="287"/>
      <c r="D457" s="200"/>
      <c r="E457" s="200"/>
    </row>
    <row r="458" spans="2:5">
      <c r="B458" s="133"/>
      <c r="C458" s="287"/>
      <c r="D458" s="200"/>
      <c r="E458" s="200"/>
    </row>
    <row r="459" spans="2:5">
      <c r="B459" s="133"/>
      <c r="C459" s="287"/>
      <c r="D459" s="200"/>
      <c r="E459" s="200"/>
    </row>
    <row r="460" spans="2:5">
      <c r="B460" s="133"/>
      <c r="C460" s="287"/>
      <c r="D460" s="200"/>
      <c r="E460" s="200"/>
    </row>
    <row r="461" spans="2:5">
      <c r="B461" s="133"/>
      <c r="C461" s="287"/>
      <c r="D461" s="200"/>
      <c r="E461" s="200"/>
    </row>
    <row r="462" spans="2:5">
      <c r="B462" s="133"/>
      <c r="C462" s="287"/>
      <c r="D462" s="200"/>
      <c r="E462" s="200"/>
    </row>
    <row r="463" spans="2:5">
      <c r="B463" s="133"/>
      <c r="C463" s="287"/>
      <c r="D463" s="200"/>
      <c r="E463" s="200"/>
    </row>
    <row r="464" spans="2:5">
      <c r="B464" s="133"/>
      <c r="C464" s="287"/>
      <c r="D464" s="200"/>
      <c r="E464" s="200"/>
    </row>
    <row r="465" spans="2:5">
      <c r="B465" s="133"/>
      <c r="C465" s="287"/>
      <c r="D465" s="200"/>
      <c r="E465" s="200"/>
    </row>
    <row r="466" spans="2:5">
      <c r="B466" s="133"/>
      <c r="C466" s="287"/>
      <c r="D466" s="200"/>
      <c r="E466" s="200"/>
    </row>
    <row r="467" spans="2:5">
      <c r="B467" s="133"/>
      <c r="C467" s="287"/>
      <c r="D467" s="200"/>
      <c r="E467" s="200"/>
    </row>
    <row r="468" spans="2:5">
      <c r="B468" s="133"/>
      <c r="C468" s="287"/>
      <c r="D468" s="200"/>
      <c r="E468" s="200"/>
    </row>
    <row r="469" spans="2:5">
      <c r="B469" s="133"/>
      <c r="C469" s="287"/>
      <c r="D469" s="200"/>
      <c r="E469" s="200"/>
    </row>
    <row r="470" spans="2:5">
      <c r="B470" s="133"/>
      <c r="C470" s="287"/>
      <c r="D470" s="200"/>
      <c r="E470" s="200"/>
    </row>
    <row r="471" spans="2:5">
      <c r="B471" s="133"/>
      <c r="C471" s="287"/>
      <c r="D471" s="200"/>
      <c r="E471" s="200"/>
    </row>
    <row r="472" spans="2:5">
      <c r="B472" s="133"/>
      <c r="C472" s="287"/>
      <c r="D472" s="200"/>
      <c r="E472" s="200"/>
    </row>
    <row r="473" spans="2:5">
      <c r="B473" s="133"/>
      <c r="C473" s="287"/>
      <c r="D473" s="200"/>
      <c r="E473" s="200"/>
    </row>
    <row r="474" spans="2:5">
      <c r="B474" s="133"/>
      <c r="C474" s="287"/>
      <c r="D474" s="200"/>
      <c r="E474" s="200"/>
    </row>
    <row r="475" spans="2:5">
      <c r="B475" s="133"/>
      <c r="C475" s="287"/>
      <c r="D475" s="200"/>
      <c r="E475" s="200"/>
    </row>
    <row r="476" spans="2:5">
      <c r="B476" s="133"/>
      <c r="C476" s="287"/>
      <c r="D476" s="200"/>
      <c r="E476" s="200"/>
    </row>
    <row r="477" spans="2:5">
      <c r="B477" s="133"/>
      <c r="C477" s="287"/>
      <c r="D477" s="200"/>
      <c r="E477" s="200"/>
    </row>
    <row r="478" spans="2:5">
      <c r="B478" s="133"/>
      <c r="C478" s="287"/>
      <c r="D478" s="200"/>
      <c r="E478" s="200"/>
    </row>
    <row r="479" spans="2:5">
      <c r="B479" s="133"/>
      <c r="C479" s="287"/>
      <c r="D479" s="200"/>
      <c r="E479" s="200"/>
    </row>
    <row r="480" spans="2:5">
      <c r="B480" s="133"/>
      <c r="C480" s="287"/>
      <c r="D480" s="200"/>
      <c r="E480" s="200"/>
    </row>
    <row r="481" spans="2:5">
      <c r="B481" s="133"/>
      <c r="C481" s="287"/>
      <c r="D481" s="200"/>
      <c r="E481" s="200"/>
    </row>
    <row r="482" spans="2:5">
      <c r="B482" s="133"/>
      <c r="C482" s="287"/>
      <c r="D482" s="200"/>
      <c r="E482" s="200"/>
    </row>
    <row r="483" spans="2:5">
      <c r="B483" s="133"/>
      <c r="C483" s="287"/>
      <c r="D483" s="200"/>
      <c r="E483" s="200"/>
    </row>
    <row r="484" spans="2:5">
      <c r="B484" s="133"/>
      <c r="C484" s="287"/>
      <c r="D484" s="200"/>
      <c r="E484" s="200"/>
    </row>
    <row r="485" spans="2:5">
      <c r="B485" s="133"/>
      <c r="C485" s="287"/>
      <c r="D485" s="200"/>
      <c r="E485" s="200"/>
    </row>
    <row r="486" spans="2:5">
      <c r="B486" s="133"/>
      <c r="C486" s="287"/>
      <c r="D486" s="200"/>
      <c r="E486" s="200"/>
    </row>
    <row r="487" spans="2:5">
      <c r="B487" s="133"/>
      <c r="C487" s="287"/>
      <c r="D487" s="200"/>
      <c r="E487" s="200"/>
    </row>
    <row r="488" spans="2:5">
      <c r="B488" s="133"/>
      <c r="C488" s="287"/>
      <c r="D488" s="200"/>
      <c r="E488" s="200"/>
    </row>
    <row r="489" spans="2:5">
      <c r="B489" s="133"/>
      <c r="C489" s="287"/>
      <c r="D489" s="200"/>
      <c r="E489" s="200"/>
    </row>
    <row r="490" spans="2:5">
      <c r="B490" s="133"/>
      <c r="C490" s="287"/>
      <c r="D490" s="200"/>
      <c r="E490" s="200"/>
    </row>
    <row r="491" spans="2:5">
      <c r="B491" s="133"/>
      <c r="C491" s="287"/>
      <c r="D491" s="200"/>
      <c r="E491" s="200"/>
    </row>
    <row r="492" spans="2:5">
      <c r="B492" s="133"/>
      <c r="C492" s="287"/>
      <c r="D492" s="200"/>
      <c r="E492" s="200"/>
    </row>
    <row r="493" spans="2:5">
      <c r="B493" s="133"/>
      <c r="C493" s="287"/>
      <c r="D493" s="200"/>
      <c r="E493" s="200"/>
    </row>
    <row r="494" spans="2:5">
      <c r="B494" s="133"/>
      <c r="C494" s="287"/>
      <c r="D494" s="200"/>
      <c r="E494" s="200"/>
    </row>
    <row r="495" spans="2:5">
      <c r="B495" s="133"/>
      <c r="C495" s="287"/>
      <c r="D495" s="200"/>
      <c r="E495" s="200"/>
    </row>
    <row r="496" spans="2:5">
      <c r="B496" s="133"/>
      <c r="C496" s="287"/>
      <c r="D496" s="200"/>
      <c r="E496" s="200"/>
    </row>
    <row r="497" spans="2:5">
      <c r="B497" s="133"/>
      <c r="C497" s="287"/>
      <c r="D497" s="200"/>
      <c r="E497" s="200"/>
    </row>
    <row r="498" spans="2:5">
      <c r="B498" s="133"/>
      <c r="C498" s="287"/>
      <c r="D498" s="200"/>
      <c r="E498" s="200"/>
    </row>
    <row r="499" spans="2:5">
      <c r="B499" s="133"/>
      <c r="C499" s="287"/>
      <c r="D499" s="200"/>
      <c r="E499" s="200"/>
    </row>
    <row r="500" spans="2:5">
      <c r="B500" s="133"/>
      <c r="C500" s="287"/>
      <c r="D500" s="200"/>
      <c r="E500" s="200"/>
    </row>
    <row r="501" spans="2:5">
      <c r="B501" s="133"/>
      <c r="C501" s="287"/>
      <c r="D501" s="200"/>
      <c r="E501" s="200"/>
    </row>
    <row r="502" spans="2:5">
      <c r="B502" s="133"/>
      <c r="C502" s="287"/>
      <c r="D502" s="200"/>
      <c r="E502" s="200"/>
    </row>
    <row r="503" spans="2:5">
      <c r="B503" s="133"/>
      <c r="C503" s="287"/>
      <c r="D503" s="200"/>
      <c r="E503" s="200"/>
    </row>
    <row r="504" spans="2:5">
      <c r="B504" s="133"/>
      <c r="C504" s="287"/>
      <c r="D504" s="200"/>
      <c r="E504" s="200"/>
    </row>
    <row r="505" spans="2:5">
      <c r="B505" s="133"/>
      <c r="C505" s="287"/>
      <c r="D505" s="200"/>
      <c r="E505" s="200"/>
    </row>
    <row r="506" spans="2:5">
      <c r="B506" s="133"/>
      <c r="C506" s="287"/>
      <c r="D506" s="200"/>
      <c r="E506" s="200"/>
    </row>
    <row r="507" spans="2:5">
      <c r="B507" s="133"/>
      <c r="C507" s="287"/>
      <c r="D507" s="200"/>
      <c r="E507" s="200"/>
    </row>
    <row r="508" spans="2:5">
      <c r="B508" s="133"/>
      <c r="C508" s="287"/>
      <c r="D508" s="200"/>
      <c r="E508" s="200"/>
    </row>
    <row r="509" spans="2:5">
      <c r="B509" s="133"/>
      <c r="C509" s="287"/>
      <c r="D509" s="200"/>
      <c r="E509" s="200"/>
    </row>
    <row r="510" spans="2:5">
      <c r="B510" s="133"/>
      <c r="C510" s="287"/>
      <c r="D510" s="200"/>
      <c r="E510" s="20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07"/>
  <sheetViews>
    <sheetView topLeftCell="A94" workbookViewId="0">
      <selection activeCell="J3" sqref="J3:J156"/>
    </sheetView>
  </sheetViews>
  <sheetFormatPr defaultRowHeight="14.5"/>
  <cols>
    <col min="2" max="2" width="23.26953125" customWidth="1"/>
    <col min="3" max="4" width="12.54296875" customWidth="1"/>
    <col min="5" max="5" width="12.54296875" style="124" customWidth="1"/>
    <col min="6" max="6" width="12.54296875" customWidth="1"/>
    <col min="9" max="9" width="12.54296875" customWidth="1"/>
    <col min="10" max="10" width="11.26953125" customWidth="1"/>
  </cols>
  <sheetData>
    <row r="2" spans="2:10" ht="43.5">
      <c r="B2" s="285" t="s">
        <v>1185</v>
      </c>
      <c r="C2" s="286" t="s">
        <v>1345</v>
      </c>
      <c r="D2" s="286" t="s">
        <v>1378</v>
      </c>
      <c r="E2" s="288" t="s">
        <v>1377</v>
      </c>
      <c r="F2" s="286"/>
      <c r="I2" s="286" t="s">
        <v>1341</v>
      </c>
      <c r="J2" s="286" t="s">
        <v>1379</v>
      </c>
    </row>
    <row r="3" spans="2:10">
      <c r="B3" s="133" t="str">
        <f>'Idaho Data'!B53</f>
        <v>Prairie Elementary</v>
      </c>
      <c r="C3" s="287">
        <f>'Idaho Data'!SV53</f>
        <v>0</v>
      </c>
      <c r="D3" s="200">
        <f>'Idaho Data'!XV53</f>
        <v>21950.166666666668</v>
      </c>
      <c r="E3" s="124">
        <f>'Idaho Data'!ST53</f>
        <v>6</v>
      </c>
      <c r="F3" s="200"/>
      <c r="I3" s="200">
        <f>'Idaho Data'!SE53</f>
        <v>1798935.5</v>
      </c>
      <c r="J3" s="200">
        <f>'Idaho Data'!XQ53</f>
        <v>5526</v>
      </c>
    </row>
    <row r="4" spans="2:10">
      <c r="B4" s="133" t="str">
        <f>'Idaho Data'!B98</f>
        <v>Pleasant Valley Elementary</v>
      </c>
      <c r="C4" s="287">
        <f>'Idaho Data'!SV98</f>
        <v>0</v>
      </c>
      <c r="D4" s="200">
        <f>'Idaho Data'!XV98</f>
        <v>20733.363636363636</v>
      </c>
      <c r="E4" s="124">
        <f>'Idaho Data'!ST98</f>
        <v>11</v>
      </c>
      <c r="F4" s="200"/>
      <c r="I4" s="200">
        <f>'Idaho Data'!SE98</f>
        <v>1680812.7272727273</v>
      </c>
      <c r="J4" s="200">
        <f>'Idaho Data'!XQ98</f>
        <v>5777.181818181818</v>
      </c>
    </row>
    <row r="5" spans="2:10">
      <c r="B5" s="133" t="str">
        <f>'Idaho Data'!B117</f>
        <v>Three Creek Joint Elementary</v>
      </c>
      <c r="C5" s="287">
        <f>'Idaho Data'!SV117</f>
        <v>0</v>
      </c>
      <c r="D5" s="200">
        <f>'Idaho Data'!XV117</f>
        <v>15420</v>
      </c>
      <c r="E5" s="124">
        <f>'Idaho Data'!ST117</f>
        <v>9</v>
      </c>
      <c r="F5" s="200"/>
      <c r="I5" s="200">
        <f>'Idaho Data'!SE117</f>
        <v>2157215.6666666665</v>
      </c>
      <c r="J5" s="200">
        <f>'Idaho Data'!XQ117</f>
        <v>6140</v>
      </c>
    </row>
    <row r="6" spans="2:10">
      <c r="B6" s="133" t="str">
        <f>'Idaho Data'!B110</f>
        <v>Avery</v>
      </c>
      <c r="C6" s="287">
        <f>'Idaho Data'!SV110</f>
        <v>0</v>
      </c>
      <c r="D6" s="200">
        <f>'Idaho Data'!XV110</f>
        <v>57907.4</v>
      </c>
      <c r="E6" s="124">
        <f>'Idaho Data'!ST110</f>
        <v>5</v>
      </c>
      <c r="F6" s="200"/>
      <c r="I6" s="200">
        <f>'Idaho Data'!SE110</f>
        <v>23547814.600000001</v>
      </c>
      <c r="J6" s="200">
        <f>'Idaho Data'!XQ110</f>
        <v>6078.6</v>
      </c>
    </row>
    <row r="7" spans="2:10">
      <c r="B7" s="133" t="str">
        <f>'Idaho Data'!B106</f>
        <v>Arbon Elementary</v>
      </c>
      <c r="C7" s="287">
        <f>'Idaho Data'!SV106</f>
        <v>0</v>
      </c>
      <c r="D7" s="200">
        <f>'Idaho Data'!XV106</f>
        <v>15469.722222222223</v>
      </c>
      <c r="E7" s="124">
        <f>'Idaho Data'!ST106</f>
        <v>18</v>
      </c>
      <c r="F7" s="200"/>
      <c r="I7" s="200">
        <f>'Idaho Data'!SE106</f>
        <v>1395446.888888889</v>
      </c>
      <c r="J7" s="200">
        <f>'Idaho Data'!XQ106</f>
        <v>5526</v>
      </c>
    </row>
    <row r="8" spans="2:10">
      <c r="B8" s="133" t="str">
        <f>'Idaho Data'!B150</f>
        <v>Heritage Academy</v>
      </c>
      <c r="C8" s="287">
        <f>'Idaho Data'!SV150</f>
        <v>0.9101123595505618</v>
      </c>
      <c r="D8" s="200">
        <f>'Idaho Data'!XV150</f>
        <v>7104.6878980891715</v>
      </c>
      <c r="E8" s="124">
        <f>'Idaho Data'!ST150</f>
        <v>157</v>
      </c>
      <c r="F8" s="200"/>
      <c r="I8" s="200">
        <f>'Idaho Data'!SE150</f>
        <v>0</v>
      </c>
      <c r="J8" s="200">
        <f>'Idaho Data'!XQ150</f>
        <v>5877.9745222929932</v>
      </c>
    </row>
    <row r="9" spans="2:10">
      <c r="B9" s="133" t="str">
        <f>'Idaho Data'!B32</f>
        <v>Swan Valley Elementary</v>
      </c>
      <c r="C9" s="287">
        <f>'Idaho Data'!SV32</f>
        <v>0.55102040816326525</v>
      </c>
      <c r="D9" s="200">
        <f>'Idaho Data'!XV32</f>
        <v>11880.510204081633</v>
      </c>
      <c r="E9" s="124">
        <f>'Idaho Data'!ST32</f>
        <v>49</v>
      </c>
      <c r="F9" s="200"/>
      <c r="I9" s="200">
        <f>'Idaho Data'!SE32</f>
        <v>3849730.612244898</v>
      </c>
      <c r="J9" s="200">
        <f>'Idaho Data'!XQ32</f>
        <v>5582.3877551020405</v>
      </c>
    </row>
    <row r="10" spans="2:10">
      <c r="B10" s="133" t="str">
        <f>'Idaho Data'!B146</f>
        <v>Sage International Charter</v>
      </c>
      <c r="C10" s="287">
        <f>'Idaho Data'!SV146</f>
        <v>0.17647058823529413</v>
      </c>
      <c r="D10" s="200">
        <f>'Idaho Data'!XV146</f>
        <v>5735.0526932084313</v>
      </c>
      <c r="E10" s="124">
        <f>'Idaho Data'!ST146</f>
        <v>854</v>
      </c>
      <c r="F10" s="200"/>
      <c r="I10" s="200">
        <f>'Idaho Data'!SE146</f>
        <v>0</v>
      </c>
      <c r="J10" s="200">
        <f>'Idaho Data'!XQ146</f>
        <v>5739.5339578454332</v>
      </c>
    </row>
    <row r="11" spans="2:10">
      <c r="B11" s="133" t="str">
        <f>'Idaho Data'!B83</f>
        <v>South Lemhi</v>
      </c>
      <c r="C11" s="287">
        <f>'Idaho Data'!SV83</f>
        <v>0.64</v>
      </c>
      <c r="D11" s="200">
        <f>'Idaho Data'!XV83</f>
        <v>18803.916666666668</v>
      </c>
      <c r="E11" s="124">
        <f>'Idaho Data'!ST83</f>
        <v>72</v>
      </c>
      <c r="F11" s="200"/>
      <c r="I11" s="200">
        <f>'Idaho Data'!SE83</f>
        <v>1142739.1527777778</v>
      </c>
      <c r="J11" s="200">
        <f>'Idaho Data'!XQ83</f>
        <v>5756.25</v>
      </c>
    </row>
    <row r="12" spans="2:10">
      <c r="B12" s="133" t="str">
        <f>'Idaho Data'!B147</f>
        <v>Another Choice Charter School</v>
      </c>
      <c r="C12" s="287">
        <f>'Idaho Data'!SV147</f>
        <v>0.56399999999999995</v>
      </c>
      <c r="D12" s="200">
        <f>'Idaho Data'!XV147</f>
        <v>6839.7766749379653</v>
      </c>
      <c r="E12" s="124">
        <f>'Idaho Data'!ST147</f>
        <v>403</v>
      </c>
      <c r="F12" s="200"/>
      <c r="I12" s="200">
        <f>'Idaho Data'!SE147</f>
        <v>0</v>
      </c>
      <c r="J12" s="200">
        <f>'Idaho Data'!XQ147</f>
        <v>5553.4243176178661</v>
      </c>
    </row>
    <row r="13" spans="2:10">
      <c r="B13" s="133" t="str">
        <f>'Idaho Data'!B95</f>
        <v>Culdesac Joint</v>
      </c>
      <c r="C13" s="287">
        <f>'Idaho Data'!SV95</f>
        <v>0.59340659340659341</v>
      </c>
      <c r="D13" s="200">
        <f>'Idaho Data'!XV95</f>
        <v>17730.323943661973</v>
      </c>
      <c r="E13" s="124">
        <f>'Idaho Data'!ST95</f>
        <v>71</v>
      </c>
      <c r="F13" s="200"/>
      <c r="I13" s="200">
        <f>'Idaho Data'!SE95</f>
        <v>761185.14084507048</v>
      </c>
      <c r="J13" s="200">
        <f>'Idaho Data'!XQ95</f>
        <v>5642.7464788732395</v>
      </c>
    </row>
    <row r="14" spans="2:10">
      <c r="B14" s="133" t="str">
        <f>'Idaho Data'!B145</f>
        <v>Monticello Montessori</v>
      </c>
      <c r="C14" s="287">
        <f>'Idaho Data'!SV145</f>
        <v>0.54450261780104714</v>
      </c>
      <c r="D14" s="200">
        <f>'Idaho Data'!XV145</f>
        <v>5906.8248587570624</v>
      </c>
      <c r="E14" s="124">
        <f>'Idaho Data'!ST145</f>
        <v>177</v>
      </c>
      <c r="F14" s="200"/>
      <c r="I14" s="200">
        <f>'Idaho Data'!SE145</f>
        <v>0</v>
      </c>
      <c r="J14" s="200">
        <f>'Idaho Data'!XQ145</f>
        <v>5963.0847457627115</v>
      </c>
    </row>
    <row r="15" spans="2:10">
      <c r="B15" s="133" t="str">
        <f>'Idaho Data'!B123</f>
        <v>Cambridge Joint</v>
      </c>
      <c r="C15" s="287">
        <f>'Idaho Data'!SV123</f>
        <v>0.50420168067226889</v>
      </c>
      <c r="D15" s="200">
        <f>'Idaho Data'!XV123</f>
        <v>12540.381818181819</v>
      </c>
      <c r="E15" s="124">
        <f>'Idaho Data'!ST123</f>
        <v>110</v>
      </c>
      <c r="F15" s="200"/>
      <c r="I15" s="200">
        <f>'Idaho Data'!SE123</f>
        <v>1471384.6090909091</v>
      </c>
      <c r="J15" s="200">
        <f>'Idaho Data'!XQ123</f>
        <v>5777.181818181818</v>
      </c>
    </row>
    <row r="16" spans="2:10">
      <c r="B16" s="133" t="str">
        <f>'Idaho Data'!B65</f>
        <v>Salmon River</v>
      </c>
      <c r="C16" s="287">
        <f>'Idaho Data'!SV65</f>
        <v>0.60431654676258995</v>
      </c>
      <c r="D16" s="200">
        <f>'Idaho Data'!XV65</f>
        <v>12498.518867924528</v>
      </c>
      <c r="E16" s="124">
        <f>'Idaho Data'!ST65</f>
        <v>106</v>
      </c>
      <c r="F16" s="200"/>
      <c r="I16" s="200">
        <f>'Idaho Data'!SE65</f>
        <v>1234629.1603773586</v>
      </c>
      <c r="J16" s="200">
        <f>'Idaho Data'!XQ65</f>
        <v>5708.4622641509432</v>
      </c>
    </row>
    <row r="17" spans="2:10">
      <c r="B17" s="133" t="str">
        <f>'Idaho Data'!B108</f>
        <v>Mullan</v>
      </c>
      <c r="C17" s="287">
        <f>'Idaho Data'!SV108</f>
        <v>0.45794392523364486</v>
      </c>
      <c r="D17" s="200">
        <f>'Idaho Data'!XV108</f>
        <v>14007.705263157895</v>
      </c>
      <c r="E17" s="124">
        <f>'Idaho Data'!ST108</f>
        <v>95</v>
      </c>
      <c r="F17" s="200"/>
      <c r="I17" s="200">
        <f>'Idaho Data'!SE108</f>
        <v>766902.37894736847</v>
      </c>
      <c r="J17" s="200">
        <f>'Idaho Data'!XQ108</f>
        <v>5729.5894736842101</v>
      </c>
    </row>
    <row r="18" spans="2:10">
      <c r="B18" s="133" t="str">
        <f>'Idaho Data'!B154</f>
        <v>Chief Tahgee Elementary Academy</v>
      </c>
      <c r="C18" s="287">
        <f>'Idaho Data'!SV154</f>
        <v>0.90476190476190477</v>
      </c>
      <c r="D18" s="200">
        <f>'Idaho Data'!XV154</f>
        <v>9234.5822784810134</v>
      </c>
      <c r="E18" s="124">
        <f>'Idaho Data'!ST154</f>
        <v>79</v>
      </c>
      <c r="F18" s="200"/>
      <c r="I18" s="200">
        <f>'Idaho Data'!SE154</f>
        <v>0</v>
      </c>
      <c r="J18" s="200">
        <f>'Idaho Data'!XQ154</f>
        <v>6120.5696202531644</v>
      </c>
    </row>
    <row r="19" spans="2:10">
      <c r="B19" s="133" t="str">
        <f>'Idaho Data'!B124</f>
        <v>Midvale</v>
      </c>
      <c r="C19" s="287">
        <f>'Idaho Data'!SV124</f>
        <v>0.6097560975609756</v>
      </c>
      <c r="D19" s="200">
        <f>'Idaho Data'!XV124</f>
        <v>13394.097345132743</v>
      </c>
      <c r="E19" s="124">
        <f>'Idaho Data'!ST124</f>
        <v>113</v>
      </c>
      <c r="F19" s="200"/>
      <c r="I19" s="200">
        <f>'Idaho Data'!SE124</f>
        <v>1134844.5398230089</v>
      </c>
      <c r="J19" s="200">
        <f>'Idaho Data'!XQ124</f>
        <v>5648.2566371681414</v>
      </c>
    </row>
    <row r="20" spans="2:10">
      <c r="B20" s="133" t="str">
        <f>'Idaho Data'!B84</f>
        <v>Nezperce Joint</v>
      </c>
      <c r="C20" s="287">
        <f>'Idaho Data'!SV84</f>
        <v>0.47651006711409394</v>
      </c>
      <c r="D20" s="200">
        <f>'Idaho Data'!XV84</f>
        <v>12129.757575757576</v>
      </c>
      <c r="E20" s="124">
        <f>'Idaho Data'!ST84</f>
        <v>132</v>
      </c>
      <c r="F20" s="200"/>
      <c r="I20" s="200">
        <f>'Idaho Data'!SE84</f>
        <v>861358.31818181823</v>
      </c>
      <c r="J20" s="200">
        <f>'Idaho Data'!XQ84</f>
        <v>5819.045454545455</v>
      </c>
    </row>
    <row r="21" spans="2:10">
      <c r="B21" s="133" t="str">
        <f>'Idaho Data'!B63</f>
        <v>Bliss Joint</v>
      </c>
      <c r="C21" s="287">
        <f>'Idaho Data'!SV63</f>
        <v>0.81967213114754101</v>
      </c>
      <c r="D21" s="200">
        <f>'Idaho Data'!XV63</f>
        <v>13184.121739130434</v>
      </c>
      <c r="E21" s="124">
        <f>'Idaho Data'!ST63</f>
        <v>115</v>
      </c>
      <c r="F21" s="200"/>
      <c r="I21" s="200">
        <f>'Idaho Data'!SE63</f>
        <v>688574.83478260867</v>
      </c>
      <c r="J21" s="200">
        <f>'Idaho Data'!XQ63</f>
        <v>5838.3391304347824</v>
      </c>
    </row>
    <row r="22" spans="2:10">
      <c r="B22" s="133" t="str">
        <f>'Idaho Data'!B149</f>
        <v>Legacy Charter School</v>
      </c>
      <c r="C22" s="287">
        <f>'Idaho Data'!SV149</f>
        <v>0.38305084745762713</v>
      </c>
      <c r="D22" s="200">
        <f>'Idaho Data'!XV149</f>
        <v>5965.492753623188</v>
      </c>
      <c r="E22" s="124">
        <f>'Idaho Data'!ST149</f>
        <v>276</v>
      </c>
      <c r="F22" s="200"/>
      <c r="I22" s="200">
        <f>'Idaho Data'!SE149</f>
        <v>0</v>
      </c>
      <c r="J22" s="200">
        <f>'Idaho Data'!XQ149</f>
        <v>5766.260869565217</v>
      </c>
    </row>
    <row r="23" spans="2:10">
      <c r="B23" s="133" t="str">
        <f>'Idaho Data'!B49</f>
        <v>Clark County Joint</v>
      </c>
      <c r="C23" s="287">
        <f>'Idaho Data'!SV49</f>
        <v>0.76100628930817615</v>
      </c>
      <c r="D23" s="200">
        <f>'Idaho Data'!XV49</f>
        <v>11250.244604316547</v>
      </c>
      <c r="E23" s="124">
        <f>'Idaho Data'!ST49</f>
        <v>139</v>
      </c>
      <c r="F23" s="200"/>
      <c r="I23" s="200">
        <f>'Idaho Data'!SE49</f>
        <v>841549.82733812951</v>
      </c>
      <c r="J23" s="200">
        <f>'Idaho Data'!XQ49</f>
        <v>5744.6546762589924</v>
      </c>
    </row>
    <row r="24" spans="2:10">
      <c r="B24" s="133" t="str">
        <f>'Idaho Data'!B13</f>
        <v>Meadows Valley</v>
      </c>
      <c r="C24" s="287">
        <f>'Idaho Data'!SV13</f>
        <v>0.65189873417721522</v>
      </c>
      <c r="D24" s="200">
        <f>'Idaho Data'!XV13</f>
        <v>10633.792857142857</v>
      </c>
      <c r="E24" s="124">
        <f>'Idaho Data'!ST13</f>
        <v>140</v>
      </c>
      <c r="F24" s="200"/>
      <c r="I24" s="200">
        <f>'Idaho Data'!SE13</f>
        <v>1624694.55</v>
      </c>
      <c r="J24" s="200">
        <f>'Idaho Data'!XQ13</f>
        <v>5703.6214285714286</v>
      </c>
    </row>
    <row r="25" spans="2:10">
      <c r="B25" s="133" t="str">
        <f>'Idaho Data'!B36</f>
        <v>Camas County</v>
      </c>
      <c r="C25" s="287">
        <f>'Idaho Data'!SV36</f>
        <v>0.40799999999999997</v>
      </c>
      <c r="D25" s="200">
        <f>'Idaho Data'!XV36</f>
        <v>11670.550387596899</v>
      </c>
      <c r="E25" s="124">
        <f>'Idaho Data'!ST36</f>
        <v>129</v>
      </c>
      <c r="F25" s="200"/>
      <c r="I25" s="200">
        <f>'Idaho Data'!SE36</f>
        <v>991893.81395348837</v>
      </c>
      <c r="J25" s="200">
        <f>'Idaho Data'!XQ36</f>
        <v>5675.9302325581393</v>
      </c>
    </row>
    <row r="26" spans="2:10">
      <c r="B26" s="133" t="str">
        <f>'Idaho Data'!B75</f>
        <v>Kootenai Joint</v>
      </c>
      <c r="C26" s="287">
        <f>'Idaho Data'!SV75</f>
        <v>0.5</v>
      </c>
      <c r="D26" s="200">
        <f>'Idaho Data'!XV75</f>
        <v>10533.272727272728</v>
      </c>
      <c r="E26" s="124">
        <f>'Idaho Data'!ST75</f>
        <v>143</v>
      </c>
      <c r="F26" s="200"/>
      <c r="I26" s="200">
        <f>'Idaho Data'!SE75</f>
        <v>3748133.7062937063</v>
      </c>
      <c r="J26" s="200">
        <f>'Idaho Data'!XQ75</f>
        <v>5699.8951048951049</v>
      </c>
    </row>
    <row r="27" spans="2:10">
      <c r="B27" s="133" t="str">
        <f>'Idaho Data'!B52</f>
        <v>Mackay Joint</v>
      </c>
      <c r="C27" s="287">
        <f>'Idaho Data'!SV52</f>
        <v>0.5</v>
      </c>
      <c r="D27" s="200">
        <f>'Idaho Data'!XV52</f>
        <v>10477.772151898735</v>
      </c>
      <c r="E27" s="124">
        <f>'Idaho Data'!ST52</f>
        <v>158</v>
      </c>
      <c r="F27" s="200"/>
      <c r="I27" s="200">
        <f>'Idaho Data'!SE52</f>
        <v>909629.74683544307</v>
      </c>
      <c r="J27" s="200">
        <f>'Idaho Data'!XQ52</f>
        <v>5700.8734177215192</v>
      </c>
    </row>
    <row r="28" spans="2:10">
      <c r="B28" s="133" t="str">
        <f>'Idaho Data'!B134</f>
        <v>Taylor's Crossing Charter School</v>
      </c>
      <c r="C28" s="287">
        <f>'Idaho Data'!SV134</f>
        <v>0.4375</v>
      </c>
      <c r="D28" s="200">
        <f>'Idaho Data'!XV134</f>
        <v>6847.736979166667</v>
      </c>
      <c r="E28" s="124">
        <f>'Idaho Data'!ST134</f>
        <v>384</v>
      </c>
      <c r="F28" s="200"/>
      <c r="I28" s="200">
        <f>'Idaho Data'!SE134</f>
        <v>0</v>
      </c>
      <c r="J28" s="200">
        <f>'Idaho Data'!XQ134</f>
        <v>5741.859375</v>
      </c>
    </row>
    <row r="29" spans="2:10">
      <c r="B29" s="133" t="str">
        <f>'Idaho Data'!B86</f>
        <v>Highland Joint</v>
      </c>
      <c r="C29" s="287">
        <f>'Idaho Data'!SV86</f>
        <v>0.52439024390243905</v>
      </c>
      <c r="D29" s="200">
        <f>'Idaho Data'!XV86</f>
        <v>11525.331081081082</v>
      </c>
      <c r="E29" s="124">
        <f>'Idaho Data'!ST86</f>
        <v>148</v>
      </c>
      <c r="F29" s="200"/>
      <c r="I29" s="200">
        <f>'Idaho Data'!SE86</f>
        <v>966066.7297297297</v>
      </c>
      <c r="J29" s="200">
        <f>'Idaho Data'!XQ86</f>
        <v>5768.6959459459458</v>
      </c>
    </row>
    <row r="30" spans="2:10">
      <c r="B30" s="133" t="str">
        <f>'Idaho Data'!B141</f>
        <v>Idaho Connects Online School</v>
      </c>
      <c r="C30" s="287">
        <f>'Idaho Data'!SV141</f>
        <v>0</v>
      </c>
      <c r="D30" s="200">
        <f>'Idaho Data'!XV141</f>
        <v>7292.3125</v>
      </c>
      <c r="E30" s="124">
        <f>'Idaho Data'!ST141</f>
        <v>240</v>
      </c>
      <c r="F30" s="200"/>
      <c r="I30" s="200">
        <f>'Idaho Data'!SE141</f>
        <v>0</v>
      </c>
      <c r="J30" s="200">
        <f>'Idaho Data'!XQ141</f>
        <v>5526</v>
      </c>
    </row>
    <row r="31" spans="2:10">
      <c r="B31" s="133" t="str">
        <f>'Idaho Data'!B105</f>
        <v>Rockland</v>
      </c>
      <c r="C31" s="287">
        <f>'Idaho Data'!SV105</f>
        <v>0</v>
      </c>
      <c r="D31" s="200">
        <f>'Idaho Data'!XV105</f>
        <v>9523.3878787878784</v>
      </c>
      <c r="E31" s="124">
        <f>'Idaho Data'!ST105</f>
        <v>165</v>
      </c>
      <c r="F31" s="200"/>
      <c r="I31" s="200">
        <f>'Idaho Data'!SE105</f>
        <v>242445.96363636362</v>
      </c>
      <c r="J31" s="200">
        <f>'Idaho Data'!XQ105</f>
        <v>5710.2</v>
      </c>
    </row>
    <row r="32" spans="2:10">
      <c r="B32" s="133" t="str">
        <f>'Idaho Data'!B46</f>
        <v>North Gem</v>
      </c>
      <c r="C32" s="287">
        <f>'Idaho Data'!SV46</f>
        <v>0.41025641025641024</v>
      </c>
      <c r="D32" s="200">
        <f>'Idaho Data'!XV46</f>
        <v>9500.2590361445782</v>
      </c>
      <c r="E32" s="124">
        <f>'Idaho Data'!ST46</f>
        <v>166</v>
      </c>
      <c r="F32" s="200"/>
      <c r="I32" s="200">
        <f>'Idaho Data'!SE46</f>
        <v>620361.77108433738</v>
      </c>
      <c r="J32" s="200">
        <f>'Idaho Data'!XQ46</f>
        <v>5825.6024096385545</v>
      </c>
    </row>
    <row r="33" spans="2:10">
      <c r="B33" s="133" t="str">
        <f>'Idaho Data'!B89</f>
        <v>Richfield</v>
      </c>
      <c r="C33" s="287">
        <f>'Idaho Data'!SV89</f>
        <v>0.49624060150375937</v>
      </c>
      <c r="D33" s="200">
        <f>'Idaho Data'!XV89</f>
        <v>8335.7046632124348</v>
      </c>
      <c r="E33" s="124">
        <f>'Idaho Data'!ST89</f>
        <v>193</v>
      </c>
      <c r="F33" s="200"/>
      <c r="I33" s="200">
        <f>'Idaho Data'!SE89</f>
        <v>347524.94818652852</v>
      </c>
      <c r="J33" s="200">
        <f>'Idaho Data'!XQ89</f>
        <v>5726.4248704663214</v>
      </c>
    </row>
    <row r="34" spans="2:10">
      <c r="B34" s="133" t="str">
        <f>'Idaho Data'!B26</f>
        <v>Garden Valley</v>
      </c>
      <c r="C34" s="287">
        <f>'Idaho Data'!SV26</f>
        <v>0.50622406639004147</v>
      </c>
      <c r="D34" s="200">
        <f>'Idaho Data'!XV26</f>
        <v>9028.0093023255813</v>
      </c>
      <c r="E34" s="124">
        <f>'Idaho Data'!ST26</f>
        <v>215</v>
      </c>
      <c r="F34" s="200"/>
      <c r="I34" s="200">
        <f>'Idaho Data'!SE26</f>
        <v>1818085.6790697675</v>
      </c>
      <c r="J34" s="200">
        <f>'Idaho Data'!XQ26</f>
        <v>5731.618604651163</v>
      </c>
    </row>
    <row r="35" spans="2:10">
      <c r="B35" s="133" t="str">
        <f>'Idaho Data'!B81</f>
        <v>Whitepine Joint</v>
      </c>
      <c r="C35" s="287">
        <f>'Idaho Data'!SV81</f>
        <v>0.44019138755980863</v>
      </c>
      <c r="D35" s="200">
        <f>'Idaho Data'!XV81</f>
        <v>9296.8436018957345</v>
      </c>
      <c r="E35" s="124">
        <f>'Idaho Data'!ST81</f>
        <v>211</v>
      </c>
      <c r="F35" s="200"/>
      <c r="I35" s="200">
        <f>'Idaho Data'!SE81</f>
        <v>818991.69668246445</v>
      </c>
      <c r="J35" s="200">
        <f>'Idaho Data'!XQ81</f>
        <v>5709.327014218009</v>
      </c>
    </row>
    <row r="36" spans="2:10">
      <c r="B36" s="133" t="str">
        <f>'Idaho Data'!B88</f>
        <v>Dietrich</v>
      </c>
      <c r="C36" s="287">
        <f>'Idaho Data'!SV88</f>
        <v>0.70940170940170943</v>
      </c>
      <c r="D36" s="200">
        <f>'Idaho Data'!XV88</f>
        <v>8919.8558139534889</v>
      </c>
      <c r="E36" s="124">
        <f>'Idaho Data'!ST88</f>
        <v>215</v>
      </c>
      <c r="F36" s="200"/>
      <c r="I36" s="200">
        <f>'Idaho Data'!SE88</f>
        <v>211514.45581395348</v>
      </c>
      <c r="J36" s="200">
        <f>'Idaho Data'!XQ88</f>
        <v>5718.7674418604647</v>
      </c>
    </row>
    <row r="37" spans="2:10">
      <c r="B37" s="133" t="str">
        <f>'Idaho Data'!B136</f>
        <v>Vision Charter School</v>
      </c>
      <c r="C37" s="287">
        <f>'Idaho Data'!SV136</f>
        <v>0.42899850523168909</v>
      </c>
      <c r="D37" s="200">
        <f>'Idaho Data'!XV136</f>
        <v>6291.1275917065386</v>
      </c>
      <c r="E37" s="124">
        <f>'Idaho Data'!ST136</f>
        <v>627</v>
      </c>
      <c r="F37" s="200"/>
      <c r="I37" s="200">
        <f>'Idaho Data'!SE136</f>
        <v>0</v>
      </c>
      <c r="J37" s="200">
        <f>'Idaho Data'!XQ136</f>
        <v>5715.4880382775118</v>
      </c>
    </row>
    <row r="38" spans="2:10">
      <c r="B38" s="133" t="str">
        <f>'Idaho Data'!B14</f>
        <v>Council</v>
      </c>
      <c r="C38" s="287">
        <f>'Idaho Data'!SV14</f>
        <v>0.54085603112840464</v>
      </c>
      <c r="D38" s="200">
        <f>'Idaho Data'!XV14</f>
        <v>7734.4852320675109</v>
      </c>
      <c r="E38" s="124">
        <f>'Idaho Data'!ST14</f>
        <v>237</v>
      </c>
      <c r="F38" s="200"/>
      <c r="I38" s="200">
        <f>'Idaho Data'!SE14</f>
        <v>655846.20253164554</v>
      </c>
      <c r="J38" s="200">
        <f>'Idaho Data'!XQ14</f>
        <v>5712.5316455696202</v>
      </c>
    </row>
    <row r="39" spans="2:10">
      <c r="B39" s="133" t="str">
        <f>'Idaho Data'!B78</f>
        <v>Kendrick Joint</v>
      </c>
      <c r="C39" s="287">
        <f>'Idaho Data'!SV78</f>
        <v>0.42016806722689076</v>
      </c>
      <c r="D39" s="200">
        <f>'Idaho Data'!XV78</f>
        <v>8649.5877192982462</v>
      </c>
      <c r="E39" s="124">
        <f>'Idaho Data'!ST78</f>
        <v>228</v>
      </c>
      <c r="F39" s="200"/>
      <c r="I39" s="200">
        <f>'Idaho Data'!SE78</f>
        <v>549191.40350877191</v>
      </c>
      <c r="J39" s="200">
        <f>'Idaho Data'!XQ78</f>
        <v>5828.9605263157891</v>
      </c>
    </row>
    <row r="40" spans="2:10">
      <c r="B40" s="133" t="str">
        <f>'Idaho Data'!B144</f>
        <v>The Village Charter School</v>
      </c>
      <c r="C40" s="287">
        <f>'Idaho Data'!SV144</f>
        <v>0.14613180515759314</v>
      </c>
      <c r="D40" s="200">
        <f>'Idaho Data'!XV144</f>
        <v>5648.673913043478</v>
      </c>
      <c r="E40" s="124">
        <f>'Idaho Data'!ST144</f>
        <v>276</v>
      </c>
      <c r="F40" s="200"/>
      <c r="I40" s="200">
        <f>'Idaho Data'!SE144</f>
        <v>0</v>
      </c>
      <c r="J40" s="200">
        <f>'Idaho Data'!XQ144</f>
        <v>6006.521739130435</v>
      </c>
    </row>
    <row r="41" spans="2:10">
      <c r="B41" s="133" t="e">
        <f>'Idaho Data'!#REF!</f>
        <v>#REF!</v>
      </c>
      <c r="C41" s="287" t="e">
        <f>'Idaho Data'!#REF!</f>
        <v>#REF!</v>
      </c>
      <c r="D41" s="200" t="e">
        <f>'Idaho Data'!#REF!</f>
        <v>#REF!</v>
      </c>
      <c r="E41" s="124" t="e">
        <f>'Idaho Data'!#REF!</f>
        <v>#REF!</v>
      </c>
      <c r="F41" s="200"/>
      <c r="I41" s="200" t="e">
        <f>'Idaho Data'!#REF!</f>
        <v>#REF!</v>
      </c>
      <c r="J41" s="200" t="e">
        <f>'Idaho Data'!#REF!</f>
        <v>#REF!</v>
      </c>
    </row>
    <row r="42" spans="2:10">
      <c r="B42" s="133" t="str">
        <f>'Idaho Data'!B119</f>
        <v>Murtaugh Joint</v>
      </c>
      <c r="C42" s="287">
        <f>'Idaho Data'!SV119</f>
        <v>0.75163398692810457</v>
      </c>
      <c r="D42" s="200">
        <f>'Idaho Data'!XV119</f>
        <v>7399.6705426356593</v>
      </c>
      <c r="E42" s="124">
        <f>'Idaho Data'!ST119</f>
        <v>258</v>
      </c>
      <c r="F42" s="200"/>
      <c r="I42" s="200">
        <f>'Idaho Data'!SE119</f>
        <v>578501.56589147286</v>
      </c>
      <c r="J42" s="200">
        <f>'Idaho Data'!XQ119</f>
        <v>5793.7325581395353</v>
      </c>
    </row>
    <row r="43" spans="2:10">
      <c r="B43" s="133" t="str">
        <f>'Idaho Data'!B28</f>
        <v>Horseshoe Bend</v>
      </c>
      <c r="C43" s="287">
        <f>'Idaho Data'!SV28</f>
        <v>0.66816143497757852</v>
      </c>
      <c r="D43" s="200">
        <f>'Idaho Data'!XV28</f>
        <v>8831.6859903381646</v>
      </c>
      <c r="E43" s="124">
        <f>'Idaho Data'!ST28</f>
        <v>207</v>
      </c>
      <c r="F43" s="200"/>
      <c r="I43" s="200">
        <f>'Idaho Data'!SE28</f>
        <v>508926.961352657</v>
      </c>
      <c r="J43" s="200">
        <f>'Idaho Data'!XQ28</f>
        <v>5806.304347826087</v>
      </c>
    </row>
    <row r="44" spans="2:10">
      <c r="B44" s="133" t="str">
        <f>'Idaho Data'!B132</f>
        <v>Liberty Charter School</v>
      </c>
      <c r="C44" s="287">
        <f>'Idaho Data'!SV132</f>
        <v>0.35971223021582732</v>
      </c>
      <c r="D44" s="200">
        <f>'Idaho Data'!XV132</f>
        <v>7134.850253807107</v>
      </c>
      <c r="E44" s="124">
        <f>'Idaho Data'!ST132</f>
        <v>394</v>
      </c>
      <c r="F44" s="200"/>
      <c r="I44" s="200">
        <f>'Idaho Data'!SE132</f>
        <v>0</v>
      </c>
      <c r="J44" s="200">
        <f>'Idaho Data'!XQ132</f>
        <v>5694.3045685279185</v>
      </c>
    </row>
    <row r="45" spans="2:10">
      <c r="B45" s="133" t="str">
        <f>'Idaho Data'!B133</f>
        <v>Academy at the Roosevelt Center</v>
      </c>
      <c r="C45" s="287">
        <f>'Idaho Data'!SV133</f>
        <v>0.36680327868852458</v>
      </c>
      <c r="D45" s="200">
        <f>'Idaho Data'!XV133</f>
        <v>5326.8032036613276</v>
      </c>
      <c r="E45" s="124">
        <f>'Idaho Data'!ST133</f>
        <v>437</v>
      </c>
      <c r="F45" s="200"/>
      <c r="I45" s="200">
        <f>'Idaho Data'!SE133</f>
        <v>0</v>
      </c>
      <c r="J45" s="200">
        <f>'Idaho Data'!XQ133</f>
        <v>5829.4874141876426</v>
      </c>
    </row>
    <row r="46" spans="2:10">
      <c r="B46" s="133" t="str">
        <f>'Idaho Data'!B121</f>
        <v>Cascade</v>
      </c>
      <c r="C46" s="287">
        <f>'Idaho Data'!SV121</f>
        <v>0.6</v>
      </c>
      <c r="D46" s="200">
        <f>'Idaho Data'!XV121</f>
        <v>7702.470817120623</v>
      </c>
      <c r="E46" s="124">
        <f>'Idaho Data'!ST121</f>
        <v>257</v>
      </c>
      <c r="F46" s="200"/>
      <c r="I46" s="200">
        <f>'Idaho Data'!SE121</f>
        <v>1823952.7859922179</v>
      </c>
      <c r="J46" s="200">
        <f>'Idaho Data'!XQ121</f>
        <v>5687.264591439689</v>
      </c>
    </row>
    <row r="47" spans="2:10">
      <c r="B47" s="133" t="str">
        <f>'Idaho Data'!B129</f>
        <v>Compass Charter School</v>
      </c>
      <c r="C47" s="287">
        <f>'Idaho Data'!SV129</f>
        <v>0</v>
      </c>
      <c r="D47" s="200">
        <f>'Idaho Data'!XV129</f>
        <v>6025.0887198986056</v>
      </c>
      <c r="E47" s="124">
        <f>'Idaho Data'!ST129</f>
        <v>789</v>
      </c>
      <c r="F47" s="200"/>
      <c r="I47" s="200">
        <f>'Idaho Data'!SE129</f>
        <v>0</v>
      </c>
      <c r="J47" s="200">
        <f>'Idaho Data'!XQ129</f>
        <v>5774.6349809885933</v>
      </c>
    </row>
    <row r="48" spans="2:10">
      <c r="B48" s="133" t="e">
        <f>'Idaho Data'!#REF!</f>
        <v>#REF!</v>
      </c>
      <c r="C48" s="287" t="e">
        <f>'Idaho Data'!#REF!</f>
        <v>#REF!</v>
      </c>
      <c r="D48" s="200" t="e">
        <f>'Idaho Data'!#REF!</f>
        <v>#REF!</v>
      </c>
      <c r="E48" s="124" t="e">
        <f>'Idaho Data'!#REF!</f>
        <v>#REF!</v>
      </c>
      <c r="F48" s="200"/>
      <c r="I48" s="200" t="e">
        <f>'Idaho Data'!#REF!</f>
        <v>#REF!</v>
      </c>
      <c r="J48" s="200" t="e">
        <f>'Idaho Data'!#REF!</f>
        <v>#REF!</v>
      </c>
    </row>
    <row r="49" spans="2:10">
      <c r="B49" s="133" t="e">
        <f>'Idaho Data'!#REF!</f>
        <v>#REF!</v>
      </c>
      <c r="C49" s="287" t="e">
        <f>'Idaho Data'!#REF!</f>
        <v>#REF!</v>
      </c>
      <c r="D49" s="200" t="e">
        <f>'Idaho Data'!#REF!</f>
        <v>#REF!</v>
      </c>
      <c r="E49" s="124" t="e">
        <f>'Idaho Data'!#REF!</f>
        <v>#REF!</v>
      </c>
      <c r="F49" s="200"/>
      <c r="I49" s="200" t="e">
        <f>'Idaho Data'!#REF!</f>
        <v>#REF!</v>
      </c>
      <c r="J49" s="200" t="e">
        <f>'Idaho Data'!#REF!</f>
        <v>#REF!</v>
      </c>
    </row>
    <row r="50" spans="2:10">
      <c r="B50" s="133" t="str">
        <f>'Idaho Data'!B99</f>
        <v>Bruneau-Grand View Joint</v>
      </c>
      <c r="C50" s="287">
        <f>'Idaho Data'!SV99</f>
        <v>0.64</v>
      </c>
      <c r="D50" s="200">
        <f>'Idaho Data'!XV99</f>
        <v>10899.092857142858</v>
      </c>
      <c r="E50" s="124">
        <f>'Idaho Data'!ST99</f>
        <v>280</v>
      </c>
      <c r="F50" s="200"/>
      <c r="I50" s="200">
        <f>'Idaho Data'!SE99</f>
        <v>692965.01071428566</v>
      </c>
      <c r="J50" s="200">
        <f>'Idaho Data'!XQ99</f>
        <v>5713.4892857142859</v>
      </c>
    </row>
    <row r="51" spans="2:10">
      <c r="B51" s="133" t="str">
        <f>'Idaho Data'!B80</f>
        <v>Troy</v>
      </c>
      <c r="C51" s="287">
        <f>'Idaho Data'!SV80</f>
        <v>0.35546875</v>
      </c>
      <c r="D51" s="200">
        <f>'Idaho Data'!XV80</f>
        <v>8662.3083333333325</v>
      </c>
      <c r="E51" s="124">
        <f>'Idaho Data'!ST80</f>
        <v>240</v>
      </c>
      <c r="F51" s="200"/>
      <c r="I51" s="200">
        <f>'Idaho Data'!SE80</f>
        <v>559516.90416666667</v>
      </c>
      <c r="J51" s="200">
        <f>'Idaho Data'!XQ80</f>
        <v>5721.7124999999996</v>
      </c>
    </row>
    <row r="52" spans="2:10">
      <c r="B52" s="133" t="str">
        <f>'Idaho Data'!B130</f>
        <v>Falcon Ridge Charter School</v>
      </c>
      <c r="C52" s="287">
        <f>'Idaho Data'!SV130</f>
        <v>0.22222222222222221</v>
      </c>
      <c r="D52" s="200">
        <f>'Idaho Data'!XV130</f>
        <v>6291.9120000000003</v>
      </c>
      <c r="E52" s="124">
        <f>'Idaho Data'!ST130</f>
        <v>250</v>
      </c>
      <c r="F52" s="200"/>
      <c r="I52" s="200">
        <f>'Idaho Data'!SE130</f>
        <v>0</v>
      </c>
      <c r="J52" s="200">
        <f>'Idaho Data'!XQ130</f>
        <v>5791.2479999999996</v>
      </c>
    </row>
    <row r="53" spans="2:10">
      <c r="B53" s="133" t="str">
        <f>'Idaho Data'!B77</f>
        <v>Genesee Joint</v>
      </c>
      <c r="C53" s="287">
        <f>'Idaho Data'!SV77</f>
        <v>0.21069182389937108</v>
      </c>
      <c r="D53" s="200">
        <f>'Idaho Data'!XV77</f>
        <v>7939.9041095890407</v>
      </c>
      <c r="E53" s="124">
        <f>'Idaho Data'!ST77</f>
        <v>292</v>
      </c>
      <c r="F53" s="200"/>
      <c r="I53" s="200">
        <f>'Idaho Data'!SE77</f>
        <v>570504.29452054796</v>
      </c>
      <c r="J53" s="200">
        <f>'Idaho Data'!XQ77</f>
        <v>5772.0205479452052</v>
      </c>
    </row>
    <row r="54" spans="2:10">
      <c r="B54" s="133" t="e">
        <f>'Idaho Data'!#REF!</f>
        <v>#REF!</v>
      </c>
      <c r="C54" s="287" t="e">
        <f>'Idaho Data'!#REF!</f>
        <v>#REF!</v>
      </c>
      <c r="D54" s="200" t="e">
        <f>'Idaho Data'!#REF!</f>
        <v>#REF!</v>
      </c>
      <c r="E54" s="124" t="e">
        <f>'Idaho Data'!#REF!</f>
        <v>#REF!</v>
      </c>
      <c r="F54" s="200"/>
      <c r="I54" s="200" t="e">
        <f>'Idaho Data'!#REF!</f>
        <v>#REF!</v>
      </c>
      <c r="J54" s="200" t="e">
        <f>'Idaho Data'!#REF!</f>
        <v>#REF!</v>
      </c>
    </row>
    <row r="55" spans="2:10">
      <c r="B55" s="133" t="str">
        <f>'Idaho Data'!B140</f>
        <v>Idaho Science &amp; Tech. Charter Sch</v>
      </c>
      <c r="C55" s="287">
        <f>'Idaho Data'!SV140</f>
        <v>0.38695652173913042</v>
      </c>
      <c r="D55" s="200">
        <f>'Idaho Data'!XV140</f>
        <v>7153.3740458015263</v>
      </c>
      <c r="E55" s="124">
        <f>'Idaho Data'!ST140</f>
        <v>262</v>
      </c>
      <c r="F55" s="200"/>
      <c r="I55" s="200">
        <f>'Idaho Data'!SE140</f>
        <v>0</v>
      </c>
      <c r="J55" s="200">
        <f>'Idaho Data'!XQ140</f>
        <v>5526</v>
      </c>
    </row>
    <row r="56" spans="2:10">
      <c r="B56" s="133" t="str">
        <f>'Idaho Data'!B131</f>
        <v>Inspire Charter School</v>
      </c>
      <c r="C56" s="287">
        <f>'Idaho Data'!SV131</f>
        <v>0.52716143840856922</v>
      </c>
      <c r="D56" s="200">
        <f>'Idaho Data'!XV131</f>
        <v>4807.1138828633402</v>
      </c>
      <c r="E56" s="124">
        <f>'Idaho Data'!ST131</f>
        <v>922</v>
      </c>
      <c r="F56" s="200"/>
      <c r="I56" s="200">
        <f>'Idaho Data'!SE131</f>
        <v>0</v>
      </c>
      <c r="J56" s="200">
        <f>'Idaho Data'!XQ131</f>
        <v>5630.8861171366598</v>
      </c>
    </row>
    <row r="57" spans="2:10">
      <c r="B57" s="133" t="str">
        <f>'Idaho Data'!B118</f>
        <v>Castleford Joint</v>
      </c>
      <c r="C57" s="287">
        <f>'Idaho Data'!SV118</f>
        <v>0.65346534653465349</v>
      </c>
      <c r="D57" s="200">
        <f>'Idaho Data'!XV118</f>
        <v>8147.1142857142859</v>
      </c>
      <c r="E57" s="124">
        <f>'Idaho Data'!ST118</f>
        <v>280</v>
      </c>
      <c r="F57" s="200"/>
      <c r="I57" s="200">
        <f>'Idaho Data'!SE118</f>
        <v>555701.07857142854</v>
      </c>
      <c r="J57" s="200">
        <f>'Idaho Data'!XQ118</f>
        <v>5841.7714285714283</v>
      </c>
    </row>
    <row r="58" spans="2:10">
      <c r="B58" s="133" t="str">
        <f>'Idaho Data'!B135</f>
        <v>Xavier Charter School</v>
      </c>
      <c r="C58" s="287">
        <f>'Idaho Data'!SV135</f>
        <v>0.28235294117647058</v>
      </c>
      <c r="D58" s="200">
        <f>'Idaho Data'!XV135</f>
        <v>5912.2050078247257</v>
      </c>
      <c r="E58" s="124">
        <f>'Idaho Data'!ST135</f>
        <v>639</v>
      </c>
      <c r="F58" s="200"/>
      <c r="I58" s="200">
        <f>'Idaho Data'!SE135</f>
        <v>0</v>
      </c>
      <c r="J58" s="200">
        <f>'Idaho Data'!XQ135</f>
        <v>5729.2253521126759</v>
      </c>
    </row>
    <row r="59" spans="2:10">
      <c r="B59" s="133" t="str">
        <f>'Idaho Data'!B116</f>
        <v>Hansen</v>
      </c>
      <c r="C59" s="287">
        <f>'Idaho Data'!SV116</f>
        <v>0.78333333333333333</v>
      </c>
      <c r="D59" s="200">
        <f>'Idaho Data'!XV116</f>
        <v>7710.021352313167</v>
      </c>
      <c r="E59" s="124">
        <f>'Idaho Data'!ST116</f>
        <v>281</v>
      </c>
      <c r="F59" s="200"/>
      <c r="I59" s="200">
        <f>'Idaho Data'!SE116</f>
        <v>494399.70818505337</v>
      </c>
      <c r="J59" s="200">
        <f>'Idaho Data'!XQ116</f>
        <v>5850.4804270462637</v>
      </c>
    </row>
    <row r="60" spans="2:10">
      <c r="B60" s="133" t="str">
        <f>'Idaho Data'!B148</f>
        <v>Blackfoot Charter Comm. Learning Ctr</v>
      </c>
      <c r="C60" s="287">
        <f>'Idaho Data'!SV148</f>
        <v>0.48063380281690143</v>
      </c>
      <c r="D60" s="200">
        <f>'Idaho Data'!XV148</f>
        <v>5105.1322115384619</v>
      </c>
      <c r="E60" s="124">
        <f>'Idaho Data'!ST148</f>
        <v>416</v>
      </c>
      <c r="F60" s="200"/>
      <c r="I60" s="200">
        <f>'Idaho Data'!SE148</f>
        <v>0</v>
      </c>
      <c r="J60" s="200">
        <f>'Idaho Data'!XQ148</f>
        <v>6090.5552884615381</v>
      </c>
    </row>
    <row r="61" spans="2:10">
      <c r="B61" s="133" t="str">
        <f>'Idaho Data'!B139</f>
        <v>iSucceed Virtual Charter School</v>
      </c>
      <c r="C61" s="287">
        <f>'Idaho Data'!SV139</f>
        <v>0.46889952153110048</v>
      </c>
      <c r="D61" s="200">
        <f>'Idaho Data'!XV139</f>
        <v>4755.9910913140311</v>
      </c>
      <c r="E61" s="124">
        <f>'Idaho Data'!ST139</f>
        <v>449</v>
      </c>
      <c r="F61" s="200"/>
      <c r="I61" s="200">
        <f>'Idaho Data'!SE139</f>
        <v>0</v>
      </c>
      <c r="J61" s="200">
        <f>'Idaho Data'!XQ139</f>
        <v>5526</v>
      </c>
    </row>
    <row r="62" spans="2:10">
      <c r="B62" s="133" t="str">
        <f>'Idaho Data'!B62</f>
        <v>Hagerman Joint</v>
      </c>
      <c r="C62" s="287">
        <f>'Idaho Data'!SV62</f>
        <v>0.71084337349397586</v>
      </c>
      <c r="D62" s="200">
        <f>'Idaho Data'!XV62</f>
        <v>8061.8859934853417</v>
      </c>
      <c r="E62" s="124">
        <f>'Idaho Data'!ST62</f>
        <v>307</v>
      </c>
      <c r="F62" s="200"/>
      <c r="I62" s="200">
        <f>'Idaho Data'!SE62</f>
        <v>514798.55374592834</v>
      </c>
      <c r="J62" s="200">
        <f>'Idaho Data'!XQ62</f>
        <v>5841</v>
      </c>
    </row>
    <row r="63" spans="2:10">
      <c r="B63" s="133" t="str">
        <f>'Idaho Data'!B19</f>
        <v>Plummer / Worley Joint</v>
      </c>
      <c r="C63" s="287">
        <f>'Idaho Data'!SV19</f>
        <v>0.67791411042944782</v>
      </c>
      <c r="D63" s="200">
        <f>'Idaho Data'!XV19</f>
        <v>7972.1467576791811</v>
      </c>
      <c r="E63" s="124">
        <f>'Idaho Data'!ST19</f>
        <v>293</v>
      </c>
      <c r="F63" s="200"/>
      <c r="I63" s="200">
        <f>'Idaho Data'!SE19</f>
        <v>1736504.5665529009</v>
      </c>
      <c r="J63" s="200">
        <f>'Idaho Data'!XQ19</f>
        <v>5874.9112627986351</v>
      </c>
    </row>
    <row r="64" spans="2:10">
      <c r="B64" s="133" t="str">
        <f>'Idaho Data'!B27</f>
        <v>Basin</v>
      </c>
      <c r="C64" s="287">
        <f>'Idaho Data'!SV27</f>
        <v>0.45454545454545453</v>
      </c>
      <c r="D64" s="200">
        <f>'Idaho Data'!XV27</f>
        <v>6932.4487951807232</v>
      </c>
      <c r="E64" s="124">
        <f>'Idaho Data'!ST27</f>
        <v>332</v>
      </c>
      <c r="F64" s="200"/>
      <c r="I64" s="200">
        <f>'Idaho Data'!SE27</f>
        <v>841338.00602409639</v>
      </c>
      <c r="J64" s="200">
        <f>'Idaho Data'!XQ27</f>
        <v>5659.1566265060237</v>
      </c>
    </row>
    <row r="65" spans="2:10">
      <c r="B65" s="133" t="str">
        <f>'Idaho Data'!B138</f>
        <v>North Valley Academy</v>
      </c>
      <c r="C65" s="287">
        <f>'Idaho Data'!SV138</f>
        <v>0.5761316872427984</v>
      </c>
      <c r="D65" s="200">
        <f>'Idaho Data'!XV138</f>
        <v>7167.1973094170407</v>
      </c>
      <c r="E65" s="124">
        <f>'Idaho Data'!ST138</f>
        <v>223</v>
      </c>
      <c r="F65" s="200"/>
      <c r="I65" s="200">
        <f>'Idaho Data'!SE138</f>
        <v>0</v>
      </c>
      <c r="J65" s="200">
        <f>'Idaho Data'!XQ138</f>
        <v>5823.3632286995517</v>
      </c>
    </row>
    <row r="66" spans="2:10">
      <c r="B66" s="133" t="str">
        <f>'Idaho Data'!B41</f>
        <v>Notus</v>
      </c>
      <c r="C66" s="287">
        <f>'Idaho Data'!SV41</f>
        <v>0.67007672634271098</v>
      </c>
      <c r="D66" s="200">
        <f>'Idaho Data'!XV41</f>
        <v>7417.4719999999998</v>
      </c>
      <c r="E66" s="124">
        <f>'Idaho Data'!ST41</f>
        <v>375</v>
      </c>
      <c r="F66" s="200"/>
      <c r="I66" s="200">
        <f>'Idaho Data'!SE41</f>
        <v>244914.48266666668</v>
      </c>
      <c r="J66" s="200">
        <f>'Idaho Data'!XQ41</f>
        <v>5724.9359999999997</v>
      </c>
    </row>
    <row r="67" spans="2:10">
      <c r="B67" s="133" t="str">
        <f>'Idaho Data'!B64</f>
        <v>Cottonwood Joint</v>
      </c>
      <c r="C67" s="287">
        <f>'Idaho Data'!SV64</f>
        <v>0.38141809290953543</v>
      </c>
      <c r="D67" s="200">
        <f>'Idaho Data'!XV64</f>
        <v>8255.7665782493368</v>
      </c>
      <c r="E67" s="124">
        <f>'Idaho Data'!ST64</f>
        <v>377</v>
      </c>
      <c r="F67" s="200"/>
      <c r="I67" s="200">
        <f>'Idaho Data'!SE64</f>
        <v>404009.68169761274</v>
      </c>
      <c r="J67" s="200">
        <f>'Idaho Data'!XQ64</f>
        <v>5731.2095490716183</v>
      </c>
    </row>
    <row r="68" spans="2:10">
      <c r="B68" s="133" t="str">
        <f>'Idaho Data'!B142</f>
        <v>Kootenai Bridge Academy</v>
      </c>
      <c r="C68" s="287">
        <f>'Idaho Data'!SV142</f>
        <v>0</v>
      </c>
      <c r="D68" s="200">
        <f>'Idaho Data'!XV142</f>
        <v>6302.1065573770493</v>
      </c>
      <c r="E68" s="124">
        <f>'Idaho Data'!ST142</f>
        <v>244</v>
      </c>
      <c r="F68" s="200"/>
      <c r="I68" s="200">
        <f>'Idaho Data'!SE142</f>
        <v>0</v>
      </c>
      <c r="J68" s="200">
        <f>'Idaho Data'!XQ142</f>
        <v>5526</v>
      </c>
    </row>
    <row r="69" spans="2:10">
      <c r="B69" s="133" t="str">
        <f>'Idaho Data'!B51</f>
        <v>Challis Joint</v>
      </c>
      <c r="C69" s="287">
        <f>'Idaho Data'!SV51</f>
        <v>0.38095238095238093</v>
      </c>
      <c r="D69" s="200">
        <f>'Idaho Data'!XV51</f>
        <v>7750.2253521126759</v>
      </c>
      <c r="E69" s="124">
        <f>'Idaho Data'!ST51</f>
        <v>355</v>
      </c>
      <c r="F69" s="200"/>
      <c r="I69" s="200">
        <f>'Idaho Data'!SE51</f>
        <v>1870354.6084507043</v>
      </c>
      <c r="J69" s="200">
        <f>'Idaho Data'!XQ51</f>
        <v>5650.5295774647884</v>
      </c>
    </row>
    <row r="70" spans="2:10">
      <c r="B70" s="133" t="e">
        <f>'Idaho Data'!#REF!</f>
        <v>#REF!</v>
      </c>
      <c r="C70" s="287" t="e">
        <f>'Idaho Data'!#REF!</f>
        <v>#REF!</v>
      </c>
      <c r="D70" s="200" t="e">
        <f>'Idaho Data'!#REF!</f>
        <v>#REF!</v>
      </c>
      <c r="E70" s="124" t="e">
        <f>'Idaho Data'!#REF!</f>
        <v>#REF!</v>
      </c>
      <c r="F70" s="200"/>
      <c r="I70" s="200" t="e">
        <f>'Idaho Data'!#REF!</f>
        <v>#REF!</v>
      </c>
      <c r="J70" s="200" t="e">
        <f>'Idaho Data'!#REF!</f>
        <v>#REF!</v>
      </c>
    </row>
    <row r="71" spans="2:10">
      <c r="B71" s="133" t="str">
        <f>'Idaho Data'!B125</f>
        <v>Victory Charter School</v>
      </c>
      <c r="C71" s="287">
        <f>'Idaho Data'!SV125</f>
        <v>0.36138613861386137</v>
      </c>
      <c r="D71" s="200">
        <f>'Idaho Data'!XV125</f>
        <v>6863.5691906005222</v>
      </c>
      <c r="E71" s="124">
        <f>'Idaho Data'!ST125</f>
        <v>383</v>
      </c>
      <c r="F71" s="200"/>
      <c r="I71" s="200">
        <f>'Idaho Data'!SE125</f>
        <v>0</v>
      </c>
      <c r="J71" s="200">
        <f>'Idaho Data'!XQ125</f>
        <v>5699.1383812010445</v>
      </c>
    </row>
    <row r="72" spans="2:10">
      <c r="B72" s="133" t="e">
        <f>'Idaho Data'!#REF!</f>
        <v>#REF!</v>
      </c>
      <c r="C72" s="287" t="e">
        <f>'Idaho Data'!#REF!</f>
        <v>#REF!</v>
      </c>
      <c r="D72" s="200" t="e">
        <f>'Idaho Data'!#REF!</f>
        <v>#REF!</v>
      </c>
      <c r="E72" s="124" t="e">
        <f>'Idaho Data'!#REF!</f>
        <v>#REF!</v>
      </c>
      <c r="F72" s="200"/>
      <c r="I72" s="200" t="e">
        <f>'Idaho Data'!#REF!</f>
        <v>#REF!</v>
      </c>
      <c r="J72" s="200" t="e">
        <f>'Idaho Data'!#REF!</f>
        <v>#REF!</v>
      </c>
    </row>
    <row r="73" spans="2:10">
      <c r="B73" s="133" t="str">
        <f>'Idaho Data'!B54</f>
        <v>Glenns Ferry Joint</v>
      </c>
      <c r="C73" s="287">
        <f>'Idaho Data'!SV54</f>
        <v>0.67441860465116277</v>
      </c>
      <c r="D73" s="200">
        <f>'Idaho Data'!XV54</f>
        <v>7010.4005167958658</v>
      </c>
      <c r="E73" s="124">
        <f>'Idaho Data'!ST54</f>
        <v>387</v>
      </c>
      <c r="F73" s="200"/>
      <c r="I73" s="200">
        <f>'Idaho Data'!SE54</f>
        <v>687170.07751937979</v>
      </c>
      <c r="J73" s="200">
        <f>'Idaho Data'!XQ54</f>
        <v>5697.3488372093025</v>
      </c>
    </row>
    <row r="74" spans="2:10">
      <c r="B74" s="133" t="str">
        <f>'Idaho Data'!B35</f>
        <v>Butte County</v>
      </c>
      <c r="C74" s="287">
        <f>'Idaho Data'!SV35</f>
        <v>0.46186440677966101</v>
      </c>
      <c r="D74" s="200">
        <f>'Idaho Data'!XV35</f>
        <v>7628.0841836734689</v>
      </c>
      <c r="E74" s="124">
        <f>'Idaho Data'!ST35</f>
        <v>392</v>
      </c>
      <c r="F74" s="200"/>
      <c r="I74" s="200">
        <f>'Idaho Data'!SE35</f>
        <v>401072.45663265308</v>
      </c>
      <c r="J74" s="200">
        <f>'Idaho Data'!XQ35</f>
        <v>5779.7448979591836</v>
      </c>
    </row>
    <row r="75" spans="2:10">
      <c r="B75" s="133" t="str">
        <f>'Idaho Data'!B39</f>
        <v>Wilder</v>
      </c>
      <c r="C75" s="287">
        <f>'Idaho Data'!SV39</f>
        <v>0</v>
      </c>
      <c r="D75" s="200">
        <f>'Idaho Data'!XV39</f>
        <v>7065.8255528255531</v>
      </c>
      <c r="E75" s="124">
        <f>'Idaho Data'!ST39</f>
        <v>407</v>
      </c>
      <c r="F75" s="200"/>
      <c r="I75" s="200">
        <f>'Idaho Data'!SE39</f>
        <v>467336.24815724813</v>
      </c>
      <c r="J75" s="200">
        <f>'Idaho Data'!XQ39</f>
        <v>5817.9140049140051</v>
      </c>
    </row>
    <row r="76" spans="2:10">
      <c r="B76" s="133" t="str">
        <f>'Idaho Data'!B85</f>
        <v>Kamiah Joint</v>
      </c>
      <c r="C76" s="287">
        <f>'Idaho Data'!SV85</f>
        <v>0.93548387096774188</v>
      </c>
      <c r="D76" s="200">
        <f>'Idaho Data'!XV85</f>
        <v>6913.005037783375</v>
      </c>
      <c r="E76" s="124">
        <f>'Idaho Data'!ST85</f>
        <v>397</v>
      </c>
      <c r="F76" s="200"/>
      <c r="I76" s="200">
        <f>'Idaho Data'!SE85</f>
        <v>504261.69269521412</v>
      </c>
      <c r="J76" s="200">
        <f>'Idaho Data'!XQ85</f>
        <v>5748.7103274559195</v>
      </c>
    </row>
    <row r="77" spans="2:10">
      <c r="B77" s="133" t="str">
        <f>'Idaho Data'!B45</f>
        <v>Grace Joint</v>
      </c>
      <c r="C77" s="287">
        <f>'Idaho Data'!SV45</f>
        <v>0.47544204322200395</v>
      </c>
      <c r="D77" s="200">
        <f>'Idaho Data'!XV45</f>
        <v>7376.0881720430107</v>
      </c>
      <c r="E77" s="124">
        <f>'Idaho Data'!ST45</f>
        <v>465</v>
      </c>
      <c r="F77" s="200"/>
      <c r="I77" s="200">
        <f>'Idaho Data'!SE45</f>
        <v>296314.29247311829</v>
      </c>
      <c r="J77" s="200">
        <f>'Idaho Data'!XQ45</f>
        <v>5823.0967741935483</v>
      </c>
    </row>
    <row r="78" spans="2:10">
      <c r="B78" s="133" t="str">
        <f>'Idaho Data'!B128</f>
        <v>Rolling Hills Charter School</v>
      </c>
      <c r="C78" s="287">
        <f>'Idaho Data'!SV128</f>
        <v>0.35080645161290325</v>
      </c>
      <c r="D78" s="200">
        <f>'Idaho Data'!XV128</f>
        <v>6056.1872146118722</v>
      </c>
      <c r="E78" s="124">
        <f>'Idaho Data'!ST128</f>
        <v>219</v>
      </c>
      <c r="F78" s="200"/>
      <c r="I78" s="200">
        <f>'Idaho Data'!SE128</f>
        <v>0</v>
      </c>
      <c r="J78" s="200">
        <f>'Idaho Data'!XQ128</f>
        <v>5828.7945205479455</v>
      </c>
    </row>
    <row r="79" spans="2:10">
      <c r="B79" s="133" t="str">
        <f>'Idaho Data'!B79</f>
        <v>Potlatch</v>
      </c>
      <c r="C79" s="287">
        <f>'Idaho Data'!SV79</f>
        <v>0.43973214285714285</v>
      </c>
      <c r="D79" s="200">
        <f>'Idaho Data'!XV79</f>
        <v>7381.3052884615381</v>
      </c>
      <c r="E79" s="124">
        <f>'Idaho Data'!ST79</f>
        <v>416</v>
      </c>
      <c r="F79" s="200"/>
      <c r="I79" s="200">
        <f>'Idaho Data'!SE79</f>
        <v>555171.33894230775</v>
      </c>
      <c r="J79" s="200">
        <f>'Idaho Data'!XQ79</f>
        <v>5791.6730769230771</v>
      </c>
    </row>
    <row r="80" spans="2:10">
      <c r="B80" s="133" t="str">
        <f>'Idaho Data'!B143</f>
        <v>Palouse Prairie Charter School</v>
      </c>
      <c r="C80" s="287">
        <f>'Idaho Data'!SV143</f>
        <v>0.30857142857142855</v>
      </c>
      <c r="D80" s="200">
        <f>'Idaho Data'!XV143</f>
        <v>6600.5374149659865</v>
      </c>
      <c r="E80" s="124">
        <f>'Idaho Data'!ST143</f>
        <v>147</v>
      </c>
      <c r="F80" s="200"/>
      <c r="I80" s="200">
        <f>'Idaho Data'!SE143</f>
        <v>0</v>
      </c>
      <c r="J80" s="200">
        <f>'Idaho Data'!XQ143</f>
        <v>5920.7142857142853</v>
      </c>
    </row>
    <row r="81" spans="2:10">
      <c r="B81" s="133" t="str">
        <f>'Idaho Data'!B94</f>
        <v>Lapwai</v>
      </c>
      <c r="C81" s="287">
        <f>'Idaho Data'!SV94</f>
        <v>0.8899253731343284</v>
      </c>
      <c r="D81" s="200">
        <f>'Idaho Data'!XV94</f>
        <v>7226.6258351893093</v>
      </c>
      <c r="E81" s="124">
        <f>'Idaho Data'!ST94</f>
        <v>449</v>
      </c>
      <c r="F81" s="200"/>
      <c r="I81" s="200">
        <f>'Idaho Data'!SE94</f>
        <v>319092.28953229397</v>
      </c>
      <c r="J81" s="200">
        <f>'Idaho Data'!XQ94</f>
        <v>5759.8396436525609</v>
      </c>
    </row>
    <row r="82" spans="2:10">
      <c r="B82" s="133" t="str">
        <f>'Idaho Data'!B109</f>
        <v>Wallace</v>
      </c>
      <c r="C82" s="287">
        <f>'Idaho Data'!SV109</f>
        <v>0.50819672131147542</v>
      </c>
      <c r="D82" s="200">
        <f>'Idaho Data'!XV109</f>
        <v>6935.1768558951962</v>
      </c>
      <c r="E82" s="124">
        <f>'Idaho Data'!ST109</f>
        <v>458</v>
      </c>
      <c r="F82" s="200"/>
      <c r="I82" s="200">
        <f>'Idaho Data'!SE109</f>
        <v>522970.08515283844</v>
      </c>
      <c r="J82" s="200">
        <f>'Idaho Data'!XQ109</f>
        <v>5694.9170305676853</v>
      </c>
    </row>
    <row r="83" spans="2:10">
      <c r="B83" s="133" t="str">
        <f>'Idaho Data'!B87</f>
        <v>Shoshone Joint</v>
      </c>
      <c r="C83" s="287">
        <f>'Idaho Data'!SV87</f>
        <v>0.6987951807228916</v>
      </c>
      <c r="D83" s="200">
        <f>'Idaho Data'!XV87</f>
        <v>7169.6906779661012</v>
      </c>
      <c r="E83" s="124">
        <f>'Idaho Data'!ST87</f>
        <v>472</v>
      </c>
      <c r="F83" s="200"/>
      <c r="I83" s="200">
        <f>'Idaho Data'!SE87</f>
        <v>364583.89406779659</v>
      </c>
      <c r="J83" s="200">
        <f>'Idaho Data'!XQ87</f>
        <v>5783.5677966101694</v>
      </c>
    </row>
    <row r="84" spans="2:10">
      <c r="B84" s="133" t="str">
        <f>'Idaho Data'!B71</f>
        <v>Valley</v>
      </c>
      <c r="C84" s="287">
        <f>'Idaho Data'!SV71</f>
        <v>0.60273972602739723</v>
      </c>
      <c r="D84" s="200">
        <f>'Idaho Data'!XV71</f>
        <v>6856.8345323741005</v>
      </c>
      <c r="E84" s="124">
        <f>'Idaho Data'!ST71</f>
        <v>556</v>
      </c>
      <c r="F84" s="200"/>
      <c r="I84" s="200">
        <f>'Idaho Data'!SE71</f>
        <v>381797.85791366908</v>
      </c>
      <c r="J84" s="200">
        <f>'Idaho Data'!XQ71</f>
        <v>5714.8381294964029</v>
      </c>
    </row>
    <row r="85" spans="2:10">
      <c r="B85" s="133" t="str">
        <f>'Idaho Data'!B57</f>
        <v>West Side Joint</v>
      </c>
      <c r="C85" s="287">
        <f>'Idaho Data'!SV57</f>
        <v>0.47807017543859648</v>
      </c>
      <c r="D85" s="200">
        <f>'Idaho Data'!XV57</f>
        <v>6179.1092150170653</v>
      </c>
      <c r="E85" s="124">
        <f>'Idaho Data'!ST57</f>
        <v>586</v>
      </c>
      <c r="F85" s="200"/>
      <c r="I85" s="200">
        <f>'Idaho Data'!SE57</f>
        <v>237204.09897610921</v>
      </c>
      <c r="J85" s="200">
        <f>'Idaho Data'!XQ57</f>
        <v>5775.8959044368603</v>
      </c>
    </row>
    <row r="86" spans="2:10">
      <c r="B86" s="133" t="str">
        <f>'Idaho Data'!B69</f>
        <v>West Jefferson</v>
      </c>
      <c r="C86" s="287">
        <f>'Idaho Data'!SV69</f>
        <v>0.5088282504012841</v>
      </c>
      <c r="D86" s="200">
        <f>'Idaho Data'!XV69</f>
        <v>6925.6098807495737</v>
      </c>
      <c r="E86" s="124">
        <f>'Idaho Data'!ST69</f>
        <v>587</v>
      </c>
      <c r="F86" s="200"/>
      <c r="I86" s="200">
        <f>'Idaho Data'!SE69</f>
        <v>291589.19761499146</v>
      </c>
      <c r="J86" s="200">
        <f>'Idaho Data'!XQ69</f>
        <v>5695.4514480408861</v>
      </c>
    </row>
    <row r="87" spans="2:10">
      <c r="B87" s="133" t="str">
        <f>'Idaho Data'!B126</f>
        <v>Idaho Virtual Academy</v>
      </c>
      <c r="C87" s="287">
        <f>'Idaho Data'!SV126</f>
        <v>0.53649105848235867</v>
      </c>
      <c r="D87" s="200">
        <f>'Idaho Data'!XV126</f>
        <v>5106.1802674043338</v>
      </c>
      <c r="E87" s="124">
        <f>'Idaho Data'!ST126</f>
        <v>2169</v>
      </c>
      <c r="F87" s="200"/>
      <c r="I87" s="200">
        <f>'Idaho Data'!SE126</f>
        <v>0</v>
      </c>
      <c r="J87" s="200">
        <f>'Idaho Data'!XQ126</f>
        <v>5673.767634854772</v>
      </c>
    </row>
    <row r="88" spans="2:10">
      <c r="B88" s="133" t="e">
        <f>'Idaho Data'!#REF!</f>
        <v>#REF!</v>
      </c>
      <c r="C88" s="287" t="e">
        <f>'Idaho Data'!#REF!</f>
        <v>#REF!</v>
      </c>
      <c r="D88" s="200" t="e">
        <f>'Idaho Data'!#REF!</f>
        <v>#REF!</v>
      </c>
      <c r="E88" s="124" t="e">
        <f>'Idaho Data'!#REF!</f>
        <v>#REF!</v>
      </c>
      <c r="F88" s="200"/>
      <c r="I88" s="200" t="e">
        <f>'Idaho Data'!#REF!</f>
        <v>#REF!</v>
      </c>
      <c r="J88" s="200" t="e">
        <f>'Idaho Data'!#REF!</f>
        <v>#REF!</v>
      </c>
    </row>
    <row r="89" spans="2:10">
      <c r="B89" s="133" t="str">
        <f>'Idaho Data'!B127</f>
        <v>Richard McKenna Charter School</v>
      </c>
      <c r="C89" s="287">
        <f>'Idaho Data'!SV127</f>
        <v>0</v>
      </c>
      <c r="D89" s="200">
        <f>'Idaho Data'!XV127</f>
        <v>7100.8278931750738</v>
      </c>
      <c r="E89" s="124">
        <f>'Idaho Data'!ST127</f>
        <v>337</v>
      </c>
      <c r="F89" s="200"/>
      <c r="I89" s="200">
        <f>'Idaho Data'!SE127</f>
        <v>0</v>
      </c>
      <c r="J89" s="200">
        <f>'Idaho Data'!XQ127</f>
        <v>5526</v>
      </c>
    </row>
    <row r="90" spans="2:10">
      <c r="B90" s="133" t="str">
        <f>'Idaho Data'!B68</f>
        <v>Ririe Joint</v>
      </c>
      <c r="C90" s="287">
        <f>'Idaho Data'!SV68</f>
        <v>0.47520661157024796</v>
      </c>
      <c r="D90" s="200">
        <f>'Idaho Data'!XV68</f>
        <v>6609.5377777777776</v>
      </c>
      <c r="E90" s="124">
        <f>'Idaho Data'!ST68</f>
        <v>675</v>
      </c>
      <c r="F90" s="200"/>
      <c r="I90" s="200">
        <f>'Idaho Data'!SE68</f>
        <v>198510.04148148149</v>
      </c>
      <c r="J90" s="200">
        <f>'Idaho Data'!XQ68</f>
        <v>5648.8</v>
      </c>
    </row>
    <row r="91" spans="2:10">
      <c r="B91" s="133" t="str">
        <f>'Idaho Data'!B152</f>
        <v>Heritage Community Charter Sch</v>
      </c>
      <c r="C91" s="287">
        <f>'Idaho Data'!SV152</f>
        <v>0.71296296296296291</v>
      </c>
      <c r="D91" s="200">
        <f>'Idaho Data'!XV152</f>
        <v>5695.4425162689804</v>
      </c>
      <c r="E91" s="124">
        <f>'Idaho Data'!ST152</f>
        <v>461</v>
      </c>
      <c r="F91" s="200"/>
      <c r="I91" s="200">
        <f>'Idaho Data'!SE152</f>
        <v>0</v>
      </c>
      <c r="J91" s="200">
        <f>'Idaho Data'!XQ152</f>
        <v>5885.609544468547</v>
      </c>
    </row>
    <row r="92" spans="2:10">
      <c r="B92" s="133" t="str">
        <f>'Idaho Data'!B151</f>
        <v>N. Idaho STEM Charter</v>
      </c>
      <c r="C92" s="287">
        <f>'Idaho Data'!SV151</f>
        <v>0</v>
      </c>
      <c r="D92" s="200">
        <f>'Idaho Data'!XV151</f>
        <v>5740.6537467700255</v>
      </c>
      <c r="E92" s="124">
        <f>'Idaho Data'!ST151</f>
        <v>387</v>
      </c>
      <c r="F92" s="200"/>
      <c r="I92" s="200">
        <f>'Idaho Data'!SE151</f>
        <v>0</v>
      </c>
      <c r="J92" s="200">
        <f>'Idaho Data'!XQ151</f>
        <v>5861.5581395348836</v>
      </c>
    </row>
    <row r="93" spans="2:10">
      <c r="B93" s="133" t="str">
        <f>'Idaho Data'!B22</f>
        <v>Aberdeen</v>
      </c>
      <c r="C93" s="287">
        <f>'Idaho Data'!SV22</f>
        <v>0.70292887029288698</v>
      </c>
      <c r="D93" s="200">
        <f>'Idaho Data'!XV22</f>
        <v>6599.3187969924811</v>
      </c>
      <c r="E93" s="124">
        <f>'Idaho Data'!ST22</f>
        <v>665</v>
      </c>
      <c r="F93" s="200"/>
      <c r="I93" s="200">
        <f>'Idaho Data'!SE22</f>
        <v>320175.05263157893</v>
      </c>
      <c r="J93" s="200">
        <f>'Idaho Data'!XQ22</f>
        <v>5783.6030075187973</v>
      </c>
    </row>
    <row r="94" spans="2:10">
      <c r="B94" s="133" t="str">
        <f>'Idaho Data'!B23</f>
        <v>Firth</v>
      </c>
      <c r="C94" s="287">
        <f>'Idaho Data'!SV23</f>
        <v>0.55466666666666664</v>
      </c>
      <c r="D94" s="200">
        <f>'Idaho Data'!XV23</f>
        <v>6390.5517751479292</v>
      </c>
      <c r="E94" s="124">
        <f>'Idaho Data'!ST23</f>
        <v>676</v>
      </c>
      <c r="F94" s="200"/>
      <c r="I94" s="200">
        <f>'Idaho Data'!SE23</f>
        <v>282951.24408284022</v>
      </c>
      <c r="J94" s="200">
        <f>'Idaho Data'!XQ23</f>
        <v>5787.5857988165681</v>
      </c>
    </row>
    <row r="95" spans="2:10">
      <c r="B95" s="133" t="str">
        <f>'Idaho Data'!B82</f>
        <v>Salmon</v>
      </c>
      <c r="C95" s="287">
        <f>'Idaho Data'!SV82</f>
        <v>0.62875816993464051</v>
      </c>
      <c r="D95" s="200">
        <f>'Idaho Data'!XV82</f>
        <v>6811.7935578330889</v>
      </c>
      <c r="E95" s="124">
        <f>'Idaho Data'!ST82</f>
        <v>683</v>
      </c>
      <c r="F95" s="200"/>
      <c r="I95" s="200">
        <f>'Idaho Data'!SE82</f>
        <v>777098.77159590041</v>
      </c>
      <c r="J95" s="200">
        <f>'Idaho Data'!XQ82</f>
        <v>5776.8140556368962</v>
      </c>
    </row>
    <row r="96" spans="2:10">
      <c r="B96" s="133" t="str">
        <f>'Idaho Data'!B47</f>
        <v>Soda Springs Joint</v>
      </c>
      <c r="C96" s="287">
        <f>'Idaho Data'!SV47</f>
        <v>0.34972677595628415</v>
      </c>
      <c r="D96" s="200">
        <f>'Idaho Data'!XV47</f>
        <v>6306.1610389610387</v>
      </c>
      <c r="E96" s="124">
        <f>'Idaho Data'!ST47</f>
        <v>770</v>
      </c>
      <c r="F96" s="200"/>
      <c r="I96" s="200">
        <f>'Idaho Data'!SE47</f>
        <v>770654.95064935065</v>
      </c>
      <c r="J96" s="200">
        <f>'Idaho Data'!XQ47</f>
        <v>5755.6519480519482</v>
      </c>
    </row>
    <row r="97" spans="2:10">
      <c r="B97" s="133" t="str">
        <f>'Idaho Data'!B42</f>
        <v>Melba Joint</v>
      </c>
      <c r="C97" s="287">
        <f>'Idaho Data'!SV42</f>
        <v>0.50686641697877655</v>
      </c>
      <c r="D97" s="200">
        <f>'Idaho Data'!XV42</f>
        <v>6399.2971887550202</v>
      </c>
      <c r="E97" s="124">
        <f>'Idaho Data'!ST42</f>
        <v>747</v>
      </c>
      <c r="F97" s="200"/>
      <c r="I97" s="200">
        <f>'Idaho Data'!SE42</f>
        <v>303068.6265060241</v>
      </c>
      <c r="J97" s="200">
        <f>'Idaho Data'!XQ42</f>
        <v>5710.939759036145</v>
      </c>
    </row>
    <row r="98" spans="2:10">
      <c r="B98" s="133" t="str">
        <f>'Idaho Data'!B137</f>
        <v>White Pine Charter School</v>
      </c>
      <c r="C98" s="287">
        <f>'Idaho Data'!SV137</f>
        <v>0.30804597701149428</v>
      </c>
      <c r="D98" s="200">
        <f>'Idaho Data'!XV137</f>
        <v>6040.3269754768389</v>
      </c>
      <c r="E98" s="124">
        <f>'Idaho Data'!ST137</f>
        <v>367</v>
      </c>
      <c r="F98" s="200"/>
      <c r="I98" s="200">
        <f>'Idaho Data'!SE137</f>
        <v>0</v>
      </c>
      <c r="J98" s="200">
        <f>'Idaho Data'!XQ137</f>
        <v>6045.4741144414165</v>
      </c>
    </row>
    <row r="99" spans="2:10">
      <c r="B99" s="133" t="str">
        <f>'Idaho Data'!B97</f>
        <v>Marsing Joint</v>
      </c>
      <c r="C99" s="287">
        <f>'Idaho Data'!SV97</f>
        <v>0.66383495145631066</v>
      </c>
      <c r="D99" s="200">
        <f>'Idaho Data'!XV97</f>
        <v>5988.2157622739014</v>
      </c>
      <c r="E99" s="124">
        <f>'Idaho Data'!ST97</f>
        <v>774</v>
      </c>
      <c r="F99" s="200"/>
      <c r="I99" s="200">
        <f>'Idaho Data'!SE97</f>
        <v>294019.7002583979</v>
      </c>
      <c r="J99" s="200">
        <f>'Idaho Data'!XQ97</f>
        <v>5722.3372093023254</v>
      </c>
    </row>
    <row r="100" spans="2:10">
      <c r="B100" s="133" t="str">
        <f>'Idaho Data'!B96</f>
        <v>Oneida County</v>
      </c>
      <c r="C100" s="287">
        <f>'Idaho Data'!SV96</f>
        <v>0.46754675467546752</v>
      </c>
      <c r="D100" s="200">
        <f>'Idaho Data'!XV96</f>
        <v>5927.1212500000001</v>
      </c>
      <c r="E100" s="124">
        <f>'Idaho Data'!ST96</f>
        <v>800</v>
      </c>
      <c r="F100" s="200"/>
      <c r="I100" s="200">
        <f>'Idaho Data'!SE96</f>
        <v>376037.255</v>
      </c>
      <c r="J100" s="200">
        <f>'Idaho Data'!XQ96</f>
        <v>5781.5775000000003</v>
      </c>
    </row>
    <row r="101" spans="2:10">
      <c r="B101" s="133" t="str">
        <f>'Idaho Data'!B18</f>
        <v>St. Maries Joint</v>
      </c>
      <c r="C101" s="287">
        <f>'Idaho Data'!SV18</f>
        <v>0.50708833151581245</v>
      </c>
      <c r="D101" s="200">
        <f>'Idaho Data'!XV18</f>
        <v>6517.6405693950182</v>
      </c>
      <c r="E101" s="124">
        <f>'Idaho Data'!ST18</f>
        <v>843</v>
      </c>
      <c r="F101" s="200"/>
      <c r="I101" s="200">
        <f>'Idaho Data'!SE18</f>
        <v>534803.24436536175</v>
      </c>
      <c r="J101" s="200">
        <f>'Idaho Data'!XQ18</f>
        <v>5758.7081850533805</v>
      </c>
    </row>
    <row r="102" spans="2:10">
      <c r="B102" s="133" t="str">
        <f>'Idaho Data'!B102</f>
        <v>New Plymouth</v>
      </c>
      <c r="C102" s="287">
        <f>'Idaho Data'!SV102</f>
        <v>0.46262626262626261</v>
      </c>
      <c r="D102" s="200">
        <f>'Idaho Data'!XV102</f>
        <v>6389.7621744054359</v>
      </c>
      <c r="E102" s="124">
        <f>'Idaho Data'!ST102</f>
        <v>883</v>
      </c>
      <c r="F102" s="200"/>
      <c r="I102" s="200">
        <f>'Idaho Data'!SE102</f>
        <v>438377.30690826726</v>
      </c>
      <c r="J102" s="200">
        <f>'Idaho Data'!XQ102</f>
        <v>5741.9082672706681</v>
      </c>
    </row>
    <row r="103" spans="2:10">
      <c r="B103" s="133" t="e">
        <f>'Idaho Data'!#REF!</f>
        <v>#REF!</v>
      </c>
      <c r="C103" s="287" t="e">
        <f>'Idaho Data'!#REF!</f>
        <v>#REF!</v>
      </c>
      <c r="D103" s="200" t="e">
        <f>'Idaho Data'!#REF!</f>
        <v>#REF!</v>
      </c>
      <c r="E103" s="124" t="e">
        <f>'Idaho Data'!#REF!</f>
        <v>#REF!</v>
      </c>
      <c r="F103" s="200"/>
      <c r="I103" s="200" t="e">
        <f>'Idaho Data'!#REF!</f>
        <v>#REF!</v>
      </c>
      <c r="J103" s="200" t="e">
        <f>'Idaho Data'!#REF!</f>
        <v>#REF!</v>
      </c>
    </row>
    <row r="104" spans="2:10">
      <c r="B104" s="133" t="str">
        <f>'Idaho Data'!B153</f>
        <v>American Heritage Charter School</v>
      </c>
      <c r="C104" s="287">
        <f>'Idaho Data'!SV153</f>
        <v>0.2857142857142857</v>
      </c>
      <c r="D104" s="200">
        <f>'Idaho Data'!XV153</f>
        <v>6064.0423728813557</v>
      </c>
      <c r="E104" s="124">
        <f>'Idaho Data'!ST153</f>
        <v>236</v>
      </c>
      <c r="F104" s="200"/>
      <c r="I104" s="200">
        <f>'Idaho Data'!SE153</f>
        <v>0</v>
      </c>
      <c r="J104" s="200">
        <f>'Idaho Data'!XQ153</f>
        <v>5806.9830508474579</v>
      </c>
    </row>
    <row r="105" spans="2:10">
      <c r="B105" s="133" t="str">
        <f>'Idaho Data'!B120</f>
        <v>McCall-Donnelly Joint</v>
      </c>
      <c r="C105" s="287">
        <f>'Idaho Data'!SV120</f>
        <v>0.33653846153846156</v>
      </c>
      <c r="D105" s="200">
        <f>'Idaho Data'!XV120</f>
        <v>6222.62951496388</v>
      </c>
      <c r="E105" s="124">
        <f>'Idaho Data'!ST120</f>
        <v>969</v>
      </c>
      <c r="F105" s="200"/>
      <c r="I105" s="200">
        <f>'Idaho Data'!SE120</f>
        <v>2930262.5644994839</v>
      </c>
      <c r="J105" s="200">
        <f>'Idaho Data'!XQ120</f>
        <v>5725.5975232198143</v>
      </c>
    </row>
    <row r="106" spans="2:10">
      <c r="B106" s="133" t="str">
        <f>'Idaho Data'!B43</f>
        <v>Parma</v>
      </c>
      <c r="C106" s="287">
        <f>'Idaho Data'!SV43</f>
        <v>0.69078014184397163</v>
      </c>
      <c r="D106" s="200">
        <f>'Idaho Data'!XV43</f>
        <v>6243.4522292993634</v>
      </c>
      <c r="E106" s="124">
        <f>'Idaho Data'!ST43</f>
        <v>942</v>
      </c>
      <c r="F106" s="200"/>
      <c r="I106" s="200">
        <f>'Idaho Data'!SE43</f>
        <v>292204.2823779193</v>
      </c>
      <c r="J106" s="200">
        <f>'Idaho Data'!XQ43</f>
        <v>5766.5159235668789</v>
      </c>
    </row>
    <row r="107" spans="2:10">
      <c r="B107" s="133" t="str">
        <f>'Idaho Data'!B50</f>
        <v>Orofino Joint</v>
      </c>
      <c r="C107" s="287">
        <f>'Idaho Data'!SV50</f>
        <v>0.57473684210526321</v>
      </c>
      <c r="D107" s="200">
        <f>'Idaho Data'!XV50</f>
        <v>7731.6989351403681</v>
      </c>
      <c r="E107" s="124">
        <f>'Idaho Data'!ST50</f>
        <v>1033</v>
      </c>
      <c r="F107" s="200"/>
      <c r="I107" s="200">
        <f>'Idaho Data'!SE50</f>
        <v>514476.51306873187</v>
      </c>
      <c r="J107" s="200">
        <f>'Idaho Data'!XQ50</f>
        <v>5718.5808325266216</v>
      </c>
    </row>
    <row r="108" spans="2:10">
      <c r="B108" s="133" t="str">
        <f>'Idaho Data'!B17</f>
        <v>Bear Lake County</v>
      </c>
      <c r="C108" s="287">
        <f>'Idaho Data'!SV17</f>
        <v>0.46146872166817771</v>
      </c>
      <c r="D108" s="200">
        <f>'Idaho Data'!XV17</f>
        <v>6294.3838383838383</v>
      </c>
      <c r="E108" s="124">
        <f>'Idaho Data'!ST17</f>
        <v>990</v>
      </c>
      <c r="F108" s="200"/>
      <c r="I108" s="200">
        <f>'Idaho Data'!SE17</f>
        <v>825628.6</v>
      </c>
      <c r="J108" s="200">
        <f>'Idaho Data'!XQ17</f>
        <v>5819.045454545455</v>
      </c>
    </row>
    <row r="109" spans="2:10">
      <c r="B109" s="133" t="str">
        <f>'Idaho Data'!B29</f>
        <v>West Bonner County</v>
      </c>
      <c r="C109" s="287">
        <f>'Idaho Data'!SV29</f>
        <v>0.5542056074766355</v>
      </c>
      <c r="D109" s="200">
        <f>'Idaho Data'!XV29</f>
        <v>6095.9105367793245</v>
      </c>
      <c r="E109" s="124">
        <f>'Idaho Data'!ST29</f>
        <v>1006</v>
      </c>
      <c r="F109" s="200"/>
      <c r="I109" s="200">
        <f>'Idaho Data'!SE29</f>
        <v>1630195.6093439364</v>
      </c>
      <c r="J109" s="200">
        <f>'Idaho Data'!XQ29</f>
        <v>5710.0168986083499</v>
      </c>
    </row>
    <row r="110" spans="2:10">
      <c r="B110" s="133" t="str">
        <f>'Idaho Data'!B61</f>
        <v>Wendell</v>
      </c>
      <c r="C110" s="287">
        <f>'Idaho Data'!SV61</f>
        <v>0.77683854606931535</v>
      </c>
      <c r="D110" s="200">
        <f>'Idaho Data'!XV61</f>
        <v>5959.7809798270891</v>
      </c>
      <c r="E110" s="124">
        <f>'Idaho Data'!ST61</f>
        <v>1041</v>
      </c>
      <c r="F110" s="200"/>
      <c r="I110" s="200">
        <f>'Idaho Data'!SE61</f>
        <v>259798.49471661865</v>
      </c>
      <c r="J110" s="200">
        <f>'Idaho Data'!XQ61</f>
        <v>5767.5302593659944</v>
      </c>
    </row>
    <row r="111" spans="2:10">
      <c r="B111" s="133" t="str">
        <f>'Idaho Data'!B107</f>
        <v>Kellogg</v>
      </c>
      <c r="C111" s="287">
        <f>'Idaho Data'!SV107</f>
        <v>0.49909420289855072</v>
      </c>
      <c r="D111" s="200">
        <f>'Idaho Data'!XV107</f>
        <v>6153.0099700897308</v>
      </c>
      <c r="E111" s="124">
        <f>'Idaho Data'!ST107</f>
        <v>1003</v>
      </c>
      <c r="F111" s="200"/>
      <c r="I111" s="200">
        <f>'Idaho Data'!SE107</f>
        <v>527574.146560319</v>
      </c>
      <c r="J111" s="200">
        <f>'Idaho Data'!XQ107</f>
        <v>5735.3599202392825</v>
      </c>
    </row>
    <row r="112" spans="2:10">
      <c r="B112" s="133" t="str">
        <f>'Idaho Data'!B66</f>
        <v>Mountain View</v>
      </c>
      <c r="C112" s="287">
        <f>'Idaho Data'!SV66</f>
        <v>0.51584786053882725</v>
      </c>
      <c r="D112" s="200">
        <f>'Idaho Data'!XV66</f>
        <v>6697.7443744374441</v>
      </c>
      <c r="E112" s="124">
        <f>'Idaho Data'!ST66</f>
        <v>1111</v>
      </c>
      <c r="F112" s="200"/>
      <c r="I112" s="200">
        <f>'Idaho Data'!SE66</f>
        <v>743623.04950495053</v>
      </c>
      <c r="J112" s="200">
        <f>'Idaho Data'!XQ66</f>
        <v>5769.7209720972096</v>
      </c>
    </row>
    <row r="113" spans="2:10">
      <c r="B113" s="133" t="str">
        <f>'Idaho Data'!B100</f>
        <v>Homedale Joint</v>
      </c>
      <c r="C113" s="287">
        <f>'Idaho Data'!SV100</f>
        <v>0.60843881856540083</v>
      </c>
      <c r="D113" s="200">
        <f>'Idaho Data'!XV100</f>
        <v>5574.1235452103847</v>
      </c>
      <c r="E113" s="124">
        <f>'Idaho Data'!ST100</f>
        <v>1117</v>
      </c>
      <c r="F113" s="200"/>
      <c r="I113" s="200">
        <f>'Idaho Data'!SE100</f>
        <v>219840.57743957028</v>
      </c>
      <c r="J113" s="200">
        <f>'Idaho Data'!XQ100</f>
        <v>5718.9400179051026</v>
      </c>
    </row>
    <row r="114" spans="2:10">
      <c r="B114" s="133" t="str">
        <f>'Idaho Data'!B113</f>
        <v>Buhl Joint</v>
      </c>
      <c r="C114" s="287">
        <f>'Idaho Data'!SV113</f>
        <v>0.66640502354788067</v>
      </c>
      <c r="D114" s="200">
        <f>'Idaho Data'!XV113</f>
        <v>5778.2738095238092</v>
      </c>
      <c r="E114" s="124">
        <f>'Idaho Data'!ST113</f>
        <v>1176</v>
      </c>
      <c r="F114" s="200"/>
      <c r="I114" s="200">
        <f>'Idaho Data'!SE113</f>
        <v>494659.71428571426</v>
      </c>
      <c r="J114" s="200">
        <f>'Idaho Data'!XQ113</f>
        <v>5756.25</v>
      </c>
    </row>
    <row r="115" spans="2:10">
      <c r="B115" s="133" t="str">
        <f>'Idaho Data'!B60</f>
        <v>Gooding Joint</v>
      </c>
      <c r="C115" s="287">
        <f>'Idaho Data'!SV60</f>
        <v>0.67711598746081503</v>
      </c>
      <c r="D115" s="200">
        <f>'Idaho Data'!XV60</f>
        <v>6091.2372013651875</v>
      </c>
      <c r="E115" s="124">
        <f>'Idaho Data'!ST60</f>
        <v>1172</v>
      </c>
      <c r="F115" s="200"/>
      <c r="I115" s="200">
        <f>'Idaho Data'!SE60</f>
        <v>353929.64761092153</v>
      </c>
      <c r="J115" s="200">
        <f>'Idaho Data'!XQ60</f>
        <v>5742.8907849829347</v>
      </c>
    </row>
    <row r="116" spans="2:10">
      <c r="B116" s="133" t="str">
        <f>'Idaho Data'!B15</f>
        <v>Marsh Valley Joint</v>
      </c>
      <c r="C116" s="287">
        <f>'Idaho Data'!SV15</f>
        <v>0.48328025477707004</v>
      </c>
      <c r="D116" s="200">
        <f>'Idaho Data'!XV15</f>
        <v>5934.583687340697</v>
      </c>
      <c r="E116" s="124">
        <f>'Idaho Data'!ST15</f>
        <v>1177</v>
      </c>
      <c r="F116" s="200"/>
      <c r="I116" s="200">
        <f>'Idaho Data'!SE15</f>
        <v>535613.07731520815</v>
      </c>
      <c r="J116" s="200">
        <f>'Idaho Data'!XQ15</f>
        <v>5711.4519966015296</v>
      </c>
    </row>
    <row r="117" spans="2:10">
      <c r="B117" s="133" t="str">
        <f>'Idaho Data'!B34</f>
        <v>Boundary County</v>
      </c>
      <c r="C117" s="287">
        <f>'Idaho Data'!SV34</f>
        <v>0.56206896551724139</v>
      </c>
      <c r="D117" s="200">
        <f>'Idaho Data'!XV34</f>
        <v>5852.8952599388376</v>
      </c>
      <c r="E117" s="124">
        <f>'Idaho Data'!ST34</f>
        <v>1308</v>
      </c>
      <c r="F117" s="200"/>
      <c r="I117" s="200">
        <f>'Idaho Data'!SE34</f>
        <v>649734.42813455663</v>
      </c>
      <c r="J117" s="200">
        <f>'Idaho Data'!XQ34</f>
        <v>5711.8899082568805</v>
      </c>
    </row>
    <row r="118" spans="2:10">
      <c r="B118" s="133" t="str">
        <f>'Idaho Data'!B104</f>
        <v>American Falls Joint</v>
      </c>
      <c r="C118" s="287">
        <f>'Idaho Data'!SV104</f>
        <v>0.68577348066298338</v>
      </c>
      <c r="D118" s="200">
        <f>'Idaho Data'!XV104</f>
        <v>5894.3934669636228</v>
      </c>
      <c r="E118" s="124">
        <f>'Idaho Data'!ST104</f>
        <v>1347</v>
      </c>
      <c r="F118" s="200"/>
      <c r="I118" s="200">
        <f>'Idaho Data'!SE104</f>
        <v>592603.88715664437</v>
      </c>
      <c r="J118" s="200">
        <f>'Idaho Data'!XQ104</f>
        <v>5761.8908685968818</v>
      </c>
    </row>
    <row r="119" spans="2:10">
      <c r="B119" s="133" t="str">
        <f>'Idaho Data'!B122</f>
        <v>Weiser</v>
      </c>
      <c r="C119" s="287">
        <f>'Idaho Data'!SV122</f>
        <v>0.59727385377942999</v>
      </c>
      <c r="D119" s="200">
        <f>'Idaho Data'!XV122</f>
        <v>5746.5829817158929</v>
      </c>
      <c r="E119" s="124">
        <f>'Idaho Data'!ST122</f>
        <v>1422</v>
      </c>
      <c r="F119" s="200"/>
      <c r="I119" s="200">
        <f>'Idaho Data'!SE122</f>
        <v>311256.20815752464</v>
      </c>
      <c r="J119" s="200">
        <f>'Idaho Data'!XQ122</f>
        <v>5706.7025316455693</v>
      </c>
    </row>
    <row r="120" spans="2:10">
      <c r="B120" s="133" t="str">
        <f>'Idaho Data'!B114</f>
        <v>Filer</v>
      </c>
      <c r="C120" s="287">
        <f>'Idaho Data'!SV114</f>
        <v>0.46276923076923077</v>
      </c>
      <c r="D120" s="200">
        <f>'Idaho Data'!XV114</f>
        <v>5857.2862876254185</v>
      </c>
      <c r="E120" s="124">
        <f>'Idaho Data'!ST114</f>
        <v>1495</v>
      </c>
      <c r="F120" s="200"/>
      <c r="I120" s="200">
        <f>'Idaho Data'!SE114</f>
        <v>309585.56254180602</v>
      </c>
      <c r="J120" s="200">
        <f>'Idaho Data'!XQ114</f>
        <v>5727.4494983277591</v>
      </c>
    </row>
    <row r="121" spans="2:10">
      <c r="B121" s="133" t="str">
        <f>'Idaho Data'!B101</f>
        <v>Payette Joint</v>
      </c>
      <c r="C121" s="287">
        <f>'Idaho Data'!SV101</f>
        <v>0.76732358550540369</v>
      </c>
      <c r="D121" s="200">
        <f>'Idaho Data'!XV101</f>
        <v>6059.5580551523944</v>
      </c>
      <c r="E121" s="124">
        <f>'Idaho Data'!ST101</f>
        <v>1378</v>
      </c>
      <c r="F121" s="200"/>
      <c r="I121" s="200">
        <f>'Idaho Data'!SE101</f>
        <v>267558.22568940494</v>
      </c>
      <c r="J121" s="200">
        <f>'Idaho Data'!XQ101</f>
        <v>5778.6400580551526</v>
      </c>
    </row>
    <row r="122" spans="2:10">
      <c r="B122" s="133" t="str">
        <f>'Idaho Data'!B91</f>
        <v>Sugar-Salem Joint</v>
      </c>
      <c r="C122" s="287">
        <f>'Idaho Data'!SV91</f>
        <v>0.46358454718176062</v>
      </c>
      <c r="D122" s="200">
        <f>'Idaho Data'!XV91</f>
        <v>5850.684715558602</v>
      </c>
      <c r="E122" s="124">
        <f>'Idaho Data'!ST91</f>
        <v>1459</v>
      </c>
      <c r="F122" s="200"/>
      <c r="I122" s="200">
        <f>'Idaho Data'!SE91</f>
        <v>176449.59081562713</v>
      </c>
      <c r="J122" s="200">
        <f>'Idaho Data'!XQ91</f>
        <v>5690.7573680603155</v>
      </c>
    </row>
    <row r="123" spans="2:10">
      <c r="B123" s="133" t="str">
        <f>'Idaho Data'!B20</f>
        <v>Snake River</v>
      </c>
      <c r="C123" s="287">
        <f>'Idaho Data'!SV20</f>
        <v>0.44536326048434732</v>
      </c>
      <c r="D123" s="200">
        <f>'Idaho Data'!XV20</f>
        <v>6032.2332474226805</v>
      </c>
      <c r="E123" s="124">
        <f>'Idaho Data'!ST20</f>
        <v>1552</v>
      </c>
      <c r="F123" s="200"/>
      <c r="I123" s="200">
        <f>'Idaho Data'!SE20</f>
        <v>224672.35051546391</v>
      </c>
      <c r="J123" s="200">
        <f>'Idaho Data'!XQ20</f>
        <v>5766.3382731958764</v>
      </c>
    </row>
    <row r="124" spans="2:10">
      <c r="B124" s="133" t="str">
        <f>'Idaho Data'!B111</f>
        <v>Teton County</v>
      </c>
      <c r="C124" s="287">
        <f>'Idaho Data'!SV111</f>
        <v>0.46718576195773082</v>
      </c>
      <c r="D124" s="200">
        <f>'Idaho Data'!XV111</f>
        <v>5492.7501538461538</v>
      </c>
      <c r="E124" s="124">
        <f>'Idaho Data'!ST111</f>
        <v>1625</v>
      </c>
      <c r="F124" s="200"/>
      <c r="I124" s="200">
        <f>'Idaho Data'!SE111</f>
        <v>864859.20061538462</v>
      </c>
      <c r="J124" s="200">
        <f>'Idaho Data'!XQ111</f>
        <v>5769.1440000000002</v>
      </c>
    </row>
    <row r="125" spans="2:10">
      <c r="B125" s="133" t="str">
        <f>'Idaho Data'!B115</f>
        <v>Kimberly</v>
      </c>
      <c r="C125" s="287">
        <f>'Idaho Data'!SV115</f>
        <v>0.34390112842557763</v>
      </c>
      <c r="D125" s="200">
        <f>'Idaho Data'!XV115</f>
        <v>5721.9206060606057</v>
      </c>
      <c r="E125" s="124">
        <f>'Idaho Data'!ST115</f>
        <v>1650</v>
      </c>
      <c r="F125" s="200"/>
      <c r="I125" s="200">
        <f>'Idaho Data'!SE115</f>
        <v>235645.31878787879</v>
      </c>
      <c r="J125" s="200">
        <f>'Idaho Data'!XQ115</f>
        <v>5762.1109090909094</v>
      </c>
    </row>
    <row r="126" spans="2:10">
      <c r="B126" s="133" t="str">
        <f>'Idaho Data'!B103</f>
        <v>Fruitland</v>
      </c>
      <c r="C126" s="287">
        <f>'Idaho Data'!SV103</f>
        <v>0.46642899584076053</v>
      </c>
      <c r="D126" s="200">
        <f>'Idaho Data'!XV103</f>
        <v>5680.4961832061072</v>
      </c>
      <c r="E126" s="124">
        <f>'Idaho Data'!ST103</f>
        <v>1572</v>
      </c>
      <c r="F126" s="200"/>
      <c r="I126" s="200">
        <f>'Idaho Data'!SE103</f>
        <v>326871.7703562341</v>
      </c>
      <c r="J126" s="200">
        <f>'Idaho Data'!XQ103</f>
        <v>5742.18893129771</v>
      </c>
    </row>
    <row r="127" spans="2:10">
      <c r="B127" s="133" t="str">
        <f>'Idaho Data'!B24</f>
        <v>Shelley Joint</v>
      </c>
      <c r="C127" s="287">
        <f>'Idaho Data'!SV24</f>
        <v>0.42863574966231427</v>
      </c>
      <c r="D127" s="200">
        <f>'Idaho Data'!XV24</f>
        <v>5467.6786064769385</v>
      </c>
      <c r="E127" s="124">
        <f>'Idaho Data'!ST24</f>
        <v>2038</v>
      </c>
      <c r="F127" s="200"/>
      <c r="I127" s="200">
        <f>'Idaho Data'!SE24</f>
        <v>245081.64720314034</v>
      </c>
      <c r="J127" s="200">
        <f>'Idaho Data'!XQ24</f>
        <v>5782.2350343473991</v>
      </c>
    </row>
    <row r="128" spans="2:10">
      <c r="B128" s="133" t="str">
        <f>'Idaho Data'!B58</f>
        <v>Fremont County Joint</v>
      </c>
      <c r="C128" s="287">
        <f>'Idaho Data'!SV58</f>
        <v>0.54722222222222228</v>
      </c>
      <c r="D128" s="200">
        <f>'Idaho Data'!XV58</f>
        <v>5906.737844611529</v>
      </c>
      <c r="E128" s="124">
        <f>'Idaho Data'!ST58</f>
        <v>1995</v>
      </c>
      <c r="F128" s="200"/>
      <c r="I128" s="200">
        <f>'Idaho Data'!SE58</f>
        <v>782524.30526315793</v>
      </c>
      <c r="J128" s="200">
        <f>'Idaho Data'!XQ58</f>
        <v>5739.2842105263162</v>
      </c>
    </row>
    <row r="129" spans="2:10">
      <c r="B129" s="133" t="e">
        <f>'Idaho Data'!#REF!</f>
        <v>#REF!</v>
      </c>
      <c r="C129" s="287" t="e">
        <f>'Idaho Data'!#REF!</f>
        <v>#REF!</v>
      </c>
      <c r="D129" s="200" t="e">
        <f>'Idaho Data'!#REF!</f>
        <v>#REF!</v>
      </c>
      <c r="E129" s="124" t="e">
        <f>'Idaho Data'!#REF!</f>
        <v>#REF!</v>
      </c>
      <c r="F129" s="200"/>
      <c r="I129" s="200" t="e">
        <f>'Idaho Data'!#REF!</f>
        <v>#REF!</v>
      </c>
      <c r="J129" s="200" t="e">
        <f>'Idaho Data'!#REF!</f>
        <v>#REF!</v>
      </c>
    </row>
    <row r="130" spans="2:10">
      <c r="B130" s="133" t="str">
        <f>'Idaho Data'!B76</f>
        <v>Moscow</v>
      </c>
      <c r="C130" s="287">
        <f>'Idaho Data'!SV76</f>
        <v>0.3125</v>
      </c>
      <c r="D130" s="200">
        <f>'Idaho Data'!XV76</f>
        <v>5449.8152077807254</v>
      </c>
      <c r="E130" s="124">
        <f>'Idaho Data'!ST76</f>
        <v>2262</v>
      </c>
      <c r="F130" s="200"/>
      <c r="I130" s="200">
        <f>'Idaho Data'!SE76</f>
        <v>599525.71485411143</v>
      </c>
      <c r="J130" s="200">
        <f>'Idaho Data'!XQ76</f>
        <v>5740.9814323607425</v>
      </c>
    </row>
    <row r="131" spans="2:10">
      <c r="B131" s="133" t="str">
        <f>'Idaho Data'!B59</f>
        <v>Emmett Independent</v>
      </c>
      <c r="C131" s="287">
        <f>'Idaho Data'!SV59</f>
        <v>0.57480946650621745</v>
      </c>
      <c r="D131" s="200">
        <f>'Idaho Data'!XV59</f>
        <v>6414.9909090909086</v>
      </c>
      <c r="E131" s="124">
        <f>'Idaho Data'!ST59</f>
        <v>2310</v>
      </c>
      <c r="F131" s="200"/>
      <c r="I131" s="200">
        <f>'Idaho Data'!SE59</f>
        <v>361089.95714285714</v>
      </c>
      <c r="J131" s="200">
        <f>'Idaho Data'!XQ59</f>
        <v>5725.7493506493511</v>
      </c>
    </row>
    <row r="132" spans="2:10">
      <c r="B132" s="133" t="str">
        <f>'Idaho Data'!B56</f>
        <v>Preston Joint</v>
      </c>
      <c r="C132" s="287">
        <f>'Idaho Data'!SV56</f>
        <v>0.43193069306930693</v>
      </c>
      <c r="D132" s="200">
        <f>'Idaho Data'!XV56</f>
        <v>5440.0515039142974</v>
      </c>
      <c r="E132" s="124">
        <f>'Idaho Data'!ST56</f>
        <v>2427</v>
      </c>
      <c r="F132" s="200"/>
      <c r="I132" s="200">
        <f>'Idaho Data'!SE56</f>
        <v>191855.02760609807</v>
      </c>
      <c r="J132" s="200">
        <f>'Idaho Data'!XQ56</f>
        <v>5708.1508034610633</v>
      </c>
    </row>
    <row r="133" spans="2:10">
      <c r="B133" s="133" t="str">
        <f>'Idaho Data'!B25</f>
        <v>Blaine County</v>
      </c>
      <c r="C133" s="287">
        <f>'Idaho Data'!SV25</f>
        <v>0.41674221819280749</v>
      </c>
      <c r="D133" s="200">
        <f>'Idaho Data'!XV25</f>
        <v>5502.0540275049116</v>
      </c>
      <c r="E133" s="124">
        <f>'Idaho Data'!ST25</f>
        <v>3054</v>
      </c>
      <c r="F133" s="200"/>
      <c r="I133" s="200">
        <f>'Idaho Data'!SE25</f>
        <v>2927623.0697445972</v>
      </c>
      <c r="J133" s="200">
        <f>'Idaho Data'!XQ25</f>
        <v>5722.3231827111986</v>
      </c>
    </row>
    <row r="134" spans="2:10">
      <c r="B134" s="133" t="str">
        <f>'Idaho Data'!B30</f>
        <v>Lake Pend Oreille</v>
      </c>
      <c r="C134" s="287">
        <f>'Idaho Data'!SV30</f>
        <v>0.45081266039349871</v>
      </c>
      <c r="D134" s="200">
        <f>'Idaho Data'!XV30</f>
        <v>5738.377572323293</v>
      </c>
      <c r="E134" s="124">
        <f>'Idaho Data'!ST30</f>
        <v>3353</v>
      </c>
      <c r="F134" s="200"/>
      <c r="I134" s="200">
        <f>'Idaho Data'!SE30</f>
        <v>1252955.4894124665</v>
      </c>
      <c r="J134" s="200">
        <f>'Idaho Data'!XQ30</f>
        <v>5712.2326274977631</v>
      </c>
    </row>
    <row r="135" spans="2:10">
      <c r="B135" s="133" t="str">
        <f>'Idaho Data'!B70</f>
        <v>Jerome Joint</v>
      </c>
      <c r="C135" s="287">
        <f>'Idaho Data'!SV70</f>
        <v>0.67589662447257381</v>
      </c>
      <c r="D135" s="200">
        <f>'Idaho Data'!XV70</f>
        <v>5717.0998577524897</v>
      </c>
      <c r="E135" s="124">
        <f>'Idaho Data'!ST70</f>
        <v>3515</v>
      </c>
      <c r="F135" s="200"/>
      <c r="I135" s="200">
        <f>'Idaho Data'!SE70</f>
        <v>300590.86657183501</v>
      </c>
      <c r="J135" s="200">
        <f>'Idaho Data'!XQ70</f>
        <v>5755.529445234708</v>
      </c>
    </row>
    <row r="136" spans="2:10">
      <c r="B136" s="133" t="str">
        <f>'Idaho Data'!B40</f>
        <v>Middleton</v>
      </c>
      <c r="C136" s="287">
        <f>'Idaho Data'!SV40</f>
        <v>0.45277127244340359</v>
      </c>
      <c r="D136" s="200">
        <f>'Idaho Data'!XV40</f>
        <v>5853.0761351052051</v>
      </c>
      <c r="E136" s="124">
        <f>'Idaho Data'!ST40</f>
        <v>3612</v>
      </c>
      <c r="F136" s="200"/>
      <c r="I136" s="200">
        <f>'Idaho Data'!SE40</f>
        <v>233017.69186046513</v>
      </c>
      <c r="J136" s="200">
        <f>'Idaho Data'!XQ40</f>
        <v>5707.293189368771</v>
      </c>
    </row>
    <row r="137" spans="2:10">
      <c r="B137" s="133" t="str">
        <f>'Idaho Data'!B55</f>
        <v>Mountain Home</v>
      </c>
      <c r="C137" s="287">
        <f>'Idaho Data'!SV55</f>
        <v>0.52148337595907923</v>
      </c>
      <c r="D137" s="200">
        <f>'Idaho Data'!XV55</f>
        <v>5499.0002880184329</v>
      </c>
      <c r="E137" s="124">
        <f>'Idaho Data'!ST55</f>
        <v>3472</v>
      </c>
      <c r="F137" s="200"/>
      <c r="I137" s="200">
        <f>'Idaho Data'!SE55</f>
        <v>308906.73761520738</v>
      </c>
      <c r="J137" s="200">
        <f>'Idaho Data'!XQ55</f>
        <v>5783.0417626728113</v>
      </c>
    </row>
    <row r="138" spans="2:10">
      <c r="B138" s="133" t="str">
        <f>'Idaho Data'!B21</f>
        <v>Blackfoot</v>
      </c>
      <c r="C138" s="287">
        <f>'Idaho Data'!SV21</f>
        <v>0.56882480957562565</v>
      </c>
      <c r="D138" s="200">
        <f>'Idaho Data'!XV21</f>
        <v>5647.7938657087598</v>
      </c>
      <c r="E138" s="124">
        <f>'Idaho Data'!ST21</f>
        <v>3619</v>
      </c>
      <c r="F138" s="200"/>
      <c r="I138" s="200">
        <f>'Idaho Data'!SE21</f>
        <v>208656.08234318873</v>
      </c>
      <c r="J138" s="200">
        <f>'Idaho Data'!XQ21</f>
        <v>5720.6849958552084</v>
      </c>
    </row>
    <row r="139" spans="2:10">
      <c r="B139" s="133" t="str">
        <f>'Idaho Data'!B73</f>
        <v>Lakeland</v>
      </c>
      <c r="C139" s="287">
        <f>'Idaho Data'!SV73</f>
        <v>0.44638583054092867</v>
      </c>
      <c r="D139" s="200">
        <f>'Idaho Data'!XV73</f>
        <v>5449.7569497577151</v>
      </c>
      <c r="E139" s="124">
        <f>'Idaho Data'!ST73</f>
        <v>3921</v>
      </c>
      <c r="F139" s="200"/>
      <c r="I139" s="200">
        <f>'Idaho Data'!SE73</f>
        <v>576720.6526396327</v>
      </c>
      <c r="J139" s="200">
        <f>'Idaho Data'!XQ73</f>
        <v>5706.3947972456008</v>
      </c>
    </row>
    <row r="140" spans="2:10">
      <c r="B140" s="133" t="str">
        <f>'Idaho Data'!B92</f>
        <v>Minidoka County Joint</v>
      </c>
      <c r="C140" s="287">
        <f>'Idaho Data'!SV92</f>
        <v>0.63497081712062253</v>
      </c>
      <c r="D140" s="200">
        <f>'Idaho Data'!XV92</f>
        <v>5990.7637556789505</v>
      </c>
      <c r="E140" s="124">
        <f>'Idaho Data'!ST92</f>
        <v>3962</v>
      </c>
      <c r="F140" s="200"/>
      <c r="I140" s="200">
        <f>'Idaho Data'!SE92</f>
        <v>318176.68298838969</v>
      </c>
      <c r="J140" s="200">
        <f>'Idaho Data'!XQ92</f>
        <v>5761.7127713276122</v>
      </c>
    </row>
    <row r="141" spans="2:10">
      <c r="B141" s="133" t="str">
        <f>'Idaho Data'!B93</f>
        <v>Lewiston Independent</v>
      </c>
      <c r="C141" s="287">
        <f>'Idaho Data'!SV93</f>
        <v>0.39093242087254065</v>
      </c>
      <c r="D141" s="200">
        <f>'Idaho Data'!XV93</f>
        <v>5434.6756818702725</v>
      </c>
      <c r="E141" s="124">
        <f>'Idaho Data'!ST93</f>
        <v>4363</v>
      </c>
      <c r="F141" s="200"/>
      <c r="I141" s="200">
        <f>'Idaho Data'!SE93</f>
        <v>573209.76667430671</v>
      </c>
      <c r="J141" s="200">
        <f>'Idaho Data'!XQ93</f>
        <v>5730.5493926197569</v>
      </c>
    </row>
    <row r="142" spans="2:10">
      <c r="B142" s="133" t="str">
        <f>'Idaho Data'!B90</f>
        <v>Madison</v>
      </c>
      <c r="C142" s="287">
        <f>'Idaho Data'!SV90</f>
        <v>0.3919336163643381</v>
      </c>
      <c r="D142" s="200">
        <f>'Idaho Data'!XV90</f>
        <v>5305.0095218381284</v>
      </c>
      <c r="E142" s="124">
        <f>'Idaho Data'!ST90</f>
        <v>4831</v>
      </c>
      <c r="F142" s="200"/>
      <c r="I142" s="200">
        <f>'Idaho Data'!SE90</f>
        <v>281010.55599254812</v>
      </c>
      <c r="J142" s="200">
        <f>'Idaho Data'!XQ90</f>
        <v>5765.0672738563444</v>
      </c>
    </row>
    <row r="143" spans="2:10">
      <c r="B143" s="133" t="str">
        <f>'Idaho Data'!B12</f>
        <v>Kuna Joint</v>
      </c>
      <c r="C143" s="287">
        <f>'Idaho Data'!SV12</f>
        <v>0.40529575058723039</v>
      </c>
      <c r="D143" s="200">
        <f>'Idaho Data'!XV12</f>
        <v>5228.584867075665</v>
      </c>
      <c r="E143" s="124">
        <f>'Idaho Data'!ST12</f>
        <v>4890</v>
      </c>
      <c r="F143" s="200"/>
      <c r="I143" s="200">
        <f>'Idaho Data'!SE12</f>
        <v>253724.48773006134</v>
      </c>
      <c r="J143" s="200">
        <f>'Idaho Data'!XQ12</f>
        <v>5722.6306748466259</v>
      </c>
    </row>
    <row r="144" spans="2:10">
      <c r="B144" s="133" t="str">
        <f>'Idaho Data'!B67</f>
        <v>Jefferson County Joint</v>
      </c>
      <c r="C144" s="287">
        <f>'Idaho Data'!SV67</f>
        <v>0.4140067592940293</v>
      </c>
      <c r="D144" s="200">
        <f>'Idaho Data'!XV67</f>
        <v>5441.6023095623987</v>
      </c>
      <c r="E144" s="124">
        <f>'Idaho Data'!ST67</f>
        <v>4936</v>
      </c>
      <c r="F144" s="200"/>
      <c r="I144" s="200">
        <f>'Idaho Data'!SE67</f>
        <v>185696.1193273906</v>
      </c>
      <c r="J144" s="200">
        <f>'Idaho Data'!XQ67</f>
        <v>5769.4977714748784</v>
      </c>
    </row>
    <row r="145" spans="2:10">
      <c r="B145" s="133" t="str">
        <f>'Idaho Data'!B48</f>
        <v>Cassia County Joint</v>
      </c>
      <c r="C145" s="287">
        <f>'Idaho Data'!SV48</f>
        <v>0.53291901340066028</v>
      </c>
      <c r="D145" s="200">
        <f>'Idaho Data'!XV48</f>
        <v>6105.8714867617109</v>
      </c>
      <c r="E145" s="124">
        <f>'Idaho Data'!ST48</f>
        <v>4910</v>
      </c>
      <c r="F145" s="200"/>
      <c r="I145" s="200">
        <f>'Idaho Data'!SE48</f>
        <v>262903.39389002038</v>
      </c>
      <c r="J145" s="200">
        <f>'Idaho Data'!XQ48</f>
        <v>5774.7262729124241</v>
      </c>
    </row>
    <row r="146" spans="2:10">
      <c r="B146" s="133" t="str">
        <f>'Idaho Data'!B74</f>
        <v>Post Falls</v>
      </c>
      <c r="C146" s="287">
        <f>'Idaho Data'!SV74</f>
        <v>0.47652366046768552</v>
      </c>
      <c r="D146" s="200">
        <f>'Idaho Data'!XV74</f>
        <v>5423.7540858988978</v>
      </c>
      <c r="E146" s="124">
        <f>'Idaho Data'!ST74</f>
        <v>5262</v>
      </c>
      <c r="F146" s="200"/>
      <c r="I146" s="200">
        <f>'Idaho Data'!SE74</f>
        <v>454962.16229570506</v>
      </c>
      <c r="J146" s="200">
        <f>'Idaho Data'!XQ74</f>
        <v>5734.4589509692132</v>
      </c>
    </row>
    <row r="147" spans="2:10">
      <c r="B147" s="133" t="str">
        <f>'Idaho Data'!B38</f>
        <v>Caldwell</v>
      </c>
      <c r="C147" s="287">
        <f>'Idaho Data'!SV38</f>
        <v>0.82184634840341453</v>
      </c>
      <c r="D147" s="200">
        <f>'Idaho Data'!XV38</f>
        <v>5568.3312335958008</v>
      </c>
      <c r="E147" s="124">
        <f>'Idaho Data'!ST38</f>
        <v>5715</v>
      </c>
      <c r="F147" s="200"/>
      <c r="I147" s="200">
        <f>'Idaho Data'!SE38</f>
        <v>266807.13263342081</v>
      </c>
      <c r="J147" s="200">
        <f>'Idaho Data'!XQ38</f>
        <v>5784.6535433070867</v>
      </c>
    </row>
    <row r="148" spans="2:10">
      <c r="B148" s="133" t="str">
        <f>'Idaho Data'!B44</f>
        <v>Vallivue</v>
      </c>
      <c r="C148" s="287">
        <f>'Idaho Data'!SV44</f>
        <v>0.66835269993164725</v>
      </c>
      <c r="D148" s="200">
        <f>'Idaho Data'!XV44</f>
        <v>5628.8908023982649</v>
      </c>
      <c r="E148" s="124">
        <f>'Idaho Data'!ST44</f>
        <v>7839</v>
      </c>
      <c r="F148" s="200"/>
      <c r="I148" s="200">
        <f>'Idaho Data'!SE44</f>
        <v>241733.09337925757</v>
      </c>
      <c r="J148" s="200">
        <f>'Idaho Data'!XQ44</f>
        <v>5762.8587830080369</v>
      </c>
    </row>
    <row r="149" spans="2:10">
      <c r="B149" s="133" t="str">
        <f>'Idaho Data'!B112</f>
        <v>Twin Falls</v>
      </c>
      <c r="C149" s="287">
        <f>'Idaho Data'!SV112</f>
        <v>0.59374306634124696</v>
      </c>
      <c r="D149" s="200">
        <f>'Idaho Data'!XV112</f>
        <v>5658.8205875212434</v>
      </c>
      <c r="E149" s="124">
        <f>'Idaho Data'!ST112</f>
        <v>8238</v>
      </c>
      <c r="F149" s="200"/>
      <c r="I149" s="200">
        <f>'Idaho Data'!SE112</f>
        <v>343142.58946346201</v>
      </c>
      <c r="J149" s="200">
        <f>'Idaho Data'!XQ112</f>
        <v>5769.498179169701</v>
      </c>
    </row>
    <row r="150" spans="2:10">
      <c r="B150" s="133" t="str">
        <f>'Idaho Data'!B31</f>
        <v>Idaho Falls</v>
      </c>
      <c r="C150" s="287">
        <f>'Idaho Data'!SV31</f>
        <v>0.49492940942533309</v>
      </c>
      <c r="D150" s="200">
        <f>'Idaho Data'!XV31</f>
        <v>5379.9733403582723</v>
      </c>
      <c r="E150" s="124">
        <f>'Idaho Data'!ST31</f>
        <v>9490</v>
      </c>
      <c r="F150" s="200"/>
      <c r="I150" s="200">
        <f>'Idaho Data'!SE31</f>
        <v>308800.54236037936</v>
      </c>
      <c r="J150" s="200">
        <f>'Idaho Data'!XQ31</f>
        <v>5753.0958904109593</v>
      </c>
    </row>
    <row r="151" spans="2:10">
      <c r="B151" s="133" t="str">
        <f>'Idaho Data'!B72</f>
        <v>Coeur d' Alene</v>
      </c>
      <c r="C151" s="287">
        <f>'Idaho Data'!SV72</f>
        <v>0.41819390371284776</v>
      </c>
      <c r="D151" s="200">
        <f>'Idaho Data'!XV72</f>
        <v>5131.7222053000305</v>
      </c>
      <c r="E151" s="124">
        <f>'Idaho Data'!ST72</f>
        <v>9849</v>
      </c>
      <c r="F151" s="200"/>
      <c r="I151" s="200">
        <f>'Idaho Data'!SE72</f>
        <v>759417.3177987613</v>
      </c>
      <c r="J151" s="200">
        <f>'Idaho Data'!XQ72</f>
        <v>5743.9765458422171</v>
      </c>
    </row>
    <row r="152" spans="2:10">
      <c r="B152" s="133" t="str">
        <f>'Idaho Data'!B33</f>
        <v>Bonneville Joint</v>
      </c>
      <c r="C152" s="287">
        <f>'Idaho Data'!SV33</f>
        <v>0.42962774094849565</v>
      </c>
      <c r="D152" s="200">
        <f>'Idaho Data'!XV33</f>
        <v>5471.4335973475781</v>
      </c>
      <c r="E152" s="124">
        <f>'Idaho Data'!ST33</f>
        <v>10858</v>
      </c>
      <c r="F152" s="200"/>
      <c r="I152" s="200">
        <f>'Idaho Data'!SE33</f>
        <v>222169.39952109044</v>
      </c>
      <c r="J152" s="200">
        <f>'Idaho Data'!XQ33</f>
        <v>5755.783477620188</v>
      </c>
    </row>
    <row r="153" spans="2:10">
      <c r="B153" s="133" t="str">
        <f>'Idaho Data'!B16</f>
        <v>Pocatello</v>
      </c>
      <c r="C153" s="287">
        <f>'Idaho Data'!SV16</f>
        <v>0.49444620755315771</v>
      </c>
      <c r="D153" s="200">
        <f>'Idaho Data'!XV16</f>
        <v>5211.8870235546037</v>
      </c>
      <c r="E153" s="124">
        <f>'Idaho Data'!ST16</f>
        <v>11675</v>
      </c>
      <c r="F153" s="200"/>
      <c r="I153" s="200">
        <f>'Idaho Data'!SE16</f>
        <v>288140.12419700215</v>
      </c>
      <c r="J153" s="200">
        <f>'Idaho Data'!XQ16</f>
        <v>5750.3532334047113</v>
      </c>
    </row>
    <row r="154" spans="2:10">
      <c r="B154" s="133" t="str">
        <f>'Idaho Data'!B37</f>
        <v>Nampa</v>
      </c>
      <c r="C154" s="287">
        <f>'Idaho Data'!SV37</f>
        <v>0.60365717683788001</v>
      </c>
      <c r="D154" s="200">
        <f>'Idaho Data'!XV37</f>
        <v>5650.2778741414004</v>
      </c>
      <c r="E154" s="124">
        <f>'Idaho Data'!ST37</f>
        <v>14413</v>
      </c>
      <c r="F154" s="200"/>
      <c r="I154" s="200">
        <f>'Idaho Data'!SE37</f>
        <v>271543.59709984041</v>
      </c>
      <c r="J154" s="200">
        <f>'Idaho Data'!XQ37</f>
        <v>5733.2297925483936</v>
      </c>
    </row>
    <row r="155" spans="2:10">
      <c r="B155" s="133" t="str">
        <f>'Idaho Data'!B10</f>
        <v>Boise Independent</v>
      </c>
      <c r="C155" s="287">
        <f>'Idaho Data'!SV10</f>
        <v>0.3524982351556985</v>
      </c>
      <c r="D155" s="200">
        <f>'Idaho Data'!XV10</f>
        <v>5423.7372307946198</v>
      </c>
      <c r="E155" s="124">
        <f>'Idaho Data'!ST10</f>
        <v>24238</v>
      </c>
      <c r="F155" s="200"/>
      <c r="I155" s="200">
        <f>'Idaho Data'!SE10</f>
        <v>694830.44376598729</v>
      </c>
      <c r="J155" s="200">
        <f>'Idaho Data'!XQ10</f>
        <v>5725.4904695106861</v>
      </c>
    </row>
    <row r="156" spans="2:10">
      <c r="B156" s="133" t="str">
        <f>'Idaho Data'!B11</f>
        <v>Meridian Joint</v>
      </c>
      <c r="C156" s="287">
        <f>'Idaho Data'!SV11</f>
        <v>0.26971913320101143</v>
      </c>
      <c r="D156" s="200">
        <f>'Idaho Data'!XV11</f>
        <v>5431.1702328778892</v>
      </c>
      <c r="E156" s="124">
        <f>'Idaho Data'!ST11</f>
        <v>34911</v>
      </c>
      <c r="F156" s="200"/>
      <c r="I156" s="200">
        <f>'Idaho Data'!SE11</f>
        <v>435012.0196213228</v>
      </c>
      <c r="J156" s="200">
        <f>'Idaho Data'!XQ11</f>
        <v>5729.0046403712295</v>
      </c>
    </row>
    <row r="157" spans="2:10">
      <c r="B157" s="133"/>
      <c r="C157" s="287"/>
      <c r="D157" s="200"/>
      <c r="F157" s="200"/>
      <c r="I157" s="200"/>
      <c r="J157" s="200"/>
    </row>
    <row r="158" spans="2:10">
      <c r="B158" s="133"/>
      <c r="C158" s="287"/>
      <c r="D158" s="200"/>
      <c r="F158" s="200"/>
      <c r="I158" s="200"/>
      <c r="J158" s="200"/>
    </row>
    <row r="159" spans="2:10">
      <c r="B159" s="133"/>
      <c r="C159" s="287"/>
      <c r="D159" s="200"/>
      <c r="F159" s="200"/>
      <c r="I159" s="200"/>
      <c r="J159" s="200"/>
    </row>
    <row r="160" spans="2:10">
      <c r="B160" s="133"/>
      <c r="C160" s="287"/>
      <c r="D160" s="200"/>
      <c r="F160" s="200"/>
      <c r="I160" s="200"/>
      <c r="J160" s="200"/>
    </row>
    <row r="161" spans="2:10">
      <c r="B161" s="133"/>
      <c r="C161" s="287"/>
      <c r="D161" s="200"/>
      <c r="F161" s="200"/>
      <c r="I161" s="200"/>
      <c r="J161" s="200"/>
    </row>
    <row r="162" spans="2:10">
      <c r="B162" s="133"/>
      <c r="C162" s="287"/>
      <c r="D162" s="200"/>
      <c r="F162" s="200"/>
      <c r="I162" s="200"/>
      <c r="J162" s="200"/>
    </row>
    <row r="163" spans="2:10">
      <c r="B163" s="133"/>
      <c r="C163" s="287"/>
      <c r="D163" s="200"/>
      <c r="F163" s="200"/>
      <c r="I163" s="200"/>
      <c r="J163" s="200"/>
    </row>
    <row r="164" spans="2:10">
      <c r="B164" s="133"/>
      <c r="C164" s="287"/>
      <c r="D164" s="200"/>
      <c r="F164" s="200"/>
      <c r="I164" s="200"/>
      <c r="J164" s="200"/>
    </row>
    <row r="165" spans="2:10">
      <c r="B165" s="133"/>
      <c r="C165" s="287"/>
      <c r="D165" s="200"/>
      <c r="F165" s="200"/>
      <c r="I165" s="200"/>
      <c r="J165" s="200"/>
    </row>
    <row r="166" spans="2:10">
      <c r="B166" s="133"/>
      <c r="C166" s="287"/>
      <c r="D166" s="200"/>
      <c r="F166" s="200"/>
      <c r="I166" s="200"/>
      <c r="J166" s="200"/>
    </row>
    <row r="167" spans="2:10">
      <c r="B167" s="133"/>
      <c r="C167" s="287"/>
      <c r="D167" s="200"/>
      <c r="F167" s="200"/>
      <c r="I167" s="200"/>
      <c r="J167" s="200"/>
    </row>
    <row r="168" spans="2:10">
      <c r="B168" s="133"/>
      <c r="C168" s="287"/>
      <c r="D168" s="200"/>
      <c r="F168" s="200"/>
      <c r="I168" s="200"/>
      <c r="J168" s="200"/>
    </row>
    <row r="169" spans="2:10">
      <c r="B169" s="133"/>
      <c r="C169" s="287"/>
      <c r="D169" s="200"/>
      <c r="F169" s="200"/>
      <c r="I169" s="200"/>
      <c r="J169" s="200"/>
    </row>
    <row r="170" spans="2:10">
      <c r="B170" s="133"/>
      <c r="C170" s="287"/>
      <c r="D170" s="200"/>
      <c r="F170" s="200"/>
      <c r="I170" s="200"/>
      <c r="J170" s="200"/>
    </row>
    <row r="171" spans="2:10">
      <c r="B171" s="133"/>
      <c r="C171" s="287"/>
      <c r="D171" s="200"/>
      <c r="F171" s="200"/>
      <c r="I171" s="200"/>
      <c r="J171" s="200"/>
    </row>
    <row r="172" spans="2:10">
      <c r="B172" s="133"/>
      <c r="C172" s="287"/>
      <c r="D172" s="200"/>
      <c r="F172" s="200"/>
      <c r="I172" s="200"/>
      <c r="J172" s="200"/>
    </row>
    <row r="173" spans="2:10">
      <c r="B173" s="133"/>
      <c r="C173" s="287"/>
      <c r="D173" s="200"/>
      <c r="F173" s="200"/>
      <c r="I173" s="200"/>
      <c r="J173" s="200"/>
    </row>
    <row r="174" spans="2:10">
      <c r="B174" s="133"/>
      <c r="C174" s="287"/>
      <c r="D174" s="200"/>
      <c r="F174" s="200"/>
      <c r="I174" s="200"/>
      <c r="J174" s="200"/>
    </row>
    <row r="175" spans="2:10">
      <c r="B175" s="133"/>
      <c r="C175" s="287"/>
      <c r="D175" s="200"/>
      <c r="F175" s="200"/>
      <c r="I175" s="200"/>
      <c r="J175" s="200"/>
    </row>
    <row r="176" spans="2:10">
      <c r="B176" s="133"/>
      <c r="C176" s="287"/>
      <c r="D176" s="200"/>
      <c r="F176" s="200"/>
      <c r="I176" s="200"/>
      <c r="J176" s="200"/>
    </row>
    <row r="177" spans="2:10">
      <c r="B177" s="133"/>
      <c r="C177" s="287"/>
      <c r="D177" s="200"/>
      <c r="F177" s="200"/>
      <c r="I177" s="200"/>
      <c r="J177" s="200"/>
    </row>
    <row r="178" spans="2:10">
      <c r="B178" s="133"/>
      <c r="C178" s="287"/>
      <c r="D178" s="200"/>
      <c r="F178" s="200"/>
      <c r="I178" s="200"/>
      <c r="J178" s="200"/>
    </row>
    <row r="179" spans="2:10">
      <c r="B179" s="133"/>
      <c r="C179" s="287"/>
      <c r="D179" s="200"/>
      <c r="F179" s="200"/>
      <c r="I179" s="200"/>
      <c r="J179" s="200"/>
    </row>
    <row r="180" spans="2:10">
      <c r="B180" s="133"/>
      <c r="C180" s="287"/>
      <c r="D180" s="200"/>
      <c r="F180" s="200"/>
      <c r="I180" s="200"/>
      <c r="J180" s="200"/>
    </row>
    <row r="181" spans="2:10">
      <c r="B181" s="133"/>
      <c r="C181" s="287"/>
      <c r="D181" s="200"/>
      <c r="F181" s="200"/>
      <c r="I181" s="200"/>
      <c r="J181" s="200"/>
    </row>
    <row r="182" spans="2:10">
      <c r="B182" s="133"/>
      <c r="C182" s="287"/>
      <c r="D182" s="200"/>
      <c r="F182" s="200"/>
      <c r="I182" s="200"/>
      <c r="J182" s="200"/>
    </row>
    <row r="183" spans="2:10">
      <c r="B183" s="133"/>
      <c r="C183" s="287"/>
      <c r="D183" s="200"/>
      <c r="F183" s="200"/>
      <c r="I183" s="200"/>
      <c r="J183" s="200"/>
    </row>
    <row r="184" spans="2:10">
      <c r="B184" s="133"/>
      <c r="C184" s="287"/>
      <c r="D184" s="200"/>
      <c r="F184" s="200"/>
      <c r="I184" s="200"/>
      <c r="J184" s="200"/>
    </row>
    <row r="185" spans="2:10">
      <c r="B185" s="133"/>
      <c r="C185" s="287"/>
      <c r="D185" s="200"/>
      <c r="F185" s="200"/>
      <c r="I185" s="200"/>
      <c r="J185" s="200"/>
    </row>
    <row r="186" spans="2:10">
      <c r="B186" s="133"/>
      <c r="C186" s="287"/>
      <c r="D186" s="200"/>
      <c r="F186" s="200"/>
      <c r="I186" s="200"/>
      <c r="J186" s="200"/>
    </row>
    <row r="187" spans="2:10">
      <c r="B187" s="133"/>
      <c r="C187" s="287"/>
      <c r="D187" s="200"/>
      <c r="F187" s="200"/>
      <c r="I187" s="200"/>
      <c r="J187" s="200"/>
    </row>
    <row r="188" spans="2:10">
      <c r="B188" s="133"/>
      <c r="C188" s="287"/>
      <c r="D188" s="200"/>
      <c r="F188" s="200"/>
      <c r="I188" s="200"/>
      <c r="J188" s="200"/>
    </row>
    <row r="189" spans="2:10">
      <c r="B189" s="133"/>
      <c r="C189" s="287"/>
      <c r="D189" s="200"/>
      <c r="F189" s="200"/>
      <c r="I189" s="200"/>
      <c r="J189" s="200"/>
    </row>
    <row r="190" spans="2:10">
      <c r="B190" s="133"/>
      <c r="C190" s="287"/>
      <c r="D190" s="200"/>
      <c r="F190" s="200"/>
      <c r="I190" s="200"/>
      <c r="J190" s="200"/>
    </row>
    <row r="191" spans="2:10">
      <c r="B191" s="133"/>
      <c r="C191" s="287"/>
      <c r="D191" s="200"/>
      <c r="F191" s="200"/>
      <c r="I191" s="200"/>
      <c r="J191" s="200"/>
    </row>
    <row r="192" spans="2:10">
      <c r="B192" s="133"/>
      <c r="C192" s="287"/>
      <c r="D192" s="200"/>
      <c r="F192" s="200"/>
      <c r="I192" s="200"/>
      <c r="J192" s="200"/>
    </row>
    <row r="193" spans="2:10">
      <c r="B193" s="133"/>
      <c r="C193" s="287"/>
      <c r="D193" s="200"/>
      <c r="F193" s="200"/>
      <c r="I193" s="200"/>
      <c r="J193" s="200"/>
    </row>
    <row r="194" spans="2:10">
      <c r="B194" s="133"/>
      <c r="C194" s="287"/>
      <c r="D194" s="200"/>
      <c r="F194" s="200"/>
      <c r="I194" s="200"/>
      <c r="J194" s="200"/>
    </row>
    <row r="195" spans="2:10">
      <c r="B195" s="133"/>
      <c r="C195" s="287"/>
      <c r="D195" s="200"/>
      <c r="F195" s="200"/>
      <c r="I195" s="200"/>
      <c r="J195" s="200"/>
    </row>
    <row r="196" spans="2:10">
      <c r="B196" s="133"/>
      <c r="C196" s="287"/>
      <c r="D196" s="200"/>
      <c r="F196" s="200"/>
      <c r="I196" s="200"/>
      <c r="J196" s="200"/>
    </row>
    <row r="197" spans="2:10">
      <c r="B197" s="133"/>
      <c r="C197" s="287"/>
      <c r="D197" s="200"/>
      <c r="F197" s="200"/>
      <c r="I197" s="200"/>
      <c r="J197" s="200"/>
    </row>
    <row r="198" spans="2:10">
      <c r="B198" s="133"/>
      <c r="C198" s="287"/>
      <c r="D198" s="200"/>
      <c r="F198" s="200"/>
      <c r="I198" s="200"/>
      <c r="J198" s="200"/>
    </row>
    <row r="199" spans="2:10">
      <c r="B199" s="133"/>
      <c r="C199" s="287"/>
      <c r="D199" s="200"/>
      <c r="F199" s="200"/>
      <c r="I199" s="200"/>
      <c r="J199" s="200"/>
    </row>
    <row r="200" spans="2:10">
      <c r="B200" s="133"/>
      <c r="C200" s="287"/>
      <c r="D200" s="200"/>
      <c r="F200" s="200"/>
      <c r="I200" s="200"/>
      <c r="J200" s="200"/>
    </row>
    <row r="201" spans="2:10">
      <c r="B201" s="133"/>
      <c r="C201" s="287"/>
      <c r="D201" s="200"/>
      <c r="F201" s="200"/>
      <c r="I201" s="200"/>
      <c r="J201" s="200"/>
    </row>
    <row r="202" spans="2:10">
      <c r="B202" s="133"/>
      <c r="C202" s="287"/>
      <c r="D202" s="200"/>
      <c r="F202" s="200"/>
      <c r="I202" s="200"/>
      <c r="J202" s="200"/>
    </row>
    <row r="203" spans="2:10">
      <c r="B203" s="133"/>
      <c r="C203" s="287"/>
      <c r="D203" s="200"/>
      <c r="F203" s="200"/>
      <c r="I203" s="200"/>
      <c r="J203" s="200"/>
    </row>
    <row r="204" spans="2:10">
      <c r="B204" s="133"/>
      <c r="C204" s="287"/>
      <c r="D204" s="200"/>
      <c r="F204" s="200"/>
      <c r="I204" s="200"/>
      <c r="J204" s="200"/>
    </row>
    <row r="205" spans="2:10">
      <c r="B205" s="133"/>
      <c r="C205" s="287"/>
      <c r="D205" s="200"/>
      <c r="F205" s="200"/>
      <c r="I205" s="200"/>
      <c r="J205" s="200"/>
    </row>
    <row r="206" spans="2:10">
      <c r="B206" s="133"/>
      <c r="C206" s="287"/>
      <c r="D206" s="200"/>
      <c r="F206" s="200"/>
      <c r="I206" s="200"/>
      <c r="J206" s="200"/>
    </row>
    <row r="207" spans="2:10">
      <c r="B207" s="133"/>
      <c r="C207" s="287"/>
      <c r="D207" s="200"/>
      <c r="F207" s="200"/>
      <c r="I207" s="200"/>
      <c r="J207" s="200"/>
    </row>
    <row r="208" spans="2:10">
      <c r="B208" s="133"/>
      <c r="C208" s="287"/>
      <c r="D208" s="200"/>
      <c r="F208" s="200"/>
      <c r="I208" s="200"/>
      <c r="J208" s="200"/>
    </row>
    <row r="209" spans="2:10">
      <c r="B209" s="133"/>
      <c r="C209" s="287"/>
      <c r="D209" s="200"/>
      <c r="F209" s="200"/>
      <c r="I209" s="200"/>
      <c r="J209" s="200"/>
    </row>
    <row r="210" spans="2:10">
      <c r="B210" s="133"/>
      <c r="C210" s="287"/>
      <c r="D210" s="200"/>
      <c r="F210" s="200"/>
      <c r="I210" s="200"/>
      <c r="J210" s="200"/>
    </row>
    <row r="211" spans="2:10">
      <c r="B211" s="133"/>
      <c r="C211" s="287"/>
      <c r="D211" s="200"/>
      <c r="F211" s="200"/>
      <c r="I211" s="200"/>
      <c r="J211" s="200"/>
    </row>
    <row r="212" spans="2:10">
      <c r="B212" s="133"/>
      <c r="C212" s="287"/>
      <c r="D212" s="200"/>
      <c r="F212" s="200"/>
      <c r="I212" s="200"/>
      <c r="J212" s="200"/>
    </row>
    <row r="213" spans="2:10">
      <c r="B213" s="133"/>
      <c r="C213" s="287"/>
      <c r="D213" s="200"/>
      <c r="F213" s="200"/>
      <c r="I213" s="200"/>
      <c r="J213" s="200"/>
    </row>
    <row r="214" spans="2:10">
      <c r="B214" s="133"/>
      <c r="C214" s="287"/>
      <c r="D214" s="200"/>
      <c r="F214" s="200"/>
      <c r="I214" s="200"/>
      <c r="J214" s="200"/>
    </row>
    <row r="215" spans="2:10">
      <c r="B215" s="133"/>
      <c r="C215" s="287"/>
      <c r="D215" s="200"/>
      <c r="F215" s="200"/>
      <c r="I215" s="200"/>
      <c r="J215" s="200"/>
    </row>
    <row r="216" spans="2:10">
      <c r="B216" s="133"/>
      <c r="C216" s="287"/>
      <c r="D216" s="200"/>
      <c r="F216" s="200"/>
      <c r="I216" s="200"/>
      <c r="J216" s="200"/>
    </row>
    <row r="217" spans="2:10">
      <c r="B217" s="133"/>
      <c r="C217" s="287"/>
      <c r="D217" s="200"/>
      <c r="F217" s="200"/>
      <c r="I217" s="200"/>
      <c r="J217" s="200"/>
    </row>
    <row r="218" spans="2:10">
      <c r="B218" s="133"/>
      <c r="C218" s="287"/>
      <c r="D218" s="200"/>
      <c r="F218" s="200"/>
      <c r="I218" s="200"/>
      <c r="J218" s="200"/>
    </row>
    <row r="219" spans="2:10">
      <c r="B219" s="133"/>
      <c r="C219" s="287"/>
      <c r="D219" s="200"/>
      <c r="F219" s="200"/>
      <c r="I219" s="200"/>
      <c r="J219" s="200"/>
    </row>
    <row r="220" spans="2:10">
      <c r="B220" s="133"/>
      <c r="C220" s="287"/>
      <c r="D220" s="200"/>
      <c r="F220" s="200"/>
      <c r="I220" s="200"/>
      <c r="J220" s="200"/>
    </row>
    <row r="221" spans="2:10">
      <c r="B221" s="133"/>
      <c r="C221" s="287"/>
      <c r="D221" s="200"/>
      <c r="F221" s="200"/>
      <c r="I221" s="200"/>
      <c r="J221" s="200"/>
    </row>
    <row r="222" spans="2:10">
      <c r="B222" s="133"/>
      <c r="C222" s="287"/>
      <c r="D222" s="200"/>
      <c r="F222" s="200"/>
      <c r="I222" s="200"/>
      <c r="J222" s="200"/>
    </row>
    <row r="223" spans="2:10">
      <c r="B223" s="133"/>
      <c r="C223" s="287"/>
      <c r="D223" s="200"/>
      <c r="F223" s="200"/>
      <c r="I223" s="200"/>
      <c r="J223" s="200"/>
    </row>
    <row r="224" spans="2:10">
      <c r="B224" s="133"/>
      <c r="C224" s="287"/>
      <c r="D224" s="200"/>
      <c r="F224" s="200"/>
      <c r="I224" s="200"/>
      <c r="J224" s="200"/>
    </row>
    <row r="225" spans="2:10">
      <c r="B225" s="133"/>
      <c r="C225" s="287"/>
      <c r="D225" s="200"/>
      <c r="F225" s="200"/>
      <c r="I225" s="200"/>
      <c r="J225" s="200"/>
    </row>
    <row r="226" spans="2:10">
      <c r="B226" s="133"/>
      <c r="C226" s="287"/>
      <c r="D226" s="200"/>
      <c r="F226" s="200"/>
      <c r="I226" s="200"/>
      <c r="J226" s="200"/>
    </row>
    <row r="227" spans="2:10">
      <c r="B227" s="133"/>
      <c r="C227" s="287"/>
      <c r="D227" s="200"/>
      <c r="F227" s="200"/>
      <c r="I227" s="200"/>
      <c r="J227" s="200"/>
    </row>
    <row r="228" spans="2:10">
      <c r="B228" s="133"/>
      <c r="C228" s="287"/>
      <c r="D228" s="200"/>
      <c r="F228" s="200"/>
      <c r="I228" s="200"/>
      <c r="J228" s="200"/>
    </row>
    <row r="229" spans="2:10">
      <c r="B229" s="133"/>
      <c r="C229" s="287"/>
      <c r="D229" s="200"/>
      <c r="F229" s="200"/>
      <c r="I229" s="200"/>
      <c r="J229" s="200"/>
    </row>
    <row r="230" spans="2:10">
      <c r="B230" s="133"/>
      <c r="C230" s="287"/>
      <c r="D230" s="200"/>
      <c r="F230" s="200"/>
      <c r="I230" s="200"/>
      <c r="J230" s="200"/>
    </row>
    <row r="231" spans="2:10">
      <c r="B231" s="133"/>
      <c r="C231" s="287"/>
      <c r="D231" s="200"/>
      <c r="F231" s="200"/>
      <c r="I231" s="200"/>
      <c r="J231" s="200"/>
    </row>
    <row r="232" spans="2:10">
      <c r="B232" s="133"/>
      <c r="C232" s="287"/>
      <c r="D232" s="200"/>
      <c r="F232" s="200"/>
      <c r="I232" s="200"/>
      <c r="J232" s="200"/>
    </row>
    <row r="233" spans="2:10">
      <c r="B233" s="133"/>
      <c r="C233" s="287"/>
      <c r="D233" s="200"/>
      <c r="F233" s="200"/>
      <c r="I233" s="200"/>
      <c r="J233" s="200"/>
    </row>
    <row r="234" spans="2:10">
      <c r="B234" s="133"/>
      <c r="C234" s="287"/>
      <c r="D234" s="200"/>
      <c r="F234" s="200"/>
      <c r="I234" s="200"/>
      <c r="J234" s="200"/>
    </row>
    <row r="235" spans="2:10">
      <c r="B235" s="133"/>
      <c r="C235" s="287"/>
      <c r="D235" s="200"/>
      <c r="F235" s="200"/>
      <c r="I235" s="200"/>
      <c r="J235" s="200"/>
    </row>
    <row r="236" spans="2:10">
      <c r="B236" s="133"/>
      <c r="C236" s="287"/>
      <c r="D236" s="200"/>
      <c r="F236" s="200"/>
      <c r="I236" s="200"/>
      <c r="J236" s="200"/>
    </row>
    <row r="237" spans="2:10">
      <c r="B237" s="133"/>
      <c r="C237" s="287"/>
      <c r="D237" s="200"/>
      <c r="F237" s="200"/>
      <c r="I237" s="200"/>
      <c r="J237" s="200"/>
    </row>
    <row r="238" spans="2:10">
      <c r="B238" s="133"/>
      <c r="C238" s="287"/>
      <c r="D238" s="200"/>
      <c r="F238" s="200"/>
      <c r="I238" s="200"/>
      <c r="J238" s="200"/>
    </row>
    <row r="239" spans="2:10">
      <c r="B239" s="133"/>
      <c r="C239" s="287"/>
      <c r="D239" s="200"/>
      <c r="F239" s="200"/>
      <c r="I239" s="200"/>
      <c r="J239" s="200"/>
    </row>
    <row r="240" spans="2:10">
      <c r="B240" s="133"/>
      <c r="C240" s="287"/>
      <c r="D240" s="200"/>
      <c r="F240" s="200"/>
      <c r="I240" s="200"/>
      <c r="J240" s="200"/>
    </row>
    <row r="241" spans="2:10">
      <c r="B241" s="133"/>
      <c r="C241" s="287"/>
      <c r="D241" s="200"/>
      <c r="F241" s="200"/>
      <c r="I241" s="200"/>
      <c r="J241" s="200"/>
    </row>
    <row r="242" spans="2:10">
      <c r="B242" s="133"/>
      <c r="C242" s="287"/>
      <c r="D242" s="200"/>
      <c r="F242" s="200"/>
      <c r="I242" s="200"/>
      <c r="J242" s="200"/>
    </row>
    <row r="243" spans="2:10">
      <c r="B243" s="133"/>
      <c r="C243" s="287"/>
      <c r="D243" s="200"/>
      <c r="F243" s="200"/>
      <c r="I243" s="200"/>
      <c r="J243" s="200"/>
    </row>
    <row r="244" spans="2:10">
      <c r="B244" s="133"/>
      <c r="C244" s="287"/>
      <c r="D244" s="200"/>
      <c r="F244" s="200"/>
      <c r="I244" s="200"/>
      <c r="J244" s="200"/>
    </row>
    <row r="245" spans="2:10">
      <c r="B245" s="133"/>
      <c r="C245" s="287"/>
      <c r="D245" s="200"/>
      <c r="F245" s="200"/>
      <c r="I245" s="200"/>
      <c r="J245" s="200"/>
    </row>
    <row r="246" spans="2:10">
      <c r="B246" s="133"/>
      <c r="C246" s="287"/>
      <c r="D246" s="200"/>
      <c r="F246" s="200"/>
      <c r="I246" s="200"/>
      <c r="J246" s="200"/>
    </row>
    <row r="247" spans="2:10">
      <c r="B247" s="133"/>
      <c r="C247" s="287"/>
      <c r="D247" s="200"/>
      <c r="F247" s="200"/>
      <c r="I247" s="200"/>
      <c r="J247" s="200"/>
    </row>
    <row r="248" spans="2:10">
      <c r="B248" s="133"/>
      <c r="C248" s="287"/>
      <c r="D248" s="200"/>
      <c r="F248" s="200"/>
      <c r="I248" s="200"/>
      <c r="J248" s="200"/>
    </row>
    <row r="249" spans="2:10">
      <c r="B249" s="133"/>
      <c r="C249" s="287"/>
      <c r="D249" s="200"/>
      <c r="F249" s="200"/>
      <c r="I249" s="200"/>
      <c r="J249" s="200"/>
    </row>
    <row r="250" spans="2:10">
      <c r="B250" s="133"/>
      <c r="C250" s="287"/>
      <c r="D250" s="200"/>
      <c r="F250" s="200"/>
      <c r="I250" s="200"/>
      <c r="J250" s="200"/>
    </row>
    <row r="251" spans="2:10">
      <c r="B251" s="133"/>
      <c r="C251" s="287"/>
      <c r="D251" s="200"/>
      <c r="F251" s="200"/>
      <c r="I251" s="200"/>
      <c r="J251" s="200"/>
    </row>
    <row r="252" spans="2:10">
      <c r="B252" s="133"/>
      <c r="C252" s="287"/>
      <c r="D252" s="200"/>
      <c r="F252" s="200"/>
      <c r="I252" s="200"/>
      <c r="J252" s="200"/>
    </row>
    <row r="253" spans="2:10">
      <c r="B253" s="133"/>
      <c r="C253" s="287"/>
      <c r="D253" s="200"/>
      <c r="F253" s="200"/>
      <c r="I253" s="200"/>
      <c r="J253" s="200"/>
    </row>
    <row r="254" spans="2:10">
      <c r="B254" s="133"/>
      <c r="C254" s="287"/>
      <c r="D254" s="200"/>
      <c r="F254" s="200"/>
      <c r="I254" s="200"/>
      <c r="J254" s="200"/>
    </row>
    <row r="255" spans="2:10">
      <c r="B255" s="133"/>
      <c r="C255" s="287"/>
      <c r="D255" s="200"/>
      <c r="F255" s="200"/>
      <c r="I255" s="200"/>
      <c r="J255" s="200"/>
    </row>
    <row r="256" spans="2:10">
      <c r="B256" s="133"/>
      <c r="C256" s="287"/>
      <c r="D256" s="200"/>
      <c r="F256" s="200"/>
      <c r="I256" s="200"/>
      <c r="J256" s="200"/>
    </row>
    <row r="257" spans="2:10">
      <c r="B257" s="133"/>
      <c r="C257" s="287"/>
      <c r="D257" s="200"/>
      <c r="F257" s="200"/>
      <c r="I257" s="200"/>
      <c r="J257" s="200"/>
    </row>
    <row r="258" spans="2:10">
      <c r="B258" s="133"/>
      <c r="C258" s="287"/>
      <c r="D258" s="200"/>
      <c r="F258" s="200"/>
      <c r="I258" s="200"/>
      <c r="J258" s="200"/>
    </row>
    <row r="259" spans="2:10">
      <c r="B259" s="133"/>
      <c r="C259" s="287"/>
      <c r="D259" s="200"/>
      <c r="F259" s="200"/>
      <c r="I259" s="200"/>
      <c r="J259" s="200"/>
    </row>
    <row r="260" spans="2:10">
      <c r="B260" s="133"/>
      <c r="C260" s="287"/>
      <c r="D260" s="200"/>
      <c r="F260" s="200"/>
      <c r="I260" s="200"/>
      <c r="J260" s="200"/>
    </row>
    <row r="261" spans="2:10">
      <c r="B261" s="133"/>
      <c r="C261" s="287"/>
      <c r="D261" s="200"/>
      <c r="F261" s="200"/>
      <c r="I261" s="200"/>
      <c r="J261" s="200"/>
    </row>
    <row r="262" spans="2:10">
      <c r="B262" s="133"/>
      <c r="C262" s="287"/>
      <c r="D262" s="200"/>
      <c r="F262" s="200"/>
      <c r="I262" s="200"/>
      <c r="J262" s="200"/>
    </row>
    <row r="263" spans="2:10">
      <c r="B263" s="133"/>
      <c r="C263" s="287"/>
      <c r="D263" s="200"/>
      <c r="F263" s="200"/>
      <c r="I263" s="200"/>
      <c r="J263" s="200"/>
    </row>
    <row r="264" spans="2:10">
      <c r="B264" s="133"/>
      <c r="C264" s="287"/>
      <c r="D264" s="200"/>
      <c r="F264" s="200"/>
      <c r="I264" s="200"/>
      <c r="J264" s="200"/>
    </row>
    <row r="265" spans="2:10">
      <c r="B265" s="133"/>
      <c r="C265" s="287"/>
      <c r="D265" s="200"/>
      <c r="F265" s="200"/>
      <c r="I265" s="200"/>
      <c r="J265" s="200"/>
    </row>
    <row r="266" spans="2:10">
      <c r="B266" s="133"/>
      <c r="C266" s="287"/>
      <c r="D266" s="200"/>
      <c r="F266" s="200"/>
      <c r="I266" s="200"/>
      <c r="J266" s="200"/>
    </row>
    <row r="267" spans="2:10">
      <c r="B267" s="133"/>
      <c r="C267" s="287"/>
      <c r="D267" s="200"/>
      <c r="F267" s="200"/>
      <c r="I267" s="200"/>
      <c r="J267" s="200"/>
    </row>
    <row r="268" spans="2:10">
      <c r="B268" s="133"/>
      <c r="C268" s="287"/>
      <c r="D268" s="200"/>
      <c r="F268" s="200"/>
      <c r="I268" s="200"/>
      <c r="J268" s="200"/>
    </row>
    <row r="269" spans="2:10">
      <c r="B269" s="133"/>
      <c r="C269" s="287"/>
      <c r="D269" s="200"/>
      <c r="F269" s="200"/>
      <c r="I269" s="200"/>
      <c r="J269" s="200"/>
    </row>
    <row r="270" spans="2:10">
      <c r="B270" s="133"/>
      <c r="C270" s="287"/>
      <c r="D270" s="200"/>
      <c r="F270" s="200"/>
      <c r="I270" s="200"/>
      <c r="J270" s="200"/>
    </row>
    <row r="271" spans="2:10">
      <c r="B271" s="133"/>
      <c r="C271" s="287"/>
      <c r="D271" s="200"/>
      <c r="F271" s="200"/>
      <c r="I271" s="200"/>
      <c r="J271" s="200"/>
    </row>
    <row r="272" spans="2:10">
      <c r="B272" s="133"/>
      <c r="C272" s="287"/>
      <c r="D272" s="200"/>
      <c r="F272" s="200"/>
      <c r="I272" s="200"/>
      <c r="J272" s="200"/>
    </row>
    <row r="273" spans="2:10">
      <c r="B273" s="133"/>
      <c r="C273" s="287"/>
      <c r="D273" s="200"/>
      <c r="F273" s="200"/>
      <c r="I273" s="200"/>
      <c r="J273" s="200"/>
    </row>
    <row r="274" spans="2:10">
      <c r="B274" s="133"/>
      <c r="C274" s="287"/>
      <c r="D274" s="200"/>
      <c r="F274" s="200"/>
      <c r="I274" s="200"/>
      <c r="J274" s="200"/>
    </row>
    <row r="275" spans="2:10">
      <c r="B275" s="133"/>
      <c r="C275" s="287"/>
      <c r="D275" s="200"/>
      <c r="F275" s="200"/>
      <c r="I275" s="200"/>
      <c r="J275" s="200"/>
    </row>
    <row r="276" spans="2:10">
      <c r="B276" s="133"/>
      <c r="C276" s="287"/>
      <c r="D276" s="200"/>
      <c r="F276" s="200"/>
      <c r="I276" s="200"/>
      <c r="J276" s="200"/>
    </row>
    <row r="277" spans="2:10">
      <c r="B277" s="133"/>
      <c r="C277" s="287"/>
      <c r="D277" s="200"/>
      <c r="F277" s="200"/>
      <c r="I277" s="200"/>
      <c r="J277" s="200"/>
    </row>
    <row r="278" spans="2:10">
      <c r="B278" s="133"/>
      <c r="C278" s="287"/>
      <c r="D278" s="200"/>
      <c r="F278" s="200"/>
      <c r="I278" s="200"/>
      <c r="J278" s="200"/>
    </row>
    <row r="279" spans="2:10">
      <c r="B279" s="133"/>
      <c r="C279" s="287"/>
      <c r="D279" s="200"/>
      <c r="F279" s="200"/>
      <c r="I279" s="200"/>
      <c r="J279" s="200"/>
    </row>
    <row r="280" spans="2:10">
      <c r="B280" s="133"/>
      <c r="C280" s="287"/>
      <c r="D280" s="200"/>
      <c r="F280" s="200"/>
      <c r="I280" s="200"/>
      <c r="J280" s="200"/>
    </row>
    <row r="281" spans="2:10">
      <c r="B281" s="133"/>
      <c r="C281" s="287"/>
      <c r="D281" s="200"/>
      <c r="F281" s="200"/>
      <c r="I281" s="200"/>
      <c r="J281" s="200"/>
    </row>
    <row r="282" spans="2:10">
      <c r="B282" s="133"/>
      <c r="C282" s="287"/>
      <c r="D282" s="200"/>
      <c r="F282" s="200"/>
      <c r="I282" s="200"/>
      <c r="J282" s="200"/>
    </row>
    <row r="283" spans="2:10">
      <c r="B283" s="133"/>
      <c r="C283" s="287"/>
      <c r="D283" s="200"/>
      <c r="F283" s="200"/>
      <c r="I283" s="200"/>
      <c r="J283" s="200"/>
    </row>
    <row r="284" spans="2:10">
      <c r="B284" s="133"/>
      <c r="C284" s="287"/>
      <c r="D284" s="200"/>
      <c r="F284" s="200"/>
      <c r="I284" s="200"/>
      <c r="J284" s="200"/>
    </row>
    <row r="285" spans="2:10">
      <c r="B285" s="133"/>
      <c r="C285" s="287"/>
      <c r="D285" s="200"/>
      <c r="F285" s="200"/>
      <c r="I285" s="200"/>
      <c r="J285" s="200"/>
    </row>
    <row r="286" spans="2:10">
      <c r="B286" s="133"/>
      <c r="C286" s="287"/>
      <c r="D286" s="200"/>
      <c r="F286" s="200"/>
      <c r="I286" s="200"/>
      <c r="J286" s="200"/>
    </row>
    <row r="287" spans="2:10">
      <c r="B287" s="133"/>
      <c r="C287" s="287"/>
      <c r="D287" s="200"/>
      <c r="F287" s="200"/>
      <c r="I287" s="200"/>
      <c r="J287" s="200"/>
    </row>
    <row r="288" spans="2:10">
      <c r="B288" s="133"/>
      <c r="C288" s="287"/>
      <c r="D288" s="200"/>
      <c r="F288" s="200"/>
      <c r="I288" s="200"/>
      <c r="J288" s="200"/>
    </row>
    <row r="289" spans="2:10">
      <c r="B289" s="133"/>
      <c r="C289" s="287"/>
      <c r="D289" s="200"/>
      <c r="F289" s="200"/>
      <c r="I289" s="200"/>
      <c r="J289" s="200"/>
    </row>
    <row r="290" spans="2:10">
      <c r="B290" s="133"/>
      <c r="C290" s="287"/>
      <c r="D290" s="200"/>
      <c r="F290" s="200"/>
      <c r="I290" s="200"/>
      <c r="J290" s="200"/>
    </row>
    <row r="291" spans="2:10">
      <c r="B291" s="133"/>
      <c r="C291" s="287"/>
      <c r="D291" s="200"/>
      <c r="F291" s="200"/>
      <c r="I291" s="200"/>
      <c r="J291" s="200"/>
    </row>
    <row r="292" spans="2:10">
      <c r="B292" s="133"/>
      <c r="C292" s="287"/>
      <c r="D292" s="200"/>
      <c r="F292" s="200"/>
      <c r="I292" s="200"/>
      <c r="J292" s="200"/>
    </row>
    <row r="293" spans="2:10">
      <c r="B293" s="133"/>
      <c r="C293" s="287"/>
      <c r="D293" s="200"/>
      <c r="F293" s="200"/>
      <c r="I293" s="200"/>
      <c r="J293" s="200"/>
    </row>
    <row r="294" spans="2:10">
      <c r="B294" s="133"/>
      <c r="C294" s="287"/>
      <c r="D294" s="200"/>
      <c r="F294" s="200"/>
      <c r="I294" s="200"/>
      <c r="J294" s="200"/>
    </row>
    <row r="295" spans="2:10">
      <c r="B295" s="133"/>
      <c r="C295" s="287"/>
      <c r="D295" s="200"/>
      <c r="F295" s="200"/>
      <c r="I295" s="200"/>
      <c r="J295" s="200"/>
    </row>
    <row r="296" spans="2:10">
      <c r="B296" s="133"/>
      <c r="C296" s="287"/>
      <c r="D296" s="200"/>
      <c r="F296" s="200"/>
      <c r="I296" s="200"/>
      <c r="J296" s="200"/>
    </row>
    <row r="297" spans="2:10">
      <c r="B297" s="133"/>
      <c r="C297" s="287"/>
      <c r="D297" s="200"/>
      <c r="F297" s="200"/>
      <c r="I297" s="200"/>
      <c r="J297" s="200"/>
    </row>
    <row r="298" spans="2:10">
      <c r="B298" s="133"/>
      <c r="C298" s="287"/>
      <c r="D298" s="200"/>
      <c r="F298" s="200"/>
      <c r="I298" s="200"/>
      <c r="J298" s="200"/>
    </row>
    <row r="299" spans="2:10">
      <c r="B299" s="133"/>
      <c r="C299" s="287"/>
      <c r="D299" s="200"/>
      <c r="F299" s="200"/>
      <c r="I299" s="200"/>
      <c r="J299" s="200"/>
    </row>
    <row r="300" spans="2:10">
      <c r="B300" s="133"/>
      <c r="C300" s="287"/>
      <c r="D300" s="200"/>
      <c r="F300" s="200"/>
      <c r="I300" s="200"/>
      <c r="J300" s="200"/>
    </row>
    <row r="301" spans="2:10">
      <c r="B301" s="133"/>
      <c r="C301" s="287"/>
      <c r="D301" s="200"/>
      <c r="F301" s="200"/>
      <c r="I301" s="200"/>
      <c r="J301" s="200"/>
    </row>
    <row r="302" spans="2:10">
      <c r="B302" s="133"/>
      <c r="C302" s="287"/>
      <c r="D302" s="200"/>
      <c r="F302" s="200"/>
      <c r="I302" s="200"/>
      <c r="J302" s="200"/>
    </row>
    <row r="303" spans="2:10">
      <c r="B303" s="133"/>
      <c r="C303" s="287"/>
      <c r="D303" s="200"/>
      <c r="F303" s="200"/>
      <c r="I303" s="200"/>
      <c r="J303" s="200"/>
    </row>
    <row r="304" spans="2:10">
      <c r="B304" s="133"/>
      <c r="C304" s="287"/>
      <c r="D304" s="200"/>
      <c r="F304" s="200"/>
      <c r="I304" s="200"/>
      <c r="J304" s="200"/>
    </row>
    <row r="305" spans="2:10">
      <c r="B305" s="133"/>
      <c r="C305" s="287"/>
      <c r="D305" s="200"/>
      <c r="F305" s="200"/>
      <c r="I305" s="200"/>
      <c r="J305" s="200"/>
    </row>
    <row r="306" spans="2:10">
      <c r="B306" s="133"/>
      <c r="C306" s="287"/>
      <c r="D306" s="200"/>
      <c r="F306" s="200"/>
      <c r="I306" s="200"/>
      <c r="J306" s="200"/>
    </row>
    <row r="307" spans="2:10">
      <c r="B307" s="133"/>
      <c r="C307" s="287"/>
      <c r="D307" s="200"/>
      <c r="F307" s="200"/>
      <c r="I307" s="200"/>
      <c r="J307" s="200"/>
    </row>
    <row r="308" spans="2:10">
      <c r="B308" s="133"/>
      <c r="C308" s="287"/>
      <c r="D308" s="200"/>
      <c r="F308" s="200"/>
      <c r="I308" s="200"/>
      <c r="J308" s="200"/>
    </row>
    <row r="309" spans="2:10">
      <c r="B309" s="133"/>
      <c r="C309" s="287"/>
      <c r="D309" s="200"/>
      <c r="F309" s="200"/>
      <c r="I309" s="200"/>
      <c r="J309" s="200"/>
    </row>
    <row r="310" spans="2:10">
      <c r="B310" s="133"/>
      <c r="C310" s="287"/>
      <c r="D310" s="200"/>
      <c r="F310" s="200"/>
      <c r="I310" s="200"/>
      <c r="J310" s="200"/>
    </row>
    <row r="311" spans="2:10">
      <c r="B311" s="133"/>
      <c r="C311" s="287"/>
      <c r="D311" s="200"/>
      <c r="F311" s="200"/>
      <c r="I311" s="200"/>
      <c r="J311" s="200"/>
    </row>
    <row r="312" spans="2:10">
      <c r="B312" s="133"/>
      <c r="C312" s="287"/>
      <c r="D312" s="200"/>
      <c r="F312" s="200"/>
      <c r="I312" s="200"/>
      <c r="J312" s="200"/>
    </row>
    <row r="313" spans="2:10">
      <c r="B313" s="133"/>
      <c r="C313" s="287"/>
      <c r="D313" s="200"/>
      <c r="F313" s="200"/>
      <c r="I313" s="200"/>
      <c r="J313" s="200"/>
    </row>
    <row r="314" spans="2:10">
      <c r="B314" s="133"/>
      <c r="C314" s="287"/>
      <c r="D314" s="200"/>
      <c r="F314" s="200"/>
      <c r="I314" s="200"/>
      <c r="J314" s="200"/>
    </row>
    <row r="315" spans="2:10">
      <c r="B315" s="133"/>
      <c r="C315" s="287"/>
      <c r="D315" s="200"/>
      <c r="F315" s="200"/>
      <c r="I315" s="200"/>
      <c r="J315" s="200"/>
    </row>
    <row r="316" spans="2:10">
      <c r="B316" s="133"/>
      <c r="C316" s="287"/>
      <c r="D316" s="200"/>
      <c r="F316" s="200"/>
      <c r="I316" s="200"/>
      <c r="J316" s="200"/>
    </row>
    <row r="317" spans="2:10">
      <c r="B317" s="133"/>
      <c r="C317" s="287"/>
      <c r="D317" s="200"/>
      <c r="F317" s="200"/>
      <c r="I317" s="200"/>
      <c r="J317" s="200"/>
    </row>
    <row r="318" spans="2:10">
      <c r="B318" s="133"/>
      <c r="C318" s="287"/>
      <c r="D318" s="200"/>
      <c r="F318" s="200"/>
      <c r="I318" s="200"/>
      <c r="J318" s="200"/>
    </row>
    <row r="319" spans="2:10">
      <c r="B319" s="133"/>
      <c r="C319" s="287"/>
      <c r="D319" s="200"/>
      <c r="F319" s="200"/>
      <c r="I319" s="200"/>
      <c r="J319" s="200"/>
    </row>
    <row r="320" spans="2:10">
      <c r="B320" s="133"/>
      <c r="C320" s="287"/>
      <c r="D320" s="200"/>
      <c r="F320" s="200"/>
      <c r="I320" s="200"/>
      <c r="J320" s="200"/>
    </row>
    <row r="321" spans="2:10">
      <c r="B321" s="133"/>
      <c r="C321" s="287"/>
      <c r="D321" s="200"/>
      <c r="F321" s="200"/>
      <c r="I321" s="200"/>
      <c r="J321" s="200"/>
    </row>
    <row r="322" spans="2:10">
      <c r="B322" s="133"/>
      <c r="C322" s="287"/>
      <c r="D322" s="200"/>
      <c r="F322" s="200"/>
      <c r="I322" s="200"/>
      <c r="J322" s="200"/>
    </row>
    <row r="323" spans="2:10">
      <c r="B323" s="133"/>
      <c r="C323" s="287"/>
      <c r="D323" s="200"/>
      <c r="F323" s="200"/>
      <c r="I323" s="200"/>
      <c r="J323" s="200"/>
    </row>
    <row r="324" spans="2:10">
      <c r="B324" s="133"/>
      <c r="C324" s="287"/>
      <c r="D324" s="200"/>
      <c r="F324" s="200"/>
      <c r="I324" s="200"/>
      <c r="J324" s="200"/>
    </row>
    <row r="325" spans="2:10">
      <c r="B325" s="133"/>
      <c r="C325" s="287"/>
      <c r="D325" s="200"/>
      <c r="F325" s="200"/>
      <c r="I325" s="200"/>
      <c r="J325" s="200"/>
    </row>
    <row r="326" spans="2:10">
      <c r="B326" s="133"/>
      <c r="C326" s="287"/>
      <c r="D326" s="200"/>
      <c r="F326" s="200"/>
      <c r="I326" s="200"/>
      <c r="J326" s="200"/>
    </row>
    <row r="327" spans="2:10">
      <c r="B327" s="133"/>
      <c r="C327" s="287"/>
      <c r="D327" s="200"/>
      <c r="F327" s="200"/>
      <c r="I327" s="200"/>
      <c r="J327" s="200"/>
    </row>
    <row r="328" spans="2:10">
      <c r="B328" s="133"/>
      <c r="C328" s="287"/>
      <c r="D328" s="200"/>
      <c r="F328" s="200"/>
      <c r="I328" s="200"/>
      <c r="J328" s="200"/>
    </row>
    <row r="329" spans="2:10">
      <c r="B329" s="133"/>
      <c r="C329" s="287"/>
      <c r="D329" s="200"/>
      <c r="F329" s="200"/>
      <c r="I329" s="200"/>
      <c r="J329" s="200"/>
    </row>
    <row r="330" spans="2:10">
      <c r="B330" s="133"/>
      <c r="C330" s="287"/>
      <c r="D330" s="200"/>
      <c r="F330" s="200"/>
      <c r="I330" s="200"/>
      <c r="J330" s="200"/>
    </row>
    <row r="331" spans="2:10">
      <c r="B331" s="133"/>
      <c r="C331" s="287"/>
      <c r="D331" s="200"/>
      <c r="F331" s="200"/>
      <c r="I331" s="200"/>
      <c r="J331" s="200"/>
    </row>
    <row r="332" spans="2:10">
      <c r="B332" s="133"/>
      <c r="C332" s="287"/>
      <c r="D332" s="200"/>
      <c r="F332" s="200"/>
      <c r="I332" s="200"/>
      <c r="J332" s="200"/>
    </row>
    <row r="333" spans="2:10">
      <c r="B333" s="133"/>
      <c r="C333" s="287"/>
      <c r="D333" s="200"/>
      <c r="F333" s="200"/>
      <c r="I333" s="200"/>
      <c r="J333" s="200"/>
    </row>
    <row r="334" spans="2:10">
      <c r="B334" s="133"/>
      <c r="C334" s="287"/>
      <c r="D334" s="200"/>
      <c r="F334" s="200"/>
      <c r="I334" s="200"/>
      <c r="J334" s="200"/>
    </row>
    <row r="335" spans="2:10">
      <c r="B335" s="133"/>
      <c r="C335" s="287"/>
      <c r="D335" s="200"/>
      <c r="F335" s="200"/>
      <c r="I335" s="200"/>
      <c r="J335" s="200"/>
    </row>
    <row r="336" spans="2:10">
      <c r="B336" s="133"/>
      <c r="C336" s="287"/>
      <c r="D336" s="200"/>
      <c r="F336" s="200"/>
      <c r="I336" s="200"/>
      <c r="J336" s="200"/>
    </row>
    <row r="337" spans="2:10">
      <c r="B337" s="133"/>
      <c r="C337" s="287"/>
      <c r="D337" s="200"/>
      <c r="F337" s="200"/>
      <c r="I337" s="200"/>
      <c r="J337" s="200"/>
    </row>
    <row r="338" spans="2:10">
      <c r="B338" s="133"/>
      <c r="C338" s="287"/>
      <c r="D338" s="200"/>
      <c r="F338" s="200"/>
      <c r="I338" s="200"/>
      <c r="J338" s="200"/>
    </row>
    <row r="339" spans="2:10">
      <c r="B339" s="133"/>
      <c r="C339" s="287"/>
      <c r="D339" s="200"/>
      <c r="F339" s="200"/>
      <c r="I339" s="200"/>
      <c r="J339" s="200"/>
    </row>
    <row r="340" spans="2:10">
      <c r="B340" s="133"/>
      <c r="C340" s="287"/>
      <c r="D340" s="200"/>
      <c r="F340" s="200"/>
      <c r="I340" s="200"/>
      <c r="J340" s="200"/>
    </row>
    <row r="341" spans="2:10">
      <c r="B341" s="133"/>
      <c r="C341" s="287"/>
      <c r="D341" s="200"/>
      <c r="F341" s="200"/>
      <c r="I341" s="200"/>
      <c r="J341" s="200"/>
    </row>
    <row r="342" spans="2:10">
      <c r="B342" s="133"/>
      <c r="C342" s="287"/>
      <c r="D342" s="200"/>
      <c r="F342" s="200"/>
      <c r="I342" s="200"/>
      <c r="J342" s="200"/>
    </row>
    <row r="343" spans="2:10">
      <c r="B343" s="133"/>
      <c r="C343" s="287"/>
      <c r="D343" s="200"/>
      <c r="F343" s="200"/>
      <c r="I343" s="200"/>
      <c r="J343" s="200"/>
    </row>
    <row r="344" spans="2:10">
      <c r="B344" s="133"/>
      <c r="C344" s="287"/>
      <c r="D344" s="200"/>
      <c r="F344" s="200"/>
      <c r="I344" s="200"/>
      <c r="J344" s="200"/>
    </row>
    <row r="345" spans="2:10">
      <c r="B345" s="133"/>
      <c r="C345" s="287"/>
      <c r="D345" s="200"/>
      <c r="F345" s="200"/>
      <c r="I345" s="200"/>
      <c r="J345" s="200"/>
    </row>
    <row r="346" spans="2:10">
      <c r="B346" s="133"/>
      <c r="C346" s="287"/>
      <c r="D346" s="200"/>
      <c r="F346" s="200"/>
      <c r="I346" s="200"/>
      <c r="J346" s="200"/>
    </row>
    <row r="347" spans="2:10">
      <c r="B347" s="133"/>
      <c r="C347" s="287"/>
      <c r="D347" s="200"/>
      <c r="F347" s="200"/>
      <c r="I347" s="200"/>
      <c r="J347" s="200"/>
    </row>
    <row r="348" spans="2:10">
      <c r="B348" s="133"/>
      <c r="C348" s="287"/>
      <c r="D348" s="200"/>
      <c r="F348" s="200"/>
      <c r="I348" s="200"/>
      <c r="J348" s="200"/>
    </row>
    <row r="349" spans="2:10">
      <c r="B349" s="133"/>
      <c r="C349" s="287"/>
      <c r="D349" s="200"/>
      <c r="F349" s="200"/>
      <c r="I349" s="200"/>
      <c r="J349" s="200"/>
    </row>
    <row r="350" spans="2:10">
      <c r="B350" s="133"/>
      <c r="C350" s="287"/>
      <c r="D350" s="200"/>
      <c r="F350" s="200"/>
      <c r="I350" s="200"/>
      <c r="J350" s="200"/>
    </row>
    <row r="351" spans="2:10">
      <c r="B351" s="133"/>
      <c r="C351" s="287"/>
      <c r="D351" s="200"/>
      <c r="F351" s="200"/>
      <c r="I351" s="200"/>
      <c r="J351" s="200"/>
    </row>
    <row r="352" spans="2:10">
      <c r="B352" s="133"/>
      <c r="C352" s="287"/>
      <c r="D352" s="200"/>
      <c r="F352" s="200"/>
      <c r="I352" s="200"/>
      <c r="J352" s="200"/>
    </row>
    <row r="353" spans="2:10">
      <c r="B353" s="133"/>
      <c r="C353" s="287"/>
      <c r="D353" s="200"/>
      <c r="F353" s="200"/>
      <c r="I353" s="200"/>
      <c r="J353" s="200"/>
    </row>
    <row r="354" spans="2:10">
      <c r="B354" s="133"/>
      <c r="C354" s="287"/>
      <c r="D354" s="200"/>
      <c r="F354" s="200"/>
      <c r="I354" s="200"/>
      <c r="J354" s="200"/>
    </row>
    <row r="355" spans="2:10">
      <c r="B355" s="133"/>
      <c r="C355" s="287"/>
      <c r="D355" s="200"/>
      <c r="F355" s="200"/>
      <c r="I355" s="200"/>
      <c r="J355" s="200"/>
    </row>
    <row r="356" spans="2:10">
      <c r="B356" s="133"/>
      <c r="C356" s="287"/>
      <c r="D356" s="200"/>
      <c r="F356" s="200"/>
      <c r="I356" s="200"/>
      <c r="J356" s="200"/>
    </row>
    <row r="357" spans="2:10">
      <c r="B357" s="133"/>
      <c r="C357" s="287"/>
      <c r="D357" s="200"/>
      <c r="F357" s="200"/>
      <c r="I357" s="200"/>
      <c r="J357" s="200"/>
    </row>
    <row r="358" spans="2:10">
      <c r="B358" s="133"/>
      <c r="C358" s="287"/>
      <c r="D358" s="200"/>
      <c r="F358" s="200"/>
      <c r="I358" s="200"/>
      <c r="J358" s="200"/>
    </row>
    <row r="359" spans="2:10">
      <c r="B359" s="133"/>
      <c r="C359" s="287"/>
      <c r="D359" s="200"/>
      <c r="F359" s="200"/>
      <c r="I359" s="200"/>
      <c r="J359" s="200"/>
    </row>
    <row r="360" spans="2:10">
      <c r="B360" s="133"/>
      <c r="C360" s="287"/>
      <c r="D360" s="200"/>
      <c r="F360" s="200"/>
      <c r="I360" s="200"/>
      <c r="J360" s="200"/>
    </row>
    <row r="361" spans="2:10">
      <c r="B361" s="133"/>
      <c r="C361" s="287"/>
      <c r="D361" s="200"/>
      <c r="F361" s="200"/>
      <c r="I361" s="200"/>
      <c r="J361" s="200"/>
    </row>
    <row r="362" spans="2:10">
      <c r="B362" s="133"/>
      <c r="C362" s="287"/>
      <c r="D362" s="200"/>
      <c r="F362" s="200"/>
      <c r="I362" s="200"/>
      <c r="J362" s="200"/>
    </row>
    <row r="363" spans="2:10">
      <c r="B363" s="133"/>
      <c r="C363" s="287"/>
      <c r="D363" s="200"/>
      <c r="F363" s="200"/>
      <c r="I363" s="200"/>
      <c r="J363" s="200"/>
    </row>
    <row r="364" spans="2:10">
      <c r="B364" s="133"/>
      <c r="C364" s="287"/>
      <c r="D364" s="200"/>
      <c r="F364" s="200"/>
      <c r="I364" s="200"/>
      <c r="J364" s="200"/>
    </row>
    <row r="365" spans="2:10">
      <c r="B365" s="133"/>
      <c r="C365" s="287"/>
      <c r="D365" s="200"/>
      <c r="F365" s="200"/>
      <c r="I365" s="200"/>
      <c r="J365" s="200"/>
    </row>
    <row r="366" spans="2:10">
      <c r="B366" s="133"/>
      <c r="C366" s="287"/>
      <c r="D366" s="200"/>
      <c r="F366" s="200"/>
      <c r="I366" s="200"/>
      <c r="J366" s="200"/>
    </row>
    <row r="367" spans="2:10">
      <c r="B367" s="133"/>
      <c r="C367" s="287"/>
      <c r="D367" s="200"/>
      <c r="F367" s="200"/>
      <c r="I367" s="200"/>
      <c r="J367" s="200"/>
    </row>
    <row r="368" spans="2:10">
      <c r="B368" s="133"/>
      <c r="C368" s="287"/>
      <c r="D368" s="200"/>
      <c r="F368" s="200"/>
      <c r="I368" s="200"/>
      <c r="J368" s="200"/>
    </row>
    <row r="369" spans="2:10">
      <c r="B369" s="133"/>
      <c r="C369" s="287"/>
      <c r="D369" s="200"/>
      <c r="F369" s="200"/>
      <c r="I369" s="200"/>
      <c r="J369" s="200"/>
    </row>
    <row r="370" spans="2:10">
      <c r="B370" s="133"/>
      <c r="C370" s="287"/>
      <c r="D370" s="200"/>
      <c r="F370" s="200"/>
      <c r="I370" s="200"/>
      <c r="J370" s="200"/>
    </row>
    <row r="371" spans="2:10">
      <c r="B371" s="133"/>
      <c r="C371" s="287"/>
      <c r="D371" s="200"/>
      <c r="F371" s="200"/>
      <c r="I371" s="200"/>
      <c r="J371" s="200"/>
    </row>
    <row r="372" spans="2:10">
      <c r="B372" s="133"/>
      <c r="C372" s="287"/>
      <c r="D372" s="200"/>
      <c r="F372" s="200"/>
      <c r="I372" s="200"/>
      <c r="J372" s="200"/>
    </row>
    <row r="373" spans="2:10">
      <c r="B373" s="133"/>
      <c r="C373" s="287"/>
      <c r="D373" s="200"/>
      <c r="F373" s="200"/>
      <c r="I373" s="200"/>
      <c r="J373" s="200"/>
    </row>
    <row r="374" spans="2:10">
      <c r="B374" s="133"/>
      <c r="C374" s="287"/>
      <c r="D374" s="200"/>
      <c r="F374" s="200"/>
      <c r="I374" s="200"/>
      <c r="J374" s="200"/>
    </row>
    <row r="375" spans="2:10">
      <c r="B375" s="133"/>
      <c r="C375" s="287"/>
      <c r="D375" s="200"/>
      <c r="F375" s="200"/>
      <c r="I375" s="200"/>
      <c r="J375" s="200"/>
    </row>
    <row r="376" spans="2:10">
      <c r="B376" s="133"/>
      <c r="C376" s="287"/>
      <c r="D376" s="200"/>
      <c r="F376" s="200"/>
      <c r="I376" s="200"/>
      <c r="J376" s="200"/>
    </row>
    <row r="377" spans="2:10">
      <c r="B377" s="133"/>
      <c r="C377" s="287"/>
      <c r="D377" s="200"/>
      <c r="F377" s="200"/>
      <c r="I377" s="200"/>
      <c r="J377" s="200"/>
    </row>
    <row r="378" spans="2:10">
      <c r="B378" s="133"/>
      <c r="C378" s="287"/>
      <c r="D378" s="200"/>
      <c r="F378" s="200"/>
      <c r="I378" s="200"/>
      <c r="J378" s="200"/>
    </row>
    <row r="379" spans="2:10">
      <c r="B379" s="133"/>
      <c r="C379" s="287"/>
      <c r="D379" s="200"/>
      <c r="F379" s="200"/>
      <c r="I379" s="200"/>
      <c r="J379" s="200"/>
    </row>
    <row r="380" spans="2:10">
      <c r="B380" s="133"/>
      <c r="C380" s="287"/>
      <c r="D380" s="200"/>
      <c r="F380" s="200"/>
      <c r="I380" s="200"/>
      <c r="J380" s="200"/>
    </row>
    <row r="381" spans="2:10">
      <c r="B381" s="133"/>
      <c r="C381" s="287"/>
      <c r="D381" s="200"/>
      <c r="F381" s="200"/>
      <c r="I381" s="200"/>
      <c r="J381" s="200"/>
    </row>
    <row r="382" spans="2:10">
      <c r="B382" s="133"/>
      <c r="C382" s="287"/>
      <c r="D382" s="200"/>
      <c r="F382" s="200"/>
      <c r="I382" s="200"/>
      <c r="J382" s="200"/>
    </row>
    <row r="383" spans="2:10">
      <c r="B383" s="133"/>
      <c r="C383" s="287"/>
      <c r="D383" s="200"/>
      <c r="F383" s="200"/>
      <c r="I383" s="200"/>
      <c r="J383" s="200"/>
    </row>
    <row r="384" spans="2:10">
      <c r="B384" s="133"/>
      <c r="C384" s="287"/>
      <c r="D384" s="200"/>
      <c r="F384" s="200"/>
      <c r="I384" s="200"/>
      <c r="J384" s="200"/>
    </row>
    <row r="385" spans="2:10">
      <c r="B385" s="133"/>
      <c r="C385" s="287"/>
      <c r="D385" s="200"/>
      <c r="F385" s="200"/>
      <c r="I385" s="200"/>
      <c r="J385" s="200"/>
    </row>
    <row r="386" spans="2:10">
      <c r="B386" s="133"/>
      <c r="C386" s="287"/>
      <c r="D386" s="200"/>
      <c r="F386" s="200"/>
      <c r="I386" s="200"/>
      <c r="J386" s="200"/>
    </row>
    <row r="387" spans="2:10">
      <c r="B387" s="133"/>
      <c r="C387" s="287"/>
      <c r="D387" s="200"/>
      <c r="F387" s="200"/>
      <c r="I387" s="200"/>
      <c r="J387" s="200"/>
    </row>
    <row r="388" spans="2:10">
      <c r="B388" s="133"/>
      <c r="C388" s="287"/>
      <c r="D388" s="200"/>
      <c r="F388" s="200"/>
      <c r="I388" s="200"/>
      <c r="J388" s="200"/>
    </row>
    <row r="389" spans="2:10">
      <c r="B389" s="133"/>
      <c r="C389" s="287"/>
      <c r="D389" s="200"/>
      <c r="F389" s="200"/>
      <c r="I389" s="200"/>
      <c r="J389" s="200"/>
    </row>
    <row r="390" spans="2:10">
      <c r="B390" s="133"/>
      <c r="C390" s="287"/>
      <c r="D390" s="200"/>
      <c r="F390" s="200"/>
      <c r="I390" s="200"/>
      <c r="J390" s="200"/>
    </row>
    <row r="391" spans="2:10">
      <c r="B391" s="133"/>
      <c r="C391" s="287"/>
      <c r="D391" s="200"/>
      <c r="F391" s="200"/>
      <c r="I391" s="200"/>
      <c r="J391" s="200"/>
    </row>
    <row r="392" spans="2:10">
      <c r="B392" s="133"/>
      <c r="C392" s="287"/>
      <c r="D392" s="200"/>
      <c r="F392" s="200"/>
      <c r="I392" s="200"/>
      <c r="J392" s="200"/>
    </row>
    <row r="393" spans="2:10">
      <c r="B393" s="133"/>
      <c r="C393" s="287"/>
      <c r="D393" s="200"/>
      <c r="F393" s="200"/>
      <c r="I393" s="200"/>
      <c r="J393" s="200"/>
    </row>
    <row r="394" spans="2:10">
      <c r="B394" s="133"/>
      <c r="C394" s="287"/>
      <c r="D394" s="200"/>
      <c r="F394" s="200"/>
      <c r="I394" s="200"/>
      <c r="J394" s="200"/>
    </row>
    <row r="395" spans="2:10">
      <c r="B395" s="133"/>
      <c r="C395" s="287"/>
      <c r="D395" s="200"/>
      <c r="F395" s="200"/>
      <c r="I395" s="200"/>
      <c r="J395" s="200"/>
    </row>
    <row r="396" spans="2:10">
      <c r="B396" s="133"/>
      <c r="C396" s="287"/>
      <c r="D396" s="200"/>
      <c r="F396" s="200"/>
      <c r="I396" s="200"/>
      <c r="J396" s="200"/>
    </row>
    <row r="397" spans="2:10">
      <c r="B397" s="133"/>
      <c r="C397" s="287"/>
      <c r="D397" s="200"/>
      <c r="F397" s="200"/>
      <c r="I397" s="200"/>
      <c r="J397" s="200"/>
    </row>
    <row r="398" spans="2:10">
      <c r="B398" s="133"/>
      <c r="C398" s="287"/>
      <c r="D398" s="200"/>
      <c r="F398" s="200"/>
      <c r="I398" s="200"/>
      <c r="J398" s="200"/>
    </row>
    <row r="399" spans="2:10">
      <c r="B399" s="133"/>
      <c r="C399" s="287"/>
      <c r="D399" s="200"/>
      <c r="F399" s="200"/>
      <c r="I399" s="200"/>
      <c r="J399" s="200"/>
    </row>
    <row r="400" spans="2:10">
      <c r="B400" s="133"/>
      <c r="C400" s="287"/>
      <c r="D400" s="200"/>
      <c r="F400" s="200"/>
      <c r="I400" s="200"/>
      <c r="J400" s="200"/>
    </row>
    <row r="401" spans="2:10">
      <c r="B401" s="133"/>
      <c r="C401" s="287"/>
      <c r="D401" s="200"/>
      <c r="F401" s="200"/>
      <c r="I401" s="200"/>
      <c r="J401" s="200"/>
    </row>
    <row r="402" spans="2:10">
      <c r="B402" s="133"/>
      <c r="C402" s="287"/>
      <c r="D402" s="200"/>
      <c r="F402" s="200"/>
      <c r="I402" s="200"/>
      <c r="J402" s="200"/>
    </row>
    <row r="403" spans="2:10">
      <c r="B403" s="133"/>
      <c r="C403" s="287"/>
      <c r="D403" s="200"/>
      <c r="F403" s="200"/>
      <c r="I403" s="200"/>
      <c r="J403" s="200"/>
    </row>
    <row r="404" spans="2:10">
      <c r="B404" s="133"/>
      <c r="C404" s="287"/>
      <c r="D404" s="200"/>
      <c r="F404" s="200"/>
      <c r="I404" s="200"/>
      <c r="J404" s="200"/>
    </row>
    <row r="405" spans="2:10">
      <c r="B405" s="133"/>
      <c r="C405" s="287"/>
      <c r="D405" s="200"/>
      <c r="F405" s="200"/>
      <c r="I405" s="200"/>
      <c r="J405" s="200"/>
    </row>
    <row r="406" spans="2:10">
      <c r="B406" s="133"/>
      <c r="C406" s="287"/>
      <c r="D406" s="200"/>
      <c r="F406" s="200"/>
      <c r="I406" s="200"/>
      <c r="J406" s="200"/>
    </row>
    <row r="407" spans="2:10">
      <c r="B407" s="133"/>
      <c r="C407" s="287"/>
      <c r="D407" s="200"/>
      <c r="F407" s="200"/>
      <c r="I407" s="200"/>
      <c r="J407" s="200"/>
    </row>
    <row r="408" spans="2:10">
      <c r="B408" s="133"/>
      <c r="C408" s="287"/>
      <c r="D408" s="200"/>
      <c r="F408" s="200"/>
      <c r="I408" s="200"/>
      <c r="J408" s="200"/>
    </row>
    <row r="409" spans="2:10">
      <c r="B409" s="133"/>
      <c r="C409" s="287"/>
      <c r="D409" s="200"/>
      <c r="F409" s="200"/>
      <c r="I409" s="200"/>
      <c r="J409" s="200"/>
    </row>
    <row r="410" spans="2:10">
      <c r="B410" s="133"/>
      <c r="C410" s="287"/>
      <c r="D410" s="200"/>
      <c r="F410" s="200"/>
      <c r="I410" s="200"/>
      <c r="J410" s="200"/>
    </row>
    <row r="411" spans="2:10">
      <c r="B411" s="133"/>
      <c r="C411" s="287"/>
      <c r="D411" s="200"/>
      <c r="F411" s="200"/>
      <c r="I411" s="200"/>
      <c r="J411" s="200"/>
    </row>
    <row r="412" spans="2:10">
      <c r="B412" s="133"/>
      <c r="C412" s="287"/>
      <c r="D412" s="200"/>
      <c r="F412" s="200"/>
      <c r="I412" s="200"/>
      <c r="J412" s="200"/>
    </row>
    <row r="413" spans="2:10">
      <c r="B413" s="133"/>
      <c r="C413" s="287"/>
      <c r="D413" s="200"/>
      <c r="F413" s="200"/>
      <c r="I413" s="200"/>
      <c r="J413" s="200"/>
    </row>
    <row r="414" spans="2:10">
      <c r="B414" s="133"/>
      <c r="C414" s="287"/>
      <c r="D414" s="200"/>
      <c r="F414" s="200"/>
      <c r="I414" s="200"/>
      <c r="J414" s="200"/>
    </row>
    <row r="415" spans="2:10">
      <c r="B415" s="133"/>
      <c r="C415" s="287"/>
      <c r="D415" s="200"/>
      <c r="F415" s="200"/>
      <c r="I415" s="200"/>
      <c r="J415" s="200"/>
    </row>
    <row r="416" spans="2:10">
      <c r="B416" s="133"/>
      <c r="C416" s="287"/>
      <c r="D416" s="200"/>
      <c r="F416" s="200"/>
      <c r="I416" s="200"/>
      <c r="J416" s="200"/>
    </row>
    <row r="417" spans="2:10">
      <c r="B417" s="133"/>
      <c r="C417" s="287"/>
      <c r="D417" s="200"/>
      <c r="F417" s="200"/>
      <c r="I417" s="200"/>
      <c r="J417" s="200"/>
    </row>
    <row r="418" spans="2:10">
      <c r="B418" s="133"/>
      <c r="C418" s="287"/>
      <c r="D418" s="200"/>
      <c r="F418" s="200"/>
      <c r="I418" s="200"/>
      <c r="J418" s="200"/>
    </row>
    <row r="419" spans="2:10">
      <c r="B419" s="133"/>
      <c r="C419" s="287"/>
      <c r="D419" s="200"/>
      <c r="F419" s="200"/>
      <c r="I419" s="200"/>
      <c r="J419" s="200"/>
    </row>
    <row r="420" spans="2:10">
      <c r="B420" s="133"/>
      <c r="C420" s="287"/>
      <c r="D420" s="200"/>
      <c r="F420" s="200"/>
      <c r="I420" s="200"/>
      <c r="J420" s="200"/>
    </row>
    <row r="421" spans="2:10">
      <c r="B421" s="133"/>
      <c r="C421" s="287"/>
      <c r="D421" s="200"/>
      <c r="F421" s="200"/>
      <c r="I421" s="200"/>
      <c r="J421" s="200"/>
    </row>
    <row r="422" spans="2:10">
      <c r="B422" s="133"/>
      <c r="C422" s="287"/>
      <c r="D422" s="200"/>
      <c r="F422" s="200"/>
      <c r="I422" s="200"/>
      <c r="J422" s="200"/>
    </row>
    <row r="423" spans="2:10">
      <c r="B423" s="133"/>
      <c r="C423" s="287"/>
      <c r="D423" s="200"/>
      <c r="F423" s="200"/>
      <c r="I423" s="200"/>
      <c r="J423" s="200"/>
    </row>
    <row r="424" spans="2:10">
      <c r="B424" s="133"/>
      <c r="C424" s="287"/>
      <c r="D424" s="200"/>
      <c r="F424" s="200"/>
      <c r="I424" s="200"/>
      <c r="J424" s="200"/>
    </row>
    <row r="425" spans="2:10">
      <c r="B425" s="133"/>
      <c r="C425" s="287"/>
      <c r="D425" s="200"/>
      <c r="F425" s="200"/>
      <c r="I425" s="200"/>
      <c r="J425" s="200"/>
    </row>
    <row r="426" spans="2:10">
      <c r="B426" s="133"/>
      <c r="C426" s="287"/>
      <c r="D426" s="200"/>
      <c r="F426" s="200"/>
      <c r="I426" s="200"/>
      <c r="J426" s="200"/>
    </row>
    <row r="427" spans="2:10">
      <c r="B427" s="133"/>
      <c r="C427" s="287"/>
      <c r="D427" s="200"/>
      <c r="F427" s="200"/>
      <c r="I427" s="200"/>
      <c r="J427" s="200"/>
    </row>
    <row r="428" spans="2:10">
      <c r="B428" s="133"/>
      <c r="C428" s="287"/>
      <c r="D428" s="200"/>
      <c r="F428" s="200"/>
      <c r="I428" s="200"/>
      <c r="J428" s="200"/>
    </row>
    <row r="429" spans="2:10">
      <c r="B429" s="133"/>
      <c r="C429" s="287"/>
      <c r="D429" s="200"/>
      <c r="F429" s="200"/>
      <c r="I429" s="200"/>
      <c r="J429" s="200"/>
    </row>
    <row r="430" spans="2:10">
      <c r="B430" s="133"/>
      <c r="C430" s="287"/>
      <c r="D430" s="200"/>
      <c r="F430" s="200"/>
      <c r="I430" s="200"/>
      <c r="J430" s="200"/>
    </row>
    <row r="431" spans="2:10">
      <c r="B431" s="133"/>
      <c r="C431" s="287"/>
      <c r="D431" s="200"/>
      <c r="F431" s="200"/>
      <c r="I431" s="200"/>
      <c r="J431" s="200"/>
    </row>
    <row r="432" spans="2:10">
      <c r="B432" s="133"/>
      <c r="C432" s="287"/>
      <c r="D432" s="200"/>
      <c r="F432" s="200"/>
      <c r="I432" s="200"/>
      <c r="J432" s="200"/>
    </row>
    <row r="433" spans="2:10">
      <c r="B433" s="133"/>
      <c r="C433" s="287"/>
      <c r="D433" s="200"/>
      <c r="F433" s="200"/>
      <c r="I433" s="200"/>
      <c r="J433" s="200"/>
    </row>
    <row r="434" spans="2:10">
      <c r="B434" s="133"/>
      <c r="C434" s="287"/>
      <c r="D434" s="200"/>
      <c r="F434" s="200"/>
      <c r="I434" s="200"/>
      <c r="J434" s="200"/>
    </row>
    <row r="435" spans="2:10">
      <c r="B435" s="133"/>
      <c r="C435" s="287"/>
      <c r="D435" s="200"/>
      <c r="F435" s="200"/>
      <c r="I435" s="200"/>
      <c r="J435" s="200"/>
    </row>
    <row r="436" spans="2:10">
      <c r="B436" s="133"/>
      <c r="C436" s="287"/>
      <c r="D436" s="200"/>
      <c r="F436" s="200"/>
      <c r="I436" s="200"/>
      <c r="J436" s="200"/>
    </row>
    <row r="437" spans="2:10">
      <c r="B437" s="133"/>
      <c r="C437" s="287"/>
      <c r="D437" s="200"/>
      <c r="F437" s="200"/>
      <c r="I437" s="200"/>
      <c r="J437" s="200"/>
    </row>
    <row r="438" spans="2:10">
      <c r="B438" s="133"/>
      <c r="C438" s="287"/>
      <c r="D438" s="200"/>
      <c r="F438" s="200"/>
      <c r="I438" s="200"/>
      <c r="J438" s="200"/>
    </row>
    <row r="439" spans="2:10">
      <c r="B439" s="133"/>
      <c r="C439" s="287"/>
      <c r="D439" s="200"/>
      <c r="F439" s="200"/>
      <c r="I439" s="200"/>
      <c r="J439" s="200"/>
    </row>
    <row r="440" spans="2:10">
      <c r="B440" s="133"/>
      <c r="C440" s="287"/>
      <c r="D440" s="200"/>
      <c r="F440" s="200"/>
      <c r="I440" s="200"/>
      <c r="J440" s="200"/>
    </row>
    <row r="441" spans="2:10">
      <c r="B441" s="133"/>
      <c r="C441" s="287"/>
      <c r="D441" s="200"/>
      <c r="F441" s="200"/>
      <c r="I441" s="200"/>
      <c r="J441" s="200"/>
    </row>
    <row r="442" spans="2:10">
      <c r="B442" s="133"/>
      <c r="C442" s="287"/>
      <c r="D442" s="200"/>
      <c r="F442" s="200"/>
      <c r="I442" s="200"/>
      <c r="J442" s="200"/>
    </row>
    <row r="443" spans="2:10">
      <c r="B443" s="133"/>
      <c r="C443" s="287"/>
      <c r="D443" s="200"/>
      <c r="F443" s="200"/>
      <c r="I443" s="200"/>
      <c r="J443" s="200"/>
    </row>
    <row r="444" spans="2:10">
      <c r="B444" s="133"/>
      <c r="C444" s="287"/>
      <c r="D444" s="200"/>
      <c r="F444" s="200"/>
      <c r="I444" s="200"/>
      <c r="J444" s="200"/>
    </row>
    <row r="445" spans="2:10">
      <c r="B445" s="133"/>
      <c r="C445" s="287"/>
      <c r="D445" s="200"/>
      <c r="F445" s="200"/>
      <c r="I445" s="200"/>
      <c r="J445" s="200"/>
    </row>
    <row r="446" spans="2:10">
      <c r="B446" s="133"/>
      <c r="C446" s="287"/>
      <c r="D446" s="200"/>
      <c r="F446" s="200"/>
      <c r="I446" s="200"/>
      <c r="J446" s="200"/>
    </row>
    <row r="447" spans="2:10">
      <c r="B447" s="133"/>
      <c r="C447" s="287"/>
      <c r="D447" s="200"/>
      <c r="F447" s="200"/>
      <c r="I447" s="200"/>
      <c r="J447" s="200"/>
    </row>
    <row r="448" spans="2:10">
      <c r="B448" s="133"/>
      <c r="C448" s="287"/>
      <c r="D448" s="200"/>
      <c r="F448" s="200"/>
      <c r="I448" s="200"/>
      <c r="J448" s="200"/>
    </row>
    <row r="449" spans="2:10">
      <c r="B449" s="133"/>
      <c r="C449" s="287"/>
      <c r="D449" s="200"/>
      <c r="F449" s="200"/>
      <c r="I449" s="200"/>
      <c r="J449" s="200"/>
    </row>
    <row r="450" spans="2:10">
      <c r="B450" s="133"/>
      <c r="C450" s="287"/>
      <c r="D450" s="200"/>
      <c r="F450" s="200"/>
      <c r="I450" s="200"/>
      <c r="J450" s="200"/>
    </row>
    <row r="451" spans="2:10">
      <c r="B451" s="133"/>
      <c r="C451" s="287"/>
      <c r="D451" s="200"/>
      <c r="F451" s="200"/>
      <c r="I451" s="200"/>
      <c r="J451" s="200"/>
    </row>
    <row r="452" spans="2:10">
      <c r="B452" s="133"/>
      <c r="C452" s="287"/>
      <c r="D452" s="200"/>
      <c r="F452" s="200"/>
      <c r="I452" s="200"/>
      <c r="J452" s="200"/>
    </row>
    <row r="453" spans="2:10">
      <c r="B453" s="133"/>
      <c r="C453" s="287"/>
      <c r="D453" s="200"/>
      <c r="F453" s="200"/>
      <c r="I453" s="200"/>
      <c r="J453" s="200"/>
    </row>
    <row r="454" spans="2:10">
      <c r="B454" s="133"/>
      <c r="C454" s="287"/>
      <c r="D454" s="200"/>
      <c r="F454" s="200"/>
      <c r="I454" s="200"/>
      <c r="J454" s="200"/>
    </row>
    <row r="455" spans="2:10">
      <c r="B455" s="133"/>
      <c r="C455" s="287"/>
      <c r="D455" s="200"/>
      <c r="F455" s="200"/>
      <c r="I455" s="200"/>
      <c r="J455" s="200"/>
    </row>
    <row r="456" spans="2:10">
      <c r="B456" s="133"/>
      <c r="C456" s="287"/>
      <c r="D456" s="200"/>
      <c r="F456" s="200"/>
      <c r="I456" s="200"/>
      <c r="J456" s="200"/>
    </row>
    <row r="457" spans="2:10">
      <c r="B457" s="133"/>
      <c r="C457" s="287"/>
      <c r="D457" s="200"/>
      <c r="F457" s="200"/>
      <c r="I457" s="200"/>
      <c r="J457" s="200"/>
    </row>
    <row r="458" spans="2:10">
      <c r="B458" s="133"/>
      <c r="C458" s="287"/>
      <c r="D458" s="200"/>
      <c r="F458" s="200"/>
      <c r="I458" s="200"/>
      <c r="J458" s="200"/>
    </row>
    <row r="459" spans="2:10">
      <c r="B459" s="133"/>
      <c r="C459" s="287"/>
      <c r="D459" s="200"/>
      <c r="F459" s="200"/>
      <c r="I459" s="200"/>
      <c r="J459" s="200"/>
    </row>
    <row r="460" spans="2:10">
      <c r="B460" s="133"/>
      <c r="C460" s="287"/>
      <c r="D460" s="200"/>
      <c r="F460" s="200"/>
      <c r="I460" s="200"/>
      <c r="J460" s="200"/>
    </row>
    <row r="461" spans="2:10">
      <c r="B461" s="133"/>
      <c r="C461" s="287"/>
      <c r="D461" s="200"/>
      <c r="F461" s="200"/>
      <c r="I461" s="200"/>
      <c r="J461" s="200"/>
    </row>
    <row r="462" spans="2:10">
      <c r="B462" s="133"/>
      <c r="C462" s="287"/>
      <c r="D462" s="200"/>
      <c r="F462" s="200"/>
      <c r="I462" s="200"/>
      <c r="J462" s="200"/>
    </row>
    <row r="463" spans="2:10">
      <c r="B463" s="133"/>
      <c r="C463" s="287"/>
      <c r="D463" s="200"/>
      <c r="F463" s="200"/>
      <c r="I463" s="200"/>
      <c r="J463" s="200"/>
    </row>
    <row r="464" spans="2:10">
      <c r="B464" s="133"/>
      <c r="C464" s="287"/>
      <c r="D464" s="200"/>
      <c r="F464" s="200"/>
      <c r="I464" s="200"/>
      <c r="J464" s="200"/>
    </row>
    <row r="465" spans="2:10">
      <c r="B465" s="133"/>
      <c r="C465" s="287"/>
      <c r="D465" s="200"/>
      <c r="F465" s="200"/>
      <c r="I465" s="200"/>
      <c r="J465" s="200"/>
    </row>
    <row r="466" spans="2:10">
      <c r="B466" s="133"/>
      <c r="C466" s="287"/>
      <c r="D466" s="200"/>
      <c r="F466" s="200"/>
      <c r="I466" s="200"/>
      <c r="J466" s="200"/>
    </row>
    <row r="467" spans="2:10">
      <c r="B467" s="133"/>
      <c r="C467" s="287"/>
      <c r="D467" s="200"/>
      <c r="F467" s="200"/>
      <c r="I467" s="200"/>
      <c r="J467" s="200"/>
    </row>
    <row r="468" spans="2:10">
      <c r="B468" s="133"/>
      <c r="C468" s="287"/>
      <c r="D468" s="200"/>
      <c r="F468" s="200"/>
      <c r="I468" s="200"/>
      <c r="J468" s="200"/>
    </row>
    <row r="469" spans="2:10">
      <c r="B469" s="133"/>
      <c r="C469" s="287"/>
      <c r="D469" s="200"/>
      <c r="F469" s="200"/>
      <c r="I469" s="200"/>
      <c r="J469" s="200"/>
    </row>
    <row r="470" spans="2:10">
      <c r="B470" s="133"/>
      <c r="C470" s="287"/>
      <c r="D470" s="200"/>
      <c r="F470" s="200"/>
      <c r="I470" s="200"/>
      <c r="J470" s="200"/>
    </row>
    <row r="471" spans="2:10">
      <c r="B471" s="133"/>
      <c r="C471" s="287"/>
      <c r="D471" s="200"/>
      <c r="F471" s="200"/>
      <c r="I471" s="200"/>
      <c r="J471" s="200"/>
    </row>
    <row r="472" spans="2:10">
      <c r="B472" s="133"/>
      <c r="C472" s="287"/>
      <c r="D472" s="200"/>
      <c r="F472" s="200"/>
      <c r="I472" s="200"/>
      <c r="J472" s="200"/>
    </row>
    <row r="473" spans="2:10">
      <c r="B473" s="133"/>
      <c r="C473" s="287"/>
      <c r="D473" s="200"/>
      <c r="F473" s="200"/>
      <c r="I473" s="200"/>
      <c r="J473" s="200"/>
    </row>
    <row r="474" spans="2:10">
      <c r="B474" s="133"/>
      <c r="C474" s="287"/>
      <c r="D474" s="200"/>
      <c r="F474" s="200"/>
      <c r="I474" s="200"/>
      <c r="J474" s="200"/>
    </row>
    <row r="475" spans="2:10">
      <c r="B475" s="133"/>
      <c r="C475" s="287"/>
      <c r="D475" s="200"/>
      <c r="F475" s="200"/>
      <c r="I475" s="200"/>
      <c r="J475" s="200"/>
    </row>
    <row r="476" spans="2:10">
      <c r="B476" s="133"/>
      <c r="C476" s="287"/>
      <c r="D476" s="200"/>
      <c r="F476" s="200"/>
      <c r="I476" s="200"/>
      <c r="J476" s="200"/>
    </row>
    <row r="477" spans="2:10">
      <c r="B477" s="133"/>
      <c r="C477" s="287"/>
      <c r="D477" s="200"/>
      <c r="F477" s="200"/>
      <c r="I477" s="200"/>
      <c r="J477" s="200"/>
    </row>
    <row r="478" spans="2:10">
      <c r="B478" s="133"/>
      <c r="C478" s="287"/>
      <c r="D478" s="200"/>
      <c r="F478" s="200"/>
      <c r="I478" s="200"/>
      <c r="J478" s="200"/>
    </row>
    <row r="479" spans="2:10">
      <c r="B479" s="133"/>
      <c r="C479" s="287"/>
      <c r="D479" s="200"/>
      <c r="F479" s="200"/>
      <c r="I479" s="200"/>
      <c r="J479" s="200"/>
    </row>
    <row r="480" spans="2:10">
      <c r="B480" s="133"/>
      <c r="C480" s="287"/>
      <c r="D480" s="200"/>
      <c r="F480" s="200"/>
      <c r="I480" s="200"/>
      <c r="J480" s="200"/>
    </row>
    <row r="481" spans="2:10">
      <c r="B481" s="133"/>
      <c r="C481" s="287"/>
      <c r="D481" s="200"/>
      <c r="F481" s="200"/>
      <c r="I481" s="200"/>
      <c r="J481" s="200"/>
    </row>
    <row r="482" spans="2:10">
      <c r="B482" s="133"/>
      <c r="C482" s="287"/>
      <c r="D482" s="200"/>
      <c r="F482" s="200"/>
      <c r="I482" s="200"/>
      <c r="J482" s="200"/>
    </row>
    <row r="483" spans="2:10">
      <c r="B483" s="133"/>
      <c r="C483" s="287"/>
      <c r="D483" s="200"/>
      <c r="F483" s="200"/>
      <c r="I483" s="200"/>
      <c r="J483" s="200"/>
    </row>
    <row r="484" spans="2:10">
      <c r="B484" s="133"/>
      <c r="C484" s="287"/>
      <c r="D484" s="200"/>
      <c r="F484" s="200"/>
      <c r="I484" s="200"/>
      <c r="J484" s="200"/>
    </row>
    <row r="485" spans="2:10">
      <c r="B485" s="133"/>
      <c r="C485" s="287"/>
      <c r="D485" s="200"/>
      <c r="F485" s="200"/>
      <c r="I485" s="200"/>
      <c r="J485" s="200"/>
    </row>
    <row r="486" spans="2:10">
      <c r="B486" s="133"/>
      <c r="C486" s="287"/>
      <c r="D486" s="200"/>
      <c r="F486" s="200"/>
      <c r="I486" s="200"/>
      <c r="J486" s="200"/>
    </row>
    <row r="487" spans="2:10">
      <c r="B487" s="133"/>
      <c r="C487" s="287"/>
      <c r="D487" s="200"/>
      <c r="F487" s="200"/>
      <c r="I487" s="200"/>
      <c r="J487" s="200"/>
    </row>
    <row r="488" spans="2:10">
      <c r="B488" s="133"/>
      <c r="C488" s="287"/>
      <c r="D488" s="200"/>
      <c r="F488" s="200"/>
      <c r="I488" s="200"/>
      <c r="J488" s="200"/>
    </row>
    <row r="489" spans="2:10">
      <c r="B489" s="133"/>
      <c r="C489" s="287"/>
      <c r="D489" s="200"/>
      <c r="F489" s="200"/>
      <c r="I489" s="200"/>
      <c r="J489" s="200"/>
    </row>
    <row r="490" spans="2:10">
      <c r="B490" s="133"/>
      <c r="C490" s="287"/>
      <c r="D490" s="200"/>
      <c r="F490" s="200"/>
      <c r="I490" s="200"/>
      <c r="J490" s="200"/>
    </row>
    <row r="491" spans="2:10">
      <c r="B491" s="133"/>
      <c r="C491" s="287"/>
      <c r="D491" s="200"/>
      <c r="F491" s="200"/>
      <c r="I491" s="200"/>
      <c r="J491" s="200"/>
    </row>
    <row r="492" spans="2:10">
      <c r="B492" s="133"/>
      <c r="C492" s="287"/>
      <c r="D492" s="200"/>
      <c r="F492" s="200"/>
      <c r="I492" s="200"/>
      <c r="J492" s="200"/>
    </row>
    <row r="493" spans="2:10">
      <c r="B493" s="133"/>
      <c r="C493" s="287"/>
      <c r="D493" s="200"/>
      <c r="F493" s="200"/>
      <c r="I493" s="200"/>
      <c r="J493" s="200"/>
    </row>
    <row r="494" spans="2:10">
      <c r="B494" s="133"/>
      <c r="C494" s="287"/>
      <c r="D494" s="200"/>
      <c r="F494" s="200"/>
      <c r="I494" s="200"/>
      <c r="J494" s="200"/>
    </row>
    <row r="495" spans="2:10">
      <c r="B495" s="133"/>
      <c r="C495" s="287"/>
      <c r="D495" s="200"/>
      <c r="F495" s="200"/>
      <c r="I495" s="200"/>
      <c r="J495" s="200"/>
    </row>
    <row r="496" spans="2:10">
      <c r="B496" s="133"/>
      <c r="C496" s="287"/>
      <c r="D496" s="200"/>
      <c r="F496" s="200"/>
      <c r="I496" s="200"/>
      <c r="J496" s="200"/>
    </row>
    <row r="497" spans="2:10">
      <c r="B497" s="133"/>
      <c r="C497" s="287"/>
      <c r="D497" s="200"/>
      <c r="F497" s="200"/>
      <c r="I497" s="200"/>
      <c r="J497" s="200"/>
    </row>
    <row r="498" spans="2:10">
      <c r="B498" s="133"/>
      <c r="C498" s="287"/>
      <c r="D498" s="200"/>
      <c r="F498" s="200"/>
      <c r="I498" s="200"/>
      <c r="J498" s="200"/>
    </row>
    <row r="499" spans="2:10">
      <c r="B499" s="133"/>
      <c r="C499" s="287"/>
      <c r="D499" s="200"/>
      <c r="F499" s="200"/>
      <c r="I499" s="200"/>
      <c r="J499" s="200"/>
    </row>
    <row r="500" spans="2:10">
      <c r="B500" s="133"/>
      <c r="C500" s="287"/>
      <c r="D500" s="200"/>
      <c r="F500" s="200"/>
      <c r="I500" s="200"/>
      <c r="J500" s="200"/>
    </row>
    <row r="501" spans="2:10">
      <c r="B501" s="133"/>
      <c r="C501" s="287"/>
      <c r="D501" s="200"/>
      <c r="F501" s="200"/>
      <c r="I501" s="200"/>
      <c r="J501" s="200"/>
    </row>
    <row r="502" spans="2:10">
      <c r="B502" s="133"/>
      <c r="C502" s="287"/>
      <c r="D502" s="200"/>
      <c r="F502" s="200"/>
      <c r="I502" s="200"/>
      <c r="J502" s="200"/>
    </row>
    <row r="503" spans="2:10">
      <c r="B503" s="133"/>
      <c r="C503" s="287"/>
      <c r="D503" s="200"/>
      <c r="F503" s="200"/>
      <c r="I503" s="200"/>
      <c r="J503" s="200"/>
    </row>
    <row r="504" spans="2:10">
      <c r="B504" s="133"/>
      <c r="C504" s="287"/>
      <c r="D504" s="200"/>
      <c r="F504" s="200"/>
      <c r="I504" s="200"/>
      <c r="J504" s="200"/>
    </row>
    <row r="505" spans="2:10">
      <c r="B505" s="133"/>
      <c r="C505" s="287"/>
      <c r="D505" s="200"/>
      <c r="F505" s="200"/>
      <c r="I505" s="200"/>
      <c r="J505" s="200"/>
    </row>
    <row r="506" spans="2:10">
      <c r="B506" s="133"/>
      <c r="C506" s="287"/>
      <c r="D506" s="200"/>
      <c r="F506" s="200"/>
      <c r="I506" s="200"/>
      <c r="J506" s="200"/>
    </row>
    <row r="507" spans="2:10">
      <c r="B507" s="133"/>
      <c r="C507" s="287"/>
      <c r="D507" s="200"/>
      <c r="F507" s="200"/>
      <c r="I507" s="200"/>
      <c r="J507" s="200"/>
    </row>
  </sheetData>
  <autoFilter ref="B2:J156"/>
  <sortState ref="B3:K166">
    <sortCondition ref="E3:E166"/>
  </sortState>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J313"/>
  <sheetViews>
    <sheetView workbookViewId="0">
      <selection activeCell="SS10" sqref="SS10"/>
    </sheetView>
  </sheetViews>
  <sheetFormatPr defaultRowHeight="14.5"/>
  <cols>
    <col min="1" max="1" width="8.1796875" customWidth="1"/>
    <col min="2" max="2" width="9" style="136" customWidth="1"/>
    <col min="3" max="3" width="36.7265625" customWidth="1"/>
    <col min="4" max="4" width="12.81640625" customWidth="1"/>
    <col min="5" max="5" width="11.26953125" customWidth="1"/>
    <col min="6" max="6" width="36.81640625" customWidth="1"/>
    <col min="7" max="8" width="9.7265625" style="514" customWidth="1"/>
    <col min="9" max="9" width="5.453125" style="514" customWidth="1"/>
    <col min="10" max="10" width="11" style="514" customWidth="1"/>
    <col min="11" max="11" width="12.26953125" style="514" customWidth="1"/>
    <col min="12" max="12" width="9.1796875" customWidth="1"/>
    <col min="13" max="14" width="11" style="145" customWidth="1"/>
    <col min="15" max="210" width="9.1796875" customWidth="1"/>
    <col min="211" max="211" width="11.54296875" customWidth="1"/>
    <col min="212" max="470" width="9.1796875" customWidth="1"/>
  </cols>
  <sheetData>
    <row r="1" spans="2:556">
      <c r="B1" s="136" t="s">
        <v>2710</v>
      </c>
    </row>
    <row r="2" spans="2:556">
      <c r="M2" s="731" t="s">
        <v>2718</v>
      </c>
      <c r="N2" s="731" t="s">
        <v>2718</v>
      </c>
    </row>
    <row r="3" spans="2:556">
      <c r="B3" s="137" t="s">
        <v>1207</v>
      </c>
      <c r="C3" s="138" t="s">
        <v>1208</v>
      </c>
      <c r="D3" s="138" t="s">
        <v>1209</v>
      </c>
      <c r="E3" s="138" t="s">
        <v>1210</v>
      </c>
      <c r="F3" s="138" t="s">
        <v>1211</v>
      </c>
      <c r="G3" s="515" t="s">
        <v>1212</v>
      </c>
      <c r="H3" s="515" t="s">
        <v>1213</v>
      </c>
      <c r="I3" s="515" t="s">
        <v>1214</v>
      </c>
      <c r="J3" s="515" t="s">
        <v>1215</v>
      </c>
      <c r="K3" s="515" t="s">
        <v>1216</v>
      </c>
      <c r="M3" s="730" t="s">
        <v>1212</v>
      </c>
      <c r="N3" s="730" t="s">
        <v>1215</v>
      </c>
      <c r="UF3">
        <f>IF('1. Simulator Input'!E46="Add",(SUM(UF10:UH163)+'1. Simulator Input'!E47),IF('1. Simulator Input'!E46="subtract",(SUM(UF10:UH163)-'1. Simulator Input'!E47),(SUM(UF10:UH163))))</f>
        <v>0</v>
      </c>
      <c r="UI3">
        <f>UF3-SUM(UI10:UW163)</f>
        <v>0</v>
      </c>
    </row>
    <row r="4" spans="2:556">
      <c r="B4" s="140">
        <v>1</v>
      </c>
      <c r="C4" t="s">
        <v>303</v>
      </c>
      <c r="D4" t="s">
        <v>1217</v>
      </c>
      <c r="E4" t="s">
        <v>1218</v>
      </c>
      <c r="F4" t="s">
        <v>1219</v>
      </c>
      <c r="G4" s="514">
        <v>21.3</v>
      </c>
      <c r="H4" s="514">
        <v>25.4</v>
      </c>
      <c r="I4" s="514">
        <v>27.9</v>
      </c>
      <c r="J4" s="514">
        <v>25.5</v>
      </c>
      <c r="K4" s="514">
        <v>98.9</v>
      </c>
      <c r="M4" s="145">
        <f>IF(ISNUMBER(G4), G4, 5)</f>
        <v>21.3</v>
      </c>
      <c r="N4" s="145">
        <f>IF(ISNUMBER(J4), J4, 5)</f>
        <v>25.5</v>
      </c>
    </row>
    <row r="5" spans="2:556">
      <c r="B5" s="140">
        <v>1</v>
      </c>
      <c r="C5" t="s">
        <v>303</v>
      </c>
      <c r="D5" t="s">
        <v>1206</v>
      </c>
      <c r="E5" t="s">
        <v>1218</v>
      </c>
      <c r="F5" t="s">
        <v>1219</v>
      </c>
      <c r="G5" s="514">
        <v>21.8</v>
      </c>
      <c r="H5" s="514">
        <v>33.799999999999997</v>
      </c>
      <c r="I5" s="514">
        <v>23.2</v>
      </c>
      <c r="J5" s="514">
        <v>21.2</v>
      </c>
      <c r="K5" s="514">
        <v>98.7</v>
      </c>
      <c r="M5" s="145">
        <f t="shared" ref="M5:M68" si="0">IF(ISNUMBER(G5), G5, 5)</f>
        <v>21.8</v>
      </c>
      <c r="N5" s="145">
        <f t="shared" ref="N5:N68" si="1">IF(ISNUMBER(J5), J5, 5)</f>
        <v>21.2</v>
      </c>
      <c r="RG5">
        <f>SUM(RG10:RG163)</f>
        <v>0</v>
      </c>
      <c r="RH5">
        <f t="shared" ref="RH5:RR5" si="2">SUM(RH10:RH163)</f>
        <v>0</v>
      </c>
      <c r="RI5">
        <f t="shared" si="2"/>
        <v>0</v>
      </c>
      <c r="RJ5">
        <f t="shared" si="2"/>
        <v>0</v>
      </c>
      <c r="RK5">
        <f t="shared" si="2"/>
        <v>0</v>
      </c>
      <c r="RL5">
        <f t="shared" si="2"/>
        <v>0</v>
      </c>
      <c r="RM5">
        <f t="shared" si="2"/>
        <v>0</v>
      </c>
      <c r="RN5">
        <f t="shared" si="2"/>
        <v>0</v>
      </c>
      <c r="RO5">
        <f t="shared" si="2"/>
        <v>0</v>
      </c>
      <c r="RP5">
        <f t="shared" si="2"/>
        <v>0</v>
      </c>
      <c r="RQ5">
        <f t="shared" si="2"/>
        <v>0</v>
      </c>
      <c r="RR5">
        <f t="shared" si="2"/>
        <v>0</v>
      </c>
      <c r="RV5">
        <f>SUM(RV10:RV163)</f>
        <v>0</v>
      </c>
      <c r="RW5">
        <f t="shared" ref="RW5:RY5" si="3">SUM(RW10:RW163)</f>
        <v>0</v>
      </c>
      <c r="RX5">
        <f t="shared" si="3"/>
        <v>0</v>
      </c>
      <c r="RY5">
        <f t="shared" si="3"/>
        <v>0</v>
      </c>
      <c r="SK5">
        <f>SUM(RG10:RR163)</f>
        <v>0</v>
      </c>
      <c r="SL5">
        <f>SUM(SL10:SL163)</f>
        <v>0</v>
      </c>
      <c r="SM5" t="e">
        <f>(SK5-SL5)/SK5</f>
        <v>#DIV/0!</v>
      </c>
      <c r="SQ5">
        <f>SUM(SQ10:SQ163)</f>
        <v>0</v>
      </c>
      <c r="SR5">
        <f>SUM(SR10:SR163)</f>
        <v>0</v>
      </c>
      <c r="SS5" t="e">
        <f>SR5/SQ5</f>
        <v>#DIV/0!</v>
      </c>
      <c r="ST5">
        <f>SUM(ST10:ST163)</f>
        <v>0</v>
      </c>
      <c r="SV5">
        <f>SUM(SV10:SV163)</f>
        <v>0</v>
      </c>
      <c r="SX5">
        <f>SUM(SX10:SX163)</f>
        <v>0</v>
      </c>
      <c r="SY5">
        <f t="shared" ref="SY5:TH5" si="4">SUM(SY10:SY163)</f>
        <v>0</v>
      </c>
      <c r="SZ5">
        <f t="shared" si="4"/>
        <v>0</v>
      </c>
      <c r="TA5">
        <f t="shared" si="4"/>
        <v>0</v>
      </c>
      <c r="TB5">
        <f t="shared" si="4"/>
        <v>0</v>
      </c>
      <c r="TC5">
        <f t="shared" si="4"/>
        <v>0</v>
      </c>
      <c r="TD5">
        <f t="shared" si="4"/>
        <v>0</v>
      </c>
      <c r="TE5">
        <f t="shared" si="4"/>
        <v>0</v>
      </c>
      <c r="TF5">
        <f t="shared" si="4"/>
        <v>0</v>
      </c>
      <c r="TG5">
        <f t="shared" si="4"/>
        <v>0</v>
      </c>
      <c r="TH5">
        <f t="shared" si="4"/>
        <v>0</v>
      </c>
      <c r="TJ5">
        <f>SUM(TJ10:TJ163)</f>
        <v>0</v>
      </c>
      <c r="TL5">
        <f>SUM(TL10:TL163)</f>
        <v>0</v>
      </c>
      <c r="TM5">
        <f>SUM(TM10:TM163)</f>
        <v>0</v>
      </c>
      <c r="TR5">
        <f>SUM(TR10:TR163)</f>
        <v>0</v>
      </c>
      <c r="TS5">
        <f>SUM(TS10:TS163)</f>
        <v>0</v>
      </c>
      <c r="TT5">
        <f>SUM(TT10:TT163)</f>
        <v>0</v>
      </c>
      <c r="TW5">
        <f>SUM(TW10:TW163)</f>
        <v>0</v>
      </c>
      <c r="TX5">
        <f>SUM(TX10:TX163)</f>
        <v>0</v>
      </c>
      <c r="TY5">
        <f>SUM(TY10:TY163)</f>
        <v>0</v>
      </c>
      <c r="UF5">
        <f>SUM(UF10:UF163)</f>
        <v>0</v>
      </c>
      <c r="UG5">
        <f>SUM(UG10:UG163)</f>
        <v>0</v>
      </c>
      <c r="UH5">
        <f>SUM(UH10:UH163)</f>
        <v>0</v>
      </c>
    </row>
    <row r="6" spans="2:556">
      <c r="B6" s="140">
        <v>2</v>
      </c>
      <c r="C6" t="s">
        <v>552</v>
      </c>
      <c r="D6" t="s">
        <v>1217</v>
      </c>
      <c r="E6" t="s">
        <v>1218</v>
      </c>
      <c r="F6" t="s">
        <v>1219</v>
      </c>
      <c r="G6" s="514">
        <v>24.1</v>
      </c>
      <c r="H6" s="514">
        <v>28.2</v>
      </c>
      <c r="I6" s="514">
        <v>28.5</v>
      </c>
      <c r="J6" s="514">
        <v>19.2</v>
      </c>
      <c r="K6" s="514">
        <v>99.2</v>
      </c>
      <c r="M6" s="145">
        <f t="shared" si="0"/>
        <v>24.1</v>
      </c>
      <c r="N6" s="145">
        <f t="shared" si="1"/>
        <v>19.2</v>
      </c>
    </row>
    <row r="7" spans="2:556">
      <c r="B7" s="140">
        <v>2</v>
      </c>
      <c r="C7" t="s">
        <v>552</v>
      </c>
      <c r="D7" t="s">
        <v>1206</v>
      </c>
      <c r="E7" t="s">
        <v>1218</v>
      </c>
      <c r="F7" t="s">
        <v>1219</v>
      </c>
      <c r="G7" s="514">
        <v>24.9</v>
      </c>
      <c r="H7" s="514">
        <v>37.200000000000003</v>
      </c>
      <c r="I7" s="514">
        <v>22.2</v>
      </c>
      <c r="J7" s="514">
        <v>15.6</v>
      </c>
      <c r="K7" s="514">
        <v>99.3</v>
      </c>
      <c r="M7" s="145">
        <f t="shared" si="0"/>
        <v>24.9</v>
      </c>
      <c r="N7" s="145">
        <f t="shared" si="1"/>
        <v>15.6</v>
      </c>
      <c r="UH7">
        <f>SUM(UH10:UH163)</f>
        <v>0</v>
      </c>
      <c r="UJ7">
        <f>SUM(UJ10:UJ163)</f>
        <v>0</v>
      </c>
    </row>
    <row r="8" spans="2:556">
      <c r="B8" s="140">
        <v>3</v>
      </c>
      <c r="C8" t="s">
        <v>305</v>
      </c>
      <c r="D8" t="s">
        <v>1217</v>
      </c>
      <c r="E8" t="s">
        <v>1218</v>
      </c>
      <c r="F8" t="s">
        <v>1219</v>
      </c>
      <c r="G8" s="514">
        <v>13.8</v>
      </c>
      <c r="H8" s="514">
        <v>21.7</v>
      </c>
      <c r="I8" s="514">
        <v>32.5</v>
      </c>
      <c r="J8" s="514">
        <v>32</v>
      </c>
      <c r="K8" s="514">
        <v>99.4</v>
      </c>
      <c r="M8" s="145">
        <f t="shared" si="0"/>
        <v>13.8</v>
      </c>
      <c r="N8" s="145">
        <f t="shared" si="1"/>
        <v>32</v>
      </c>
    </row>
    <row r="9" spans="2:556">
      <c r="B9" s="140">
        <v>3</v>
      </c>
      <c r="C9" t="s">
        <v>305</v>
      </c>
      <c r="D9" t="s">
        <v>1206</v>
      </c>
      <c r="E9" t="s">
        <v>1218</v>
      </c>
      <c r="F9" t="s">
        <v>1219</v>
      </c>
      <c r="G9" s="514">
        <v>15.7</v>
      </c>
      <c r="H9" s="514">
        <v>31.9</v>
      </c>
      <c r="I9" s="514">
        <v>26.8</v>
      </c>
      <c r="J9" s="514">
        <v>25.6</v>
      </c>
      <c r="K9" s="514">
        <v>99.4</v>
      </c>
      <c r="M9" s="145">
        <f t="shared" si="0"/>
        <v>15.7</v>
      </c>
      <c r="N9" s="145">
        <f t="shared" si="1"/>
        <v>25.6</v>
      </c>
    </row>
    <row r="10" spans="2:556">
      <c r="B10" s="140">
        <v>11</v>
      </c>
      <c r="C10" t="s">
        <v>306</v>
      </c>
      <c r="D10" t="s">
        <v>1217</v>
      </c>
      <c r="E10" t="s">
        <v>1218</v>
      </c>
      <c r="F10" t="s">
        <v>1219</v>
      </c>
      <c r="G10" s="514" t="s">
        <v>1220</v>
      </c>
      <c r="H10" s="514" t="s">
        <v>1220</v>
      </c>
      <c r="I10" s="514">
        <v>30.7</v>
      </c>
      <c r="J10" s="514">
        <v>36.4</v>
      </c>
      <c r="K10" s="514">
        <v>100</v>
      </c>
      <c r="M10" s="145">
        <f t="shared" si="0"/>
        <v>5</v>
      </c>
      <c r="N10" s="145">
        <f t="shared" si="1"/>
        <v>36.4</v>
      </c>
      <c r="SC10">
        <f>IFERROR(VLOOKUP(A10, 'Levy Data 15-16'!$B:$O, 3, FALSE), 0)</f>
        <v>0</v>
      </c>
    </row>
    <row r="11" spans="2:556">
      <c r="B11" s="140">
        <v>11</v>
      </c>
      <c r="C11" t="s">
        <v>306</v>
      </c>
      <c r="D11" t="s">
        <v>1206</v>
      </c>
      <c r="E11" t="s">
        <v>1218</v>
      </c>
      <c r="F11" t="s">
        <v>1219</v>
      </c>
      <c r="G11" s="514">
        <v>18.2</v>
      </c>
      <c r="H11" s="514">
        <v>29.5</v>
      </c>
      <c r="I11" s="514">
        <v>19.3</v>
      </c>
      <c r="J11" s="514">
        <v>33</v>
      </c>
      <c r="K11" s="514">
        <v>100</v>
      </c>
      <c r="M11" s="145">
        <f t="shared" si="0"/>
        <v>18.2</v>
      </c>
      <c r="N11" s="145">
        <f t="shared" si="1"/>
        <v>33</v>
      </c>
    </row>
    <row r="12" spans="2:556">
      <c r="B12" s="140">
        <v>13</v>
      </c>
      <c r="C12" t="s">
        <v>307</v>
      </c>
      <c r="D12" t="s">
        <v>1217</v>
      </c>
      <c r="E12" t="s">
        <v>1218</v>
      </c>
      <c r="F12" t="s">
        <v>1219</v>
      </c>
      <c r="G12" s="514">
        <v>11.7</v>
      </c>
      <c r="H12" s="514">
        <v>18.600000000000001</v>
      </c>
      <c r="I12" s="514">
        <v>31.7</v>
      </c>
      <c r="J12" s="514">
        <v>37.9</v>
      </c>
      <c r="K12" s="514">
        <v>95.4</v>
      </c>
      <c r="M12" s="145">
        <f t="shared" si="0"/>
        <v>11.7</v>
      </c>
      <c r="N12" s="145">
        <f t="shared" si="1"/>
        <v>37.9</v>
      </c>
    </row>
    <row r="13" spans="2:556">
      <c r="B13" s="140">
        <v>13</v>
      </c>
      <c r="C13" t="s">
        <v>307</v>
      </c>
      <c r="D13" t="s">
        <v>1206</v>
      </c>
      <c r="E13" t="s">
        <v>1218</v>
      </c>
      <c r="F13" t="s">
        <v>1219</v>
      </c>
      <c r="G13" s="514">
        <v>13.6</v>
      </c>
      <c r="H13" s="514">
        <v>27.9</v>
      </c>
      <c r="I13" s="514">
        <v>25.2</v>
      </c>
      <c r="J13" s="514">
        <v>33.299999999999997</v>
      </c>
      <c r="K13" s="514">
        <v>96.7</v>
      </c>
      <c r="M13" s="145">
        <f t="shared" si="0"/>
        <v>13.6</v>
      </c>
      <c r="N13" s="145">
        <f t="shared" si="1"/>
        <v>33.299999999999997</v>
      </c>
    </row>
    <row r="14" spans="2:556">
      <c r="B14" s="140">
        <v>21</v>
      </c>
      <c r="C14" t="s">
        <v>308</v>
      </c>
      <c r="D14" t="s">
        <v>1217</v>
      </c>
      <c r="E14" t="s">
        <v>1218</v>
      </c>
      <c r="F14" t="s">
        <v>1219</v>
      </c>
      <c r="G14" s="514">
        <v>20.2</v>
      </c>
      <c r="H14" s="514">
        <v>27.3</v>
      </c>
      <c r="I14" s="514">
        <v>30.4</v>
      </c>
      <c r="J14" s="514">
        <v>22</v>
      </c>
      <c r="K14" s="514">
        <v>99.2</v>
      </c>
      <c r="M14" s="145">
        <f t="shared" si="0"/>
        <v>20.2</v>
      </c>
      <c r="N14" s="145">
        <f t="shared" si="1"/>
        <v>22</v>
      </c>
    </row>
    <row r="15" spans="2:556">
      <c r="B15" s="140">
        <v>21</v>
      </c>
      <c r="C15" t="s">
        <v>308</v>
      </c>
      <c r="D15" t="s">
        <v>1206</v>
      </c>
      <c r="E15" t="s">
        <v>1218</v>
      </c>
      <c r="F15" t="s">
        <v>1219</v>
      </c>
      <c r="G15" s="514">
        <v>20.9</v>
      </c>
      <c r="H15" s="514">
        <v>36.9</v>
      </c>
      <c r="I15" s="514">
        <v>25.1</v>
      </c>
      <c r="J15" s="514">
        <v>17</v>
      </c>
      <c r="K15" s="514">
        <v>99</v>
      </c>
      <c r="M15" s="145">
        <f t="shared" si="0"/>
        <v>20.9</v>
      </c>
      <c r="N15" s="145">
        <f t="shared" si="1"/>
        <v>17</v>
      </c>
    </row>
    <row r="16" spans="2:556">
      <c r="B16" s="140">
        <v>25</v>
      </c>
      <c r="C16" t="s">
        <v>309</v>
      </c>
      <c r="D16" t="s">
        <v>1217</v>
      </c>
      <c r="E16" t="s">
        <v>1218</v>
      </c>
      <c r="F16" t="s">
        <v>1219</v>
      </c>
      <c r="G16" s="514">
        <v>22</v>
      </c>
      <c r="H16" s="514">
        <v>26.4</v>
      </c>
      <c r="I16" s="514">
        <v>28.7</v>
      </c>
      <c r="J16" s="514">
        <v>22.8</v>
      </c>
      <c r="K16" s="514">
        <v>99.8</v>
      </c>
      <c r="M16" s="145">
        <f t="shared" si="0"/>
        <v>22</v>
      </c>
      <c r="N16" s="145">
        <f t="shared" si="1"/>
        <v>22.8</v>
      </c>
    </row>
    <row r="17" spans="2:14">
      <c r="B17" s="140">
        <v>25</v>
      </c>
      <c r="C17" t="s">
        <v>309</v>
      </c>
      <c r="D17" t="s">
        <v>1206</v>
      </c>
      <c r="E17" t="s">
        <v>1218</v>
      </c>
      <c r="F17" t="s">
        <v>1219</v>
      </c>
      <c r="G17" s="514">
        <v>24.3</v>
      </c>
      <c r="H17" s="514">
        <v>35.799999999999997</v>
      </c>
      <c r="I17" s="514">
        <v>22.1</v>
      </c>
      <c r="J17" s="514">
        <v>17.8</v>
      </c>
      <c r="K17" s="514">
        <v>99.8</v>
      </c>
      <c r="M17" s="145">
        <f t="shared" si="0"/>
        <v>24.3</v>
      </c>
      <c r="N17" s="145">
        <f t="shared" si="1"/>
        <v>17.8</v>
      </c>
    </row>
    <row r="18" spans="2:14">
      <c r="B18" s="140">
        <v>33</v>
      </c>
      <c r="C18" t="s">
        <v>310</v>
      </c>
      <c r="D18" t="s">
        <v>1217</v>
      </c>
      <c r="E18" t="s">
        <v>1218</v>
      </c>
      <c r="F18" t="s">
        <v>1219</v>
      </c>
      <c r="G18" s="514">
        <v>13.7</v>
      </c>
      <c r="H18" s="514">
        <v>24.3</v>
      </c>
      <c r="I18" s="514">
        <v>34.9</v>
      </c>
      <c r="J18" s="514">
        <v>27.1</v>
      </c>
      <c r="K18" s="514">
        <v>98.8</v>
      </c>
      <c r="M18" s="145">
        <f t="shared" si="0"/>
        <v>13.7</v>
      </c>
      <c r="N18" s="145">
        <f t="shared" si="1"/>
        <v>27.1</v>
      </c>
    </row>
    <row r="19" spans="2:14">
      <c r="B19" s="140">
        <v>33</v>
      </c>
      <c r="C19" t="s">
        <v>310</v>
      </c>
      <c r="D19" t="s">
        <v>1206</v>
      </c>
      <c r="E19" t="s">
        <v>1218</v>
      </c>
      <c r="F19" t="s">
        <v>1219</v>
      </c>
      <c r="G19" s="514">
        <v>14.4</v>
      </c>
      <c r="H19" s="514">
        <v>36</v>
      </c>
      <c r="I19" s="514">
        <v>28.3</v>
      </c>
      <c r="J19" s="514">
        <v>21.3</v>
      </c>
      <c r="K19" s="514">
        <v>98.6</v>
      </c>
      <c r="M19" s="145">
        <f t="shared" si="0"/>
        <v>14.4</v>
      </c>
      <c r="N19" s="145">
        <f t="shared" si="1"/>
        <v>21.3</v>
      </c>
    </row>
    <row r="20" spans="2:14">
      <c r="B20" s="140">
        <v>41</v>
      </c>
      <c r="C20" t="s">
        <v>311</v>
      </c>
      <c r="D20" t="s">
        <v>1217</v>
      </c>
      <c r="E20" t="s">
        <v>1218</v>
      </c>
      <c r="F20" t="s">
        <v>1219</v>
      </c>
      <c r="G20" s="514">
        <v>6</v>
      </c>
      <c r="H20" s="514">
        <v>20.5</v>
      </c>
      <c r="I20" s="514">
        <v>39.5</v>
      </c>
      <c r="J20" s="514">
        <v>34</v>
      </c>
      <c r="K20" s="514">
        <v>99.6</v>
      </c>
      <c r="M20" s="145">
        <f t="shared" si="0"/>
        <v>6</v>
      </c>
      <c r="N20" s="145">
        <f t="shared" si="1"/>
        <v>34</v>
      </c>
    </row>
    <row r="21" spans="2:14">
      <c r="B21" s="140">
        <v>41</v>
      </c>
      <c r="C21" t="s">
        <v>311</v>
      </c>
      <c r="D21" t="s">
        <v>1206</v>
      </c>
      <c r="E21" t="s">
        <v>1218</v>
      </c>
      <c r="F21" t="s">
        <v>1219</v>
      </c>
      <c r="G21" s="514">
        <v>10.1</v>
      </c>
      <c r="H21" s="514">
        <v>33.1</v>
      </c>
      <c r="I21" s="514">
        <v>32</v>
      </c>
      <c r="J21" s="514">
        <v>24.8</v>
      </c>
      <c r="K21" s="514">
        <v>99.8</v>
      </c>
      <c r="M21" s="145">
        <f t="shared" si="0"/>
        <v>10.1</v>
      </c>
      <c r="N21" s="145">
        <f t="shared" si="1"/>
        <v>24.8</v>
      </c>
    </row>
    <row r="22" spans="2:14">
      <c r="B22" s="140">
        <v>44</v>
      </c>
      <c r="C22" t="s">
        <v>312</v>
      </c>
      <c r="D22" t="s">
        <v>1217</v>
      </c>
      <c r="E22" t="s">
        <v>1218</v>
      </c>
      <c r="F22" t="s">
        <v>1219</v>
      </c>
      <c r="G22" s="514" t="s">
        <v>1220</v>
      </c>
      <c r="H22" s="514" t="s">
        <v>1220</v>
      </c>
      <c r="I22" s="514">
        <v>19.5</v>
      </c>
      <c r="J22" s="514">
        <v>65.099999999999994</v>
      </c>
      <c r="K22" s="514">
        <v>100</v>
      </c>
      <c r="M22" s="145">
        <f t="shared" si="0"/>
        <v>5</v>
      </c>
      <c r="N22" s="145">
        <f t="shared" si="1"/>
        <v>65.099999999999994</v>
      </c>
    </row>
    <row r="23" spans="2:14">
      <c r="B23" s="140">
        <v>44</v>
      </c>
      <c r="C23" t="s">
        <v>312</v>
      </c>
      <c r="D23" t="s">
        <v>1206</v>
      </c>
      <c r="E23" t="s">
        <v>1218</v>
      </c>
      <c r="F23" t="s">
        <v>1219</v>
      </c>
      <c r="G23" s="514" t="s">
        <v>1220</v>
      </c>
      <c r="H23" s="514">
        <v>18.3</v>
      </c>
      <c r="I23" s="514" t="s">
        <v>1220</v>
      </c>
      <c r="J23" s="514">
        <v>58.6</v>
      </c>
      <c r="K23" s="514">
        <v>100</v>
      </c>
      <c r="M23" s="145">
        <f t="shared" si="0"/>
        <v>5</v>
      </c>
      <c r="N23" s="145">
        <f t="shared" si="1"/>
        <v>58.6</v>
      </c>
    </row>
    <row r="24" spans="2:14">
      <c r="B24" s="140">
        <v>52</v>
      </c>
      <c r="C24" t="s">
        <v>313</v>
      </c>
      <c r="D24" t="s">
        <v>1217</v>
      </c>
      <c r="E24" t="s">
        <v>1218</v>
      </c>
      <c r="F24" t="s">
        <v>1219</v>
      </c>
      <c r="G24" s="514">
        <v>14.1</v>
      </c>
      <c r="H24" s="514">
        <v>24.6</v>
      </c>
      <c r="I24" s="514">
        <v>33.4</v>
      </c>
      <c r="J24" s="514">
        <v>27.9</v>
      </c>
      <c r="K24" s="514">
        <v>98.9</v>
      </c>
      <c r="M24" s="145">
        <f t="shared" si="0"/>
        <v>14.1</v>
      </c>
      <c r="N24" s="145">
        <f t="shared" si="1"/>
        <v>27.9</v>
      </c>
    </row>
    <row r="25" spans="2:14">
      <c r="B25" s="140">
        <v>52</v>
      </c>
      <c r="C25" t="s">
        <v>313</v>
      </c>
      <c r="D25" t="s">
        <v>1206</v>
      </c>
      <c r="E25" t="s">
        <v>1218</v>
      </c>
      <c r="F25" t="s">
        <v>1219</v>
      </c>
      <c r="G25" s="514">
        <v>14.6</v>
      </c>
      <c r="H25" s="514">
        <v>33</v>
      </c>
      <c r="I25" s="514">
        <v>29.1</v>
      </c>
      <c r="J25" s="514">
        <v>23.3</v>
      </c>
      <c r="K25" s="514">
        <v>98.2</v>
      </c>
      <c r="M25" s="145">
        <f t="shared" si="0"/>
        <v>14.6</v>
      </c>
      <c r="N25" s="145">
        <f t="shared" si="1"/>
        <v>23.3</v>
      </c>
    </row>
    <row r="26" spans="2:14">
      <c r="B26" s="140">
        <v>55</v>
      </c>
      <c r="C26" t="s">
        <v>314</v>
      </c>
      <c r="D26" t="s">
        <v>1217</v>
      </c>
      <c r="E26" t="s">
        <v>1218</v>
      </c>
      <c r="F26" t="s">
        <v>1219</v>
      </c>
      <c r="G26" s="514">
        <v>9.3000000000000007</v>
      </c>
      <c r="H26" s="514">
        <v>19.2</v>
      </c>
      <c r="I26" s="514">
        <v>28.3</v>
      </c>
      <c r="J26" s="514">
        <v>43.3</v>
      </c>
      <c r="K26" s="514">
        <v>99.3</v>
      </c>
      <c r="M26" s="145">
        <f t="shared" si="0"/>
        <v>9.3000000000000007</v>
      </c>
      <c r="N26" s="145">
        <f t="shared" si="1"/>
        <v>43.3</v>
      </c>
    </row>
    <row r="27" spans="2:14">
      <c r="B27" s="140">
        <v>55</v>
      </c>
      <c r="C27" t="s">
        <v>314</v>
      </c>
      <c r="D27" t="s">
        <v>1206</v>
      </c>
      <c r="E27" t="s">
        <v>1218</v>
      </c>
      <c r="F27" t="s">
        <v>1219</v>
      </c>
      <c r="G27" s="514">
        <v>11.3</v>
      </c>
      <c r="H27" s="514">
        <v>27.8</v>
      </c>
      <c r="I27" s="514">
        <v>28.3</v>
      </c>
      <c r="J27" s="514">
        <v>32.6</v>
      </c>
      <c r="K27" s="514">
        <v>99.3</v>
      </c>
      <c r="M27" s="145">
        <f t="shared" si="0"/>
        <v>11.3</v>
      </c>
      <c r="N27" s="145">
        <f t="shared" si="1"/>
        <v>32.6</v>
      </c>
    </row>
    <row r="28" spans="2:14">
      <c r="B28" s="140">
        <v>58</v>
      </c>
      <c r="C28" t="s">
        <v>315</v>
      </c>
      <c r="D28" t="s">
        <v>1217</v>
      </c>
      <c r="E28" t="s">
        <v>1218</v>
      </c>
      <c r="F28" t="s">
        <v>1219</v>
      </c>
      <c r="G28" s="514">
        <v>11</v>
      </c>
      <c r="H28" s="514">
        <v>18.2</v>
      </c>
      <c r="I28" s="514">
        <v>31.7</v>
      </c>
      <c r="J28" s="514">
        <v>39.1</v>
      </c>
      <c r="K28" s="514">
        <v>99.7</v>
      </c>
      <c r="M28" s="145">
        <f t="shared" si="0"/>
        <v>11</v>
      </c>
      <c r="N28" s="145">
        <f t="shared" si="1"/>
        <v>39.1</v>
      </c>
    </row>
    <row r="29" spans="2:14">
      <c r="B29" s="140">
        <v>58</v>
      </c>
      <c r="C29" t="s">
        <v>315</v>
      </c>
      <c r="D29" t="s">
        <v>1206</v>
      </c>
      <c r="E29" t="s">
        <v>1218</v>
      </c>
      <c r="F29" t="s">
        <v>1219</v>
      </c>
      <c r="G29" s="514">
        <v>6.6</v>
      </c>
      <c r="H29" s="514">
        <v>31.5</v>
      </c>
      <c r="I29" s="514">
        <v>27.9</v>
      </c>
      <c r="J29" s="514">
        <v>34</v>
      </c>
      <c r="K29" s="514">
        <v>99.7</v>
      </c>
      <c r="M29" s="145">
        <f t="shared" si="0"/>
        <v>6.6</v>
      </c>
      <c r="N29" s="145">
        <f t="shared" si="1"/>
        <v>34</v>
      </c>
    </row>
    <row r="30" spans="2:14">
      <c r="B30" s="140">
        <v>59</v>
      </c>
      <c r="C30" t="s">
        <v>316</v>
      </c>
      <c r="D30" t="s">
        <v>1217</v>
      </c>
      <c r="E30" t="s">
        <v>1218</v>
      </c>
      <c r="F30" t="s">
        <v>1219</v>
      </c>
      <c r="G30" s="514">
        <v>6.8</v>
      </c>
      <c r="H30" s="514">
        <v>21.1</v>
      </c>
      <c r="I30" s="514">
        <v>34.700000000000003</v>
      </c>
      <c r="J30" s="514">
        <v>37.299999999999997</v>
      </c>
      <c r="K30" s="514">
        <v>92.7</v>
      </c>
      <c r="M30" s="145">
        <f t="shared" si="0"/>
        <v>6.8</v>
      </c>
      <c r="N30" s="145">
        <f t="shared" si="1"/>
        <v>37.299999999999997</v>
      </c>
    </row>
    <row r="31" spans="2:14">
      <c r="B31" s="140">
        <v>59</v>
      </c>
      <c r="C31" t="s">
        <v>316</v>
      </c>
      <c r="D31" t="s">
        <v>1206</v>
      </c>
      <c r="E31" t="s">
        <v>1218</v>
      </c>
      <c r="F31" t="s">
        <v>1219</v>
      </c>
      <c r="G31" s="514">
        <v>9.6</v>
      </c>
      <c r="H31" s="514">
        <v>24.6</v>
      </c>
      <c r="I31" s="514">
        <v>22.8</v>
      </c>
      <c r="J31" s="514">
        <v>43</v>
      </c>
      <c r="K31" s="514">
        <v>93.7</v>
      </c>
      <c r="M31" s="145">
        <f t="shared" si="0"/>
        <v>9.6</v>
      </c>
      <c r="N31" s="145">
        <f t="shared" si="1"/>
        <v>43</v>
      </c>
    </row>
    <row r="32" spans="2:14">
      <c r="B32" s="140">
        <v>60</v>
      </c>
      <c r="C32" t="s">
        <v>317</v>
      </c>
      <c r="D32" t="s">
        <v>1217</v>
      </c>
      <c r="E32" t="s">
        <v>1218</v>
      </c>
      <c r="F32" t="s">
        <v>1219</v>
      </c>
      <c r="G32" s="514">
        <v>18</v>
      </c>
      <c r="H32" s="514">
        <v>26</v>
      </c>
      <c r="I32" s="514">
        <v>29.2</v>
      </c>
      <c r="J32" s="514">
        <v>26.8</v>
      </c>
      <c r="K32" s="514">
        <v>97.5</v>
      </c>
      <c r="M32" s="145">
        <f t="shared" si="0"/>
        <v>18</v>
      </c>
      <c r="N32" s="145">
        <f t="shared" si="1"/>
        <v>26.8</v>
      </c>
    </row>
    <row r="33" spans="2:14">
      <c r="B33" s="140">
        <v>60</v>
      </c>
      <c r="C33" t="s">
        <v>317</v>
      </c>
      <c r="D33" t="s">
        <v>1206</v>
      </c>
      <c r="E33" t="s">
        <v>1218</v>
      </c>
      <c r="F33" t="s">
        <v>1219</v>
      </c>
      <c r="G33" s="514">
        <v>16.3</v>
      </c>
      <c r="H33" s="514">
        <v>31.8</v>
      </c>
      <c r="I33" s="514">
        <v>26.4</v>
      </c>
      <c r="J33" s="514">
        <v>25.4</v>
      </c>
      <c r="K33" s="514">
        <v>98.4</v>
      </c>
      <c r="M33" s="145">
        <f t="shared" si="0"/>
        <v>16.3</v>
      </c>
      <c r="N33" s="145">
        <f t="shared" si="1"/>
        <v>25.4</v>
      </c>
    </row>
    <row r="34" spans="2:14">
      <c r="B34" s="140">
        <v>61</v>
      </c>
      <c r="C34" t="s">
        <v>318</v>
      </c>
      <c r="D34" t="s">
        <v>1217</v>
      </c>
      <c r="E34" t="s">
        <v>1218</v>
      </c>
      <c r="F34" t="s">
        <v>1219</v>
      </c>
      <c r="G34" s="514">
        <v>18.399999999999999</v>
      </c>
      <c r="H34" s="514">
        <v>25.7</v>
      </c>
      <c r="I34" s="514">
        <v>30.8</v>
      </c>
      <c r="J34" s="514">
        <v>25.2</v>
      </c>
      <c r="K34" s="514">
        <v>99.9</v>
      </c>
      <c r="M34" s="145">
        <f t="shared" si="0"/>
        <v>18.399999999999999</v>
      </c>
      <c r="N34" s="145">
        <f t="shared" si="1"/>
        <v>25.2</v>
      </c>
    </row>
    <row r="35" spans="2:14">
      <c r="B35" s="140">
        <v>61</v>
      </c>
      <c r="C35" t="s">
        <v>318</v>
      </c>
      <c r="D35" t="s">
        <v>1206</v>
      </c>
      <c r="E35" t="s">
        <v>1218</v>
      </c>
      <c r="F35" t="s">
        <v>1219</v>
      </c>
      <c r="G35" s="514">
        <v>23.7</v>
      </c>
      <c r="H35" s="514">
        <v>37.200000000000003</v>
      </c>
      <c r="I35" s="514">
        <v>23.2</v>
      </c>
      <c r="J35" s="514">
        <v>15.9</v>
      </c>
      <c r="K35" s="514">
        <v>99.9</v>
      </c>
      <c r="M35" s="145">
        <f t="shared" si="0"/>
        <v>23.7</v>
      </c>
      <c r="N35" s="145">
        <f t="shared" si="1"/>
        <v>15.9</v>
      </c>
    </row>
    <row r="36" spans="2:14">
      <c r="B36" s="140">
        <v>71</v>
      </c>
      <c r="C36" t="s">
        <v>319</v>
      </c>
      <c r="D36" t="s">
        <v>1217</v>
      </c>
      <c r="E36" t="s">
        <v>1218</v>
      </c>
      <c r="F36" t="s">
        <v>1219</v>
      </c>
      <c r="G36" s="514">
        <v>23.3</v>
      </c>
      <c r="H36" s="514">
        <v>34.200000000000003</v>
      </c>
      <c r="I36" s="514">
        <v>20.8</v>
      </c>
      <c r="J36" s="514">
        <v>21.7</v>
      </c>
      <c r="K36" s="514">
        <v>97.6</v>
      </c>
      <c r="M36" s="145">
        <f t="shared" si="0"/>
        <v>23.3</v>
      </c>
      <c r="N36" s="145">
        <f t="shared" si="1"/>
        <v>21.7</v>
      </c>
    </row>
    <row r="37" spans="2:14">
      <c r="B37" s="140">
        <v>71</v>
      </c>
      <c r="C37" t="s">
        <v>319</v>
      </c>
      <c r="D37" t="s">
        <v>1206</v>
      </c>
      <c r="E37" t="s">
        <v>1218</v>
      </c>
      <c r="F37" t="s">
        <v>1219</v>
      </c>
      <c r="G37" s="514">
        <v>26.7</v>
      </c>
      <c r="H37" s="514">
        <v>40</v>
      </c>
      <c r="I37" s="514">
        <v>18.3</v>
      </c>
      <c r="J37" s="514">
        <v>15</v>
      </c>
      <c r="K37" s="514">
        <v>97.6</v>
      </c>
      <c r="M37" s="145">
        <f t="shared" si="0"/>
        <v>26.7</v>
      </c>
      <c r="N37" s="145">
        <f t="shared" si="1"/>
        <v>15</v>
      </c>
    </row>
    <row r="38" spans="2:14">
      <c r="B38" s="140">
        <v>72</v>
      </c>
      <c r="C38" t="s">
        <v>320</v>
      </c>
      <c r="D38" t="s">
        <v>1217</v>
      </c>
      <c r="E38" t="s">
        <v>1218</v>
      </c>
      <c r="F38" t="s">
        <v>1219</v>
      </c>
      <c r="G38" s="514">
        <v>11.5</v>
      </c>
      <c r="H38" s="514">
        <v>22</v>
      </c>
      <c r="I38" s="514">
        <v>31.9</v>
      </c>
      <c r="J38" s="514">
        <v>34.6</v>
      </c>
      <c r="K38" s="514">
        <v>100</v>
      </c>
      <c r="M38" s="145">
        <f t="shared" si="0"/>
        <v>11.5</v>
      </c>
      <c r="N38" s="145">
        <f t="shared" si="1"/>
        <v>34.6</v>
      </c>
    </row>
    <row r="39" spans="2:14">
      <c r="B39" s="140">
        <v>72</v>
      </c>
      <c r="C39" t="s">
        <v>320</v>
      </c>
      <c r="D39" t="s">
        <v>1206</v>
      </c>
      <c r="E39" t="s">
        <v>1218</v>
      </c>
      <c r="F39" t="s">
        <v>1219</v>
      </c>
      <c r="G39" s="514">
        <v>20.399999999999999</v>
      </c>
      <c r="H39" s="514">
        <v>31.4</v>
      </c>
      <c r="I39" s="514">
        <v>29.8</v>
      </c>
      <c r="J39" s="514">
        <v>18.3</v>
      </c>
      <c r="K39" s="514">
        <v>100</v>
      </c>
      <c r="M39" s="145">
        <f t="shared" si="0"/>
        <v>20.399999999999999</v>
      </c>
      <c r="N39" s="145">
        <f t="shared" si="1"/>
        <v>18.3</v>
      </c>
    </row>
    <row r="40" spans="2:14">
      <c r="B40" s="140">
        <v>73</v>
      </c>
      <c r="C40" t="s">
        <v>321</v>
      </c>
      <c r="D40" t="s">
        <v>1217</v>
      </c>
      <c r="E40" t="s">
        <v>1218</v>
      </c>
      <c r="F40" t="s">
        <v>1219</v>
      </c>
      <c r="G40" s="514">
        <v>17.399999999999999</v>
      </c>
      <c r="H40" s="514">
        <v>26.4</v>
      </c>
      <c r="I40" s="514">
        <v>29.8</v>
      </c>
      <c r="J40" s="514">
        <v>26.4</v>
      </c>
      <c r="K40" s="514">
        <v>96</v>
      </c>
      <c r="M40" s="145">
        <f t="shared" si="0"/>
        <v>17.399999999999999</v>
      </c>
      <c r="N40" s="145">
        <f t="shared" si="1"/>
        <v>26.4</v>
      </c>
    </row>
    <row r="41" spans="2:14">
      <c r="B41" s="140">
        <v>73</v>
      </c>
      <c r="C41" t="s">
        <v>321</v>
      </c>
      <c r="D41" t="s">
        <v>1206</v>
      </c>
      <c r="E41" t="s">
        <v>1218</v>
      </c>
      <c r="F41" t="s">
        <v>1219</v>
      </c>
      <c r="G41" s="514">
        <v>19.7</v>
      </c>
      <c r="H41" s="514">
        <v>26.2</v>
      </c>
      <c r="I41" s="514">
        <v>28.7</v>
      </c>
      <c r="J41" s="514">
        <v>25.4</v>
      </c>
      <c r="K41" s="514">
        <v>96.8</v>
      </c>
      <c r="M41" s="145">
        <f t="shared" si="0"/>
        <v>19.7</v>
      </c>
      <c r="N41" s="145">
        <f t="shared" si="1"/>
        <v>25.4</v>
      </c>
    </row>
    <row r="42" spans="2:14">
      <c r="B42" s="140">
        <v>83</v>
      </c>
      <c r="C42" t="s">
        <v>322</v>
      </c>
      <c r="D42" t="s">
        <v>1217</v>
      </c>
      <c r="E42" t="s">
        <v>1218</v>
      </c>
      <c r="F42" t="s">
        <v>1219</v>
      </c>
      <c r="G42" s="514">
        <v>8.3000000000000007</v>
      </c>
      <c r="H42" s="514">
        <v>19.399999999999999</v>
      </c>
      <c r="I42" s="514">
        <v>34.200000000000003</v>
      </c>
      <c r="J42" s="514">
        <v>38.1</v>
      </c>
      <c r="K42" s="514">
        <v>99.5</v>
      </c>
      <c r="M42" s="145">
        <f t="shared" si="0"/>
        <v>8.3000000000000007</v>
      </c>
      <c r="N42" s="145">
        <f t="shared" si="1"/>
        <v>38.1</v>
      </c>
    </row>
    <row r="43" spans="2:14">
      <c r="B43" s="140">
        <v>83</v>
      </c>
      <c r="C43" t="s">
        <v>322</v>
      </c>
      <c r="D43" t="s">
        <v>1206</v>
      </c>
      <c r="E43" t="s">
        <v>1218</v>
      </c>
      <c r="F43" t="s">
        <v>1219</v>
      </c>
      <c r="G43" s="514">
        <v>9.3000000000000007</v>
      </c>
      <c r="H43" s="514">
        <v>28.1</v>
      </c>
      <c r="I43" s="514">
        <v>29.9</v>
      </c>
      <c r="J43" s="514">
        <v>32.6</v>
      </c>
      <c r="K43" s="514">
        <v>99.8</v>
      </c>
      <c r="M43" s="145">
        <f t="shared" si="0"/>
        <v>9.3000000000000007</v>
      </c>
      <c r="N43" s="145">
        <f t="shared" si="1"/>
        <v>32.6</v>
      </c>
    </row>
    <row r="44" spans="2:14">
      <c r="B44" s="140">
        <v>84</v>
      </c>
      <c r="C44" t="s">
        <v>721</v>
      </c>
      <c r="D44" t="s">
        <v>1217</v>
      </c>
      <c r="E44" t="s">
        <v>1218</v>
      </c>
      <c r="F44" t="s">
        <v>1219</v>
      </c>
      <c r="G44" s="514">
        <v>18.7</v>
      </c>
      <c r="H44" s="514">
        <v>25.3</v>
      </c>
      <c r="I44" s="514">
        <v>30.2</v>
      </c>
      <c r="J44" s="514">
        <v>25.8</v>
      </c>
      <c r="K44" s="514">
        <v>98.6</v>
      </c>
      <c r="M44" s="145">
        <f t="shared" si="0"/>
        <v>18.7</v>
      </c>
      <c r="N44" s="145">
        <f t="shared" si="1"/>
        <v>25.8</v>
      </c>
    </row>
    <row r="45" spans="2:14">
      <c r="B45" s="140">
        <v>84</v>
      </c>
      <c r="C45" t="s">
        <v>721</v>
      </c>
      <c r="D45" t="s">
        <v>1206</v>
      </c>
      <c r="E45" t="s">
        <v>1218</v>
      </c>
      <c r="F45" t="s">
        <v>1219</v>
      </c>
      <c r="G45" s="514">
        <v>24.1</v>
      </c>
      <c r="H45" s="514">
        <v>35.5</v>
      </c>
      <c r="I45" s="514">
        <v>23.1</v>
      </c>
      <c r="J45" s="514">
        <v>17.3</v>
      </c>
      <c r="K45" s="514">
        <v>98.9</v>
      </c>
      <c r="M45" s="145">
        <f t="shared" si="0"/>
        <v>24.1</v>
      </c>
      <c r="N45" s="145">
        <f t="shared" si="1"/>
        <v>17.3</v>
      </c>
    </row>
    <row r="46" spans="2:14">
      <c r="B46" s="140">
        <v>91</v>
      </c>
      <c r="C46" t="s">
        <v>324</v>
      </c>
      <c r="D46" t="s">
        <v>1217</v>
      </c>
      <c r="E46" t="s">
        <v>1218</v>
      </c>
      <c r="F46" t="s">
        <v>1219</v>
      </c>
      <c r="G46" s="514">
        <v>14.5</v>
      </c>
      <c r="H46" s="514">
        <v>23</v>
      </c>
      <c r="I46" s="514">
        <v>30.3</v>
      </c>
      <c r="J46" s="514">
        <v>32.200000000000003</v>
      </c>
      <c r="K46" s="514">
        <v>98.4</v>
      </c>
      <c r="M46" s="145">
        <f t="shared" si="0"/>
        <v>14.5</v>
      </c>
      <c r="N46" s="145">
        <f t="shared" si="1"/>
        <v>32.200000000000003</v>
      </c>
    </row>
    <row r="47" spans="2:14">
      <c r="B47" s="140">
        <v>91</v>
      </c>
      <c r="C47" t="s">
        <v>324</v>
      </c>
      <c r="D47" t="s">
        <v>1206</v>
      </c>
      <c r="E47" t="s">
        <v>1218</v>
      </c>
      <c r="F47" t="s">
        <v>1219</v>
      </c>
      <c r="G47" s="514">
        <v>18.7</v>
      </c>
      <c r="H47" s="514">
        <v>31.9</v>
      </c>
      <c r="I47" s="514">
        <v>24.2</v>
      </c>
      <c r="J47" s="514">
        <v>25.2</v>
      </c>
      <c r="K47" s="514">
        <v>98.7</v>
      </c>
      <c r="M47" s="145">
        <f t="shared" si="0"/>
        <v>18.7</v>
      </c>
      <c r="N47" s="145">
        <f t="shared" si="1"/>
        <v>25.2</v>
      </c>
    </row>
    <row r="48" spans="2:14">
      <c r="B48" s="140">
        <v>92</v>
      </c>
      <c r="C48" t="s">
        <v>325</v>
      </c>
      <c r="D48" t="s">
        <v>1217</v>
      </c>
      <c r="E48" t="s">
        <v>1218</v>
      </c>
      <c r="F48" t="s">
        <v>1219</v>
      </c>
      <c r="G48" s="514" t="s">
        <v>1220</v>
      </c>
      <c r="H48" s="514" t="s">
        <v>1220</v>
      </c>
      <c r="I48" s="514" t="s">
        <v>1220</v>
      </c>
      <c r="J48" s="514">
        <v>66.7</v>
      </c>
      <c r="K48" s="514">
        <v>94.7</v>
      </c>
      <c r="M48" s="145">
        <f t="shared" si="0"/>
        <v>5</v>
      </c>
      <c r="N48" s="145">
        <f t="shared" si="1"/>
        <v>66.7</v>
      </c>
    </row>
    <row r="49" spans="2:14">
      <c r="B49" s="140">
        <v>92</v>
      </c>
      <c r="C49" t="s">
        <v>325</v>
      </c>
      <c r="D49" t="s">
        <v>1206</v>
      </c>
      <c r="E49" t="s">
        <v>1218</v>
      </c>
      <c r="F49" t="s">
        <v>1219</v>
      </c>
      <c r="G49" s="514" t="s">
        <v>1220</v>
      </c>
      <c r="H49" s="514" t="s">
        <v>1220</v>
      </c>
      <c r="I49" s="514" t="s">
        <v>1220</v>
      </c>
      <c r="J49" s="514">
        <v>48.6</v>
      </c>
      <c r="K49" s="514">
        <v>92.1</v>
      </c>
      <c r="M49" s="145">
        <f t="shared" si="0"/>
        <v>5</v>
      </c>
      <c r="N49" s="145">
        <f t="shared" si="1"/>
        <v>48.6</v>
      </c>
    </row>
    <row r="50" spans="2:14">
      <c r="B50" s="140">
        <v>93</v>
      </c>
      <c r="C50" t="s">
        <v>326</v>
      </c>
      <c r="D50" t="s">
        <v>1217</v>
      </c>
      <c r="E50" t="s">
        <v>1218</v>
      </c>
      <c r="F50" t="s">
        <v>1219</v>
      </c>
      <c r="G50" s="514">
        <v>15.4</v>
      </c>
      <c r="H50" s="514">
        <v>25.9</v>
      </c>
      <c r="I50" s="514">
        <v>31.1</v>
      </c>
      <c r="J50" s="514">
        <v>27.5</v>
      </c>
      <c r="K50" s="514">
        <v>98</v>
      </c>
      <c r="M50" s="145">
        <f t="shared" si="0"/>
        <v>15.4</v>
      </c>
      <c r="N50" s="145">
        <f t="shared" si="1"/>
        <v>27.5</v>
      </c>
    </row>
    <row r="51" spans="2:14">
      <c r="B51" s="140">
        <v>93</v>
      </c>
      <c r="C51" t="s">
        <v>326</v>
      </c>
      <c r="D51" t="s">
        <v>1206</v>
      </c>
      <c r="E51" t="s">
        <v>1218</v>
      </c>
      <c r="F51" t="s">
        <v>1219</v>
      </c>
      <c r="G51" s="514">
        <v>20.5</v>
      </c>
      <c r="H51" s="514">
        <v>36</v>
      </c>
      <c r="I51" s="514">
        <v>24</v>
      </c>
      <c r="J51" s="514">
        <v>19.5</v>
      </c>
      <c r="K51" s="514">
        <v>98.2</v>
      </c>
      <c r="M51" s="145">
        <f t="shared" si="0"/>
        <v>20.5</v>
      </c>
      <c r="N51" s="145">
        <f t="shared" si="1"/>
        <v>19.5</v>
      </c>
    </row>
    <row r="52" spans="2:14">
      <c r="B52" s="140">
        <v>101</v>
      </c>
      <c r="C52" t="s">
        <v>327</v>
      </c>
      <c r="D52" t="s">
        <v>1217</v>
      </c>
      <c r="E52" t="s">
        <v>1218</v>
      </c>
      <c r="F52" t="s">
        <v>1219</v>
      </c>
      <c r="G52" s="514">
        <v>12.7</v>
      </c>
      <c r="H52" s="514">
        <v>20.3</v>
      </c>
      <c r="I52" s="514">
        <v>35.9</v>
      </c>
      <c r="J52" s="514">
        <v>31</v>
      </c>
      <c r="K52" s="514">
        <v>98.7</v>
      </c>
      <c r="M52" s="145">
        <f t="shared" si="0"/>
        <v>12.7</v>
      </c>
      <c r="N52" s="145">
        <f t="shared" si="1"/>
        <v>31</v>
      </c>
    </row>
    <row r="53" spans="2:14">
      <c r="B53" s="140">
        <v>101</v>
      </c>
      <c r="C53" t="s">
        <v>327</v>
      </c>
      <c r="D53" t="s">
        <v>1206</v>
      </c>
      <c r="E53" t="s">
        <v>1218</v>
      </c>
      <c r="F53" t="s">
        <v>1219</v>
      </c>
      <c r="G53" s="514">
        <v>17.600000000000001</v>
      </c>
      <c r="H53" s="514">
        <v>33.1</v>
      </c>
      <c r="I53" s="514">
        <v>25.4</v>
      </c>
      <c r="J53" s="514">
        <v>23.8</v>
      </c>
      <c r="K53" s="514">
        <v>98.8</v>
      </c>
      <c r="M53" s="145">
        <f t="shared" si="0"/>
        <v>17.600000000000001</v>
      </c>
      <c r="N53" s="145">
        <f t="shared" si="1"/>
        <v>23.8</v>
      </c>
    </row>
    <row r="54" spans="2:14">
      <c r="B54" s="140">
        <v>111</v>
      </c>
      <c r="C54" t="s">
        <v>328</v>
      </c>
      <c r="D54" t="s">
        <v>1217</v>
      </c>
      <c r="E54" t="s">
        <v>1218</v>
      </c>
      <c r="F54" t="s">
        <v>1219</v>
      </c>
      <c r="G54" s="514">
        <v>14.3</v>
      </c>
      <c r="H54" s="514">
        <v>29.6</v>
      </c>
      <c r="I54" s="514">
        <v>30.4</v>
      </c>
      <c r="J54" s="514">
        <v>25.7</v>
      </c>
      <c r="K54" s="514">
        <v>98.7</v>
      </c>
      <c r="M54" s="145">
        <f t="shared" si="0"/>
        <v>14.3</v>
      </c>
      <c r="N54" s="145">
        <f t="shared" si="1"/>
        <v>25.7</v>
      </c>
    </row>
    <row r="55" spans="2:14">
      <c r="B55" s="140">
        <v>111</v>
      </c>
      <c r="C55" t="s">
        <v>328</v>
      </c>
      <c r="D55" t="s">
        <v>1206</v>
      </c>
      <c r="E55" t="s">
        <v>1218</v>
      </c>
      <c r="F55" t="s">
        <v>1219</v>
      </c>
      <c r="G55" s="514">
        <v>19</v>
      </c>
      <c r="H55" s="514">
        <v>33.299999999999997</v>
      </c>
      <c r="I55" s="514">
        <v>22.9</v>
      </c>
      <c r="J55" s="514">
        <v>24.7</v>
      </c>
      <c r="K55" s="514">
        <v>99.2</v>
      </c>
      <c r="M55" s="145">
        <f t="shared" si="0"/>
        <v>19</v>
      </c>
      <c r="N55" s="145">
        <f t="shared" si="1"/>
        <v>24.7</v>
      </c>
    </row>
    <row r="56" spans="2:14">
      <c r="B56" s="140">
        <v>121</v>
      </c>
      <c r="C56" t="s">
        <v>329</v>
      </c>
      <c r="D56" t="s">
        <v>1217</v>
      </c>
      <c r="E56" t="s">
        <v>1218</v>
      </c>
      <c r="F56" t="s">
        <v>1219</v>
      </c>
      <c r="G56" s="514" t="s">
        <v>1220</v>
      </c>
      <c r="H56" s="514">
        <v>31.5</v>
      </c>
      <c r="I56" s="514">
        <v>35.6</v>
      </c>
      <c r="J56" s="514" t="s">
        <v>1220</v>
      </c>
      <c r="K56" s="514">
        <v>100</v>
      </c>
      <c r="M56" s="145">
        <f t="shared" si="0"/>
        <v>5</v>
      </c>
      <c r="N56" s="145">
        <f t="shared" si="1"/>
        <v>5</v>
      </c>
    </row>
    <row r="57" spans="2:14">
      <c r="B57" s="140">
        <v>121</v>
      </c>
      <c r="C57" t="s">
        <v>329</v>
      </c>
      <c r="D57" t="s">
        <v>1206</v>
      </c>
      <c r="E57" t="s">
        <v>1218</v>
      </c>
      <c r="F57" t="s">
        <v>1219</v>
      </c>
      <c r="G57" s="514" t="s">
        <v>1220</v>
      </c>
      <c r="H57" s="514">
        <v>49.3</v>
      </c>
      <c r="I57" s="514">
        <v>20.5</v>
      </c>
      <c r="J57" s="514" t="s">
        <v>1220</v>
      </c>
      <c r="K57" s="514">
        <v>100</v>
      </c>
      <c r="M57" s="145">
        <f t="shared" si="0"/>
        <v>5</v>
      </c>
      <c r="N57" s="145">
        <f t="shared" si="1"/>
        <v>5</v>
      </c>
    </row>
    <row r="58" spans="2:14">
      <c r="B58" s="140">
        <v>131</v>
      </c>
      <c r="C58" t="s">
        <v>330</v>
      </c>
      <c r="D58" t="s">
        <v>1217</v>
      </c>
      <c r="E58" t="s">
        <v>1218</v>
      </c>
      <c r="F58" t="s">
        <v>1219</v>
      </c>
      <c r="G58" s="514">
        <v>11.3</v>
      </c>
      <c r="H58" s="514">
        <v>20.5</v>
      </c>
      <c r="I58" s="514">
        <v>31.5</v>
      </c>
      <c r="J58" s="514">
        <v>36.700000000000003</v>
      </c>
      <c r="K58" s="514">
        <v>99.5</v>
      </c>
      <c r="M58" s="145">
        <f t="shared" si="0"/>
        <v>11.3</v>
      </c>
      <c r="N58" s="145">
        <f t="shared" si="1"/>
        <v>36.700000000000003</v>
      </c>
    </row>
    <row r="59" spans="2:14">
      <c r="B59" s="140">
        <v>131</v>
      </c>
      <c r="C59" t="s">
        <v>330</v>
      </c>
      <c r="D59" t="s">
        <v>1206</v>
      </c>
      <c r="E59" t="s">
        <v>1218</v>
      </c>
      <c r="F59" t="s">
        <v>1219</v>
      </c>
      <c r="G59" s="514">
        <v>14.9</v>
      </c>
      <c r="H59" s="514">
        <v>31.4</v>
      </c>
      <c r="I59" s="514">
        <v>26.5</v>
      </c>
      <c r="J59" s="514">
        <v>27.2</v>
      </c>
      <c r="K59" s="514">
        <v>99.6</v>
      </c>
      <c r="M59" s="145">
        <f t="shared" si="0"/>
        <v>14.9</v>
      </c>
      <c r="N59" s="145">
        <f t="shared" si="1"/>
        <v>27.2</v>
      </c>
    </row>
    <row r="60" spans="2:14">
      <c r="B60" s="140">
        <v>132</v>
      </c>
      <c r="C60" t="s">
        <v>331</v>
      </c>
      <c r="D60" t="s">
        <v>1217</v>
      </c>
      <c r="E60" t="s">
        <v>1218</v>
      </c>
      <c r="F60" t="s">
        <v>1219</v>
      </c>
      <c r="G60" s="514">
        <v>7.5</v>
      </c>
      <c r="H60" s="514">
        <v>15.9</v>
      </c>
      <c r="I60" s="514">
        <v>33.299999999999997</v>
      </c>
      <c r="J60" s="514">
        <v>43.4</v>
      </c>
      <c r="K60" s="514">
        <v>99.4</v>
      </c>
      <c r="M60" s="145">
        <f t="shared" si="0"/>
        <v>7.5</v>
      </c>
      <c r="N60" s="145">
        <f t="shared" si="1"/>
        <v>43.4</v>
      </c>
    </row>
    <row r="61" spans="2:14">
      <c r="B61" s="140">
        <v>132</v>
      </c>
      <c r="C61" t="s">
        <v>331</v>
      </c>
      <c r="D61" t="s">
        <v>1206</v>
      </c>
      <c r="E61" t="s">
        <v>1218</v>
      </c>
      <c r="F61" t="s">
        <v>1219</v>
      </c>
      <c r="G61" s="514">
        <v>9.1</v>
      </c>
      <c r="H61" s="514">
        <v>26.4</v>
      </c>
      <c r="I61" s="514">
        <v>28.5</v>
      </c>
      <c r="J61" s="514">
        <v>36</v>
      </c>
      <c r="K61" s="514">
        <v>99.4</v>
      </c>
      <c r="M61" s="145">
        <f t="shared" si="0"/>
        <v>9.1</v>
      </c>
      <c r="N61" s="145">
        <f t="shared" si="1"/>
        <v>36</v>
      </c>
    </row>
    <row r="62" spans="2:14">
      <c r="B62" s="140">
        <v>133</v>
      </c>
      <c r="C62" t="s">
        <v>332</v>
      </c>
      <c r="D62" t="s">
        <v>1217</v>
      </c>
      <c r="E62" t="s">
        <v>1218</v>
      </c>
      <c r="F62" t="s">
        <v>1219</v>
      </c>
      <c r="G62" s="514" t="s">
        <v>1220</v>
      </c>
      <c r="H62" s="514" t="s">
        <v>1220</v>
      </c>
      <c r="I62" s="514">
        <v>31.7</v>
      </c>
      <c r="J62" s="514">
        <v>60</v>
      </c>
      <c r="K62" s="514">
        <v>98.3</v>
      </c>
      <c r="M62" s="145">
        <f t="shared" si="0"/>
        <v>5</v>
      </c>
      <c r="N62" s="145">
        <f t="shared" si="1"/>
        <v>60</v>
      </c>
    </row>
    <row r="63" spans="2:14">
      <c r="B63" s="140">
        <v>133</v>
      </c>
      <c r="C63" t="s">
        <v>332</v>
      </c>
      <c r="D63" t="s">
        <v>1206</v>
      </c>
      <c r="E63" t="s">
        <v>1218</v>
      </c>
      <c r="F63" t="s">
        <v>1219</v>
      </c>
      <c r="G63" s="514" t="s">
        <v>1220</v>
      </c>
      <c r="H63" s="514" t="s">
        <v>1220</v>
      </c>
      <c r="I63" s="514">
        <v>32.6</v>
      </c>
      <c r="J63" s="514">
        <v>40.4</v>
      </c>
      <c r="K63" s="514">
        <v>98.3</v>
      </c>
      <c r="M63" s="145">
        <f t="shared" si="0"/>
        <v>5</v>
      </c>
      <c r="N63" s="145">
        <f t="shared" si="1"/>
        <v>40.4</v>
      </c>
    </row>
    <row r="64" spans="2:14">
      <c r="B64" s="140">
        <v>134</v>
      </c>
      <c r="C64" t="s">
        <v>333</v>
      </c>
      <c r="D64" t="s">
        <v>1217</v>
      </c>
      <c r="E64" t="s">
        <v>1218</v>
      </c>
      <c r="F64" t="s">
        <v>1219</v>
      </c>
      <c r="G64" s="514">
        <v>13.7</v>
      </c>
      <c r="H64" s="514">
        <v>23.3</v>
      </c>
      <c r="I64" s="514">
        <v>30.1</v>
      </c>
      <c r="J64" s="514">
        <v>32.9</v>
      </c>
      <c r="K64" s="514">
        <v>98.5</v>
      </c>
      <c r="M64" s="145">
        <f t="shared" si="0"/>
        <v>13.7</v>
      </c>
      <c r="N64" s="145">
        <f t="shared" si="1"/>
        <v>32.9</v>
      </c>
    </row>
    <row r="65" spans="2:14">
      <c r="B65" s="140">
        <v>134</v>
      </c>
      <c r="C65" t="s">
        <v>333</v>
      </c>
      <c r="D65" t="s">
        <v>1206</v>
      </c>
      <c r="E65" t="s">
        <v>1218</v>
      </c>
      <c r="F65" t="s">
        <v>1219</v>
      </c>
      <c r="G65" s="514">
        <v>17.7</v>
      </c>
      <c r="H65" s="514">
        <v>32.200000000000003</v>
      </c>
      <c r="I65" s="514">
        <v>26.1</v>
      </c>
      <c r="J65" s="514">
        <v>24</v>
      </c>
      <c r="K65" s="514">
        <v>98.7</v>
      </c>
      <c r="M65" s="145">
        <f t="shared" si="0"/>
        <v>17.7</v>
      </c>
      <c r="N65" s="145">
        <f t="shared" si="1"/>
        <v>24</v>
      </c>
    </row>
    <row r="66" spans="2:14">
      <c r="B66" s="140">
        <v>135</v>
      </c>
      <c r="C66" t="s">
        <v>334</v>
      </c>
      <c r="D66" t="s">
        <v>1217</v>
      </c>
      <c r="E66" t="s">
        <v>1218</v>
      </c>
      <c r="F66" t="s">
        <v>1219</v>
      </c>
      <c r="G66" s="514">
        <v>7.3</v>
      </c>
      <c r="H66" s="514">
        <v>17.399999999999999</v>
      </c>
      <c r="I66" s="514">
        <v>35.200000000000003</v>
      </c>
      <c r="J66" s="514">
        <v>40.200000000000003</v>
      </c>
      <c r="K66" s="514">
        <v>98.6</v>
      </c>
      <c r="M66" s="145">
        <f t="shared" si="0"/>
        <v>7.3</v>
      </c>
      <c r="N66" s="145">
        <f t="shared" si="1"/>
        <v>40.200000000000003</v>
      </c>
    </row>
    <row r="67" spans="2:14">
      <c r="B67" s="140">
        <v>135</v>
      </c>
      <c r="C67" t="s">
        <v>334</v>
      </c>
      <c r="D67" t="s">
        <v>1206</v>
      </c>
      <c r="E67" t="s">
        <v>1218</v>
      </c>
      <c r="F67" t="s">
        <v>1219</v>
      </c>
      <c r="G67" s="514">
        <v>5.5</v>
      </c>
      <c r="H67" s="514">
        <v>25.6</v>
      </c>
      <c r="I67" s="514">
        <v>31.1</v>
      </c>
      <c r="J67" s="514">
        <v>37.9</v>
      </c>
      <c r="K67" s="514">
        <v>99.1</v>
      </c>
      <c r="M67" s="145">
        <f t="shared" si="0"/>
        <v>5.5</v>
      </c>
      <c r="N67" s="145">
        <f t="shared" si="1"/>
        <v>37.9</v>
      </c>
    </row>
    <row r="68" spans="2:14">
      <c r="B68" s="140">
        <v>136</v>
      </c>
      <c r="C68" t="s">
        <v>335</v>
      </c>
      <c r="D68" t="s">
        <v>1217</v>
      </c>
      <c r="E68" t="s">
        <v>1218</v>
      </c>
      <c r="F68" t="s">
        <v>1219</v>
      </c>
      <c r="G68" s="514">
        <v>10.7</v>
      </c>
      <c r="H68" s="514">
        <v>24.2</v>
      </c>
      <c r="I68" s="514">
        <v>31.8</v>
      </c>
      <c r="J68" s="514">
        <v>33.299999999999997</v>
      </c>
      <c r="K68" s="514">
        <v>99.8</v>
      </c>
      <c r="M68" s="145">
        <f t="shared" si="0"/>
        <v>10.7</v>
      </c>
      <c r="N68" s="145">
        <f t="shared" si="1"/>
        <v>33.299999999999997</v>
      </c>
    </row>
    <row r="69" spans="2:14">
      <c r="B69" s="140">
        <v>136</v>
      </c>
      <c r="C69" t="s">
        <v>335</v>
      </c>
      <c r="D69" t="s">
        <v>1206</v>
      </c>
      <c r="E69" t="s">
        <v>1218</v>
      </c>
      <c r="F69" t="s">
        <v>1219</v>
      </c>
      <c r="G69" s="514">
        <v>16.600000000000001</v>
      </c>
      <c r="H69" s="514">
        <v>33.299999999999997</v>
      </c>
      <c r="I69" s="514">
        <v>26.4</v>
      </c>
      <c r="J69" s="514">
        <v>23.8</v>
      </c>
      <c r="K69" s="514">
        <v>99.8</v>
      </c>
      <c r="M69" s="145">
        <f t="shared" ref="M69:M132" si="5">IF(ISNUMBER(G69), G69, 5)</f>
        <v>16.600000000000001</v>
      </c>
      <c r="N69" s="145">
        <f t="shared" ref="N69:N132" si="6">IF(ISNUMBER(J69), J69, 5)</f>
        <v>23.8</v>
      </c>
    </row>
    <row r="70" spans="2:14">
      <c r="B70" s="140">
        <v>137</v>
      </c>
      <c r="C70" t="s">
        <v>336</v>
      </c>
      <c r="D70" t="s">
        <v>1217</v>
      </c>
      <c r="E70" t="s">
        <v>1218</v>
      </c>
      <c r="F70" t="s">
        <v>1219</v>
      </c>
      <c r="G70" s="514">
        <v>14.3</v>
      </c>
      <c r="H70" s="514">
        <v>20.6</v>
      </c>
      <c r="I70" s="514">
        <v>37.5</v>
      </c>
      <c r="J70" s="514">
        <v>27.6</v>
      </c>
      <c r="K70" s="514">
        <v>99.3</v>
      </c>
      <c r="M70" s="145">
        <f t="shared" si="5"/>
        <v>14.3</v>
      </c>
      <c r="N70" s="145">
        <f t="shared" si="6"/>
        <v>27.6</v>
      </c>
    </row>
    <row r="71" spans="2:14">
      <c r="B71" s="140">
        <v>137</v>
      </c>
      <c r="C71" t="s">
        <v>336</v>
      </c>
      <c r="D71" t="s">
        <v>1206</v>
      </c>
      <c r="E71" t="s">
        <v>1218</v>
      </c>
      <c r="F71" t="s">
        <v>1219</v>
      </c>
      <c r="G71" s="514">
        <v>14.8</v>
      </c>
      <c r="H71" s="514">
        <v>32.9</v>
      </c>
      <c r="I71" s="514">
        <v>29.3</v>
      </c>
      <c r="J71" s="514">
        <v>23</v>
      </c>
      <c r="K71" s="514">
        <v>99.1</v>
      </c>
      <c r="M71" s="145">
        <f t="shared" si="5"/>
        <v>14.8</v>
      </c>
      <c r="N71" s="145">
        <f t="shared" si="6"/>
        <v>23</v>
      </c>
    </row>
    <row r="72" spans="2:14">
      <c r="B72" s="140">
        <v>139</v>
      </c>
      <c r="C72" t="s">
        <v>337</v>
      </c>
      <c r="D72" t="s">
        <v>1217</v>
      </c>
      <c r="E72" t="s">
        <v>1218</v>
      </c>
      <c r="F72" t="s">
        <v>1219</v>
      </c>
      <c r="G72" s="514">
        <v>16</v>
      </c>
      <c r="H72" s="514">
        <v>23.8</v>
      </c>
      <c r="I72" s="514">
        <v>29.5</v>
      </c>
      <c r="J72" s="514">
        <v>30.7</v>
      </c>
      <c r="K72" s="514">
        <v>99.9</v>
      </c>
      <c r="M72" s="145">
        <f t="shared" si="5"/>
        <v>16</v>
      </c>
      <c r="N72" s="145">
        <f t="shared" si="6"/>
        <v>30.7</v>
      </c>
    </row>
    <row r="73" spans="2:14">
      <c r="B73" s="140">
        <v>139</v>
      </c>
      <c r="C73" t="s">
        <v>337</v>
      </c>
      <c r="D73" t="s">
        <v>1206</v>
      </c>
      <c r="E73" t="s">
        <v>1218</v>
      </c>
      <c r="F73" t="s">
        <v>1219</v>
      </c>
      <c r="G73" s="514">
        <v>21.8</v>
      </c>
      <c r="H73" s="514">
        <v>32.5</v>
      </c>
      <c r="I73" s="514">
        <v>24.8</v>
      </c>
      <c r="J73" s="514">
        <v>20.8</v>
      </c>
      <c r="K73" s="514">
        <v>99.9</v>
      </c>
      <c r="M73" s="145">
        <f t="shared" si="5"/>
        <v>21.8</v>
      </c>
      <c r="N73" s="145">
        <f t="shared" si="6"/>
        <v>20.8</v>
      </c>
    </row>
    <row r="74" spans="2:14">
      <c r="B74" s="140">
        <v>148</v>
      </c>
      <c r="C74" t="s">
        <v>338</v>
      </c>
      <c r="D74" t="s">
        <v>1217</v>
      </c>
      <c r="E74" t="s">
        <v>1218</v>
      </c>
      <c r="F74" t="s">
        <v>1219</v>
      </c>
      <c r="G74" s="514">
        <v>22.8</v>
      </c>
      <c r="H74" s="514">
        <v>34.799999999999997</v>
      </c>
      <c r="I74" s="514">
        <v>26.4</v>
      </c>
      <c r="J74" s="514">
        <v>15.9</v>
      </c>
      <c r="K74" s="514">
        <v>98.2</v>
      </c>
      <c r="M74" s="145">
        <f t="shared" si="5"/>
        <v>22.8</v>
      </c>
      <c r="N74" s="145">
        <f t="shared" si="6"/>
        <v>15.9</v>
      </c>
    </row>
    <row r="75" spans="2:14">
      <c r="B75" s="140">
        <v>148</v>
      </c>
      <c r="C75" t="s">
        <v>338</v>
      </c>
      <c r="D75" t="s">
        <v>1206</v>
      </c>
      <c r="E75" t="s">
        <v>1218</v>
      </c>
      <c r="F75" t="s">
        <v>1219</v>
      </c>
      <c r="G75" s="514">
        <v>23.2</v>
      </c>
      <c r="H75" s="514">
        <v>39.9</v>
      </c>
      <c r="I75" s="514">
        <v>21.4</v>
      </c>
      <c r="J75" s="514">
        <v>15.6</v>
      </c>
      <c r="K75" s="514">
        <v>98.2</v>
      </c>
      <c r="M75" s="145">
        <f t="shared" si="5"/>
        <v>23.2</v>
      </c>
      <c r="N75" s="145">
        <f t="shared" si="6"/>
        <v>15.6</v>
      </c>
    </row>
    <row r="76" spans="2:14">
      <c r="B76" s="140">
        <v>149</v>
      </c>
      <c r="C76" t="s">
        <v>339</v>
      </c>
      <c r="D76" t="s">
        <v>1217</v>
      </c>
      <c r="E76" t="s">
        <v>1218</v>
      </c>
      <c r="F76" t="s">
        <v>1219</v>
      </c>
      <c r="G76" s="514" t="s">
        <v>1220</v>
      </c>
      <c r="H76" s="514">
        <v>32.6</v>
      </c>
      <c r="I76" s="514">
        <v>31.5</v>
      </c>
      <c r="J76" s="514" t="s">
        <v>1220</v>
      </c>
      <c r="K76" s="514">
        <v>96.8</v>
      </c>
      <c r="M76" s="145">
        <f t="shared" si="5"/>
        <v>5</v>
      </c>
      <c r="N76" s="145">
        <f t="shared" si="6"/>
        <v>5</v>
      </c>
    </row>
    <row r="77" spans="2:14">
      <c r="B77" s="140">
        <v>149</v>
      </c>
      <c r="C77" t="s">
        <v>339</v>
      </c>
      <c r="D77" t="s">
        <v>1206</v>
      </c>
      <c r="E77" t="s">
        <v>1218</v>
      </c>
      <c r="F77" t="s">
        <v>1219</v>
      </c>
      <c r="G77" s="514">
        <v>18.7</v>
      </c>
      <c r="H77" s="514">
        <v>37.4</v>
      </c>
      <c r="I77" s="514">
        <v>24.2</v>
      </c>
      <c r="J77" s="514">
        <v>19.8</v>
      </c>
      <c r="K77" s="514">
        <v>95.8</v>
      </c>
      <c r="M77" s="145">
        <f t="shared" si="5"/>
        <v>18.7</v>
      </c>
      <c r="N77" s="145">
        <f t="shared" si="6"/>
        <v>19.8</v>
      </c>
    </row>
    <row r="78" spans="2:14">
      <c r="B78" s="140">
        <v>150</v>
      </c>
      <c r="C78" t="s">
        <v>340</v>
      </c>
      <c r="D78" t="s">
        <v>1217</v>
      </c>
      <c r="E78" t="s">
        <v>1218</v>
      </c>
      <c r="F78" t="s">
        <v>1219</v>
      </c>
      <c r="G78" s="514">
        <v>12.1</v>
      </c>
      <c r="H78" s="514">
        <v>23.5</v>
      </c>
      <c r="I78" s="514">
        <v>33.5</v>
      </c>
      <c r="J78" s="514">
        <v>30.9</v>
      </c>
      <c r="K78" s="514">
        <v>99.5</v>
      </c>
      <c r="M78" s="145">
        <f t="shared" si="5"/>
        <v>12.1</v>
      </c>
      <c r="N78" s="145">
        <f t="shared" si="6"/>
        <v>30.9</v>
      </c>
    </row>
    <row r="79" spans="2:14">
      <c r="B79" s="140">
        <v>150</v>
      </c>
      <c r="C79" t="s">
        <v>340</v>
      </c>
      <c r="D79" t="s">
        <v>1206</v>
      </c>
      <c r="E79" t="s">
        <v>1218</v>
      </c>
      <c r="F79" t="s">
        <v>1219</v>
      </c>
      <c r="G79" s="514">
        <v>15.8</v>
      </c>
      <c r="H79" s="514">
        <v>24.1</v>
      </c>
      <c r="I79" s="514">
        <v>30.6</v>
      </c>
      <c r="J79" s="514">
        <v>29.5</v>
      </c>
      <c r="K79" s="514">
        <v>99.8</v>
      </c>
      <c r="M79" s="145">
        <f t="shared" si="5"/>
        <v>15.8</v>
      </c>
      <c r="N79" s="145">
        <f t="shared" si="6"/>
        <v>29.5</v>
      </c>
    </row>
    <row r="80" spans="2:14">
      <c r="B80" s="140">
        <v>151</v>
      </c>
      <c r="C80" t="s">
        <v>341</v>
      </c>
      <c r="D80" t="s">
        <v>1217</v>
      </c>
      <c r="E80" t="s">
        <v>1218</v>
      </c>
      <c r="F80" t="s">
        <v>1219</v>
      </c>
      <c r="G80" s="514">
        <v>14.1</v>
      </c>
      <c r="H80" s="514">
        <v>20.9</v>
      </c>
      <c r="I80" s="514">
        <v>32.4</v>
      </c>
      <c r="J80" s="514">
        <v>32.6</v>
      </c>
      <c r="K80" s="514">
        <v>99.2</v>
      </c>
      <c r="M80" s="145">
        <f t="shared" si="5"/>
        <v>14.1</v>
      </c>
      <c r="N80" s="145">
        <f t="shared" si="6"/>
        <v>32.6</v>
      </c>
    </row>
    <row r="81" spans="2:14">
      <c r="B81" s="140">
        <v>151</v>
      </c>
      <c r="C81" t="s">
        <v>341</v>
      </c>
      <c r="D81" t="s">
        <v>1206</v>
      </c>
      <c r="E81" t="s">
        <v>1218</v>
      </c>
      <c r="F81" t="s">
        <v>1219</v>
      </c>
      <c r="G81" s="514">
        <v>13.9</v>
      </c>
      <c r="H81" s="514">
        <v>27.4</v>
      </c>
      <c r="I81" s="514">
        <v>29.8</v>
      </c>
      <c r="J81" s="514">
        <v>28.8</v>
      </c>
      <c r="K81" s="514">
        <v>99</v>
      </c>
      <c r="M81" s="145">
        <f t="shared" si="5"/>
        <v>13.9</v>
      </c>
      <c r="N81" s="145">
        <f t="shared" si="6"/>
        <v>28.8</v>
      </c>
    </row>
    <row r="82" spans="2:14">
      <c r="B82" s="140">
        <v>161</v>
      </c>
      <c r="C82" t="s">
        <v>342</v>
      </c>
      <c r="D82" t="s">
        <v>1217</v>
      </c>
      <c r="E82" t="s">
        <v>1218</v>
      </c>
      <c r="F82" t="s">
        <v>1219</v>
      </c>
      <c r="G82" s="514" t="s">
        <v>1220</v>
      </c>
      <c r="H82" s="514" t="s">
        <v>1220</v>
      </c>
      <c r="I82" s="514">
        <v>36</v>
      </c>
      <c r="J82" s="514">
        <v>33.299999999999997</v>
      </c>
      <c r="K82" s="514">
        <v>98.7</v>
      </c>
      <c r="M82" s="145">
        <f t="shared" si="5"/>
        <v>5</v>
      </c>
      <c r="N82" s="145">
        <f t="shared" si="6"/>
        <v>33.299999999999997</v>
      </c>
    </row>
    <row r="83" spans="2:14">
      <c r="B83" s="140">
        <v>161</v>
      </c>
      <c r="C83" t="s">
        <v>342</v>
      </c>
      <c r="D83" t="s">
        <v>1206</v>
      </c>
      <c r="E83" t="s">
        <v>1218</v>
      </c>
      <c r="F83" t="s">
        <v>1219</v>
      </c>
      <c r="G83" s="514">
        <v>22.7</v>
      </c>
      <c r="H83" s="514">
        <v>21.3</v>
      </c>
      <c r="I83" s="514">
        <v>26.7</v>
      </c>
      <c r="J83" s="514">
        <v>29.3</v>
      </c>
      <c r="K83" s="514">
        <v>98.7</v>
      </c>
      <c r="M83" s="145">
        <f t="shared" si="5"/>
        <v>22.7</v>
      </c>
      <c r="N83" s="145">
        <f t="shared" si="6"/>
        <v>29.3</v>
      </c>
    </row>
    <row r="84" spans="2:14">
      <c r="B84" s="140">
        <v>171</v>
      </c>
      <c r="C84" t="s">
        <v>343</v>
      </c>
      <c r="D84" t="s">
        <v>1217</v>
      </c>
      <c r="E84" t="s">
        <v>1218</v>
      </c>
      <c r="F84" t="s">
        <v>1219</v>
      </c>
      <c r="G84" s="514">
        <v>11.9</v>
      </c>
      <c r="H84" s="514">
        <v>24.9</v>
      </c>
      <c r="I84" s="514">
        <v>33.6</v>
      </c>
      <c r="J84" s="514">
        <v>29.5</v>
      </c>
      <c r="K84" s="514">
        <v>99.1</v>
      </c>
      <c r="M84" s="145">
        <f t="shared" si="5"/>
        <v>11.9</v>
      </c>
      <c r="N84" s="145">
        <f t="shared" si="6"/>
        <v>29.5</v>
      </c>
    </row>
    <row r="85" spans="2:14">
      <c r="B85" s="140">
        <v>171</v>
      </c>
      <c r="C85" t="s">
        <v>343</v>
      </c>
      <c r="D85" t="s">
        <v>1206</v>
      </c>
      <c r="E85" t="s">
        <v>1218</v>
      </c>
      <c r="F85" t="s">
        <v>1219</v>
      </c>
      <c r="G85" s="514">
        <v>15.1</v>
      </c>
      <c r="H85" s="514">
        <v>34.299999999999997</v>
      </c>
      <c r="I85" s="514">
        <v>29</v>
      </c>
      <c r="J85" s="514">
        <v>21.5</v>
      </c>
      <c r="K85" s="514">
        <v>98.9</v>
      </c>
      <c r="M85" s="145">
        <f t="shared" si="5"/>
        <v>15.1</v>
      </c>
      <c r="N85" s="145">
        <f t="shared" si="6"/>
        <v>21.5</v>
      </c>
    </row>
    <row r="86" spans="2:14">
      <c r="B86" s="140">
        <v>181</v>
      </c>
      <c r="C86" t="s">
        <v>344</v>
      </c>
      <c r="D86" t="s">
        <v>1217</v>
      </c>
      <c r="E86" t="s">
        <v>1218</v>
      </c>
      <c r="F86" t="s">
        <v>1219</v>
      </c>
      <c r="G86" s="514" t="s">
        <v>1220</v>
      </c>
      <c r="H86" s="514" t="s">
        <v>1220</v>
      </c>
      <c r="I86" s="514">
        <v>34.5</v>
      </c>
      <c r="J86" s="514">
        <v>41.1</v>
      </c>
      <c r="K86" s="514">
        <v>99.5</v>
      </c>
      <c r="M86" s="145">
        <f t="shared" si="5"/>
        <v>5</v>
      </c>
      <c r="N86" s="145">
        <f t="shared" si="6"/>
        <v>41.1</v>
      </c>
    </row>
    <row r="87" spans="2:14">
      <c r="B87" s="140">
        <v>181</v>
      </c>
      <c r="C87" t="s">
        <v>344</v>
      </c>
      <c r="D87" t="s">
        <v>1206</v>
      </c>
      <c r="E87" t="s">
        <v>1218</v>
      </c>
      <c r="F87" t="s">
        <v>1219</v>
      </c>
      <c r="G87" s="514">
        <v>12.3</v>
      </c>
      <c r="H87" s="514">
        <v>24.6</v>
      </c>
      <c r="I87" s="514">
        <v>34.4</v>
      </c>
      <c r="J87" s="514">
        <v>28.7</v>
      </c>
      <c r="K87" s="514">
        <v>98.5</v>
      </c>
      <c r="M87" s="145">
        <f t="shared" si="5"/>
        <v>12.3</v>
      </c>
      <c r="N87" s="145">
        <f t="shared" si="6"/>
        <v>28.7</v>
      </c>
    </row>
    <row r="88" spans="2:14">
      <c r="B88" s="140">
        <v>182</v>
      </c>
      <c r="C88" t="s">
        <v>345</v>
      </c>
      <c r="D88" t="s">
        <v>1217</v>
      </c>
      <c r="E88" t="s">
        <v>1218</v>
      </c>
      <c r="F88" t="s">
        <v>1219</v>
      </c>
      <c r="G88" s="514">
        <v>16.2</v>
      </c>
      <c r="H88" s="514">
        <v>22.9</v>
      </c>
      <c r="I88" s="514">
        <v>36.200000000000003</v>
      </c>
      <c r="J88" s="514">
        <v>24.8</v>
      </c>
      <c r="K88" s="514">
        <v>99.1</v>
      </c>
      <c r="M88" s="145">
        <f t="shared" si="5"/>
        <v>16.2</v>
      </c>
      <c r="N88" s="145">
        <f t="shared" si="6"/>
        <v>24.8</v>
      </c>
    </row>
    <row r="89" spans="2:14">
      <c r="B89" s="140">
        <v>182</v>
      </c>
      <c r="C89" t="s">
        <v>345</v>
      </c>
      <c r="D89" t="s">
        <v>1206</v>
      </c>
      <c r="E89" t="s">
        <v>1218</v>
      </c>
      <c r="F89" t="s">
        <v>1219</v>
      </c>
      <c r="G89" s="514">
        <v>19</v>
      </c>
      <c r="H89" s="514">
        <v>36.200000000000003</v>
      </c>
      <c r="I89" s="514">
        <v>29.5</v>
      </c>
      <c r="J89" s="514">
        <v>15.2</v>
      </c>
      <c r="K89" s="514">
        <v>99.1</v>
      </c>
      <c r="M89" s="145">
        <f t="shared" si="5"/>
        <v>19</v>
      </c>
      <c r="N89" s="145">
        <f t="shared" si="6"/>
        <v>15.2</v>
      </c>
    </row>
    <row r="90" spans="2:14">
      <c r="B90" s="140">
        <v>191</v>
      </c>
      <c r="C90" t="s">
        <v>346</v>
      </c>
      <c r="D90" t="s">
        <v>1217</v>
      </c>
      <c r="E90" t="s">
        <v>1218</v>
      </c>
      <c r="F90" t="s">
        <v>1219</v>
      </c>
      <c r="G90" s="514" t="s">
        <v>1220</v>
      </c>
      <c r="H90" s="514" t="s">
        <v>1220</v>
      </c>
      <c r="I90" s="514" t="s">
        <v>1220</v>
      </c>
      <c r="J90" s="514" t="s">
        <v>1220</v>
      </c>
      <c r="K90" s="514">
        <v>100</v>
      </c>
      <c r="M90" s="145">
        <f t="shared" si="5"/>
        <v>5</v>
      </c>
      <c r="N90" s="145">
        <f t="shared" si="6"/>
        <v>5</v>
      </c>
    </row>
    <row r="91" spans="2:14">
      <c r="B91" s="140">
        <v>191</v>
      </c>
      <c r="C91" t="s">
        <v>346</v>
      </c>
      <c r="D91" t="s">
        <v>1206</v>
      </c>
      <c r="E91" t="s">
        <v>1218</v>
      </c>
      <c r="F91" t="s">
        <v>1219</v>
      </c>
      <c r="G91" s="514" t="s">
        <v>1220</v>
      </c>
      <c r="H91" s="514" t="s">
        <v>1220</v>
      </c>
      <c r="I91" s="514" t="s">
        <v>1220</v>
      </c>
      <c r="J91" s="514" t="s">
        <v>1220</v>
      </c>
      <c r="K91" s="514">
        <v>100</v>
      </c>
      <c r="M91" s="145">
        <f t="shared" si="5"/>
        <v>5</v>
      </c>
      <c r="N91" s="145">
        <f t="shared" si="6"/>
        <v>5</v>
      </c>
    </row>
    <row r="92" spans="2:14">
      <c r="B92" s="140">
        <v>192</v>
      </c>
      <c r="C92" t="s">
        <v>347</v>
      </c>
      <c r="D92" t="s">
        <v>1217</v>
      </c>
      <c r="E92" t="s">
        <v>1218</v>
      </c>
      <c r="F92" t="s">
        <v>1219</v>
      </c>
      <c r="G92" s="514" t="s">
        <v>1220</v>
      </c>
      <c r="H92" s="514" t="s">
        <v>1220</v>
      </c>
      <c r="I92" s="514">
        <v>34.1</v>
      </c>
      <c r="J92" s="514">
        <v>45.2</v>
      </c>
      <c r="K92" s="514">
        <v>98.2</v>
      </c>
      <c r="M92" s="145">
        <f t="shared" si="5"/>
        <v>5</v>
      </c>
      <c r="N92" s="145">
        <f t="shared" si="6"/>
        <v>45.2</v>
      </c>
    </row>
    <row r="93" spans="2:14">
      <c r="B93" s="140">
        <v>192</v>
      </c>
      <c r="C93" t="s">
        <v>347</v>
      </c>
      <c r="D93" t="s">
        <v>1206</v>
      </c>
      <c r="E93" t="s">
        <v>1218</v>
      </c>
      <c r="F93" t="s">
        <v>1219</v>
      </c>
      <c r="G93" s="514">
        <v>12</v>
      </c>
      <c r="H93" s="514">
        <v>29.5</v>
      </c>
      <c r="I93" s="514">
        <v>27.6</v>
      </c>
      <c r="J93" s="514">
        <v>30.9</v>
      </c>
      <c r="K93" s="514">
        <v>98.2</v>
      </c>
      <c r="M93" s="145">
        <f t="shared" si="5"/>
        <v>12</v>
      </c>
      <c r="N93" s="145">
        <f t="shared" si="6"/>
        <v>30.9</v>
      </c>
    </row>
    <row r="94" spans="2:14">
      <c r="B94" s="140">
        <v>193</v>
      </c>
      <c r="C94" t="s">
        <v>348</v>
      </c>
      <c r="D94" t="s">
        <v>1217</v>
      </c>
      <c r="E94" t="s">
        <v>1218</v>
      </c>
      <c r="F94" t="s">
        <v>1219</v>
      </c>
      <c r="G94" s="514">
        <v>11.2</v>
      </c>
      <c r="H94" s="514">
        <v>21.2</v>
      </c>
      <c r="I94" s="514">
        <v>33.299999999999997</v>
      </c>
      <c r="J94" s="514">
        <v>34.299999999999997</v>
      </c>
      <c r="K94" s="514">
        <v>99.1</v>
      </c>
      <c r="M94" s="145">
        <f t="shared" si="5"/>
        <v>11.2</v>
      </c>
      <c r="N94" s="145">
        <f t="shared" si="6"/>
        <v>34.299999999999997</v>
      </c>
    </row>
    <row r="95" spans="2:14">
      <c r="B95" s="140">
        <v>193</v>
      </c>
      <c r="C95" t="s">
        <v>348</v>
      </c>
      <c r="D95" t="s">
        <v>1206</v>
      </c>
      <c r="E95" t="s">
        <v>1218</v>
      </c>
      <c r="F95" t="s">
        <v>1219</v>
      </c>
      <c r="G95" s="514">
        <v>10.4</v>
      </c>
      <c r="H95" s="514">
        <v>28.2</v>
      </c>
      <c r="I95" s="514">
        <v>30.2</v>
      </c>
      <c r="J95" s="514">
        <v>31.2</v>
      </c>
      <c r="K95" s="514">
        <v>99.1</v>
      </c>
      <c r="M95" s="145">
        <f t="shared" si="5"/>
        <v>10.4</v>
      </c>
      <c r="N95" s="145">
        <f t="shared" si="6"/>
        <v>31.2</v>
      </c>
    </row>
    <row r="96" spans="2:14">
      <c r="B96" s="140">
        <v>201</v>
      </c>
      <c r="C96" t="s">
        <v>349</v>
      </c>
      <c r="D96" t="s">
        <v>1217</v>
      </c>
      <c r="E96" t="s">
        <v>1218</v>
      </c>
      <c r="F96" t="s">
        <v>1219</v>
      </c>
      <c r="G96" s="514">
        <v>11.7</v>
      </c>
      <c r="H96" s="514">
        <v>23</v>
      </c>
      <c r="I96" s="514">
        <v>35.4</v>
      </c>
      <c r="J96" s="514">
        <v>30</v>
      </c>
      <c r="K96" s="514">
        <v>98.6</v>
      </c>
      <c r="M96" s="145">
        <f t="shared" si="5"/>
        <v>11.7</v>
      </c>
      <c r="N96" s="145">
        <f t="shared" si="6"/>
        <v>30</v>
      </c>
    </row>
    <row r="97" spans="2:14">
      <c r="B97" s="140">
        <v>201</v>
      </c>
      <c r="C97" t="s">
        <v>349</v>
      </c>
      <c r="D97" t="s">
        <v>1206</v>
      </c>
      <c r="E97" t="s">
        <v>1218</v>
      </c>
      <c r="F97" t="s">
        <v>1219</v>
      </c>
      <c r="G97" s="514">
        <v>16.600000000000001</v>
      </c>
      <c r="H97" s="514">
        <v>36.9</v>
      </c>
      <c r="I97" s="514">
        <v>25.8</v>
      </c>
      <c r="J97" s="514">
        <v>20.8</v>
      </c>
      <c r="K97" s="514">
        <v>98.7</v>
      </c>
      <c r="M97" s="145">
        <f t="shared" si="5"/>
        <v>16.600000000000001</v>
      </c>
      <c r="N97" s="145">
        <f t="shared" si="6"/>
        <v>20.8</v>
      </c>
    </row>
    <row r="98" spans="2:14">
      <c r="B98" s="140">
        <v>202</v>
      </c>
      <c r="C98" t="s">
        <v>350</v>
      </c>
      <c r="D98" t="s">
        <v>1217</v>
      </c>
      <c r="E98" t="s">
        <v>1218</v>
      </c>
      <c r="F98" t="s">
        <v>1219</v>
      </c>
      <c r="G98" s="514">
        <v>31.4</v>
      </c>
      <c r="H98" s="514">
        <v>26.2</v>
      </c>
      <c r="I98" s="514">
        <v>28.6</v>
      </c>
      <c r="J98" s="514">
        <v>13.8</v>
      </c>
      <c r="K98" s="514">
        <v>97.6</v>
      </c>
      <c r="M98" s="145">
        <f t="shared" si="5"/>
        <v>31.4</v>
      </c>
      <c r="N98" s="145">
        <f t="shared" si="6"/>
        <v>13.8</v>
      </c>
    </row>
    <row r="99" spans="2:14">
      <c r="B99" s="140">
        <v>202</v>
      </c>
      <c r="C99" t="s">
        <v>350</v>
      </c>
      <c r="D99" t="s">
        <v>1206</v>
      </c>
      <c r="E99" t="s">
        <v>1218</v>
      </c>
      <c r="F99" t="s">
        <v>1219</v>
      </c>
      <c r="G99" s="514">
        <v>25.9</v>
      </c>
      <c r="H99" s="514">
        <v>33.799999999999997</v>
      </c>
      <c r="I99" s="514">
        <v>24.9</v>
      </c>
      <c r="J99" s="514">
        <v>15.4</v>
      </c>
      <c r="K99" s="514">
        <v>97.6</v>
      </c>
      <c r="M99" s="145">
        <f t="shared" si="5"/>
        <v>25.9</v>
      </c>
      <c r="N99" s="145">
        <f t="shared" si="6"/>
        <v>15.4</v>
      </c>
    </row>
    <row r="100" spans="2:14">
      <c r="B100" s="140">
        <v>215</v>
      </c>
      <c r="C100" t="s">
        <v>351</v>
      </c>
      <c r="D100" t="s">
        <v>1217</v>
      </c>
      <c r="E100" t="s">
        <v>1218</v>
      </c>
      <c r="F100" t="s">
        <v>1219</v>
      </c>
      <c r="G100" s="514">
        <v>8</v>
      </c>
      <c r="H100" s="514">
        <v>24</v>
      </c>
      <c r="I100" s="514">
        <v>38.200000000000003</v>
      </c>
      <c r="J100" s="514">
        <v>29.8</v>
      </c>
      <c r="K100" s="514">
        <v>98.6</v>
      </c>
      <c r="M100" s="145">
        <f t="shared" si="5"/>
        <v>8</v>
      </c>
      <c r="N100" s="145">
        <f t="shared" si="6"/>
        <v>29.8</v>
      </c>
    </row>
    <row r="101" spans="2:14">
      <c r="B101" s="140">
        <v>215</v>
      </c>
      <c r="C101" t="s">
        <v>351</v>
      </c>
      <c r="D101" t="s">
        <v>1206</v>
      </c>
      <c r="E101" t="s">
        <v>1218</v>
      </c>
      <c r="F101" t="s">
        <v>1219</v>
      </c>
      <c r="G101" s="514">
        <v>11.3</v>
      </c>
      <c r="H101" s="514">
        <v>34.5</v>
      </c>
      <c r="I101" s="514">
        <v>27.2</v>
      </c>
      <c r="J101" s="514">
        <v>26.9</v>
      </c>
      <c r="K101" s="514">
        <v>98.7</v>
      </c>
      <c r="M101" s="145">
        <f t="shared" si="5"/>
        <v>11.3</v>
      </c>
      <c r="N101" s="145">
        <f t="shared" si="6"/>
        <v>26.9</v>
      </c>
    </row>
    <row r="102" spans="2:14">
      <c r="B102" s="140">
        <v>221</v>
      </c>
      <c r="C102" t="s">
        <v>352</v>
      </c>
      <c r="D102" t="s">
        <v>1217</v>
      </c>
      <c r="E102" t="s">
        <v>1218</v>
      </c>
      <c r="F102" t="s">
        <v>1219</v>
      </c>
      <c r="G102" s="514">
        <v>15.9</v>
      </c>
      <c r="H102" s="514">
        <v>25.1</v>
      </c>
      <c r="I102" s="514">
        <v>28.7</v>
      </c>
      <c r="J102" s="514">
        <v>30.3</v>
      </c>
      <c r="K102" s="514">
        <v>98.5</v>
      </c>
      <c r="M102" s="145">
        <f t="shared" si="5"/>
        <v>15.9</v>
      </c>
      <c r="N102" s="145">
        <f t="shared" si="6"/>
        <v>30.3</v>
      </c>
    </row>
    <row r="103" spans="2:14">
      <c r="B103" s="140">
        <v>221</v>
      </c>
      <c r="C103" t="s">
        <v>352</v>
      </c>
      <c r="D103" t="s">
        <v>1206</v>
      </c>
      <c r="E103" t="s">
        <v>1218</v>
      </c>
      <c r="F103" t="s">
        <v>1219</v>
      </c>
      <c r="G103" s="514">
        <v>15.5</v>
      </c>
      <c r="H103" s="514">
        <v>29.7</v>
      </c>
      <c r="I103" s="514">
        <v>25.1</v>
      </c>
      <c r="J103" s="514">
        <v>29.7</v>
      </c>
      <c r="K103" s="514">
        <v>98.7</v>
      </c>
      <c r="M103" s="145">
        <f t="shared" si="5"/>
        <v>15.5</v>
      </c>
      <c r="N103" s="145">
        <f t="shared" si="6"/>
        <v>29.7</v>
      </c>
    </row>
    <row r="104" spans="2:14">
      <c r="B104" s="140">
        <v>231</v>
      </c>
      <c r="C104" t="s">
        <v>353</v>
      </c>
      <c r="D104" t="s">
        <v>1217</v>
      </c>
      <c r="E104" t="s">
        <v>1218</v>
      </c>
      <c r="F104" t="s">
        <v>1219</v>
      </c>
      <c r="G104" s="514">
        <v>9</v>
      </c>
      <c r="H104" s="514">
        <v>18.5</v>
      </c>
      <c r="I104" s="514">
        <v>29.9</v>
      </c>
      <c r="J104" s="514">
        <v>42.6</v>
      </c>
      <c r="K104" s="514">
        <v>99</v>
      </c>
      <c r="M104" s="145">
        <f t="shared" si="5"/>
        <v>9</v>
      </c>
      <c r="N104" s="145">
        <f t="shared" si="6"/>
        <v>42.6</v>
      </c>
    </row>
    <row r="105" spans="2:14">
      <c r="B105" s="140">
        <v>231</v>
      </c>
      <c r="C105" t="s">
        <v>353</v>
      </c>
      <c r="D105" t="s">
        <v>1206</v>
      </c>
      <c r="E105" t="s">
        <v>1218</v>
      </c>
      <c r="F105" t="s">
        <v>1219</v>
      </c>
      <c r="G105" s="514">
        <v>10.9</v>
      </c>
      <c r="H105" s="514">
        <v>26.3</v>
      </c>
      <c r="I105" s="514">
        <v>26.7</v>
      </c>
      <c r="J105" s="514">
        <v>36.1</v>
      </c>
      <c r="K105" s="514">
        <v>99.1</v>
      </c>
      <c r="M105" s="145">
        <f t="shared" si="5"/>
        <v>10.9</v>
      </c>
      <c r="N105" s="145">
        <f t="shared" si="6"/>
        <v>36.1</v>
      </c>
    </row>
    <row r="106" spans="2:14">
      <c r="B106" s="140">
        <v>232</v>
      </c>
      <c r="C106" t="s">
        <v>354</v>
      </c>
      <c r="D106" t="s">
        <v>1217</v>
      </c>
      <c r="E106" t="s">
        <v>1218</v>
      </c>
      <c r="F106" t="s">
        <v>1219</v>
      </c>
      <c r="G106" s="514">
        <v>4.8</v>
      </c>
      <c r="H106" s="514">
        <v>12.2</v>
      </c>
      <c r="I106" s="514">
        <v>34.700000000000003</v>
      </c>
      <c r="J106" s="514">
        <v>48.4</v>
      </c>
      <c r="K106" s="514">
        <v>99.8</v>
      </c>
      <c r="M106" s="145">
        <f t="shared" si="5"/>
        <v>4.8</v>
      </c>
      <c r="N106" s="145">
        <f t="shared" si="6"/>
        <v>48.4</v>
      </c>
    </row>
    <row r="107" spans="2:14">
      <c r="B107" s="140">
        <v>232</v>
      </c>
      <c r="C107" t="s">
        <v>354</v>
      </c>
      <c r="D107" t="s">
        <v>1206</v>
      </c>
      <c r="E107" t="s">
        <v>1218</v>
      </c>
      <c r="F107" t="s">
        <v>1219</v>
      </c>
      <c r="G107" s="514">
        <v>8.6</v>
      </c>
      <c r="H107" s="514">
        <v>26</v>
      </c>
      <c r="I107" s="514">
        <v>29.1</v>
      </c>
      <c r="J107" s="514">
        <v>36.299999999999997</v>
      </c>
      <c r="K107" s="514">
        <v>99.7</v>
      </c>
      <c r="M107" s="145">
        <f t="shared" si="5"/>
        <v>8.6</v>
      </c>
      <c r="N107" s="145">
        <f t="shared" si="6"/>
        <v>36.299999999999997</v>
      </c>
    </row>
    <row r="108" spans="2:14">
      <c r="B108" s="140">
        <v>233</v>
      </c>
      <c r="C108" t="s">
        <v>355</v>
      </c>
      <c r="D108" t="s">
        <v>1217</v>
      </c>
      <c r="E108" t="s">
        <v>1218</v>
      </c>
      <c r="F108" t="s">
        <v>1219</v>
      </c>
      <c r="G108" s="514">
        <v>7.5</v>
      </c>
      <c r="H108" s="514">
        <v>17.2</v>
      </c>
      <c r="I108" s="514">
        <v>32.200000000000003</v>
      </c>
      <c r="J108" s="514">
        <v>43.1</v>
      </c>
      <c r="K108" s="514">
        <v>100</v>
      </c>
      <c r="M108" s="145">
        <f t="shared" si="5"/>
        <v>7.5</v>
      </c>
      <c r="N108" s="145">
        <f t="shared" si="6"/>
        <v>43.1</v>
      </c>
    </row>
    <row r="109" spans="2:14">
      <c r="B109" s="140">
        <v>233</v>
      </c>
      <c r="C109" t="s">
        <v>355</v>
      </c>
      <c r="D109" t="s">
        <v>1206</v>
      </c>
      <c r="E109" t="s">
        <v>1218</v>
      </c>
      <c r="F109" t="s">
        <v>1219</v>
      </c>
      <c r="G109" s="514">
        <v>12.1</v>
      </c>
      <c r="H109" s="514">
        <v>32.9</v>
      </c>
      <c r="I109" s="514">
        <v>25.4</v>
      </c>
      <c r="J109" s="514">
        <v>29.5</v>
      </c>
      <c r="K109" s="514">
        <v>99.4</v>
      </c>
      <c r="M109" s="145">
        <f t="shared" si="5"/>
        <v>12.1</v>
      </c>
      <c r="N109" s="145">
        <f t="shared" si="6"/>
        <v>29.5</v>
      </c>
    </row>
    <row r="110" spans="2:14">
      <c r="B110" s="140">
        <v>234</v>
      </c>
      <c r="C110" t="s">
        <v>356</v>
      </c>
      <c r="D110" t="s">
        <v>1217</v>
      </c>
      <c r="E110" t="s">
        <v>1218</v>
      </c>
      <c r="F110" t="s">
        <v>1219</v>
      </c>
      <c r="G110" s="514" t="s">
        <v>1220</v>
      </c>
      <c r="H110" s="514" t="s">
        <v>1220</v>
      </c>
      <c r="I110" s="514">
        <v>44.6</v>
      </c>
      <c r="J110" s="514">
        <v>24.3</v>
      </c>
      <c r="K110" s="514">
        <v>100</v>
      </c>
      <c r="M110" s="145">
        <f t="shared" si="5"/>
        <v>5</v>
      </c>
      <c r="N110" s="145">
        <f t="shared" si="6"/>
        <v>24.3</v>
      </c>
    </row>
    <row r="111" spans="2:14">
      <c r="B111" s="140">
        <v>234</v>
      </c>
      <c r="C111" t="s">
        <v>356</v>
      </c>
      <c r="D111" t="s">
        <v>1206</v>
      </c>
      <c r="E111" t="s">
        <v>1218</v>
      </c>
      <c r="F111" t="s">
        <v>1219</v>
      </c>
      <c r="G111" s="514" t="s">
        <v>1220</v>
      </c>
      <c r="H111" s="514">
        <v>50</v>
      </c>
      <c r="I111" s="514" t="s">
        <v>1220</v>
      </c>
      <c r="J111" s="514">
        <v>23</v>
      </c>
      <c r="K111" s="514">
        <v>100</v>
      </c>
      <c r="M111" s="145">
        <f t="shared" si="5"/>
        <v>5</v>
      </c>
      <c r="N111" s="145">
        <f t="shared" si="6"/>
        <v>23</v>
      </c>
    </row>
    <row r="112" spans="2:14">
      <c r="B112" s="140">
        <v>242</v>
      </c>
      <c r="C112" t="s">
        <v>357</v>
      </c>
      <c r="D112" t="s">
        <v>1217</v>
      </c>
      <c r="E112" t="s">
        <v>1218</v>
      </c>
      <c r="F112" t="s">
        <v>1219</v>
      </c>
      <c r="G112" s="514">
        <v>20.8</v>
      </c>
      <c r="H112" s="514">
        <v>30.2</v>
      </c>
      <c r="I112" s="514">
        <v>29.7</v>
      </c>
      <c r="J112" s="514">
        <v>19.3</v>
      </c>
      <c r="K112" s="514">
        <v>98.5</v>
      </c>
      <c r="M112" s="145">
        <f t="shared" si="5"/>
        <v>20.8</v>
      </c>
      <c r="N112" s="145">
        <f t="shared" si="6"/>
        <v>19.3</v>
      </c>
    </row>
    <row r="113" spans="2:14">
      <c r="B113" s="140">
        <v>242</v>
      </c>
      <c r="C113" t="s">
        <v>357</v>
      </c>
      <c r="D113" t="s">
        <v>1206</v>
      </c>
      <c r="E113" t="s">
        <v>1218</v>
      </c>
      <c r="F113" t="s">
        <v>1219</v>
      </c>
      <c r="G113" s="514">
        <v>14.4</v>
      </c>
      <c r="H113" s="514">
        <v>39.1</v>
      </c>
      <c r="I113" s="514">
        <v>31.2</v>
      </c>
      <c r="J113" s="514">
        <v>15.3</v>
      </c>
      <c r="K113" s="514">
        <v>98.5</v>
      </c>
      <c r="M113" s="145">
        <f t="shared" si="5"/>
        <v>14.4</v>
      </c>
      <c r="N113" s="145">
        <f t="shared" si="6"/>
        <v>15.3</v>
      </c>
    </row>
    <row r="114" spans="2:14">
      <c r="B114" s="140">
        <v>243</v>
      </c>
      <c r="C114" t="s">
        <v>358</v>
      </c>
      <c r="D114" t="s">
        <v>1217</v>
      </c>
      <c r="E114" t="s">
        <v>1218</v>
      </c>
      <c r="F114" t="s">
        <v>1219</v>
      </c>
      <c r="G114" s="514" t="s">
        <v>1220</v>
      </c>
      <c r="H114" s="514">
        <v>25</v>
      </c>
      <c r="I114" s="514">
        <v>46.9</v>
      </c>
      <c r="J114" s="514" t="s">
        <v>1220</v>
      </c>
      <c r="K114" s="514">
        <v>98.5</v>
      </c>
      <c r="M114" s="145">
        <f t="shared" si="5"/>
        <v>5</v>
      </c>
      <c r="N114" s="145">
        <f t="shared" si="6"/>
        <v>5</v>
      </c>
    </row>
    <row r="115" spans="2:14">
      <c r="B115" s="140">
        <v>243</v>
      </c>
      <c r="C115" t="s">
        <v>358</v>
      </c>
      <c r="D115" t="s">
        <v>1206</v>
      </c>
      <c r="E115" t="s">
        <v>1218</v>
      </c>
      <c r="F115" t="s">
        <v>1219</v>
      </c>
      <c r="G115" s="514" t="s">
        <v>1220</v>
      </c>
      <c r="H115" s="514">
        <v>39.1</v>
      </c>
      <c r="I115" s="514">
        <v>34.4</v>
      </c>
      <c r="J115" s="514" t="s">
        <v>1220</v>
      </c>
      <c r="K115" s="514">
        <v>98.5</v>
      </c>
      <c r="M115" s="145">
        <f t="shared" si="5"/>
        <v>5</v>
      </c>
      <c r="N115" s="145">
        <f t="shared" si="6"/>
        <v>5</v>
      </c>
    </row>
    <row r="116" spans="2:14">
      <c r="B116" s="140">
        <v>244</v>
      </c>
      <c r="C116" t="s">
        <v>359</v>
      </c>
      <c r="D116" t="s">
        <v>1217</v>
      </c>
      <c r="E116" t="s">
        <v>1218</v>
      </c>
      <c r="F116" t="s">
        <v>1219</v>
      </c>
      <c r="G116" s="514">
        <v>11.6</v>
      </c>
      <c r="H116" s="514">
        <v>29.1</v>
      </c>
      <c r="I116" s="514">
        <v>34.799999999999997</v>
      </c>
      <c r="J116" s="514">
        <v>24.4</v>
      </c>
      <c r="K116" s="514">
        <v>100</v>
      </c>
      <c r="M116" s="145">
        <f t="shared" si="5"/>
        <v>11.6</v>
      </c>
      <c r="N116" s="145">
        <f t="shared" si="6"/>
        <v>24.4</v>
      </c>
    </row>
    <row r="117" spans="2:14">
      <c r="B117" s="140">
        <v>244</v>
      </c>
      <c r="C117" t="s">
        <v>359</v>
      </c>
      <c r="D117" t="s">
        <v>1206</v>
      </c>
      <c r="E117" t="s">
        <v>1218</v>
      </c>
      <c r="F117" t="s">
        <v>1219</v>
      </c>
      <c r="G117" s="514">
        <v>16.2</v>
      </c>
      <c r="H117" s="514">
        <v>34</v>
      </c>
      <c r="I117" s="514">
        <v>30.5</v>
      </c>
      <c r="J117" s="514">
        <v>19.399999999999999</v>
      </c>
      <c r="K117" s="514">
        <v>100</v>
      </c>
      <c r="M117" s="145">
        <f t="shared" si="5"/>
        <v>16.2</v>
      </c>
      <c r="N117" s="145">
        <f t="shared" si="6"/>
        <v>19.399999999999999</v>
      </c>
    </row>
    <row r="118" spans="2:14">
      <c r="B118" s="140">
        <v>251</v>
      </c>
      <c r="C118" t="s">
        <v>360</v>
      </c>
      <c r="D118" t="s">
        <v>1217</v>
      </c>
      <c r="E118" t="s">
        <v>1218</v>
      </c>
      <c r="F118" t="s">
        <v>1219</v>
      </c>
      <c r="G118" s="514">
        <v>20</v>
      </c>
      <c r="H118" s="514">
        <v>25.6</v>
      </c>
      <c r="I118" s="514">
        <v>30.5</v>
      </c>
      <c r="J118" s="514">
        <v>23.9</v>
      </c>
      <c r="K118" s="514">
        <v>99.1</v>
      </c>
      <c r="M118" s="145">
        <f t="shared" si="5"/>
        <v>20</v>
      </c>
      <c r="N118" s="145">
        <f t="shared" si="6"/>
        <v>23.9</v>
      </c>
    </row>
    <row r="119" spans="2:14">
      <c r="B119" s="140">
        <v>251</v>
      </c>
      <c r="C119" t="s">
        <v>360</v>
      </c>
      <c r="D119" t="s">
        <v>1206</v>
      </c>
      <c r="E119" t="s">
        <v>1218</v>
      </c>
      <c r="F119" t="s">
        <v>1219</v>
      </c>
      <c r="G119" s="514">
        <v>17.7</v>
      </c>
      <c r="H119" s="514">
        <v>33.200000000000003</v>
      </c>
      <c r="I119" s="514">
        <v>25.6</v>
      </c>
      <c r="J119" s="514">
        <v>23.5</v>
      </c>
      <c r="K119" s="514">
        <v>99</v>
      </c>
      <c r="M119" s="145">
        <f t="shared" si="5"/>
        <v>17.7</v>
      </c>
      <c r="N119" s="145">
        <f t="shared" si="6"/>
        <v>23.5</v>
      </c>
    </row>
    <row r="120" spans="2:14">
      <c r="B120" s="140">
        <v>252</v>
      </c>
      <c r="C120" t="s">
        <v>361</v>
      </c>
      <c r="D120" t="s">
        <v>1217</v>
      </c>
      <c r="E120" t="s">
        <v>1218</v>
      </c>
      <c r="F120" t="s">
        <v>1219</v>
      </c>
      <c r="G120" s="514">
        <v>10.5</v>
      </c>
      <c r="H120" s="514">
        <v>27.2</v>
      </c>
      <c r="I120" s="514">
        <v>29.2</v>
      </c>
      <c r="J120" s="514">
        <v>33.1</v>
      </c>
      <c r="K120" s="514">
        <v>96.6</v>
      </c>
      <c r="M120" s="145">
        <f t="shared" si="5"/>
        <v>10.5</v>
      </c>
      <c r="N120" s="145">
        <f t="shared" si="6"/>
        <v>33.1</v>
      </c>
    </row>
    <row r="121" spans="2:14">
      <c r="B121" s="140">
        <v>252</v>
      </c>
      <c r="C121" t="s">
        <v>361</v>
      </c>
      <c r="D121" t="s">
        <v>1206</v>
      </c>
      <c r="E121" t="s">
        <v>1218</v>
      </c>
      <c r="F121" t="s">
        <v>1219</v>
      </c>
      <c r="G121" s="514">
        <v>20.9</v>
      </c>
      <c r="H121" s="514">
        <v>34.9</v>
      </c>
      <c r="I121" s="514">
        <v>23.6</v>
      </c>
      <c r="J121" s="514">
        <v>20.5</v>
      </c>
      <c r="K121" s="514">
        <v>97</v>
      </c>
      <c r="M121" s="145">
        <f t="shared" si="5"/>
        <v>20.9</v>
      </c>
      <c r="N121" s="145">
        <f t="shared" si="6"/>
        <v>20.5</v>
      </c>
    </row>
    <row r="122" spans="2:14">
      <c r="B122" s="140">
        <v>253</v>
      </c>
      <c r="C122" t="s">
        <v>362</v>
      </c>
      <c r="D122" t="s">
        <v>1217</v>
      </c>
      <c r="E122" t="s">
        <v>1218</v>
      </c>
      <c r="F122" t="s">
        <v>1219</v>
      </c>
      <c r="G122" s="514">
        <v>20.399999999999999</v>
      </c>
      <c r="H122" s="514">
        <v>27.2</v>
      </c>
      <c r="I122" s="514">
        <v>33.200000000000003</v>
      </c>
      <c r="J122" s="514">
        <v>19.2</v>
      </c>
      <c r="K122" s="514">
        <v>98.8</v>
      </c>
      <c r="M122" s="145">
        <f t="shared" si="5"/>
        <v>20.399999999999999</v>
      </c>
      <c r="N122" s="145">
        <f t="shared" si="6"/>
        <v>19.2</v>
      </c>
    </row>
    <row r="123" spans="2:14">
      <c r="B123" s="140">
        <v>253</v>
      </c>
      <c r="C123" t="s">
        <v>362</v>
      </c>
      <c r="D123" t="s">
        <v>1206</v>
      </c>
      <c r="E123" t="s">
        <v>1218</v>
      </c>
      <c r="F123" t="s">
        <v>1219</v>
      </c>
      <c r="G123" s="514">
        <v>16.100000000000001</v>
      </c>
      <c r="H123" s="514">
        <v>36.700000000000003</v>
      </c>
      <c r="I123" s="514">
        <v>29.3</v>
      </c>
      <c r="J123" s="514">
        <v>17.899999999999999</v>
      </c>
      <c r="K123" s="514">
        <v>99.1</v>
      </c>
      <c r="M123" s="145">
        <f t="shared" si="5"/>
        <v>16.100000000000001</v>
      </c>
      <c r="N123" s="145">
        <f t="shared" si="6"/>
        <v>17.899999999999999</v>
      </c>
    </row>
    <row r="124" spans="2:14">
      <c r="B124" s="140">
        <v>261</v>
      </c>
      <c r="C124" t="s">
        <v>363</v>
      </c>
      <c r="D124" t="s">
        <v>1217</v>
      </c>
      <c r="E124" t="s">
        <v>1218</v>
      </c>
      <c r="F124" t="s">
        <v>1219</v>
      </c>
      <c r="G124" s="514">
        <v>7.4</v>
      </c>
      <c r="H124" s="514">
        <v>17.8</v>
      </c>
      <c r="I124" s="514">
        <v>34.1</v>
      </c>
      <c r="J124" s="514">
        <v>40.6</v>
      </c>
      <c r="K124" s="514">
        <v>99.1</v>
      </c>
      <c r="M124" s="145">
        <f t="shared" si="5"/>
        <v>7.4</v>
      </c>
      <c r="N124" s="145">
        <f t="shared" si="6"/>
        <v>40.6</v>
      </c>
    </row>
    <row r="125" spans="2:14">
      <c r="B125" s="140">
        <v>261</v>
      </c>
      <c r="C125" t="s">
        <v>363</v>
      </c>
      <c r="D125" t="s">
        <v>1206</v>
      </c>
      <c r="E125" t="s">
        <v>1218</v>
      </c>
      <c r="F125" t="s">
        <v>1219</v>
      </c>
      <c r="G125" s="514">
        <v>11.4</v>
      </c>
      <c r="H125" s="514">
        <v>29.5</v>
      </c>
      <c r="I125" s="514">
        <v>28.2</v>
      </c>
      <c r="J125" s="514">
        <v>30.9</v>
      </c>
      <c r="K125" s="514">
        <v>99</v>
      </c>
      <c r="M125" s="145">
        <f t="shared" si="5"/>
        <v>11.4</v>
      </c>
      <c r="N125" s="145">
        <f t="shared" si="6"/>
        <v>30.9</v>
      </c>
    </row>
    <row r="126" spans="2:14">
      <c r="B126" s="140">
        <v>262</v>
      </c>
      <c r="C126" t="s">
        <v>364</v>
      </c>
      <c r="D126" t="s">
        <v>1217</v>
      </c>
      <c r="E126" t="s">
        <v>1218</v>
      </c>
      <c r="F126" t="s">
        <v>1219</v>
      </c>
      <c r="G126" s="514">
        <v>9.6</v>
      </c>
      <c r="H126" s="514">
        <v>16.7</v>
      </c>
      <c r="I126" s="514">
        <v>33.700000000000003</v>
      </c>
      <c r="J126" s="514">
        <v>39.9</v>
      </c>
      <c r="K126" s="514">
        <v>100</v>
      </c>
      <c r="M126" s="145">
        <f t="shared" si="5"/>
        <v>9.6</v>
      </c>
      <c r="N126" s="145">
        <f t="shared" si="6"/>
        <v>39.9</v>
      </c>
    </row>
    <row r="127" spans="2:14">
      <c r="B127" s="140">
        <v>262</v>
      </c>
      <c r="C127" t="s">
        <v>364</v>
      </c>
      <c r="D127" t="s">
        <v>1206</v>
      </c>
      <c r="E127" t="s">
        <v>1218</v>
      </c>
      <c r="F127" t="s">
        <v>1219</v>
      </c>
      <c r="G127" s="514">
        <v>9</v>
      </c>
      <c r="H127" s="514">
        <v>20.7</v>
      </c>
      <c r="I127" s="514">
        <v>31.3</v>
      </c>
      <c r="J127" s="514">
        <v>39</v>
      </c>
      <c r="K127" s="514">
        <v>99.1</v>
      </c>
      <c r="M127" s="145">
        <f t="shared" si="5"/>
        <v>9</v>
      </c>
      <c r="N127" s="145">
        <f t="shared" si="6"/>
        <v>39</v>
      </c>
    </row>
    <row r="128" spans="2:14">
      <c r="B128" s="140">
        <v>271</v>
      </c>
      <c r="C128" t="s">
        <v>951</v>
      </c>
      <c r="D128" t="s">
        <v>1217</v>
      </c>
      <c r="E128" t="s">
        <v>1218</v>
      </c>
      <c r="F128" t="s">
        <v>1219</v>
      </c>
      <c r="G128" s="514">
        <v>23.8</v>
      </c>
      <c r="H128" s="514">
        <v>26.9</v>
      </c>
      <c r="I128" s="514">
        <v>28.7</v>
      </c>
      <c r="J128" s="514">
        <v>20.7</v>
      </c>
      <c r="K128" s="514">
        <v>99.4</v>
      </c>
      <c r="M128" s="145">
        <f t="shared" si="5"/>
        <v>23.8</v>
      </c>
      <c r="N128" s="145">
        <f t="shared" si="6"/>
        <v>20.7</v>
      </c>
    </row>
    <row r="129" spans="2:14">
      <c r="B129" s="140">
        <v>271</v>
      </c>
      <c r="C129" t="s">
        <v>951</v>
      </c>
      <c r="D129" t="s">
        <v>1206</v>
      </c>
      <c r="E129" t="s">
        <v>1218</v>
      </c>
      <c r="F129" t="s">
        <v>1219</v>
      </c>
      <c r="G129" s="514">
        <v>26.4</v>
      </c>
      <c r="H129" s="514">
        <v>36</v>
      </c>
      <c r="I129" s="514">
        <v>21.9</v>
      </c>
      <c r="J129" s="514">
        <v>15.8</v>
      </c>
      <c r="K129" s="514">
        <v>99.4</v>
      </c>
      <c r="M129" s="145">
        <f t="shared" si="5"/>
        <v>26.4</v>
      </c>
      <c r="N129" s="145">
        <f t="shared" si="6"/>
        <v>15.8</v>
      </c>
    </row>
    <row r="130" spans="2:14">
      <c r="B130" s="140">
        <v>272</v>
      </c>
      <c r="C130" t="s">
        <v>366</v>
      </c>
      <c r="D130" t="s">
        <v>1217</v>
      </c>
      <c r="E130" t="s">
        <v>1218</v>
      </c>
      <c r="F130" t="s">
        <v>1219</v>
      </c>
      <c r="G130" s="514">
        <v>20.5</v>
      </c>
      <c r="H130" s="514">
        <v>26.4</v>
      </c>
      <c r="I130" s="514">
        <v>31.1</v>
      </c>
      <c r="J130" s="514">
        <v>22</v>
      </c>
      <c r="K130" s="514">
        <v>99.4</v>
      </c>
      <c r="M130" s="145">
        <f t="shared" si="5"/>
        <v>20.5</v>
      </c>
      <c r="N130" s="145">
        <f t="shared" si="6"/>
        <v>22</v>
      </c>
    </row>
    <row r="131" spans="2:14">
      <c r="B131" s="140">
        <v>272</v>
      </c>
      <c r="C131" t="s">
        <v>366</v>
      </c>
      <c r="D131" t="s">
        <v>1206</v>
      </c>
      <c r="E131" t="s">
        <v>1218</v>
      </c>
      <c r="F131" t="s">
        <v>1219</v>
      </c>
      <c r="G131" s="514">
        <v>23</v>
      </c>
      <c r="H131" s="514">
        <v>36.200000000000003</v>
      </c>
      <c r="I131" s="514">
        <v>24.7</v>
      </c>
      <c r="J131" s="514">
        <v>16</v>
      </c>
      <c r="K131" s="514">
        <v>99.3</v>
      </c>
      <c r="M131" s="145">
        <f t="shared" si="5"/>
        <v>23</v>
      </c>
      <c r="N131" s="145">
        <f t="shared" si="6"/>
        <v>16</v>
      </c>
    </row>
    <row r="132" spans="2:14">
      <c r="B132" s="140">
        <v>273</v>
      </c>
      <c r="C132" t="s">
        <v>367</v>
      </c>
      <c r="D132" t="s">
        <v>1217</v>
      </c>
      <c r="E132" t="s">
        <v>1218</v>
      </c>
      <c r="F132" t="s">
        <v>1219</v>
      </c>
      <c r="G132" s="514">
        <v>20.8</v>
      </c>
      <c r="H132" s="514">
        <v>28.8</v>
      </c>
      <c r="I132" s="514">
        <v>30.2</v>
      </c>
      <c r="J132" s="514">
        <v>20.100000000000001</v>
      </c>
      <c r="K132" s="514">
        <v>99.3</v>
      </c>
      <c r="M132" s="145">
        <f t="shared" si="5"/>
        <v>20.8</v>
      </c>
      <c r="N132" s="145">
        <f t="shared" si="6"/>
        <v>20.100000000000001</v>
      </c>
    </row>
    <row r="133" spans="2:14">
      <c r="B133" s="140">
        <v>273</v>
      </c>
      <c r="C133" t="s">
        <v>367</v>
      </c>
      <c r="D133" t="s">
        <v>1206</v>
      </c>
      <c r="E133" t="s">
        <v>1218</v>
      </c>
      <c r="F133" t="s">
        <v>1219</v>
      </c>
      <c r="G133" s="514">
        <v>19.3</v>
      </c>
      <c r="H133" s="514">
        <v>36.1</v>
      </c>
      <c r="I133" s="514">
        <v>26.9</v>
      </c>
      <c r="J133" s="514">
        <v>17.7</v>
      </c>
      <c r="K133" s="514">
        <v>99.5</v>
      </c>
      <c r="M133" s="145">
        <f t="shared" ref="M133:M196" si="7">IF(ISNUMBER(G133), G133, 5)</f>
        <v>19.3</v>
      </c>
      <c r="N133" s="145">
        <f t="shared" ref="N133:N196" si="8">IF(ISNUMBER(J133), J133, 5)</f>
        <v>17.7</v>
      </c>
    </row>
    <row r="134" spans="2:14">
      <c r="B134" s="140">
        <v>274</v>
      </c>
      <c r="C134" t="s">
        <v>368</v>
      </c>
      <c r="D134" t="s">
        <v>1217</v>
      </c>
      <c r="E134" t="s">
        <v>1218</v>
      </c>
      <c r="F134" t="s">
        <v>1219</v>
      </c>
      <c r="G134" s="514" t="s">
        <v>1220</v>
      </c>
      <c r="H134" s="514" t="s">
        <v>1220</v>
      </c>
      <c r="I134" s="514">
        <v>48.8</v>
      </c>
      <c r="J134" s="514">
        <v>31</v>
      </c>
      <c r="K134" s="514">
        <v>93.3</v>
      </c>
      <c r="M134" s="145">
        <f t="shared" si="7"/>
        <v>5</v>
      </c>
      <c r="N134" s="145">
        <f t="shared" si="8"/>
        <v>31</v>
      </c>
    </row>
    <row r="135" spans="2:14">
      <c r="B135" s="140">
        <v>274</v>
      </c>
      <c r="C135" t="s">
        <v>368</v>
      </c>
      <c r="D135" t="s">
        <v>1206</v>
      </c>
      <c r="E135" t="s">
        <v>1218</v>
      </c>
      <c r="F135" t="s">
        <v>1219</v>
      </c>
      <c r="G135" s="514" t="s">
        <v>1220</v>
      </c>
      <c r="H135" s="514">
        <v>39.299999999999997</v>
      </c>
      <c r="I135" s="514">
        <v>32.1</v>
      </c>
      <c r="J135" s="514" t="s">
        <v>1220</v>
      </c>
      <c r="K135" s="514">
        <v>93.3</v>
      </c>
      <c r="M135" s="145">
        <f t="shared" si="7"/>
        <v>5</v>
      </c>
      <c r="N135" s="145">
        <f t="shared" si="8"/>
        <v>5</v>
      </c>
    </row>
    <row r="136" spans="2:14">
      <c r="B136" s="140">
        <v>281</v>
      </c>
      <c r="C136" t="s">
        <v>369</v>
      </c>
      <c r="D136" t="s">
        <v>1217</v>
      </c>
      <c r="E136" t="s">
        <v>1218</v>
      </c>
      <c r="F136" t="s">
        <v>1219</v>
      </c>
      <c r="G136" s="514">
        <v>26.9</v>
      </c>
      <c r="H136" s="514">
        <v>29.5</v>
      </c>
      <c r="I136" s="514">
        <v>26.9</v>
      </c>
      <c r="J136" s="514">
        <v>16.600000000000001</v>
      </c>
      <c r="K136" s="514">
        <v>99.8</v>
      </c>
      <c r="M136" s="145">
        <f t="shared" si="7"/>
        <v>26.9</v>
      </c>
      <c r="N136" s="145">
        <f t="shared" si="8"/>
        <v>16.600000000000001</v>
      </c>
    </row>
    <row r="137" spans="2:14">
      <c r="B137" s="140">
        <v>281</v>
      </c>
      <c r="C137" t="s">
        <v>369</v>
      </c>
      <c r="D137" t="s">
        <v>1206</v>
      </c>
      <c r="E137" t="s">
        <v>1218</v>
      </c>
      <c r="F137" t="s">
        <v>1219</v>
      </c>
      <c r="G137" s="514">
        <v>31.5</v>
      </c>
      <c r="H137" s="514">
        <v>36.6</v>
      </c>
      <c r="I137" s="514">
        <v>16.399999999999999</v>
      </c>
      <c r="J137" s="514">
        <v>15.4</v>
      </c>
      <c r="K137" s="514">
        <v>99.8</v>
      </c>
      <c r="M137" s="145">
        <f t="shared" si="7"/>
        <v>31.5</v>
      </c>
      <c r="N137" s="145">
        <f t="shared" si="8"/>
        <v>15.4</v>
      </c>
    </row>
    <row r="138" spans="2:14">
      <c r="B138" s="140">
        <v>282</v>
      </c>
      <c r="C138" t="s">
        <v>370</v>
      </c>
      <c r="D138" t="s">
        <v>1217</v>
      </c>
      <c r="E138" t="s">
        <v>1218</v>
      </c>
      <c r="F138" t="s">
        <v>1219</v>
      </c>
      <c r="G138" s="514">
        <v>21.8</v>
      </c>
      <c r="H138" s="514">
        <v>33.5</v>
      </c>
      <c r="I138" s="514">
        <v>31.2</v>
      </c>
      <c r="J138" s="514">
        <v>13.5</v>
      </c>
      <c r="K138" s="514">
        <v>99.4</v>
      </c>
      <c r="M138" s="145">
        <f t="shared" si="7"/>
        <v>21.8</v>
      </c>
      <c r="N138" s="145">
        <f t="shared" si="8"/>
        <v>13.5</v>
      </c>
    </row>
    <row r="139" spans="2:14">
      <c r="B139" s="140">
        <v>282</v>
      </c>
      <c r="C139" t="s">
        <v>370</v>
      </c>
      <c r="D139" t="s">
        <v>1206</v>
      </c>
      <c r="E139" t="s">
        <v>1218</v>
      </c>
      <c r="F139" t="s">
        <v>1219</v>
      </c>
      <c r="G139" s="514">
        <v>27.1</v>
      </c>
      <c r="H139" s="514">
        <v>44.1</v>
      </c>
      <c r="I139" s="514">
        <v>18.2</v>
      </c>
      <c r="J139" s="514">
        <v>10.6</v>
      </c>
      <c r="K139" s="514">
        <v>99.4</v>
      </c>
      <c r="M139" s="145">
        <f t="shared" si="7"/>
        <v>27.1</v>
      </c>
      <c r="N139" s="145">
        <f t="shared" si="8"/>
        <v>10.6</v>
      </c>
    </row>
    <row r="140" spans="2:14">
      <c r="B140" s="140">
        <v>283</v>
      </c>
      <c r="C140" t="s">
        <v>371</v>
      </c>
      <c r="D140" t="s">
        <v>1217</v>
      </c>
      <c r="E140" t="s">
        <v>1218</v>
      </c>
      <c r="F140" t="s">
        <v>1219</v>
      </c>
      <c r="G140" s="514">
        <v>16.5</v>
      </c>
      <c r="H140" s="514">
        <v>24.8</v>
      </c>
      <c r="I140" s="514">
        <v>43.8</v>
      </c>
      <c r="J140" s="514">
        <v>14.9</v>
      </c>
      <c r="K140" s="514">
        <v>99.2</v>
      </c>
      <c r="M140" s="145">
        <f t="shared" si="7"/>
        <v>16.5</v>
      </c>
      <c r="N140" s="145">
        <f t="shared" si="8"/>
        <v>14.9</v>
      </c>
    </row>
    <row r="141" spans="2:14">
      <c r="B141" s="140">
        <v>283</v>
      </c>
      <c r="C141" t="s">
        <v>371</v>
      </c>
      <c r="D141" t="s">
        <v>1206</v>
      </c>
      <c r="E141" t="s">
        <v>1218</v>
      </c>
      <c r="F141" t="s">
        <v>1219</v>
      </c>
      <c r="G141" s="514">
        <v>17.2</v>
      </c>
      <c r="H141" s="514">
        <v>35.200000000000003</v>
      </c>
      <c r="I141" s="514">
        <v>27.9</v>
      </c>
      <c r="J141" s="514">
        <v>19.7</v>
      </c>
      <c r="K141" s="514">
        <v>100</v>
      </c>
      <c r="M141" s="145">
        <f t="shared" si="7"/>
        <v>17.2</v>
      </c>
      <c r="N141" s="145">
        <f t="shared" si="8"/>
        <v>19.7</v>
      </c>
    </row>
    <row r="142" spans="2:14">
      <c r="B142" s="140">
        <v>285</v>
      </c>
      <c r="C142" t="s">
        <v>372</v>
      </c>
      <c r="D142" t="s">
        <v>1217</v>
      </c>
      <c r="E142" t="s">
        <v>1218</v>
      </c>
      <c r="F142" t="s">
        <v>1219</v>
      </c>
      <c r="G142" s="514">
        <v>8.6999999999999993</v>
      </c>
      <c r="H142" s="514">
        <v>16.5</v>
      </c>
      <c r="I142" s="514">
        <v>34.200000000000003</v>
      </c>
      <c r="J142" s="514">
        <v>40.700000000000003</v>
      </c>
      <c r="K142" s="514">
        <v>95.5</v>
      </c>
      <c r="M142" s="145">
        <f t="shared" si="7"/>
        <v>8.6999999999999993</v>
      </c>
      <c r="N142" s="145">
        <f t="shared" si="8"/>
        <v>40.700000000000003</v>
      </c>
    </row>
    <row r="143" spans="2:14">
      <c r="B143" s="140">
        <v>285</v>
      </c>
      <c r="C143" t="s">
        <v>372</v>
      </c>
      <c r="D143" t="s">
        <v>1206</v>
      </c>
      <c r="E143" t="s">
        <v>1218</v>
      </c>
      <c r="F143" t="s">
        <v>1219</v>
      </c>
      <c r="G143" s="514">
        <v>13.4</v>
      </c>
      <c r="H143" s="514">
        <v>33.299999999999997</v>
      </c>
      <c r="I143" s="514">
        <v>32</v>
      </c>
      <c r="J143" s="514">
        <v>21.2</v>
      </c>
      <c r="K143" s="514">
        <v>95.5</v>
      </c>
      <c r="M143" s="145">
        <f t="shared" si="7"/>
        <v>13.4</v>
      </c>
      <c r="N143" s="145">
        <f t="shared" si="8"/>
        <v>21.2</v>
      </c>
    </row>
    <row r="144" spans="2:14">
      <c r="B144" s="140">
        <v>287</v>
      </c>
      <c r="C144" t="s">
        <v>373</v>
      </c>
      <c r="D144" t="s">
        <v>1217</v>
      </c>
      <c r="E144" t="s">
        <v>1218</v>
      </c>
      <c r="F144" t="s">
        <v>1219</v>
      </c>
      <c r="G144" s="514">
        <v>38.200000000000003</v>
      </c>
      <c r="H144" s="514" t="s">
        <v>1220</v>
      </c>
      <c r="I144" s="514">
        <v>29.4</v>
      </c>
      <c r="J144" s="514" t="s">
        <v>1220</v>
      </c>
      <c r="K144" s="514">
        <v>93.8</v>
      </c>
      <c r="M144" s="145">
        <f t="shared" si="7"/>
        <v>38.200000000000003</v>
      </c>
      <c r="N144" s="145">
        <f t="shared" si="8"/>
        <v>5</v>
      </c>
    </row>
    <row r="145" spans="2:471">
      <c r="B145" s="140">
        <v>287</v>
      </c>
      <c r="C145" t="s">
        <v>373</v>
      </c>
      <c r="D145" t="s">
        <v>1206</v>
      </c>
      <c r="E145" t="s">
        <v>1218</v>
      </c>
      <c r="F145" t="s">
        <v>1219</v>
      </c>
      <c r="G145" s="514">
        <v>28.7</v>
      </c>
      <c r="H145" s="514">
        <v>41.2</v>
      </c>
      <c r="I145" s="514">
        <v>19.899999999999999</v>
      </c>
      <c r="J145" s="514">
        <v>10.3</v>
      </c>
      <c r="K145" s="514">
        <v>93.8</v>
      </c>
      <c r="M145" s="145">
        <f t="shared" si="7"/>
        <v>28.7</v>
      </c>
      <c r="N145" s="145">
        <f t="shared" si="8"/>
        <v>10.3</v>
      </c>
    </row>
    <row r="146" spans="2:471">
      <c r="B146" s="140">
        <v>288</v>
      </c>
      <c r="C146" t="s">
        <v>374</v>
      </c>
      <c r="D146" t="s">
        <v>1217</v>
      </c>
      <c r="E146" t="s">
        <v>1218</v>
      </c>
      <c r="F146" t="s">
        <v>1219</v>
      </c>
      <c r="G146" s="514">
        <v>18.3</v>
      </c>
      <c r="H146" s="514">
        <v>21.4</v>
      </c>
      <c r="I146" s="514">
        <v>34.4</v>
      </c>
      <c r="J146" s="514">
        <v>26</v>
      </c>
      <c r="K146" s="514">
        <v>99.2</v>
      </c>
      <c r="M146" s="145">
        <f t="shared" si="7"/>
        <v>18.3</v>
      </c>
      <c r="N146" s="145">
        <f t="shared" si="8"/>
        <v>26</v>
      </c>
    </row>
    <row r="147" spans="2:471">
      <c r="B147" s="140">
        <v>288</v>
      </c>
      <c r="C147" t="s">
        <v>374</v>
      </c>
      <c r="D147" t="s">
        <v>1206</v>
      </c>
      <c r="E147" t="s">
        <v>1218</v>
      </c>
      <c r="F147" t="s">
        <v>1219</v>
      </c>
      <c r="G147" s="514">
        <v>21.4</v>
      </c>
      <c r="H147" s="514">
        <v>25.2</v>
      </c>
      <c r="I147" s="514">
        <v>27.5</v>
      </c>
      <c r="J147" s="514">
        <v>26</v>
      </c>
      <c r="K147" s="514">
        <v>99.2</v>
      </c>
      <c r="M147" s="145">
        <f t="shared" si="7"/>
        <v>21.4</v>
      </c>
      <c r="N147" s="145">
        <f t="shared" si="8"/>
        <v>26</v>
      </c>
    </row>
    <row r="148" spans="2:471">
      <c r="B148" s="140">
        <v>291</v>
      </c>
      <c r="C148" t="s">
        <v>375</v>
      </c>
      <c r="D148" t="s">
        <v>1217</v>
      </c>
      <c r="E148" t="s">
        <v>1218</v>
      </c>
      <c r="F148" t="s">
        <v>1219</v>
      </c>
      <c r="G148" s="514">
        <v>6.4</v>
      </c>
      <c r="H148" s="514">
        <v>18.600000000000001</v>
      </c>
      <c r="I148" s="514">
        <v>45.7</v>
      </c>
      <c r="J148" s="514">
        <v>29.3</v>
      </c>
      <c r="K148" s="514">
        <v>98.7</v>
      </c>
      <c r="M148" s="145">
        <f t="shared" si="7"/>
        <v>6.4</v>
      </c>
      <c r="N148" s="145">
        <f t="shared" si="8"/>
        <v>29.3</v>
      </c>
    </row>
    <row r="149" spans="2:471">
      <c r="B149" s="140">
        <v>291</v>
      </c>
      <c r="C149" t="s">
        <v>375</v>
      </c>
      <c r="D149" t="s">
        <v>1206</v>
      </c>
      <c r="E149" t="s">
        <v>1218</v>
      </c>
      <c r="F149" t="s">
        <v>1219</v>
      </c>
      <c r="G149" s="514">
        <v>9.4</v>
      </c>
      <c r="H149" s="514">
        <v>37.6</v>
      </c>
      <c r="I149" s="514">
        <v>28.7</v>
      </c>
      <c r="J149" s="514">
        <v>24.4</v>
      </c>
      <c r="K149" s="514">
        <v>99.2</v>
      </c>
      <c r="M149" s="145">
        <f t="shared" si="7"/>
        <v>9.4</v>
      </c>
      <c r="N149" s="145">
        <f t="shared" si="8"/>
        <v>24.4</v>
      </c>
    </row>
    <row r="150" spans="2:471">
      <c r="B150" s="140">
        <v>292</v>
      </c>
      <c r="C150" t="s">
        <v>376</v>
      </c>
      <c r="D150" t="s">
        <v>1217</v>
      </c>
      <c r="E150" t="s">
        <v>1218</v>
      </c>
      <c r="F150" t="s">
        <v>1219</v>
      </c>
      <c r="G150" s="514" t="s">
        <v>1220</v>
      </c>
      <c r="H150" s="514" t="s">
        <v>1220</v>
      </c>
      <c r="I150" s="514">
        <v>50</v>
      </c>
      <c r="J150" s="514" t="s">
        <v>1220</v>
      </c>
      <c r="K150" s="514">
        <v>100</v>
      </c>
      <c r="M150" s="145">
        <f t="shared" si="7"/>
        <v>5</v>
      </c>
      <c r="N150" s="145">
        <f t="shared" si="8"/>
        <v>5</v>
      </c>
    </row>
    <row r="151" spans="2:471">
      <c r="B151" s="140">
        <v>292</v>
      </c>
      <c r="C151" t="s">
        <v>376</v>
      </c>
      <c r="D151" t="s">
        <v>1206</v>
      </c>
      <c r="E151" t="s">
        <v>1218</v>
      </c>
      <c r="F151" t="s">
        <v>1219</v>
      </c>
      <c r="G151" s="514">
        <v>28.2</v>
      </c>
      <c r="H151" s="514">
        <v>43.6</v>
      </c>
      <c r="I151" s="514" t="s">
        <v>1220</v>
      </c>
      <c r="J151" s="514" t="s">
        <v>1220</v>
      </c>
      <c r="K151" s="514">
        <v>97.5</v>
      </c>
      <c r="M151" s="145">
        <f t="shared" si="7"/>
        <v>28.2</v>
      </c>
      <c r="N151" s="145">
        <f t="shared" si="8"/>
        <v>5</v>
      </c>
    </row>
    <row r="152" spans="2:471">
      <c r="B152" s="140">
        <v>302</v>
      </c>
      <c r="C152" t="s">
        <v>377</v>
      </c>
      <c r="D152" t="s">
        <v>1217</v>
      </c>
      <c r="E152" t="s">
        <v>1218</v>
      </c>
      <c r="F152" t="s">
        <v>1219</v>
      </c>
      <c r="G152" s="514">
        <v>14.3</v>
      </c>
      <c r="H152" s="514">
        <v>29.9</v>
      </c>
      <c r="I152" s="514">
        <v>33.799999999999997</v>
      </c>
      <c r="J152" s="514">
        <v>22.1</v>
      </c>
      <c r="K152" s="514">
        <v>100</v>
      </c>
      <c r="M152" s="145">
        <f t="shared" si="7"/>
        <v>14.3</v>
      </c>
      <c r="N152" s="145">
        <f t="shared" si="8"/>
        <v>22.1</v>
      </c>
    </row>
    <row r="153" spans="2:471">
      <c r="B153" s="140">
        <v>302</v>
      </c>
      <c r="C153" t="s">
        <v>377</v>
      </c>
      <c r="D153" t="s">
        <v>1206</v>
      </c>
      <c r="E153" t="s">
        <v>1218</v>
      </c>
      <c r="F153" t="s">
        <v>1219</v>
      </c>
      <c r="G153" s="514">
        <v>19.5</v>
      </c>
      <c r="H153" s="514">
        <v>35.1</v>
      </c>
      <c r="I153" s="514">
        <v>26</v>
      </c>
      <c r="J153" s="514">
        <v>19.5</v>
      </c>
      <c r="K153" s="514">
        <v>100</v>
      </c>
      <c r="M153" s="145">
        <f t="shared" si="7"/>
        <v>19.5</v>
      </c>
      <c r="N153" s="145">
        <f t="shared" si="8"/>
        <v>19.5</v>
      </c>
    </row>
    <row r="154" spans="2:471">
      <c r="B154" s="140">
        <v>304</v>
      </c>
      <c r="C154" t="s">
        <v>378</v>
      </c>
      <c r="D154" t="s">
        <v>1217</v>
      </c>
      <c r="E154" t="s">
        <v>1218</v>
      </c>
      <c r="F154" t="s">
        <v>1219</v>
      </c>
      <c r="G154" s="514">
        <v>10.199999999999999</v>
      </c>
      <c r="H154" s="514">
        <v>19.2</v>
      </c>
      <c r="I154" s="514">
        <v>37.299999999999997</v>
      </c>
      <c r="J154" s="514">
        <v>33.299999999999997</v>
      </c>
      <c r="K154" s="514">
        <v>100</v>
      </c>
      <c r="M154" s="145">
        <f t="shared" si="7"/>
        <v>10.199999999999999</v>
      </c>
      <c r="N154" s="145">
        <f t="shared" si="8"/>
        <v>33.299999999999997</v>
      </c>
    </row>
    <row r="155" spans="2:471">
      <c r="B155" s="140">
        <v>304</v>
      </c>
      <c r="C155" t="s">
        <v>378</v>
      </c>
      <c r="D155" t="s">
        <v>1206</v>
      </c>
      <c r="E155" t="s">
        <v>1218</v>
      </c>
      <c r="F155" t="s">
        <v>1219</v>
      </c>
      <c r="G155" s="514">
        <v>13.7</v>
      </c>
      <c r="H155" s="514">
        <v>33.299999999999997</v>
      </c>
      <c r="I155" s="514">
        <v>33.299999999999997</v>
      </c>
      <c r="J155" s="514">
        <v>19.600000000000001</v>
      </c>
      <c r="K155" s="514">
        <v>100</v>
      </c>
      <c r="M155" s="145">
        <f t="shared" si="7"/>
        <v>13.7</v>
      </c>
      <c r="N155" s="145">
        <f t="shared" si="8"/>
        <v>19.600000000000001</v>
      </c>
      <c r="RC155">
        <v>2</v>
      </c>
    </row>
    <row r="156" spans="2:471">
      <c r="B156" s="140">
        <v>305</v>
      </c>
      <c r="C156" t="s">
        <v>379</v>
      </c>
      <c r="D156" t="s">
        <v>1217</v>
      </c>
      <c r="E156" t="s">
        <v>1218</v>
      </c>
      <c r="F156" t="s">
        <v>1219</v>
      </c>
      <c r="G156" s="514" t="s">
        <v>1220</v>
      </c>
      <c r="H156" s="514">
        <v>31.8</v>
      </c>
      <c r="I156" s="514">
        <v>33</v>
      </c>
      <c r="J156" s="514" t="s">
        <v>1220</v>
      </c>
      <c r="K156" s="514">
        <v>98.9</v>
      </c>
      <c r="M156" s="145">
        <f t="shared" si="7"/>
        <v>5</v>
      </c>
      <c r="N156" s="145">
        <f t="shared" si="8"/>
        <v>5</v>
      </c>
      <c r="RC156">
        <v>2</v>
      </c>
    </row>
    <row r="157" spans="2:471">
      <c r="B157" s="140">
        <v>305</v>
      </c>
      <c r="C157" t="s">
        <v>379</v>
      </c>
      <c r="D157" t="s">
        <v>1206</v>
      </c>
      <c r="E157" t="s">
        <v>1218</v>
      </c>
      <c r="F157" t="s">
        <v>1219</v>
      </c>
      <c r="G157" s="514" t="s">
        <v>1220</v>
      </c>
      <c r="H157" s="514">
        <v>42</v>
      </c>
      <c r="I157" s="514" t="s">
        <v>1220</v>
      </c>
      <c r="J157" s="514">
        <v>27.3</v>
      </c>
      <c r="K157" s="514">
        <v>98.9</v>
      </c>
      <c r="M157" s="145">
        <f t="shared" si="7"/>
        <v>5</v>
      </c>
      <c r="N157" s="145">
        <f t="shared" si="8"/>
        <v>27.3</v>
      </c>
      <c r="RC157">
        <v>2</v>
      </c>
    </row>
    <row r="158" spans="2:471">
      <c r="B158" s="140">
        <v>312</v>
      </c>
      <c r="C158" t="s">
        <v>380</v>
      </c>
      <c r="D158" t="s">
        <v>1217</v>
      </c>
      <c r="E158" t="s">
        <v>1218</v>
      </c>
      <c r="F158" t="s">
        <v>1219</v>
      </c>
      <c r="G158" s="514">
        <v>8.3000000000000007</v>
      </c>
      <c r="H158" s="514">
        <v>19.5</v>
      </c>
      <c r="I158" s="514">
        <v>30.1</v>
      </c>
      <c r="J158" s="514">
        <v>42.1</v>
      </c>
      <c r="K158" s="514">
        <v>99.6</v>
      </c>
      <c r="M158" s="145">
        <f t="shared" si="7"/>
        <v>8.3000000000000007</v>
      </c>
      <c r="N158" s="145">
        <f t="shared" si="8"/>
        <v>42.1</v>
      </c>
      <c r="RC158">
        <v>2</v>
      </c>
    </row>
    <row r="159" spans="2:471">
      <c r="B159" s="140">
        <v>312</v>
      </c>
      <c r="C159" t="s">
        <v>380</v>
      </c>
      <c r="D159" t="s">
        <v>1206</v>
      </c>
      <c r="E159" t="s">
        <v>1218</v>
      </c>
      <c r="F159" t="s">
        <v>1219</v>
      </c>
      <c r="G159" s="514">
        <v>15</v>
      </c>
      <c r="H159" s="514">
        <v>27.7</v>
      </c>
      <c r="I159" s="514">
        <v>27.3</v>
      </c>
      <c r="J159" s="514">
        <v>30</v>
      </c>
      <c r="K159" s="514">
        <v>100</v>
      </c>
      <c r="M159" s="145">
        <f t="shared" si="7"/>
        <v>15</v>
      </c>
      <c r="N159" s="145">
        <f t="shared" si="8"/>
        <v>30</v>
      </c>
      <c r="RC159">
        <v>2</v>
      </c>
    </row>
    <row r="160" spans="2:471">
      <c r="B160" s="140">
        <v>314</v>
      </c>
      <c r="C160" t="s">
        <v>381</v>
      </c>
      <c r="D160" t="s">
        <v>1217</v>
      </c>
      <c r="E160" t="s">
        <v>1218</v>
      </c>
      <c r="F160" t="s">
        <v>1219</v>
      </c>
      <c r="G160" s="514">
        <v>22</v>
      </c>
      <c r="H160" s="514">
        <v>35.5</v>
      </c>
      <c r="I160" s="514">
        <v>29.8</v>
      </c>
      <c r="J160" s="514">
        <v>12.8</v>
      </c>
      <c r="K160" s="514">
        <v>100</v>
      </c>
      <c r="M160" s="145">
        <f t="shared" si="7"/>
        <v>22</v>
      </c>
      <c r="N160" s="145">
        <f t="shared" si="8"/>
        <v>12.8</v>
      </c>
      <c r="RC160">
        <v>2</v>
      </c>
    </row>
    <row r="161" spans="2:511">
      <c r="B161" s="140">
        <v>314</v>
      </c>
      <c r="C161" t="s">
        <v>381</v>
      </c>
      <c r="D161" t="s">
        <v>1206</v>
      </c>
      <c r="E161" t="s">
        <v>1218</v>
      </c>
      <c r="F161" t="s">
        <v>1219</v>
      </c>
      <c r="G161" s="514">
        <v>18.399999999999999</v>
      </c>
      <c r="H161" s="514">
        <v>44</v>
      </c>
      <c r="I161" s="514">
        <v>23.4</v>
      </c>
      <c r="J161" s="514">
        <v>14.2</v>
      </c>
      <c r="K161" s="514">
        <v>99.3</v>
      </c>
      <c r="M161" s="145">
        <f t="shared" si="7"/>
        <v>18.399999999999999</v>
      </c>
      <c r="N161" s="145">
        <f t="shared" si="8"/>
        <v>14.2</v>
      </c>
      <c r="RC161">
        <v>2</v>
      </c>
    </row>
    <row r="162" spans="2:511">
      <c r="B162" s="140">
        <v>316</v>
      </c>
      <c r="C162" t="s">
        <v>382</v>
      </c>
      <c r="D162" t="s">
        <v>1217</v>
      </c>
      <c r="E162" t="s">
        <v>1218</v>
      </c>
      <c r="F162" t="s">
        <v>1219</v>
      </c>
      <c r="G162" s="514">
        <v>10.8</v>
      </c>
      <c r="H162" s="514">
        <v>22.5</v>
      </c>
      <c r="I162" s="514">
        <v>38.200000000000003</v>
      </c>
      <c r="J162" s="514">
        <v>28.4</v>
      </c>
      <c r="K162" s="514">
        <v>100</v>
      </c>
      <c r="M162" s="145">
        <f t="shared" si="7"/>
        <v>10.8</v>
      </c>
      <c r="N162" s="145">
        <f t="shared" si="8"/>
        <v>28.4</v>
      </c>
      <c r="RC162">
        <v>2</v>
      </c>
    </row>
    <row r="163" spans="2:511">
      <c r="B163" s="140">
        <v>316</v>
      </c>
      <c r="C163" t="s">
        <v>382</v>
      </c>
      <c r="D163" t="s">
        <v>1206</v>
      </c>
      <c r="E163" t="s">
        <v>1218</v>
      </c>
      <c r="F163" t="s">
        <v>1219</v>
      </c>
      <c r="G163" s="514">
        <v>13.7</v>
      </c>
      <c r="H163" s="514">
        <v>32.4</v>
      </c>
      <c r="I163" s="514">
        <v>31.4</v>
      </c>
      <c r="J163" s="514">
        <v>22.5</v>
      </c>
      <c r="K163" s="514">
        <v>100</v>
      </c>
      <c r="M163" s="145">
        <f t="shared" si="7"/>
        <v>13.7</v>
      </c>
      <c r="N163" s="145">
        <f t="shared" si="8"/>
        <v>22.5</v>
      </c>
      <c r="RC163">
        <v>2</v>
      </c>
    </row>
    <row r="164" spans="2:511">
      <c r="B164" s="140">
        <v>321</v>
      </c>
      <c r="C164" t="s">
        <v>383</v>
      </c>
      <c r="D164" t="s">
        <v>1217</v>
      </c>
      <c r="E164" t="s">
        <v>1218</v>
      </c>
      <c r="F164" t="s">
        <v>1219</v>
      </c>
      <c r="G164" s="514">
        <v>20</v>
      </c>
      <c r="H164" s="514">
        <v>26.6</v>
      </c>
      <c r="I164" s="514">
        <v>29.3</v>
      </c>
      <c r="J164" s="514">
        <v>24.1</v>
      </c>
      <c r="K164" s="514">
        <v>69.7</v>
      </c>
      <c r="M164" s="145">
        <f t="shared" si="7"/>
        <v>20</v>
      </c>
      <c r="N164" s="145">
        <f t="shared" si="8"/>
        <v>24.1</v>
      </c>
      <c r="HC164">
        <f>SUM(HC10:HC163)</f>
        <v>0</v>
      </c>
    </row>
    <row r="165" spans="2:511">
      <c r="B165" s="140">
        <v>321</v>
      </c>
      <c r="C165" t="s">
        <v>383</v>
      </c>
      <c r="D165" t="s">
        <v>1206</v>
      </c>
      <c r="E165" t="s">
        <v>1218</v>
      </c>
      <c r="F165" t="s">
        <v>1219</v>
      </c>
      <c r="G165" s="514">
        <v>18.899999999999999</v>
      </c>
      <c r="H165" s="514">
        <v>32.299999999999997</v>
      </c>
      <c r="I165" s="514">
        <v>24.1</v>
      </c>
      <c r="J165" s="514">
        <v>24.7</v>
      </c>
      <c r="K165" s="514">
        <v>72.099999999999994</v>
      </c>
      <c r="M165" s="145">
        <f t="shared" si="7"/>
        <v>18.899999999999999</v>
      </c>
      <c r="N165" s="145">
        <f t="shared" si="8"/>
        <v>24.7</v>
      </c>
      <c r="RV165">
        <f>SUM(RV10:RV163)</f>
        <v>0</v>
      </c>
      <c r="RW165">
        <f t="shared" ref="RW165:RY165" si="9">SUM(RW10:RW163)</f>
        <v>0</v>
      </c>
      <c r="RX165">
        <f t="shared" si="9"/>
        <v>0</v>
      </c>
      <c r="RY165">
        <f t="shared" si="9"/>
        <v>0</v>
      </c>
    </row>
    <row r="166" spans="2:511">
      <c r="B166" s="140">
        <v>322</v>
      </c>
      <c r="C166" t="s">
        <v>384</v>
      </c>
      <c r="D166" t="s">
        <v>1217</v>
      </c>
      <c r="E166" t="s">
        <v>1218</v>
      </c>
      <c r="F166" t="s">
        <v>1219</v>
      </c>
      <c r="G166" s="514">
        <v>16.600000000000001</v>
      </c>
      <c r="H166" s="514">
        <v>29.2</v>
      </c>
      <c r="I166" s="514">
        <v>30.7</v>
      </c>
      <c r="J166" s="514">
        <v>23.5</v>
      </c>
      <c r="K166" s="514">
        <v>94.9</v>
      </c>
      <c r="M166" s="145">
        <f t="shared" si="7"/>
        <v>16.600000000000001</v>
      </c>
      <c r="N166" s="145">
        <f t="shared" si="8"/>
        <v>23.5</v>
      </c>
    </row>
    <row r="167" spans="2:511">
      <c r="B167" s="140">
        <v>322</v>
      </c>
      <c r="C167" t="s">
        <v>384</v>
      </c>
      <c r="D167" t="s">
        <v>1206</v>
      </c>
      <c r="E167" t="s">
        <v>1218</v>
      </c>
      <c r="F167" t="s">
        <v>1219</v>
      </c>
      <c r="G167" s="514">
        <v>16.2</v>
      </c>
      <c r="H167" s="514">
        <v>34.5</v>
      </c>
      <c r="I167" s="514">
        <v>25.6</v>
      </c>
      <c r="J167" s="514">
        <v>23.7</v>
      </c>
      <c r="K167" s="514">
        <v>95.2</v>
      </c>
      <c r="M167" s="145">
        <f t="shared" si="7"/>
        <v>16.2</v>
      </c>
      <c r="N167" s="145">
        <f t="shared" si="8"/>
        <v>23.7</v>
      </c>
    </row>
    <row r="168" spans="2:511">
      <c r="B168" s="140">
        <v>331</v>
      </c>
      <c r="C168" t="s">
        <v>385</v>
      </c>
      <c r="D168" t="s">
        <v>1217</v>
      </c>
      <c r="E168" t="s">
        <v>1218</v>
      </c>
      <c r="F168" t="s">
        <v>1219</v>
      </c>
      <c r="G168" s="514">
        <v>11.2</v>
      </c>
      <c r="H168" s="514">
        <v>22.4</v>
      </c>
      <c r="I168" s="514">
        <v>34.799999999999997</v>
      </c>
      <c r="J168" s="514">
        <v>31.7</v>
      </c>
      <c r="K168" s="514">
        <v>98.8</v>
      </c>
      <c r="M168" s="145">
        <f t="shared" si="7"/>
        <v>11.2</v>
      </c>
      <c r="N168" s="145">
        <f t="shared" si="8"/>
        <v>31.7</v>
      </c>
    </row>
    <row r="169" spans="2:511">
      <c r="B169" s="140">
        <v>331</v>
      </c>
      <c r="C169" t="s">
        <v>385</v>
      </c>
      <c r="D169" t="s">
        <v>1206</v>
      </c>
      <c r="E169" t="s">
        <v>1218</v>
      </c>
      <c r="F169" t="s">
        <v>1219</v>
      </c>
      <c r="G169" s="514">
        <v>14</v>
      </c>
      <c r="H169" s="514">
        <v>30.6</v>
      </c>
      <c r="I169" s="514">
        <v>30</v>
      </c>
      <c r="J169" s="514">
        <v>25.3</v>
      </c>
      <c r="K169" s="514">
        <v>99</v>
      </c>
      <c r="M169" s="145">
        <f t="shared" si="7"/>
        <v>14</v>
      </c>
      <c r="N169" s="145">
        <f t="shared" si="8"/>
        <v>25.3</v>
      </c>
    </row>
    <row r="170" spans="2:511">
      <c r="B170" s="140">
        <v>340</v>
      </c>
      <c r="C170" t="s">
        <v>386</v>
      </c>
      <c r="D170" t="s">
        <v>1217</v>
      </c>
      <c r="E170" t="s">
        <v>1218</v>
      </c>
      <c r="F170" t="s">
        <v>1219</v>
      </c>
      <c r="G170" s="514">
        <v>18</v>
      </c>
      <c r="H170" s="514">
        <v>26.5</v>
      </c>
      <c r="I170" s="514">
        <v>31</v>
      </c>
      <c r="J170" s="514">
        <v>24.5</v>
      </c>
      <c r="K170" s="514">
        <v>99.6</v>
      </c>
      <c r="M170" s="145">
        <f t="shared" si="7"/>
        <v>18</v>
      </c>
      <c r="N170" s="145">
        <f t="shared" si="8"/>
        <v>24.5</v>
      </c>
    </row>
    <row r="171" spans="2:511">
      <c r="B171" s="140">
        <v>340</v>
      </c>
      <c r="C171" t="s">
        <v>386</v>
      </c>
      <c r="D171" t="s">
        <v>1206</v>
      </c>
      <c r="E171" t="s">
        <v>1218</v>
      </c>
      <c r="F171" t="s">
        <v>1219</v>
      </c>
      <c r="G171" s="514">
        <v>19.399999999999999</v>
      </c>
      <c r="H171" s="514">
        <v>34.1</v>
      </c>
      <c r="I171" s="514">
        <v>24.8</v>
      </c>
      <c r="J171" s="514">
        <v>21.6</v>
      </c>
      <c r="K171" s="514">
        <v>99.5</v>
      </c>
      <c r="M171" s="145">
        <f t="shared" si="7"/>
        <v>19.399999999999999</v>
      </c>
      <c r="N171" s="145">
        <f t="shared" si="8"/>
        <v>21.6</v>
      </c>
      <c r="RV171" s="727" t="s">
        <v>2712</v>
      </c>
      <c r="RY171">
        <f>SUM(RV10:RY163)</f>
        <v>0</v>
      </c>
    </row>
    <row r="172" spans="2:511">
      <c r="B172" s="140">
        <v>341</v>
      </c>
      <c r="C172" t="s">
        <v>387</v>
      </c>
      <c r="D172" t="s">
        <v>1217</v>
      </c>
      <c r="E172" t="s">
        <v>1218</v>
      </c>
      <c r="F172" t="s">
        <v>1219</v>
      </c>
      <c r="G172" s="514">
        <v>6.1</v>
      </c>
      <c r="H172" s="514">
        <v>12.2</v>
      </c>
      <c r="I172" s="514">
        <v>34.6</v>
      </c>
      <c r="J172" s="514">
        <v>47.1</v>
      </c>
      <c r="K172" s="514">
        <v>98.9</v>
      </c>
      <c r="M172" s="145">
        <f t="shared" si="7"/>
        <v>6.1</v>
      </c>
      <c r="N172" s="145">
        <f t="shared" si="8"/>
        <v>47.1</v>
      </c>
    </row>
    <row r="173" spans="2:511">
      <c r="B173" s="140">
        <v>341</v>
      </c>
      <c r="C173" t="s">
        <v>387</v>
      </c>
      <c r="D173" t="s">
        <v>1206</v>
      </c>
      <c r="E173" t="s">
        <v>1218</v>
      </c>
      <c r="F173" t="s">
        <v>1219</v>
      </c>
      <c r="G173" s="514">
        <v>6.1</v>
      </c>
      <c r="H173" s="514">
        <v>24</v>
      </c>
      <c r="I173" s="514">
        <v>22.9</v>
      </c>
      <c r="J173" s="514">
        <v>46.9</v>
      </c>
      <c r="K173" s="514">
        <v>98.5</v>
      </c>
      <c r="M173" s="145">
        <f t="shared" si="7"/>
        <v>6.1</v>
      </c>
      <c r="N173" s="145">
        <f t="shared" si="8"/>
        <v>46.9</v>
      </c>
    </row>
    <row r="174" spans="2:511">
      <c r="B174" s="140">
        <v>342</v>
      </c>
      <c r="C174" t="s">
        <v>388</v>
      </c>
      <c r="D174" t="s">
        <v>1217</v>
      </c>
      <c r="E174" t="s">
        <v>1218</v>
      </c>
      <c r="F174" t="s">
        <v>1219</v>
      </c>
      <c r="G174" s="514" t="s">
        <v>1220</v>
      </c>
      <c r="H174" s="514" t="s">
        <v>1220</v>
      </c>
      <c r="I174" s="514" t="s">
        <v>1220</v>
      </c>
      <c r="J174" s="514">
        <v>47.9</v>
      </c>
      <c r="K174" s="514">
        <v>100</v>
      </c>
      <c r="M174" s="145">
        <f t="shared" si="7"/>
        <v>5</v>
      </c>
      <c r="N174" s="145">
        <f t="shared" si="8"/>
        <v>47.9</v>
      </c>
    </row>
    <row r="175" spans="2:511">
      <c r="B175" s="140">
        <v>342</v>
      </c>
      <c r="C175" t="s">
        <v>388</v>
      </c>
      <c r="D175" t="s">
        <v>1206</v>
      </c>
      <c r="E175" t="s">
        <v>1218</v>
      </c>
      <c r="F175" t="s">
        <v>1219</v>
      </c>
      <c r="G175" s="514" t="s">
        <v>1220</v>
      </c>
      <c r="H175" s="514" t="s">
        <v>1220</v>
      </c>
      <c r="I175" s="514">
        <v>39.6</v>
      </c>
      <c r="J175" s="514">
        <v>35.4</v>
      </c>
      <c r="K175" s="514">
        <v>100</v>
      </c>
      <c r="M175" s="145">
        <f t="shared" si="7"/>
        <v>5</v>
      </c>
      <c r="N175" s="145">
        <f t="shared" si="8"/>
        <v>35.4</v>
      </c>
      <c r="RV175" s="200">
        <f>SUMIF($RC$10:$RC$163,2,RV$10:RV$163)</f>
        <v>0</v>
      </c>
      <c r="RW175" s="200">
        <f t="shared" ref="RW175:RY175" si="10">SUMIF($RC$10:$RC$163,2,RW$10:RW$163)</f>
        <v>0</v>
      </c>
      <c r="RX175" s="200">
        <f t="shared" si="10"/>
        <v>0</v>
      </c>
      <c r="RY175" s="200">
        <f t="shared" si="10"/>
        <v>0</v>
      </c>
      <c r="SC175" s="199">
        <f>SUM(RV175:RY175)</f>
        <v>0</v>
      </c>
      <c r="SD175" t="e">
        <f>SC175/SQ160</f>
        <v>#DIV/0!</v>
      </c>
      <c r="SQ175" s="124">
        <f>SUMIF($RC$10:$RC$163,2,SQ$10:SQ$163)</f>
        <v>0</v>
      </c>
    </row>
    <row r="176" spans="2:511">
      <c r="B176" s="140">
        <v>351</v>
      </c>
      <c r="C176" t="s">
        <v>389</v>
      </c>
      <c r="D176" t="s">
        <v>1217</v>
      </c>
      <c r="E176" t="s">
        <v>1218</v>
      </c>
      <c r="F176" t="s">
        <v>1219</v>
      </c>
      <c r="G176" s="514">
        <v>11</v>
      </c>
      <c r="H176" s="514">
        <v>23.5</v>
      </c>
      <c r="I176" s="514">
        <v>37.9</v>
      </c>
      <c r="J176" s="514">
        <v>27.5</v>
      </c>
      <c r="K176" s="514">
        <v>100</v>
      </c>
      <c r="M176" s="145">
        <f t="shared" si="7"/>
        <v>11</v>
      </c>
      <c r="N176" s="145">
        <f t="shared" si="8"/>
        <v>27.5</v>
      </c>
      <c r="RV176" s="200">
        <f>SUMIF($RC$10:$RC$163,"",RV$10:RV$163)</f>
        <v>0</v>
      </c>
      <c r="RW176" s="200">
        <f t="shared" ref="RW176:RY176" si="11">SUMIF($RC$10:$RC$163,"",RW$10:RW$163)</f>
        <v>0</v>
      </c>
      <c r="RX176" s="200">
        <f t="shared" si="11"/>
        <v>0</v>
      </c>
      <c r="RY176" s="200">
        <f t="shared" si="11"/>
        <v>0</v>
      </c>
      <c r="SQ176" s="124">
        <f>SUMIF($RC$10:$RC$163,"",SQ$10:SQ$163)</f>
        <v>0</v>
      </c>
    </row>
    <row r="177" spans="2:511">
      <c r="B177" s="140">
        <v>351</v>
      </c>
      <c r="C177" t="s">
        <v>389</v>
      </c>
      <c r="D177" t="s">
        <v>1206</v>
      </c>
      <c r="E177" t="s">
        <v>1218</v>
      </c>
      <c r="F177" t="s">
        <v>1219</v>
      </c>
      <c r="G177" s="514">
        <v>14.2</v>
      </c>
      <c r="H177" s="514">
        <v>30.4</v>
      </c>
      <c r="I177" s="514">
        <v>32.700000000000003</v>
      </c>
      <c r="J177" s="514">
        <v>22.7</v>
      </c>
      <c r="K177" s="514">
        <v>100</v>
      </c>
      <c r="M177" s="145">
        <f t="shared" si="7"/>
        <v>14.2</v>
      </c>
      <c r="N177" s="145">
        <f t="shared" si="8"/>
        <v>22.7</v>
      </c>
      <c r="RV177" s="200">
        <f>SUM(RV175:RV176)</f>
        <v>0</v>
      </c>
      <c r="RW177" s="200"/>
      <c r="RX177" s="200"/>
      <c r="RY177" s="200"/>
      <c r="SQ177" s="134">
        <f>SUM(SQ175:SQ176)</f>
        <v>0</v>
      </c>
    </row>
    <row r="178" spans="2:511">
      <c r="B178" s="140">
        <v>363</v>
      </c>
      <c r="C178" t="s">
        <v>390</v>
      </c>
      <c r="D178" t="s">
        <v>1217</v>
      </c>
      <c r="E178" t="s">
        <v>1218</v>
      </c>
      <c r="F178" t="s">
        <v>1219</v>
      </c>
      <c r="G178" s="514">
        <v>8.6999999999999993</v>
      </c>
      <c r="H178" s="514">
        <v>17.600000000000001</v>
      </c>
      <c r="I178" s="514">
        <v>33</v>
      </c>
      <c r="J178" s="514">
        <v>40.6</v>
      </c>
      <c r="K178" s="514">
        <v>97.8</v>
      </c>
      <c r="M178" s="145">
        <f t="shared" si="7"/>
        <v>8.6999999999999993</v>
      </c>
      <c r="N178" s="145">
        <f t="shared" si="8"/>
        <v>40.6</v>
      </c>
    </row>
    <row r="179" spans="2:511">
      <c r="B179" s="140">
        <v>363</v>
      </c>
      <c r="C179" t="s">
        <v>390</v>
      </c>
      <c r="D179" t="s">
        <v>1206</v>
      </c>
      <c r="E179" t="s">
        <v>1218</v>
      </c>
      <c r="F179" t="s">
        <v>1219</v>
      </c>
      <c r="G179" s="514">
        <v>9.1</v>
      </c>
      <c r="H179" s="514">
        <v>29.1</v>
      </c>
      <c r="I179" s="514">
        <v>27.3</v>
      </c>
      <c r="J179" s="514">
        <v>34.4</v>
      </c>
      <c r="K179" s="514">
        <v>98.3</v>
      </c>
      <c r="M179" s="145">
        <f t="shared" si="7"/>
        <v>9.1</v>
      </c>
      <c r="N179" s="145">
        <f t="shared" si="8"/>
        <v>34.4</v>
      </c>
      <c r="RV179" s="200" t="e">
        <f>RV175/$SQ160</f>
        <v>#DIV/0!</v>
      </c>
      <c r="RW179" s="200"/>
      <c r="RX179" s="200"/>
      <c r="RY179" s="200"/>
    </row>
    <row r="180" spans="2:511">
      <c r="B180" s="140">
        <v>364</v>
      </c>
      <c r="C180" t="s">
        <v>391</v>
      </c>
      <c r="D180" t="s">
        <v>1217</v>
      </c>
      <c r="E180" t="s">
        <v>1218</v>
      </c>
      <c r="F180" t="s">
        <v>1219</v>
      </c>
      <c r="G180" s="514" t="s">
        <v>1220</v>
      </c>
      <c r="H180" s="514" t="s">
        <v>1220</v>
      </c>
      <c r="I180" s="514" t="s">
        <v>1220</v>
      </c>
      <c r="J180" s="514" t="s">
        <v>1220</v>
      </c>
      <c r="K180" s="514">
        <v>83.3</v>
      </c>
      <c r="M180" s="145">
        <f t="shared" si="7"/>
        <v>5</v>
      </c>
      <c r="N180" s="145">
        <f t="shared" si="8"/>
        <v>5</v>
      </c>
      <c r="RV180" s="200"/>
      <c r="RW180" s="200"/>
      <c r="RX180" s="200"/>
      <c r="RY180" s="200"/>
    </row>
    <row r="181" spans="2:511">
      <c r="B181" s="140">
        <v>364</v>
      </c>
      <c r="C181" t="s">
        <v>391</v>
      </c>
      <c r="D181" t="s">
        <v>1206</v>
      </c>
      <c r="E181" t="s">
        <v>1218</v>
      </c>
      <c r="F181" t="s">
        <v>1219</v>
      </c>
      <c r="G181" s="514" t="s">
        <v>1220</v>
      </c>
      <c r="H181" s="514" t="s">
        <v>1220</v>
      </c>
      <c r="I181" s="514" t="s">
        <v>1220</v>
      </c>
      <c r="J181" s="514" t="s">
        <v>1220</v>
      </c>
      <c r="K181" s="514">
        <v>83.3</v>
      </c>
      <c r="M181" s="145">
        <f t="shared" si="7"/>
        <v>5</v>
      </c>
      <c r="N181" s="145">
        <f t="shared" si="8"/>
        <v>5</v>
      </c>
    </row>
    <row r="182" spans="2:511">
      <c r="B182" s="140">
        <v>365</v>
      </c>
      <c r="C182" t="s">
        <v>1063</v>
      </c>
      <c r="D182" t="s">
        <v>1217</v>
      </c>
      <c r="E182" t="s">
        <v>1218</v>
      </c>
      <c r="F182" t="s">
        <v>1219</v>
      </c>
      <c r="G182" s="514" t="s">
        <v>1220</v>
      </c>
      <c r="H182" s="514" t="s">
        <v>1220</v>
      </c>
      <c r="I182" s="514">
        <v>26.5</v>
      </c>
      <c r="J182" s="514">
        <v>59.7</v>
      </c>
      <c r="K182" s="514">
        <v>99.5</v>
      </c>
      <c r="M182" s="145">
        <f t="shared" si="7"/>
        <v>5</v>
      </c>
      <c r="N182" s="145">
        <f t="shared" si="8"/>
        <v>59.7</v>
      </c>
    </row>
    <row r="183" spans="2:511">
      <c r="B183" s="140">
        <v>365</v>
      </c>
      <c r="C183" t="s">
        <v>1063</v>
      </c>
      <c r="D183" t="s">
        <v>1206</v>
      </c>
      <c r="E183" t="s">
        <v>1218</v>
      </c>
      <c r="F183" t="s">
        <v>1219</v>
      </c>
      <c r="G183" s="514">
        <v>6.1</v>
      </c>
      <c r="H183" s="514">
        <v>10.5</v>
      </c>
      <c r="I183" s="514">
        <v>19.899999999999999</v>
      </c>
      <c r="J183" s="514">
        <v>63.5</v>
      </c>
      <c r="K183" s="514">
        <v>99.5</v>
      </c>
      <c r="M183" s="145">
        <f t="shared" si="7"/>
        <v>6.1</v>
      </c>
      <c r="N183" s="145">
        <f t="shared" si="8"/>
        <v>63.5</v>
      </c>
    </row>
    <row r="184" spans="2:511">
      <c r="B184" s="140">
        <v>370</v>
      </c>
      <c r="C184" t="s">
        <v>393</v>
      </c>
      <c r="D184" t="s">
        <v>1217</v>
      </c>
      <c r="E184" t="s">
        <v>1218</v>
      </c>
      <c r="F184" t="s">
        <v>1219</v>
      </c>
      <c r="G184" s="514">
        <v>5.7</v>
      </c>
      <c r="H184" s="514">
        <v>16.899999999999999</v>
      </c>
      <c r="I184" s="514">
        <v>35.200000000000003</v>
      </c>
      <c r="J184" s="514">
        <v>42.1</v>
      </c>
      <c r="K184" s="514">
        <v>97.6</v>
      </c>
      <c r="M184" s="145">
        <f t="shared" si="7"/>
        <v>5.7</v>
      </c>
      <c r="N184" s="145">
        <f t="shared" si="8"/>
        <v>42.1</v>
      </c>
    </row>
    <row r="185" spans="2:511">
      <c r="B185" s="140">
        <v>370</v>
      </c>
      <c r="C185" t="s">
        <v>393</v>
      </c>
      <c r="D185" t="s">
        <v>1206</v>
      </c>
      <c r="E185" t="s">
        <v>1218</v>
      </c>
      <c r="F185" t="s">
        <v>1219</v>
      </c>
      <c r="G185" s="514">
        <v>13.9</v>
      </c>
      <c r="H185" s="514">
        <v>27.8</v>
      </c>
      <c r="I185" s="514">
        <v>32.700000000000003</v>
      </c>
      <c r="J185" s="514">
        <v>25.5</v>
      </c>
      <c r="K185" s="514">
        <v>97.6</v>
      </c>
      <c r="M185" s="145">
        <f t="shared" si="7"/>
        <v>13.9</v>
      </c>
      <c r="N185" s="145">
        <f t="shared" si="8"/>
        <v>25.5</v>
      </c>
    </row>
    <row r="186" spans="2:511">
      <c r="B186" s="140">
        <v>371</v>
      </c>
      <c r="C186" t="s">
        <v>394</v>
      </c>
      <c r="D186" t="s">
        <v>1217</v>
      </c>
      <c r="E186" t="s">
        <v>1218</v>
      </c>
      <c r="F186" t="s">
        <v>1219</v>
      </c>
      <c r="G186" s="514">
        <v>7.9</v>
      </c>
      <c r="H186" s="514">
        <v>17.5</v>
      </c>
      <c r="I186" s="514">
        <v>33.799999999999997</v>
      </c>
      <c r="J186" s="514">
        <v>40.700000000000003</v>
      </c>
      <c r="K186" s="514">
        <v>98.5</v>
      </c>
      <c r="M186" s="145">
        <f t="shared" si="7"/>
        <v>7.9</v>
      </c>
      <c r="N186" s="145">
        <f t="shared" si="8"/>
        <v>40.700000000000003</v>
      </c>
    </row>
    <row r="187" spans="2:511">
      <c r="B187" s="140">
        <v>371</v>
      </c>
      <c r="C187" t="s">
        <v>394</v>
      </c>
      <c r="D187" t="s">
        <v>1206</v>
      </c>
      <c r="E187" t="s">
        <v>1218</v>
      </c>
      <c r="F187" t="s">
        <v>1219</v>
      </c>
      <c r="G187" s="514">
        <v>12</v>
      </c>
      <c r="H187" s="514">
        <v>29.6</v>
      </c>
      <c r="I187" s="514">
        <v>29.4</v>
      </c>
      <c r="J187" s="514">
        <v>29</v>
      </c>
      <c r="K187" s="514">
        <v>98.5</v>
      </c>
      <c r="M187" s="145">
        <f t="shared" si="7"/>
        <v>12</v>
      </c>
      <c r="N187" s="145">
        <f t="shared" si="8"/>
        <v>29</v>
      </c>
    </row>
    <row r="188" spans="2:511">
      <c r="B188" s="140">
        <v>372</v>
      </c>
      <c r="C188" t="s">
        <v>395</v>
      </c>
      <c r="D188" t="s">
        <v>1217</v>
      </c>
      <c r="E188" t="s">
        <v>1218</v>
      </c>
      <c r="F188" t="s">
        <v>1219</v>
      </c>
      <c r="G188" s="514">
        <v>19.3</v>
      </c>
      <c r="H188" s="514">
        <v>29.7</v>
      </c>
      <c r="I188" s="514">
        <v>33.700000000000003</v>
      </c>
      <c r="J188" s="514">
        <v>17.3</v>
      </c>
      <c r="K188" s="514">
        <v>99.1</v>
      </c>
      <c r="M188" s="145">
        <f t="shared" si="7"/>
        <v>19.3</v>
      </c>
      <c r="N188" s="145">
        <f t="shared" si="8"/>
        <v>17.3</v>
      </c>
    </row>
    <row r="189" spans="2:511">
      <c r="B189" s="140">
        <v>372</v>
      </c>
      <c r="C189" t="s">
        <v>395</v>
      </c>
      <c r="D189" t="s">
        <v>1206</v>
      </c>
      <c r="E189" t="s">
        <v>1218</v>
      </c>
      <c r="F189" t="s">
        <v>1219</v>
      </c>
      <c r="G189" s="514">
        <v>24.6</v>
      </c>
      <c r="H189" s="514">
        <v>39.1</v>
      </c>
      <c r="I189" s="514">
        <v>25</v>
      </c>
      <c r="J189" s="514">
        <v>11.4</v>
      </c>
      <c r="K189" s="514">
        <v>98.7</v>
      </c>
      <c r="M189" s="145">
        <f t="shared" si="7"/>
        <v>24.6</v>
      </c>
      <c r="N189" s="145">
        <f t="shared" si="8"/>
        <v>11.4</v>
      </c>
    </row>
    <row r="190" spans="2:511">
      <c r="B190" s="140">
        <v>373</v>
      </c>
      <c r="C190" t="s">
        <v>396</v>
      </c>
      <c r="D190" t="s">
        <v>1217</v>
      </c>
      <c r="E190" t="s">
        <v>1218</v>
      </c>
      <c r="F190" t="s">
        <v>1219</v>
      </c>
      <c r="G190" s="514">
        <v>13.6</v>
      </c>
      <c r="H190" s="514">
        <v>22.8</v>
      </c>
      <c r="I190" s="514">
        <v>33.4</v>
      </c>
      <c r="J190" s="514">
        <v>30.3</v>
      </c>
      <c r="K190" s="514">
        <v>97.4</v>
      </c>
      <c r="M190" s="145">
        <f t="shared" si="7"/>
        <v>13.6</v>
      </c>
      <c r="N190" s="145">
        <f t="shared" si="8"/>
        <v>30.3</v>
      </c>
    </row>
    <row r="191" spans="2:511">
      <c r="B191" s="140">
        <v>373</v>
      </c>
      <c r="C191" t="s">
        <v>396</v>
      </c>
      <c r="D191" t="s">
        <v>1206</v>
      </c>
      <c r="E191" t="s">
        <v>1218</v>
      </c>
      <c r="F191" t="s">
        <v>1219</v>
      </c>
      <c r="G191" s="514">
        <v>19.5</v>
      </c>
      <c r="H191" s="514">
        <v>29.6</v>
      </c>
      <c r="I191" s="514">
        <v>27</v>
      </c>
      <c r="J191" s="514">
        <v>23.9</v>
      </c>
      <c r="K191" s="514">
        <v>98</v>
      </c>
      <c r="M191" s="145">
        <f t="shared" si="7"/>
        <v>19.5</v>
      </c>
      <c r="N191" s="145">
        <f t="shared" si="8"/>
        <v>23.9</v>
      </c>
    </row>
    <row r="192" spans="2:511">
      <c r="B192" s="140">
        <v>381</v>
      </c>
      <c r="C192" t="s">
        <v>397</v>
      </c>
      <c r="D192" t="s">
        <v>1217</v>
      </c>
      <c r="E192" t="s">
        <v>1218</v>
      </c>
      <c r="F192" t="s">
        <v>1219</v>
      </c>
      <c r="G192" s="514">
        <v>6.2</v>
      </c>
      <c r="H192" s="514">
        <v>20.9</v>
      </c>
      <c r="I192" s="514">
        <v>33.6</v>
      </c>
      <c r="J192" s="514">
        <v>39.299999999999997</v>
      </c>
      <c r="K192" s="514">
        <v>99.5</v>
      </c>
      <c r="M192" s="145">
        <f t="shared" si="7"/>
        <v>6.2</v>
      </c>
      <c r="N192" s="145">
        <f t="shared" si="8"/>
        <v>39.299999999999997</v>
      </c>
    </row>
    <row r="193" spans="2:14">
      <c r="B193" s="140">
        <v>381</v>
      </c>
      <c r="C193" t="s">
        <v>397</v>
      </c>
      <c r="D193" t="s">
        <v>1206</v>
      </c>
      <c r="E193" t="s">
        <v>1218</v>
      </c>
      <c r="F193" t="s">
        <v>1219</v>
      </c>
      <c r="G193" s="514">
        <v>11.3</v>
      </c>
      <c r="H193" s="514">
        <v>30.7</v>
      </c>
      <c r="I193" s="514">
        <v>29.9</v>
      </c>
      <c r="J193" s="514">
        <v>28.2</v>
      </c>
      <c r="K193" s="514">
        <v>99.1</v>
      </c>
      <c r="M193" s="145">
        <f t="shared" si="7"/>
        <v>11.3</v>
      </c>
      <c r="N193" s="145">
        <f t="shared" si="8"/>
        <v>28.2</v>
      </c>
    </row>
    <row r="194" spans="2:14">
      <c r="B194" s="140">
        <v>382</v>
      </c>
      <c r="C194" t="s">
        <v>398</v>
      </c>
      <c r="D194" t="s">
        <v>1217</v>
      </c>
      <c r="E194" t="s">
        <v>1218</v>
      </c>
      <c r="F194" t="s">
        <v>1219</v>
      </c>
      <c r="G194" s="514">
        <v>14.4</v>
      </c>
      <c r="H194" s="514">
        <v>32</v>
      </c>
      <c r="I194" s="514">
        <v>33</v>
      </c>
      <c r="J194" s="514">
        <v>20.6</v>
      </c>
      <c r="K194" s="514">
        <v>97</v>
      </c>
      <c r="M194" s="145">
        <f t="shared" si="7"/>
        <v>14.4</v>
      </c>
      <c r="N194" s="145">
        <f t="shared" si="8"/>
        <v>20.6</v>
      </c>
    </row>
    <row r="195" spans="2:14">
      <c r="B195" s="140">
        <v>382</v>
      </c>
      <c r="C195" t="s">
        <v>398</v>
      </c>
      <c r="D195" t="s">
        <v>1206</v>
      </c>
      <c r="E195" t="s">
        <v>1218</v>
      </c>
      <c r="F195" t="s">
        <v>1219</v>
      </c>
      <c r="G195" s="514">
        <v>18.600000000000001</v>
      </c>
      <c r="H195" s="514">
        <v>41.2</v>
      </c>
      <c r="I195" s="514">
        <v>26.8</v>
      </c>
      <c r="J195" s="514">
        <v>13.4</v>
      </c>
      <c r="K195" s="514">
        <v>97</v>
      </c>
      <c r="M195" s="145">
        <f t="shared" si="7"/>
        <v>18.600000000000001</v>
      </c>
      <c r="N195" s="145">
        <f t="shared" si="8"/>
        <v>13.4</v>
      </c>
    </row>
    <row r="196" spans="2:14">
      <c r="B196" s="140">
        <v>383</v>
      </c>
      <c r="C196" t="s">
        <v>399</v>
      </c>
      <c r="D196" t="s">
        <v>1217</v>
      </c>
      <c r="E196" t="s">
        <v>1218</v>
      </c>
      <c r="F196" t="s">
        <v>1219</v>
      </c>
      <c r="G196" s="514" t="s">
        <v>1220</v>
      </c>
      <c r="H196" s="514" t="s">
        <v>1220</v>
      </c>
      <c r="I196" s="514" t="s">
        <v>1220</v>
      </c>
      <c r="J196" s="514" t="s">
        <v>1220</v>
      </c>
      <c r="K196" s="514">
        <v>100</v>
      </c>
      <c r="M196" s="145">
        <f t="shared" si="7"/>
        <v>5</v>
      </c>
      <c r="N196" s="145">
        <f t="shared" si="8"/>
        <v>5</v>
      </c>
    </row>
    <row r="197" spans="2:14">
      <c r="B197" s="140">
        <v>383</v>
      </c>
      <c r="C197" t="s">
        <v>399</v>
      </c>
      <c r="D197" t="s">
        <v>1206</v>
      </c>
      <c r="E197" t="s">
        <v>1218</v>
      </c>
      <c r="F197" t="s">
        <v>1219</v>
      </c>
      <c r="G197" s="514" t="s">
        <v>1220</v>
      </c>
      <c r="H197" s="514" t="s">
        <v>1220</v>
      </c>
      <c r="I197" s="514" t="s">
        <v>1220</v>
      </c>
      <c r="J197" s="514" t="s">
        <v>1220</v>
      </c>
      <c r="K197" s="514">
        <v>100</v>
      </c>
      <c r="M197" s="145">
        <f t="shared" ref="M197:M260" si="12">IF(ISNUMBER(G197), G197, 5)</f>
        <v>5</v>
      </c>
      <c r="N197" s="145">
        <f t="shared" ref="N197:N260" si="13">IF(ISNUMBER(J197), J197, 5)</f>
        <v>5</v>
      </c>
    </row>
    <row r="198" spans="2:14">
      <c r="B198" s="140">
        <v>391</v>
      </c>
      <c r="C198" t="s">
        <v>400</v>
      </c>
      <c r="D198" t="s">
        <v>1217</v>
      </c>
      <c r="E198" t="s">
        <v>1218</v>
      </c>
      <c r="F198" t="s">
        <v>1219</v>
      </c>
      <c r="G198" s="514">
        <v>10.1</v>
      </c>
      <c r="H198" s="514">
        <v>22</v>
      </c>
      <c r="I198" s="514">
        <v>33.700000000000003</v>
      </c>
      <c r="J198" s="514">
        <v>34.200000000000003</v>
      </c>
      <c r="K198" s="514">
        <v>99</v>
      </c>
      <c r="M198" s="145">
        <f t="shared" si="12"/>
        <v>10.1</v>
      </c>
      <c r="N198" s="145">
        <f t="shared" si="13"/>
        <v>34.200000000000003</v>
      </c>
    </row>
    <row r="199" spans="2:14">
      <c r="B199" s="140">
        <v>391</v>
      </c>
      <c r="C199" t="s">
        <v>400</v>
      </c>
      <c r="D199" t="s">
        <v>1206</v>
      </c>
      <c r="E199" t="s">
        <v>1218</v>
      </c>
      <c r="F199" t="s">
        <v>1219</v>
      </c>
      <c r="G199" s="514">
        <v>11.1</v>
      </c>
      <c r="H199" s="514">
        <v>32.5</v>
      </c>
      <c r="I199" s="514">
        <v>26.7</v>
      </c>
      <c r="J199" s="514">
        <v>29.6</v>
      </c>
      <c r="K199" s="514">
        <v>99</v>
      </c>
      <c r="M199" s="145">
        <f t="shared" si="12"/>
        <v>11.1</v>
      </c>
      <c r="N199" s="145">
        <f t="shared" si="13"/>
        <v>29.6</v>
      </c>
    </row>
    <row r="200" spans="2:14">
      <c r="B200" s="140">
        <v>392</v>
      </c>
      <c r="C200" t="s">
        <v>401</v>
      </c>
      <c r="D200" t="s">
        <v>1217</v>
      </c>
      <c r="E200" t="s">
        <v>1218</v>
      </c>
      <c r="F200" t="s">
        <v>1219</v>
      </c>
      <c r="G200" s="514" t="s">
        <v>1220</v>
      </c>
      <c r="H200" s="514" t="s">
        <v>1220</v>
      </c>
      <c r="I200" s="514">
        <v>39.6</v>
      </c>
      <c r="J200" s="514">
        <v>37.700000000000003</v>
      </c>
      <c r="K200" s="514">
        <v>98.1</v>
      </c>
      <c r="M200" s="145">
        <f t="shared" si="12"/>
        <v>5</v>
      </c>
      <c r="N200" s="145">
        <f t="shared" si="13"/>
        <v>37.700000000000003</v>
      </c>
    </row>
    <row r="201" spans="2:14">
      <c r="B201" s="140">
        <v>392</v>
      </c>
      <c r="C201" t="s">
        <v>401</v>
      </c>
      <c r="D201" t="s">
        <v>1206</v>
      </c>
      <c r="E201" t="s">
        <v>1218</v>
      </c>
      <c r="F201" t="s">
        <v>1219</v>
      </c>
      <c r="G201" s="514" t="s">
        <v>1220</v>
      </c>
      <c r="H201" s="514">
        <v>30.2</v>
      </c>
      <c r="I201" s="514">
        <v>39.6</v>
      </c>
      <c r="J201" s="514" t="s">
        <v>1220</v>
      </c>
      <c r="K201" s="514">
        <v>98.1</v>
      </c>
      <c r="M201" s="145">
        <f t="shared" si="12"/>
        <v>5</v>
      </c>
      <c r="N201" s="145">
        <f t="shared" si="13"/>
        <v>5</v>
      </c>
    </row>
    <row r="202" spans="2:14">
      <c r="B202" s="140">
        <v>393</v>
      </c>
      <c r="C202" t="s">
        <v>402</v>
      </c>
      <c r="D202" t="s">
        <v>1217</v>
      </c>
      <c r="E202" t="s">
        <v>1218</v>
      </c>
      <c r="F202" t="s">
        <v>1219</v>
      </c>
      <c r="G202" s="514">
        <v>9.3000000000000007</v>
      </c>
      <c r="H202" s="514">
        <v>25</v>
      </c>
      <c r="I202" s="514">
        <v>36.200000000000003</v>
      </c>
      <c r="J202" s="514">
        <v>29.5</v>
      </c>
      <c r="K202" s="514">
        <v>99.3</v>
      </c>
      <c r="M202" s="145">
        <f t="shared" si="12"/>
        <v>9.3000000000000007</v>
      </c>
      <c r="N202" s="145">
        <f t="shared" si="13"/>
        <v>29.5</v>
      </c>
    </row>
    <row r="203" spans="2:14">
      <c r="B203" s="140">
        <v>393</v>
      </c>
      <c r="C203" t="s">
        <v>402</v>
      </c>
      <c r="D203" t="s">
        <v>1206</v>
      </c>
      <c r="E203" t="s">
        <v>1218</v>
      </c>
      <c r="F203" t="s">
        <v>1219</v>
      </c>
      <c r="G203" s="514">
        <v>14.2</v>
      </c>
      <c r="H203" s="514">
        <v>35.1</v>
      </c>
      <c r="I203" s="514">
        <v>29.9</v>
      </c>
      <c r="J203" s="514">
        <v>20.9</v>
      </c>
      <c r="K203" s="514">
        <v>99.3</v>
      </c>
      <c r="M203" s="145">
        <f t="shared" si="12"/>
        <v>14.2</v>
      </c>
      <c r="N203" s="145">
        <f t="shared" si="13"/>
        <v>20.9</v>
      </c>
    </row>
    <row r="204" spans="2:14">
      <c r="B204" s="140">
        <v>394</v>
      </c>
      <c r="C204" t="s">
        <v>403</v>
      </c>
      <c r="D204" t="s">
        <v>1217</v>
      </c>
      <c r="E204" t="s">
        <v>1218</v>
      </c>
      <c r="F204" t="s">
        <v>1219</v>
      </c>
      <c r="G204" s="514" t="s">
        <v>1220</v>
      </c>
      <c r="H204" s="514" t="s">
        <v>1220</v>
      </c>
      <c r="I204" s="514" t="s">
        <v>1220</v>
      </c>
      <c r="J204" s="514" t="s">
        <v>1220</v>
      </c>
      <c r="K204" s="514">
        <v>100</v>
      </c>
      <c r="M204" s="145">
        <f t="shared" si="12"/>
        <v>5</v>
      </c>
      <c r="N204" s="145">
        <f t="shared" si="13"/>
        <v>5</v>
      </c>
    </row>
    <row r="205" spans="2:14">
      <c r="B205" s="140">
        <v>394</v>
      </c>
      <c r="C205" t="s">
        <v>403</v>
      </c>
      <c r="D205" t="s">
        <v>1206</v>
      </c>
      <c r="E205" t="s">
        <v>1218</v>
      </c>
      <c r="F205" t="s">
        <v>1219</v>
      </c>
      <c r="G205" s="514" t="s">
        <v>1220</v>
      </c>
      <c r="H205" s="514" t="s">
        <v>1220</v>
      </c>
      <c r="I205" s="514" t="s">
        <v>1220</v>
      </c>
      <c r="J205" s="514" t="s">
        <v>1220</v>
      </c>
      <c r="K205" s="514">
        <v>100</v>
      </c>
      <c r="M205" s="145">
        <f t="shared" si="12"/>
        <v>5</v>
      </c>
      <c r="N205" s="145">
        <f t="shared" si="13"/>
        <v>5</v>
      </c>
    </row>
    <row r="206" spans="2:14">
      <c r="B206" s="140">
        <v>401</v>
      </c>
      <c r="C206" t="s">
        <v>404</v>
      </c>
      <c r="D206" t="s">
        <v>1217</v>
      </c>
      <c r="E206" t="s">
        <v>1218</v>
      </c>
      <c r="F206" t="s">
        <v>1219</v>
      </c>
      <c r="G206" s="514">
        <v>9.8000000000000007</v>
      </c>
      <c r="H206" s="514">
        <v>21.9</v>
      </c>
      <c r="I206" s="514">
        <v>32.200000000000003</v>
      </c>
      <c r="J206" s="514">
        <v>36.1</v>
      </c>
      <c r="K206" s="514">
        <v>93.1</v>
      </c>
      <c r="M206" s="145">
        <f t="shared" si="12"/>
        <v>9.8000000000000007</v>
      </c>
      <c r="N206" s="145">
        <f t="shared" si="13"/>
        <v>36.1</v>
      </c>
    </row>
    <row r="207" spans="2:14">
      <c r="B207" s="140">
        <v>401</v>
      </c>
      <c r="C207" t="s">
        <v>404</v>
      </c>
      <c r="D207" t="s">
        <v>1206</v>
      </c>
      <c r="E207" t="s">
        <v>1218</v>
      </c>
      <c r="F207" t="s">
        <v>1219</v>
      </c>
      <c r="G207" s="514">
        <v>17.2</v>
      </c>
      <c r="H207" s="514">
        <v>30.2</v>
      </c>
      <c r="I207" s="514">
        <v>25.9</v>
      </c>
      <c r="J207" s="514">
        <v>26.7</v>
      </c>
      <c r="K207" s="514">
        <v>93.3</v>
      </c>
      <c r="M207" s="145">
        <f t="shared" si="12"/>
        <v>17.2</v>
      </c>
      <c r="N207" s="145">
        <f t="shared" si="13"/>
        <v>26.7</v>
      </c>
    </row>
    <row r="208" spans="2:14">
      <c r="B208" s="140">
        <v>411</v>
      </c>
      <c r="C208" t="s">
        <v>405</v>
      </c>
      <c r="D208" t="s">
        <v>1217</v>
      </c>
      <c r="E208" t="s">
        <v>1218</v>
      </c>
      <c r="F208" t="s">
        <v>1219</v>
      </c>
      <c r="G208" s="514">
        <v>15.8</v>
      </c>
      <c r="H208" s="514">
        <v>23.3</v>
      </c>
      <c r="I208" s="514">
        <v>30.4</v>
      </c>
      <c r="J208" s="514">
        <v>30.4</v>
      </c>
      <c r="K208" s="514">
        <v>99.1</v>
      </c>
      <c r="M208" s="145">
        <f t="shared" si="12"/>
        <v>15.8</v>
      </c>
      <c r="N208" s="145">
        <f t="shared" si="13"/>
        <v>30.4</v>
      </c>
    </row>
    <row r="209" spans="2:14">
      <c r="B209" s="140">
        <v>411</v>
      </c>
      <c r="C209" t="s">
        <v>405</v>
      </c>
      <c r="D209" t="s">
        <v>1206</v>
      </c>
      <c r="E209" t="s">
        <v>1218</v>
      </c>
      <c r="F209" t="s">
        <v>1219</v>
      </c>
      <c r="G209" s="514">
        <v>20.7</v>
      </c>
      <c r="H209" s="514">
        <v>30.2</v>
      </c>
      <c r="I209" s="514">
        <v>23.9</v>
      </c>
      <c r="J209" s="514">
        <v>25.3</v>
      </c>
      <c r="K209" s="514">
        <v>98.8</v>
      </c>
      <c r="M209" s="145">
        <f t="shared" si="12"/>
        <v>20.7</v>
      </c>
      <c r="N209" s="145">
        <f t="shared" si="13"/>
        <v>25.3</v>
      </c>
    </row>
    <row r="210" spans="2:14">
      <c r="B210" s="140">
        <v>412</v>
      </c>
      <c r="C210" t="s">
        <v>406</v>
      </c>
      <c r="D210" t="s">
        <v>1217</v>
      </c>
      <c r="E210" t="s">
        <v>1218</v>
      </c>
      <c r="F210" t="s">
        <v>1219</v>
      </c>
      <c r="G210" s="514">
        <v>4.7</v>
      </c>
      <c r="H210" s="514">
        <v>15.7</v>
      </c>
      <c r="I210" s="514">
        <v>32.700000000000003</v>
      </c>
      <c r="J210" s="514">
        <v>47</v>
      </c>
      <c r="K210" s="514">
        <v>99.3</v>
      </c>
      <c r="M210" s="145">
        <f t="shared" si="12"/>
        <v>4.7</v>
      </c>
      <c r="N210" s="145">
        <f t="shared" si="13"/>
        <v>47</v>
      </c>
    </row>
    <row r="211" spans="2:14">
      <c r="B211" s="140">
        <v>412</v>
      </c>
      <c r="C211" t="s">
        <v>406</v>
      </c>
      <c r="D211" t="s">
        <v>1206</v>
      </c>
      <c r="E211" t="s">
        <v>1218</v>
      </c>
      <c r="F211" t="s">
        <v>1219</v>
      </c>
      <c r="G211" s="514">
        <v>8.1999999999999993</v>
      </c>
      <c r="H211" s="514">
        <v>25</v>
      </c>
      <c r="I211" s="514">
        <v>34.200000000000003</v>
      </c>
      <c r="J211" s="514">
        <v>32.6</v>
      </c>
      <c r="K211" s="514">
        <v>99.9</v>
      </c>
      <c r="M211" s="145">
        <f t="shared" si="12"/>
        <v>8.1999999999999993</v>
      </c>
      <c r="N211" s="145">
        <f t="shared" si="13"/>
        <v>32.6</v>
      </c>
    </row>
    <row r="212" spans="2:14">
      <c r="B212" s="140">
        <v>413</v>
      </c>
      <c r="C212" t="s">
        <v>407</v>
      </c>
      <c r="D212" t="s">
        <v>1217</v>
      </c>
      <c r="E212" t="s">
        <v>1218</v>
      </c>
      <c r="F212" t="s">
        <v>1219</v>
      </c>
      <c r="G212" s="514">
        <v>10.9</v>
      </c>
      <c r="H212" s="514">
        <v>24.4</v>
      </c>
      <c r="I212" s="514">
        <v>32.6</v>
      </c>
      <c r="J212" s="514">
        <v>32.200000000000003</v>
      </c>
      <c r="K212" s="514">
        <v>98.9</v>
      </c>
      <c r="M212" s="145">
        <f t="shared" si="12"/>
        <v>10.9</v>
      </c>
      <c r="N212" s="145">
        <f t="shared" si="13"/>
        <v>32.200000000000003</v>
      </c>
    </row>
    <row r="213" spans="2:14">
      <c r="B213" s="140">
        <v>413</v>
      </c>
      <c r="C213" t="s">
        <v>407</v>
      </c>
      <c r="D213" t="s">
        <v>1206</v>
      </c>
      <c r="E213" t="s">
        <v>1218</v>
      </c>
      <c r="F213" t="s">
        <v>1219</v>
      </c>
      <c r="G213" s="514">
        <v>15</v>
      </c>
      <c r="H213" s="514">
        <v>33</v>
      </c>
      <c r="I213" s="514">
        <v>27.5</v>
      </c>
      <c r="J213" s="514">
        <v>24.5</v>
      </c>
      <c r="K213" s="514">
        <v>98.9</v>
      </c>
      <c r="M213" s="145">
        <f t="shared" si="12"/>
        <v>15</v>
      </c>
      <c r="N213" s="145">
        <f t="shared" si="13"/>
        <v>24.5</v>
      </c>
    </row>
    <row r="214" spans="2:14">
      <c r="B214" s="140">
        <v>414</v>
      </c>
      <c r="C214" t="s">
        <v>408</v>
      </c>
      <c r="D214" t="s">
        <v>1217</v>
      </c>
      <c r="E214" t="s">
        <v>1218</v>
      </c>
      <c r="F214" t="s">
        <v>1219</v>
      </c>
      <c r="G214" s="514">
        <v>18.3</v>
      </c>
      <c r="H214" s="514">
        <v>28</v>
      </c>
      <c r="I214" s="514">
        <v>31.9</v>
      </c>
      <c r="J214" s="514">
        <v>21.8</v>
      </c>
      <c r="K214" s="514">
        <v>99.4</v>
      </c>
      <c r="M214" s="145">
        <f t="shared" si="12"/>
        <v>18.3</v>
      </c>
      <c r="N214" s="145">
        <f t="shared" si="13"/>
        <v>21.8</v>
      </c>
    </row>
    <row r="215" spans="2:14">
      <c r="B215" s="140">
        <v>414</v>
      </c>
      <c r="C215" t="s">
        <v>408</v>
      </c>
      <c r="D215" t="s">
        <v>1206</v>
      </c>
      <c r="E215" t="s">
        <v>1218</v>
      </c>
      <c r="F215" t="s">
        <v>1219</v>
      </c>
      <c r="G215" s="514">
        <v>21.4</v>
      </c>
      <c r="H215" s="514">
        <v>35</v>
      </c>
      <c r="I215" s="514">
        <v>25.2</v>
      </c>
      <c r="J215" s="514">
        <v>18.399999999999999</v>
      </c>
      <c r="K215" s="514">
        <v>99.5</v>
      </c>
      <c r="M215" s="145">
        <f t="shared" si="12"/>
        <v>21.4</v>
      </c>
      <c r="N215" s="145">
        <f t="shared" si="13"/>
        <v>18.399999999999999</v>
      </c>
    </row>
    <row r="216" spans="2:14">
      <c r="B216" s="140">
        <v>415</v>
      </c>
      <c r="C216" t="s">
        <v>409</v>
      </c>
      <c r="D216" t="s">
        <v>1217</v>
      </c>
      <c r="E216" t="s">
        <v>1218</v>
      </c>
      <c r="F216" t="s">
        <v>1219</v>
      </c>
      <c r="G216" s="514">
        <v>9.3000000000000007</v>
      </c>
      <c r="H216" s="514">
        <v>16.3</v>
      </c>
      <c r="I216" s="514">
        <v>34.9</v>
      </c>
      <c r="J216" s="514">
        <v>39.5</v>
      </c>
      <c r="K216" s="514">
        <v>99.4</v>
      </c>
      <c r="M216" s="145">
        <f t="shared" si="12"/>
        <v>9.3000000000000007</v>
      </c>
      <c r="N216" s="145">
        <f t="shared" si="13"/>
        <v>39.5</v>
      </c>
    </row>
    <row r="217" spans="2:14">
      <c r="B217" s="140">
        <v>415</v>
      </c>
      <c r="C217" t="s">
        <v>409</v>
      </c>
      <c r="D217" t="s">
        <v>1206</v>
      </c>
      <c r="E217" t="s">
        <v>1218</v>
      </c>
      <c r="F217" t="s">
        <v>1219</v>
      </c>
      <c r="G217" s="514">
        <v>7.5</v>
      </c>
      <c r="H217" s="514">
        <v>31.8</v>
      </c>
      <c r="I217" s="514">
        <v>36.4</v>
      </c>
      <c r="J217" s="514">
        <v>24.3</v>
      </c>
      <c r="K217" s="514">
        <v>100</v>
      </c>
      <c r="M217" s="145">
        <f t="shared" si="12"/>
        <v>7.5</v>
      </c>
      <c r="N217" s="145">
        <f t="shared" si="13"/>
        <v>24.3</v>
      </c>
    </row>
    <row r="218" spans="2:14">
      <c r="B218" s="140">
        <v>416</v>
      </c>
      <c r="C218" t="s">
        <v>410</v>
      </c>
      <c r="D218" t="s">
        <v>1217</v>
      </c>
      <c r="E218" t="s">
        <v>1218</v>
      </c>
      <c r="F218" t="s">
        <v>1219</v>
      </c>
      <c r="G218" s="514" t="s">
        <v>1220</v>
      </c>
      <c r="H218" s="514" t="s">
        <v>1220</v>
      </c>
      <c r="I218" s="514" t="s">
        <v>1220</v>
      </c>
      <c r="J218" s="514" t="s">
        <v>1220</v>
      </c>
      <c r="K218" s="514">
        <v>100</v>
      </c>
      <c r="M218" s="145">
        <f t="shared" si="12"/>
        <v>5</v>
      </c>
      <c r="N218" s="145">
        <f t="shared" si="13"/>
        <v>5</v>
      </c>
    </row>
    <row r="219" spans="2:14">
      <c r="B219" s="140">
        <v>416</v>
      </c>
      <c r="C219" t="s">
        <v>410</v>
      </c>
      <c r="D219" t="s">
        <v>1206</v>
      </c>
      <c r="E219" t="s">
        <v>1218</v>
      </c>
      <c r="F219" t="s">
        <v>1219</v>
      </c>
      <c r="G219" s="514" t="s">
        <v>1220</v>
      </c>
      <c r="H219" s="514" t="s">
        <v>1220</v>
      </c>
      <c r="I219" s="514" t="s">
        <v>1220</v>
      </c>
      <c r="J219" s="514" t="s">
        <v>1220</v>
      </c>
      <c r="K219" s="514">
        <v>100</v>
      </c>
      <c r="M219" s="145">
        <f t="shared" si="12"/>
        <v>5</v>
      </c>
      <c r="N219" s="145">
        <f t="shared" si="13"/>
        <v>5</v>
      </c>
    </row>
    <row r="220" spans="2:14">
      <c r="B220" s="140">
        <v>417</v>
      </c>
      <c r="C220" t="s">
        <v>411</v>
      </c>
      <c r="D220" t="s">
        <v>1217</v>
      </c>
      <c r="E220" t="s">
        <v>1218</v>
      </c>
      <c r="F220" t="s">
        <v>1219</v>
      </c>
      <c r="G220" s="514">
        <v>10.1</v>
      </c>
      <c r="H220" s="514">
        <v>19</v>
      </c>
      <c r="I220" s="514">
        <v>39.200000000000003</v>
      </c>
      <c r="J220" s="514">
        <v>31.6</v>
      </c>
      <c r="K220" s="514">
        <v>99.4</v>
      </c>
      <c r="M220" s="145">
        <f t="shared" si="12"/>
        <v>10.1</v>
      </c>
      <c r="N220" s="145">
        <f t="shared" si="13"/>
        <v>31.6</v>
      </c>
    </row>
    <row r="221" spans="2:14">
      <c r="B221" s="140">
        <v>417</v>
      </c>
      <c r="C221" t="s">
        <v>411</v>
      </c>
      <c r="D221" t="s">
        <v>1206</v>
      </c>
      <c r="E221" t="s">
        <v>1218</v>
      </c>
      <c r="F221" t="s">
        <v>1219</v>
      </c>
      <c r="G221" s="514">
        <v>6.3</v>
      </c>
      <c r="H221" s="514">
        <v>32.9</v>
      </c>
      <c r="I221" s="514">
        <v>24.7</v>
      </c>
      <c r="J221" s="514">
        <v>36.1</v>
      </c>
      <c r="K221" s="514">
        <v>99.4</v>
      </c>
      <c r="M221" s="145">
        <f t="shared" si="12"/>
        <v>6.3</v>
      </c>
      <c r="N221" s="145">
        <f t="shared" si="13"/>
        <v>36.1</v>
      </c>
    </row>
    <row r="222" spans="2:14">
      <c r="B222" s="140">
        <v>418</v>
      </c>
      <c r="C222" t="s">
        <v>412</v>
      </c>
      <c r="D222" t="s">
        <v>1217</v>
      </c>
      <c r="E222" t="s">
        <v>1218</v>
      </c>
      <c r="F222" t="s">
        <v>1219</v>
      </c>
      <c r="G222" s="514">
        <v>21.3</v>
      </c>
      <c r="H222" s="514">
        <v>25.8</v>
      </c>
      <c r="I222" s="514">
        <v>29.7</v>
      </c>
      <c r="J222" s="514">
        <v>23.2</v>
      </c>
      <c r="K222" s="514">
        <v>100</v>
      </c>
      <c r="M222" s="145">
        <f t="shared" si="12"/>
        <v>21.3</v>
      </c>
      <c r="N222" s="145">
        <f t="shared" si="13"/>
        <v>23.2</v>
      </c>
    </row>
    <row r="223" spans="2:14">
      <c r="B223" s="140">
        <v>418</v>
      </c>
      <c r="C223" t="s">
        <v>412</v>
      </c>
      <c r="D223" t="s">
        <v>1206</v>
      </c>
      <c r="E223" t="s">
        <v>1218</v>
      </c>
      <c r="F223" t="s">
        <v>1219</v>
      </c>
      <c r="G223" s="514">
        <v>23.9</v>
      </c>
      <c r="H223" s="514">
        <v>32.9</v>
      </c>
      <c r="I223" s="514">
        <v>25.8</v>
      </c>
      <c r="J223" s="514">
        <v>17.399999999999999</v>
      </c>
      <c r="K223" s="514">
        <v>100</v>
      </c>
      <c r="M223" s="145">
        <f t="shared" si="12"/>
        <v>23.9</v>
      </c>
      <c r="N223" s="145">
        <f t="shared" si="13"/>
        <v>17.399999999999999</v>
      </c>
    </row>
    <row r="224" spans="2:14">
      <c r="B224" s="140">
        <v>421</v>
      </c>
      <c r="C224" t="s">
        <v>1127</v>
      </c>
      <c r="D224" t="s">
        <v>1217</v>
      </c>
      <c r="E224" t="s">
        <v>1218</v>
      </c>
      <c r="F224" t="s">
        <v>1219</v>
      </c>
      <c r="G224" s="514">
        <v>24.7</v>
      </c>
      <c r="H224" s="514">
        <v>26.4</v>
      </c>
      <c r="I224" s="514">
        <v>29.4</v>
      </c>
      <c r="J224" s="514">
        <v>19.600000000000001</v>
      </c>
      <c r="K224" s="514">
        <v>100</v>
      </c>
      <c r="M224" s="145">
        <f t="shared" si="12"/>
        <v>24.7</v>
      </c>
      <c r="N224" s="145">
        <f t="shared" si="13"/>
        <v>19.600000000000001</v>
      </c>
    </row>
    <row r="225" spans="2:14">
      <c r="B225" s="140">
        <v>421</v>
      </c>
      <c r="C225" t="s">
        <v>1127</v>
      </c>
      <c r="D225" t="s">
        <v>1206</v>
      </c>
      <c r="E225" t="s">
        <v>1218</v>
      </c>
      <c r="F225" t="s">
        <v>1219</v>
      </c>
      <c r="G225" s="514">
        <v>33.1</v>
      </c>
      <c r="H225" s="514">
        <v>38.700000000000003</v>
      </c>
      <c r="I225" s="514">
        <v>16.5</v>
      </c>
      <c r="J225" s="514">
        <v>11.7</v>
      </c>
      <c r="K225" s="514">
        <v>99.8</v>
      </c>
      <c r="M225" s="145">
        <f t="shared" si="12"/>
        <v>33.1</v>
      </c>
      <c r="N225" s="145">
        <f t="shared" si="13"/>
        <v>11.7</v>
      </c>
    </row>
    <row r="226" spans="2:14">
      <c r="B226" s="140">
        <v>422</v>
      </c>
      <c r="C226" t="s">
        <v>414</v>
      </c>
      <c r="D226" t="s">
        <v>1217</v>
      </c>
      <c r="E226" t="s">
        <v>1218</v>
      </c>
      <c r="F226" t="s">
        <v>1219</v>
      </c>
      <c r="G226" s="514" t="s">
        <v>1220</v>
      </c>
      <c r="H226" s="514" t="s">
        <v>1220</v>
      </c>
      <c r="I226" s="514">
        <v>31.8</v>
      </c>
      <c r="J226" s="514">
        <v>34.799999999999997</v>
      </c>
      <c r="K226" s="514">
        <v>100</v>
      </c>
      <c r="M226" s="145">
        <f t="shared" si="12"/>
        <v>5</v>
      </c>
      <c r="N226" s="145">
        <f t="shared" si="13"/>
        <v>34.799999999999997</v>
      </c>
    </row>
    <row r="227" spans="2:14">
      <c r="B227" s="140">
        <v>422</v>
      </c>
      <c r="C227" t="s">
        <v>414</v>
      </c>
      <c r="D227" t="s">
        <v>1206</v>
      </c>
      <c r="E227" t="s">
        <v>1218</v>
      </c>
      <c r="F227" t="s">
        <v>1219</v>
      </c>
      <c r="G227" s="514">
        <v>9.1</v>
      </c>
      <c r="H227" s="514">
        <v>29.5</v>
      </c>
      <c r="I227" s="514">
        <v>26.5</v>
      </c>
      <c r="J227" s="514">
        <v>34.799999999999997</v>
      </c>
      <c r="K227" s="514">
        <v>100</v>
      </c>
      <c r="M227" s="145">
        <f t="shared" si="12"/>
        <v>9.1</v>
      </c>
      <c r="N227" s="145">
        <f t="shared" si="13"/>
        <v>34.799999999999997</v>
      </c>
    </row>
    <row r="228" spans="2:14">
      <c r="B228" s="140">
        <v>431</v>
      </c>
      <c r="C228" t="s">
        <v>415</v>
      </c>
      <c r="D228" t="s">
        <v>1217</v>
      </c>
      <c r="E228" t="s">
        <v>1218</v>
      </c>
      <c r="F228" t="s">
        <v>1219</v>
      </c>
      <c r="G228" s="514">
        <v>16.2</v>
      </c>
      <c r="H228" s="514">
        <v>23</v>
      </c>
      <c r="I228" s="514">
        <v>31.6</v>
      </c>
      <c r="J228" s="514">
        <v>29.2</v>
      </c>
      <c r="K228" s="514">
        <v>99.4</v>
      </c>
      <c r="M228" s="145">
        <f t="shared" si="12"/>
        <v>16.2</v>
      </c>
      <c r="N228" s="145">
        <f t="shared" si="13"/>
        <v>29.2</v>
      </c>
    </row>
    <row r="229" spans="2:14">
      <c r="B229" s="140">
        <v>431</v>
      </c>
      <c r="C229" t="s">
        <v>415</v>
      </c>
      <c r="D229" t="s">
        <v>1206</v>
      </c>
      <c r="E229" t="s">
        <v>1218</v>
      </c>
      <c r="F229" t="s">
        <v>1219</v>
      </c>
      <c r="G229" s="514">
        <v>17.8</v>
      </c>
      <c r="H229" s="514">
        <v>32.799999999999997</v>
      </c>
      <c r="I229" s="514">
        <v>26.9</v>
      </c>
      <c r="J229" s="514">
        <v>22.6</v>
      </c>
      <c r="K229" s="514">
        <v>99.7</v>
      </c>
      <c r="M229" s="145">
        <f t="shared" si="12"/>
        <v>17.8</v>
      </c>
      <c r="N229" s="145">
        <f t="shared" si="13"/>
        <v>22.6</v>
      </c>
    </row>
    <row r="230" spans="2:14">
      <c r="B230" s="140">
        <v>432</v>
      </c>
      <c r="C230" t="s">
        <v>416</v>
      </c>
      <c r="D230" t="s">
        <v>1217</v>
      </c>
      <c r="E230" t="s">
        <v>1218</v>
      </c>
      <c r="F230" t="s">
        <v>1219</v>
      </c>
      <c r="G230" s="514" t="s">
        <v>1220</v>
      </c>
      <c r="H230" s="514" t="s">
        <v>1220</v>
      </c>
      <c r="I230" s="514">
        <v>25.6</v>
      </c>
      <c r="J230" s="514">
        <v>32.6</v>
      </c>
      <c r="K230" s="514">
        <v>76.8</v>
      </c>
      <c r="M230" s="145">
        <f t="shared" si="12"/>
        <v>5</v>
      </c>
      <c r="N230" s="145">
        <f t="shared" si="13"/>
        <v>32.6</v>
      </c>
    </row>
    <row r="231" spans="2:14">
      <c r="B231" s="140">
        <v>432</v>
      </c>
      <c r="C231" t="s">
        <v>416</v>
      </c>
      <c r="D231" t="s">
        <v>1206</v>
      </c>
      <c r="E231" t="s">
        <v>1218</v>
      </c>
      <c r="F231" t="s">
        <v>1219</v>
      </c>
      <c r="G231" s="514" t="s">
        <v>1220</v>
      </c>
      <c r="H231" s="514" t="s">
        <v>1220</v>
      </c>
      <c r="I231" s="514">
        <v>29.5</v>
      </c>
      <c r="J231" s="514">
        <v>36.4</v>
      </c>
      <c r="K231" s="514">
        <v>78.599999999999994</v>
      </c>
      <c r="M231" s="145">
        <f t="shared" si="12"/>
        <v>5</v>
      </c>
      <c r="N231" s="145">
        <f t="shared" si="13"/>
        <v>36.4</v>
      </c>
    </row>
    <row r="232" spans="2:14">
      <c r="B232" s="140">
        <v>433</v>
      </c>
      <c r="C232" t="s">
        <v>417</v>
      </c>
      <c r="D232" t="s">
        <v>1217</v>
      </c>
      <c r="E232" t="s">
        <v>1218</v>
      </c>
      <c r="F232" t="s">
        <v>1219</v>
      </c>
      <c r="G232" s="514" t="s">
        <v>1220</v>
      </c>
      <c r="H232" s="514" t="s">
        <v>1220</v>
      </c>
      <c r="I232" s="514">
        <v>35.5</v>
      </c>
      <c r="J232" s="514">
        <v>29</v>
      </c>
      <c r="K232" s="514">
        <v>98.4</v>
      </c>
      <c r="M232" s="145">
        <f t="shared" si="12"/>
        <v>5</v>
      </c>
      <c r="N232" s="145">
        <f t="shared" si="13"/>
        <v>29</v>
      </c>
    </row>
    <row r="233" spans="2:14">
      <c r="B233" s="140">
        <v>433</v>
      </c>
      <c r="C233" t="s">
        <v>417</v>
      </c>
      <c r="D233" t="s">
        <v>1206</v>
      </c>
      <c r="E233" t="s">
        <v>1218</v>
      </c>
      <c r="F233" t="s">
        <v>1219</v>
      </c>
      <c r="G233" s="514" t="s">
        <v>1220</v>
      </c>
      <c r="H233" s="514">
        <v>30.6</v>
      </c>
      <c r="I233" s="514" t="s">
        <v>1220</v>
      </c>
      <c r="J233" s="514">
        <v>29</v>
      </c>
      <c r="K233" s="514">
        <v>98.4</v>
      </c>
      <c r="M233" s="145">
        <f t="shared" si="12"/>
        <v>5</v>
      </c>
      <c r="N233" s="145">
        <f t="shared" si="13"/>
        <v>29</v>
      </c>
    </row>
    <row r="234" spans="2:14">
      <c r="B234" s="140">
        <v>451</v>
      </c>
      <c r="C234" t="s">
        <v>418</v>
      </c>
      <c r="D234" t="s">
        <v>1217</v>
      </c>
      <c r="E234" t="s">
        <v>1218</v>
      </c>
      <c r="F234" t="s">
        <v>1219</v>
      </c>
      <c r="G234" s="514">
        <v>40.6</v>
      </c>
      <c r="H234" s="514">
        <v>24.9</v>
      </c>
      <c r="I234" s="514">
        <v>24</v>
      </c>
      <c r="J234" s="514">
        <v>10.6</v>
      </c>
      <c r="K234" s="514">
        <v>100</v>
      </c>
      <c r="M234" s="145">
        <f t="shared" si="12"/>
        <v>40.6</v>
      </c>
      <c r="N234" s="145">
        <f t="shared" si="13"/>
        <v>10.6</v>
      </c>
    </row>
    <row r="235" spans="2:14">
      <c r="B235" s="140">
        <v>451</v>
      </c>
      <c r="C235" t="s">
        <v>418</v>
      </c>
      <c r="D235" t="s">
        <v>1206</v>
      </c>
      <c r="E235" t="s">
        <v>1218</v>
      </c>
      <c r="F235" t="s">
        <v>1219</v>
      </c>
      <c r="G235" s="514">
        <v>42.9</v>
      </c>
      <c r="H235" s="514">
        <v>38.700000000000003</v>
      </c>
      <c r="I235" s="514">
        <v>12.9</v>
      </c>
      <c r="J235" s="514">
        <v>5.5</v>
      </c>
      <c r="K235" s="514">
        <v>100</v>
      </c>
      <c r="M235" s="145">
        <f t="shared" si="12"/>
        <v>42.9</v>
      </c>
      <c r="N235" s="145">
        <f t="shared" si="13"/>
        <v>5.5</v>
      </c>
    </row>
    <row r="236" spans="2:14">
      <c r="B236" s="140">
        <v>452</v>
      </c>
      <c r="C236" t="s">
        <v>419</v>
      </c>
      <c r="D236" t="s">
        <v>1217</v>
      </c>
      <c r="E236" t="s">
        <v>1218</v>
      </c>
      <c r="F236" t="s">
        <v>1219</v>
      </c>
      <c r="G236" s="514">
        <v>11.2</v>
      </c>
      <c r="H236" s="514">
        <v>19.7</v>
      </c>
      <c r="I236" s="514">
        <v>28.8</v>
      </c>
      <c r="J236" s="514">
        <v>40.299999999999997</v>
      </c>
      <c r="K236" s="514">
        <v>96.7</v>
      </c>
      <c r="M236" s="145">
        <f t="shared" si="12"/>
        <v>11.2</v>
      </c>
      <c r="N236" s="145">
        <f t="shared" si="13"/>
        <v>40.299999999999997</v>
      </c>
    </row>
    <row r="237" spans="2:14">
      <c r="B237" s="140">
        <v>452</v>
      </c>
      <c r="C237" t="s">
        <v>419</v>
      </c>
      <c r="D237" t="s">
        <v>1206</v>
      </c>
      <c r="E237" t="s">
        <v>1218</v>
      </c>
      <c r="F237" t="s">
        <v>1219</v>
      </c>
      <c r="G237" s="514">
        <v>18.600000000000001</v>
      </c>
      <c r="H237" s="514">
        <v>30.9</v>
      </c>
      <c r="I237" s="514">
        <v>23.3</v>
      </c>
      <c r="J237" s="514">
        <v>27.2</v>
      </c>
      <c r="K237" s="514">
        <v>96.4</v>
      </c>
      <c r="M237" s="145">
        <f t="shared" si="12"/>
        <v>18.600000000000001</v>
      </c>
      <c r="N237" s="145">
        <f t="shared" si="13"/>
        <v>27.2</v>
      </c>
    </row>
    <row r="238" spans="2:14">
      <c r="B238" s="140">
        <v>453</v>
      </c>
      <c r="C238" t="s">
        <v>1142</v>
      </c>
      <c r="D238" t="s">
        <v>1217</v>
      </c>
      <c r="E238" t="s">
        <v>1218</v>
      </c>
      <c r="F238" t="s">
        <v>1219</v>
      </c>
      <c r="G238" s="514" t="s">
        <v>1220</v>
      </c>
      <c r="H238" s="514" t="s">
        <v>1220</v>
      </c>
      <c r="I238" s="514" t="s">
        <v>1220</v>
      </c>
      <c r="J238" s="514" t="s">
        <v>1220</v>
      </c>
      <c r="K238" s="514">
        <v>50</v>
      </c>
      <c r="M238" s="145">
        <f t="shared" si="12"/>
        <v>5</v>
      </c>
      <c r="N238" s="145">
        <f t="shared" si="13"/>
        <v>5</v>
      </c>
    </row>
    <row r="239" spans="2:14">
      <c r="B239" s="140">
        <v>453</v>
      </c>
      <c r="C239" t="s">
        <v>1142</v>
      </c>
      <c r="D239" t="s">
        <v>1206</v>
      </c>
      <c r="E239" t="s">
        <v>1218</v>
      </c>
      <c r="F239" t="s">
        <v>1219</v>
      </c>
      <c r="G239" s="514" t="s">
        <v>1220</v>
      </c>
      <c r="H239" s="514" t="s">
        <v>1220</v>
      </c>
      <c r="I239" s="514">
        <v>41.2</v>
      </c>
      <c r="J239" s="514" t="s">
        <v>1220</v>
      </c>
      <c r="K239" s="514">
        <v>53.1</v>
      </c>
      <c r="M239" s="145">
        <f t="shared" si="12"/>
        <v>5</v>
      </c>
      <c r="N239" s="145">
        <f t="shared" si="13"/>
        <v>5</v>
      </c>
    </row>
    <row r="240" spans="2:14">
      <c r="B240" s="140">
        <v>454</v>
      </c>
      <c r="C240" t="s">
        <v>1144</v>
      </c>
      <c r="D240" t="s">
        <v>1217</v>
      </c>
      <c r="E240" t="s">
        <v>1218</v>
      </c>
      <c r="F240" t="s">
        <v>1219</v>
      </c>
      <c r="G240" s="514">
        <v>25.4</v>
      </c>
      <c r="H240" s="514">
        <v>29.6</v>
      </c>
      <c r="I240" s="514">
        <v>28.4</v>
      </c>
      <c r="J240" s="514">
        <v>16.600000000000001</v>
      </c>
      <c r="K240" s="514">
        <v>99.4</v>
      </c>
      <c r="M240" s="145">
        <f t="shared" si="12"/>
        <v>25.4</v>
      </c>
      <c r="N240" s="145">
        <f t="shared" si="13"/>
        <v>16.600000000000001</v>
      </c>
    </row>
    <row r="241" spans="2:14">
      <c r="B241" s="140">
        <v>454</v>
      </c>
      <c r="C241" t="s">
        <v>1144</v>
      </c>
      <c r="D241" t="s">
        <v>1206</v>
      </c>
      <c r="E241" t="s">
        <v>1218</v>
      </c>
      <c r="F241" t="s">
        <v>1219</v>
      </c>
      <c r="G241" s="514">
        <v>30.8</v>
      </c>
      <c r="H241" s="514">
        <v>36.1</v>
      </c>
      <c r="I241" s="514">
        <v>17.2</v>
      </c>
      <c r="J241" s="514">
        <v>16</v>
      </c>
      <c r="K241" s="514">
        <v>99.4</v>
      </c>
      <c r="M241" s="145">
        <f t="shared" si="12"/>
        <v>30.8</v>
      </c>
      <c r="N241" s="145">
        <f t="shared" si="13"/>
        <v>16</v>
      </c>
    </row>
    <row r="242" spans="2:14">
      <c r="B242" s="140">
        <v>455</v>
      </c>
      <c r="C242" t="s">
        <v>1190</v>
      </c>
      <c r="D242" t="s">
        <v>1217</v>
      </c>
      <c r="E242" t="s">
        <v>1218</v>
      </c>
      <c r="F242" t="s">
        <v>1219</v>
      </c>
      <c r="G242" s="514">
        <v>49.4</v>
      </c>
      <c r="H242" s="514">
        <v>29.7</v>
      </c>
      <c r="I242" s="514">
        <v>16.7</v>
      </c>
      <c r="J242" s="514">
        <v>4.2</v>
      </c>
      <c r="K242" s="514">
        <v>100</v>
      </c>
      <c r="M242" s="145">
        <f t="shared" si="12"/>
        <v>49.4</v>
      </c>
      <c r="N242" s="145">
        <f t="shared" si="13"/>
        <v>4.2</v>
      </c>
    </row>
    <row r="243" spans="2:14">
      <c r="B243" s="140">
        <v>455</v>
      </c>
      <c r="C243" t="s">
        <v>1190</v>
      </c>
      <c r="D243" t="s">
        <v>1206</v>
      </c>
      <c r="E243" t="s">
        <v>1218</v>
      </c>
      <c r="F243" t="s">
        <v>1219</v>
      </c>
      <c r="G243" s="514">
        <v>38.799999999999997</v>
      </c>
      <c r="H243" s="514">
        <v>39.700000000000003</v>
      </c>
      <c r="I243" s="514">
        <v>14.5</v>
      </c>
      <c r="J243" s="514">
        <v>7</v>
      </c>
      <c r="K243" s="514">
        <v>100</v>
      </c>
      <c r="M243" s="145">
        <f t="shared" si="12"/>
        <v>38.799999999999997</v>
      </c>
      <c r="N243" s="145">
        <f t="shared" si="13"/>
        <v>7</v>
      </c>
    </row>
    <row r="244" spans="2:14">
      <c r="B244" s="140">
        <v>456</v>
      </c>
      <c r="C244" t="s">
        <v>1146</v>
      </c>
      <c r="D244" t="s">
        <v>1217</v>
      </c>
      <c r="E244" t="s">
        <v>1218</v>
      </c>
      <c r="F244" t="s">
        <v>1219</v>
      </c>
      <c r="G244" s="514">
        <v>23.4</v>
      </c>
      <c r="H244" s="514">
        <v>31.5</v>
      </c>
      <c r="I244" s="514">
        <v>27.7</v>
      </c>
      <c r="J244" s="514">
        <v>17.399999999999999</v>
      </c>
      <c r="K244" s="514">
        <v>99.5</v>
      </c>
      <c r="M244" s="145">
        <f t="shared" si="12"/>
        <v>23.4</v>
      </c>
      <c r="N244" s="145">
        <f t="shared" si="13"/>
        <v>17.399999999999999</v>
      </c>
    </row>
    <row r="245" spans="2:14">
      <c r="B245" s="140">
        <v>456</v>
      </c>
      <c r="C245" t="s">
        <v>1146</v>
      </c>
      <c r="D245" t="s">
        <v>1206</v>
      </c>
      <c r="E245" t="s">
        <v>1218</v>
      </c>
      <c r="F245" t="s">
        <v>1219</v>
      </c>
      <c r="G245" s="514">
        <v>17.899999999999999</v>
      </c>
      <c r="H245" s="514">
        <v>41.3</v>
      </c>
      <c r="I245" s="514">
        <v>21.2</v>
      </c>
      <c r="J245" s="514">
        <v>19.600000000000001</v>
      </c>
      <c r="K245" s="514">
        <v>99.5</v>
      </c>
      <c r="M245" s="145">
        <f t="shared" si="12"/>
        <v>17.899999999999999</v>
      </c>
      <c r="N245" s="145">
        <f t="shared" si="13"/>
        <v>19.600000000000001</v>
      </c>
    </row>
    <row r="246" spans="2:14">
      <c r="B246" s="140">
        <v>457</v>
      </c>
      <c r="C246" t="s">
        <v>1147</v>
      </c>
      <c r="D246" t="s">
        <v>1217</v>
      </c>
      <c r="E246" t="s">
        <v>1218</v>
      </c>
      <c r="F246" t="s">
        <v>1219</v>
      </c>
      <c r="G246" s="514">
        <v>8.9</v>
      </c>
      <c r="H246" s="514">
        <v>14.6</v>
      </c>
      <c r="I246" s="514">
        <v>35.200000000000003</v>
      </c>
      <c r="J246" s="514">
        <v>41.4</v>
      </c>
      <c r="K246" s="514">
        <v>96.8</v>
      </c>
      <c r="M246" s="145">
        <f t="shared" si="12"/>
        <v>8.9</v>
      </c>
      <c r="N246" s="145">
        <f t="shared" si="13"/>
        <v>41.4</v>
      </c>
    </row>
    <row r="247" spans="2:14">
      <c r="B247" s="140">
        <v>457</v>
      </c>
      <c r="C247" t="s">
        <v>1147</v>
      </c>
      <c r="D247" t="s">
        <v>1206</v>
      </c>
      <c r="E247" t="s">
        <v>1218</v>
      </c>
      <c r="F247" t="s">
        <v>1219</v>
      </c>
      <c r="G247" s="514">
        <v>15.5</v>
      </c>
      <c r="H247" s="514">
        <v>37.4</v>
      </c>
      <c r="I247" s="514">
        <v>28.3</v>
      </c>
      <c r="J247" s="514">
        <v>18.8</v>
      </c>
      <c r="K247" s="514">
        <v>97.2</v>
      </c>
      <c r="M247" s="145">
        <f t="shared" si="12"/>
        <v>15.5</v>
      </c>
      <c r="N247" s="145">
        <f t="shared" si="13"/>
        <v>18.8</v>
      </c>
    </row>
    <row r="248" spans="2:14">
      <c r="B248" s="140">
        <v>458</v>
      </c>
      <c r="C248" t="s">
        <v>1149</v>
      </c>
      <c r="D248" t="s">
        <v>1217</v>
      </c>
      <c r="E248" t="s">
        <v>1218</v>
      </c>
      <c r="F248" t="s">
        <v>1219</v>
      </c>
      <c r="G248" s="514">
        <v>31.8</v>
      </c>
      <c r="H248" s="514">
        <v>31.8</v>
      </c>
      <c r="I248" s="514">
        <v>25</v>
      </c>
      <c r="J248" s="514">
        <v>11.4</v>
      </c>
      <c r="K248" s="514">
        <v>99.1</v>
      </c>
      <c r="M248" s="145">
        <f t="shared" si="12"/>
        <v>31.8</v>
      </c>
      <c r="N248" s="145">
        <f t="shared" si="13"/>
        <v>11.4</v>
      </c>
    </row>
    <row r="249" spans="2:14">
      <c r="B249" s="140">
        <v>458</v>
      </c>
      <c r="C249" t="s">
        <v>1149</v>
      </c>
      <c r="D249" t="s">
        <v>1206</v>
      </c>
      <c r="E249" t="s">
        <v>1218</v>
      </c>
      <c r="F249" t="s">
        <v>1219</v>
      </c>
      <c r="G249" s="514">
        <v>30.5</v>
      </c>
      <c r="H249" s="514">
        <v>37.299999999999997</v>
      </c>
      <c r="I249" s="514">
        <v>21.4</v>
      </c>
      <c r="J249" s="514">
        <v>10.9</v>
      </c>
      <c r="K249" s="514">
        <v>99.1</v>
      </c>
      <c r="M249" s="145">
        <f t="shared" si="12"/>
        <v>30.5</v>
      </c>
      <c r="N249" s="145">
        <f t="shared" si="13"/>
        <v>10.9</v>
      </c>
    </row>
    <row r="250" spans="2:14">
      <c r="B250" s="140">
        <v>460</v>
      </c>
      <c r="C250" t="s">
        <v>1151</v>
      </c>
      <c r="D250" t="s">
        <v>1217</v>
      </c>
      <c r="E250" t="s">
        <v>1218</v>
      </c>
      <c r="F250" t="s">
        <v>1219</v>
      </c>
      <c r="G250" s="514">
        <v>30.7</v>
      </c>
      <c r="H250" s="514">
        <v>28.6</v>
      </c>
      <c r="I250" s="514">
        <v>25.5</v>
      </c>
      <c r="J250" s="514">
        <v>15.2</v>
      </c>
      <c r="K250" s="514">
        <v>100</v>
      </c>
      <c r="M250" s="145">
        <f t="shared" si="12"/>
        <v>30.7</v>
      </c>
      <c r="N250" s="145">
        <f t="shared" si="13"/>
        <v>15.2</v>
      </c>
    </row>
    <row r="251" spans="2:14">
      <c r="B251" s="140">
        <v>460</v>
      </c>
      <c r="C251" t="s">
        <v>1151</v>
      </c>
      <c r="D251" t="s">
        <v>1206</v>
      </c>
      <c r="E251" t="s">
        <v>1218</v>
      </c>
      <c r="F251" t="s">
        <v>1219</v>
      </c>
      <c r="G251" s="514">
        <v>21.1</v>
      </c>
      <c r="H251" s="514">
        <v>38.200000000000003</v>
      </c>
      <c r="I251" s="514">
        <v>22.7</v>
      </c>
      <c r="J251" s="514">
        <v>18</v>
      </c>
      <c r="K251" s="514">
        <v>100</v>
      </c>
      <c r="M251" s="145">
        <f t="shared" si="12"/>
        <v>21.1</v>
      </c>
      <c r="N251" s="145">
        <f t="shared" si="13"/>
        <v>18</v>
      </c>
    </row>
    <row r="252" spans="2:14">
      <c r="B252" s="140">
        <v>461</v>
      </c>
      <c r="C252" t="s">
        <v>1153</v>
      </c>
      <c r="D252" t="s">
        <v>1217</v>
      </c>
      <c r="E252" t="s">
        <v>1218</v>
      </c>
      <c r="F252" t="s">
        <v>1219</v>
      </c>
      <c r="G252" s="514">
        <v>30.9</v>
      </c>
      <c r="H252" s="514">
        <v>30.9</v>
      </c>
      <c r="I252" s="514">
        <v>27.1</v>
      </c>
      <c r="J252" s="514">
        <v>11.1</v>
      </c>
      <c r="K252" s="514">
        <v>88.5</v>
      </c>
      <c r="M252" s="145">
        <f t="shared" si="12"/>
        <v>30.9</v>
      </c>
      <c r="N252" s="145">
        <f t="shared" si="13"/>
        <v>11.1</v>
      </c>
    </row>
    <row r="253" spans="2:14">
      <c r="B253" s="140">
        <v>461</v>
      </c>
      <c r="C253" t="s">
        <v>1153</v>
      </c>
      <c r="D253" t="s">
        <v>1206</v>
      </c>
      <c r="E253" t="s">
        <v>1218</v>
      </c>
      <c r="F253" t="s">
        <v>1219</v>
      </c>
      <c r="G253" s="514">
        <v>29.6</v>
      </c>
      <c r="H253" s="514">
        <v>40.299999999999997</v>
      </c>
      <c r="I253" s="514">
        <v>19.399999999999999</v>
      </c>
      <c r="J253" s="514">
        <v>10.7</v>
      </c>
      <c r="K253" s="514">
        <v>88</v>
      </c>
      <c r="M253" s="145">
        <f t="shared" si="12"/>
        <v>29.6</v>
      </c>
      <c r="N253" s="145">
        <f t="shared" si="13"/>
        <v>10.7</v>
      </c>
    </row>
    <row r="254" spans="2:14">
      <c r="B254" s="140">
        <v>462</v>
      </c>
      <c r="C254" t="s">
        <v>427</v>
      </c>
      <c r="D254" t="s">
        <v>1217</v>
      </c>
      <c r="E254" t="s">
        <v>1218</v>
      </c>
      <c r="F254" t="s">
        <v>1219</v>
      </c>
      <c r="G254" s="514">
        <v>24.2</v>
      </c>
      <c r="H254" s="514">
        <v>29.9</v>
      </c>
      <c r="I254" s="514">
        <v>30.4</v>
      </c>
      <c r="J254" s="514">
        <v>15.4</v>
      </c>
      <c r="K254" s="514">
        <v>100</v>
      </c>
      <c r="M254" s="145">
        <f t="shared" si="12"/>
        <v>24.2</v>
      </c>
      <c r="N254" s="145">
        <f t="shared" si="13"/>
        <v>15.4</v>
      </c>
    </row>
    <row r="255" spans="2:14">
      <c r="B255" s="140">
        <v>462</v>
      </c>
      <c r="C255" t="s">
        <v>427</v>
      </c>
      <c r="D255" t="s">
        <v>1206</v>
      </c>
      <c r="E255" t="s">
        <v>1218</v>
      </c>
      <c r="F255" t="s">
        <v>1219</v>
      </c>
      <c r="G255" s="514">
        <v>27.1</v>
      </c>
      <c r="H255" s="514">
        <v>43.5</v>
      </c>
      <c r="I255" s="514">
        <v>20.7</v>
      </c>
      <c r="J255" s="514">
        <v>8.8000000000000007</v>
      </c>
      <c r="K255" s="514">
        <v>100</v>
      </c>
      <c r="M255" s="145">
        <f t="shared" si="12"/>
        <v>27.1</v>
      </c>
      <c r="N255" s="145">
        <f t="shared" si="13"/>
        <v>8.8000000000000007</v>
      </c>
    </row>
    <row r="256" spans="2:14">
      <c r="B256" s="140">
        <v>463</v>
      </c>
      <c r="C256" t="s">
        <v>428</v>
      </c>
      <c r="D256" t="s">
        <v>1217</v>
      </c>
      <c r="E256" t="s">
        <v>1218</v>
      </c>
      <c r="F256" t="s">
        <v>1219</v>
      </c>
      <c r="G256" s="514">
        <v>25.3</v>
      </c>
      <c r="H256" s="514">
        <v>29.2</v>
      </c>
      <c r="I256" s="514">
        <v>30.2</v>
      </c>
      <c r="J256" s="514">
        <v>15.2</v>
      </c>
      <c r="K256" s="514">
        <v>97.7</v>
      </c>
      <c r="M256" s="145">
        <f t="shared" si="12"/>
        <v>25.3</v>
      </c>
      <c r="N256" s="145">
        <f t="shared" si="13"/>
        <v>15.2</v>
      </c>
    </row>
    <row r="257" spans="2:14">
      <c r="B257" s="140">
        <v>463</v>
      </c>
      <c r="C257" t="s">
        <v>428</v>
      </c>
      <c r="D257" t="s">
        <v>1206</v>
      </c>
      <c r="E257" t="s">
        <v>1218</v>
      </c>
      <c r="F257" t="s">
        <v>1219</v>
      </c>
      <c r="G257" s="514">
        <v>26.3</v>
      </c>
      <c r="H257" s="514">
        <v>39.4</v>
      </c>
      <c r="I257" s="514">
        <v>21.7</v>
      </c>
      <c r="J257" s="514">
        <v>12.5</v>
      </c>
      <c r="K257" s="514">
        <v>98.7</v>
      </c>
      <c r="M257" s="145">
        <f t="shared" si="12"/>
        <v>26.3</v>
      </c>
      <c r="N257" s="145">
        <f t="shared" si="13"/>
        <v>12.5</v>
      </c>
    </row>
    <row r="258" spans="2:14">
      <c r="B258" s="140">
        <v>464</v>
      </c>
      <c r="C258" t="s">
        <v>429</v>
      </c>
      <c r="D258" t="s">
        <v>1217</v>
      </c>
      <c r="E258" t="s">
        <v>1218</v>
      </c>
      <c r="F258" t="s">
        <v>1219</v>
      </c>
      <c r="G258" s="514">
        <v>19.899999999999999</v>
      </c>
      <c r="H258" s="514">
        <v>29.7</v>
      </c>
      <c r="I258" s="514">
        <v>32.4</v>
      </c>
      <c r="J258" s="514">
        <v>18</v>
      </c>
      <c r="K258" s="514">
        <v>97.3</v>
      </c>
      <c r="M258" s="145">
        <f t="shared" si="12"/>
        <v>19.899999999999999</v>
      </c>
      <c r="N258" s="145">
        <f t="shared" si="13"/>
        <v>18</v>
      </c>
    </row>
    <row r="259" spans="2:14">
      <c r="B259" s="140">
        <v>464</v>
      </c>
      <c r="C259" t="s">
        <v>429</v>
      </c>
      <c r="D259" t="s">
        <v>1206</v>
      </c>
      <c r="E259" t="s">
        <v>1218</v>
      </c>
      <c r="F259" t="s">
        <v>1219</v>
      </c>
      <c r="G259" s="514">
        <v>26.2</v>
      </c>
      <c r="H259" s="514">
        <v>39.5</v>
      </c>
      <c r="I259" s="514">
        <v>18</v>
      </c>
      <c r="J259" s="514">
        <v>16.399999999999999</v>
      </c>
      <c r="K259" s="514">
        <v>97.3</v>
      </c>
      <c r="M259" s="145">
        <f t="shared" si="12"/>
        <v>26.2</v>
      </c>
      <c r="N259" s="145">
        <f t="shared" si="13"/>
        <v>16.399999999999999</v>
      </c>
    </row>
    <row r="260" spans="2:14">
      <c r="B260" s="140">
        <v>465</v>
      </c>
      <c r="C260" t="s">
        <v>430</v>
      </c>
      <c r="D260" t="s">
        <v>1217</v>
      </c>
      <c r="E260" t="s">
        <v>1218</v>
      </c>
      <c r="F260" t="s">
        <v>1219</v>
      </c>
      <c r="G260" s="514">
        <v>7.6</v>
      </c>
      <c r="H260" s="514">
        <v>16.7</v>
      </c>
      <c r="I260" s="514">
        <v>35.6</v>
      </c>
      <c r="J260" s="514">
        <v>40.200000000000003</v>
      </c>
      <c r="K260" s="514">
        <v>95.7</v>
      </c>
      <c r="M260" s="145">
        <f t="shared" si="12"/>
        <v>7.6</v>
      </c>
      <c r="N260" s="145">
        <f t="shared" si="13"/>
        <v>40.200000000000003</v>
      </c>
    </row>
    <row r="261" spans="2:14">
      <c r="B261" s="140">
        <v>465</v>
      </c>
      <c r="C261" t="s">
        <v>430</v>
      </c>
      <c r="D261" t="s">
        <v>1206</v>
      </c>
      <c r="E261" t="s">
        <v>1218</v>
      </c>
      <c r="F261" t="s">
        <v>1219</v>
      </c>
      <c r="G261" s="514" t="s">
        <v>1220</v>
      </c>
      <c r="H261" s="514">
        <v>34.799999999999997</v>
      </c>
      <c r="I261" s="514" t="s">
        <v>1220</v>
      </c>
      <c r="J261" s="514">
        <v>34.799999999999997</v>
      </c>
      <c r="K261" s="514">
        <v>95.7</v>
      </c>
      <c r="M261" s="145">
        <f t="shared" ref="M261:M313" si="14">IF(ISNUMBER(G261), G261, 5)</f>
        <v>5</v>
      </c>
      <c r="N261" s="145">
        <f t="shared" ref="N261:N313" si="15">IF(ISNUMBER(J261), J261, 5)</f>
        <v>34.799999999999997</v>
      </c>
    </row>
    <row r="262" spans="2:14">
      <c r="B262" s="140">
        <v>466</v>
      </c>
      <c r="C262" t="s">
        <v>431</v>
      </c>
      <c r="D262" t="s">
        <v>1217</v>
      </c>
      <c r="E262" t="s">
        <v>1218</v>
      </c>
      <c r="F262" t="s">
        <v>1219</v>
      </c>
      <c r="G262" s="514" t="s">
        <v>1220</v>
      </c>
      <c r="H262" s="514" t="s">
        <v>1220</v>
      </c>
      <c r="I262" s="514" t="s">
        <v>1220</v>
      </c>
      <c r="J262" s="514">
        <v>60.9</v>
      </c>
      <c r="K262" s="514">
        <v>70.400000000000006</v>
      </c>
      <c r="M262" s="145">
        <f t="shared" si="14"/>
        <v>5</v>
      </c>
      <c r="N262" s="145">
        <f t="shared" si="15"/>
        <v>60.9</v>
      </c>
    </row>
    <row r="263" spans="2:14">
      <c r="B263" s="140">
        <v>466</v>
      </c>
      <c r="C263" t="s">
        <v>431</v>
      </c>
      <c r="D263" t="s">
        <v>1206</v>
      </c>
      <c r="E263" t="s">
        <v>1218</v>
      </c>
      <c r="F263" t="s">
        <v>1219</v>
      </c>
      <c r="G263" s="514" t="s">
        <v>1220</v>
      </c>
      <c r="H263" s="514">
        <v>54.3</v>
      </c>
      <c r="I263" s="514">
        <v>22.9</v>
      </c>
      <c r="J263" s="514" t="s">
        <v>1220</v>
      </c>
      <c r="K263" s="514">
        <v>71.400000000000006</v>
      </c>
      <c r="M263" s="145">
        <f t="shared" si="14"/>
        <v>5</v>
      </c>
      <c r="N263" s="145">
        <f t="shared" si="15"/>
        <v>5</v>
      </c>
    </row>
    <row r="264" spans="2:14">
      <c r="B264" s="140">
        <v>468</v>
      </c>
      <c r="C264" t="s">
        <v>1155</v>
      </c>
      <c r="D264" t="s">
        <v>1217</v>
      </c>
      <c r="E264" t="s">
        <v>1218</v>
      </c>
      <c r="F264" t="s">
        <v>1219</v>
      </c>
      <c r="G264" s="514">
        <v>12.6</v>
      </c>
      <c r="H264" s="514">
        <v>20.6</v>
      </c>
      <c r="I264" s="514">
        <v>31.6</v>
      </c>
      <c r="J264" s="514">
        <v>35.200000000000003</v>
      </c>
      <c r="K264" s="514">
        <v>99.6</v>
      </c>
      <c r="M264" s="145">
        <f t="shared" si="14"/>
        <v>12.6</v>
      </c>
      <c r="N264" s="145">
        <f t="shared" si="15"/>
        <v>35.200000000000003</v>
      </c>
    </row>
    <row r="265" spans="2:14">
      <c r="B265" s="140">
        <v>468</v>
      </c>
      <c r="C265" t="s">
        <v>1155</v>
      </c>
      <c r="D265" t="s">
        <v>1206</v>
      </c>
      <c r="E265" t="s">
        <v>1218</v>
      </c>
      <c r="F265" t="s">
        <v>1219</v>
      </c>
      <c r="G265" s="514">
        <v>10.1</v>
      </c>
      <c r="H265" s="514">
        <v>33.1</v>
      </c>
      <c r="I265" s="514">
        <v>24.2</v>
      </c>
      <c r="J265" s="514">
        <v>32.700000000000003</v>
      </c>
      <c r="K265" s="514">
        <v>100</v>
      </c>
      <c r="M265" s="145">
        <f t="shared" si="14"/>
        <v>10.1</v>
      </c>
      <c r="N265" s="145">
        <f t="shared" si="15"/>
        <v>32.700000000000003</v>
      </c>
    </row>
    <row r="266" spans="2:14">
      <c r="B266" s="140">
        <v>469</v>
      </c>
      <c r="C266" t="s">
        <v>1191</v>
      </c>
      <c r="D266" t="s">
        <v>1217</v>
      </c>
      <c r="E266" t="s">
        <v>1218</v>
      </c>
      <c r="F266" t="s">
        <v>1219</v>
      </c>
      <c r="G266" s="514" t="s">
        <v>1220</v>
      </c>
      <c r="H266" s="514" t="s">
        <v>1220</v>
      </c>
      <c r="I266" s="514">
        <v>30.3</v>
      </c>
      <c r="J266" s="514">
        <v>55.6</v>
      </c>
      <c r="K266" s="514">
        <v>87.6</v>
      </c>
      <c r="M266" s="145">
        <f t="shared" si="14"/>
        <v>5</v>
      </c>
      <c r="N266" s="145">
        <f t="shared" si="15"/>
        <v>55.6</v>
      </c>
    </row>
    <row r="267" spans="2:14">
      <c r="B267" s="140">
        <v>469</v>
      </c>
      <c r="C267" t="s">
        <v>1191</v>
      </c>
      <c r="D267" t="s">
        <v>1206</v>
      </c>
      <c r="E267" t="s">
        <v>1218</v>
      </c>
      <c r="F267" t="s">
        <v>1219</v>
      </c>
      <c r="G267" s="514" t="s">
        <v>1220</v>
      </c>
      <c r="H267" s="514">
        <v>33.299999999999997</v>
      </c>
      <c r="I267" s="514" t="s">
        <v>1220</v>
      </c>
      <c r="J267" s="514">
        <v>36.4</v>
      </c>
      <c r="K267" s="514">
        <v>87.6</v>
      </c>
      <c r="M267" s="145">
        <f t="shared" si="14"/>
        <v>5</v>
      </c>
      <c r="N267" s="145">
        <f t="shared" si="15"/>
        <v>36.4</v>
      </c>
    </row>
    <row r="268" spans="2:14">
      <c r="B268" s="140">
        <v>470</v>
      </c>
      <c r="C268" t="s">
        <v>1221</v>
      </c>
      <c r="D268" t="s">
        <v>1217</v>
      </c>
      <c r="E268" t="s">
        <v>1218</v>
      </c>
      <c r="F268" t="s">
        <v>1219</v>
      </c>
      <c r="G268" s="514" t="s">
        <v>1220</v>
      </c>
      <c r="H268" s="514" t="s">
        <v>1220</v>
      </c>
      <c r="I268" s="514" t="s">
        <v>1220</v>
      </c>
      <c r="J268" s="514" t="s">
        <v>1220</v>
      </c>
      <c r="K268" s="514">
        <v>57.6</v>
      </c>
      <c r="M268" s="145">
        <f t="shared" si="14"/>
        <v>5</v>
      </c>
      <c r="N268" s="145">
        <f t="shared" si="15"/>
        <v>5</v>
      </c>
    </row>
    <row r="269" spans="2:14">
      <c r="B269" s="140">
        <v>470</v>
      </c>
      <c r="C269" t="s">
        <v>1221</v>
      </c>
      <c r="D269" t="s">
        <v>1206</v>
      </c>
      <c r="E269" t="s">
        <v>1218</v>
      </c>
      <c r="F269" t="s">
        <v>1219</v>
      </c>
      <c r="G269" s="514" t="s">
        <v>1220</v>
      </c>
      <c r="H269" s="514" t="s">
        <v>1220</v>
      </c>
      <c r="I269" s="514" t="s">
        <v>1220</v>
      </c>
      <c r="J269" s="514" t="s">
        <v>1220</v>
      </c>
      <c r="K269" s="514">
        <v>54.5</v>
      </c>
      <c r="M269" s="145">
        <f t="shared" si="14"/>
        <v>5</v>
      </c>
      <c r="N269" s="145">
        <f t="shared" si="15"/>
        <v>5</v>
      </c>
    </row>
    <row r="270" spans="2:14">
      <c r="B270" s="140">
        <v>472</v>
      </c>
      <c r="C270" t="s">
        <v>1158</v>
      </c>
      <c r="D270" t="s">
        <v>1217</v>
      </c>
      <c r="E270" t="s">
        <v>1218</v>
      </c>
      <c r="F270" t="s">
        <v>1219</v>
      </c>
      <c r="G270" s="514">
        <v>30.6</v>
      </c>
      <c r="H270" s="514">
        <v>26.5</v>
      </c>
      <c r="I270" s="514">
        <v>32.700000000000003</v>
      </c>
      <c r="J270" s="514">
        <v>10.199999999999999</v>
      </c>
      <c r="K270" s="514">
        <v>98</v>
      </c>
      <c r="M270" s="145">
        <f t="shared" si="14"/>
        <v>30.6</v>
      </c>
      <c r="N270" s="145">
        <f t="shared" si="15"/>
        <v>10.199999999999999</v>
      </c>
    </row>
    <row r="271" spans="2:14">
      <c r="B271" s="140">
        <v>472</v>
      </c>
      <c r="C271" t="s">
        <v>1158</v>
      </c>
      <c r="D271" t="s">
        <v>1206</v>
      </c>
      <c r="E271" t="s">
        <v>1218</v>
      </c>
      <c r="F271" t="s">
        <v>1219</v>
      </c>
      <c r="G271" s="514">
        <v>32.700000000000003</v>
      </c>
      <c r="H271" s="514">
        <v>33.700000000000003</v>
      </c>
      <c r="I271" s="514" t="s">
        <v>1220</v>
      </c>
      <c r="J271" s="514" t="s">
        <v>1220</v>
      </c>
      <c r="K271" s="514">
        <v>98</v>
      </c>
      <c r="M271" s="145">
        <f t="shared" si="14"/>
        <v>32.700000000000003</v>
      </c>
      <c r="N271" s="145">
        <f t="shared" si="15"/>
        <v>5</v>
      </c>
    </row>
    <row r="272" spans="2:14">
      <c r="B272" s="140">
        <v>473</v>
      </c>
      <c r="C272" t="s">
        <v>1160</v>
      </c>
      <c r="D272" t="s">
        <v>1217</v>
      </c>
      <c r="E272" t="s">
        <v>1218</v>
      </c>
      <c r="F272" t="s">
        <v>1219</v>
      </c>
      <c r="G272" s="514">
        <v>8.1</v>
      </c>
      <c r="H272" s="514">
        <v>22.3</v>
      </c>
      <c r="I272" s="514">
        <v>34.5</v>
      </c>
      <c r="J272" s="514">
        <v>35</v>
      </c>
      <c r="K272" s="514">
        <v>99</v>
      </c>
      <c r="M272" s="145">
        <f t="shared" si="14"/>
        <v>8.1</v>
      </c>
      <c r="N272" s="145">
        <f t="shared" si="15"/>
        <v>35</v>
      </c>
    </row>
    <row r="273" spans="2:14">
      <c r="B273" s="140">
        <v>473</v>
      </c>
      <c r="C273" t="s">
        <v>1160</v>
      </c>
      <c r="D273" t="s">
        <v>1206</v>
      </c>
      <c r="E273" t="s">
        <v>1218</v>
      </c>
      <c r="F273" t="s">
        <v>1219</v>
      </c>
      <c r="G273" s="514">
        <v>16.2</v>
      </c>
      <c r="H273" s="514">
        <v>32.5</v>
      </c>
      <c r="I273" s="514">
        <v>25.4</v>
      </c>
      <c r="J273" s="514">
        <v>25.9</v>
      </c>
      <c r="K273" s="514">
        <v>99</v>
      </c>
      <c r="M273" s="145">
        <f t="shared" si="14"/>
        <v>16.2</v>
      </c>
      <c r="N273" s="145">
        <f t="shared" si="15"/>
        <v>25.9</v>
      </c>
    </row>
    <row r="274" spans="2:14">
      <c r="B274" s="140">
        <v>474</v>
      </c>
      <c r="C274" t="s">
        <v>1162</v>
      </c>
      <c r="D274" t="s">
        <v>1217</v>
      </c>
      <c r="E274" t="s">
        <v>1218</v>
      </c>
      <c r="F274" t="s">
        <v>1219</v>
      </c>
      <c r="G274" s="514">
        <v>14.3</v>
      </c>
      <c r="H274" s="514">
        <v>23.1</v>
      </c>
      <c r="I274" s="514">
        <v>30.8</v>
      </c>
      <c r="J274" s="514">
        <v>31.9</v>
      </c>
      <c r="K274" s="514">
        <v>98.9</v>
      </c>
      <c r="M274" s="145">
        <f t="shared" si="14"/>
        <v>14.3</v>
      </c>
      <c r="N274" s="145">
        <f t="shared" si="15"/>
        <v>31.9</v>
      </c>
    </row>
    <row r="275" spans="2:14">
      <c r="B275" s="140">
        <v>474</v>
      </c>
      <c r="C275" t="s">
        <v>1162</v>
      </c>
      <c r="D275" t="s">
        <v>1206</v>
      </c>
      <c r="E275" t="s">
        <v>1218</v>
      </c>
      <c r="F275" t="s">
        <v>1219</v>
      </c>
      <c r="G275" s="514">
        <v>11</v>
      </c>
      <c r="H275" s="514">
        <v>33</v>
      </c>
      <c r="I275" s="514">
        <v>33</v>
      </c>
      <c r="J275" s="514">
        <v>23.1</v>
      </c>
      <c r="K275" s="514">
        <v>98.9</v>
      </c>
      <c r="M275" s="145">
        <f t="shared" si="14"/>
        <v>11</v>
      </c>
      <c r="N275" s="145">
        <f t="shared" si="15"/>
        <v>23.1</v>
      </c>
    </row>
    <row r="276" spans="2:14">
      <c r="B276" s="140">
        <v>475</v>
      </c>
      <c r="C276" t="s">
        <v>438</v>
      </c>
      <c r="D276" t="s">
        <v>1217</v>
      </c>
      <c r="E276" t="s">
        <v>1218</v>
      </c>
      <c r="F276" t="s">
        <v>1219</v>
      </c>
      <c r="G276" s="514">
        <v>35.1</v>
      </c>
      <c r="H276" s="514">
        <v>30.9</v>
      </c>
      <c r="I276" s="514">
        <v>21.3</v>
      </c>
      <c r="J276" s="514">
        <v>12.7</v>
      </c>
      <c r="K276" s="514">
        <v>98.2</v>
      </c>
      <c r="M276" s="145">
        <f t="shared" si="14"/>
        <v>35.1</v>
      </c>
      <c r="N276" s="145">
        <f t="shared" si="15"/>
        <v>12.7</v>
      </c>
    </row>
    <row r="277" spans="2:14">
      <c r="B277" s="140">
        <v>475</v>
      </c>
      <c r="C277" t="s">
        <v>438</v>
      </c>
      <c r="D277" t="s">
        <v>1206</v>
      </c>
      <c r="E277" t="s">
        <v>1218</v>
      </c>
      <c r="F277" t="s">
        <v>1219</v>
      </c>
      <c r="G277" s="514">
        <v>36.799999999999997</v>
      </c>
      <c r="H277" s="514">
        <v>42.3</v>
      </c>
      <c r="I277" s="514">
        <v>13.7</v>
      </c>
      <c r="J277" s="514">
        <v>7.1</v>
      </c>
      <c r="K277" s="514">
        <v>98.8</v>
      </c>
      <c r="M277" s="145">
        <f t="shared" si="14"/>
        <v>36.799999999999997</v>
      </c>
      <c r="N277" s="145">
        <f t="shared" si="15"/>
        <v>7.1</v>
      </c>
    </row>
    <row r="278" spans="2:14">
      <c r="B278" s="140">
        <v>476</v>
      </c>
      <c r="C278" t="s">
        <v>1164</v>
      </c>
      <c r="D278" t="s">
        <v>1217</v>
      </c>
      <c r="E278" t="s">
        <v>1218</v>
      </c>
      <c r="F278" t="s">
        <v>1219</v>
      </c>
      <c r="G278" s="514" t="s">
        <v>1220</v>
      </c>
      <c r="H278" s="514" t="s">
        <v>1220</v>
      </c>
      <c r="I278" s="514">
        <v>23.2</v>
      </c>
      <c r="J278" s="514">
        <v>64.7</v>
      </c>
      <c r="K278" s="514">
        <v>92.2</v>
      </c>
      <c r="M278" s="145">
        <f t="shared" si="14"/>
        <v>5</v>
      </c>
      <c r="N278" s="145">
        <f t="shared" si="15"/>
        <v>64.7</v>
      </c>
    </row>
    <row r="279" spans="2:14">
      <c r="B279" s="140">
        <v>476</v>
      </c>
      <c r="C279" t="s">
        <v>1164</v>
      </c>
      <c r="D279" t="s">
        <v>1206</v>
      </c>
      <c r="E279" t="s">
        <v>1218</v>
      </c>
      <c r="F279" t="s">
        <v>1219</v>
      </c>
      <c r="G279" s="514">
        <v>7.1</v>
      </c>
      <c r="H279" s="514">
        <v>25.4</v>
      </c>
      <c r="I279" s="514">
        <v>23.2</v>
      </c>
      <c r="J279" s="514">
        <v>44.2</v>
      </c>
      <c r="K279" s="514">
        <v>92.2</v>
      </c>
      <c r="M279" s="145">
        <f t="shared" si="14"/>
        <v>7.1</v>
      </c>
      <c r="N279" s="145">
        <f t="shared" si="15"/>
        <v>44.2</v>
      </c>
    </row>
    <row r="280" spans="2:14">
      <c r="B280" s="140">
        <v>477</v>
      </c>
      <c r="C280" t="s">
        <v>440</v>
      </c>
      <c r="D280" t="s">
        <v>1217</v>
      </c>
      <c r="E280" t="s">
        <v>1218</v>
      </c>
      <c r="F280" t="s">
        <v>1219</v>
      </c>
      <c r="G280" s="514">
        <v>9.9</v>
      </c>
      <c r="H280" s="514">
        <v>28.1</v>
      </c>
      <c r="I280" s="514">
        <v>36.799999999999997</v>
      </c>
      <c r="J280" s="514">
        <v>25.1</v>
      </c>
      <c r="K280" s="514">
        <v>97.7</v>
      </c>
      <c r="M280" s="145">
        <f t="shared" si="14"/>
        <v>9.9</v>
      </c>
      <c r="N280" s="145">
        <f t="shared" si="15"/>
        <v>25.1</v>
      </c>
    </row>
    <row r="281" spans="2:14">
      <c r="B281" s="140">
        <v>477</v>
      </c>
      <c r="C281" t="s">
        <v>440</v>
      </c>
      <c r="D281" t="s">
        <v>1206</v>
      </c>
      <c r="E281" t="s">
        <v>1218</v>
      </c>
      <c r="F281" t="s">
        <v>1219</v>
      </c>
      <c r="G281" s="514">
        <v>19.899999999999999</v>
      </c>
      <c r="H281" s="514">
        <v>25.1</v>
      </c>
      <c r="I281" s="514">
        <v>26.3</v>
      </c>
      <c r="J281" s="514">
        <v>28.7</v>
      </c>
      <c r="K281" s="514">
        <v>97.7</v>
      </c>
      <c r="M281" s="145">
        <f t="shared" si="14"/>
        <v>19.899999999999999</v>
      </c>
      <c r="N281" s="145">
        <f t="shared" si="15"/>
        <v>28.7</v>
      </c>
    </row>
    <row r="282" spans="2:14">
      <c r="B282" s="140">
        <v>478</v>
      </c>
      <c r="C282" t="s">
        <v>1167</v>
      </c>
      <c r="D282" t="s">
        <v>1217</v>
      </c>
      <c r="E282" t="s">
        <v>1218</v>
      </c>
      <c r="F282" t="s">
        <v>1219</v>
      </c>
      <c r="G282" s="514">
        <v>31.8</v>
      </c>
      <c r="H282" s="514">
        <v>34.1</v>
      </c>
      <c r="I282" s="514">
        <v>21.8</v>
      </c>
      <c r="J282" s="514">
        <v>12.3</v>
      </c>
      <c r="K282" s="514">
        <v>99.5</v>
      </c>
      <c r="M282" s="145">
        <f t="shared" si="14"/>
        <v>31.8</v>
      </c>
      <c r="N282" s="145">
        <f t="shared" si="15"/>
        <v>12.3</v>
      </c>
    </row>
    <row r="283" spans="2:14">
      <c r="B283" s="140">
        <v>478</v>
      </c>
      <c r="C283" t="s">
        <v>1167</v>
      </c>
      <c r="D283" t="s">
        <v>1206</v>
      </c>
      <c r="E283" t="s">
        <v>1218</v>
      </c>
      <c r="F283" t="s">
        <v>1219</v>
      </c>
      <c r="G283" s="514">
        <v>31.3</v>
      </c>
      <c r="H283" s="514">
        <v>38.4</v>
      </c>
      <c r="I283" s="514">
        <v>19</v>
      </c>
      <c r="J283" s="514">
        <v>11.4</v>
      </c>
      <c r="K283" s="514">
        <v>99.5</v>
      </c>
      <c r="M283" s="145">
        <f t="shared" si="14"/>
        <v>31.3</v>
      </c>
      <c r="N283" s="145">
        <f t="shared" si="15"/>
        <v>11.4</v>
      </c>
    </row>
    <row r="284" spans="2:14">
      <c r="B284" s="140">
        <v>479</v>
      </c>
      <c r="C284" t="s">
        <v>1169</v>
      </c>
      <c r="D284" t="s">
        <v>1217</v>
      </c>
      <c r="E284" t="s">
        <v>1218</v>
      </c>
      <c r="F284" t="s">
        <v>1219</v>
      </c>
      <c r="G284" s="514" t="s">
        <v>1220</v>
      </c>
      <c r="H284" s="514" t="s">
        <v>1220</v>
      </c>
      <c r="I284" s="514">
        <v>24.7</v>
      </c>
      <c r="J284" s="514">
        <v>62.9</v>
      </c>
      <c r="K284" s="514">
        <v>97</v>
      </c>
      <c r="M284" s="145">
        <f t="shared" si="14"/>
        <v>5</v>
      </c>
      <c r="N284" s="145">
        <f t="shared" si="15"/>
        <v>62.9</v>
      </c>
    </row>
    <row r="285" spans="2:14">
      <c r="B285" s="140">
        <v>479</v>
      </c>
      <c r="C285" t="s">
        <v>1169</v>
      </c>
      <c r="D285" t="s">
        <v>1206</v>
      </c>
      <c r="E285" t="s">
        <v>1218</v>
      </c>
      <c r="F285" t="s">
        <v>1219</v>
      </c>
      <c r="G285" s="514" t="s">
        <v>1220</v>
      </c>
      <c r="H285" s="514" t="s">
        <v>1220</v>
      </c>
      <c r="I285" s="514">
        <v>29.9</v>
      </c>
      <c r="J285" s="514">
        <v>48.5</v>
      </c>
      <c r="K285" s="514">
        <v>97</v>
      </c>
      <c r="M285" s="145">
        <f t="shared" si="14"/>
        <v>5</v>
      </c>
      <c r="N285" s="145">
        <f t="shared" si="15"/>
        <v>48.5</v>
      </c>
    </row>
    <row r="286" spans="2:14">
      <c r="B286" s="140">
        <v>480</v>
      </c>
      <c r="C286" t="s">
        <v>1192</v>
      </c>
      <c r="D286" t="s">
        <v>1217</v>
      </c>
      <c r="E286" t="s">
        <v>1218</v>
      </c>
      <c r="F286" t="s">
        <v>1219</v>
      </c>
      <c r="G286" s="514">
        <v>50.2</v>
      </c>
      <c r="H286" s="514">
        <v>34</v>
      </c>
      <c r="I286" s="514" t="s">
        <v>1220</v>
      </c>
      <c r="J286" s="514" t="s">
        <v>1220</v>
      </c>
      <c r="K286" s="514">
        <v>100</v>
      </c>
      <c r="M286" s="145">
        <f t="shared" si="14"/>
        <v>50.2</v>
      </c>
      <c r="N286" s="145">
        <f t="shared" si="15"/>
        <v>5</v>
      </c>
    </row>
    <row r="287" spans="2:14">
      <c r="B287" s="140">
        <v>480</v>
      </c>
      <c r="C287" t="s">
        <v>1192</v>
      </c>
      <c r="D287" t="s">
        <v>1206</v>
      </c>
      <c r="E287" t="s">
        <v>1218</v>
      </c>
      <c r="F287" t="s">
        <v>1219</v>
      </c>
      <c r="G287" s="514">
        <v>31.5</v>
      </c>
      <c r="H287" s="514">
        <v>41.9</v>
      </c>
      <c r="I287" s="514">
        <v>17.399999999999999</v>
      </c>
      <c r="J287" s="514">
        <v>9.1</v>
      </c>
      <c r="K287" s="514">
        <v>100</v>
      </c>
      <c r="M287" s="145">
        <f t="shared" si="14"/>
        <v>31.5</v>
      </c>
      <c r="N287" s="145">
        <f t="shared" si="15"/>
        <v>9.1</v>
      </c>
    </row>
    <row r="288" spans="2:14">
      <c r="B288" s="140">
        <v>481</v>
      </c>
      <c r="C288" t="s">
        <v>1170</v>
      </c>
      <c r="D288" t="s">
        <v>1217</v>
      </c>
      <c r="E288" t="s">
        <v>1218</v>
      </c>
      <c r="F288" t="s">
        <v>1219</v>
      </c>
      <c r="G288" s="514">
        <v>8.8000000000000007</v>
      </c>
      <c r="H288" s="514">
        <v>21.5</v>
      </c>
      <c r="I288" s="514">
        <v>30.6</v>
      </c>
      <c r="J288" s="514">
        <v>39.1</v>
      </c>
      <c r="K288" s="514">
        <v>100</v>
      </c>
      <c r="M288" s="145">
        <f t="shared" si="14"/>
        <v>8.8000000000000007</v>
      </c>
      <c r="N288" s="145">
        <f t="shared" si="15"/>
        <v>39.1</v>
      </c>
    </row>
    <row r="289" spans="2:14">
      <c r="B289" s="140">
        <v>481</v>
      </c>
      <c r="C289" t="s">
        <v>1170</v>
      </c>
      <c r="D289" t="s">
        <v>1206</v>
      </c>
      <c r="E289" t="s">
        <v>1218</v>
      </c>
      <c r="F289" t="s">
        <v>1219</v>
      </c>
      <c r="G289" s="514">
        <v>14.1</v>
      </c>
      <c r="H289" s="514">
        <v>26.5</v>
      </c>
      <c r="I289" s="514">
        <v>30.3</v>
      </c>
      <c r="J289" s="514">
        <v>29.1</v>
      </c>
      <c r="K289" s="514">
        <v>100</v>
      </c>
      <c r="M289" s="145">
        <f t="shared" si="14"/>
        <v>14.1</v>
      </c>
      <c r="N289" s="145">
        <f t="shared" si="15"/>
        <v>29.1</v>
      </c>
    </row>
    <row r="290" spans="2:14">
      <c r="B290" s="140">
        <v>482</v>
      </c>
      <c r="C290" t="s">
        <v>1172</v>
      </c>
      <c r="D290" t="s">
        <v>1217</v>
      </c>
      <c r="E290" t="s">
        <v>1218</v>
      </c>
      <c r="F290" t="s">
        <v>1219</v>
      </c>
      <c r="G290" s="514">
        <v>23.8</v>
      </c>
      <c r="H290" s="514">
        <v>25.6</v>
      </c>
      <c r="I290" s="514">
        <v>30</v>
      </c>
      <c r="J290" s="514">
        <v>20.6</v>
      </c>
      <c r="K290" s="514">
        <v>96.4</v>
      </c>
      <c r="M290" s="145">
        <f t="shared" si="14"/>
        <v>23.8</v>
      </c>
      <c r="N290" s="145">
        <f t="shared" si="15"/>
        <v>20.6</v>
      </c>
    </row>
    <row r="291" spans="2:14">
      <c r="B291" s="140">
        <v>482</v>
      </c>
      <c r="C291" t="s">
        <v>1172</v>
      </c>
      <c r="D291" t="s">
        <v>1206</v>
      </c>
      <c r="E291" t="s">
        <v>1218</v>
      </c>
      <c r="F291" t="s">
        <v>1219</v>
      </c>
      <c r="G291" s="514">
        <v>18.100000000000001</v>
      </c>
      <c r="H291" s="514">
        <v>40.6</v>
      </c>
      <c r="I291" s="514">
        <v>26.3</v>
      </c>
      <c r="J291" s="514">
        <v>15</v>
      </c>
      <c r="K291" s="514">
        <v>96.4</v>
      </c>
      <c r="M291" s="145">
        <f t="shared" si="14"/>
        <v>18.100000000000001</v>
      </c>
      <c r="N291" s="145">
        <f t="shared" si="15"/>
        <v>15</v>
      </c>
    </row>
    <row r="292" spans="2:14">
      <c r="B292" s="140">
        <v>483</v>
      </c>
      <c r="C292" t="s">
        <v>1174</v>
      </c>
      <c r="D292" t="s">
        <v>1217</v>
      </c>
      <c r="E292" t="s">
        <v>1218</v>
      </c>
      <c r="F292" t="s">
        <v>1219</v>
      </c>
      <c r="G292" s="514" t="s">
        <v>1220</v>
      </c>
      <c r="H292" s="514" t="s">
        <v>1220</v>
      </c>
      <c r="I292" s="514" t="s">
        <v>1220</v>
      </c>
      <c r="J292" s="514">
        <v>59.6</v>
      </c>
      <c r="K292" s="514">
        <v>100</v>
      </c>
      <c r="M292" s="145">
        <f t="shared" si="14"/>
        <v>5</v>
      </c>
      <c r="N292" s="145">
        <f t="shared" si="15"/>
        <v>59.6</v>
      </c>
    </row>
    <row r="293" spans="2:14">
      <c r="B293" s="140">
        <v>483</v>
      </c>
      <c r="C293" t="s">
        <v>1174</v>
      </c>
      <c r="D293" t="s">
        <v>1206</v>
      </c>
      <c r="E293" t="s">
        <v>1218</v>
      </c>
      <c r="F293" t="s">
        <v>1219</v>
      </c>
      <c r="G293" s="514" t="s">
        <v>1220</v>
      </c>
      <c r="H293" s="514" t="s">
        <v>1220</v>
      </c>
      <c r="I293" s="514" t="s">
        <v>1220</v>
      </c>
      <c r="J293" s="514">
        <v>76.599999999999994</v>
      </c>
      <c r="K293" s="514">
        <v>100</v>
      </c>
      <c r="M293" s="145">
        <f t="shared" si="14"/>
        <v>5</v>
      </c>
      <c r="N293" s="145">
        <f t="shared" si="15"/>
        <v>76.599999999999994</v>
      </c>
    </row>
    <row r="294" spans="2:14">
      <c r="B294" s="140">
        <v>485</v>
      </c>
      <c r="C294" t="s">
        <v>1193</v>
      </c>
      <c r="D294" t="s">
        <v>1217</v>
      </c>
      <c r="E294" t="s">
        <v>1218</v>
      </c>
      <c r="F294" t="s">
        <v>1219</v>
      </c>
      <c r="G294" s="514" t="s">
        <v>1220</v>
      </c>
      <c r="H294" s="514" t="s">
        <v>1220</v>
      </c>
      <c r="I294" s="514">
        <v>48.3</v>
      </c>
      <c r="J294" s="514" t="s">
        <v>1220</v>
      </c>
      <c r="K294" s="514">
        <v>90.6</v>
      </c>
      <c r="M294" s="145">
        <f t="shared" si="14"/>
        <v>5</v>
      </c>
      <c r="N294" s="145">
        <f t="shared" si="15"/>
        <v>5</v>
      </c>
    </row>
    <row r="295" spans="2:14">
      <c r="B295" s="140">
        <v>485</v>
      </c>
      <c r="C295" t="s">
        <v>1193</v>
      </c>
      <c r="D295" t="s">
        <v>1206</v>
      </c>
      <c r="E295" t="s">
        <v>1218</v>
      </c>
      <c r="F295" t="s">
        <v>1219</v>
      </c>
      <c r="G295" s="514" t="s">
        <v>1220</v>
      </c>
      <c r="H295" s="514">
        <v>56.7</v>
      </c>
      <c r="I295" s="514" t="s">
        <v>1220</v>
      </c>
      <c r="J295" s="514" t="s">
        <v>1220</v>
      </c>
      <c r="K295" s="514">
        <v>93.8</v>
      </c>
      <c r="M295" s="145">
        <f t="shared" si="14"/>
        <v>5</v>
      </c>
      <c r="N295" s="145">
        <f t="shared" si="15"/>
        <v>5</v>
      </c>
    </row>
    <row r="296" spans="2:14">
      <c r="B296" s="140">
        <v>486</v>
      </c>
      <c r="C296" t="s">
        <v>1194</v>
      </c>
      <c r="D296" t="s">
        <v>1217</v>
      </c>
      <c r="E296" t="s">
        <v>1218</v>
      </c>
      <c r="F296" t="s">
        <v>1219</v>
      </c>
      <c r="G296" s="514" t="s">
        <v>1220</v>
      </c>
      <c r="H296" s="514">
        <v>33.9</v>
      </c>
      <c r="I296" s="514">
        <v>28.8</v>
      </c>
      <c r="J296" s="514" t="s">
        <v>1220</v>
      </c>
      <c r="K296" s="514">
        <v>98.3</v>
      </c>
      <c r="M296" s="145">
        <f t="shared" si="14"/>
        <v>5</v>
      </c>
      <c r="N296" s="145">
        <f t="shared" si="15"/>
        <v>5</v>
      </c>
    </row>
    <row r="297" spans="2:14">
      <c r="B297" s="140">
        <v>486</v>
      </c>
      <c r="C297" t="s">
        <v>1194</v>
      </c>
      <c r="D297" t="s">
        <v>1206</v>
      </c>
      <c r="E297" t="s">
        <v>1218</v>
      </c>
      <c r="F297" t="s">
        <v>1219</v>
      </c>
      <c r="G297" s="514" t="s">
        <v>1220</v>
      </c>
      <c r="H297" s="514">
        <v>35.6</v>
      </c>
      <c r="I297" s="514">
        <v>25.4</v>
      </c>
      <c r="J297" s="514" t="s">
        <v>1220</v>
      </c>
      <c r="K297" s="514">
        <v>98.3</v>
      </c>
      <c r="M297" s="145">
        <f t="shared" si="14"/>
        <v>5</v>
      </c>
      <c r="N297" s="145">
        <f t="shared" si="15"/>
        <v>5</v>
      </c>
    </row>
    <row r="298" spans="2:14">
      <c r="B298" s="140">
        <v>487</v>
      </c>
      <c r="C298" t="s">
        <v>1176</v>
      </c>
      <c r="D298" t="s">
        <v>1217</v>
      </c>
      <c r="E298" t="s">
        <v>1218</v>
      </c>
      <c r="F298" t="s">
        <v>1219</v>
      </c>
      <c r="G298" s="514">
        <v>17.899999999999999</v>
      </c>
      <c r="H298" s="514">
        <v>26.3</v>
      </c>
      <c r="I298" s="514">
        <v>31.8</v>
      </c>
      <c r="J298" s="514">
        <v>24</v>
      </c>
      <c r="K298" s="514">
        <v>90.4</v>
      </c>
      <c r="M298" s="145">
        <f t="shared" si="14"/>
        <v>17.899999999999999</v>
      </c>
      <c r="N298" s="145">
        <f t="shared" si="15"/>
        <v>24</v>
      </c>
    </row>
    <row r="299" spans="2:14">
      <c r="B299" s="140">
        <v>487</v>
      </c>
      <c r="C299" t="s">
        <v>1176</v>
      </c>
      <c r="D299" t="s">
        <v>1206</v>
      </c>
      <c r="E299" t="s">
        <v>1218</v>
      </c>
      <c r="F299" t="s">
        <v>1219</v>
      </c>
      <c r="G299" s="514">
        <v>15.6</v>
      </c>
      <c r="H299" s="514">
        <v>46.9</v>
      </c>
      <c r="I299" s="514">
        <v>25.1</v>
      </c>
      <c r="J299" s="514">
        <v>12.3</v>
      </c>
      <c r="K299" s="514">
        <v>90.4</v>
      </c>
      <c r="M299" s="145">
        <f t="shared" si="14"/>
        <v>15.6</v>
      </c>
      <c r="N299" s="145">
        <f t="shared" si="15"/>
        <v>12.3</v>
      </c>
    </row>
    <row r="300" spans="2:14">
      <c r="B300" s="140">
        <v>488</v>
      </c>
      <c r="C300" t="s">
        <v>1179</v>
      </c>
      <c r="D300" t="s">
        <v>1217</v>
      </c>
      <c r="E300" t="s">
        <v>1218</v>
      </c>
      <c r="F300" t="s">
        <v>1219</v>
      </c>
      <c r="G300" s="514" t="s">
        <v>1220</v>
      </c>
      <c r="H300" s="514" t="s">
        <v>1220</v>
      </c>
      <c r="I300" s="514">
        <v>28.2</v>
      </c>
      <c r="J300" s="514">
        <v>49.3</v>
      </c>
      <c r="K300" s="514">
        <v>95.9</v>
      </c>
      <c r="M300" s="145">
        <f t="shared" si="14"/>
        <v>5</v>
      </c>
      <c r="N300" s="145">
        <f t="shared" si="15"/>
        <v>49.3</v>
      </c>
    </row>
    <row r="301" spans="2:14">
      <c r="B301" s="140">
        <v>488</v>
      </c>
      <c r="C301" t="s">
        <v>1179</v>
      </c>
      <c r="D301" t="s">
        <v>1206</v>
      </c>
      <c r="E301" t="s">
        <v>1218</v>
      </c>
      <c r="F301" t="s">
        <v>1219</v>
      </c>
      <c r="G301" s="514" t="s">
        <v>1220</v>
      </c>
      <c r="H301" s="514" t="s">
        <v>1220</v>
      </c>
      <c r="I301" s="514">
        <v>29.2</v>
      </c>
      <c r="J301" s="514">
        <v>43.1</v>
      </c>
      <c r="K301" s="514">
        <v>97.3</v>
      </c>
      <c r="M301" s="145">
        <f t="shared" si="14"/>
        <v>5</v>
      </c>
      <c r="N301" s="145">
        <f t="shared" si="15"/>
        <v>43.1</v>
      </c>
    </row>
    <row r="302" spans="2:14">
      <c r="B302" s="140">
        <v>489</v>
      </c>
      <c r="C302" t="s">
        <v>1180</v>
      </c>
      <c r="D302" t="s">
        <v>1217</v>
      </c>
      <c r="E302" t="s">
        <v>1218</v>
      </c>
      <c r="F302" t="s">
        <v>1219</v>
      </c>
      <c r="G302" s="514" t="s">
        <v>1220</v>
      </c>
      <c r="H302" s="514" t="s">
        <v>1220</v>
      </c>
      <c r="I302" s="514" t="s">
        <v>1220</v>
      </c>
      <c r="J302" s="514" t="s">
        <v>1220</v>
      </c>
      <c r="K302" s="514">
        <v>100</v>
      </c>
      <c r="M302" s="145">
        <f t="shared" si="14"/>
        <v>5</v>
      </c>
      <c r="N302" s="145">
        <f t="shared" si="15"/>
        <v>5</v>
      </c>
    </row>
    <row r="303" spans="2:14">
      <c r="B303" s="140">
        <v>489</v>
      </c>
      <c r="C303" t="s">
        <v>1180</v>
      </c>
      <c r="D303" t="s">
        <v>1206</v>
      </c>
      <c r="E303" t="s">
        <v>1218</v>
      </c>
      <c r="F303" t="s">
        <v>1219</v>
      </c>
      <c r="G303" s="514" t="s">
        <v>1220</v>
      </c>
      <c r="H303" s="514" t="s">
        <v>1220</v>
      </c>
      <c r="I303" s="514" t="s">
        <v>1220</v>
      </c>
      <c r="J303" s="514" t="s">
        <v>1220</v>
      </c>
      <c r="K303" s="514">
        <v>100</v>
      </c>
      <c r="M303" s="145">
        <f t="shared" si="14"/>
        <v>5</v>
      </c>
      <c r="N303" s="145">
        <f t="shared" si="15"/>
        <v>5</v>
      </c>
    </row>
    <row r="304" spans="2:14">
      <c r="B304" s="140">
        <v>490</v>
      </c>
      <c r="C304" t="s">
        <v>1181</v>
      </c>
      <c r="D304" t="s">
        <v>1217</v>
      </c>
      <c r="E304" t="s">
        <v>1218</v>
      </c>
      <c r="F304" t="s">
        <v>1219</v>
      </c>
      <c r="G304" s="514">
        <v>19.399999999999999</v>
      </c>
      <c r="H304" s="514">
        <v>26.1</v>
      </c>
      <c r="I304" s="514">
        <v>32.4</v>
      </c>
      <c r="J304" s="514">
        <v>22.1</v>
      </c>
      <c r="K304" s="514">
        <v>99.3</v>
      </c>
      <c r="M304" s="145">
        <f t="shared" si="14"/>
        <v>19.399999999999999</v>
      </c>
      <c r="N304" s="145">
        <f t="shared" si="15"/>
        <v>22.1</v>
      </c>
    </row>
    <row r="305" spans="2:14">
      <c r="B305" s="140">
        <v>490</v>
      </c>
      <c r="C305" t="s">
        <v>1181</v>
      </c>
      <c r="D305" t="s">
        <v>1206</v>
      </c>
      <c r="E305" t="s">
        <v>1218</v>
      </c>
      <c r="F305" t="s">
        <v>1219</v>
      </c>
      <c r="G305" s="514">
        <v>26</v>
      </c>
      <c r="H305" s="514">
        <v>38.700000000000003</v>
      </c>
      <c r="I305" s="514">
        <v>21.7</v>
      </c>
      <c r="J305" s="514">
        <v>13.7</v>
      </c>
      <c r="K305" s="514">
        <v>99.7</v>
      </c>
      <c r="M305" s="145">
        <f t="shared" si="14"/>
        <v>26</v>
      </c>
      <c r="N305" s="145">
        <f t="shared" si="15"/>
        <v>13.7</v>
      </c>
    </row>
    <row r="306" spans="2:14">
      <c r="B306" s="140">
        <v>491</v>
      </c>
      <c r="C306" t="s">
        <v>1195</v>
      </c>
      <c r="D306" t="s">
        <v>1217</v>
      </c>
      <c r="E306" t="s">
        <v>1218</v>
      </c>
      <c r="F306" t="s">
        <v>1219</v>
      </c>
      <c r="G306" s="514">
        <v>52.3</v>
      </c>
      <c r="H306" s="514">
        <v>33.1</v>
      </c>
      <c r="I306" s="514">
        <v>12.6</v>
      </c>
      <c r="J306" s="514">
        <v>2.1</v>
      </c>
      <c r="K306" s="514">
        <v>99.8</v>
      </c>
      <c r="M306" s="145">
        <f t="shared" si="14"/>
        <v>52.3</v>
      </c>
      <c r="N306" s="145">
        <f t="shared" si="15"/>
        <v>2.1</v>
      </c>
    </row>
    <row r="307" spans="2:14">
      <c r="B307" s="140">
        <v>491</v>
      </c>
      <c r="C307" t="s">
        <v>1195</v>
      </c>
      <c r="D307" t="s">
        <v>1206</v>
      </c>
      <c r="E307" t="s">
        <v>1218</v>
      </c>
      <c r="F307" t="s">
        <v>1219</v>
      </c>
      <c r="G307" s="514">
        <v>40.200000000000003</v>
      </c>
      <c r="H307" s="514">
        <v>49.4</v>
      </c>
      <c r="I307" s="514" t="s">
        <v>1220</v>
      </c>
      <c r="J307" s="514" t="s">
        <v>1220</v>
      </c>
      <c r="K307" s="514">
        <v>99.8</v>
      </c>
      <c r="M307" s="145">
        <f t="shared" si="14"/>
        <v>40.200000000000003</v>
      </c>
      <c r="N307" s="145">
        <f t="shared" si="15"/>
        <v>5</v>
      </c>
    </row>
    <row r="308" spans="2:14">
      <c r="B308" s="140">
        <v>493</v>
      </c>
      <c r="C308" t="s">
        <v>1196</v>
      </c>
      <c r="D308" t="s">
        <v>1217</v>
      </c>
      <c r="E308" t="s">
        <v>1218</v>
      </c>
      <c r="F308" t="s">
        <v>1219</v>
      </c>
      <c r="G308" s="514">
        <v>35.1</v>
      </c>
      <c r="H308" s="514">
        <v>36.200000000000003</v>
      </c>
      <c r="I308" s="514">
        <v>23.1</v>
      </c>
      <c r="J308" s="514">
        <v>5.6</v>
      </c>
      <c r="K308" s="514">
        <v>96.9</v>
      </c>
      <c r="M308" s="145">
        <f t="shared" si="14"/>
        <v>35.1</v>
      </c>
      <c r="N308" s="145">
        <f t="shared" si="15"/>
        <v>5.6</v>
      </c>
    </row>
    <row r="309" spans="2:14">
      <c r="B309" s="140">
        <v>493</v>
      </c>
      <c r="C309" t="s">
        <v>1196</v>
      </c>
      <c r="D309" t="s">
        <v>1206</v>
      </c>
      <c r="E309" t="s">
        <v>1218</v>
      </c>
      <c r="F309" t="s">
        <v>1219</v>
      </c>
      <c r="G309" s="514">
        <v>25.6</v>
      </c>
      <c r="H309" s="514">
        <v>41.4</v>
      </c>
      <c r="I309" s="514">
        <v>21.7</v>
      </c>
      <c r="J309" s="514">
        <v>11.4</v>
      </c>
      <c r="K309" s="514">
        <v>97</v>
      </c>
      <c r="M309" s="145">
        <f t="shared" si="14"/>
        <v>25.6</v>
      </c>
      <c r="N309" s="145">
        <f t="shared" si="15"/>
        <v>11.4</v>
      </c>
    </row>
    <row r="310" spans="2:14">
      <c r="B310" s="140">
        <v>555</v>
      </c>
      <c r="C310" t="s">
        <v>1197</v>
      </c>
      <c r="D310" t="s">
        <v>1217</v>
      </c>
      <c r="E310" t="s">
        <v>1218</v>
      </c>
      <c r="F310" t="s">
        <v>1219</v>
      </c>
      <c r="G310" s="514" t="s">
        <v>1220</v>
      </c>
      <c r="H310" s="514" t="s">
        <v>1220</v>
      </c>
      <c r="I310" s="514" t="s">
        <v>1220</v>
      </c>
      <c r="J310" s="514" t="s">
        <v>1220</v>
      </c>
      <c r="K310" s="514">
        <v>97.2</v>
      </c>
      <c r="M310" s="145">
        <f t="shared" si="14"/>
        <v>5</v>
      </c>
      <c r="N310" s="145">
        <f t="shared" si="15"/>
        <v>5</v>
      </c>
    </row>
    <row r="311" spans="2:14">
      <c r="B311" s="140">
        <v>555</v>
      </c>
      <c r="C311" t="s">
        <v>1197</v>
      </c>
      <c r="D311" t="s">
        <v>1206</v>
      </c>
      <c r="E311" t="s">
        <v>1218</v>
      </c>
      <c r="F311" t="s">
        <v>1219</v>
      </c>
      <c r="G311" s="514" t="s">
        <v>1220</v>
      </c>
      <c r="H311" s="514" t="s">
        <v>1220</v>
      </c>
      <c r="I311" s="514" t="s">
        <v>1220</v>
      </c>
      <c r="J311" s="514">
        <v>68.599999999999994</v>
      </c>
      <c r="K311" s="514">
        <v>97.2</v>
      </c>
      <c r="M311" s="145">
        <f t="shared" si="14"/>
        <v>5</v>
      </c>
      <c r="N311" s="145">
        <f t="shared" si="15"/>
        <v>68.599999999999994</v>
      </c>
    </row>
    <row r="312" spans="2:14">
      <c r="B312" s="140">
        <v>494</v>
      </c>
      <c r="C312" t="s">
        <v>309</v>
      </c>
      <c r="D312" t="s">
        <v>1217</v>
      </c>
      <c r="E312" t="s">
        <v>1218</v>
      </c>
      <c r="F312" t="s">
        <v>1219</v>
      </c>
      <c r="G312" s="514">
        <v>17</v>
      </c>
      <c r="H312" s="514">
        <v>32.700000000000003</v>
      </c>
      <c r="I312" s="514">
        <v>36.299999999999997</v>
      </c>
      <c r="J312" s="514">
        <v>13.9</v>
      </c>
      <c r="K312" s="514">
        <v>99.6</v>
      </c>
      <c r="M312" s="145">
        <f t="shared" si="14"/>
        <v>17</v>
      </c>
      <c r="N312" s="145">
        <f t="shared" si="15"/>
        <v>13.9</v>
      </c>
    </row>
    <row r="313" spans="2:14">
      <c r="B313" s="140">
        <v>494</v>
      </c>
      <c r="C313" t="s">
        <v>309</v>
      </c>
      <c r="D313" t="s">
        <v>1206</v>
      </c>
      <c r="E313" t="s">
        <v>1218</v>
      </c>
      <c r="F313" t="s">
        <v>1219</v>
      </c>
      <c r="G313" s="514">
        <v>25.1</v>
      </c>
      <c r="H313" s="514">
        <v>38.1</v>
      </c>
      <c r="I313" s="514">
        <v>24.7</v>
      </c>
      <c r="J313" s="514">
        <v>12.1</v>
      </c>
      <c r="K313" s="514">
        <v>99.6</v>
      </c>
      <c r="M313" s="145">
        <f t="shared" si="14"/>
        <v>25.1</v>
      </c>
      <c r="N313" s="145">
        <f t="shared" si="15"/>
        <v>12.1</v>
      </c>
    </row>
  </sheetData>
  <autoFilter ref="A3:AI31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71"/>
  <sheetViews>
    <sheetView workbookViewId="0">
      <selection activeCell="SS10" sqref="SS10"/>
    </sheetView>
  </sheetViews>
  <sheetFormatPr defaultRowHeight="12.5"/>
  <cols>
    <col min="1" max="1" width="3.54296875" style="172" customWidth="1"/>
    <col min="2" max="2" width="4" style="172" customWidth="1"/>
    <col min="3" max="3" width="19.54296875" style="172" customWidth="1"/>
    <col min="4" max="5" width="17" style="172" customWidth="1"/>
    <col min="6" max="9" width="13.453125" style="172" customWidth="1"/>
    <col min="10" max="10" width="11.54296875" style="172" customWidth="1"/>
    <col min="11" max="11" width="3.7265625" style="175" customWidth="1"/>
    <col min="12" max="15" width="13.453125" style="172" customWidth="1"/>
    <col min="16" max="16" width="12.7265625" style="172" customWidth="1"/>
    <col min="17" max="257" width="9.1796875" style="172"/>
    <col min="258" max="258" width="4" style="172" customWidth="1"/>
    <col min="259" max="259" width="19.54296875" style="172" customWidth="1"/>
    <col min="260" max="261" width="17" style="172" customWidth="1"/>
    <col min="262" max="265" width="13.453125" style="172" customWidth="1"/>
    <col min="266" max="266" width="11.54296875" style="172" customWidth="1"/>
    <col min="267" max="267" width="2.54296875" style="172" customWidth="1"/>
    <col min="268" max="271" width="13.453125" style="172" customWidth="1"/>
    <col min="272" max="272" width="12.7265625" style="172" customWidth="1"/>
    <col min="273" max="513" width="9.1796875" style="172"/>
    <col min="514" max="514" width="4" style="172" customWidth="1"/>
    <col min="515" max="515" width="19.54296875" style="172" customWidth="1"/>
    <col min="516" max="517" width="17" style="172" customWidth="1"/>
    <col min="518" max="521" width="13.453125" style="172" customWidth="1"/>
    <col min="522" max="522" width="11.54296875" style="172" customWidth="1"/>
    <col min="523" max="523" width="2.54296875" style="172" customWidth="1"/>
    <col min="524" max="527" width="13.453125" style="172" customWidth="1"/>
    <col min="528" max="528" width="12.7265625" style="172" customWidth="1"/>
    <col min="529" max="769" width="9.1796875" style="172"/>
    <col min="770" max="770" width="4" style="172" customWidth="1"/>
    <col min="771" max="771" width="19.54296875" style="172" customWidth="1"/>
    <col min="772" max="773" width="17" style="172" customWidth="1"/>
    <col min="774" max="777" width="13.453125" style="172" customWidth="1"/>
    <col min="778" max="778" width="11.54296875" style="172" customWidth="1"/>
    <col min="779" max="779" width="2.54296875" style="172" customWidth="1"/>
    <col min="780" max="783" width="13.453125" style="172" customWidth="1"/>
    <col min="784" max="784" width="12.7265625" style="172" customWidth="1"/>
    <col min="785" max="1025" width="9.1796875" style="172"/>
    <col min="1026" max="1026" width="4" style="172" customWidth="1"/>
    <col min="1027" max="1027" width="19.54296875" style="172" customWidth="1"/>
    <col min="1028" max="1029" width="17" style="172" customWidth="1"/>
    <col min="1030" max="1033" width="13.453125" style="172" customWidth="1"/>
    <col min="1034" max="1034" width="11.54296875" style="172" customWidth="1"/>
    <col min="1035" max="1035" width="2.54296875" style="172" customWidth="1"/>
    <col min="1036" max="1039" width="13.453125" style="172" customWidth="1"/>
    <col min="1040" max="1040" width="12.7265625" style="172" customWidth="1"/>
    <col min="1041" max="1281" width="9.1796875" style="172"/>
    <col min="1282" max="1282" width="4" style="172" customWidth="1"/>
    <col min="1283" max="1283" width="19.54296875" style="172" customWidth="1"/>
    <col min="1284" max="1285" width="17" style="172" customWidth="1"/>
    <col min="1286" max="1289" width="13.453125" style="172" customWidth="1"/>
    <col min="1290" max="1290" width="11.54296875" style="172" customWidth="1"/>
    <col min="1291" max="1291" width="2.54296875" style="172" customWidth="1"/>
    <col min="1292" max="1295" width="13.453125" style="172" customWidth="1"/>
    <col min="1296" max="1296" width="12.7265625" style="172" customWidth="1"/>
    <col min="1297" max="1537" width="9.1796875" style="172"/>
    <col min="1538" max="1538" width="4" style="172" customWidth="1"/>
    <col min="1539" max="1539" width="19.54296875" style="172" customWidth="1"/>
    <col min="1540" max="1541" width="17" style="172" customWidth="1"/>
    <col min="1542" max="1545" width="13.453125" style="172" customWidth="1"/>
    <col min="1546" max="1546" width="11.54296875" style="172" customWidth="1"/>
    <col min="1547" max="1547" width="2.54296875" style="172" customWidth="1"/>
    <col min="1548" max="1551" width="13.453125" style="172" customWidth="1"/>
    <col min="1552" max="1552" width="12.7265625" style="172" customWidth="1"/>
    <col min="1553" max="1793" width="9.1796875" style="172"/>
    <col min="1794" max="1794" width="4" style="172" customWidth="1"/>
    <col min="1795" max="1795" width="19.54296875" style="172" customWidth="1"/>
    <col min="1796" max="1797" width="17" style="172" customWidth="1"/>
    <col min="1798" max="1801" width="13.453125" style="172" customWidth="1"/>
    <col min="1802" max="1802" width="11.54296875" style="172" customWidth="1"/>
    <col min="1803" max="1803" width="2.54296875" style="172" customWidth="1"/>
    <col min="1804" max="1807" width="13.453125" style="172" customWidth="1"/>
    <col min="1808" max="1808" width="12.7265625" style="172" customWidth="1"/>
    <col min="1809" max="2049" width="9.1796875" style="172"/>
    <col min="2050" max="2050" width="4" style="172" customWidth="1"/>
    <col min="2051" max="2051" width="19.54296875" style="172" customWidth="1"/>
    <col min="2052" max="2053" width="17" style="172" customWidth="1"/>
    <col min="2054" max="2057" width="13.453125" style="172" customWidth="1"/>
    <col min="2058" max="2058" width="11.54296875" style="172" customWidth="1"/>
    <col min="2059" max="2059" width="2.54296875" style="172" customWidth="1"/>
    <col min="2060" max="2063" width="13.453125" style="172" customWidth="1"/>
    <col min="2064" max="2064" width="12.7265625" style="172" customWidth="1"/>
    <col min="2065" max="2305" width="9.1796875" style="172"/>
    <col min="2306" max="2306" width="4" style="172" customWidth="1"/>
    <col min="2307" max="2307" width="19.54296875" style="172" customWidth="1"/>
    <col min="2308" max="2309" width="17" style="172" customWidth="1"/>
    <col min="2310" max="2313" width="13.453125" style="172" customWidth="1"/>
    <col min="2314" max="2314" width="11.54296875" style="172" customWidth="1"/>
    <col min="2315" max="2315" width="2.54296875" style="172" customWidth="1"/>
    <col min="2316" max="2319" width="13.453125" style="172" customWidth="1"/>
    <col min="2320" max="2320" width="12.7265625" style="172" customWidth="1"/>
    <col min="2321" max="2561" width="9.1796875" style="172"/>
    <col min="2562" max="2562" width="4" style="172" customWidth="1"/>
    <col min="2563" max="2563" width="19.54296875" style="172" customWidth="1"/>
    <col min="2564" max="2565" width="17" style="172" customWidth="1"/>
    <col min="2566" max="2569" width="13.453125" style="172" customWidth="1"/>
    <col min="2570" max="2570" width="11.54296875" style="172" customWidth="1"/>
    <col min="2571" max="2571" width="2.54296875" style="172" customWidth="1"/>
    <col min="2572" max="2575" width="13.453125" style="172" customWidth="1"/>
    <col min="2576" max="2576" width="12.7265625" style="172" customWidth="1"/>
    <col min="2577" max="2817" width="9.1796875" style="172"/>
    <col min="2818" max="2818" width="4" style="172" customWidth="1"/>
    <col min="2819" max="2819" width="19.54296875" style="172" customWidth="1"/>
    <col min="2820" max="2821" width="17" style="172" customWidth="1"/>
    <col min="2822" max="2825" width="13.453125" style="172" customWidth="1"/>
    <col min="2826" max="2826" width="11.54296875" style="172" customWidth="1"/>
    <col min="2827" max="2827" width="2.54296875" style="172" customWidth="1"/>
    <col min="2828" max="2831" width="13.453125" style="172" customWidth="1"/>
    <col min="2832" max="2832" width="12.7265625" style="172" customWidth="1"/>
    <col min="2833" max="3073" width="9.1796875" style="172"/>
    <col min="3074" max="3074" width="4" style="172" customWidth="1"/>
    <col min="3075" max="3075" width="19.54296875" style="172" customWidth="1"/>
    <col min="3076" max="3077" width="17" style="172" customWidth="1"/>
    <col min="3078" max="3081" width="13.453125" style="172" customWidth="1"/>
    <col min="3082" max="3082" width="11.54296875" style="172" customWidth="1"/>
    <col min="3083" max="3083" width="2.54296875" style="172" customWidth="1"/>
    <col min="3084" max="3087" width="13.453125" style="172" customWidth="1"/>
    <col min="3088" max="3088" width="12.7265625" style="172" customWidth="1"/>
    <col min="3089" max="3329" width="9.1796875" style="172"/>
    <col min="3330" max="3330" width="4" style="172" customWidth="1"/>
    <col min="3331" max="3331" width="19.54296875" style="172" customWidth="1"/>
    <col min="3332" max="3333" width="17" style="172" customWidth="1"/>
    <col min="3334" max="3337" width="13.453125" style="172" customWidth="1"/>
    <col min="3338" max="3338" width="11.54296875" style="172" customWidth="1"/>
    <col min="3339" max="3339" width="2.54296875" style="172" customWidth="1"/>
    <col min="3340" max="3343" width="13.453125" style="172" customWidth="1"/>
    <col min="3344" max="3344" width="12.7265625" style="172" customWidth="1"/>
    <col min="3345" max="3585" width="9.1796875" style="172"/>
    <col min="3586" max="3586" width="4" style="172" customWidth="1"/>
    <col min="3587" max="3587" width="19.54296875" style="172" customWidth="1"/>
    <col min="3588" max="3589" width="17" style="172" customWidth="1"/>
    <col min="3590" max="3593" width="13.453125" style="172" customWidth="1"/>
    <col min="3594" max="3594" width="11.54296875" style="172" customWidth="1"/>
    <col min="3595" max="3595" width="2.54296875" style="172" customWidth="1"/>
    <col min="3596" max="3599" width="13.453125" style="172" customWidth="1"/>
    <col min="3600" max="3600" width="12.7265625" style="172" customWidth="1"/>
    <col min="3601" max="3841" width="9.1796875" style="172"/>
    <col min="3842" max="3842" width="4" style="172" customWidth="1"/>
    <col min="3843" max="3843" width="19.54296875" style="172" customWidth="1"/>
    <col min="3844" max="3845" width="17" style="172" customWidth="1"/>
    <col min="3846" max="3849" width="13.453125" style="172" customWidth="1"/>
    <col min="3850" max="3850" width="11.54296875" style="172" customWidth="1"/>
    <col min="3851" max="3851" width="2.54296875" style="172" customWidth="1"/>
    <col min="3852" max="3855" width="13.453125" style="172" customWidth="1"/>
    <col min="3856" max="3856" width="12.7265625" style="172" customWidth="1"/>
    <col min="3857" max="4097" width="9.1796875" style="172"/>
    <col min="4098" max="4098" width="4" style="172" customWidth="1"/>
    <col min="4099" max="4099" width="19.54296875" style="172" customWidth="1"/>
    <col min="4100" max="4101" width="17" style="172" customWidth="1"/>
    <col min="4102" max="4105" width="13.453125" style="172" customWidth="1"/>
    <col min="4106" max="4106" width="11.54296875" style="172" customWidth="1"/>
    <col min="4107" max="4107" width="2.54296875" style="172" customWidth="1"/>
    <col min="4108" max="4111" width="13.453125" style="172" customWidth="1"/>
    <col min="4112" max="4112" width="12.7265625" style="172" customWidth="1"/>
    <col min="4113" max="4353" width="9.1796875" style="172"/>
    <col min="4354" max="4354" width="4" style="172" customWidth="1"/>
    <col min="4355" max="4355" width="19.54296875" style="172" customWidth="1"/>
    <col min="4356" max="4357" width="17" style="172" customWidth="1"/>
    <col min="4358" max="4361" width="13.453125" style="172" customWidth="1"/>
    <col min="4362" max="4362" width="11.54296875" style="172" customWidth="1"/>
    <col min="4363" max="4363" width="2.54296875" style="172" customWidth="1"/>
    <col min="4364" max="4367" width="13.453125" style="172" customWidth="1"/>
    <col min="4368" max="4368" width="12.7265625" style="172" customWidth="1"/>
    <col min="4369" max="4609" width="9.1796875" style="172"/>
    <col min="4610" max="4610" width="4" style="172" customWidth="1"/>
    <col min="4611" max="4611" width="19.54296875" style="172" customWidth="1"/>
    <col min="4612" max="4613" width="17" style="172" customWidth="1"/>
    <col min="4614" max="4617" width="13.453125" style="172" customWidth="1"/>
    <col min="4618" max="4618" width="11.54296875" style="172" customWidth="1"/>
    <col min="4619" max="4619" width="2.54296875" style="172" customWidth="1"/>
    <col min="4620" max="4623" width="13.453125" style="172" customWidth="1"/>
    <col min="4624" max="4624" width="12.7265625" style="172" customWidth="1"/>
    <col min="4625" max="4865" width="9.1796875" style="172"/>
    <col min="4866" max="4866" width="4" style="172" customWidth="1"/>
    <col min="4867" max="4867" width="19.54296875" style="172" customWidth="1"/>
    <col min="4868" max="4869" width="17" style="172" customWidth="1"/>
    <col min="4870" max="4873" width="13.453125" style="172" customWidth="1"/>
    <col min="4874" max="4874" width="11.54296875" style="172" customWidth="1"/>
    <col min="4875" max="4875" width="2.54296875" style="172" customWidth="1"/>
    <col min="4876" max="4879" width="13.453125" style="172" customWidth="1"/>
    <col min="4880" max="4880" width="12.7265625" style="172" customWidth="1"/>
    <col min="4881" max="5121" width="9.1796875" style="172"/>
    <col min="5122" max="5122" width="4" style="172" customWidth="1"/>
    <col min="5123" max="5123" width="19.54296875" style="172" customWidth="1"/>
    <col min="5124" max="5125" width="17" style="172" customWidth="1"/>
    <col min="5126" max="5129" width="13.453125" style="172" customWidth="1"/>
    <col min="5130" max="5130" width="11.54296875" style="172" customWidth="1"/>
    <col min="5131" max="5131" width="2.54296875" style="172" customWidth="1"/>
    <col min="5132" max="5135" width="13.453125" style="172" customWidth="1"/>
    <col min="5136" max="5136" width="12.7265625" style="172" customWidth="1"/>
    <col min="5137" max="5377" width="9.1796875" style="172"/>
    <col min="5378" max="5378" width="4" style="172" customWidth="1"/>
    <col min="5379" max="5379" width="19.54296875" style="172" customWidth="1"/>
    <col min="5380" max="5381" width="17" style="172" customWidth="1"/>
    <col min="5382" max="5385" width="13.453125" style="172" customWidth="1"/>
    <col min="5386" max="5386" width="11.54296875" style="172" customWidth="1"/>
    <col min="5387" max="5387" width="2.54296875" style="172" customWidth="1"/>
    <col min="5388" max="5391" width="13.453125" style="172" customWidth="1"/>
    <col min="5392" max="5392" width="12.7265625" style="172" customWidth="1"/>
    <col min="5393" max="5633" width="9.1796875" style="172"/>
    <col min="5634" max="5634" width="4" style="172" customWidth="1"/>
    <col min="5635" max="5635" width="19.54296875" style="172" customWidth="1"/>
    <col min="5636" max="5637" width="17" style="172" customWidth="1"/>
    <col min="5638" max="5641" width="13.453125" style="172" customWidth="1"/>
    <col min="5642" max="5642" width="11.54296875" style="172" customWidth="1"/>
    <col min="5643" max="5643" width="2.54296875" style="172" customWidth="1"/>
    <col min="5644" max="5647" width="13.453125" style="172" customWidth="1"/>
    <col min="5648" max="5648" width="12.7265625" style="172" customWidth="1"/>
    <col min="5649" max="5889" width="9.1796875" style="172"/>
    <col min="5890" max="5890" width="4" style="172" customWidth="1"/>
    <col min="5891" max="5891" width="19.54296875" style="172" customWidth="1"/>
    <col min="5892" max="5893" width="17" style="172" customWidth="1"/>
    <col min="5894" max="5897" width="13.453125" style="172" customWidth="1"/>
    <col min="5898" max="5898" width="11.54296875" style="172" customWidth="1"/>
    <col min="5899" max="5899" width="2.54296875" style="172" customWidth="1"/>
    <col min="5900" max="5903" width="13.453125" style="172" customWidth="1"/>
    <col min="5904" max="5904" width="12.7265625" style="172" customWidth="1"/>
    <col min="5905" max="6145" width="9.1796875" style="172"/>
    <col min="6146" max="6146" width="4" style="172" customWidth="1"/>
    <col min="6147" max="6147" width="19.54296875" style="172" customWidth="1"/>
    <col min="6148" max="6149" width="17" style="172" customWidth="1"/>
    <col min="6150" max="6153" width="13.453125" style="172" customWidth="1"/>
    <col min="6154" max="6154" width="11.54296875" style="172" customWidth="1"/>
    <col min="6155" max="6155" width="2.54296875" style="172" customWidth="1"/>
    <col min="6156" max="6159" width="13.453125" style="172" customWidth="1"/>
    <col min="6160" max="6160" width="12.7265625" style="172" customWidth="1"/>
    <col min="6161" max="6401" width="9.1796875" style="172"/>
    <col min="6402" max="6402" width="4" style="172" customWidth="1"/>
    <col min="6403" max="6403" width="19.54296875" style="172" customWidth="1"/>
    <col min="6404" max="6405" width="17" style="172" customWidth="1"/>
    <col min="6406" max="6409" width="13.453125" style="172" customWidth="1"/>
    <col min="6410" max="6410" width="11.54296875" style="172" customWidth="1"/>
    <col min="6411" max="6411" width="2.54296875" style="172" customWidth="1"/>
    <col min="6412" max="6415" width="13.453125" style="172" customWidth="1"/>
    <col min="6416" max="6416" width="12.7265625" style="172" customWidth="1"/>
    <col min="6417" max="6657" width="9.1796875" style="172"/>
    <col min="6658" max="6658" width="4" style="172" customWidth="1"/>
    <col min="6659" max="6659" width="19.54296875" style="172" customWidth="1"/>
    <col min="6660" max="6661" width="17" style="172" customWidth="1"/>
    <col min="6662" max="6665" width="13.453125" style="172" customWidth="1"/>
    <col min="6666" max="6666" width="11.54296875" style="172" customWidth="1"/>
    <col min="6667" max="6667" width="2.54296875" style="172" customWidth="1"/>
    <col min="6668" max="6671" width="13.453125" style="172" customWidth="1"/>
    <col min="6672" max="6672" width="12.7265625" style="172" customWidth="1"/>
    <col min="6673" max="6913" width="9.1796875" style="172"/>
    <col min="6914" max="6914" width="4" style="172" customWidth="1"/>
    <col min="6915" max="6915" width="19.54296875" style="172" customWidth="1"/>
    <col min="6916" max="6917" width="17" style="172" customWidth="1"/>
    <col min="6918" max="6921" width="13.453125" style="172" customWidth="1"/>
    <col min="6922" max="6922" width="11.54296875" style="172" customWidth="1"/>
    <col min="6923" max="6923" width="2.54296875" style="172" customWidth="1"/>
    <col min="6924" max="6927" width="13.453125" style="172" customWidth="1"/>
    <col min="6928" max="6928" width="12.7265625" style="172" customWidth="1"/>
    <col min="6929" max="7169" width="9.1796875" style="172"/>
    <col min="7170" max="7170" width="4" style="172" customWidth="1"/>
    <col min="7171" max="7171" width="19.54296875" style="172" customWidth="1"/>
    <col min="7172" max="7173" width="17" style="172" customWidth="1"/>
    <col min="7174" max="7177" width="13.453125" style="172" customWidth="1"/>
    <col min="7178" max="7178" width="11.54296875" style="172" customWidth="1"/>
    <col min="7179" max="7179" width="2.54296875" style="172" customWidth="1"/>
    <col min="7180" max="7183" width="13.453125" style="172" customWidth="1"/>
    <col min="7184" max="7184" width="12.7265625" style="172" customWidth="1"/>
    <col min="7185" max="7425" width="9.1796875" style="172"/>
    <col min="7426" max="7426" width="4" style="172" customWidth="1"/>
    <col min="7427" max="7427" width="19.54296875" style="172" customWidth="1"/>
    <col min="7428" max="7429" width="17" style="172" customWidth="1"/>
    <col min="7430" max="7433" width="13.453125" style="172" customWidth="1"/>
    <col min="7434" max="7434" width="11.54296875" style="172" customWidth="1"/>
    <col min="7435" max="7435" width="2.54296875" style="172" customWidth="1"/>
    <col min="7436" max="7439" width="13.453125" style="172" customWidth="1"/>
    <col min="7440" max="7440" width="12.7265625" style="172" customWidth="1"/>
    <col min="7441" max="7681" width="9.1796875" style="172"/>
    <col min="7682" max="7682" width="4" style="172" customWidth="1"/>
    <col min="7683" max="7683" width="19.54296875" style="172" customWidth="1"/>
    <col min="7684" max="7685" width="17" style="172" customWidth="1"/>
    <col min="7686" max="7689" width="13.453125" style="172" customWidth="1"/>
    <col min="7690" max="7690" width="11.54296875" style="172" customWidth="1"/>
    <col min="7691" max="7691" width="2.54296875" style="172" customWidth="1"/>
    <col min="7692" max="7695" width="13.453125" style="172" customWidth="1"/>
    <col min="7696" max="7696" width="12.7265625" style="172" customWidth="1"/>
    <col min="7697" max="7937" width="9.1796875" style="172"/>
    <col min="7938" max="7938" width="4" style="172" customWidth="1"/>
    <col min="7939" max="7939" width="19.54296875" style="172" customWidth="1"/>
    <col min="7940" max="7941" width="17" style="172" customWidth="1"/>
    <col min="7942" max="7945" width="13.453125" style="172" customWidth="1"/>
    <col min="7946" max="7946" width="11.54296875" style="172" customWidth="1"/>
    <col min="7947" max="7947" width="2.54296875" style="172" customWidth="1"/>
    <col min="7948" max="7951" width="13.453125" style="172" customWidth="1"/>
    <col min="7952" max="7952" width="12.7265625" style="172" customWidth="1"/>
    <col min="7953" max="8193" width="9.1796875" style="172"/>
    <col min="8194" max="8194" width="4" style="172" customWidth="1"/>
    <col min="8195" max="8195" width="19.54296875" style="172" customWidth="1"/>
    <col min="8196" max="8197" width="17" style="172" customWidth="1"/>
    <col min="8198" max="8201" width="13.453125" style="172" customWidth="1"/>
    <col min="8202" max="8202" width="11.54296875" style="172" customWidth="1"/>
    <col min="8203" max="8203" width="2.54296875" style="172" customWidth="1"/>
    <col min="8204" max="8207" width="13.453125" style="172" customWidth="1"/>
    <col min="8208" max="8208" width="12.7265625" style="172" customWidth="1"/>
    <col min="8209" max="8449" width="9.1796875" style="172"/>
    <col min="8450" max="8450" width="4" style="172" customWidth="1"/>
    <col min="8451" max="8451" width="19.54296875" style="172" customWidth="1"/>
    <col min="8452" max="8453" width="17" style="172" customWidth="1"/>
    <col min="8454" max="8457" width="13.453125" style="172" customWidth="1"/>
    <col min="8458" max="8458" width="11.54296875" style="172" customWidth="1"/>
    <col min="8459" max="8459" width="2.54296875" style="172" customWidth="1"/>
    <col min="8460" max="8463" width="13.453125" style="172" customWidth="1"/>
    <col min="8464" max="8464" width="12.7265625" style="172" customWidth="1"/>
    <col min="8465" max="8705" width="9.1796875" style="172"/>
    <col min="8706" max="8706" width="4" style="172" customWidth="1"/>
    <col min="8707" max="8707" width="19.54296875" style="172" customWidth="1"/>
    <col min="8708" max="8709" width="17" style="172" customWidth="1"/>
    <col min="8710" max="8713" width="13.453125" style="172" customWidth="1"/>
    <col min="8714" max="8714" width="11.54296875" style="172" customWidth="1"/>
    <col min="8715" max="8715" width="2.54296875" style="172" customWidth="1"/>
    <col min="8716" max="8719" width="13.453125" style="172" customWidth="1"/>
    <col min="8720" max="8720" width="12.7265625" style="172" customWidth="1"/>
    <col min="8721" max="8961" width="9.1796875" style="172"/>
    <col min="8962" max="8962" width="4" style="172" customWidth="1"/>
    <col min="8963" max="8963" width="19.54296875" style="172" customWidth="1"/>
    <col min="8964" max="8965" width="17" style="172" customWidth="1"/>
    <col min="8966" max="8969" width="13.453125" style="172" customWidth="1"/>
    <col min="8970" max="8970" width="11.54296875" style="172" customWidth="1"/>
    <col min="8971" max="8971" width="2.54296875" style="172" customWidth="1"/>
    <col min="8972" max="8975" width="13.453125" style="172" customWidth="1"/>
    <col min="8976" max="8976" width="12.7265625" style="172" customWidth="1"/>
    <col min="8977" max="9217" width="9.1796875" style="172"/>
    <col min="9218" max="9218" width="4" style="172" customWidth="1"/>
    <col min="9219" max="9219" width="19.54296875" style="172" customWidth="1"/>
    <col min="9220" max="9221" width="17" style="172" customWidth="1"/>
    <col min="9222" max="9225" width="13.453125" style="172" customWidth="1"/>
    <col min="9226" max="9226" width="11.54296875" style="172" customWidth="1"/>
    <col min="9227" max="9227" width="2.54296875" style="172" customWidth="1"/>
    <col min="9228" max="9231" width="13.453125" style="172" customWidth="1"/>
    <col min="9232" max="9232" width="12.7265625" style="172" customWidth="1"/>
    <col min="9233" max="9473" width="9.1796875" style="172"/>
    <col min="9474" max="9474" width="4" style="172" customWidth="1"/>
    <col min="9475" max="9475" width="19.54296875" style="172" customWidth="1"/>
    <col min="9476" max="9477" width="17" style="172" customWidth="1"/>
    <col min="9478" max="9481" width="13.453125" style="172" customWidth="1"/>
    <col min="9482" max="9482" width="11.54296875" style="172" customWidth="1"/>
    <col min="9483" max="9483" width="2.54296875" style="172" customWidth="1"/>
    <col min="9484" max="9487" width="13.453125" style="172" customWidth="1"/>
    <col min="9488" max="9488" width="12.7265625" style="172" customWidth="1"/>
    <col min="9489" max="9729" width="9.1796875" style="172"/>
    <col min="9730" max="9730" width="4" style="172" customWidth="1"/>
    <col min="9731" max="9731" width="19.54296875" style="172" customWidth="1"/>
    <col min="9732" max="9733" width="17" style="172" customWidth="1"/>
    <col min="9734" max="9737" width="13.453125" style="172" customWidth="1"/>
    <col min="9738" max="9738" width="11.54296875" style="172" customWidth="1"/>
    <col min="9739" max="9739" width="2.54296875" style="172" customWidth="1"/>
    <col min="9740" max="9743" width="13.453125" style="172" customWidth="1"/>
    <col min="9744" max="9744" width="12.7265625" style="172" customWidth="1"/>
    <col min="9745" max="9985" width="9.1796875" style="172"/>
    <col min="9986" max="9986" width="4" style="172" customWidth="1"/>
    <col min="9987" max="9987" width="19.54296875" style="172" customWidth="1"/>
    <col min="9988" max="9989" width="17" style="172" customWidth="1"/>
    <col min="9990" max="9993" width="13.453125" style="172" customWidth="1"/>
    <col min="9994" max="9994" width="11.54296875" style="172" customWidth="1"/>
    <col min="9995" max="9995" width="2.54296875" style="172" customWidth="1"/>
    <col min="9996" max="9999" width="13.453125" style="172" customWidth="1"/>
    <col min="10000" max="10000" width="12.7265625" style="172" customWidth="1"/>
    <col min="10001" max="10241" width="9.1796875" style="172"/>
    <col min="10242" max="10242" width="4" style="172" customWidth="1"/>
    <col min="10243" max="10243" width="19.54296875" style="172" customWidth="1"/>
    <col min="10244" max="10245" width="17" style="172" customWidth="1"/>
    <col min="10246" max="10249" width="13.453125" style="172" customWidth="1"/>
    <col min="10250" max="10250" width="11.54296875" style="172" customWidth="1"/>
    <col min="10251" max="10251" width="2.54296875" style="172" customWidth="1"/>
    <col min="10252" max="10255" width="13.453125" style="172" customWidth="1"/>
    <col min="10256" max="10256" width="12.7265625" style="172" customWidth="1"/>
    <col min="10257" max="10497" width="9.1796875" style="172"/>
    <col min="10498" max="10498" width="4" style="172" customWidth="1"/>
    <col min="10499" max="10499" width="19.54296875" style="172" customWidth="1"/>
    <col min="10500" max="10501" width="17" style="172" customWidth="1"/>
    <col min="10502" max="10505" width="13.453125" style="172" customWidth="1"/>
    <col min="10506" max="10506" width="11.54296875" style="172" customWidth="1"/>
    <col min="10507" max="10507" width="2.54296875" style="172" customWidth="1"/>
    <col min="10508" max="10511" width="13.453125" style="172" customWidth="1"/>
    <col min="10512" max="10512" width="12.7265625" style="172" customWidth="1"/>
    <col min="10513" max="10753" width="9.1796875" style="172"/>
    <col min="10754" max="10754" width="4" style="172" customWidth="1"/>
    <col min="10755" max="10755" width="19.54296875" style="172" customWidth="1"/>
    <col min="10756" max="10757" width="17" style="172" customWidth="1"/>
    <col min="10758" max="10761" width="13.453125" style="172" customWidth="1"/>
    <col min="10762" max="10762" width="11.54296875" style="172" customWidth="1"/>
    <col min="10763" max="10763" width="2.54296875" style="172" customWidth="1"/>
    <col min="10764" max="10767" width="13.453125" style="172" customWidth="1"/>
    <col min="10768" max="10768" width="12.7265625" style="172" customWidth="1"/>
    <col min="10769" max="11009" width="9.1796875" style="172"/>
    <col min="11010" max="11010" width="4" style="172" customWidth="1"/>
    <col min="11011" max="11011" width="19.54296875" style="172" customWidth="1"/>
    <col min="11012" max="11013" width="17" style="172" customWidth="1"/>
    <col min="11014" max="11017" width="13.453125" style="172" customWidth="1"/>
    <col min="11018" max="11018" width="11.54296875" style="172" customWidth="1"/>
    <col min="11019" max="11019" width="2.54296875" style="172" customWidth="1"/>
    <col min="11020" max="11023" width="13.453125" style="172" customWidth="1"/>
    <col min="11024" max="11024" width="12.7265625" style="172" customWidth="1"/>
    <col min="11025" max="11265" width="9.1796875" style="172"/>
    <col min="11266" max="11266" width="4" style="172" customWidth="1"/>
    <col min="11267" max="11267" width="19.54296875" style="172" customWidth="1"/>
    <col min="11268" max="11269" width="17" style="172" customWidth="1"/>
    <col min="11270" max="11273" width="13.453125" style="172" customWidth="1"/>
    <col min="11274" max="11274" width="11.54296875" style="172" customWidth="1"/>
    <col min="11275" max="11275" width="2.54296875" style="172" customWidth="1"/>
    <col min="11276" max="11279" width="13.453125" style="172" customWidth="1"/>
    <col min="11280" max="11280" width="12.7265625" style="172" customWidth="1"/>
    <col min="11281" max="11521" width="9.1796875" style="172"/>
    <col min="11522" max="11522" width="4" style="172" customWidth="1"/>
    <col min="11523" max="11523" width="19.54296875" style="172" customWidth="1"/>
    <col min="11524" max="11525" width="17" style="172" customWidth="1"/>
    <col min="11526" max="11529" width="13.453125" style="172" customWidth="1"/>
    <col min="11530" max="11530" width="11.54296875" style="172" customWidth="1"/>
    <col min="11531" max="11531" width="2.54296875" style="172" customWidth="1"/>
    <col min="11532" max="11535" width="13.453125" style="172" customWidth="1"/>
    <col min="11536" max="11536" width="12.7265625" style="172" customWidth="1"/>
    <col min="11537" max="11777" width="9.1796875" style="172"/>
    <col min="11778" max="11778" width="4" style="172" customWidth="1"/>
    <col min="11779" max="11779" width="19.54296875" style="172" customWidth="1"/>
    <col min="11780" max="11781" width="17" style="172" customWidth="1"/>
    <col min="11782" max="11785" width="13.453125" style="172" customWidth="1"/>
    <col min="11786" max="11786" width="11.54296875" style="172" customWidth="1"/>
    <col min="11787" max="11787" width="2.54296875" style="172" customWidth="1"/>
    <col min="11788" max="11791" width="13.453125" style="172" customWidth="1"/>
    <col min="11792" max="11792" width="12.7265625" style="172" customWidth="1"/>
    <col min="11793" max="12033" width="9.1796875" style="172"/>
    <col min="12034" max="12034" width="4" style="172" customWidth="1"/>
    <col min="12035" max="12035" width="19.54296875" style="172" customWidth="1"/>
    <col min="12036" max="12037" width="17" style="172" customWidth="1"/>
    <col min="12038" max="12041" width="13.453125" style="172" customWidth="1"/>
    <col min="12042" max="12042" width="11.54296875" style="172" customWidth="1"/>
    <col min="12043" max="12043" width="2.54296875" style="172" customWidth="1"/>
    <col min="12044" max="12047" width="13.453125" style="172" customWidth="1"/>
    <col min="12048" max="12048" width="12.7265625" style="172" customWidth="1"/>
    <col min="12049" max="12289" width="9.1796875" style="172"/>
    <col min="12290" max="12290" width="4" style="172" customWidth="1"/>
    <col min="12291" max="12291" width="19.54296875" style="172" customWidth="1"/>
    <col min="12292" max="12293" width="17" style="172" customWidth="1"/>
    <col min="12294" max="12297" width="13.453125" style="172" customWidth="1"/>
    <col min="12298" max="12298" width="11.54296875" style="172" customWidth="1"/>
    <col min="12299" max="12299" width="2.54296875" style="172" customWidth="1"/>
    <col min="12300" max="12303" width="13.453125" style="172" customWidth="1"/>
    <col min="12304" max="12304" width="12.7265625" style="172" customWidth="1"/>
    <col min="12305" max="12545" width="9.1796875" style="172"/>
    <col min="12546" max="12546" width="4" style="172" customWidth="1"/>
    <col min="12547" max="12547" width="19.54296875" style="172" customWidth="1"/>
    <col min="12548" max="12549" width="17" style="172" customWidth="1"/>
    <col min="12550" max="12553" width="13.453125" style="172" customWidth="1"/>
    <col min="12554" max="12554" width="11.54296875" style="172" customWidth="1"/>
    <col min="12555" max="12555" width="2.54296875" style="172" customWidth="1"/>
    <col min="12556" max="12559" width="13.453125" style="172" customWidth="1"/>
    <col min="12560" max="12560" width="12.7265625" style="172" customWidth="1"/>
    <col min="12561" max="12801" width="9.1796875" style="172"/>
    <col min="12802" max="12802" width="4" style="172" customWidth="1"/>
    <col min="12803" max="12803" width="19.54296875" style="172" customWidth="1"/>
    <col min="12804" max="12805" width="17" style="172" customWidth="1"/>
    <col min="12806" max="12809" width="13.453125" style="172" customWidth="1"/>
    <col min="12810" max="12810" width="11.54296875" style="172" customWidth="1"/>
    <col min="12811" max="12811" width="2.54296875" style="172" customWidth="1"/>
    <col min="12812" max="12815" width="13.453125" style="172" customWidth="1"/>
    <col min="12816" max="12816" width="12.7265625" style="172" customWidth="1"/>
    <col min="12817" max="13057" width="9.1796875" style="172"/>
    <col min="13058" max="13058" width="4" style="172" customWidth="1"/>
    <col min="13059" max="13059" width="19.54296875" style="172" customWidth="1"/>
    <col min="13060" max="13061" width="17" style="172" customWidth="1"/>
    <col min="13062" max="13065" width="13.453125" style="172" customWidth="1"/>
    <col min="13066" max="13066" width="11.54296875" style="172" customWidth="1"/>
    <col min="13067" max="13067" width="2.54296875" style="172" customWidth="1"/>
    <col min="13068" max="13071" width="13.453125" style="172" customWidth="1"/>
    <col min="13072" max="13072" width="12.7265625" style="172" customWidth="1"/>
    <col min="13073" max="13313" width="9.1796875" style="172"/>
    <col min="13314" max="13314" width="4" style="172" customWidth="1"/>
    <col min="13315" max="13315" width="19.54296875" style="172" customWidth="1"/>
    <col min="13316" max="13317" width="17" style="172" customWidth="1"/>
    <col min="13318" max="13321" width="13.453125" style="172" customWidth="1"/>
    <col min="13322" max="13322" width="11.54296875" style="172" customWidth="1"/>
    <col min="13323" max="13323" width="2.54296875" style="172" customWidth="1"/>
    <col min="13324" max="13327" width="13.453125" style="172" customWidth="1"/>
    <col min="13328" max="13328" width="12.7265625" style="172" customWidth="1"/>
    <col min="13329" max="13569" width="9.1796875" style="172"/>
    <col min="13570" max="13570" width="4" style="172" customWidth="1"/>
    <col min="13571" max="13571" width="19.54296875" style="172" customWidth="1"/>
    <col min="13572" max="13573" width="17" style="172" customWidth="1"/>
    <col min="13574" max="13577" width="13.453125" style="172" customWidth="1"/>
    <col min="13578" max="13578" width="11.54296875" style="172" customWidth="1"/>
    <col min="13579" max="13579" width="2.54296875" style="172" customWidth="1"/>
    <col min="13580" max="13583" width="13.453125" style="172" customWidth="1"/>
    <col min="13584" max="13584" width="12.7265625" style="172" customWidth="1"/>
    <col min="13585" max="13825" width="9.1796875" style="172"/>
    <col min="13826" max="13826" width="4" style="172" customWidth="1"/>
    <col min="13827" max="13827" width="19.54296875" style="172" customWidth="1"/>
    <col min="13828" max="13829" width="17" style="172" customWidth="1"/>
    <col min="13830" max="13833" width="13.453125" style="172" customWidth="1"/>
    <col min="13834" max="13834" width="11.54296875" style="172" customWidth="1"/>
    <col min="13835" max="13835" width="2.54296875" style="172" customWidth="1"/>
    <col min="13836" max="13839" width="13.453125" style="172" customWidth="1"/>
    <col min="13840" max="13840" width="12.7265625" style="172" customWidth="1"/>
    <col min="13841" max="14081" width="9.1796875" style="172"/>
    <col min="14082" max="14082" width="4" style="172" customWidth="1"/>
    <col min="14083" max="14083" width="19.54296875" style="172" customWidth="1"/>
    <col min="14084" max="14085" width="17" style="172" customWidth="1"/>
    <col min="14086" max="14089" width="13.453125" style="172" customWidth="1"/>
    <col min="14090" max="14090" width="11.54296875" style="172" customWidth="1"/>
    <col min="14091" max="14091" width="2.54296875" style="172" customWidth="1"/>
    <col min="14092" max="14095" width="13.453125" style="172" customWidth="1"/>
    <col min="14096" max="14096" width="12.7265625" style="172" customWidth="1"/>
    <col min="14097" max="14337" width="9.1796875" style="172"/>
    <col min="14338" max="14338" width="4" style="172" customWidth="1"/>
    <col min="14339" max="14339" width="19.54296875" style="172" customWidth="1"/>
    <col min="14340" max="14341" width="17" style="172" customWidth="1"/>
    <col min="14342" max="14345" width="13.453125" style="172" customWidth="1"/>
    <col min="14346" max="14346" width="11.54296875" style="172" customWidth="1"/>
    <col min="14347" max="14347" width="2.54296875" style="172" customWidth="1"/>
    <col min="14348" max="14351" width="13.453125" style="172" customWidth="1"/>
    <col min="14352" max="14352" width="12.7265625" style="172" customWidth="1"/>
    <col min="14353" max="14593" width="9.1796875" style="172"/>
    <col min="14594" max="14594" width="4" style="172" customWidth="1"/>
    <col min="14595" max="14595" width="19.54296875" style="172" customWidth="1"/>
    <col min="14596" max="14597" width="17" style="172" customWidth="1"/>
    <col min="14598" max="14601" width="13.453125" style="172" customWidth="1"/>
    <col min="14602" max="14602" width="11.54296875" style="172" customWidth="1"/>
    <col min="14603" max="14603" width="2.54296875" style="172" customWidth="1"/>
    <col min="14604" max="14607" width="13.453125" style="172" customWidth="1"/>
    <col min="14608" max="14608" width="12.7265625" style="172" customWidth="1"/>
    <col min="14609" max="14849" width="9.1796875" style="172"/>
    <col min="14850" max="14850" width="4" style="172" customWidth="1"/>
    <col min="14851" max="14851" width="19.54296875" style="172" customWidth="1"/>
    <col min="14852" max="14853" width="17" style="172" customWidth="1"/>
    <col min="14854" max="14857" width="13.453125" style="172" customWidth="1"/>
    <col min="14858" max="14858" width="11.54296875" style="172" customWidth="1"/>
    <col min="14859" max="14859" width="2.54296875" style="172" customWidth="1"/>
    <col min="14860" max="14863" width="13.453125" style="172" customWidth="1"/>
    <col min="14864" max="14864" width="12.7265625" style="172" customWidth="1"/>
    <col min="14865" max="15105" width="9.1796875" style="172"/>
    <col min="15106" max="15106" width="4" style="172" customWidth="1"/>
    <col min="15107" max="15107" width="19.54296875" style="172" customWidth="1"/>
    <col min="15108" max="15109" width="17" style="172" customWidth="1"/>
    <col min="15110" max="15113" width="13.453125" style="172" customWidth="1"/>
    <col min="15114" max="15114" width="11.54296875" style="172" customWidth="1"/>
    <col min="15115" max="15115" width="2.54296875" style="172" customWidth="1"/>
    <col min="15116" max="15119" width="13.453125" style="172" customWidth="1"/>
    <col min="15120" max="15120" width="12.7265625" style="172" customWidth="1"/>
    <col min="15121" max="15361" width="9.1796875" style="172"/>
    <col min="15362" max="15362" width="4" style="172" customWidth="1"/>
    <col min="15363" max="15363" width="19.54296875" style="172" customWidth="1"/>
    <col min="15364" max="15365" width="17" style="172" customWidth="1"/>
    <col min="15366" max="15369" width="13.453125" style="172" customWidth="1"/>
    <col min="15370" max="15370" width="11.54296875" style="172" customWidth="1"/>
    <col min="15371" max="15371" width="2.54296875" style="172" customWidth="1"/>
    <col min="15372" max="15375" width="13.453125" style="172" customWidth="1"/>
    <col min="15376" max="15376" width="12.7265625" style="172" customWidth="1"/>
    <col min="15377" max="15617" width="9.1796875" style="172"/>
    <col min="15618" max="15618" width="4" style="172" customWidth="1"/>
    <col min="15619" max="15619" width="19.54296875" style="172" customWidth="1"/>
    <col min="15620" max="15621" width="17" style="172" customWidth="1"/>
    <col min="15622" max="15625" width="13.453125" style="172" customWidth="1"/>
    <col min="15626" max="15626" width="11.54296875" style="172" customWidth="1"/>
    <col min="15627" max="15627" width="2.54296875" style="172" customWidth="1"/>
    <col min="15628" max="15631" width="13.453125" style="172" customWidth="1"/>
    <col min="15632" max="15632" width="12.7265625" style="172" customWidth="1"/>
    <col min="15633" max="15873" width="9.1796875" style="172"/>
    <col min="15874" max="15874" width="4" style="172" customWidth="1"/>
    <col min="15875" max="15875" width="19.54296875" style="172" customWidth="1"/>
    <col min="15876" max="15877" width="17" style="172" customWidth="1"/>
    <col min="15878" max="15881" width="13.453125" style="172" customWidth="1"/>
    <col min="15882" max="15882" width="11.54296875" style="172" customWidth="1"/>
    <col min="15883" max="15883" width="2.54296875" style="172" customWidth="1"/>
    <col min="15884" max="15887" width="13.453125" style="172" customWidth="1"/>
    <col min="15888" max="15888" width="12.7265625" style="172" customWidth="1"/>
    <col min="15889" max="16129" width="9.1796875" style="172"/>
    <col min="16130" max="16130" width="4" style="172" customWidth="1"/>
    <col min="16131" max="16131" width="19.54296875" style="172" customWidth="1"/>
    <col min="16132" max="16133" width="17" style="172" customWidth="1"/>
    <col min="16134" max="16137" width="13.453125" style="172" customWidth="1"/>
    <col min="16138" max="16138" width="11.54296875" style="172" customWidth="1"/>
    <col min="16139" max="16139" width="2.54296875" style="172" customWidth="1"/>
    <col min="16140" max="16143" width="13.453125" style="172" customWidth="1"/>
    <col min="16144" max="16144" width="12.7265625" style="172" customWidth="1"/>
    <col min="16145" max="16384" width="9.1796875" style="172"/>
  </cols>
  <sheetData>
    <row r="2" spans="2:16" s="175" customFormat="1" ht="75">
      <c r="B2" s="1032" t="s">
        <v>1260</v>
      </c>
      <c r="C2" s="1033"/>
      <c r="D2" s="498" t="s">
        <v>1261</v>
      </c>
      <c r="E2" s="498" t="s">
        <v>1500</v>
      </c>
      <c r="F2" s="498" t="s">
        <v>1262</v>
      </c>
      <c r="G2" s="498" t="s">
        <v>1263</v>
      </c>
      <c r="H2" s="498" t="s">
        <v>1264</v>
      </c>
      <c r="I2" s="498" t="s">
        <v>1265</v>
      </c>
      <c r="J2" s="1034" t="s">
        <v>1501</v>
      </c>
      <c r="K2" s="1035"/>
      <c r="L2" s="498" t="s">
        <v>1266</v>
      </c>
      <c r="M2" s="498" t="s">
        <v>1267</v>
      </c>
      <c r="N2" s="498" t="s">
        <v>1268</v>
      </c>
      <c r="O2" s="498" t="s">
        <v>1269</v>
      </c>
    </row>
    <row r="3" spans="2:16" ht="89.25" customHeight="1">
      <c r="B3" s="1036">
        <v>1</v>
      </c>
      <c r="C3" s="1039" t="s">
        <v>97</v>
      </c>
      <c r="D3" s="585">
        <v>16841300296</v>
      </c>
      <c r="E3" s="585"/>
      <c r="F3" s="586">
        <v>3.4890189999999999E-3</v>
      </c>
      <c r="G3" s="586">
        <v>6.3581800000000002E-4</v>
      </c>
      <c r="H3" s="586"/>
      <c r="I3" s="586">
        <v>1.1280999999999999E-5</v>
      </c>
      <c r="J3" s="586"/>
      <c r="K3" s="587"/>
      <c r="L3" s="1018">
        <v>4.3482700000000004E-3</v>
      </c>
      <c r="N3" s="586"/>
      <c r="O3" s="1021">
        <v>5.0486760000000002E-3</v>
      </c>
    </row>
    <row r="4" spans="2:16">
      <c r="B4" s="1037"/>
      <c r="C4" s="1040"/>
      <c r="D4" s="585"/>
      <c r="E4" s="585">
        <v>17675974445</v>
      </c>
      <c r="F4" s="588"/>
      <c r="G4" s="589">
        <v>2.1215200000000001E-4</v>
      </c>
      <c r="H4" s="588"/>
      <c r="I4" s="588"/>
      <c r="J4" s="588"/>
      <c r="K4" s="590"/>
      <c r="L4" s="1019"/>
      <c r="M4" s="588"/>
      <c r="N4" s="588"/>
      <c r="O4" s="1022"/>
      <c r="P4" s="502"/>
    </row>
    <row r="5" spans="2:16">
      <c r="B5" s="1038"/>
      <c r="C5" s="1041"/>
      <c r="D5" s="585"/>
      <c r="E5" s="585">
        <v>16880518887</v>
      </c>
      <c r="F5" s="588"/>
      <c r="G5" s="589"/>
      <c r="H5" s="588"/>
      <c r="I5" s="588"/>
      <c r="J5" s="588"/>
      <c r="K5" s="590"/>
      <c r="L5" s="1020"/>
      <c r="M5" s="588">
        <v>7.0040599999999999E-4</v>
      </c>
      <c r="N5" s="588"/>
      <c r="O5" s="1023"/>
      <c r="P5" s="502"/>
    </row>
    <row r="6" spans="2:16">
      <c r="B6" s="1024">
        <v>2</v>
      </c>
      <c r="C6" s="1026" t="s">
        <v>1502</v>
      </c>
      <c r="D6" s="591">
        <v>15186704617</v>
      </c>
      <c r="E6" s="80"/>
      <c r="F6" s="592"/>
      <c r="G6" s="80"/>
      <c r="H6" s="592"/>
      <c r="I6" s="592">
        <v>1.838E-5</v>
      </c>
      <c r="J6" s="592"/>
      <c r="K6" s="593"/>
      <c r="L6" s="1028">
        <v>1.1413480000000001E-3</v>
      </c>
      <c r="M6" s="592">
        <v>1.307601E-3</v>
      </c>
      <c r="N6" s="592">
        <v>1.3169410000000001E-3</v>
      </c>
      <c r="O6" s="1030">
        <v>4.2156440000000002E-3</v>
      </c>
      <c r="P6" s="502"/>
    </row>
    <row r="7" spans="2:16">
      <c r="B7" s="1025"/>
      <c r="C7" s="1027"/>
      <c r="D7" s="591"/>
      <c r="E7" s="591">
        <v>15288786104</v>
      </c>
      <c r="F7" s="592"/>
      <c r="G7" s="592">
        <v>9.1570400000000004E-4</v>
      </c>
      <c r="H7" s="592">
        <v>2.07264E-4</v>
      </c>
      <c r="I7" s="592"/>
      <c r="J7" s="592"/>
      <c r="K7" s="593"/>
      <c r="L7" s="1029"/>
      <c r="M7" s="592">
        <v>4.4975400000000002E-4</v>
      </c>
      <c r="N7" s="592"/>
      <c r="O7" s="1031"/>
    </row>
    <row r="8" spans="2:16">
      <c r="B8" s="594">
        <v>3</v>
      </c>
      <c r="C8" s="595" t="s">
        <v>102</v>
      </c>
      <c r="D8" s="591">
        <v>1240712745</v>
      </c>
      <c r="E8" s="591"/>
      <c r="F8" s="592"/>
      <c r="G8" s="592">
        <v>2.5711029999999999E-3</v>
      </c>
      <c r="H8" s="592"/>
      <c r="I8" s="592">
        <v>5.5242999999999999E-5</v>
      </c>
      <c r="J8" s="592"/>
      <c r="K8" s="593"/>
      <c r="L8" s="592">
        <v>2.6263459999999999E-3</v>
      </c>
      <c r="M8" s="592">
        <v>3.5463489999999999E-3</v>
      </c>
      <c r="N8" s="592"/>
      <c r="O8" s="596">
        <v>6.1726949999999997E-3</v>
      </c>
    </row>
    <row r="9" spans="2:16">
      <c r="B9" s="594">
        <v>11</v>
      </c>
      <c r="C9" s="595" t="s">
        <v>103</v>
      </c>
      <c r="D9" s="173">
        <v>227457237</v>
      </c>
      <c r="E9" s="173"/>
      <c r="F9" s="597"/>
      <c r="G9" s="597">
        <v>7.4739299999999995E-4</v>
      </c>
      <c r="H9" s="597"/>
      <c r="I9" s="597">
        <v>9.0966999999999998E-5</v>
      </c>
      <c r="J9" s="597"/>
      <c r="K9" s="598"/>
      <c r="L9" s="597">
        <v>8.3835999999999991E-4</v>
      </c>
      <c r="M9" s="597"/>
      <c r="N9" s="597">
        <v>5.6905200000000001E-4</v>
      </c>
      <c r="O9" s="599">
        <v>1.4074119999999998E-3</v>
      </c>
    </row>
    <row r="10" spans="2:16">
      <c r="B10" s="594">
        <v>13</v>
      </c>
      <c r="C10" s="600" t="s">
        <v>104</v>
      </c>
      <c r="D10" s="173">
        <v>155435550</v>
      </c>
      <c r="E10" s="173"/>
      <c r="F10" s="597"/>
      <c r="G10" s="597">
        <v>5.0107600000000004E-4</v>
      </c>
      <c r="H10" s="597"/>
      <c r="I10" s="592">
        <v>8.2626000000000005E-5</v>
      </c>
      <c r="J10" s="597"/>
      <c r="K10" s="598"/>
      <c r="L10" s="597">
        <v>5.8370200000000007E-4</v>
      </c>
      <c r="M10" s="597">
        <v>2.04728E-4</v>
      </c>
      <c r="N10" s="601"/>
      <c r="O10" s="599">
        <v>7.8843000000000012E-4</v>
      </c>
    </row>
    <row r="11" spans="2:16">
      <c r="B11" s="594">
        <v>21</v>
      </c>
      <c r="C11" s="600" t="s">
        <v>105</v>
      </c>
      <c r="D11" s="591">
        <v>630416592</v>
      </c>
      <c r="E11" s="591"/>
      <c r="F11" s="592"/>
      <c r="G11" s="592"/>
      <c r="H11" s="592"/>
      <c r="I11" s="592">
        <v>5.1119999999999998E-5</v>
      </c>
      <c r="J11" s="592"/>
      <c r="K11" s="593"/>
      <c r="L11" s="592">
        <v>5.1119999999999998E-5</v>
      </c>
      <c r="M11" s="592">
        <v>1.3086580000000001E-3</v>
      </c>
      <c r="N11" s="592">
        <v>1.1896890000000001E-3</v>
      </c>
      <c r="O11" s="596">
        <v>2.5494670000000001E-3</v>
      </c>
    </row>
    <row r="12" spans="2:16">
      <c r="B12" s="1024">
        <v>25</v>
      </c>
      <c r="C12" s="1048" t="s">
        <v>106</v>
      </c>
      <c r="D12" s="591">
        <v>3364035950</v>
      </c>
      <c r="E12" s="602"/>
      <c r="F12" s="592"/>
      <c r="G12" s="602"/>
      <c r="H12" s="592"/>
      <c r="I12" s="592"/>
      <c r="J12" s="592"/>
      <c r="K12" s="593"/>
      <c r="L12" s="1028">
        <v>2.5719559999999998E-3</v>
      </c>
      <c r="M12" s="602"/>
      <c r="N12" s="602"/>
      <c r="O12" s="1030">
        <v>4.4224260000000001E-3</v>
      </c>
    </row>
    <row r="13" spans="2:16">
      <c r="B13" s="1037"/>
      <c r="C13" s="1054"/>
      <c r="D13" s="591"/>
      <c r="E13" s="591">
        <v>3591015075</v>
      </c>
      <c r="F13" s="592"/>
      <c r="G13" s="592">
        <v>2.5719559999999998E-3</v>
      </c>
      <c r="H13" s="592"/>
      <c r="I13" s="592"/>
      <c r="J13" s="592"/>
      <c r="K13" s="593"/>
      <c r="L13" s="1052"/>
      <c r="M13" s="592"/>
      <c r="N13" s="592">
        <v>1.331781E-3</v>
      </c>
      <c r="O13" s="1053"/>
    </row>
    <row r="14" spans="2:16">
      <c r="B14" s="1025"/>
      <c r="C14" s="1049"/>
      <c r="D14" s="591"/>
      <c r="E14" s="591">
        <v>3373892828</v>
      </c>
      <c r="F14" s="592"/>
      <c r="G14" s="592"/>
      <c r="H14" s="592"/>
      <c r="I14" s="592"/>
      <c r="J14" s="592"/>
      <c r="K14" s="593"/>
      <c r="L14" s="1029"/>
      <c r="M14" s="592">
        <v>5.1868900000000002E-4</v>
      </c>
      <c r="N14" s="592"/>
      <c r="O14" s="1031"/>
    </row>
    <row r="15" spans="2:16">
      <c r="B15" s="594">
        <v>33</v>
      </c>
      <c r="C15" s="595" t="s">
        <v>108</v>
      </c>
      <c r="D15" s="591">
        <v>817372314</v>
      </c>
      <c r="E15" s="591"/>
      <c r="F15" s="592"/>
      <c r="G15" s="592">
        <v>9.7874599999999996E-4</v>
      </c>
      <c r="H15" s="592"/>
      <c r="I15" s="592">
        <v>9.2812000000000005E-5</v>
      </c>
      <c r="J15" s="592"/>
      <c r="K15" s="593"/>
      <c r="L15" s="592">
        <v>1.071558E-3</v>
      </c>
      <c r="M15" s="592"/>
      <c r="N15" s="592">
        <v>4.8937299999999998E-4</v>
      </c>
      <c r="O15" s="596">
        <v>1.560931E-3</v>
      </c>
    </row>
    <row r="16" spans="2:16">
      <c r="B16" s="594">
        <v>41</v>
      </c>
      <c r="C16" s="595" t="s">
        <v>109</v>
      </c>
      <c r="D16" s="173">
        <v>450839135</v>
      </c>
      <c r="E16" s="173"/>
      <c r="F16" s="597"/>
      <c r="G16" s="597">
        <v>4.5989459999999996E-3</v>
      </c>
      <c r="H16" s="597"/>
      <c r="I16" s="597">
        <v>1.1649E-5</v>
      </c>
      <c r="J16" s="597"/>
      <c r="K16" s="598"/>
      <c r="L16" s="597">
        <v>4.6105949999999995E-3</v>
      </c>
      <c r="M16" s="597"/>
      <c r="N16" s="597"/>
      <c r="O16" s="599">
        <v>4.6105949999999995E-3</v>
      </c>
    </row>
    <row r="17" spans="2:15">
      <c r="B17" s="594">
        <v>44</v>
      </c>
      <c r="C17" s="595" t="s">
        <v>1503</v>
      </c>
      <c r="D17" s="591">
        <v>508795838</v>
      </c>
      <c r="E17" s="173"/>
      <c r="F17" s="597"/>
      <c r="G17" s="597">
        <v>1.0809839999999999E-3</v>
      </c>
      <c r="H17" s="597"/>
      <c r="I17" s="597">
        <v>3.3185999999999997E-5</v>
      </c>
      <c r="J17" s="597"/>
      <c r="K17" s="598"/>
      <c r="L17" s="597">
        <v>1.1141699999999998E-3</v>
      </c>
      <c r="M17" s="597"/>
      <c r="N17" s="597"/>
      <c r="O17" s="599">
        <v>1.1141699999999998E-3</v>
      </c>
    </row>
    <row r="18" spans="2:15">
      <c r="B18" s="594">
        <v>44</v>
      </c>
      <c r="C18" s="603" t="s">
        <v>1270</v>
      </c>
      <c r="D18" s="173"/>
      <c r="E18" s="173"/>
      <c r="F18" s="597"/>
      <c r="G18" s="597"/>
      <c r="H18" s="597"/>
      <c r="I18" s="597"/>
      <c r="J18" s="597"/>
      <c r="K18" s="598"/>
      <c r="L18" s="597"/>
      <c r="M18" s="597"/>
      <c r="N18" s="597">
        <v>1.6029099999999999E-3</v>
      </c>
      <c r="O18" s="599"/>
    </row>
    <row r="19" spans="2:15">
      <c r="B19" s="594">
        <v>52</v>
      </c>
      <c r="C19" s="600" t="s">
        <v>111</v>
      </c>
      <c r="D19" s="591">
        <v>348691488</v>
      </c>
      <c r="E19" s="591"/>
      <c r="F19" s="592"/>
      <c r="G19" s="592">
        <v>2.1394270000000002E-3</v>
      </c>
      <c r="H19" s="592"/>
      <c r="I19" s="592"/>
      <c r="J19" s="592"/>
      <c r="K19" s="593"/>
      <c r="L19" s="592">
        <v>2.1394270000000002E-3</v>
      </c>
      <c r="M19" s="592">
        <v>2.7265129999999999E-3</v>
      </c>
      <c r="N19" s="592">
        <v>1.433932E-3</v>
      </c>
      <c r="O19" s="596">
        <v>6.2998719999999998E-3</v>
      </c>
    </row>
    <row r="20" spans="2:15">
      <c r="B20" s="1024">
        <v>55</v>
      </c>
      <c r="C20" s="1048" t="s">
        <v>112</v>
      </c>
      <c r="D20" s="591">
        <v>755126362</v>
      </c>
      <c r="E20" s="591"/>
      <c r="F20" s="592"/>
      <c r="G20" s="592"/>
      <c r="H20" s="592"/>
      <c r="I20" s="592">
        <v>1.8410000000000002E-5</v>
      </c>
      <c r="J20" s="592"/>
      <c r="K20" s="593"/>
      <c r="L20" s="1028">
        <v>3.328232E-3</v>
      </c>
      <c r="M20" s="592"/>
      <c r="N20" s="592"/>
      <c r="O20" s="1030">
        <v>4.5786059999999998E-3</v>
      </c>
    </row>
    <row r="21" spans="2:15">
      <c r="B21" s="1025"/>
      <c r="C21" s="1049"/>
      <c r="D21" s="591"/>
      <c r="E21" s="591">
        <v>785540723</v>
      </c>
      <c r="F21" s="592"/>
      <c r="G21" s="592">
        <v>3.309822E-3</v>
      </c>
      <c r="H21" s="592"/>
      <c r="I21" s="592"/>
      <c r="J21" s="592"/>
      <c r="K21" s="593"/>
      <c r="L21" s="1029"/>
      <c r="M21" s="592">
        <v>1.2503740000000001E-3</v>
      </c>
      <c r="N21" s="592"/>
      <c r="O21" s="1031"/>
    </row>
    <row r="22" spans="2:15">
      <c r="B22" s="594">
        <v>58</v>
      </c>
      <c r="C22" s="600" t="s">
        <v>113</v>
      </c>
      <c r="D22" s="591">
        <v>212916410</v>
      </c>
      <c r="E22" s="591"/>
      <c r="F22" s="592"/>
      <c r="G22" s="592">
        <v>4.5792610000000003E-3</v>
      </c>
      <c r="H22" s="592"/>
      <c r="I22" s="592"/>
      <c r="J22" s="592"/>
      <c r="K22" s="593"/>
      <c r="L22" s="592">
        <v>4.5792610000000003E-3</v>
      </c>
      <c r="M22" s="592">
        <v>2.075946E-3</v>
      </c>
      <c r="N22" s="592">
        <v>1.2915859999999999E-3</v>
      </c>
      <c r="O22" s="596">
        <v>7.9467930000000006E-3</v>
      </c>
    </row>
    <row r="23" spans="2:15">
      <c r="B23" s="594">
        <v>59</v>
      </c>
      <c r="C23" s="600" t="s">
        <v>114</v>
      </c>
      <c r="D23" s="591">
        <v>191275041</v>
      </c>
      <c r="E23" s="591"/>
      <c r="F23" s="592"/>
      <c r="G23" s="592">
        <v>1.202456E-3</v>
      </c>
      <c r="H23" s="592"/>
      <c r="I23" s="592">
        <v>7.7940000000000003E-5</v>
      </c>
      <c r="J23" s="592"/>
      <c r="K23" s="593"/>
      <c r="L23" s="592">
        <v>1.2803960000000001E-3</v>
      </c>
      <c r="M23" s="592"/>
      <c r="N23" s="592">
        <v>4.9666599999999999E-4</v>
      </c>
      <c r="O23" s="596">
        <v>1.777062E-3</v>
      </c>
    </row>
    <row r="24" spans="2:15">
      <c r="B24" s="604">
        <v>60</v>
      </c>
      <c r="C24" s="605" t="s">
        <v>115</v>
      </c>
      <c r="D24" s="591">
        <v>499476397</v>
      </c>
      <c r="E24" s="591"/>
      <c r="F24" s="592"/>
      <c r="G24" s="592">
        <v>1.1512060000000001E-3</v>
      </c>
      <c r="H24" s="592"/>
      <c r="I24" s="592">
        <v>3.6130000000000001E-5</v>
      </c>
      <c r="J24" s="592"/>
      <c r="K24" s="593"/>
      <c r="L24" s="606">
        <v>1.1873360000000002E-3</v>
      </c>
      <c r="M24" s="592">
        <v>1.5015720000000001E-3</v>
      </c>
      <c r="N24" s="592">
        <v>7.8081799999999996E-4</v>
      </c>
      <c r="O24" s="607">
        <v>3.4697260000000002E-3</v>
      </c>
    </row>
    <row r="25" spans="2:15">
      <c r="B25" s="1055">
        <v>61</v>
      </c>
      <c r="C25" s="1058" t="s">
        <v>116</v>
      </c>
      <c r="D25" s="591">
        <v>8940960855</v>
      </c>
      <c r="E25" s="591"/>
      <c r="F25" s="592">
        <v>3.3018100000000001E-3</v>
      </c>
      <c r="G25" s="592">
        <v>2.8421000000000002E-4</v>
      </c>
      <c r="H25" s="592"/>
      <c r="I25" s="592"/>
      <c r="J25" s="592"/>
      <c r="K25" s="593"/>
      <c r="L25" s="1042">
        <v>3.5860200000000001E-3</v>
      </c>
      <c r="M25" s="592"/>
      <c r="N25" s="592"/>
      <c r="O25" s="1045">
        <v>4.242661E-3</v>
      </c>
    </row>
    <row r="26" spans="2:15">
      <c r="B26" s="1056"/>
      <c r="C26" s="1059"/>
      <c r="D26" s="591"/>
      <c r="E26" s="591">
        <v>9106956076</v>
      </c>
      <c r="F26" s="592"/>
      <c r="G26" s="592"/>
      <c r="H26" s="592"/>
      <c r="I26" s="592"/>
      <c r="J26" s="592"/>
      <c r="K26" s="593"/>
      <c r="L26" s="1043"/>
      <c r="M26" s="592"/>
      <c r="N26" s="592">
        <v>6.5664100000000002E-4</v>
      </c>
      <c r="O26" s="1046"/>
    </row>
    <row r="27" spans="2:15">
      <c r="B27" s="1057"/>
      <c r="C27" s="1060"/>
      <c r="D27" s="591"/>
      <c r="E27" s="591">
        <v>8950255806</v>
      </c>
      <c r="F27" s="592"/>
      <c r="G27" s="592"/>
      <c r="H27" s="592"/>
      <c r="I27" s="592"/>
      <c r="J27" s="592"/>
      <c r="K27" s="593"/>
      <c r="L27" s="1044"/>
      <c r="M27" s="592"/>
      <c r="N27" s="592"/>
      <c r="O27" s="1047"/>
    </row>
    <row r="28" spans="2:15">
      <c r="B28" s="594">
        <v>71</v>
      </c>
      <c r="C28" s="600" t="s">
        <v>117</v>
      </c>
      <c r="D28" s="173">
        <v>390888421</v>
      </c>
      <c r="E28" s="173"/>
      <c r="F28" s="597"/>
      <c r="G28" s="597">
        <v>6.3956899999999999E-4</v>
      </c>
      <c r="H28" s="597">
        <v>3.2015499999999997E-4</v>
      </c>
      <c r="I28" s="597">
        <v>1.5569999999999998E-5</v>
      </c>
      <c r="J28" s="597"/>
      <c r="K28" s="598"/>
      <c r="L28" s="597">
        <v>9.7529399999999992E-4</v>
      </c>
      <c r="M28" s="597">
        <v>2.3939719999999999E-3</v>
      </c>
      <c r="N28" s="597"/>
      <c r="O28" s="599">
        <v>3.3692659999999997E-3</v>
      </c>
    </row>
    <row r="29" spans="2:15">
      <c r="B29" s="594">
        <v>72</v>
      </c>
      <c r="C29" s="600" t="s">
        <v>118</v>
      </c>
      <c r="D29" s="173">
        <v>279324218</v>
      </c>
      <c r="E29" s="173"/>
      <c r="F29" s="597"/>
      <c r="G29" s="597">
        <v>8.9501700000000001E-4</v>
      </c>
      <c r="H29" s="597"/>
      <c r="I29" s="597">
        <v>1.1937E-4</v>
      </c>
      <c r="J29" s="597"/>
      <c r="K29" s="598"/>
      <c r="L29" s="597">
        <v>1.0143870000000001E-3</v>
      </c>
      <c r="M29" s="597"/>
      <c r="N29" s="597">
        <v>4.4750900000000001E-4</v>
      </c>
      <c r="O29" s="599">
        <v>1.4618960000000001E-3</v>
      </c>
    </row>
    <row r="30" spans="2:15">
      <c r="B30" s="594">
        <v>73</v>
      </c>
      <c r="C30" s="600" t="s">
        <v>119</v>
      </c>
      <c r="D30" s="173">
        <v>105347881</v>
      </c>
      <c r="E30" s="173"/>
      <c r="F30" s="597"/>
      <c r="G30" s="597">
        <v>2.847708E-3</v>
      </c>
      <c r="H30" s="597"/>
      <c r="I30" s="597">
        <v>6.3119999999999999E-6</v>
      </c>
      <c r="J30" s="597"/>
      <c r="K30" s="598"/>
      <c r="L30" s="597">
        <v>2.8540200000000001E-3</v>
      </c>
      <c r="M30" s="597">
        <v>1.373782E-3</v>
      </c>
      <c r="N30" s="597"/>
      <c r="O30" s="599">
        <v>4.2278020000000001E-3</v>
      </c>
    </row>
    <row r="31" spans="2:15">
      <c r="B31" s="1024">
        <v>83</v>
      </c>
      <c r="C31" s="1048" t="s">
        <v>120</v>
      </c>
      <c r="D31" s="591">
        <v>1639976783</v>
      </c>
      <c r="E31" s="80"/>
      <c r="F31" s="592"/>
      <c r="G31" s="80"/>
      <c r="H31" s="592"/>
      <c r="I31" s="592">
        <v>6.9417000000000003E-5</v>
      </c>
      <c r="J31" s="592"/>
      <c r="K31" s="593"/>
      <c r="L31" s="1050">
        <v>1.89237E-3</v>
      </c>
      <c r="M31" s="592"/>
      <c r="N31" s="592"/>
      <c r="O31" s="1030">
        <v>1.89237E-3</v>
      </c>
    </row>
    <row r="32" spans="2:15">
      <c r="B32" s="1025"/>
      <c r="C32" s="1049"/>
      <c r="D32" s="591"/>
      <c r="E32" s="591">
        <v>1645681388</v>
      </c>
      <c r="F32" s="592"/>
      <c r="G32" s="592">
        <v>1.822953E-3</v>
      </c>
      <c r="H32" s="592"/>
      <c r="I32" s="592"/>
      <c r="J32" s="592"/>
      <c r="K32" s="593"/>
      <c r="L32" s="1051"/>
      <c r="M32" s="592"/>
      <c r="N32" s="592"/>
      <c r="O32" s="1031"/>
    </row>
    <row r="33" spans="2:15">
      <c r="B33" s="1024">
        <v>84</v>
      </c>
      <c r="C33" s="1048" t="s">
        <v>121</v>
      </c>
      <c r="D33" s="591">
        <v>4201159756</v>
      </c>
      <c r="E33" s="80"/>
      <c r="F33" s="592"/>
      <c r="G33" s="80"/>
      <c r="H33" s="592"/>
      <c r="I33" s="592">
        <v>4.4811000000000002E-5</v>
      </c>
      <c r="J33" s="592"/>
      <c r="K33" s="593"/>
      <c r="L33" s="1050">
        <v>1.8493190000000001E-3</v>
      </c>
      <c r="M33" s="592"/>
      <c r="N33" s="80"/>
      <c r="O33" s="1030">
        <v>1.8493190000000001E-3</v>
      </c>
    </row>
    <row r="34" spans="2:15" ht="12.75" customHeight="1">
      <c r="B34" s="1025"/>
      <c r="C34" s="1049"/>
      <c r="D34" s="591"/>
      <c r="E34" s="591">
        <v>4368913970</v>
      </c>
      <c r="F34" s="592"/>
      <c r="G34" s="592">
        <v>1.804508E-3</v>
      </c>
      <c r="H34" s="592"/>
      <c r="I34" s="592"/>
      <c r="J34" s="592"/>
      <c r="K34" s="593"/>
      <c r="L34" s="1051"/>
      <c r="M34" s="592"/>
      <c r="N34" s="592"/>
      <c r="O34" s="1031"/>
    </row>
    <row r="35" spans="2:15">
      <c r="B35" s="1024">
        <v>91</v>
      </c>
      <c r="C35" s="1048" t="s">
        <v>122</v>
      </c>
      <c r="D35" s="591">
        <v>2930517147</v>
      </c>
      <c r="E35" s="591"/>
      <c r="F35" s="592"/>
      <c r="G35" s="592"/>
      <c r="H35" s="592"/>
      <c r="I35" s="592"/>
      <c r="J35" s="592"/>
      <c r="K35" s="593"/>
      <c r="L35" s="1028">
        <v>2.1706270000000001E-3</v>
      </c>
      <c r="M35" s="592"/>
      <c r="N35" s="592"/>
      <c r="O35" s="1030">
        <v>4.2431939999999996E-3</v>
      </c>
    </row>
    <row r="36" spans="2:15">
      <c r="B36" s="1025"/>
      <c r="C36" s="1049"/>
      <c r="D36" s="591"/>
      <c r="E36" s="591">
        <v>3132735306</v>
      </c>
      <c r="F36" s="592"/>
      <c r="G36" s="592">
        <v>2.1706270000000001E-3</v>
      </c>
      <c r="H36" s="592"/>
      <c r="I36" s="592"/>
      <c r="J36" s="592"/>
      <c r="K36" s="593"/>
      <c r="L36" s="1029"/>
      <c r="M36" s="592">
        <v>1.2928E-3</v>
      </c>
      <c r="N36" s="592">
        <v>7.79767E-4</v>
      </c>
      <c r="O36" s="1031"/>
    </row>
    <row r="37" spans="2:15">
      <c r="B37" s="594">
        <v>92</v>
      </c>
      <c r="C37" s="595" t="s">
        <v>1504</v>
      </c>
      <c r="D37" s="591">
        <v>188636800</v>
      </c>
      <c r="E37" s="591"/>
      <c r="F37" s="592">
        <v>7.0967600000000001E-4</v>
      </c>
      <c r="G37" s="592"/>
      <c r="H37" s="592"/>
      <c r="I37" s="592">
        <v>9.5420999999999993E-5</v>
      </c>
      <c r="J37" s="592">
        <v>6.46745E-4</v>
      </c>
      <c r="K37" s="593" t="s">
        <v>1505</v>
      </c>
      <c r="L37" s="592">
        <v>1.4518420000000001E-3</v>
      </c>
      <c r="M37" s="592"/>
      <c r="N37" s="592">
        <v>2.12048E-4</v>
      </c>
      <c r="O37" s="596">
        <v>1.6638900000000001E-3</v>
      </c>
    </row>
    <row r="38" spans="2:15">
      <c r="B38" s="1024">
        <v>93</v>
      </c>
      <c r="C38" s="1026" t="s">
        <v>124</v>
      </c>
      <c r="D38" s="591">
        <v>2412315340</v>
      </c>
      <c r="E38" s="591"/>
      <c r="F38" s="592"/>
      <c r="G38" s="592"/>
      <c r="H38" s="592"/>
      <c r="I38" s="592"/>
      <c r="J38" s="592"/>
      <c r="K38" s="593"/>
      <c r="L38" s="1028">
        <v>1.4264239999999999E-3</v>
      </c>
      <c r="M38" s="592"/>
      <c r="N38" s="592"/>
      <c r="O38" s="1030">
        <v>5.4479990000000002E-3</v>
      </c>
    </row>
    <row r="39" spans="2:15">
      <c r="B39" s="1025"/>
      <c r="C39" s="1027"/>
      <c r="D39" s="591"/>
      <c r="E39" s="591">
        <v>2435991401</v>
      </c>
      <c r="F39" s="592"/>
      <c r="G39" s="592">
        <v>1.1778419999999999E-3</v>
      </c>
      <c r="H39" s="592">
        <v>2.4858200000000001E-4</v>
      </c>
      <c r="I39" s="592"/>
      <c r="J39" s="592"/>
      <c r="K39" s="593"/>
      <c r="L39" s="1029"/>
      <c r="M39" s="592">
        <v>2.8721459999999999E-3</v>
      </c>
      <c r="N39" s="592">
        <v>1.149429E-3</v>
      </c>
      <c r="O39" s="1031"/>
    </row>
    <row r="40" spans="2:15">
      <c r="B40" s="1024">
        <v>101</v>
      </c>
      <c r="C40" s="1048" t="s">
        <v>125</v>
      </c>
      <c r="D40" s="173">
        <v>849852632</v>
      </c>
      <c r="E40" s="173"/>
      <c r="F40" s="597"/>
      <c r="G40" s="597"/>
      <c r="H40" s="597"/>
      <c r="I40" s="597">
        <v>4.4323000000000002E-5</v>
      </c>
      <c r="J40" s="597"/>
      <c r="K40" s="598"/>
      <c r="L40" s="1061">
        <v>2.8395530000000003E-3</v>
      </c>
      <c r="M40" s="597"/>
      <c r="N40" s="597"/>
      <c r="O40" s="1030">
        <v>3.8442050000000003E-3</v>
      </c>
    </row>
    <row r="41" spans="2:15">
      <c r="B41" s="1038"/>
      <c r="C41" s="1041"/>
      <c r="D41" s="173"/>
      <c r="E41" s="173">
        <v>858605455</v>
      </c>
      <c r="F41" s="597"/>
      <c r="G41" s="597">
        <v>2.7952300000000001E-3</v>
      </c>
      <c r="H41" s="597"/>
      <c r="I41" s="597"/>
      <c r="J41" s="597"/>
      <c r="K41" s="598"/>
      <c r="L41" s="1020"/>
      <c r="M41" s="597">
        <v>1.004652E-3</v>
      </c>
      <c r="N41" s="597"/>
      <c r="O41" s="1031"/>
    </row>
    <row r="42" spans="2:15">
      <c r="B42" s="594">
        <v>111</v>
      </c>
      <c r="C42" s="600" t="s">
        <v>1506</v>
      </c>
      <c r="D42" s="591">
        <v>157220403</v>
      </c>
      <c r="E42" s="591"/>
      <c r="F42" s="592"/>
      <c r="G42" s="592">
        <v>1.01768E-3</v>
      </c>
      <c r="H42" s="592"/>
      <c r="I42" s="592">
        <v>4.3136999999999997E-5</v>
      </c>
      <c r="J42" s="592"/>
      <c r="K42" s="593"/>
      <c r="L42" s="592">
        <v>1.0608169999999999E-3</v>
      </c>
      <c r="M42" s="592">
        <v>2.115502E-3</v>
      </c>
      <c r="N42" s="592">
        <v>4.1343199999999998E-4</v>
      </c>
      <c r="O42" s="596">
        <v>3.589751E-3</v>
      </c>
    </row>
    <row r="43" spans="2:15">
      <c r="B43" s="594">
        <v>121</v>
      </c>
      <c r="C43" s="600" t="s">
        <v>127</v>
      </c>
      <c r="D43" s="591">
        <v>127954302</v>
      </c>
      <c r="E43" s="591"/>
      <c r="F43" s="592"/>
      <c r="G43" s="592">
        <v>1.9538229999999999E-3</v>
      </c>
      <c r="H43" s="592"/>
      <c r="I43" s="592">
        <v>4.3476000000000002E-5</v>
      </c>
      <c r="J43" s="592"/>
      <c r="K43" s="593"/>
      <c r="L43" s="592">
        <v>1.9972990000000001E-3</v>
      </c>
      <c r="M43" s="592">
        <v>2.1101280000000002E-3</v>
      </c>
      <c r="N43" s="592">
        <v>1.5630599999999999E-4</v>
      </c>
      <c r="O43" s="596">
        <v>4.2637330000000005E-3</v>
      </c>
    </row>
    <row r="44" spans="2:15">
      <c r="B44" s="1024">
        <v>131</v>
      </c>
      <c r="C44" s="1048" t="s">
        <v>128</v>
      </c>
      <c r="D44" s="591">
        <v>3913757865</v>
      </c>
      <c r="E44" s="591"/>
      <c r="F44" s="592"/>
      <c r="G44" s="592"/>
      <c r="H44" s="592"/>
      <c r="I44" s="592">
        <v>6.0106999999999999E-5</v>
      </c>
      <c r="J44" s="592"/>
      <c r="K44" s="593"/>
      <c r="L44" s="1028">
        <v>1.038488E-3</v>
      </c>
      <c r="M44" s="592">
        <v>3.3106289999999998E-3</v>
      </c>
      <c r="N44" s="592"/>
      <c r="O44" s="1030">
        <v>4.3491169999999996E-3</v>
      </c>
    </row>
    <row r="45" spans="2:15">
      <c r="B45" s="1025"/>
      <c r="C45" s="1049"/>
      <c r="D45" s="591"/>
      <c r="E45" s="591">
        <v>3953844983</v>
      </c>
      <c r="F45" s="592"/>
      <c r="G45" s="592">
        <v>8.5739300000000002E-4</v>
      </c>
      <c r="H45" s="592">
        <v>1.20988E-4</v>
      </c>
      <c r="I45" s="592"/>
      <c r="J45" s="592"/>
      <c r="K45" s="593"/>
      <c r="L45" s="1029"/>
      <c r="M45" s="592"/>
      <c r="N45" s="592"/>
      <c r="O45" s="1031"/>
    </row>
    <row r="46" spans="2:15">
      <c r="B46" s="1024">
        <v>132</v>
      </c>
      <c r="C46" s="1048" t="s">
        <v>130</v>
      </c>
      <c r="D46" s="591">
        <v>1524802763</v>
      </c>
      <c r="E46" s="591"/>
      <c r="F46" s="592"/>
      <c r="G46" s="592"/>
      <c r="H46" s="592"/>
      <c r="I46" s="592"/>
      <c r="J46" s="592"/>
      <c r="K46" s="593"/>
      <c r="L46" s="1028">
        <v>1.653468E-3</v>
      </c>
      <c r="M46" s="592">
        <v>2.060816E-3</v>
      </c>
      <c r="N46" s="592"/>
      <c r="O46" s="1030">
        <v>4.1834310000000005E-3</v>
      </c>
    </row>
    <row r="47" spans="2:15">
      <c r="B47" s="1025"/>
      <c r="C47" s="1049"/>
      <c r="D47" s="591"/>
      <c r="E47" s="591">
        <v>1705224331</v>
      </c>
      <c r="F47" s="592"/>
      <c r="G47" s="592">
        <v>1.6097489999999999E-3</v>
      </c>
      <c r="H47" s="592">
        <v>4.3718999999999999E-5</v>
      </c>
      <c r="I47" s="592"/>
      <c r="J47" s="592"/>
      <c r="K47" s="593"/>
      <c r="L47" s="1029"/>
      <c r="M47" s="592">
        <v>8.2101000000000006E-5</v>
      </c>
      <c r="N47" s="592">
        <v>3.8704599999999999E-4</v>
      </c>
      <c r="O47" s="1031"/>
    </row>
    <row r="48" spans="2:15">
      <c r="B48" s="594">
        <v>133</v>
      </c>
      <c r="C48" s="600" t="s">
        <v>131</v>
      </c>
      <c r="D48" s="591">
        <v>190205853</v>
      </c>
      <c r="E48" s="591"/>
      <c r="F48" s="592"/>
      <c r="G48" s="592">
        <v>1.4541300000000001E-3</v>
      </c>
      <c r="H48" s="592"/>
      <c r="I48" s="592"/>
      <c r="J48" s="592">
        <v>9.969829999999999E-4</v>
      </c>
      <c r="K48" s="593" t="s">
        <v>1507</v>
      </c>
      <c r="L48" s="592">
        <v>2.451113E-3</v>
      </c>
      <c r="M48" s="592">
        <v>3.2789680000000002E-3</v>
      </c>
      <c r="N48" s="592"/>
      <c r="O48" s="596">
        <v>5.7300809999999997E-3</v>
      </c>
    </row>
    <row r="49" spans="2:15">
      <c r="B49" s="1024">
        <v>134</v>
      </c>
      <c r="C49" s="1048" t="s">
        <v>132</v>
      </c>
      <c r="D49" s="591">
        <v>841659903</v>
      </c>
      <c r="E49" s="591"/>
      <c r="F49" s="592"/>
      <c r="G49" s="80"/>
      <c r="H49" s="592"/>
      <c r="I49" s="592">
        <v>2.0950000000000001E-5</v>
      </c>
      <c r="J49" s="592"/>
      <c r="K49" s="593"/>
      <c r="L49" s="1028">
        <v>1.7919860000000002E-3</v>
      </c>
      <c r="M49" s="80"/>
      <c r="N49" s="80"/>
      <c r="O49" s="1030">
        <v>5.2503480000000002E-3</v>
      </c>
    </row>
    <row r="50" spans="2:15">
      <c r="B50" s="1025"/>
      <c r="C50" s="1049"/>
      <c r="D50" s="591"/>
      <c r="E50" s="591">
        <v>849785327</v>
      </c>
      <c r="F50" s="592"/>
      <c r="G50" s="592">
        <v>1.5415660000000001E-3</v>
      </c>
      <c r="H50" s="592">
        <v>2.2947000000000001E-4</v>
      </c>
      <c r="I50" s="592"/>
      <c r="J50" s="592"/>
      <c r="K50" s="593"/>
      <c r="L50" s="1029"/>
      <c r="M50" s="592">
        <v>3.458362E-3</v>
      </c>
      <c r="N50" s="592"/>
      <c r="O50" s="1031"/>
    </row>
    <row r="51" spans="2:15">
      <c r="B51" s="594">
        <v>135</v>
      </c>
      <c r="C51" s="600" t="s">
        <v>133</v>
      </c>
      <c r="D51" s="591">
        <v>91842931</v>
      </c>
      <c r="E51" s="591"/>
      <c r="F51" s="592"/>
      <c r="G51" s="592"/>
      <c r="H51" s="592"/>
      <c r="I51" s="592"/>
      <c r="J51" s="592">
        <v>9.9552600000000005E-4</v>
      </c>
      <c r="K51" s="593" t="s">
        <v>1507</v>
      </c>
      <c r="L51" s="592">
        <v>9.9552600000000005E-4</v>
      </c>
      <c r="M51" s="592">
        <v>2.5587159999999999E-3</v>
      </c>
      <c r="N51" s="592">
        <v>1.4241709999999999E-3</v>
      </c>
      <c r="O51" s="596">
        <v>4.9784130000000001E-3</v>
      </c>
    </row>
    <row r="52" spans="2:15">
      <c r="B52" s="594">
        <v>136</v>
      </c>
      <c r="C52" s="595" t="s">
        <v>134</v>
      </c>
      <c r="D52" s="591">
        <v>226392264</v>
      </c>
      <c r="E52" s="591"/>
      <c r="F52" s="592"/>
      <c r="G52" s="592"/>
      <c r="H52" s="592"/>
      <c r="I52" s="592"/>
      <c r="J52" s="592"/>
      <c r="K52" s="593"/>
      <c r="L52" s="592">
        <v>0</v>
      </c>
      <c r="M52" s="592">
        <v>3.0175940000000002E-3</v>
      </c>
      <c r="N52" s="592"/>
      <c r="O52" s="596">
        <v>3.0175940000000002E-3</v>
      </c>
    </row>
    <row r="53" spans="2:15">
      <c r="B53" s="594">
        <v>137</v>
      </c>
      <c r="C53" s="600" t="s">
        <v>135</v>
      </c>
      <c r="D53" s="591">
        <v>275256434</v>
      </c>
      <c r="E53" s="591"/>
      <c r="F53" s="592"/>
      <c r="G53" s="592">
        <v>1.2715420000000001E-3</v>
      </c>
      <c r="H53" s="592"/>
      <c r="I53" s="592">
        <v>9.5711000000000006E-5</v>
      </c>
      <c r="J53" s="592">
        <v>9.9999799999999999E-4</v>
      </c>
      <c r="K53" s="593" t="s">
        <v>1507</v>
      </c>
      <c r="L53" s="592">
        <v>2.3672509999999999E-3</v>
      </c>
      <c r="M53" s="592">
        <v>2.6339079999999999E-3</v>
      </c>
      <c r="N53" s="592">
        <v>9.08244E-4</v>
      </c>
      <c r="O53" s="596">
        <v>5.9094029999999997E-3</v>
      </c>
    </row>
    <row r="54" spans="2:15">
      <c r="B54" s="1024">
        <v>139</v>
      </c>
      <c r="C54" s="1048" t="s">
        <v>136</v>
      </c>
      <c r="D54" s="591">
        <v>1894945719</v>
      </c>
      <c r="E54" s="591"/>
      <c r="F54" s="592"/>
      <c r="G54" s="592"/>
      <c r="H54" s="592"/>
      <c r="I54" s="592"/>
      <c r="J54" s="592"/>
      <c r="K54" s="593"/>
      <c r="L54" s="1028">
        <v>2.0160529999999999E-3</v>
      </c>
      <c r="M54" s="592">
        <v>2.09648E-3</v>
      </c>
      <c r="N54" s="592">
        <v>5.2771999999999997E-4</v>
      </c>
      <c r="O54" s="1030">
        <v>5.820001E-3</v>
      </c>
    </row>
    <row r="55" spans="2:15">
      <c r="B55" s="1025"/>
      <c r="C55" s="1049"/>
      <c r="D55" s="591"/>
      <c r="E55" s="591">
        <v>2232084125</v>
      </c>
      <c r="F55" s="592"/>
      <c r="G55" s="592">
        <v>2.0160529999999999E-3</v>
      </c>
      <c r="H55" s="592"/>
      <c r="I55" s="592"/>
      <c r="J55" s="592"/>
      <c r="K55" s="593"/>
      <c r="L55" s="1029"/>
      <c r="M55" s="592">
        <v>1.179748E-3</v>
      </c>
      <c r="N55" s="592"/>
      <c r="O55" s="1031"/>
    </row>
    <row r="56" spans="2:15">
      <c r="B56" s="594">
        <v>148</v>
      </c>
      <c r="C56" s="595" t="s">
        <v>138</v>
      </c>
      <c r="D56" s="591">
        <v>137786146</v>
      </c>
      <c r="E56" s="591"/>
      <c r="F56" s="592"/>
      <c r="G56" s="592">
        <v>2.177287E-3</v>
      </c>
      <c r="H56" s="592"/>
      <c r="I56" s="592">
        <v>7.2713999999999995E-5</v>
      </c>
      <c r="J56" s="592"/>
      <c r="K56" s="593"/>
      <c r="L56" s="592">
        <v>2.2500010000000002E-3</v>
      </c>
      <c r="M56" s="592"/>
      <c r="N56" s="592">
        <v>1.0886439999999999E-3</v>
      </c>
      <c r="O56" s="596">
        <v>3.3386450000000003E-3</v>
      </c>
    </row>
    <row r="57" spans="2:15">
      <c r="B57" s="594">
        <v>149</v>
      </c>
      <c r="C57" s="600" t="s">
        <v>139</v>
      </c>
      <c r="D57" s="591">
        <v>102980054</v>
      </c>
      <c r="E57" s="591"/>
      <c r="F57" s="592"/>
      <c r="G57" s="592">
        <v>1.936627E-3</v>
      </c>
      <c r="H57" s="592"/>
      <c r="I57" s="592"/>
      <c r="J57" s="592"/>
      <c r="K57" s="593"/>
      <c r="L57" s="592">
        <v>1.936627E-3</v>
      </c>
      <c r="M57" s="592"/>
      <c r="N57" s="592">
        <v>9.7106199999999997E-4</v>
      </c>
      <c r="O57" s="596">
        <v>2.9076889999999998E-3</v>
      </c>
    </row>
    <row r="58" spans="2:15">
      <c r="B58" s="594">
        <v>150</v>
      </c>
      <c r="C58" s="600" t="s">
        <v>140</v>
      </c>
      <c r="D58" s="591">
        <v>593404312</v>
      </c>
      <c r="E58" s="591"/>
      <c r="F58" s="592"/>
      <c r="G58" s="592">
        <v>1.3398349999999999E-3</v>
      </c>
      <c r="H58" s="592"/>
      <c r="I58" s="592"/>
      <c r="J58" s="592">
        <v>2.3650099999999999E-4</v>
      </c>
      <c r="K58" s="593" t="s">
        <v>1505</v>
      </c>
      <c r="L58" s="592">
        <v>1.576336E-3</v>
      </c>
      <c r="M58" s="592"/>
      <c r="N58" s="592">
        <v>8.3922499999999998E-4</v>
      </c>
      <c r="O58" s="596">
        <v>2.4155610000000001E-3</v>
      </c>
    </row>
    <row r="59" spans="2:15">
      <c r="B59" s="1024">
        <v>151</v>
      </c>
      <c r="C59" s="1048" t="s">
        <v>141</v>
      </c>
      <c r="D59" s="591">
        <v>1290855664</v>
      </c>
      <c r="E59" s="80"/>
      <c r="F59" s="592"/>
      <c r="G59" s="80"/>
      <c r="H59" s="592"/>
      <c r="I59" s="592"/>
      <c r="J59" s="592"/>
      <c r="K59" s="593"/>
      <c r="L59" s="1028">
        <v>5.0213199999999997E-4</v>
      </c>
      <c r="M59" s="592"/>
      <c r="N59" s="592"/>
      <c r="O59" s="1030">
        <v>2.884705E-3</v>
      </c>
    </row>
    <row r="60" spans="2:15">
      <c r="B60" s="1037"/>
      <c r="C60" s="1054"/>
      <c r="D60" s="591"/>
      <c r="E60" s="591">
        <v>1457751608</v>
      </c>
      <c r="F60" s="592"/>
      <c r="G60" s="592">
        <v>5.0108499999999996E-4</v>
      </c>
      <c r="H60" s="592"/>
      <c r="I60" s="592"/>
      <c r="J60" s="592">
        <v>1.0470000000000001E-6</v>
      </c>
      <c r="K60" s="593" t="s">
        <v>1508</v>
      </c>
      <c r="L60" s="1052"/>
      <c r="M60" s="592">
        <v>6.9196299999999997E-4</v>
      </c>
      <c r="N60" s="592">
        <v>7.8888600000000004E-4</v>
      </c>
      <c r="O60" s="1053"/>
    </row>
    <row r="61" spans="2:15">
      <c r="B61" s="1038"/>
      <c r="C61" s="1041"/>
      <c r="D61" s="591"/>
      <c r="E61" s="591">
        <v>1311214370</v>
      </c>
      <c r="F61" s="592"/>
      <c r="G61" s="592"/>
      <c r="H61" s="592"/>
      <c r="I61" s="592"/>
      <c r="J61" s="592"/>
      <c r="K61" s="593"/>
      <c r="L61" s="1029"/>
      <c r="M61" s="592">
        <v>9.0172400000000002E-4</v>
      </c>
      <c r="N61" s="592"/>
      <c r="O61" s="1031"/>
    </row>
    <row r="62" spans="2:15">
      <c r="B62" s="594">
        <v>161</v>
      </c>
      <c r="C62" s="600" t="s">
        <v>142</v>
      </c>
      <c r="D62" s="173">
        <v>116975426</v>
      </c>
      <c r="E62" s="173"/>
      <c r="F62" s="597"/>
      <c r="G62" s="597">
        <v>2.137201E-3</v>
      </c>
      <c r="H62" s="597"/>
      <c r="I62" s="597">
        <v>8.8795999999999995E-5</v>
      </c>
      <c r="J62" s="597"/>
      <c r="K62" s="598"/>
      <c r="L62" s="597">
        <v>2.225997E-3</v>
      </c>
      <c r="M62" s="597">
        <v>8.5488000000000003E-4</v>
      </c>
      <c r="N62" s="597"/>
      <c r="O62" s="599">
        <v>3.0808770000000001E-3</v>
      </c>
    </row>
    <row r="63" spans="2:15">
      <c r="B63" s="594">
        <v>171</v>
      </c>
      <c r="C63" s="600" t="s">
        <v>143</v>
      </c>
      <c r="D63" s="591">
        <v>531454238</v>
      </c>
      <c r="E63" s="591"/>
      <c r="F63" s="592"/>
      <c r="G63" s="592">
        <v>4.2900250000000003E-3</v>
      </c>
      <c r="H63" s="592"/>
      <c r="I63" s="592"/>
      <c r="J63" s="592"/>
      <c r="K63" s="593"/>
      <c r="L63" s="592">
        <v>4.2900250000000003E-3</v>
      </c>
      <c r="M63" s="592"/>
      <c r="N63" s="592">
        <v>1.8816300000000001E-4</v>
      </c>
      <c r="O63" s="596">
        <v>4.4781880000000001E-3</v>
      </c>
    </row>
    <row r="64" spans="2:15">
      <c r="B64" s="594">
        <v>181</v>
      </c>
      <c r="C64" s="600" t="s">
        <v>144</v>
      </c>
      <c r="D64" s="591">
        <v>663975886</v>
      </c>
      <c r="E64" s="591"/>
      <c r="F64" s="592"/>
      <c r="G64" s="592">
        <v>6.0243199999999997E-4</v>
      </c>
      <c r="H64" s="592"/>
      <c r="I64" s="592">
        <v>9.6630000000000005E-6</v>
      </c>
      <c r="J64" s="592"/>
      <c r="K64" s="593"/>
      <c r="L64" s="592">
        <v>6.12095E-4</v>
      </c>
      <c r="M64" s="592"/>
      <c r="N64" s="592">
        <v>7.5303999999999996E-5</v>
      </c>
      <c r="O64" s="596">
        <v>6.87399E-4</v>
      </c>
    </row>
    <row r="65" spans="2:15">
      <c r="B65" s="594">
        <v>182</v>
      </c>
      <c r="C65" s="600" t="s">
        <v>145</v>
      </c>
      <c r="D65" s="591">
        <v>143721500</v>
      </c>
      <c r="E65" s="591"/>
      <c r="F65" s="592"/>
      <c r="G65" s="592">
        <v>1.0436849999999999E-3</v>
      </c>
      <c r="H65" s="592"/>
      <c r="I65" s="592">
        <v>5.1808999999999998E-5</v>
      </c>
      <c r="J65" s="592"/>
      <c r="K65" s="593"/>
      <c r="L65" s="592">
        <v>1.095494E-3</v>
      </c>
      <c r="M65" s="592"/>
      <c r="N65" s="592">
        <v>8.2171399999999997E-4</v>
      </c>
      <c r="O65" s="596">
        <v>1.9172080000000001E-3</v>
      </c>
    </row>
    <row r="66" spans="2:15">
      <c r="B66" s="594">
        <v>191</v>
      </c>
      <c r="C66" s="600" t="s">
        <v>146</v>
      </c>
      <c r="D66" s="591">
        <v>10793613</v>
      </c>
      <c r="E66" s="591"/>
      <c r="F66" s="592"/>
      <c r="G66" s="592"/>
      <c r="H66" s="592"/>
      <c r="I66" s="592"/>
      <c r="J66" s="592"/>
      <c r="K66" s="593"/>
      <c r="L66" s="592">
        <v>0</v>
      </c>
      <c r="M66" s="592"/>
      <c r="N66" s="592"/>
      <c r="O66" s="596">
        <v>0</v>
      </c>
    </row>
    <row r="67" spans="2:15">
      <c r="B67" s="594">
        <v>192</v>
      </c>
      <c r="C67" s="600" t="s">
        <v>147</v>
      </c>
      <c r="D67" s="591">
        <v>265934820</v>
      </c>
      <c r="E67" s="591"/>
      <c r="F67" s="592"/>
      <c r="G67" s="592"/>
      <c r="H67" s="592"/>
      <c r="I67" s="592">
        <v>1.6074199999999999E-4</v>
      </c>
      <c r="J67" s="592"/>
      <c r="K67" s="593"/>
      <c r="L67" s="592">
        <v>1.6074199999999999E-4</v>
      </c>
      <c r="M67" s="592">
        <v>1.1656990000000001E-3</v>
      </c>
      <c r="N67" s="592"/>
      <c r="O67" s="596">
        <v>1.326441E-3</v>
      </c>
    </row>
    <row r="68" spans="2:15">
      <c r="B68" s="1024">
        <v>193</v>
      </c>
      <c r="C68" s="1048" t="s">
        <v>148</v>
      </c>
      <c r="D68" s="591">
        <v>1072524193</v>
      </c>
      <c r="E68" s="591"/>
      <c r="F68" s="592"/>
      <c r="G68" s="592"/>
      <c r="H68" s="592"/>
      <c r="I68" s="592">
        <v>1.1450999999999999E-5</v>
      </c>
      <c r="J68" s="592"/>
      <c r="K68" s="593"/>
      <c r="L68" s="1028">
        <v>2.452456E-3</v>
      </c>
      <c r="M68" s="592"/>
      <c r="N68" s="592"/>
      <c r="O68" s="1030">
        <v>3.3565319999999997E-3</v>
      </c>
    </row>
    <row r="69" spans="2:15">
      <c r="B69" s="1025"/>
      <c r="C69" s="1049"/>
      <c r="D69" s="591"/>
      <c r="E69" s="591">
        <v>1106101614</v>
      </c>
      <c r="F69" s="80"/>
      <c r="G69" s="592">
        <v>2.441005E-3</v>
      </c>
      <c r="H69" s="592"/>
      <c r="I69" s="592"/>
      <c r="J69" s="592"/>
      <c r="K69" s="593"/>
      <c r="L69" s="1029"/>
      <c r="M69" s="592"/>
      <c r="N69" s="592">
        <v>9.0407599999999997E-4</v>
      </c>
      <c r="O69" s="1031"/>
    </row>
    <row r="70" spans="2:15">
      <c r="B70" s="594">
        <v>201</v>
      </c>
      <c r="C70" s="600" t="s">
        <v>149</v>
      </c>
      <c r="D70" s="591">
        <v>465632152</v>
      </c>
      <c r="E70" s="591"/>
      <c r="F70" s="592"/>
      <c r="G70" s="592"/>
      <c r="H70" s="592"/>
      <c r="I70" s="592">
        <v>6.9967000000000003E-5</v>
      </c>
      <c r="J70" s="592"/>
      <c r="K70" s="593"/>
      <c r="L70" s="592">
        <v>6.9967000000000003E-5</v>
      </c>
      <c r="M70" s="592"/>
      <c r="N70" s="592">
        <v>1.9328559999999999E-3</v>
      </c>
      <c r="O70" s="596">
        <v>2.0028229999999999E-3</v>
      </c>
    </row>
    <row r="71" spans="2:15">
      <c r="B71" s="594">
        <v>202</v>
      </c>
      <c r="C71" s="600" t="s">
        <v>151</v>
      </c>
      <c r="D71" s="591">
        <v>139001602</v>
      </c>
      <c r="E71" s="591"/>
      <c r="F71" s="592"/>
      <c r="G71" s="592">
        <v>6.47475E-4</v>
      </c>
      <c r="H71" s="592"/>
      <c r="I71" s="592">
        <v>2.6426999999999999E-4</v>
      </c>
      <c r="J71" s="592"/>
      <c r="K71" s="593"/>
      <c r="L71" s="592">
        <v>9.1174500000000005E-4</v>
      </c>
      <c r="M71" s="592"/>
      <c r="N71" s="592">
        <v>2.8776600000000001E-4</v>
      </c>
      <c r="O71" s="596">
        <v>1.1995110000000001E-3</v>
      </c>
    </row>
    <row r="72" spans="2:15">
      <c r="B72" s="1024">
        <v>215</v>
      </c>
      <c r="C72" s="1066" t="s">
        <v>152</v>
      </c>
      <c r="D72" s="591">
        <v>1561135989</v>
      </c>
      <c r="E72" s="591"/>
      <c r="F72" s="592"/>
      <c r="G72" s="592"/>
      <c r="H72" s="592"/>
      <c r="I72" s="592">
        <v>1.2237E-5</v>
      </c>
      <c r="J72" s="592"/>
      <c r="K72" s="593"/>
      <c r="L72" s="1050">
        <v>9.7168500000000002E-4</v>
      </c>
      <c r="M72" s="80"/>
      <c r="N72" s="80"/>
      <c r="O72" s="1063">
        <v>2.4151659999999998E-3</v>
      </c>
    </row>
    <row r="73" spans="2:15">
      <c r="B73" s="1037"/>
      <c r="C73" s="1067"/>
      <c r="D73" s="591"/>
      <c r="E73" s="591">
        <v>1563399203</v>
      </c>
      <c r="F73" s="592"/>
      <c r="G73" s="608">
        <v>9.5944800000000001E-4</v>
      </c>
      <c r="H73" s="592"/>
      <c r="I73" s="592"/>
      <c r="J73" s="592"/>
      <c r="K73" s="593"/>
      <c r="L73" s="1062"/>
      <c r="M73" s="592"/>
      <c r="N73" s="592"/>
      <c r="O73" s="1064"/>
    </row>
    <row r="74" spans="2:15">
      <c r="B74" s="1038"/>
      <c r="C74" s="1060"/>
      <c r="D74" s="591"/>
      <c r="E74" s="591">
        <v>1561262312</v>
      </c>
      <c r="F74" s="592"/>
      <c r="G74" s="592"/>
      <c r="H74" s="592"/>
      <c r="I74" s="592"/>
      <c r="J74" s="592"/>
      <c r="K74" s="593"/>
      <c r="L74" s="1051"/>
      <c r="M74" s="592">
        <v>1.3450649999999999E-3</v>
      </c>
      <c r="N74" s="592">
        <v>9.8416000000000001E-5</v>
      </c>
      <c r="O74" s="1065"/>
    </row>
    <row r="75" spans="2:15">
      <c r="B75" s="594">
        <v>221</v>
      </c>
      <c r="C75" s="595" t="s">
        <v>153</v>
      </c>
      <c r="D75" s="173">
        <v>834117801</v>
      </c>
      <c r="E75" s="591"/>
      <c r="F75" s="592"/>
      <c r="G75" s="80">
        <v>1.6784199999999999E-3</v>
      </c>
      <c r="H75" s="592"/>
      <c r="I75" s="592">
        <v>1.9780999999999999E-5</v>
      </c>
      <c r="J75" s="592"/>
      <c r="K75" s="593"/>
      <c r="L75" s="592">
        <v>1.6982009999999999E-3</v>
      </c>
      <c r="M75" s="592">
        <v>1.1389270000000001E-3</v>
      </c>
      <c r="N75" s="592"/>
      <c r="O75" s="596">
        <v>2.837128E-3</v>
      </c>
    </row>
    <row r="76" spans="2:15">
      <c r="B76" s="594">
        <v>231</v>
      </c>
      <c r="C76" s="600" t="s">
        <v>155</v>
      </c>
      <c r="D76" s="591">
        <v>414805547</v>
      </c>
      <c r="E76" s="591"/>
      <c r="F76" s="592"/>
      <c r="G76" s="592">
        <v>1.229492E-3</v>
      </c>
      <c r="H76" s="592"/>
      <c r="I76" s="592"/>
      <c r="J76" s="592"/>
      <c r="K76" s="593"/>
      <c r="L76" s="592">
        <v>1.229492E-3</v>
      </c>
      <c r="M76" s="592">
        <v>6.0269200000000005E-4</v>
      </c>
      <c r="N76" s="592">
        <v>9.4400400000000002E-4</v>
      </c>
      <c r="O76" s="596">
        <v>2.7761880000000002E-3</v>
      </c>
    </row>
    <row r="77" spans="2:15">
      <c r="B77" s="594">
        <v>232</v>
      </c>
      <c r="C77" s="600" t="s">
        <v>156</v>
      </c>
      <c r="D77" s="591">
        <v>270450233</v>
      </c>
      <c r="E77" s="591"/>
      <c r="F77" s="592"/>
      <c r="G77" s="592">
        <v>5.7311799999999996E-4</v>
      </c>
      <c r="H77" s="592"/>
      <c r="I77" s="592"/>
      <c r="J77" s="592"/>
      <c r="K77" s="593"/>
      <c r="L77" s="592">
        <v>5.7311799999999996E-4</v>
      </c>
      <c r="M77" s="592">
        <v>3.352935E-3</v>
      </c>
      <c r="N77" s="592"/>
      <c r="O77" s="596">
        <v>3.9260529999999997E-3</v>
      </c>
    </row>
    <row r="78" spans="2:15">
      <c r="B78" s="594">
        <v>233</v>
      </c>
      <c r="C78" s="600" t="s">
        <v>157</v>
      </c>
      <c r="D78" s="591">
        <v>158043156</v>
      </c>
      <c r="E78" s="591"/>
      <c r="F78" s="592"/>
      <c r="G78" s="592">
        <v>9.4149000000000001E-4</v>
      </c>
      <c r="H78" s="592"/>
      <c r="I78" s="592">
        <v>2.4746E-5</v>
      </c>
      <c r="J78" s="592"/>
      <c r="K78" s="593"/>
      <c r="L78" s="592">
        <v>9.6623599999999998E-4</v>
      </c>
      <c r="M78" s="592">
        <v>1.605017E-3</v>
      </c>
      <c r="N78" s="592">
        <v>1.2654800000000001E-4</v>
      </c>
      <c r="O78" s="596">
        <v>2.6978010000000001E-3</v>
      </c>
    </row>
    <row r="79" spans="2:15">
      <c r="B79" s="594">
        <v>234</v>
      </c>
      <c r="C79" s="600" t="s">
        <v>158</v>
      </c>
      <c r="D79" s="591">
        <v>79186106</v>
      </c>
      <c r="E79" s="591"/>
      <c r="F79" s="592"/>
      <c r="G79" s="592"/>
      <c r="H79" s="592"/>
      <c r="I79" s="592">
        <v>8.2767000000000002E-5</v>
      </c>
      <c r="J79" s="592"/>
      <c r="K79" s="593"/>
      <c r="L79" s="592">
        <v>8.2767000000000002E-5</v>
      </c>
      <c r="M79" s="592">
        <v>1.1365629999999999E-3</v>
      </c>
      <c r="N79" s="592">
        <v>5.0513900000000004E-4</v>
      </c>
      <c r="O79" s="596">
        <v>1.7244690000000002E-3</v>
      </c>
    </row>
    <row r="80" spans="2:15">
      <c r="B80" s="594">
        <v>242</v>
      </c>
      <c r="C80" s="600" t="s">
        <v>159</v>
      </c>
      <c r="D80" s="591">
        <v>152311650</v>
      </c>
      <c r="E80" s="591"/>
      <c r="F80" s="592"/>
      <c r="G80" s="592">
        <v>2.2979200000000002E-3</v>
      </c>
      <c r="H80" s="592"/>
      <c r="I80" s="592">
        <v>1.1068799999999999E-4</v>
      </c>
      <c r="J80" s="592"/>
      <c r="K80" s="593"/>
      <c r="L80" s="592">
        <v>2.408608E-3</v>
      </c>
      <c r="M80" s="592"/>
      <c r="N80" s="592"/>
      <c r="O80" s="596">
        <v>2.408608E-3</v>
      </c>
    </row>
    <row r="81" spans="2:15">
      <c r="B81" s="1024">
        <v>243</v>
      </c>
      <c r="C81" s="1048" t="s">
        <v>1187</v>
      </c>
      <c r="D81" s="591">
        <v>130870691</v>
      </c>
      <c r="E81" s="80"/>
      <c r="F81" s="592"/>
      <c r="G81" s="80"/>
      <c r="H81" s="592"/>
      <c r="I81" s="592"/>
      <c r="J81" s="592"/>
      <c r="K81" s="593"/>
      <c r="L81" s="1028">
        <v>4.0676740000000003E-3</v>
      </c>
      <c r="M81" s="592"/>
      <c r="N81" s="592"/>
      <c r="O81" s="1030">
        <v>4.0676740000000003E-3</v>
      </c>
    </row>
    <row r="82" spans="2:15">
      <c r="B82" s="1025"/>
      <c r="C82" s="1049"/>
      <c r="D82" s="591"/>
      <c r="E82" s="591">
        <v>133459078</v>
      </c>
      <c r="F82" s="592"/>
      <c r="G82" s="592">
        <v>4.0676740000000003E-3</v>
      </c>
      <c r="H82" s="592"/>
      <c r="I82" s="592"/>
      <c r="J82" s="592"/>
      <c r="K82" s="593"/>
      <c r="L82" s="1029"/>
      <c r="M82" s="592"/>
      <c r="N82" s="592"/>
      <c r="O82" s="1031"/>
    </row>
    <row r="83" spans="2:15">
      <c r="B83" s="594">
        <v>244</v>
      </c>
      <c r="C83" s="600" t="s">
        <v>161</v>
      </c>
      <c r="D83" s="173">
        <v>826165208</v>
      </c>
      <c r="E83" s="173"/>
      <c r="F83" s="597"/>
      <c r="G83" s="597">
        <v>3.223624E-3</v>
      </c>
      <c r="H83" s="597"/>
      <c r="I83" s="597">
        <v>2.0401E-5</v>
      </c>
      <c r="J83" s="597"/>
      <c r="K83" s="598"/>
      <c r="L83" s="597">
        <v>3.2440250000000002E-3</v>
      </c>
      <c r="M83" s="597"/>
      <c r="N83" s="597"/>
      <c r="O83" s="599">
        <v>3.2440250000000002E-3</v>
      </c>
    </row>
    <row r="84" spans="2:15">
      <c r="B84" s="1055">
        <v>251</v>
      </c>
      <c r="C84" s="1058" t="s">
        <v>1509</v>
      </c>
      <c r="D84" s="591">
        <v>916596045</v>
      </c>
      <c r="E84" s="591"/>
      <c r="F84" s="592"/>
      <c r="G84" s="592"/>
      <c r="H84" s="592"/>
      <c r="I84" s="592"/>
      <c r="J84" s="592"/>
      <c r="K84" s="593"/>
      <c r="L84" s="1050">
        <v>5.2969099999999999E-4</v>
      </c>
      <c r="M84" s="592">
        <v>1.33775E-3</v>
      </c>
      <c r="N84" s="592"/>
      <c r="O84" s="1063">
        <v>4.2660889999999998E-3</v>
      </c>
    </row>
    <row r="85" spans="2:15">
      <c r="B85" s="1068"/>
      <c r="C85" s="1069"/>
      <c r="D85" s="591"/>
      <c r="E85" s="591">
        <v>930108638</v>
      </c>
      <c r="F85" s="592"/>
      <c r="G85" s="592"/>
      <c r="H85" s="592">
        <v>5.2969099999999999E-4</v>
      </c>
      <c r="I85" s="592"/>
      <c r="J85" s="592"/>
      <c r="K85" s="593"/>
      <c r="L85" s="1051"/>
      <c r="M85" s="592">
        <v>2.3986479999999998E-3</v>
      </c>
      <c r="N85" s="592"/>
      <c r="O85" s="1065"/>
    </row>
    <row r="86" spans="2:15">
      <c r="B86" s="594">
        <v>252</v>
      </c>
      <c r="C86" s="600" t="s">
        <v>163</v>
      </c>
      <c r="D86" s="591">
        <v>133994278</v>
      </c>
      <c r="E86" s="591"/>
      <c r="F86" s="592"/>
      <c r="G86" s="592">
        <v>2.8699429999999998E-3</v>
      </c>
      <c r="H86" s="592"/>
      <c r="I86" s="592"/>
      <c r="J86" s="592"/>
      <c r="K86" s="593"/>
      <c r="L86" s="592">
        <v>2.8699429999999998E-3</v>
      </c>
      <c r="M86" s="592">
        <v>4.1046529999999998E-3</v>
      </c>
      <c r="N86" s="592"/>
      <c r="O86" s="596">
        <v>6.9745959999999996E-3</v>
      </c>
    </row>
    <row r="87" spans="2:15">
      <c r="B87" s="594">
        <v>253</v>
      </c>
      <c r="C87" s="600" t="s">
        <v>164</v>
      </c>
      <c r="D87" s="591">
        <v>171162859</v>
      </c>
      <c r="E87" s="591"/>
      <c r="F87" s="592"/>
      <c r="G87" s="592">
        <v>1.752717E-3</v>
      </c>
      <c r="H87" s="592"/>
      <c r="I87" s="592"/>
      <c r="J87" s="592">
        <v>5.0834999999999997E-5</v>
      </c>
      <c r="K87" s="593" t="s">
        <v>1508</v>
      </c>
      <c r="L87" s="592">
        <v>1.8035519999999999E-3</v>
      </c>
      <c r="M87" s="592">
        <v>1.2490029999999998E-3</v>
      </c>
      <c r="N87" s="592">
        <v>1.752717E-3</v>
      </c>
      <c r="O87" s="596">
        <v>4.8052719999999993E-3</v>
      </c>
    </row>
    <row r="88" spans="2:15">
      <c r="B88" s="1024">
        <v>261</v>
      </c>
      <c r="C88" s="1026" t="s">
        <v>165</v>
      </c>
      <c r="D88" s="591">
        <v>1056576896</v>
      </c>
      <c r="E88" s="591"/>
      <c r="F88" s="592"/>
      <c r="G88" s="592"/>
      <c r="H88" s="592"/>
      <c r="I88" s="592"/>
      <c r="J88" s="592"/>
      <c r="K88" s="593"/>
      <c r="L88" s="1028">
        <v>5.4849100000000002E-4</v>
      </c>
      <c r="M88" s="592"/>
      <c r="N88" s="80"/>
      <c r="O88" s="1030">
        <v>3.4744750000000003E-3</v>
      </c>
    </row>
    <row r="89" spans="2:15">
      <c r="B89" s="1037"/>
      <c r="C89" s="1040"/>
      <c r="D89" s="591"/>
      <c r="E89" s="591">
        <v>1142028767</v>
      </c>
      <c r="F89" s="592"/>
      <c r="G89" s="592">
        <v>5.4849100000000002E-4</v>
      </c>
      <c r="H89" s="592"/>
      <c r="I89" s="592"/>
      <c r="J89" s="592"/>
      <c r="K89" s="593"/>
      <c r="L89" s="1052"/>
      <c r="M89" s="592">
        <v>2.1326840000000001E-3</v>
      </c>
      <c r="N89" s="80">
        <v>5.6916300000000003E-4</v>
      </c>
      <c r="O89" s="1053"/>
    </row>
    <row r="90" spans="2:15">
      <c r="B90" s="1025"/>
      <c r="C90" s="1027"/>
      <c r="D90" s="591"/>
      <c r="E90" s="591">
        <v>1068160864</v>
      </c>
      <c r="F90" s="592"/>
      <c r="G90" s="592"/>
      <c r="H90" s="592"/>
      <c r="I90" s="592"/>
      <c r="J90" s="592"/>
      <c r="K90" s="593"/>
      <c r="L90" s="1029"/>
      <c r="M90" s="592">
        <v>2.2413700000000001E-4</v>
      </c>
      <c r="N90" s="592"/>
      <c r="O90" s="1031"/>
    </row>
    <row r="91" spans="2:15">
      <c r="B91" s="594">
        <v>262</v>
      </c>
      <c r="C91" s="600" t="s">
        <v>166</v>
      </c>
      <c r="D91" s="591">
        <v>212279609</v>
      </c>
      <c r="E91" s="591"/>
      <c r="F91" s="592"/>
      <c r="G91" s="592">
        <v>1.4132299999999999E-3</v>
      </c>
      <c r="H91" s="592"/>
      <c r="I91" s="592">
        <v>4.9322E-5</v>
      </c>
      <c r="J91" s="592"/>
      <c r="K91" s="593"/>
      <c r="L91" s="592">
        <v>1.462552E-3</v>
      </c>
      <c r="M91" s="592"/>
      <c r="N91" s="592">
        <v>1.4132299999999999E-3</v>
      </c>
      <c r="O91" s="596">
        <v>2.8757819999999999E-3</v>
      </c>
    </row>
    <row r="92" spans="2:15">
      <c r="B92" s="1024">
        <v>271</v>
      </c>
      <c r="C92" s="1048" t="s">
        <v>167</v>
      </c>
      <c r="D92" s="591">
        <v>7479501163</v>
      </c>
      <c r="E92" s="80"/>
      <c r="F92" s="592"/>
      <c r="G92" s="80"/>
      <c r="H92" s="592"/>
      <c r="I92" s="592">
        <v>9.0620000000000007E-6</v>
      </c>
      <c r="J92" s="592"/>
      <c r="K92" s="593"/>
      <c r="L92" s="1028">
        <v>2.0059880000000002E-3</v>
      </c>
      <c r="M92" s="592"/>
      <c r="N92" s="592"/>
      <c r="O92" s="1030">
        <v>2.375734E-3</v>
      </c>
    </row>
    <row r="93" spans="2:15">
      <c r="B93" s="1025"/>
      <c r="C93" s="1049"/>
      <c r="D93" s="591"/>
      <c r="E93" s="591">
        <v>8113677643</v>
      </c>
      <c r="F93" s="592"/>
      <c r="G93" s="592">
        <v>1.84873E-3</v>
      </c>
      <c r="H93" s="592">
        <v>1.4819599999999999E-4</v>
      </c>
      <c r="I93" s="592"/>
      <c r="J93" s="592"/>
      <c r="K93" s="593"/>
      <c r="L93" s="1029"/>
      <c r="M93" s="592">
        <v>3.6974600000000001E-4</v>
      </c>
      <c r="N93" s="592"/>
      <c r="O93" s="1031"/>
    </row>
    <row r="94" spans="2:15">
      <c r="B94" s="1024">
        <v>272</v>
      </c>
      <c r="C94" s="1048" t="s">
        <v>1510</v>
      </c>
      <c r="D94" s="591">
        <v>2261321679</v>
      </c>
      <c r="E94" s="80"/>
      <c r="F94" s="592"/>
      <c r="G94" s="80"/>
      <c r="H94" s="592"/>
      <c r="I94" s="592">
        <v>2.0755999999999999E-5</v>
      </c>
      <c r="J94" s="592"/>
      <c r="K94" s="593"/>
      <c r="L94" s="1028">
        <v>2.2061439999999997E-3</v>
      </c>
      <c r="M94" s="592">
        <v>6.3256100000000002E-4</v>
      </c>
      <c r="N94" s="592"/>
      <c r="O94" s="1030">
        <v>3.1898319999999997E-3</v>
      </c>
    </row>
    <row r="95" spans="2:15">
      <c r="B95" s="1025"/>
      <c r="C95" s="1049"/>
      <c r="D95" s="591"/>
      <c r="E95" s="591">
        <v>2278378175</v>
      </c>
      <c r="F95" s="592"/>
      <c r="G95" s="592">
        <v>2.1045669999999999E-3</v>
      </c>
      <c r="H95" s="592">
        <v>8.0821000000000004E-5</v>
      </c>
      <c r="I95" s="592"/>
      <c r="J95" s="592"/>
      <c r="K95" s="593"/>
      <c r="L95" s="1029"/>
      <c r="M95" s="592"/>
      <c r="N95" s="592">
        <v>3.5112700000000001E-4</v>
      </c>
      <c r="O95" s="1031"/>
    </row>
    <row r="96" spans="2:15">
      <c r="B96" s="1024">
        <v>273</v>
      </c>
      <c r="C96" s="1048" t="s">
        <v>169</v>
      </c>
      <c r="D96" s="591">
        <v>2394010898</v>
      </c>
      <c r="E96" s="80"/>
      <c r="F96" s="592"/>
      <c r="G96" s="80"/>
      <c r="H96" s="592"/>
      <c r="I96" s="592">
        <v>7.4209999999999998E-6</v>
      </c>
      <c r="J96" s="592"/>
      <c r="K96" s="593"/>
      <c r="L96" s="1028">
        <v>1.7421540000000001E-3</v>
      </c>
      <c r="M96" s="592">
        <v>7.1010500000000005E-4</v>
      </c>
      <c r="N96" s="592"/>
      <c r="O96" s="1030">
        <v>2.824919E-3</v>
      </c>
    </row>
    <row r="97" spans="2:15">
      <c r="B97" s="1025"/>
      <c r="C97" s="1049"/>
      <c r="D97" s="591"/>
      <c r="E97" s="591">
        <v>2683410164</v>
      </c>
      <c r="F97" s="592"/>
      <c r="G97" s="592">
        <v>1.734733E-3</v>
      </c>
      <c r="H97" s="592"/>
      <c r="I97" s="592"/>
      <c r="J97" s="592"/>
      <c r="K97" s="593"/>
      <c r="L97" s="1029"/>
      <c r="M97" s="592">
        <v>3.7266000000000003E-4</v>
      </c>
      <c r="N97" s="592"/>
      <c r="O97" s="1031"/>
    </row>
    <row r="98" spans="2:15">
      <c r="B98" s="1024">
        <v>274</v>
      </c>
      <c r="C98" s="1026" t="s">
        <v>170</v>
      </c>
      <c r="D98" s="591">
        <v>535983120</v>
      </c>
      <c r="E98" s="173"/>
      <c r="F98" s="597"/>
      <c r="G98" s="597"/>
      <c r="H98" s="597"/>
      <c r="I98" s="597">
        <v>3.0304999999999999E-5</v>
      </c>
      <c r="J98" s="597"/>
      <c r="K98" s="598"/>
      <c r="L98" s="1061">
        <v>1.7082029999999999E-3</v>
      </c>
      <c r="M98" s="597"/>
      <c r="N98" s="597"/>
      <c r="O98" s="1070">
        <v>2.1323380000000001E-3</v>
      </c>
    </row>
    <row r="99" spans="2:15">
      <c r="B99" s="1038"/>
      <c r="C99" s="1041"/>
      <c r="D99" s="173"/>
      <c r="E99" s="591">
        <v>536385400</v>
      </c>
      <c r="F99" s="597"/>
      <c r="G99" s="597">
        <v>1.6778979999999999E-3</v>
      </c>
      <c r="H99" s="597"/>
      <c r="I99" s="597"/>
      <c r="J99" s="597"/>
      <c r="K99" s="598"/>
      <c r="L99" s="1020"/>
      <c r="M99" s="597">
        <v>4.2413500000000002E-4</v>
      </c>
      <c r="N99" s="597"/>
      <c r="O99" s="1023"/>
    </row>
    <row r="100" spans="2:15">
      <c r="B100" s="1024">
        <v>281</v>
      </c>
      <c r="C100" s="1048" t="s">
        <v>171</v>
      </c>
      <c r="D100" s="173">
        <v>1356127167</v>
      </c>
      <c r="E100" s="173"/>
      <c r="F100" s="597"/>
      <c r="G100" s="597">
        <v>6.9594130000000002E-3</v>
      </c>
      <c r="H100" s="597"/>
      <c r="I100" s="597"/>
      <c r="J100" s="597"/>
      <c r="K100" s="598"/>
      <c r="L100" s="1061">
        <v>6.9594130000000002E-3</v>
      </c>
      <c r="M100" s="597"/>
      <c r="N100" s="597"/>
      <c r="O100" s="1070">
        <v>7.5023149999999999E-3</v>
      </c>
    </row>
    <row r="101" spans="2:15">
      <c r="B101" s="1038"/>
      <c r="C101" s="1041"/>
      <c r="D101" s="173"/>
      <c r="E101" s="173">
        <v>1364887738</v>
      </c>
      <c r="F101" s="597"/>
      <c r="G101" s="597"/>
      <c r="H101" s="597"/>
      <c r="I101" s="597"/>
      <c r="J101" s="597"/>
      <c r="K101" s="598"/>
      <c r="L101" s="1020"/>
      <c r="M101" s="597">
        <v>5.4290199999999995E-4</v>
      </c>
      <c r="N101" s="597"/>
      <c r="O101" s="1023"/>
    </row>
    <row r="102" spans="2:15">
      <c r="B102" s="594">
        <v>282</v>
      </c>
      <c r="C102" s="600" t="s">
        <v>173</v>
      </c>
      <c r="D102" s="173">
        <v>166587254</v>
      </c>
      <c r="E102" s="173"/>
      <c r="F102" s="597"/>
      <c r="G102" s="597">
        <v>5.3021700000000001E-3</v>
      </c>
      <c r="H102" s="597"/>
      <c r="I102" s="597"/>
      <c r="J102" s="597"/>
      <c r="K102" s="598"/>
      <c r="L102" s="597">
        <v>5.3021700000000001E-3</v>
      </c>
      <c r="M102" s="597">
        <v>1.9095819999999999E-3</v>
      </c>
      <c r="N102" s="597"/>
      <c r="O102" s="599">
        <v>7.2117520000000001E-3</v>
      </c>
    </row>
    <row r="103" spans="2:15">
      <c r="B103" s="594">
        <v>283</v>
      </c>
      <c r="C103" s="600" t="s">
        <v>174</v>
      </c>
      <c r="D103" s="173">
        <v>125215640</v>
      </c>
      <c r="E103" s="173"/>
      <c r="F103" s="597"/>
      <c r="G103" s="597">
        <v>6.6822720000000004E-3</v>
      </c>
      <c r="H103" s="597"/>
      <c r="I103" s="597"/>
      <c r="J103" s="597"/>
      <c r="K103" s="598"/>
      <c r="L103" s="597">
        <v>6.6822720000000004E-3</v>
      </c>
      <c r="M103" s="597">
        <v>1.0938969999999999E-3</v>
      </c>
      <c r="N103" s="597">
        <v>3.9931100000000001E-4</v>
      </c>
      <c r="O103" s="599">
        <v>8.1754800000000006E-3</v>
      </c>
    </row>
    <row r="104" spans="2:15">
      <c r="B104" s="594">
        <v>285</v>
      </c>
      <c r="C104" s="600" t="s">
        <v>175</v>
      </c>
      <c r="D104" s="173">
        <v>230951277</v>
      </c>
      <c r="E104" s="173"/>
      <c r="F104" s="597"/>
      <c r="G104" s="597">
        <v>5.967796E-3</v>
      </c>
      <c r="H104" s="597"/>
      <c r="I104" s="597"/>
      <c r="J104" s="597"/>
      <c r="K104" s="598"/>
      <c r="L104" s="597">
        <v>5.967796E-3</v>
      </c>
      <c r="M104" s="597"/>
      <c r="N104" s="597"/>
      <c r="O104" s="599">
        <v>5.967796E-3</v>
      </c>
    </row>
    <row r="105" spans="2:15">
      <c r="B105" s="594">
        <v>287</v>
      </c>
      <c r="C105" s="600" t="s">
        <v>176</v>
      </c>
      <c r="D105" s="173">
        <v>134284057</v>
      </c>
      <c r="E105" s="173"/>
      <c r="F105" s="597"/>
      <c r="G105" s="597">
        <v>7.4096659999999996E-3</v>
      </c>
      <c r="H105" s="597"/>
      <c r="I105" s="597"/>
      <c r="J105" s="597"/>
      <c r="K105" s="598"/>
      <c r="L105" s="597">
        <v>7.4096659999999996E-3</v>
      </c>
      <c r="M105" s="597">
        <v>1.589586E-3</v>
      </c>
      <c r="N105" s="597"/>
      <c r="O105" s="599">
        <v>8.9992519999999993E-3</v>
      </c>
    </row>
    <row r="106" spans="2:15">
      <c r="B106" s="594">
        <v>288</v>
      </c>
      <c r="C106" s="600" t="s">
        <v>1481</v>
      </c>
      <c r="D106" s="173">
        <v>172807248</v>
      </c>
      <c r="E106" s="173"/>
      <c r="F106" s="597"/>
      <c r="G106" s="597">
        <v>4.8486739999999999E-3</v>
      </c>
      <c r="H106" s="597"/>
      <c r="I106" s="597"/>
      <c r="J106" s="597"/>
      <c r="K106" s="598"/>
      <c r="L106" s="597">
        <v>4.8486739999999999E-3</v>
      </c>
      <c r="M106" s="597"/>
      <c r="N106" s="597">
        <v>9.6028400000000005E-4</v>
      </c>
      <c r="O106" s="599">
        <v>5.8089579999999995E-3</v>
      </c>
    </row>
    <row r="107" spans="2:15">
      <c r="B107" s="609">
        <v>291</v>
      </c>
      <c r="C107" s="610" t="s">
        <v>178</v>
      </c>
      <c r="D107" s="591">
        <v>530758461</v>
      </c>
      <c r="E107" s="591"/>
      <c r="F107" s="592"/>
      <c r="G107" s="592">
        <v>7.3102900000000001E-4</v>
      </c>
      <c r="H107" s="592"/>
      <c r="I107" s="592">
        <v>4.4564999999999998E-5</v>
      </c>
      <c r="J107" s="592"/>
      <c r="K107" s="593"/>
      <c r="L107" s="611">
        <v>7.75594E-4</v>
      </c>
      <c r="M107" s="592"/>
      <c r="N107" s="592"/>
      <c r="O107" s="612">
        <v>7.75594E-4</v>
      </c>
    </row>
    <row r="108" spans="2:15">
      <c r="B108" s="609">
        <v>291</v>
      </c>
      <c r="C108" s="603" t="s">
        <v>1270</v>
      </c>
      <c r="D108" s="591"/>
      <c r="E108" s="591"/>
      <c r="F108" s="592"/>
      <c r="G108" s="592"/>
      <c r="H108" s="592"/>
      <c r="I108" s="592"/>
      <c r="J108" s="592"/>
      <c r="K108" s="593"/>
      <c r="L108" s="611"/>
      <c r="M108" s="592"/>
      <c r="N108" s="592">
        <v>1.6029099999999999E-3</v>
      </c>
      <c r="O108" s="612"/>
    </row>
    <row r="109" spans="2:15">
      <c r="B109" s="594">
        <v>292</v>
      </c>
      <c r="C109" s="600" t="s">
        <v>179</v>
      </c>
      <c r="D109" s="591">
        <v>82277219</v>
      </c>
      <c r="E109" s="591"/>
      <c r="F109" s="592"/>
      <c r="G109" s="592"/>
      <c r="H109" s="592"/>
      <c r="I109" s="592">
        <v>1.2814E-4</v>
      </c>
      <c r="J109" s="592"/>
      <c r="K109" s="593"/>
      <c r="L109" s="592">
        <v>1.2814E-4</v>
      </c>
      <c r="M109" s="592"/>
      <c r="N109" s="592">
        <v>2.43081E-4</v>
      </c>
      <c r="O109" s="596">
        <v>3.7122100000000003E-4</v>
      </c>
    </row>
    <row r="110" spans="2:15">
      <c r="B110" s="594">
        <v>302</v>
      </c>
      <c r="C110" s="595" t="s">
        <v>180</v>
      </c>
      <c r="D110" s="591">
        <v>113699298</v>
      </c>
      <c r="E110" s="591"/>
      <c r="F110" s="592"/>
      <c r="G110" s="592">
        <v>4.1589169999999998E-3</v>
      </c>
      <c r="H110" s="592"/>
      <c r="I110" s="592"/>
      <c r="J110" s="592"/>
      <c r="K110" s="593"/>
      <c r="L110" s="592">
        <v>4.1589169999999998E-3</v>
      </c>
      <c r="M110" s="592">
        <v>4.2216600000000002E-4</v>
      </c>
      <c r="N110" s="592"/>
      <c r="O110" s="596">
        <v>4.5810829999999997E-3</v>
      </c>
    </row>
    <row r="111" spans="2:15">
      <c r="B111" s="594">
        <v>304</v>
      </c>
      <c r="C111" s="595" t="s">
        <v>181</v>
      </c>
      <c r="D111" s="591">
        <v>200191892</v>
      </c>
      <c r="E111" s="591"/>
      <c r="F111" s="592"/>
      <c r="G111" s="592"/>
      <c r="H111" s="592"/>
      <c r="I111" s="592">
        <v>1.5214999999999999E-5</v>
      </c>
      <c r="J111" s="592"/>
      <c r="K111" s="593"/>
      <c r="L111" s="592">
        <v>1.5214999999999999E-5</v>
      </c>
      <c r="M111" s="592"/>
      <c r="N111" s="592"/>
      <c r="O111" s="596">
        <v>1.5214999999999999E-5</v>
      </c>
    </row>
    <row r="112" spans="2:15">
      <c r="B112" s="594">
        <v>305</v>
      </c>
      <c r="C112" s="600" t="s">
        <v>182</v>
      </c>
      <c r="D112" s="173">
        <v>142977876</v>
      </c>
      <c r="E112" s="173"/>
      <c r="F112" s="597"/>
      <c r="G112" s="597">
        <v>3.4900500000000002E-3</v>
      </c>
      <c r="H112" s="597"/>
      <c r="I112" s="597">
        <v>2.2192E-5</v>
      </c>
      <c r="J112" s="597"/>
      <c r="K112" s="598"/>
      <c r="L112" s="597">
        <v>3.5122420000000001E-3</v>
      </c>
      <c r="M112" s="597"/>
      <c r="N112" s="597">
        <v>2.79764E-4</v>
      </c>
      <c r="O112" s="599">
        <v>3.7920060000000001E-3</v>
      </c>
    </row>
    <row r="113" spans="2:15">
      <c r="B113" s="594">
        <v>312</v>
      </c>
      <c r="C113" s="600" t="s">
        <v>183</v>
      </c>
      <c r="D113" s="591">
        <v>172083598</v>
      </c>
      <c r="E113" s="591"/>
      <c r="F113" s="592"/>
      <c r="G113" s="592">
        <v>1.743339E-3</v>
      </c>
      <c r="H113" s="592"/>
      <c r="I113" s="592"/>
      <c r="J113" s="592"/>
      <c r="K113" s="593"/>
      <c r="L113" s="592">
        <v>1.743339E-3</v>
      </c>
      <c r="M113" s="592">
        <v>1.6000649999999999E-3</v>
      </c>
      <c r="N113" s="592"/>
      <c r="O113" s="596">
        <v>3.3434039999999999E-3</v>
      </c>
    </row>
    <row r="114" spans="2:15">
      <c r="B114" s="594">
        <v>314</v>
      </c>
      <c r="C114" s="600" t="s">
        <v>184</v>
      </c>
      <c r="D114" s="591">
        <v>45475608</v>
      </c>
      <c r="E114" s="591"/>
      <c r="F114" s="592"/>
      <c r="G114" s="592"/>
      <c r="H114" s="592"/>
      <c r="I114" s="592"/>
      <c r="J114" s="592"/>
      <c r="K114" s="593"/>
      <c r="L114" s="592">
        <v>0</v>
      </c>
      <c r="M114" s="592">
        <v>1.94557E-3</v>
      </c>
      <c r="N114" s="592"/>
      <c r="O114" s="596">
        <v>1.94557E-3</v>
      </c>
    </row>
    <row r="115" spans="2:15">
      <c r="B115" s="594">
        <v>316</v>
      </c>
      <c r="C115" s="600" t="s">
        <v>185</v>
      </c>
      <c r="D115" s="591">
        <v>67072315</v>
      </c>
      <c r="E115" s="591"/>
      <c r="F115" s="592"/>
      <c r="G115" s="592">
        <v>3.3545879999999999E-3</v>
      </c>
      <c r="H115" s="592"/>
      <c r="I115" s="592">
        <v>1.73783E-4</v>
      </c>
      <c r="J115" s="592"/>
      <c r="K115" s="593"/>
      <c r="L115" s="592">
        <v>3.5283709999999998E-3</v>
      </c>
      <c r="M115" s="592"/>
      <c r="N115" s="592">
        <v>2.0723899999999999E-3</v>
      </c>
      <c r="O115" s="596">
        <v>5.6007609999999992E-3</v>
      </c>
    </row>
    <row r="116" spans="2:15">
      <c r="B116" s="1024">
        <v>321</v>
      </c>
      <c r="C116" s="1048" t="s">
        <v>186</v>
      </c>
      <c r="D116" s="591">
        <v>1357561996</v>
      </c>
      <c r="E116" s="591"/>
      <c r="F116" s="592"/>
      <c r="G116" s="592"/>
      <c r="H116" s="592"/>
      <c r="I116" s="592">
        <v>5.2692000000000003E-5</v>
      </c>
      <c r="J116" s="592"/>
      <c r="K116" s="593"/>
      <c r="L116" s="1028">
        <v>1.6701940000000001E-3</v>
      </c>
      <c r="M116" s="592">
        <v>2.2032140000000002E-3</v>
      </c>
      <c r="N116" s="592"/>
      <c r="O116" s="1030">
        <v>4.6121570000000004E-3</v>
      </c>
    </row>
    <row r="117" spans="2:15">
      <c r="B117" s="1025"/>
      <c r="C117" s="1049"/>
      <c r="D117" s="591"/>
      <c r="E117" s="591">
        <v>1483589285</v>
      </c>
      <c r="F117" s="592"/>
      <c r="G117" s="592">
        <v>1.3447120000000001E-3</v>
      </c>
      <c r="H117" s="80">
        <v>2.7279000000000002E-4</v>
      </c>
      <c r="I117" s="80"/>
      <c r="J117" s="592"/>
      <c r="K117" s="593"/>
      <c r="L117" s="1029"/>
      <c r="M117" s="592">
        <v>7.3874900000000002E-4</v>
      </c>
      <c r="N117" s="592"/>
      <c r="O117" s="1031"/>
    </row>
    <row r="118" spans="2:15">
      <c r="B118" s="594">
        <v>322</v>
      </c>
      <c r="C118" s="600" t="s">
        <v>187</v>
      </c>
      <c r="D118" s="173">
        <v>257439953</v>
      </c>
      <c r="E118" s="173"/>
      <c r="F118" s="597"/>
      <c r="G118" s="597">
        <v>1.7479800000000001E-3</v>
      </c>
      <c r="H118" s="597"/>
      <c r="I118" s="597">
        <v>2.4083E-5</v>
      </c>
      <c r="J118" s="597">
        <v>4.0122E-5</v>
      </c>
      <c r="K118" s="598" t="s">
        <v>1508</v>
      </c>
      <c r="L118" s="597">
        <v>1.8121850000000002E-3</v>
      </c>
      <c r="M118" s="597">
        <v>3.301741E-3</v>
      </c>
      <c r="N118" s="597"/>
      <c r="O118" s="599">
        <v>5.1139260000000004E-3</v>
      </c>
    </row>
    <row r="119" spans="2:15">
      <c r="B119" s="1024">
        <v>331</v>
      </c>
      <c r="C119" s="1048" t="s">
        <v>1511</v>
      </c>
      <c r="D119" s="591">
        <v>1260616018</v>
      </c>
      <c r="E119" s="591"/>
      <c r="F119" s="592"/>
      <c r="G119" s="592"/>
      <c r="H119" s="592"/>
      <c r="I119" s="592"/>
      <c r="J119" s="592"/>
      <c r="K119" s="593"/>
      <c r="L119" s="1028">
        <v>1.5189769999999999E-3</v>
      </c>
      <c r="M119" s="592"/>
      <c r="N119" s="592"/>
      <c r="O119" s="1030">
        <v>2.8893210000000003E-3</v>
      </c>
    </row>
    <row r="120" spans="2:15">
      <c r="B120" s="1037"/>
      <c r="C120" s="1054"/>
      <c r="D120" s="591"/>
      <c r="E120" s="591">
        <v>1273149273</v>
      </c>
      <c r="F120" s="592"/>
      <c r="G120" s="592">
        <v>1.5189769999999999E-3</v>
      </c>
      <c r="H120" s="592"/>
      <c r="I120" s="80"/>
      <c r="J120" s="592"/>
      <c r="K120" s="593"/>
      <c r="L120" s="1052"/>
      <c r="M120" s="592">
        <v>2.43491E-4</v>
      </c>
      <c r="N120" s="592"/>
      <c r="O120" s="1053"/>
    </row>
    <row r="121" spans="2:15">
      <c r="B121" s="1038"/>
      <c r="C121" s="1041"/>
      <c r="D121" s="591"/>
      <c r="E121" s="591">
        <v>1269020031</v>
      </c>
      <c r="F121" s="592"/>
      <c r="G121" s="608"/>
      <c r="H121" s="592"/>
      <c r="I121" s="80"/>
      <c r="J121" s="592"/>
      <c r="K121" s="593"/>
      <c r="L121" s="1029"/>
      <c r="M121" s="592">
        <v>1.1268530000000001E-3</v>
      </c>
      <c r="N121" s="592"/>
      <c r="O121" s="1031"/>
    </row>
    <row r="122" spans="2:15">
      <c r="B122" s="1024">
        <v>340</v>
      </c>
      <c r="C122" s="1048" t="s">
        <v>190</v>
      </c>
      <c r="D122" s="591">
        <v>2500914212</v>
      </c>
      <c r="E122" s="80"/>
      <c r="F122" s="592"/>
      <c r="G122" s="613">
        <v>8.1012599999999999E-4</v>
      </c>
      <c r="H122" s="592"/>
      <c r="I122" s="592"/>
      <c r="J122" s="592"/>
      <c r="K122" s="593"/>
      <c r="L122" s="1028">
        <v>5.2001259999999994E-3</v>
      </c>
      <c r="M122" s="592"/>
      <c r="N122" s="592"/>
      <c r="O122" s="1030">
        <v>5.2001259999999994E-3</v>
      </c>
    </row>
    <row r="123" spans="2:15">
      <c r="B123" s="1025"/>
      <c r="C123" s="1049"/>
      <c r="D123" s="591"/>
      <c r="E123" s="591">
        <v>2603706421</v>
      </c>
      <c r="F123" s="592"/>
      <c r="G123" s="592">
        <v>4.3899999999999998E-3</v>
      </c>
      <c r="H123" s="592"/>
      <c r="I123" s="592"/>
      <c r="J123" s="592"/>
      <c r="K123" s="593"/>
      <c r="L123" s="1029"/>
      <c r="M123" s="592"/>
      <c r="N123" s="592"/>
      <c r="O123" s="1031"/>
    </row>
    <row r="124" spans="2:15">
      <c r="B124" s="594">
        <v>341</v>
      </c>
      <c r="C124" s="600" t="s">
        <v>191</v>
      </c>
      <c r="D124" s="591">
        <v>143272438</v>
      </c>
      <c r="E124" s="591"/>
      <c r="F124" s="592"/>
      <c r="G124" s="592"/>
      <c r="H124" s="592"/>
      <c r="I124" s="592">
        <v>2.2760099999999999E-4</v>
      </c>
      <c r="J124" s="592"/>
      <c r="K124" s="593"/>
      <c r="L124" s="592">
        <v>2.2760099999999999E-4</v>
      </c>
      <c r="M124" s="592">
        <v>1.7080260000000001E-3</v>
      </c>
      <c r="N124" s="592"/>
      <c r="O124" s="596">
        <v>1.9356270000000001E-3</v>
      </c>
    </row>
    <row r="125" spans="2:15">
      <c r="B125" s="594">
        <v>342</v>
      </c>
      <c r="C125" s="595" t="s">
        <v>192</v>
      </c>
      <c r="D125" s="173">
        <v>54044145</v>
      </c>
      <c r="E125" s="173"/>
      <c r="F125" s="597"/>
      <c r="G125" s="597">
        <v>4.6258480000000001E-3</v>
      </c>
      <c r="H125" s="597"/>
      <c r="I125" s="597">
        <v>1.5486999999999999E-5</v>
      </c>
      <c r="J125" s="597"/>
      <c r="K125" s="598"/>
      <c r="L125" s="597">
        <v>4.6413349999999999E-3</v>
      </c>
      <c r="M125" s="597"/>
      <c r="N125" s="597"/>
      <c r="O125" s="599">
        <v>4.6413349999999999E-3</v>
      </c>
    </row>
    <row r="126" spans="2:15">
      <c r="B126" s="594">
        <v>351</v>
      </c>
      <c r="C126" s="600" t="s">
        <v>193</v>
      </c>
      <c r="D126" s="591">
        <v>300829804</v>
      </c>
      <c r="E126" s="591"/>
      <c r="F126" s="592"/>
      <c r="G126" s="592">
        <v>1.134492E-3</v>
      </c>
      <c r="H126" s="592"/>
      <c r="I126" s="592"/>
      <c r="J126" s="592"/>
      <c r="K126" s="593"/>
      <c r="L126" s="592">
        <v>1.134492E-3</v>
      </c>
      <c r="M126" s="592">
        <v>5.6510399999999998E-4</v>
      </c>
      <c r="N126" s="592">
        <v>3.98897E-4</v>
      </c>
      <c r="O126" s="596">
        <v>2.0984929999999999E-3</v>
      </c>
    </row>
    <row r="127" spans="2:15">
      <c r="B127" s="594">
        <v>363</v>
      </c>
      <c r="C127" s="595" t="s">
        <v>194</v>
      </c>
      <c r="D127" s="591">
        <v>227571248</v>
      </c>
      <c r="E127" s="591"/>
      <c r="F127" s="592"/>
      <c r="G127" s="592">
        <v>1.757691E-3</v>
      </c>
      <c r="H127" s="592"/>
      <c r="I127" s="592">
        <v>6.2287999999999997E-5</v>
      </c>
      <c r="J127" s="592">
        <v>8.6027100000000002E-4</v>
      </c>
      <c r="K127" s="593" t="s">
        <v>1507</v>
      </c>
      <c r="L127" s="592">
        <v>2.6802499999999999E-3</v>
      </c>
      <c r="M127" s="592">
        <v>1.398463E-3</v>
      </c>
      <c r="N127" s="592"/>
      <c r="O127" s="596">
        <v>4.0787129999999994E-3</v>
      </c>
    </row>
    <row r="128" spans="2:15">
      <c r="B128" s="594">
        <v>364</v>
      </c>
      <c r="C128" s="600" t="s">
        <v>1512</v>
      </c>
      <c r="D128" s="591">
        <v>18488940</v>
      </c>
      <c r="E128" s="591"/>
      <c r="F128" s="592"/>
      <c r="G128" s="592"/>
      <c r="H128" s="592"/>
      <c r="I128" s="592">
        <v>5.4870600000000004E-4</v>
      </c>
      <c r="J128" s="592"/>
      <c r="K128" s="593"/>
      <c r="L128" s="592">
        <v>5.4870600000000004E-4</v>
      </c>
      <c r="M128" s="592"/>
      <c r="N128" s="592"/>
      <c r="O128" s="596">
        <v>5.4870600000000004E-4</v>
      </c>
    </row>
    <row r="129" spans="2:15">
      <c r="B129" s="594">
        <v>365</v>
      </c>
      <c r="C129" s="600" t="s">
        <v>1513</v>
      </c>
      <c r="D129" s="591">
        <v>194030203</v>
      </c>
      <c r="E129" s="591"/>
      <c r="F129" s="592"/>
      <c r="G129" s="592">
        <v>3.433888E-3</v>
      </c>
      <c r="H129" s="592"/>
      <c r="I129" s="592"/>
      <c r="J129" s="592"/>
      <c r="K129" s="593"/>
      <c r="L129" s="592">
        <v>3.433888E-3</v>
      </c>
      <c r="M129" s="592">
        <v>1.831158E-3</v>
      </c>
      <c r="N129" s="592"/>
      <c r="O129" s="596">
        <v>5.2650459999999998E-3</v>
      </c>
    </row>
    <row r="130" spans="2:15">
      <c r="B130" s="594">
        <v>370</v>
      </c>
      <c r="C130" s="600" t="s">
        <v>197</v>
      </c>
      <c r="D130" s="591">
        <v>245561925</v>
      </c>
      <c r="E130" s="591"/>
      <c r="F130" s="592"/>
      <c r="G130" s="592"/>
      <c r="H130" s="592"/>
      <c r="I130" s="592"/>
      <c r="J130" s="592">
        <v>1E-3</v>
      </c>
      <c r="K130" s="593" t="s">
        <v>1507</v>
      </c>
      <c r="L130" s="592">
        <v>1E-3</v>
      </c>
      <c r="M130" s="592">
        <v>2.1563559999999999E-3</v>
      </c>
      <c r="N130" s="592">
        <v>6.1084400000000004E-4</v>
      </c>
      <c r="O130" s="596">
        <v>3.7672000000000001E-3</v>
      </c>
    </row>
    <row r="131" spans="2:15">
      <c r="B131" s="1024">
        <v>371</v>
      </c>
      <c r="C131" s="1026" t="s">
        <v>198</v>
      </c>
      <c r="D131" s="173">
        <v>368695235</v>
      </c>
      <c r="F131" s="597"/>
      <c r="G131" s="592"/>
      <c r="H131" s="597"/>
      <c r="I131" s="597"/>
      <c r="J131" s="597"/>
      <c r="K131" s="598"/>
      <c r="L131" s="1028">
        <v>2.374087E-3</v>
      </c>
      <c r="M131" s="597"/>
      <c r="N131" s="597"/>
      <c r="O131" s="1030">
        <v>2.374087E-3</v>
      </c>
    </row>
    <row r="132" spans="2:15">
      <c r="B132" s="1038"/>
      <c r="C132" s="1041"/>
      <c r="D132" s="173"/>
      <c r="E132" s="174">
        <v>373528904</v>
      </c>
      <c r="F132" s="597"/>
      <c r="G132" s="592">
        <v>2.374087E-3</v>
      </c>
      <c r="H132" s="597"/>
      <c r="I132" s="597"/>
      <c r="J132" s="597"/>
      <c r="K132" s="598"/>
      <c r="L132" s="1029"/>
      <c r="M132" s="597"/>
      <c r="N132" s="597"/>
      <c r="O132" s="1031"/>
    </row>
    <row r="133" spans="2:15">
      <c r="B133" s="594">
        <v>372</v>
      </c>
      <c r="C133" s="600" t="s">
        <v>199</v>
      </c>
      <c r="D133" s="591">
        <v>387087162</v>
      </c>
      <c r="E133" s="591"/>
      <c r="F133" s="592"/>
      <c r="G133" s="592">
        <v>9.0418900000000001E-4</v>
      </c>
      <c r="H133" s="597"/>
      <c r="I133" s="592">
        <v>5.2828000000000003E-5</v>
      </c>
      <c r="J133" s="592"/>
      <c r="K133" s="593"/>
      <c r="L133" s="592">
        <v>9.57017E-4</v>
      </c>
      <c r="M133" s="592">
        <v>1.3020320000000001E-3</v>
      </c>
      <c r="N133" s="592"/>
      <c r="O133" s="596">
        <v>2.259049E-3</v>
      </c>
    </row>
    <row r="134" spans="2:15">
      <c r="B134" s="594">
        <v>373</v>
      </c>
      <c r="C134" s="600" t="s">
        <v>200</v>
      </c>
      <c r="D134" s="591">
        <v>513842423</v>
      </c>
      <c r="E134" s="591"/>
      <c r="F134" s="592"/>
      <c r="G134" s="592">
        <v>6.8114300000000005E-4</v>
      </c>
      <c r="H134" s="592"/>
      <c r="I134" s="592">
        <v>2.3135000000000001E-5</v>
      </c>
      <c r="J134" s="592"/>
      <c r="K134" s="593"/>
      <c r="L134" s="592">
        <v>7.0427800000000002E-4</v>
      </c>
      <c r="M134" s="592">
        <v>1.5374360000000001E-3</v>
      </c>
      <c r="N134" s="592">
        <v>4.8652999999999999E-4</v>
      </c>
      <c r="O134" s="596">
        <v>2.7282440000000003E-3</v>
      </c>
    </row>
    <row r="135" spans="2:15">
      <c r="B135" s="1024">
        <v>381</v>
      </c>
      <c r="C135" s="1048" t="s">
        <v>201</v>
      </c>
      <c r="D135" s="173">
        <v>798237436</v>
      </c>
      <c r="E135" s="173"/>
      <c r="F135" s="597"/>
      <c r="G135" s="597"/>
      <c r="H135" s="597"/>
      <c r="I135" s="597"/>
      <c r="J135" s="597"/>
      <c r="K135" s="598"/>
      <c r="L135" s="1061">
        <v>2.9810010000000001E-3</v>
      </c>
      <c r="M135" s="597"/>
      <c r="N135" s="597"/>
      <c r="O135" s="1070">
        <v>5.2459660000000003E-3</v>
      </c>
    </row>
    <row r="136" spans="2:15">
      <c r="B136" s="1038"/>
      <c r="C136" s="1041"/>
      <c r="D136" s="173"/>
      <c r="E136" s="173">
        <v>803706210</v>
      </c>
      <c r="F136" s="597"/>
      <c r="G136" s="597">
        <v>2.9810010000000001E-3</v>
      </c>
      <c r="H136" s="597"/>
      <c r="I136" s="597"/>
      <c r="J136" s="597"/>
      <c r="K136" s="598"/>
      <c r="L136" s="1020"/>
      <c r="M136" s="597">
        <v>1.644946E-3</v>
      </c>
      <c r="N136" s="597">
        <v>6.2001899999999997E-4</v>
      </c>
      <c r="O136" s="1023"/>
    </row>
    <row r="137" spans="2:15">
      <c r="B137" s="594">
        <v>382</v>
      </c>
      <c r="C137" s="600" t="s">
        <v>202</v>
      </c>
      <c r="D137" s="173">
        <v>40003584</v>
      </c>
      <c r="E137" s="173"/>
      <c r="F137" s="597"/>
      <c r="G137" s="597">
        <v>4.8517650000000001E-3</v>
      </c>
      <c r="H137" s="597"/>
      <c r="I137" s="597"/>
      <c r="J137" s="597"/>
      <c r="K137" s="598"/>
      <c r="L137" s="597">
        <v>4.8517650000000001E-3</v>
      </c>
      <c r="M137" s="597">
        <v>2.7460789999999998E-3</v>
      </c>
      <c r="N137" s="597"/>
      <c r="O137" s="599">
        <v>7.5978439999999994E-3</v>
      </c>
    </row>
    <row r="138" spans="2:15">
      <c r="B138" s="594">
        <v>383</v>
      </c>
      <c r="C138" s="600" t="s">
        <v>203</v>
      </c>
      <c r="D138" s="173">
        <v>25118044</v>
      </c>
      <c r="E138" s="173"/>
      <c r="F138" s="597"/>
      <c r="G138" s="597">
        <v>1.9906009999999998E-3</v>
      </c>
      <c r="H138" s="597"/>
      <c r="I138" s="597"/>
      <c r="J138" s="597">
        <v>1.44239E-4</v>
      </c>
      <c r="K138" s="598" t="s">
        <v>1505</v>
      </c>
      <c r="L138" s="597">
        <v>2.1348399999999998E-3</v>
      </c>
      <c r="M138" s="597"/>
      <c r="N138" s="597"/>
      <c r="O138" s="599">
        <v>2.1348399999999998E-3</v>
      </c>
    </row>
    <row r="139" spans="2:15">
      <c r="B139" s="594">
        <v>391</v>
      </c>
      <c r="C139" s="600" t="s">
        <v>1514</v>
      </c>
      <c r="D139" s="591">
        <v>529156869</v>
      </c>
      <c r="E139" s="173"/>
      <c r="F139" s="597"/>
      <c r="G139" s="597">
        <v>5.182323E-3</v>
      </c>
      <c r="H139" s="597"/>
      <c r="I139" s="597"/>
      <c r="J139" s="597"/>
      <c r="K139" s="598"/>
      <c r="L139" s="597">
        <v>5.182323E-3</v>
      </c>
      <c r="M139" s="597">
        <v>1.7386490000000001E-3</v>
      </c>
      <c r="N139" s="597"/>
      <c r="O139" s="599">
        <v>6.9209720000000001E-3</v>
      </c>
    </row>
    <row r="140" spans="2:15">
      <c r="B140" s="594">
        <v>392</v>
      </c>
      <c r="C140" s="600" t="s">
        <v>205</v>
      </c>
      <c r="D140" s="591">
        <v>72855726</v>
      </c>
      <c r="E140" s="173"/>
      <c r="F140" s="597"/>
      <c r="G140" s="597">
        <v>6.8628789999999997E-3</v>
      </c>
      <c r="H140" s="597"/>
      <c r="I140" s="597">
        <v>1.07816E-4</v>
      </c>
      <c r="J140" s="597"/>
      <c r="K140" s="598"/>
      <c r="L140" s="597">
        <v>6.9706949999999998E-3</v>
      </c>
      <c r="M140" s="597"/>
      <c r="N140" s="597"/>
      <c r="O140" s="599">
        <v>6.9706949999999998E-3</v>
      </c>
    </row>
    <row r="141" spans="2:15">
      <c r="B141" s="594">
        <v>393</v>
      </c>
      <c r="C141" s="600" t="s">
        <v>206</v>
      </c>
      <c r="D141" s="591">
        <v>239520299</v>
      </c>
      <c r="E141" s="173"/>
      <c r="F141" s="597"/>
      <c r="G141" s="597">
        <v>8.2222549999999995E-3</v>
      </c>
      <c r="H141" s="597"/>
      <c r="I141" s="597"/>
      <c r="J141" s="597"/>
      <c r="K141" s="598"/>
      <c r="L141" s="597">
        <v>8.2222549999999995E-3</v>
      </c>
      <c r="M141" s="597">
        <v>9.0335100000000005E-4</v>
      </c>
      <c r="N141" s="597"/>
      <c r="O141" s="599">
        <v>9.1256059999999996E-3</v>
      </c>
    </row>
    <row r="142" spans="2:15">
      <c r="B142" s="594">
        <v>394</v>
      </c>
      <c r="C142" s="600" t="s">
        <v>207</v>
      </c>
      <c r="D142" s="591">
        <v>117739073</v>
      </c>
      <c r="E142" s="591"/>
      <c r="F142" s="592">
        <v>9.981390000000001E-4</v>
      </c>
      <c r="G142" s="592"/>
      <c r="H142" s="592"/>
      <c r="I142" s="592">
        <v>1.0132999999999999E-5</v>
      </c>
      <c r="J142" s="592">
        <v>3.56721E-4</v>
      </c>
      <c r="K142" s="593" t="s">
        <v>1505</v>
      </c>
      <c r="L142" s="592">
        <v>1.3649930000000001E-3</v>
      </c>
      <c r="M142" s="592"/>
      <c r="N142" s="592"/>
      <c r="O142" s="596">
        <v>1.3649930000000001E-3</v>
      </c>
    </row>
    <row r="143" spans="2:15">
      <c r="B143" s="1024">
        <v>401</v>
      </c>
      <c r="C143" s="1048" t="s">
        <v>208</v>
      </c>
      <c r="D143" s="591">
        <v>1405396201</v>
      </c>
      <c r="E143" s="591"/>
      <c r="F143" s="592"/>
      <c r="G143" s="592"/>
      <c r="H143" s="592"/>
      <c r="I143" s="592"/>
      <c r="J143" s="592"/>
      <c r="K143" s="593"/>
      <c r="L143" s="1028">
        <v>2.3173830000000001E-3</v>
      </c>
      <c r="M143" s="592">
        <v>9.8179499999999993E-4</v>
      </c>
      <c r="N143" s="592"/>
      <c r="O143" s="1030">
        <v>3.5788399999999998E-3</v>
      </c>
    </row>
    <row r="144" spans="2:15">
      <c r="B144" s="1025"/>
      <c r="C144" s="1049"/>
      <c r="D144" s="591"/>
      <c r="E144" s="591">
        <v>1430296570</v>
      </c>
      <c r="F144" s="592"/>
      <c r="G144" s="592">
        <v>2.1673830000000002E-3</v>
      </c>
      <c r="H144" s="592">
        <v>1.4999999999999999E-4</v>
      </c>
      <c r="I144" s="592"/>
      <c r="J144" s="592"/>
      <c r="K144" s="593"/>
      <c r="L144" s="1029"/>
      <c r="M144" s="592"/>
      <c r="N144" s="592">
        <v>2.7966200000000002E-4</v>
      </c>
      <c r="O144" s="1031"/>
    </row>
    <row r="145" spans="2:15">
      <c r="B145" s="1024">
        <v>411</v>
      </c>
      <c r="C145" s="1066" t="s">
        <v>209</v>
      </c>
      <c r="D145" s="614">
        <v>2826808652</v>
      </c>
      <c r="E145" s="614"/>
      <c r="F145" s="615"/>
      <c r="G145" s="615"/>
      <c r="H145" s="616"/>
      <c r="I145" s="615">
        <v>6.7569999999999998E-6</v>
      </c>
      <c r="J145" s="615"/>
      <c r="K145" s="617"/>
      <c r="L145" s="1076">
        <v>1.712107E-3</v>
      </c>
      <c r="M145" s="616"/>
      <c r="N145" s="615"/>
      <c r="O145" s="1073">
        <v>4.7654489999999997E-3</v>
      </c>
    </row>
    <row r="146" spans="2:15">
      <c r="B146" s="1037"/>
      <c r="C146" s="1067"/>
      <c r="D146" s="614"/>
      <c r="E146" s="614">
        <v>3403727156</v>
      </c>
      <c r="F146" s="615"/>
      <c r="G146" s="615">
        <v>1.32208E-3</v>
      </c>
      <c r="H146" s="615">
        <v>3.8327000000000001E-4</v>
      </c>
      <c r="I146" s="615"/>
      <c r="J146" s="615"/>
      <c r="K146" s="617"/>
      <c r="L146" s="1077"/>
      <c r="M146" s="615">
        <v>9.5890000000000005E-4</v>
      </c>
      <c r="N146" s="615">
        <v>9.6952500000000005E-4</v>
      </c>
      <c r="O146" s="1074"/>
    </row>
    <row r="147" spans="2:15">
      <c r="B147" s="1038"/>
      <c r="C147" s="1060"/>
      <c r="D147" s="614"/>
      <c r="E147" s="614">
        <v>3268050489</v>
      </c>
      <c r="F147" s="615"/>
      <c r="G147" s="616"/>
      <c r="H147" s="616"/>
      <c r="I147" s="615"/>
      <c r="J147" s="615"/>
      <c r="K147" s="617"/>
      <c r="L147" s="1078"/>
      <c r="M147" s="615">
        <v>1.124917E-3</v>
      </c>
      <c r="N147" s="616"/>
      <c r="O147" s="1075"/>
    </row>
    <row r="148" spans="2:15">
      <c r="B148" s="1024">
        <v>412</v>
      </c>
      <c r="C148" s="1058" t="s">
        <v>210</v>
      </c>
      <c r="D148" s="591">
        <v>581719824</v>
      </c>
      <c r="E148" s="591"/>
      <c r="F148" s="592"/>
      <c r="G148" s="592"/>
      <c r="H148" s="592"/>
      <c r="I148" s="592"/>
      <c r="J148" s="592"/>
      <c r="K148" s="593"/>
      <c r="L148" s="1050">
        <v>9.2722700000000009E-4</v>
      </c>
      <c r="M148" s="592"/>
      <c r="N148" s="592"/>
      <c r="O148" s="1073">
        <v>2.663328E-3</v>
      </c>
    </row>
    <row r="149" spans="2:15">
      <c r="B149" s="1071"/>
      <c r="C149" s="1072"/>
      <c r="D149" s="591"/>
      <c r="E149" s="591">
        <v>593166529</v>
      </c>
      <c r="F149" s="592"/>
      <c r="G149" s="592">
        <v>6.7434700000000005E-4</v>
      </c>
      <c r="H149" s="592">
        <v>2.5287999999999998E-4</v>
      </c>
      <c r="I149" s="592"/>
      <c r="J149" s="592"/>
      <c r="K149" s="593"/>
      <c r="L149" s="1062"/>
      <c r="M149" s="592"/>
      <c r="N149" s="592">
        <v>6.2377099999999996E-4</v>
      </c>
      <c r="O149" s="1074"/>
    </row>
    <row r="150" spans="2:15">
      <c r="B150" s="1038"/>
      <c r="C150" s="1060"/>
      <c r="D150" s="591"/>
      <c r="E150" s="591">
        <v>586478083</v>
      </c>
      <c r="F150" s="592"/>
      <c r="G150" s="592"/>
      <c r="H150" s="592"/>
      <c r="I150" s="592"/>
      <c r="J150" s="592"/>
      <c r="K150" s="593"/>
      <c r="L150" s="1051"/>
      <c r="M150" s="592">
        <v>1.1123299999999999E-3</v>
      </c>
      <c r="N150" s="592"/>
      <c r="O150" s="1075"/>
    </row>
    <row r="151" spans="2:15">
      <c r="B151" s="594">
        <v>413</v>
      </c>
      <c r="C151" s="600" t="s">
        <v>211</v>
      </c>
      <c r="D151" s="591">
        <v>462830416</v>
      </c>
      <c r="E151" s="591"/>
      <c r="F151" s="592"/>
      <c r="G151" s="592">
        <v>1.080309E-3</v>
      </c>
      <c r="H151" s="592"/>
      <c r="I151" s="592"/>
      <c r="J151" s="592"/>
      <c r="K151" s="593"/>
      <c r="L151" s="592">
        <v>1.080309E-3</v>
      </c>
      <c r="M151" s="592">
        <v>2.8100009999999999E-3</v>
      </c>
      <c r="N151" s="592"/>
      <c r="O151" s="596">
        <v>3.8903100000000001E-3</v>
      </c>
    </row>
    <row r="152" spans="2:15">
      <c r="B152" s="594">
        <v>414</v>
      </c>
      <c r="C152" s="600" t="s">
        <v>212</v>
      </c>
      <c r="D152" s="591">
        <v>388814776</v>
      </c>
      <c r="E152" s="591"/>
      <c r="F152" s="592"/>
      <c r="G152" s="592">
        <v>7.7157599999999995E-4</v>
      </c>
      <c r="H152" s="592">
        <v>1.93943E-4</v>
      </c>
      <c r="I152" s="592">
        <v>6.3201999999999996E-5</v>
      </c>
      <c r="J152" s="592"/>
      <c r="K152" s="593"/>
      <c r="L152" s="592">
        <v>1.028721E-3</v>
      </c>
      <c r="M152" s="592">
        <v>2.8841650000000002E-3</v>
      </c>
      <c r="N152" s="592"/>
      <c r="O152" s="596">
        <v>3.912886E-3</v>
      </c>
    </row>
    <row r="153" spans="2:15">
      <c r="B153" s="594">
        <v>415</v>
      </c>
      <c r="C153" s="600" t="s">
        <v>213</v>
      </c>
      <c r="D153" s="591">
        <v>138926318</v>
      </c>
      <c r="E153" s="591"/>
      <c r="F153" s="592"/>
      <c r="G153" s="592">
        <v>2.0874370000000001E-3</v>
      </c>
      <c r="H153" s="592"/>
      <c r="I153" s="592">
        <v>7.3039000000000003E-5</v>
      </c>
      <c r="J153" s="592">
        <v>4.9949999999999996E-6</v>
      </c>
      <c r="K153" s="593" t="s">
        <v>1508</v>
      </c>
      <c r="L153" s="592">
        <v>2.165471E-3</v>
      </c>
      <c r="M153" s="592">
        <v>1.282327E-3</v>
      </c>
      <c r="N153" s="592"/>
      <c r="O153" s="596">
        <v>3.4477980000000002E-3</v>
      </c>
    </row>
    <row r="154" spans="2:15">
      <c r="B154" s="594">
        <v>416</v>
      </c>
      <c r="C154" s="600" t="s">
        <v>1515</v>
      </c>
      <c r="D154" s="591">
        <v>19414941</v>
      </c>
      <c r="E154" s="591"/>
      <c r="F154" s="592"/>
      <c r="G154" s="592"/>
      <c r="H154" s="592"/>
      <c r="I154" s="592"/>
      <c r="J154" s="592"/>
      <c r="K154" s="593"/>
      <c r="L154" s="592">
        <v>0</v>
      </c>
      <c r="M154" s="592">
        <v>1.307601E-3</v>
      </c>
      <c r="N154" s="592"/>
      <c r="O154" s="596">
        <v>1.307601E-3</v>
      </c>
    </row>
    <row r="155" spans="2:15">
      <c r="B155" s="594">
        <v>417</v>
      </c>
      <c r="C155" s="595" t="s">
        <v>215</v>
      </c>
      <c r="D155" s="591">
        <v>155596302</v>
      </c>
      <c r="E155" s="591"/>
      <c r="F155" s="592"/>
      <c r="G155" s="592">
        <v>2.5707550000000001E-3</v>
      </c>
      <c r="H155" s="592"/>
      <c r="I155" s="592">
        <v>1.5624399999999999E-4</v>
      </c>
      <c r="J155" s="592"/>
      <c r="K155" s="593"/>
      <c r="L155" s="592">
        <v>2.7269989999999999E-3</v>
      </c>
      <c r="M155" s="592"/>
      <c r="N155" s="592"/>
      <c r="O155" s="596">
        <v>2.7269989999999999E-3</v>
      </c>
    </row>
    <row r="156" spans="2:15">
      <c r="B156" s="594">
        <v>418</v>
      </c>
      <c r="C156" s="600" t="s">
        <v>216</v>
      </c>
      <c r="D156" s="173">
        <v>149253404</v>
      </c>
      <c r="E156" s="173"/>
      <c r="F156" s="597"/>
      <c r="G156" s="597"/>
      <c r="H156" s="597"/>
      <c r="I156" s="597">
        <v>8.5490000000000006E-6</v>
      </c>
      <c r="J156" s="597"/>
      <c r="K156" s="598"/>
      <c r="L156" s="597">
        <v>8.5490000000000006E-6</v>
      </c>
      <c r="M156" s="597">
        <v>2.2511580000000001E-3</v>
      </c>
      <c r="N156" s="597">
        <v>4.6900099999999998E-4</v>
      </c>
      <c r="O156" s="599">
        <v>2.7287080000000003E-3</v>
      </c>
    </row>
    <row r="157" spans="2:15">
      <c r="B157" s="609">
        <v>421</v>
      </c>
      <c r="C157" s="610" t="s">
        <v>217</v>
      </c>
      <c r="D157" s="591">
        <v>2839424425</v>
      </c>
      <c r="E157" s="591"/>
      <c r="F157" s="592">
        <v>1.9929079999999998E-3</v>
      </c>
      <c r="G157" s="592"/>
      <c r="H157" s="592"/>
      <c r="I157" s="592">
        <v>7.8299999999999996E-6</v>
      </c>
      <c r="J157" s="592"/>
      <c r="K157" s="593"/>
      <c r="L157" s="611">
        <v>2.0007379999999997E-3</v>
      </c>
      <c r="M157" s="592">
        <v>8.3681100000000002E-4</v>
      </c>
      <c r="N157" s="592"/>
      <c r="O157" s="612">
        <v>2.837549E-3</v>
      </c>
    </row>
    <row r="158" spans="2:15">
      <c r="B158" s="594">
        <v>422</v>
      </c>
      <c r="C158" s="600" t="s">
        <v>218</v>
      </c>
      <c r="D158" s="173">
        <v>468755866</v>
      </c>
      <c r="E158" s="173"/>
      <c r="F158" s="597"/>
      <c r="G158" s="597">
        <v>1.0666530000000001E-3</v>
      </c>
      <c r="H158" s="597"/>
      <c r="I158" s="597">
        <v>1.3039E-5</v>
      </c>
      <c r="J158" s="597"/>
      <c r="K158" s="598"/>
      <c r="L158" s="597">
        <v>1.0796920000000002E-3</v>
      </c>
      <c r="M158" s="597">
        <v>2.1333100000000001E-4</v>
      </c>
      <c r="N158" s="597"/>
      <c r="O158" s="599">
        <v>1.2930230000000001E-3</v>
      </c>
    </row>
    <row r="159" spans="2:15">
      <c r="B159" s="594">
        <v>431</v>
      </c>
      <c r="C159" s="600" t="s">
        <v>219</v>
      </c>
      <c r="D159" s="173">
        <v>442606328</v>
      </c>
      <c r="E159" s="173"/>
      <c r="F159" s="597"/>
      <c r="G159" s="597">
        <v>7.9076999999999999E-4</v>
      </c>
      <c r="H159" s="597"/>
      <c r="I159" s="597">
        <v>8.1557999999999994E-5</v>
      </c>
      <c r="J159" s="597"/>
      <c r="K159" s="598"/>
      <c r="L159" s="597">
        <v>8.7232800000000001E-4</v>
      </c>
      <c r="M159" s="597"/>
      <c r="N159" s="597">
        <v>7.0039699999999996E-4</v>
      </c>
      <c r="O159" s="599">
        <v>1.5727250000000001E-3</v>
      </c>
    </row>
    <row r="160" spans="2:15">
      <c r="B160" s="594">
        <v>432</v>
      </c>
      <c r="C160" s="595" t="s">
        <v>220</v>
      </c>
      <c r="D160" s="173">
        <v>161852307</v>
      </c>
      <c r="E160" s="173"/>
      <c r="F160" s="597"/>
      <c r="G160" s="597"/>
      <c r="H160" s="597"/>
      <c r="I160" s="597"/>
      <c r="J160" s="597"/>
      <c r="K160" s="598"/>
      <c r="L160" s="597">
        <v>0</v>
      </c>
      <c r="M160" s="597">
        <v>1.321897E-3</v>
      </c>
      <c r="N160" s="597"/>
      <c r="O160" s="599">
        <v>1.321897E-3</v>
      </c>
    </row>
    <row r="161" spans="2:15">
      <c r="B161" s="618">
        <v>433</v>
      </c>
      <c r="C161" s="619" t="s">
        <v>221</v>
      </c>
      <c r="D161" s="173">
        <v>128237433</v>
      </c>
      <c r="E161" s="173"/>
      <c r="F161" s="620"/>
      <c r="G161" s="620"/>
      <c r="H161" s="620"/>
      <c r="I161" s="620">
        <v>1.1036599999999999E-4</v>
      </c>
      <c r="J161" s="620"/>
      <c r="K161" s="621"/>
      <c r="L161" s="620">
        <v>1.1036599999999999E-4</v>
      </c>
      <c r="M161" s="620"/>
      <c r="N161" s="620"/>
      <c r="O161" s="622">
        <v>1.1036599999999999E-4</v>
      </c>
    </row>
    <row r="162" spans="2:15">
      <c r="B162" s="623"/>
      <c r="C162" s="624" t="s">
        <v>1271</v>
      </c>
      <c r="D162" s="625">
        <v>121139086957</v>
      </c>
      <c r="E162" s="626"/>
      <c r="F162" s="627"/>
      <c r="G162" s="627"/>
      <c r="H162" s="627"/>
      <c r="I162" s="627"/>
      <c r="J162" s="627"/>
      <c r="K162" s="628"/>
      <c r="L162" s="627"/>
      <c r="M162" s="627"/>
      <c r="N162" s="627"/>
      <c r="O162" s="629"/>
    </row>
    <row r="163" spans="2:15">
      <c r="B163" s="80"/>
      <c r="H163" s="630"/>
    </row>
    <row r="170" spans="2:15" ht="12.75" hidden="1" customHeight="1"/>
    <row r="171" spans="2:15" ht="12.75" hidden="1" customHeight="1"/>
  </sheetData>
  <mergeCells count="134">
    <mergeCell ref="B148:B150"/>
    <mergeCell ref="C148:C150"/>
    <mergeCell ref="L148:L150"/>
    <mergeCell ref="O148:O150"/>
    <mergeCell ref="L143:L144"/>
    <mergeCell ref="O143:O144"/>
    <mergeCell ref="B145:B147"/>
    <mergeCell ref="C145:C147"/>
    <mergeCell ref="L145:L147"/>
    <mergeCell ref="O145:O147"/>
    <mergeCell ref="B143:B144"/>
    <mergeCell ref="C143:C144"/>
    <mergeCell ref="L131:L132"/>
    <mergeCell ref="O131:O132"/>
    <mergeCell ref="B135:B136"/>
    <mergeCell ref="C135:C136"/>
    <mergeCell ref="L135:L136"/>
    <mergeCell ref="O135:O136"/>
    <mergeCell ref="L119:L121"/>
    <mergeCell ref="O119:O121"/>
    <mergeCell ref="B122:B123"/>
    <mergeCell ref="C122:C123"/>
    <mergeCell ref="L122:L123"/>
    <mergeCell ref="O122:O123"/>
    <mergeCell ref="B119:B121"/>
    <mergeCell ref="C119:C121"/>
    <mergeCell ref="B131:B132"/>
    <mergeCell ref="C131:C132"/>
    <mergeCell ref="L100:L101"/>
    <mergeCell ref="O100:O101"/>
    <mergeCell ref="B116:B117"/>
    <mergeCell ref="C116:C117"/>
    <mergeCell ref="L116:L117"/>
    <mergeCell ref="O116:O117"/>
    <mergeCell ref="L96:L97"/>
    <mergeCell ref="O96:O97"/>
    <mergeCell ref="B98:B99"/>
    <mergeCell ref="C98:C99"/>
    <mergeCell ref="L98:L99"/>
    <mergeCell ref="O98:O99"/>
    <mergeCell ref="B100:B101"/>
    <mergeCell ref="C100:C101"/>
    <mergeCell ref="B96:B97"/>
    <mergeCell ref="C96:C97"/>
    <mergeCell ref="L92:L93"/>
    <mergeCell ref="O92:O93"/>
    <mergeCell ref="B94:B95"/>
    <mergeCell ref="C94:C95"/>
    <mergeCell ref="L94:L95"/>
    <mergeCell ref="O94:O95"/>
    <mergeCell ref="L84:L85"/>
    <mergeCell ref="O84:O85"/>
    <mergeCell ref="B88:B90"/>
    <mergeCell ref="C88:C90"/>
    <mergeCell ref="L88:L90"/>
    <mergeCell ref="O88:O90"/>
    <mergeCell ref="B84:B85"/>
    <mergeCell ref="C84:C85"/>
    <mergeCell ref="B92:B93"/>
    <mergeCell ref="C92:C93"/>
    <mergeCell ref="L72:L74"/>
    <mergeCell ref="O72:O74"/>
    <mergeCell ref="B81:B82"/>
    <mergeCell ref="C81:C82"/>
    <mergeCell ref="L81:L82"/>
    <mergeCell ref="O81:O82"/>
    <mergeCell ref="L59:L61"/>
    <mergeCell ref="O59:O61"/>
    <mergeCell ref="B68:B69"/>
    <mergeCell ref="C68:C69"/>
    <mergeCell ref="L68:L69"/>
    <mergeCell ref="O68:O69"/>
    <mergeCell ref="B72:B74"/>
    <mergeCell ref="C72:C74"/>
    <mergeCell ref="B59:B61"/>
    <mergeCell ref="C59:C61"/>
    <mergeCell ref="L49:L50"/>
    <mergeCell ref="O49:O50"/>
    <mergeCell ref="B54:B55"/>
    <mergeCell ref="C54:C55"/>
    <mergeCell ref="L54:L55"/>
    <mergeCell ref="O54:O55"/>
    <mergeCell ref="L44:L45"/>
    <mergeCell ref="O44:O45"/>
    <mergeCell ref="B46:B47"/>
    <mergeCell ref="C46:C47"/>
    <mergeCell ref="L46:L47"/>
    <mergeCell ref="O46:O47"/>
    <mergeCell ref="B44:B45"/>
    <mergeCell ref="C44:C45"/>
    <mergeCell ref="B49:B50"/>
    <mergeCell ref="C49:C50"/>
    <mergeCell ref="L38:L39"/>
    <mergeCell ref="O38:O39"/>
    <mergeCell ref="B40:B41"/>
    <mergeCell ref="C40:C41"/>
    <mergeCell ref="L40:L41"/>
    <mergeCell ref="O40:O41"/>
    <mergeCell ref="L33:L34"/>
    <mergeCell ref="O33:O34"/>
    <mergeCell ref="B35:B36"/>
    <mergeCell ref="C35:C36"/>
    <mergeCell ref="L35:L36"/>
    <mergeCell ref="O35:O36"/>
    <mergeCell ref="B33:B34"/>
    <mergeCell ref="C33:C34"/>
    <mergeCell ref="B38:B39"/>
    <mergeCell ref="C38:C39"/>
    <mergeCell ref="L25:L27"/>
    <mergeCell ref="O25:O27"/>
    <mergeCell ref="B31:B32"/>
    <mergeCell ref="C31:C32"/>
    <mergeCell ref="L31:L32"/>
    <mergeCell ref="O31:O32"/>
    <mergeCell ref="L12:L14"/>
    <mergeCell ref="O12:O14"/>
    <mergeCell ref="B20:B21"/>
    <mergeCell ref="C20:C21"/>
    <mergeCell ref="L20:L21"/>
    <mergeCell ref="O20:O21"/>
    <mergeCell ref="B12:B14"/>
    <mergeCell ref="C12:C14"/>
    <mergeCell ref="B25:B27"/>
    <mergeCell ref="C25:C27"/>
    <mergeCell ref="L3:L5"/>
    <mergeCell ref="O3:O5"/>
    <mergeCell ref="B6:B7"/>
    <mergeCell ref="C6:C7"/>
    <mergeCell ref="L6:L7"/>
    <mergeCell ref="O6:O7"/>
    <mergeCell ref="B2:C2"/>
    <mergeCell ref="J2:K2"/>
    <mergeCell ref="B3:B5"/>
    <mergeCell ref="C3:C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V4672"/>
  <sheetViews>
    <sheetView workbookViewId="0">
      <pane xSplit="3" ySplit="6" topLeftCell="D7" activePane="bottomRight" state="frozen"/>
      <selection activeCell="SS10" sqref="SS10"/>
      <selection pane="topRight" activeCell="SS10" sqref="SS10"/>
      <selection pane="bottomLeft" activeCell="SS10" sqref="SS10"/>
      <selection pane="bottomRight" activeCell="SS10" sqref="SS10"/>
    </sheetView>
  </sheetViews>
  <sheetFormatPr defaultColWidth="8.81640625" defaultRowHeight="12.5"/>
  <cols>
    <col min="1" max="1" width="6.7265625" style="107" customWidth="1"/>
    <col min="2" max="2" width="6.81640625" style="512" customWidth="1"/>
    <col min="3" max="3" width="29.453125" style="92" customWidth="1"/>
    <col min="4" max="4" width="11.1796875" style="63" customWidth="1"/>
    <col min="5" max="5" width="8.7265625" style="73" customWidth="1"/>
    <col min="6" max="6" width="6.7265625" style="73" customWidth="1"/>
    <col min="7" max="7" width="7.26953125" style="73" customWidth="1"/>
    <col min="8" max="8" width="7.453125" style="73" customWidth="1"/>
    <col min="9" max="9" width="7.81640625" style="73" customWidth="1"/>
    <col min="10" max="10" width="7.453125" style="73" customWidth="1"/>
    <col min="11" max="11" width="7.26953125" style="73" customWidth="1"/>
    <col min="12" max="12" width="7.453125" style="73" customWidth="1"/>
    <col min="13" max="14" width="7.7265625" style="73" customWidth="1"/>
    <col min="15" max="15" width="7.453125" style="73" customWidth="1"/>
    <col min="16" max="16" width="7.81640625" style="73" customWidth="1"/>
    <col min="17" max="17" width="7.453125" style="73" customWidth="1"/>
    <col min="18" max="18" width="7.26953125" style="73" customWidth="1"/>
    <col min="19" max="19" width="7.453125" style="108" customWidth="1"/>
    <col min="20" max="20" width="8.81640625" style="58"/>
    <col min="21" max="21" width="10.7265625" style="73" customWidth="1"/>
    <col min="22" max="22" width="11.1796875" style="73" customWidth="1"/>
    <col min="23" max="23" width="11" style="73" customWidth="1"/>
    <col min="24" max="24" width="10.54296875" style="73" customWidth="1"/>
    <col min="25" max="25" width="10.81640625" style="73" customWidth="1"/>
    <col min="26" max="26" width="11.7265625" style="73" customWidth="1"/>
    <col min="27" max="27" width="11.1796875" style="73" customWidth="1"/>
    <col min="28" max="28" width="16.453125" style="73" customWidth="1"/>
    <col min="29" max="29" width="18" style="73" customWidth="1"/>
    <col min="30" max="53" width="8.81640625" style="73"/>
    <col min="54" max="77" width="8.81640625" style="74"/>
    <col min="78" max="16384" width="8.81640625" style="75"/>
  </cols>
  <sheetData>
    <row r="1" spans="1:77" s="63" customFormat="1" ht="10.5">
      <c r="A1" s="633"/>
      <c r="B1" s="633"/>
      <c r="C1" s="634">
        <v>2</v>
      </c>
      <c r="D1" s="63">
        <v>3</v>
      </c>
      <c r="E1" s="635">
        <v>4</v>
      </c>
      <c r="F1" s="635">
        <v>5</v>
      </c>
      <c r="G1" s="635">
        <v>6</v>
      </c>
      <c r="H1" s="635">
        <v>7</v>
      </c>
      <c r="I1" s="633">
        <v>8</v>
      </c>
      <c r="J1" s="634">
        <v>9</v>
      </c>
      <c r="K1" s="63">
        <v>10</v>
      </c>
      <c r="L1" s="635">
        <v>11</v>
      </c>
      <c r="M1" s="635">
        <v>12</v>
      </c>
      <c r="N1" s="635">
        <v>13</v>
      </c>
      <c r="O1" s="635">
        <v>14</v>
      </c>
      <c r="P1" s="633">
        <v>15</v>
      </c>
      <c r="Q1" s="634">
        <v>16</v>
      </c>
      <c r="R1" s="63">
        <v>17</v>
      </c>
      <c r="S1" s="635">
        <v>18</v>
      </c>
      <c r="T1" s="635">
        <v>19</v>
      </c>
      <c r="U1" s="633">
        <v>20</v>
      </c>
      <c r="V1" s="634">
        <v>21</v>
      </c>
      <c r="W1" s="63">
        <v>22</v>
      </c>
      <c r="X1" s="635">
        <v>23</v>
      </c>
      <c r="Y1" s="635">
        <v>24</v>
      </c>
      <c r="Z1" s="633">
        <v>25</v>
      </c>
      <c r="AA1" s="634">
        <v>26</v>
      </c>
      <c r="AB1" s="63">
        <v>27</v>
      </c>
      <c r="AC1" s="635">
        <v>28</v>
      </c>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row>
    <row r="2" spans="1:77" s="61" customFormat="1" ht="13">
      <c r="A2" s="732" t="s">
        <v>275</v>
      </c>
      <c r="B2" s="732"/>
      <c r="C2" s="732"/>
      <c r="D2" s="732"/>
      <c r="E2" s="732"/>
      <c r="F2" s="732"/>
      <c r="G2" s="732"/>
      <c r="H2" s="732"/>
      <c r="I2" s="732"/>
      <c r="J2" s="732"/>
      <c r="K2" s="732"/>
      <c r="L2" s="732"/>
      <c r="M2" s="732"/>
      <c r="N2" s="732"/>
      <c r="O2" s="732"/>
      <c r="P2" s="732"/>
      <c r="Q2" s="732"/>
      <c r="R2" s="732"/>
      <c r="S2" s="732"/>
      <c r="T2" s="58" t="s">
        <v>276</v>
      </c>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9"/>
      <c r="BB2" s="60"/>
      <c r="BC2" s="60"/>
      <c r="BD2" s="60"/>
      <c r="BE2" s="60"/>
      <c r="BF2" s="60"/>
      <c r="BG2" s="60"/>
      <c r="BH2" s="60"/>
      <c r="BI2" s="60"/>
      <c r="BJ2" s="60"/>
      <c r="BK2" s="60"/>
      <c r="BL2" s="60"/>
      <c r="BM2" s="60"/>
      <c r="BN2" s="60"/>
      <c r="BO2" s="60"/>
      <c r="BP2" s="60"/>
      <c r="BQ2" s="60"/>
      <c r="BR2" s="60"/>
      <c r="BS2" s="60"/>
      <c r="BT2" s="60"/>
      <c r="BU2" s="60"/>
      <c r="BV2" s="60"/>
      <c r="BW2" s="60"/>
      <c r="BX2" s="60"/>
      <c r="BY2" s="60"/>
    </row>
    <row r="3" spans="1:77" s="61" customFormat="1" ht="13">
      <c r="A3" s="1079" t="s">
        <v>277</v>
      </c>
      <c r="B3" s="1079"/>
      <c r="C3" s="1079"/>
      <c r="D3" s="1079"/>
      <c r="E3" s="1079"/>
      <c r="F3" s="1079"/>
      <c r="G3" s="1079"/>
      <c r="H3" s="1079"/>
      <c r="I3" s="1079"/>
      <c r="J3" s="1079"/>
      <c r="K3" s="1079"/>
      <c r="L3" s="1079"/>
      <c r="M3" s="1079"/>
      <c r="N3" s="1079"/>
      <c r="O3" s="1079"/>
      <c r="P3" s="1079"/>
      <c r="Q3" s="1079"/>
      <c r="R3" s="1079"/>
      <c r="S3" s="1079"/>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9"/>
      <c r="BB3" s="60"/>
      <c r="BC3" s="60"/>
      <c r="BD3" s="60"/>
      <c r="BE3" s="60"/>
      <c r="BF3" s="60"/>
      <c r="BG3" s="60"/>
      <c r="BH3" s="60"/>
      <c r="BI3" s="60"/>
      <c r="BJ3" s="60"/>
      <c r="BK3" s="60"/>
      <c r="BL3" s="60"/>
      <c r="BM3" s="60"/>
      <c r="BN3" s="60"/>
      <c r="BO3" s="60"/>
      <c r="BP3" s="60"/>
      <c r="BQ3" s="60"/>
      <c r="BR3" s="60"/>
      <c r="BS3" s="60"/>
      <c r="BT3" s="60"/>
      <c r="BU3" s="60"/>
      <c r="BV3" s="60"/>
      <c r="BW3" s="60"/>
      <c r="BX3" s="60"/>
      <c r="BY3" s="60"/>
    </row>
    <row r="4" spans="1:77" s="61" customFormat="1" ht="13">
      <c r="A4" s="1079" t="s">
        <v>1474</v>
      </c>
      <c r="B4" s="1079"/>
      <c r="C4" s="1079"/>
      <c r="D4" s="1079"/>
      <c r="E4" s="1079"/>
      <c r="F4" s="1079"/>
      <c r="G4" s="1079"/>
      <c r="H4" s="1079"/>
      <c r="I4" s="1079"/>
      <c r="J4" s="1079"/>
      <c r="K4" s="1079"/>
      <c r="L4" s="1079"/>
      <c r="M4" s="1079"/>
      <c r="N4" s="1079"/>
      <c r="O4" s="1079"/>
      <c r="P4" s="1079"/>
      <c r="Q4" s="1079"/>
      <c r="R4" s="1079"/>
      <c r="S4" s="1079"/>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9"/>
      <c r="BB4" s="60"/>
      <c r="BC4" s="60"/>
      <c r="BD4" s="60"/>
      <c r="BE4" s="60"/>
      <c r="BF4" s="60"/>
      <c r="BG4" s="60"/>
      <c r="BH4" s="60"/>
      <c r="BI4" s="60"/>
      <c r="BJ4" s="60"/>
      <c r="BK4" s="60"/>
      <c r="BL4" s="60"/>
      <c r="BM4" s="60"/>
      <c r="BN4" s="60"/>
      <c r="BO4" s="60"/>
      <c r="BP4" s="60"/>
      <c r="BQ4" s="60"/>
      <c r="BR4" s="60"/>
      <c r="BS4" s="60"/>
      <c r="BT4" s="60"/>
      <c r="BU4" s="60"/>
      <c r="BV4" s="60"/>
      <c r="BW4" s="60"/>
      <c r="BX4" s="60"/>
      <c r="BY4" s="60"/>
    </row>
    <row r="5" spans="1:77" customFormat="1" ht="14.5">
      <c r="B5" s="132"/>
      <c r="D5" s="503" t="s">
        <v>278</v>
      </c>
      <c r="E5" s="504" t="s">
        <v>1271</v>
      </c>
      <c r="F5" s="504" t="s">
        <v>279</v>
      </c>
      <c r="G5" s="504" t="s">
        <v>280</v>
      </c>
      <c r="H5" s="504"/>
      <c r="I5" s="504"/>
      <c r="J5" s="504"/>
      <c r="K5" s="504"/>
      <c r="L5" s="504"/>
      <c r="M5" s="504"/>
      <c r="N5" s="504"/>
      <c r="O5" s="504"/>
      <c r="P5" s="504"/>
      <c r="Q5" s="504"/>
      <c r="R5" s="504"/>
      <c r="S5" s="505"/>
      <c r="V5" s="669"/>
    </row>
    <row r="6" spans="1:77" customFormat="1" ht="20.5" thickBot="1">
      <c r="B6" s="509"/>
      <c r="C6" s="62"/>
      <c r="D6" s="506" t="s">
        <v>281</v>
      </c>
      <c r="E6" s="507" t="s">
        <v>282</v>
      </c>
      <c r="F6" s="507" t="s">
        <v>283</v>
      </c>
      <c r="G6" s="507" t="s">
        <v>284</v>
      </c>
      <c r="H6" s="507" t="s">
        <v>285</v>
      </c>
      <c r="I6" s="507" t="s">
        <v>286</v>
      </c>
      <c r="J6" s="507" t="s">
        <v>287</v>
      </c>
      <c r="K6" s="507" t="s">
        <v>288</v>
      </c>
      <c r="L6" s="507" t="s">
        <v>289</v>
      </c>
      <c r="M6" s="507" t="s">
        <v>290</v>
      </c>
      <c r="N6" s="507" t="s">
        <v>291</v>
      </c>
      <c r="O6" s="507" t="s">
        <v>292</v>
      </c>
      <c r="P6" s="507" t="s">
        <v>293</v>
      </c>
      <c r="Q6" s="507" t="s">
        <v>294</v>
      </c>
      <c r="R6" s="507" t="s">
        <v>295</v>
      </c>
      <c r="S6" s="508" t="s">
        <v>296</v>
      </c>
      <c r="U6" s="637" t="s">
        <v>297</v>
      </c>
      <c r="V6" s="637" t="s">
        <v>298</v>
      </c>
      <c r="W6" s="637" t="s">
        <v>299</v>
      </c>
      <c r="X6" s="637" t="s">
        <v>1516</v>
      </c>
      <c r="Y6" s="637" t="s">
        <v>1517</v>
      </c>
      <c r="Z6" s="637" t="s">
        <v>302</v>
      </c>
      <c r="AA6" s="638" t="s">
        <v>1518</v>
      </c>
      <c r="AB6" s="638" t="s">
        <v>1520</v>
      </c>
      <c r="AC6" s="638" t="s">
        <v>1519</v>
      </c>
    </row>
    <row r="7" spans="1:77" s="4" customFormat="1" ht="15" thickTop="1">
      <c r="A7" s="65"/>
      <c r="B7" s="510">
        <v>1</v>
      </c>
      <c r="C7" s="66" t="s">
        <v>303</v>
      </c>
      <c r="D7" s="67" t="s">
        <v>1475</v>
      </c>
      <c r="E7" s="68">
        <v>26279</v>
      </c>
      <c r="F7" s="68">
        <v>291</v>
      </c>
      <c r="G7" s="68">
        <v>1750</v>
      </c>
      <c r="H7" s="68">
        <v>1951</v>
      </c>
      <c r="I7" s="68">
        <v>2041</v>
      </c>
      <c r="J7" s="68">
        <v>2062</v>
      </c>
      <c r="K7" s="68">
        <v>1980</v>
      </c>
      <c r="L7" s="68">
        <v>2087</v>
      </c>
      <c r="M7" s="68">
        <v>2085</v>
      </c>
      <c r="N7" s="68">
        <v>1985</v>
      </c>
      <c r="O7" s="68">
        <v>1974</v>
      </c>
      <c r="P7" s="68">
        <v>2141</v>
      </c>
      <c r="Q7" s="68">
        <v>2020</v>
      </c>
      <c r="R7" s="68">
        <v>1983</v>
      </c>
      <c r="S7" s="68">
        <v>1929</v>
      </c>
      <c r="U7" s="639">
        <f t="shared" ref="U7" si="0">F7</f>
        <v>291</v>
      </c>
      <c r="V7" s="639">
        <f t="shared" ref="V7" si="1">G7</f>
        <v>1750</v>
      </c>
      <c r="W7" s="639">
        <f t="shared" ref="W7" si="2">SUM(H7:J7)</f>
        <v>6054</v>
      </c>
      <c r="X7" s="639">
        <f>SUM(K7:M7)</f>
        <v>6152</v>
      </c>
      <c r="Y7" s="639">
        <f>SUM(N7:O7)</f>
        <v>3959</v>
      </c>
      <c r="Z7" s="639">
        <f t="shared" ref="Z7" si="3">SUM(P7:S7)</f>
        <v>8073</v>
      </c>
      <c r="AA7" s="639">
        <f t="shared" ref="AA7" si="4">SUM(J7:Q7)</f>
        <v>16334</v>
      </c>
      <c r="AB7" s="639">
        <f t="shared" ref="AB7" si="5">SUM(W7:Z7)</f>
        <v>24238</v>
      </c>
      <c r="AC7" s="639">
        <f t="shared" ref="AC7" si="6">SUM(G7:S7)</f>
        <v>25988</v>
      </c>
    </row>
    <row r="8" spans="1:77" s="4" customFormat="1" ht="14.5">
      <c r="A8" s="70"/>
      <c r="B8" s="510">
        <v>2</v>
      </c>
      <c r="C8" s="66" t="s">
        <v>304</v>
      </c>
      <c r="D8" s="67" t="s">
        <v>1475</v>
      </c>
      <c r="E8" s="68">
        <v>37756</v>
      </c>
      <c r="F8" s="68">
        <v>280</v>
      </c>
      <c r="G8" s="68">
        <v>2565</v>
      </c>
      <c r="H8" s="68">
        <v>2779</v>
      </c>
      <c r="I8" s="68">
        <v>2917</v>
      </c>
      <c r="J8" s="68">
        <v>3032</v>
      </c>
      <c r="K8" s="68">
        <v>2920</v>
      </c>
      <c r="L8" s="68">
        <v>2949</v>
      </c>
      <c r="M8" s="68">
        <v>2922</v>
      </c>
      <c r="N8" s="68">
        <v>2995</v>
      </c>
      <c r="O8" s="68">
        <v>2900</v>
      </c>
      <c r="P8" s="68">
        <v>3148</v>
      </c>
      <c r="Q8" s="68">
        <v>2974</v>
      </c>
      <c r="R8" s="68">
        <v>2797</v>
      </c>
      <c r="S8" s="68">
        <v>2578</v>
      </c>
      <c r="U8" s="639">
        <f t="shared" ref="U8:U15" si="7">F8</f>
        <v>280</v>
      </c>
      <c r="V8" s="639">
        <f t="shared" ref="V8:V14" si="8">G8</f>
        <v>2565</v>
      </c>
      <c r="W8" s="639">
        <f t="shared" ref="W8:W15" si="9">SUM(H8:J8)</f>
        <v>8728</v>
      </c>
      <c r="X8" s="639">
        <f t="shared" ref="X8:X15" si="10">SUM(K8:M8)</f>
        <v>8791</v>
      </c>
      <c r="Y8" s="639">
        <f t="shared" ref="Y8:Y15" si="11">SUM(N8:O8)</f>
        <v>5895</v>
      </c>
      <c r="Z8" s="639">
        <f t="shared" ref="Z8:Z15" si="12">SUM(P8:S8)</f>
        <v>11497</v>
      </c>
      <c r="AA8" s="639">
        <f t="shared" ref="AA8:AA15" si="13">SUM(J8:Q8)</f>
        <v>23840</v>
      </c>
      <c r="AB8" s="639">
        <f t="shared" ref="AB8:AB15" si="14">SUM(W8:Z8)</f>
        <v>34911</v>
      </c>
      <c r="AC8" s="639">
        <f t="shared" ref="AC8:AC15" si="15">SUM(G8:S8)</f>
        <v>37476</v>
      </c>
    </row>
    <row r="9" spans="1:77" ht="13">
      <c r="A9" s="71"/>
      <c r="B9" s="510">
        <v>3</v>
      </c>
      <c r="C9" s="66" t="s">
        <v>305</v>
      </c>
      <c r="D9" s="67" t="s">
        <v>1475</v>
      </c>
      <c r="E9" s="68">
        <v>5283</v>
      </c>
      <c r="F9" s="68">
        <v>45</v>
      </c>
      <c r="G9" s="68">
        <v>348</v>
      </c>
      <c r="H9" s="68">
        <v>384</v>
      </c>
      <c r="I9" s="68">
        <v>397</v>
      </c>
      <c r="J9" s="68">
        <v>463</v>
      </c>
      <c r="K9" s="68">
        <v>413</v>
      </c>
      <c r="L9" s="68">
        <v>423</v>
      </c>
      <c r="M9" s="68">
        <v>414</v>
      </c>
      <c r="N9" s="68">
        <v>422</v>
      </c>
      <c r="O9" s="68">
        <v>417</v>
      </c>
      <c r="P9" s="68">
        <v>406</v>
      </c>
      <c r="Q9" s="68">
        <v>422</v>
      </c>
      <c r="R9" s="68">
        <v>394</v>
      </c>
      <c r="S9" s="68">
        <v>335</v>
      </c>
      <c r="T9" s="72"/>
      <c r="U9" s="639">
        <f t="shared" si="7"/>
        <v>45</v>
      </c>
      <c r="V9" s="639">
        <f t="shared" si="8"/>
        <v>348</v>
      </c>
      <c r="W9" s="639">
        <f t="shared" si="9"/>
        <v>1244</v>
      </c>
      <c r="X9" s="639">
        <f t="shared" si="10"/>
        <v>1250</v>
      </c>
      <c r="Y9" s="639">
        <f t="shared" si="11"/>
        <v>839</v>
      </c>
      <c r="Z9" s="639">
        <f t="shared" si="12"/>
        <v>1557</v>
      </c>
      <c r="AA9" s="639">
        <f t="shared" si="13"/>
        <v>3380</v>
      </c>
      <c r="AB9" s="639">
        <f t="shared" si="14"/>
        <v>4890</v>
      </c>
      <c r="AC9" s="639">
        <f t="shared" si="15"/>
        <v>5238</v>
      </c>
    </row>
    <row r="10" spans="1:77" ht="10.5">
      <c r="A10" s="71"/>
      <c r="B10" s="510">
        <v>11</v>
      </c>
      <c r="C10" s="66" t="s">
        <v>306</v>
      </c>
      <c r="D10" s="76" t="s">
        <v>1475</v>
      </c>
      <c r="E10" s="77">
        <v>156</v>
      </c>
      <c r="F10" s="77">
        <v>7</v>
      </c>
      <c r="G10" s="77">
        <v>9</v>
      </c>
      <c r="H10" s="77">
        <v>15</v>
      </c>
      <c r="I10" s="77">
        <v>10</v>
      </c>
      <c r="J10" s="77">
        <v>13</v>
      </c>
      <c r="K10" s="77">
        <v>14</v>
      </c>
      <c r="L10" s="77">
        <v>15</v>
      </c>
      <c r="M10" s="77">
        <v>14</v>
      </c>
      <c r="N10" s="77">
        <v>13</v>
      </c>
      <c r="O10" s="77">
        <v>9</v>
      </c>
      <c r="P10" s="77">
        <v>10</v>
      </c>
      <c r="Q10" s="77">
        <v>8</v>
      </c>
      <c r="R10" s="77">
        <v>8</v>
      </c>
      <c r="S10" s="77">
        <v>11</v>
      </c>
      <c r="T10" s="73"/>
      <c r="U10" s="639">
        <f t="shared" si="7"/>
        <v>7</v>
      </c>
      <c r="V10" s="639">
        <f t="shared" si="8"/>
        <v>9</v>
      </c>
      <c r="W10" s="639">
        <f t="shared" si="9"/>
        <v>38</v>
      </c>
      <c r="X10" s="639">
        <f t="shared" si="10"/>
        <v>43</v>
      </c>
      <c r="Y10" s="639">
        <f t="shared" si="11"/>
        <v>22</v>
      </c>
      <c r="Z10" s="639">
        <f t="shared" si="12"/>
        <v>37</v>
      </c>
      <c r="AA10" s="639">
        <f t="shared" si="13"/>
        <v>96</v>
      </c>
      <c r="AB10" s="639">
        <f t="shared" si="14"/>
        <v>140</v>
      </c>
      <c r="AC10" s="639">
        <f t="shared" si="15"/>
        <v>149</v>
      </c>
    </row>
    <row r="11" spans="1:77" ht="10.5">
      <c r="A11" s="70"/>
      <c r="B11" s="510">
        <v>13</v>
      </c>
      <c r="C11" s="66" t="s">
        <v>307</v>
      </c>
      <c r="D11" s="76" t="s">
        <v>1475</v>
      </c>
      <c r="E11" s="77">
        <v>258</v>
      </c>
      <c r="F11" s="78">
        <v>5</v>
      </c>
      <c r="G11" s="78">
        <v>16</v>
      </c>
      <c r="H11" s="78">
        <v>22</v>
      </c>
      <c r="I11" s="78">
        <v>20</v>
      </c>
      <c r="J11" s="78">
        <v>21</v>
      </c>
      <c r="K11" s="78">
        <v>26</v>
      </c>
      <c r="L11" s="78">
        <v>26</v>
      </c>
      <c r="M11" s="78">
        <v>19</v>
      </c>
      <c r="N11" s="78">
        <v>22</v>
      </c>
      <c r="O11" s="78">
        <v>21</v>
      </c>
      <c r="P11" s="78">
        <v>14</v>
      </c>
      <c r="Q11" s="78">
        <v>16</v>
      </c>
      <c r="R11" s="78">
        <v>15</v>
      </c>
      <c r="S11" s="78">
        <v>15</v>
      </c>
      <c r="T11" s="79"/>
      <c r="U11" s="639">
        <f t="shared" si="7"/>
        <v>5</v>
      </c>
      <c r="V11" s="639">
        <f t="shared" si="8"/>
        <v>16</v>
      </c>
      <c r="W11" s="639">
        <f t="shared" si="9"/>
        <v>63</v>
      </c>
      <c r="X11" s="639">
        <f t="shared" si="10"/>
        <v>71</v>
      </c>
      <c r="Y11" s="639">
        <f t="shared" si="11"/>
        <v>43</v>
      </c>
      <c r="Z11" s="639">
        <f t="shared" si="12"/>
        <v>60</v>
      </c>
      <c r="AA11" s="639">
        <f t="shared" si="13"/>
        <v>165</v>
      </c>
      <c r="AB11" s="639">
        <f t="shared" si="14"/>
        <v>237</v>
      </c>
      <c r="AC11" s="639">
        <f t="shared" si="15"/>
        <v>253</v>
      </c>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row>
    <row r="12" spans="1:77" s="80" customFormat="1">
      <c r="A12" s="70"/>
      <c r="B12" s="510">
        <v>21</v>
      </c>
      <c r="C12" s="66" t="s">
        <v>308</v>
      </c>
      <c r="D12" s="76" t="s">
        <v>1475</v>
      </c>
      <c r="E12" s="77">
        <v>1265</v>
      </c>
      <c r="F12" s="78">
        <v>9</v>
      </c>
      <c r="G12" s="78">
        <v>79</v>
      </c>
      <c r="H12" s="78">
        <v>87</v>
      </c>
      <c r="I12" s="78">
        <v>97</v>
      </c>
      <c r="J12" s="78">
        <v>103</v>
      </c>
      <c r="K12" s="78">
        <v>115</v>
      </c>
      <c r="L12" s="78">
        <v>111</v>
      </c>
      <c r="M12" s="78">
        <v>106</v>
      </c>
      <c r="N12" s="78">
        <v>91</v>
      </c>
      <c r="O12" s="78">
        <v>109</v>
      </c>
      <c r="P12" s="78">
        <v>100</v>
      </c>
      <c r="Q12" s="78">
        <v>91</v>
      </c>
      <c r="R12" s="78">
        <v>90</v>
      </c>
      <c r="S12" s="78">
        <v>77</v>
      </c>
      <c r="T12" s="79"/>
      <c r="U12" s="639">
        <f t="shared" si="7"/>
        <v>9</v>
      </c>
      <c r="V12" s="639">
        <f t="shared" si="8"/>
        <v>79</v>
      </c>
      <c r="W12" s="639">
        <f t="shared" si="9"/>
        <v>287</v>
      </c>
      <c r="X12" s="639">
        <f t="shared" si="10"/>
        <v>332</v>
      </c>
      <c r="Y12" s="639">
        <f t="shared" si="11"/>
        <v>200</v>
      </c>
      <c r="Z12" s="639">
        <f t="shared" si="12"/>
        <v>358</v>
      </c>
      <c r="AA12" s="639">
        <f t="shared" si="13"/>
        <v>826</v>
      </c>
      <c r="AB12" s="639">
        <f t="shared" si="14"/>
        <v>1177</v>
      </c>
      <c r="AC12" s="639">
        <f t="shared" si="15"/>
        <v>1256</v>
      </c>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row>
    <row r="13" spans="1:77" s="679" customFormat="1">
      <c r="A13" s="670"/>
      <c r="B13" s="671"/>
      <c r="C13" s="672" t="s">
        <v>309</v>
      </c>
      <c r="D13" s="673" t="s">
        <v>1475</v>
      </c>
      <c r="E13" s="674">
        <v>12404</v>
      </c>
      <c r="F13" s="674">
        <v>118</v>
      </c>
      <c r="G13" s="674">
        <v>913</v>
      </c>
      <c r="H13" s="674">
        <v>926</v>
      </c>
      <c r="I13" s="674">
        <v>982</v>
      </c>
      <c r="J13" s="674">
        <v>938</v>
      </c>
      <c r="K13" s="674">
        <v>946</v>
      </c>
      <c r="L13" s="674">
        <v>981</v>
      </c>
      <c r="M13" s="674">
        <v>920</v>
      </c>
      <c r="N13" s="674">
        <v>912</v>
      </c>
      <c r="O13" s="674">
        <v>892</v>
      </c>
      <c r="P13" s="674">
        <v>1051</v>
      </c>
      <c r="Q13" s="674">
        <v>977</v>
      </c>
      <c r="R13" s="674">
        <v>921</v>
      </c>
      <c r="S13" s="674">
        <v>927</v>
      </c>
      <c r="T13" s="675"/>
      <c r="U13" s="676">
        <f t="shared" si="7"/>
        <v>118</v>
      </c>
      <c r="V13" s="676">
        <f t="shared" si="8"/>
        <v>913</v>
      </c>
      <c r="W13" s="676">
        <f t="shared" si="9"/>
        <v>2846</v>
      </c>
      <c r="X13" s="676">
        <f t="shared" si="10"/>
        <v>2847</v>
      </c>
      <c r="Y13" s="676">
        <f t="shared" si="11"/>
        <v>1804</v>
      </c>
      <c r="Z13" s="676">
        <f t="shared" si="12"/>
        <v>3876</v>
      </c>
      <c r="AA13" s="676">
        <f t="shared" si="13"/>
        <v>7617</v>
      </c>
      <c r="AB13" s="676">
        <f t="shared" si="14"/>
        <v>11373</v>
      </c>
      <c r="AC13" s="676">
        <f t="shared" si="15"/>
        <v>12286</v>
      </c>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row>
    <row r="14" spans="1:77" s="145" customFormat="1" ht="14.5">
      <c r="A14" s="680"/>
      <c r="B14" s="671"/>
      <c r="C14" s="681" t="s">
        <v>457</v>
      </c>
      <c r="D14" s="682" t="s">
        <v>1475</v>
      </c>
      <c r="E14" s="683">
        <v>337</v>
      </c>
      <c r="F14" s="683">
        <v>0</v>
      </c>
      <c r="G14" s="684">
        <v>35</v>
      </c>
      <c r="H14" s="684">
        <v>37</v>
      </c>
      <c r="I14" s="684">
        <v>36</v>
      </c>
      <c r="J14" s="684">
        <v>36</v>
      </c>
      <c r="K14" s="684">
        <v>43</v>
      </c>
      <c r="L14" s="684">
        <v>38</v>
      </c>
      <c r="M14" s="684">
        <v>41</v>
      </c>
      <c r="N14" s="684">
        <v>37</v>
      </c>
      <c r="O14" s="684">
        <v>34</v>
      </c>
      <c r="P14" s="684">
        <v>0</v>
      </c>
      <c r="Q14" s="684">
        <v>0</v>
      </c>
      <c r="R14" s="684">
        <v>0</v>
      </c>
      <c r="S14" s="684">
        <v>0</v>
      </c>
      <c r="U14" s="676">
        <f t="shared" si="7"/>
        <v>0</v>
      </c>
      <c r="V14" s="676">
        <f t="shared" si="8"/>
        <v>35</v>
      </c>
      <c r="W14" s="676">
        <f t="shared" si="9"/>
        <v>109</v>
      </c>
      <c r="X14" s="676">
        <f t="shared" si="10"/>
        <v>122</v>
      </c>
      <c r="Y14" s="676">
        <f t="shared" si="11"/>
        <v>71</v>
      </c>
      <c r="Z14" s="676">
        <f t="shared" si="12"/>
        <v>0</v>
      </c>
      <c r="AA14" s="676">
        <f t="shared" si="13"/>
        <v>229</v>
      </c>
      <c r="AB14" s="676">
        <f t="shared" si="14"/>
        <v>302</v>
      </c>
      <c r="AC14" s="676">
        <f t="shared" si="15"/>
        <v>337</v>
      </c>
    </row>
    <row r="15" spans="1:77">
      <c r="A15" s="70"/>
      <c r="B15" s="510">
        <v>25</v>
      </c>
      <c r="C15" s="66" t="s">
        <v>309</v>
      </c>
      <c r="D15" s="76"/>
      <c r="E15" s="77">
        <f>SUM(E13:E14)</f>
        <v>12741</v>
      </c>
      <c r="F15" s="77">
        <f>SUM(F13:F14)</f>
        <v>118</v>
      </c>
      <c r="G15" s="77">
        <f>SUM(G13:G14)</f>
        <v>948</v>
      </c>
      <c r="H15" s="77">
        <f t="shared" ref="H15:S15" si="16">SUM(H13:H14)</f>
        <v>963</v>
      </c>
      <c r="I15" s="77">
        <f t="shared" si="16"/>
        <v>1018</v>
      </c>
      <c r="J15" s="77">
        <f t="shared" si="16"/>
        <v>974</v>
      </c>
      <c r="K15" s="77">
        <f t="shared" si="16"/>
        <v>989</v>
      </c>
      <c r="L15" s="77">
        <f t="shared" si="16"/>
        <v>1019</v>
      </c>
      <c r="M15" s="77">
        <f t="shared" si="16"/>
        <v>961</v>
      </c>
      <c r="N15" s="77">
        <f t="shared" si="16"/>
        <v>949</v>
      </c>
      <c r="O15" s="77">
        <f t="shared" si="16"/>
        <v>926</v>
      </c>
      <c r="P15" s="77">
        <f t="shared" si="16"/>
        <v>1051</v>
      </c>
      <c r="Q15" s="77">
        <f t="shared" si="16"/>
        <v>977</v>
      </c>
      <c r="R15" s="77">
        <f t="shared" si="16"/>
        <v>921</v>
      </c>
      <c r="S15" s="77">
        <f t="shared" si="16"/>
        <v>927</v>
      </c>
      <c r="T15" s="81"/>
      <c r="U15" s="639">
        <f t="shared" si="7"/>
        <v>118</v>
      </c>
      <c r="V15" s="639">
        <f>G15</f>
        <v>948</v>
      </c>
      <c r="W15" s="639">
        <f t="shared" si="9"/>
        <v>2955</v>
      </c>
      <c r="X15" s="639">
        <f t="shared" si="10"/>
        <v>2969</v>
      </c>
      <c r="Y15" s="639">
        <f t="shared" si="11"/>
        <v>1875</v>
      </c>
      <c r="Z15" s="639">
        <f t="shared" si="12"/>
        <v>3876</v>
      </c>
      <c r="AA15" s="639">
        <f t="shared" si="13"/>
        <v>7846</v>
      </c>
      <c r="AB15" s="639">
        <f t="shared" si="14"/>
        <v>11675</v>
      </c>
      <c r="AC15" s="639">
        <f t="shared" si="15"/>
        <v>12623</v>
      </c>
    </row>
    <row r="16" spans="1:77" s="84" customFormat="1" ht="10.5">
      <c r="A16" s="71"/>
      <c r="B16" s="510">
        <v>33</v>
      </c>
      <c r="C16" s="66" t="s">
        <v>310</v>
      </c>
      <c r="D16" s="76" t="s">
        <v>1475</v>
      </c>
      <c r="E16" s="77">
        <v>1116</v>
      </c>
      <c r="F16" s="77">
        <v>21</v>
      </c>
      <c r="G16" s="77">
        <v>105</v>
      </c>
      <c r="H16" s="77">
        <v>75</v>
      </c>
      <c r="I16" s="77">
        <v>90</v>
      </c>
      <c r="J16" s="77">
        <v>89</v>
      </c>
      <c r="K16" s="77">
        <v>83</v>
      </c>
      <c r="L16" s="77">
        <v>76</v>
      </c>
      <c r="M16" s="77">
        <v>83</v>
      </c>
      <c r="N16" s="77">
        <v>80</v>
      </c>
      <c r="O16" s="77">
        <v>88</v>
      </c>
      <c r="P16" s="77">
        <v>76</v>
      </c>
      <c r="Q16" s="77">
        <v>88</v>
      </c>
      <c r="R16" s="77">
        <v>79</v>
      </c>
      <c r="S16" s="77">
        <v>83</v>
      </c>
      <c r="T16" s="73"/>
      <c r="U16" s="639">
        <f t="shared" ref="U16:U73" si="17">F16</f>
        <v>21</v>
      </c>
      <c r="V16" s="639">
        <f t="shared" ref="V16:V73" si="18">G16</f>
        <v>105</v>
      </c>
      <c r="W16" s="639">
        <f t="shared" ref="W16:W73" si="19">SUM(H16:J16)</f>
        <v>254</v>
      </c>
      <c r="X16" s="639">
        <f t="shared" ref="X16:X73" si="20">SUM(K16:M16)</f>
        <v>242</v>
      </c>
      <c r="Y16" s="639">
        <f t="shared" ref="Y16:Y73" si="21">SUM(N16:O16)</f>
        <v>168</v>
      </c>
      <c r="Z16" s="639">
        <f t="shared" ref="Z16:Z73" si="22">SUM(P16:S16)</f>
        <v>326</v>
      </c>
      <c r="AA16" s="639">
        <f t="shared" ref="AA16:AA73" si="23">SUM(J16:Q16)</f>
        <v>663</v>
      </c>
      <c r="AB16" s="639">
        <f t="shared" ref="AB16:AB73" si="24">SUM(W16:Z16)</f>
        <v>990</v>
      </c>
      <c r="AC16" s="639">
        <f t="shared" ref="AC16:AC73" si="25">SUM(G16:S16)</f>
        <v>1095</v>
      </c>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row>
    <row r="17" spans="1:178" s="85" customFormat="1">
      <c r="A17" s="70"/>
      <c r="B17" s="510">
        <v>41</v>
      </c>
      <c r="C17" s="66" t="s">
        <v>311</v>
      </c>
      <c r="D17" s="76" t="s">
        <v>1475</v>
      </c>
      <c r="E17" s="77">
        <v>935</v>
      </c>
      <c r="F17" s="77">
        <v>21</v>
      </c>
      <c r="G17" s="77">
        <v>71</v>
      </c>
      <c r="H17" s="77">
        <v>71</v>
      </c>
      <c r="I17" s="77">
        <v>74</v>
      </c>
      <c r="J17" s="77">
        <v>68</v>
      </c>
      <c r="K17" s="77">
        <v>70</v>
      </c>
      <c r="L17" s="77">
        <v>69</v>
      </c>
      <c r="M17" s="77">
        <v>64</v>
      </c>
      <c r="N17" s="77">
        <v>74</v>
      </c>
      <c r="O17" s="77">
        <v>71</v>
      </c>
      <c r="P17" s="77">
        <v>83</v>
      </c>
      <c r="Q17" s="77">
        <v>66</v>
      </c>
      <c r="R17" s="77">
        <v>70</v>
      </c>
      <c r="S17" s="77">
        <v>63</v>
      </c>
      <c r="T17" s="81"/>
      <c r="U17" s="639">
        <f t="shared" si="17"/>
        <v>21</v>
      </c>
      <c r="V17" s="639">
        <f t="shared" si="18"/>
        <v>71</v>
      </c>
      <c r="W17" s="639">
        <f t="shared" si="19"/>
        <v>213</v>
      </c>
      <c r="X17" s="639">
        <f t="shared" si="20"/>
        <v>203</v>
      </c>
      <c r="Y17" s="639">
        <f t="shared" si="21"/>
        <v>145</v>
      </c>
      <c r="Z17" s="639">
        <f t="shared" si="22"/>
        <v>282</v>
      </c>
      <c r="AA17" s="639">
        <f t="shared" si="23"/>
        <v>565</v>
      </c>
      <c r="AB17" s="639">
        <f t="shared" si="24"/>
        <v>843</v>
      </c>
      <c r="AC17" s="639">
        <f t="shared" si="25"/>
        <v>914</v>
      </c>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row>
    <row r="18" spans="1:178" s="85" customFormat="1" ht="10.5">
      <c r="A18" s="70"/>
      <c r="B18" s="510">
        <v>44</v>
      </c>
      <c r="C18" s="66" t="s">
        <v>312</v>
      </c>
      <c r="D18" s="76" t="s">
        <v>1475</v>
      </c>
      <c r="E18" s="77">
        <v>338</v>
      </c>
      <c r="F18" s="77">
        <v>8</v>
      </c>
      <c r="G18" s="77">
        <v>37</v>
      </c>
      <c r="H18" s="77">
        <v>24</v>
      </c>
      <c r="I18" s="77">
        <v>25</v>
      </c>
      <c r="J18" s="77">
        <v>25</v>
      </c>
      <c r="K18" s="77">
        <v>32</v>
      </c>
      <c r="L18" s="77">
        <v>16</v>
      </c>
      <c r="M18" s="77">
        <v>30</v>
      </c>
      <c r="N18" s="77">
        <v>18</v>
      </c>
      <c r="O18" s="77">
        <v>30</v>
      </c>
      <c r="P18" s="77">
        <v>30</v>
      </c>
      <c r="Q18" s="77">
        <v>28</v>
      </c>
      <c r="R18" s="77">
        <v>18</v>
      </c>
      <c r="S18" s="77">
        <v>17</v>
      </c>
      <c r="T18" s="73"/>
      <c r="U18" s="639">
        <f t="shared" si="17"/>
        <v>8</v>
      </c>
      <c r="V18" s="639">
        <f t="shared" si="18"/>
        <v>37</v>
      </c>
      <c r="W18" s="639">
        <f t="shared" si="19"/>
        <v>74</v>
      </c>
      <c r="X18" s="639">
        <f t="shared" si="20"/>
        <v>78</v>
      </c>
      <c r="Y18" s="639">
        <f t="shared" si="21"/>
        <v>48</v>
      </c>
      <c r="Z18" s="639">
        <f t="shared" si="22"/>
        <v>93</v>
      </c>
      <c r="AA18" s="639">
        <f t="shared" si="23"/>
        <v>209</v>
      </c>
      <c r="AB18" s="639">
        <f t="shared" si="24"/>
        <v>293</v>
      </c>
      <c r="AC18" s="639">
        <f t="shared" si="25"/>
        <v>330</v>
      </c>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row>
    <row r="19" spans="1:178" s="85" customFormat="1" ht="10.5">
      <c r="A19" s="70"/>
      <c r="B19" s="510">
        <v>52</v>
      </c>
      <c r="C19" s="66" t="s">
        <v>313</v>
      </c>
      <c r="D19" s="76" t="s">
        <v>1475</v>
      </c>
      <c r="E19" s="77">
        <v>1709</v>
      </c>
      <c r="F19" s="77">
        <v>22</v>
      </c>
      <c r="G19" s="77">
        <v>135</v>
      </c>
      <c r="H19" s="77">
        <v>115</v>
      </c>
      <c r="I19" s="77">
        <v>132</v>
      </c>
      <c r="J19" s="77">
        <v>134</v>
      </c>
      <c r="K19" s="77">
        <v>134</v>
      </c>
      <c r="L19" s="77">
        <v>120</v>
      </c>
      <c r="M19" s="77">
        <v>135</v>
      </c>
      <c r="N19" s="77">
        <v>106</v>
      </c>
      <c r="O19" s="77">
        <v>123</v>
      </c>
      <c r="P19" s="77">
        <v>139</v>
      </c>
      <c r="Q19" s="77">
        <v>135</v>
      </c>
      <c r="R19" s="77">
        <v>159</v>
      </c>
      <c r="S19" s="77">
        <v>120</v>
      </c>
      <c r="T19" s="86"/>
      <c r="U19" s="639">
        <f t="shared" si="17"/>
        <v>22</v>
      </c>
      <c r="V19" s="639">
        <f t="shared" si="18"/>
        <v>135</v>
      </c>
      <c r="W19" s="639">
        <f t="shared" si="19"/>
        <v>381</v>
      </c>
      <c r="X19" s="639">
        <f t="shared" si="20"/>
        <v>389</v>
      </c>
      <c r="Y19" s="639">
        <f t="shared" si="21"/>
        <v>229</v>
      </c>
      <c r="Z19" s="639">
        <f t="shared" si="22"/>
        <v>553</v>
      </c>
      <c r="AA19" s="639">
        <f t="shared" si="23"/>
        <v>1026</v>
      </c>
      <c r="AB19" s="639">
        <f t="shared" si="24"/>
        <v>1552</v>
      </c>
      <c r="AC19" s="639">
        <f t="shared" si="25"/>
        <v>1687</v>
      </c>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row>
    <row r="20" spans="1:178" s="85" customFormat="1">
      <c r="A20" s="71"/>
      <c r="B20" s="510">
        <v>55</v>
      </c>
      <c r="C20" s="66" t="s">
        <v>314</v>
      </c>
      <c r="D20" s="76" t="s">
        <v>1475</v>
      </c>
      <c r="E20" s="77">
        <v>3899</v>
      </c>
      <c r="F20" s="77">
        <v>25</v>
      </c>
      <c r="G20" s="77">
        <v>255</v>
      </c>
      <c r="H20" s="77">
        <v>303</v>
      </c>
      <c r="I20" s="77">
        <v>315</v>
      </c>
      <c r="J20" s="77">
        <v>307</v>
      </c>
      <c r="K20" s="77">
        <v>305</v>
      </c>
      <c r="L20" s="77">
        <v>337</v>
      </c>
      <c r="M20" s="77">
        <v>258</v>
      </c>
      <c r="N20" s="77">
        <v>270</v>
      </c>
      <c r="O20" s="77">
        <v>291</v>
      </c>
      <c r="P20" s="77">
        <v>319</v>
      </c>
      <c r="Q20" s="77">
        <v>315</v>
      </c>
      <c r="R20" s="77">
        <v>310</v>
      </c>
      <c r="S20" s="77">
        <v>289</v>
      </c>
      <c r="T20" s="81"/>
      <c r="U20" s="639">
        <f t="shared" si="17"/>
        <v>25</v>
      </c>
      <c r="V20" s="639">
        <f t="shared" si="18"/>
        <v>255</v>
      </c>
      <c r="W20" s="639">
        <f t="shared" si="19"/>
        <v>925</v>
      </c>
      <c r="X20" s="639">
        <f t="shared" si="20"/>
        <v>900</v>
      </c>
      <c r="Y20" s="639">
        <f t="shared" si="21"/>
        <v>561</v>
      </c>
      <c r="Z20" s="639">
        <f t="shared" si="22"/>
        <v>1233</v>
      </c>
      <c r="AA20" s="639">
        <f t="shared" si="23"/>
        <v>2402</v>
      </c>
      <c r="AB20" s="639">
        <f t="shared" si="24"/>
        <v>3619</v>
      </c>
      <c r="AC20" s="639">
        <f t="shared" si="25"/>
        <v>3874</v>
      </c>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row>
    <row r="21" spans="1:178">
      <c r="A21" s="70"/>
      <c r="B21" s="510">
        <v>58</v>
      </c>
      <c r="C21" s="66" t="s">
        <v>315</v>
      </c>
      <c r="D21" s="76" t="s">
        <v>1475</v>
      </c>
      <c r="E21" s="77">
        <v>735</v>
      </c>
      <c r="F21" s="77">
        <v>8</v>
      </c>
      <c r="G21" s="77">
        <v>62</v>
      </c>
      <c r="H21" s="77">
        <v>57</v>
      </c>
      <c r="I21" s="77">
        <v>54</v>
      </c>
      <c r="J21" s="77">
        <v>65</v>
      </c>
      <c r="K21" s="77">
        <v>66</v>
      </c>
      <c r="L21" s="77">
        <v>63</v>
      </c>
      <c r="M21" s="77">
        <v>52</v>
      </c>
      <c r="N21" s="77">
        <v>58</v>
      </c>
      <c r="O21" s="77">
        <v>53</v>
      </c>
      <c r="P21" s="77">
        <v>52</v>
      </c>
      <c r="Q21" s="77">
        <v>52</v>
      </c>
      <c r="R21" s="77">
        <v>45</v>
      </c>
      <c r="S21" s="77">
        <v>48</v>
      </c>
      <c r="T21" s="81"/>
      <c r="U21" s="639">
        <f t="shared" si="17"/>
        <v>8</v>
      </c>
      <c r="V21" s="639">
        <f t="shared" si="18"/>
        <v>62</v>
      </c>
      <c r="W21" s="639">
        <f t="shared" si="19"/>
        <v>176</v>
      </c>
      <c r="X21" s="639">
        <f t="shared" si="20"/>
        <v>181</v>
      </c>
      <c r="Y21" s="639">
        <f t="shared" si="21"/>
        <v>111</v>
      </c>
      <c r="Z21" s="639">
        <f t="shared" si="22"/>
        <v>197</v>
      </c>
      <c r="AA21" s="639">
        <f t="shared" si="23"/>
        <v>461</v>
      </c>
      <c r="AB21" s="639">
        <f t="shared" si="24"/>
        <v>665</v>
      </c>
      <c r="AC21" s="639">
        <f t="shared" si="25"/>
        <v>727</v>
      </c>
    </row>
    <row r="22" spans="1:178" ht="10.5">
      <c r="A22" s="70"/>
      <c r="B22" s="510">
        <v>59</v>
      </c>
      <c r="C22" s="66" t="s">
        <v>316</v>
      </c>
      <c r="D22" s="76" t="s">
        <v>1475</v>
      </c>
      <c r="E22" s="77">
        <v>740</v>
      </c>
      <c r="F22" s="77">
        <v>0</v>
      </c>
      <c r="G22" s="77">
        <v>64</v>
      </c>
      <c r="H22" s="77">
        <v>56</v>
      </c>
      <c r="I22" s="77">
        <v>45</v>
      </c>
      <c r="J22" s="77">
        <v>64</v>
      </c>
      <c r="K22" s="77">
        <v>56</v>
      </c>
      <c r="L22" s="77">
        <v>69</v>
      </c>
      <c r="M22" s="77">
        <v>48</v>
      </c>
      <c r="N22" s="77">
        <v>55</v>
      </c>
      <c r="O22" s="77">
        <v>62</v>
      </c>
      <c r="P22" s="77">
        <v>57</v>
      </c>
      <c r="Q22" s="77">
        <v>51</v>
      </c>
      <c r="R22" s="77">
        <v>61</v>
      </c>
      <c r="S22" s="77">
        <v>52</v>
      </c>
      <c r="T22" s="73"/>
      <c r="U22" s="639">
        <f t="shared" si="17"/>
        <v>0</v>
      </c>
      <c r="V22" s="639">
        <f t="shared" si="18"/>
        <v>64</v>
      </c>
      <c r="W22" s="639">
        <f t="shared" si="19"/>
        <v>165</v>
      </c>
      <c r="X22" s="639">
        <f t="shared" si="20"/>
        <v>173</v>
      </c>
      <c r="Y22" s="639">
        <f t="shared" si="21"/>
        <v>117</v>
      </c>
      <c r="Z22" s="639">
        <f t="shared" si="22"/>
        <v>221</v>
      </c>
      <c r="AA22" s="639">
        <f t="shared" si="23"/>
        <v>462</v>
      </c>
      <c r="AB22" s="639">
        <f t="shared" si="24"/>
        <v>676</v>
      </c>
      <c r="AC22" s="639">
        <f t="shared" si="25"/>
        <v>740</v>
      </c>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row>
    <row r="23" spans="1:178" ht="10.5">
      <c r="A23" s="70"/>
      <c r="B23" s="510">
        <v>60</v>
      </c>
      <c r="C23" s="66" t="s">
        <v>317</v>
      </c>
      <c r="D23" s="76" t="s">
        <v>1475</v>
      </c>
      <c r="E23" s="77">
        <v>2257</v>
      </c>
      <c r="F23" s="89">
        <v>30</v>
      </c>
      <c r="G23" s="77">
        <v>189</v>
      </c>
      <c r="H23" s="77">
        <v>177</v>
      </c>
      <c r="I23" s="77">
        <v>188</v>
      </c>
      <c r="J23" s="77">
        <v>175</v>
      </c>
      <c r="K23" s="77">
        <v>160</v>
      </c>
      <c r="L23" s="77">
        <v>179</v>
      </c>
      <c r="M23" s="77">
        <v>168</v>
      </c>
      <c r="N23" s="77">
        <v>151</v>
      </c>
      <c r="O23" s="77">
        <v>188</v>
      </c>
      <c r="P23" s="77">
        <v>171</v>
      </c>
      <c r="Q23" s="77">
        <v>173</v>
      </c>
      <c r="R23" s="77">
        <v>146</v>
      </c>
      <c r="S23" s="77">
        <v>162</v>
      </c>
      <c r="T23" s="77"/>
      <c r="U23" s="639">
        <f t="shared" si="17"/>
        <v>30</v>
      </c>
      <c r="V23" s="639">
        <f t="shared" si="18"/>
        <v>189</v>
      </c>
      <c r="W23" s="639">
        <f t="shared" si="19"/>
        <v>540</v>
      </c>
      <c r="X23" s="639">
        <f t="shared" si="20"/>
        <v>507</v>
      </c>
      <c r="Y23" s="639">
        <f t="shared" si="21"/>
        <v>339</v>
      </c>
      <c r="Z23" s="639">
        <f t="shared" si="22"/>
        <v>652</v>
      </c>
      <c r="AA23" s="639">
        <f t="shared" si="23"/>
        <v>1365</v>
      </c>
      <c r="AB23" s="639">
        <f t="shared" si="24"/>
        <v>2038</v>
      </c>
      <c r="AC23" s="639">
        <f t="shared" si="25"/>
        <v>2227</v>
      </c>
    </row>
    <row r="24" spans="1:178" s="85" customFormat="1">
      <c r="A24" s="70"/>
      <c r="B24" s="510">
        <v>61</v>
      </c>
      <c r="C24" s="66" t="s">
        <v>318</v>
      </c>
      <c r="D24" s="76" t="s">
        <v>1475</v>
      </c>
      <c r="E24" s="77">
        <v>3371</v>
      </c>
      <c r="F24" s="77">
        <v>100</v>
      </c>
      <c r="G24" s="77">
        <v>217</v>
      </c>
      <c r="H24" s="77">
        <v>239</v>
      </c>
      <c r="I24" s="77">
        <v>262</v>
      </c>
      <c r="J24" s="77">
        <v>275</v>
      </c>
      <c r="K24" s="77">
        <v>246</v>
      </c>
      <c r="L24" s="77">
        <v>285</v>
      </c>
      <c r="M24" s="77">
        <v>229</v>
      </c>
      <c r="N24" s="77">
        <v>259</v>
      </c>
      <c r="O24" s="77">
        <v>283</v>
      </c>
      <c r="P24" s="77">
        <v>271</v>
      </c>
      <c r="Q24" s="77">
        <v>242</v>
      </c>
      <c r="R24" s="77">
        <v>258</v>
      </c>
      <c r="S24" s="77">
        <v>205</v>
      </c>
      <c r="T24" s="81"/>
      <c r="U24" s="639">
        <f t="shared" si="17"/>
        <v>100</v>
      </c>
      <c r="V24" s="639">
        <f t="shared" si="18"/>
        <v>217</v>
      </c>
      <c r="W24" s="639">
        <f t="shared" si="19"/>
        <v>776</v>
      </c>
      <c r="X24" s="639">
        <f t="shared" si="20"/>
        <v>760</v>
      </c>
      <c r="Y24" s="639">
        <f t="shared" si="21"/>
        <v>542</v>
      </c>
      <c r="Z24" s="639">
        <f t="shared" si="22"/>
        <v>976</v>
      </c>
      <c r="AA24" s="639">
        <f t="shared" si="23"/>
        <v>2090</v>
      </c>
      <c r="AB24" s="639">
        <f t="shared" si="24"/>
        <v>3054</v>
      </c>
      <c r="AC24" s="639">
        <f t="shared" si="25"/>
        <v>3271</v>
      </c>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row>
    <row r="25" spans="1:178">
      <c r="A25" s="70"/>
      <c r="B25" s="510">
        <v>71</v>
      </c>
      <c r="C25" s="66" t="s">
        <v>319</v>
      </c>
      <c r="D25" s="76" t="s">
        <v>1475</v>
      </c>
      <c r="E25" s="77">
        <v>243</v>
      </c>
      <c r="F25" s="77">
        <v>12</v>
      </c>
      <c r="G25" s="77">
        <v>16</v>
      </c>
      <c r="H25" s="77">
        <v>13</v>
      </c>
      <c r="I25" s="77">
        <v>17</v>
      </c>
      <c r="J25" s="77">
        <v>23</v>
      </c>
      <c r="K25" s="77">
        <v>20</v>
      </c>
      <c r="L25" s="77">
        <v>14</v>
      </c>
      <c r="M25" s="77">
        <v>13</v>
      </c>
      <c r="N25" s="77">
        <v>18</v>
      </c>
      <c r="O25" s="77">
        <v>21</v>
      </c>
      <c r="P25" s="77">
        <v>18</v>
      </c>
      <c r="Q25" s="77">
        <v>16</v>
      </c>
      <c r="R25" s="77">
        <v>20</v>
      </c>
      <c r="S25" s="77">
        <v>22</v>
      </c>
      <c r="T25" s="81"/>
      <c r="U25" s="639">
        <f t="shared" si="17"/>
        <v>12</v>
      </c>
      <c r="V25" s="639">
        <f t="shared" si="18"/>
        <v>16</v>
      </c>
      <c r="W25" s="639">
        <f t="shared" si="19"/>
        <v>53</v>
      </c>
      <c r="X25" s="639">
        <f t="shared" si="20"/>
        <v>47</v>
      </c>
      <c r="Y25" s="639">
        <f t="shared" si="21"/>
        <v>39</v>
      </c>
      <c r="Z25" s="639">
        <f t="shared" si="22"/>
        <v>76</v>
      </c>
      <c r="AA25" s="639">
        <f t="shared" si="23"/>
        <v>143</v>
      </c>
      <c r="AB25" s="639">
        <f t="shared" si="24"/>
        <v>215</v>
      </c>
      <c r="AC25" s="639">
        <f t="shared" si="25"/>
        <v>231</v>
      </c>
    </row>
    <row r="26" spans="1:178">
      <c r="A26" s="70"/>
      <c r="B26" s="510">
        <v>72</v>
      </c>
      <c r="C26" s="66" t="s">
        <v>320</v>
      </c>
      <c r="D26" s="76" t="s">
        <v>1475</v>
      </c>
      <c r="E26" s="77">
        <v>348</v>
      </c>
      <c r="F26" s="77">
        <v>0</v>
      </c>
      <c r="G26" s="77">
        <v>16</v>
      </c>
      <c r="H26" s="77">
        <v>22</v>
      </c>
      <c r="I26" s="77">
        <v>22</v>
      </c>
      <c r="J26" s="77">
        <v>29</v>
      </c>
      <c r="K26" s="77">
        <v>22</v>
      </c>
      <c r="L26" s="77">
        <v>29</v>
      </c>
      <c r="M26" s="77">
        <v>31</v>
      </c>
      <c r="N26" s="77">
        <v>35</v>
      </c>
      <c r="O26" s="77">
        <v>24</v>
      </c>
      <c r="P26" s="77">
        <v>29</v>
      </c>
      <c r="Q26" s="77">
        <v>30</v>
      </c>
      <c r="R26" s="77">
        <v>26</v>
      </c>
      <c r="S26" s="77">
        <v>33</v>
      </c>
      <c r="T26" s="81"/>
      <c r="U26" s="639">
        <f t="shared" si="17"/>
        <v>0</v>
      </c>
      <c r="V26" s="639">
        <f t="shared" si="18"/>
        <v>16</v>
      </c>
      <c r="W26" s="639">
        <f t="shared" si="19"/>
        <v>73</v>
      </c>
      <c r="X26" s="639">
        <f t="shared" si="20"/>
        <v>82</v>
      </c>
      <c r="Y26" s="639">
        <f t="shared" si="21"/>
        <v>59</v>
      </c>
      <c r="Z26" s="639">
        <f t="shared" si="22"/>
        <v>118</v>
      </c>
      <c r="AA26" s="639">
        <f t="shared" si="23"/>
        <v>229</v>
      </c>
      <c r="AB26" s="639">
        <f t="shared" si="24"/>
        <v>332</v>
      </c>
      <c r="AC26" s="639">
        <f t="shared" si="25"/>
        <v>348</v>
      </c>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row>
    <row r="27" spans="1:178" s="85" customFormat="1" ht="13">
      <c r="A27" s="70"/>
      <c r="B27" s="510">
        <v>73</v>
      </c>
      <c r="C27" s="66" t="s">
        <v>321</v>
      </c>
      <c r="D27" s="76" t="s">
        <v>1475</v>
      </c>
      <c r="E27" s="77">
        <v>241</v>
      </c>
      <c r="F27" s="77">
        <v>13</v>
      </c>
      <c r="G27" s="77">
        <v>21</v>
      </c>
      <c r="H27" s="77">
        <v>14</v>
      </c>
      <c r="I27" s="77">
        <v>12</v>
      </c>
      <c r="J27" s="77">
        <v>15</v>
      </c>
      <c r="K27" s="77">
        <v>13</v>
      </c>
      <c r="L27" s="77">
        <v>18</v>
      </c>
      <c r="M27" s="77">
        <v>25</v>
      </c>
      <c r="N27" s="77">
        <v>19</v>
      </c>
      <c r="O27" s="77">
        <v>17</v>
      </c>
      <c r="P27" s="77">
        <v>17</v>
      </c>
      <c r="Q27" s="77">
        <v>11</v>
      </c>
      <c r="R27" s="77">
        <v>25</v>
      </c>
      <c r="S27" s="77">
        <v>21</v>
      </c>
      <c r="T27" s="72"/>
      <c r="U27" s="639">
        <f t="shared" si="17"/>
        <v>13</v>
      </c>
      <c r="V27" s="639">
        <f t="shared" si="18"/>
        <v>21</v>
      </c>
      <c r="W27" s="639">
        <f t="shared" si="19"/>
        <v>41</v>
      </c>
      <c r="X27" s="639">
        <f t="shared" si="20"/>
        <v>56</v>
      </c>
      <c r="Y27" s="639">
        <f t="shared" si="21"/>
        <v>36</v>
      </c>
      <c r="Z27" s="639">
        <f t="shared" si="22"/>
        <v>74</v>
      </c>
      <c r="AA27" s="639">
        <f t="shared" si="23"/>
        <v>135</v>
      </c>
      <c r="AB27" s="639">
        <f t="shared" si="24"/>
        <v>207</v>
      </c>
      <c r="AC27" s="639">
        <f t="shared" si="25"/>
        <v>228</v>
      </c>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row>
    <row r="28" spans="1:178" ht="10.5">
      <c r="A28" s="70"/>
      <c r="B28" s="510">
        <v>83</v>
      </c>
      <c r="C28" s="66" t="s">
        <v>322</v>
      </c>
      <c r="D28" s="76" t="s">
        <v>1475</v>
      </c>
      <c r="E28" s="77">
        <v>1094</v>
      </c>
      <c r="F28" s="89">
        <v>21</v>
      </c>
      <c r="G28" s="77">
        <v>67</v>
      </c>
      <c r="H28" s="77">
        <v>85</v>
      </c>
      <c r="I28" s="77">
        <v>73</v>
      </c>
      <c r="J28" s="77">
        <v>78</v>
      </c>
      <c r="K28" s="77">
        <v>79</v>
      </c>
      <c r="L28" s="77">
        <v>71</v>
      </c>
      <c r="M28" s="77">
        <v>92</v>
      </c>
      <c r="N28" s="77">
        <v>77</v>
      </c>
      <c r="O28" s="77">
        <v>86</v>
      </c>
      <c r="P28" s="77">
        <v>108</v>
      </c>
      <c r="Q28" s="77">
        <v>87</v>
      </c>
      <c r="R28" s="77">
        <v>97</v>
      </c>
      <c r="S28" s="77">
        <v>73</v>
      </c>
      <c r="T28" s="73"/>
      <c r="U28" s="639">
        <f t="shared" si="17"/>
        <v>21</v>
      </c>
      <c r="V28" s="639">
        <f t="shared" si="18"/>
        <v>67</v>
      </c>
      <c r="W28" s="639">
        <f t="shared" si="19"/>
        <v>236</v>
      </c>
      <c r="X28" s="639">
        <f t="shared" si="20"/>
        <v>242</v>
      </c>
      <c r="Y28" s="639">
        <f t="shared" si="21"/>
        <v>163</v>
      </c>
      <c r="Z28" s="639">
        <f t="shared" si="22"/>
        <v>365</v>
      </c>
      <c r="AA28" s="639">
        <f t="shared" si="23"/>
        <v>678</v>
      </c>
      <c r="AB28" s="639">
        <f t="shared" si="24"/>
        <v>1006</v>
      </c>
      <c r="AC28" s="639">
        <f t="shared" si="25"/>
        <v>1073</v>
      </c>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row>
    <row r="29" spans="1:178" s="85" customFormat="1">
      <c r="A29" s="70"/>
      <c r="B29" s="510">
        <v>84</v>
      </c>
      <c r="C29" s="66" t="s">
        <v>323</v>
      </c>
      <c r="D29" s="76" t="s">
        <v>1475</v>
      </c>
      <c r="E29" s="77">
        <v>3619</v>
      </c>
      <c r="F29" s="77">
        <v>40</v>
      </c>
      <c r="G29" s="77">
        <v>226</v>
      </c>
      <c r="H29" s="77">
        <v>274</v>
      </c>
      <c r="I29" s="77">
        <v>286</v>
      </c>
      <c r="J29" s="77">
        <v>269</v>
      </c>
      <c r="K29" s="77">
        <v>287</v>
      </c>
      <c r="L29" s="77">
        <v>279</v>
      </c>
      <c r="M29" s="77">
        <v>236</v>
      </c>
      <c r="N29" s="77">
        <v>269</v>
      </c>
      <c r="O29" s="77">
        <v>284</v>
      </c>
      <c r="P29" s="77">
        <v>303</v>
      </c>
      <c r="Q29" s="77">
        <v>296</v>
      </c>
      <c r="R29" s="77">
        <v>277</v>
      </c>
      <c r="S29" s="77">
        <v>293</v>
      </c>
      <c r="T29" s="81"/>
      <c r="U29" s="639">
        <f t="shared" si="17"/>
        <v>40</v>
      </c>
      <c r="V29" s="639">
        <f t="shared" si="18"/>
        <v>226</v>
      </c>
      <c r="W29" s="639">
        <f t="shared" si="19"/>
        <v>829</v>
      </c>
      <c r="X29" s="639">
        <f t="shared" si="20"/>
        <v>802</v>
      </c>
      <c r="Y29" s="639">
        <f t="shared" si="21"/>
        <v>553</v>
      </c>
      <c r="Z29" s="639">
        <f t="shared" si="22"/>
        <v>1169</v>
      </c>
      <c r="AA29" s="639">
        <f t="shared" si="23"/>
        <v>2223</v>
      </c>
      <c r="AB29" s="639">
        <f t="shared" si="24"/>
        <v>3353</v>
      </c>
      <c r="AC29" s="639">
        <f t="shared" si="25"/>
        <v>3579</v>
      </c>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row>
    <row r="30" spans="1:178">
      <c r="A30" s="70"/>
      <c r="B30" s="510">
        <v>91</v>
      </c>
      <c r="C30" s="66" t="s">
        <v>324</v>
      </c>
      <c r="D30" s="76" t="s">
        <v>1475</v>
      </c>
      <c r="E30" s="77">
        <v>10410</v>
      </c>
      <c r="F30" s="77">
        <v>140</v>
      </c>
      <c r="G30" s="77">
        <v>780</v>
      </c>
      <c r="H30" s="77">
        <v>800</v>
      </c>
      <c r="I30" s="77">
        <v>850</v>
      </c>
      <c r="J30" s="77">
        <v>841</v>
      </c>
      <c r="K30" s="77">
        <v>741</v>
      </c>
      <c r="L30" s="77">
        <v>809</v>
      </c>
      <c r="M30" s="77">
        <v>762</v>
      </c>
      <c r="N30" s="77">
        <v>811</v>
      </c>
      <c r="O30" s="77">
        <v>813</v>
      </c>
      <c r="P30" s="77">
        <v>818</v>
      </c>
      <c r="Q30" s="77">
        <v>764</v>
      </c>
      <c r="R30" s="77">
        <v>785</v>
      </c>
      <c r="S30" s="77">
        <v>696</v>
      </c>
      <c r="T30" s="81"/>
      <c r="U30" s="639">
        <f t="shared" si="17"/>
        <v>140</v>
      </c>
      <c r="V30" s="639">
        <f t="shared" si="18"/>
        <v>780</v>
      </c>
      <c r="W30" s="639">
        <f t="shared" si="19"/>
        <v>2491</v>
      </c>
      <c r="X30" s="639">
        <f t="shared" si="20"/>
        <v>2312</v>
      </c>
      <c r="Y30" s="639">
        <f t="shared" si="21"/>
        <v>1624</v>
      </c>
      <c r="Z30" s="639">
        <f t="shared" si="22"/>
        <v>3063</v>
      </c>
      <c r="AA30" s="639">
        <f t="shared" si="23"/>
        <v>6359</v>
      </c>
      <c r="AB30" s="639">
        <f t="shared" si="24"/>
        <v>9490</v>
      </c>
      <c r="AC30" s="639">
        <f t="shared" si="25"/>
        <v>10270</v>
      </c>
    </row>
    <row r="31" spans="1:178" s="84" customFormat="1">
      <c r="A31" s="70"/>
      <c r="B31" s="510">
        <v>92</v>
      </c>
      <c r="C31" s="66" t="s">
        <v>325</v>
      </c>
      <c r="D31" s="76" t="s">
        <v>1475</v>
      </c>
      <c r="E31" s="77">
        <v>50</v>
      </c>
      <c r="F31" s="77">
        <v>0</v>
      </c>
      <c r="G31" s="77">
        <v>1</v>
      </c>
      <c r="H31" s="77">
        <v>5</v>
      </c>
      <c r="I31" s="77">
        <v>6</v>
      </c>
      <c r="J31" s="77">
        <v>5</v>
      </c>
      <c r="K31" s="77">
        <v>6</v>
      </c>
      <c r="L31" s="77">
        <v>8</v>
      </c>
      <c r="M31" s="77">
        <v>6</v>
      </c>
      <c r="N31" s="77">
        <v>11</v>
      </c>
      <c r="O31" s="77">
        <v>2</v>
      </c>
      <c r="P31" s="77">
        <v>0</v>
      </c>
      <c r="Q31" s="77">
        <v>0</v>
      </c>
      <c r="R31" s="77">
        <v>0</v>
      </c>
      <c r="S31" s="77">
        <v>0</v>
      </c>
      <c r="T31" s="81"/>
      <c r="U31" s="639">
        <f t="shared" si="17"/>
        <v>0</v>
      </c>
      <c r="V31" s="639">
        <f t="shared" si="18"/>
        <v>1</v>
      </c>
      <c r="W31" s="639">
        <f t="shared" si="19"/>
        <v>16</v>
      </c>
      <c r="X31" s="639">
        <f t="shared" si="20"/>
        <v>20</v>
      </c>
      <c r="Y31" s="639">
        <f t="shared" si="21"/>
        <v>13</v>
      </c>
      <c r="Z31" s="639">
        <f t="shared" si="22"/>
        <v>0</v>
      </c>
      <c r="AA31" s="639">
        <f t="shared" si="23"/>
        <v>38</v>
      </c>
      <c r="AB31" s="639">
        <f t="shared" si="24"/>
        <v>49</v>
      </c>
      <c r="AC31" s="639">
        <f t="shared" si="25"/>
        <v>50</v>
      </c>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row>
    <row r="32" spans="1:178" ht="10.5">
      <c r="A32" s="70"/>
      <c r="B32" s="510">
        <v>93</v>
      </c>
      <c r="C32" s="66" t="s">
        <v>326</v>
      </c>
      <c r="D32" s="76" t="s">
        <v>1475</v>
      </c>
      <c r="E32" s="77">
        <v>11888</v>
      </c>
      <c r="F32" s="77">
        <v>127</v>
      </c>
      <c r="G32" s="78">
        <v>903</v>
      </c>
      <c r="H32" s="78">
        <v>1009</v>
      </c>
      <c r="I32" s="78">
        <v>961</v>
      </c>
      <c r="J32" s="78">
        <v>976</v>
      </c>
      <c r="K32" s="78">
        <v>931</v>
      </c>
      <c r="L32" s="78">
        <v>928</v>
      </c>
      <c r="M32" s="78">
        <v>923</v>
      </c>
      <c r="N32" s="78">
        <v>920</v>
      </c>
      <c r="O32" s="78">
        <v>910</v>
      </c>
      <c r="P32" s="89">
        <v>905</v>
      </c>
      <c r="Q32" s="89">
        <v>804</v>
      </c>
      <c r="R32" s="89">
        <v>827</v>
      </c>
      <c r="S32" s="89">
        <v>764</v>
      </c>
      <c r="T32" s="73"/>
      <c r="U32" s="639">
        <f t="shared" si="17"/>
        <v>127</v>
      </c>
      <c r="V32" s="639">
        <f t="shared" si="18"/>
        <v>903</v>
      </c>
      <c r="W32" s="639">
        <f t="shared" si="19"/>
        <v>2946</v>
      </c>
      <c r="X32" s="639">
        <f t="shared" si="20"/>
        <v>2782</v>
      </c>
      <c r="Y32" s="639">
        <f t="shared" si="21"/>
        <v>1830</v>
      </c>
      <c r="Z32" s="639">
        <f t="shared" si="22"/>
        <v>3300</v>
      </c>
      <c r="AA32" s="639">
        <f t="shared" si="23"/>
        <v>7297</v>
      </c>
      <c r="AB32" s="639">
        <f t="shared" si="24"/>
        <v>10858</v>
      </c>
      <c r="AC32" s="639">
        <f t="shared" si="25"/>
        <v>11761</v>
      </c>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row>
    <row r="33" spans="1:117" ht="10.5">
      <c r="A33" s="70"/>
      <c r="B33" s="510">
        <v>101</v>
      </c>
      <c r="C33" s="66" t="s">
        <v>327</v>
      </c>
      <c r="D33" s="76" t="s">
        <v>1475</v>
      </c>
      <c r="E33" s="77">
        <v>1429</v>
      </c>
      <c r="F33" s="77">
        <v>33</v>
      </c>
      <c r="G33" s="77">
        <v>88</v>
      </c>
      <c r="H33" s="77">
        <v>115</v>
      </c>
      <c r="I33" s="77">
        <v>99</v>
      </c>
      <c r="J33" s="77">
        <v>102</v>
      </c>
      <c r="K33" s="77">
        <v>103</v>
      </c>
      <c r="L33" s="77">
        <v>124</v>
      </c>
      <c r="M33" s="77">
        <v>89</v>
      </c>
      <c r="N33" s="77">
        <v>121</v>
      </c>
      <c r="O33" s="77">
        <v>102</v>
      </c>
      <c r="P33" s="77">
        <v>111</v>
      </c>
      <c r="Q33" s="77">
        <v>133</v>
      </c>
      <c r="R33" s="77">
        <v>110</v>
      </c>
      <c r="S33" s="77">
        <v>99</v>
      </c>
      <c r="T33" s="91"/>
      <c r="U33" s="639">
        <f t="shared" si="17"/>
        <v>33</v>
      </c>
      <c r="V33" s="639">
        <f t="shared" si="18"/>
        <v>88</v>
      </c>
      <c r="W33" s="639">
        <f t="shared" si="19"/>
        <v>316</v>
      </c>
      <c r="X33" s="639">
        <f t="shared" si="20"/>
        <v>316</v>
      </c>
      <c r="Y33" s="639">
        <f t="shared" si="21"/>
        <v>223</v>
      </c>
      <c r="Z33" s="639">
        <f t="shared" si="22"/>
        <v>453</v>
      </c>
      <c r="AA33" s="639">
        <f t="shared" si="23"/>
        <v>885</v>
      </c>
      <c r="AB33" s="639">
        <f t="shared" si="24"/>
        <v>1308</v>
      </c>
      <c r="AC33" s="639">
        <f t="shared" si="25"/>
        <v>1396</v>
      </c>
    </row>
    <row r="34" spans="1:117">
      <c r="A34" s="70"/>
      <c r="B34" s="510">
        <v>111</v>
      </c>
      <c r="C34" s="66" t="s">
        <v>328</v>
      </c>
      <c r="D34" s="76" t="s">
        <v>1475</v>
      </c>
      <c r="E34" s="77">
        <v>438</v>
      </c>
      <c r="F34" s="77">
        <v>10</v>
      </c>
      <c r="G34" s="77">
        <v>36</v>
      </c>
      <c r="H34" s="77">
        <v>40</v>
      </c>
      <c r="I34" s="77">
        <v>45</v>
      </c>
      <c r="J34" s="77">
        <v>25</v>
      </c>
      <c r="K34" s="77">
        <v>39</v>
      </c>
      <c r="L34" s="77">
        <v>31</v>
      </c>
      <c r="M34" s="77">
        <v>42</v>
      </c>
      <c r="N34" s="77">
        <v>42</v>
      </c>
      <c r="O34" s="77">
        <v>26</v>
      </c>
      <c r="P34" s="77">
        <v>24</v>
      </c>
      <c r="Q34" s="77">
        <v>25</v>
      </c>
      <c r="R34" s="77">
        <v>30</v>
      </c>
      <c r="S34" s="77">
        <v>23</v>
      </c>
      <c r="T34" s="81"/>
      <c r="U34" s="639">
        <f t="shared" si="17"/>
        <v>10</v>
      </c>
      <c r="V34" s="639">
        <f t="shared" si="18"/>
        <v>36</v>
      </c>
      <c r="W34" s="639">
        <f t="shared" si="19"/>
        <v>110</v>
      </c>
      <c r="X34" s="639">
        <f t="shared" si="20"/>
        <v>112</v>
      </c>
      <c r="Y34" s="639">
        <f t="shared" si="21"/>
        <v>68</v>
      </c>
      <c r="Z34" s="639">
        <f t="shared" si="22"/>
        <v>102</v>
      </c>
      <c r="AA34" s="639">
        <f t="shared" si="23"/>
        <v>254</v>
      </c>
      <c r="AB34" s="639">
        <f t="shared" si="24"/>
        <v>392</v>
      </c>
      <c r="AC34" s="639">
        <f t="shared" si="25"/>
        <v>428</v>
      </c>
    </row>
    <row r="35" spans="1:117" s="90" customFormat="1">
      <c r="A35" s="70"/>
      <c r="B35" s="510">
        <v>121</v>
      </c>
      <c r="C35" s="66" t="s">
        <v>329</v>
      </c>
      <c r="D35" s="76" t="s">
        <v>1475</v>
      </c>
      <c r="E35" s="77">
        <v>138</v>
      </c>
      <c r="F35" s="77">
        <v>2</v>
      </c>
      <c r="G35" s="77">
        <v>7</v>
      </c>
      <c r="H35" s="77">
        <v>12</v>
      </c>
      <c r="I35" s="77">
        <v>10</v>
      </c>
      <c r="J35" s="77">
        <v>16</v>
      </c>
      <c r="K35" s="77">
        <v>17</v>
      </c>
      <c r="L35" s="77">
        <v>8</v>
      </c>
      <c r="M35" s="77">
        <v>12</v>
      </c>
      <c r="N35" s="77">
        <v>9</v>
      </c>
      <c r="O35" s="77">
        <v>11</v>
      </c>
      <c r="P35" s="77">
        <v>14</v>
      </c>
      <c r="Q35" s="77">
        <v>6</v>
      </c>
      <c r="R35" s="77">
        <v>6</v>
      </c>
      <c r="S35" s="77">
        <v>8</v>
      </c>
      <c r="T35" s="81"/>
      <c r="U35" s="639">
        <f t="shared" si="17"/>
        <v>2</v>
      </c>
      <c r="V35" s="639">
        <f t="shared" si="18"/>
        <v>7</v>
      </c>
      <c r="W35" s="639">
        <f t="shared" si="19"/>
        <v>38</v>
      </c>
      <c r="X35" s="639">
        <f t="shared" si="20"/>
        <v>37</v>
      </c>
      <c r="Y35" s="639">
        <f t="shared" si="21"/>
        <v>20</v>
      </c>
      <c r="Z35" s="639">
        <f t="shared" si="22"/>
        <v>34</v>
      </c>
      <c r="AA35" s="639">
        <f t="shared" si="23"/>
        <v>93</v>
      </c>
      <c r="AB35" s="639">
        <f t="shared" si="24"/>
        <v>129</v>
      </c>
      <c r="AC35" s="639">
        <f t="shared" si="25"/>
        <v>136</v>
      </c>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row>
    <row r="36" spans="1:117" s="85" customFormat="1">
      <c r="A36" s="70"/>
      <c r="B36" s="510">
        <v>131</v>
      </c>
      <c r="C36" s="66" t="s">
        <v>330</v>
      </c>
      <c r="D36" s="76" t="s">
        <v>1475</v>
      </c>
      <c r="E36" s="77">
        <v>15625</v>
      </c>
      <c r="F36" s="77">
        <v>131</v>
      </c>
      <c r="G36" s="77">
        <v>1081</v>
      </c>
      <c r="H36" s="77">
        <v>1199</v>
      </c>
      <c r="I36" s="77">
        <v>1222</v>
      </c>
      <c r="J36" s="77">
        <v>1252</v>
      </c>
      <c r="K36" s="77">
        <v>1260</v>
      </c>
      <c r="L36" s="77">
        <v>1267</v>
      </c>
      <c r="M36" s="77">
        <v>1255</v>
      </c>
      <c r="N36" s="77">
        <v>1144</v>
      </c>
      <c r="O36" s="77">
        <v>1167</v>
      </c>
      <c r="P36" s="77">
        <v>1211</v>
      </c>
      <c r="Q36" s="77">
        <v>1159</v>
      </c>
      <c r="R36" s="77">
        <v>1136</v>
      </c>
      <c r="S36" s="77">
        <v>1141</v>
      </c>
      <c r="T36" s="81"/>
      <c r="U36" s="639">
        <f t="shared" si="17"/>
        <v>131</v>
      </c>
      <c r="V36" s="639">
        <f t="shared" si="18"/>
        <v>1081</v>
      </c>
      <c r="W36" s="639">
        <f t="shared" si="19"/>
        <v>3673</v>
      </c>
      <c r="X36" s="639">
        <f t="shared" si="20"/>
        <v>3782</v>
      </c>
      <c r="Y36" s="639">
        <f t="shared" si="21"/>
        <v>2311</v>
      </c>
      <c r="Z36" s="639">
        <f t="shared" si="22"/>
        <v>4647</v>
      </c>
      <c r="AA36" s="639">
        <f t="shared" si="23"/>
        <v>9715</v>
      </c>
      <c r="AB36" s="639">
        <f t="shared" si="24"/>
        <v>14413</v>
      </c>
      <c r="AC36" s="639">
        <f t="shared" si="25"/>
        <v>15494</v>
      </c>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row>
    <row r="37" spans="1:117" s="90" customFormat="1">
      <c r="A37" s="70"/>
      <c r="B37" s="510">
        <v>132</v>
      </c>
      <c r="C37" s="66" t="s">
        <v>331</v>
      </c>
      <c r="D37" s="76" t="s">
        <v>1475</v>
      </c>
      <c r="E37" s="77">
        <v>6300</v>
      </c>
      <c r="F37" s="77">
        <v>50</v>
      </c>
      <c r="G37" s="77">
        <v>535</v>
      </c>
      <c r="H37" s="77">
        <v>495</v>
      </c>
      <c r="I37" s="77">
        <v>556</v>
      </c>
      <c r="J37" s="77">
        <v>560</v>
      </c>
      <c r="K37" s="77">
        <v>536</v>
      </c>
      <c r="L37" s="77">
        <v>503</v>
      </c>
      <c r="M37" s="77">
        <v>463</v>
      </c>
      <c r="N37" s="77">
        <v>448</v>
      </c>
      <c r="O37" s="77">
        <v>477</v>
      </c>
      <c r="P37" s="77">
        <v>540</v>
      </c>
      <c r="Q37" s="77">
        <v>388</v>
      </c>
      <c r="R37" s="77">
        <v>405</v>
      </c>
      <c r="S37" s="77">
        <v>344</v>
      </c>
      <c r="T37" s="81"/>
      <c r="U37" s="639">
        <f t="shared" si="17"/>
        <v>50</v>
      </c>
      <c r="V37" s="639">
        <f t="shared" si="18"/>
        <v>535</v>
      </c>
      <c r="W37" s="639">
        <f t="shared" si="19"/>
        <v>1611</v>
      </c>
      <c r="X37" s="639">
        <f t="shared" si="20"/>
        <v>1502</v>
      </c>
      <c r="Y37" s="639">
        <f t="shared" si="21"/>
        <v>925</v>
      </c>
      <c r="Z37" s="639">
        <f t="shared" si="22"/>
        <v>1677</v>
      </c>
      <c r="AA37" s="639">
        <f t="shared" si="23"/>
        <v>3915</v>
      </c>
      <c r="AB37" s="639">
        <f t="shared" si="24"/>
        <v>5715</v>
      </c>
      <c r="AC37" s="639">
        <f t="shared" si="25"/>
        <v>6250</v>
      </c>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row>
    <row r="38" spans="1:117" s="61" customFormat="1">
      <c r="A38" s="70"/>
      <c r="B38" s="510">
        <v>133</v>
      </c>
      <c r="C38" s="66" t="s">
        <v>332</v>
      </c>
      <c r="D38" s="76" t="s">
        <v>1475</v>
      </c>
      <c r="E38" s="77">
        <v>469</v>
      </c>
      <c r="F38" s="77">
        <v>19</v>
      </c>
      <c r="G38" s="77">
        <v>43</v>
      </c>
      <c r="H38" s="77">
        <v>47</v>
      </c>
      <c r="I38" s="77">
        <v>41</v>
      </c>
      <c r="J38" s="77">
        <v>33</v>
      </c>
      <c r="K38" s="77">
        <v>48</v>
      </c>
      <c r="L38" s="77">
        <v>39</v>
      </c>
      <c r="M38" s="77">
        <v>41</v>
      </c>
      <c r="N38" s="77">
        <v>33</v>
      </c>
      <c r="O38" s="77">
        <v>20</v>
      </c>
      <c r="P38" s="77">
        <v>29</v>
      </c>
      <c r="Q38" s="77">
        <v>30</v>
      </c>
      <c r="R38" s="77">
        <v>26</v>
      </c>
      <c r="S38" s="77">
        <v>20</v>
      </c>
      <c r="T38" s="81"/>
      <c r="U38" s="639">
        <f t="shared" si="17"/>
        <v>19</v>
      </c>
      <c r="V38" s="639">
        <f t="shared" si="18"/>
        <v>43</v>
      </c>
      <c r="W38" s="639">
        <f t="shared" si="19"/>
        <v>121</v>
      </c>
      <c r="X38" s="639">
        <f t="shared" si="20"/>
        <v>128</v>
      </c>
      <c r="Y38" s="639">
        <f t="shared" si="21"/>
        <v>53</v>
      </c>
      <c r="Z38" s="639">
        <f t="shared" si="22"/>
        <v>105</v>
      </c>
      <c r="AA38" s="639">
        <f t="shared" si="23"/>
        <v>273</v>
      </c>
      <c r="AB38" s="639">
        <f t="shared" si="24"/>
        <v>407</v>
      </c>
      <c r="AC38" s="639">
        <f t="shared" si="25"/>
        <v>450</v>
      </c>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row>
    <row r="39" spans="1:117" s="85" customFormat="1">
      <c r="A39" s="70"/>
      <c r="B39" s="510">
        <v>134</v>
      </c>
      <c r="C39" s="92" t="s">
        <v>333</v>
      </c>
      <c r="D39" s="76" t="s">
        <v>1475</v>
      </c>
      <c r="E39" s="77">
        <v>3874</v>
      </c>
      <c r="F39" s="77">
        <v>25</v>
      </c>
      <c r="G39" s="77">
        <v>237</v>
      </c>
      <c r="H39" s="77">
        <v>279</v>
      </c>
      <c r="I39" s="77">
        <v>286</v>
      </c>
      <c r="J39" s="77">
        <v>308</v>
      </c>
      <c r="K39" s="77">
        <v>260</v>
      </c>
      <c r="L39" s="77">
        <v>310</v>
      </c>
      <c r="M39" s="77">
        <v>277</v>
      </c>
      <c r="N39" s="77">
        <v>338</v>
      </c>
      <c r="O39" s="77">
        <v>299</v>
      </c>
      <c r="P39" s="77">
        <v>359</v>
      </c>
      <c r="Q39" s="77">
        <v>309</v>
      </c>
      <c r="R39" s="77">
        <v>297</v>
      </c>
      <c r="S39" s="77">
        <v>290</v>
      </c>
      <c r="T39" s="81"/>
      <c r="U39" s="639">
        <f t="shared" si="17"/>
        <v>25</v>
      </c>
      <c r="V39" s="639">
        <f t="shared" si="18"/>
        <v>237</v>
      </c>
      <c r="W39" s="639">
        <f t="shared" si="19"/>
        <v>873</v>
      </c>
      <c r="X39" s="639">
        <f t="shared" si="20"/>
        <v>847</v>
      </c>
      <c r="Y39" s="639">
        <f t="shared" si="21"/>
        <v>637</v>
      </c>
      <c r="Z39" s="639">
        <f t="shared" si="22"/>
        <v>1255</v>
      </c>
      <c r="AA39" s="639">
        <f t="shared" si="23"/>
        <v>2460</v>
      </c>
      <c r="AB39" s="639">
        <f t="shared" si="24"/>
        <v>3612</v>
      </c>
      <c r="AC39" s="639">
        <f t="shared" si="25"/>
        <v>3849</v>
      </c>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row>
    <row r="40" spans="1:117" s="90" customFormat="1">
      <c r="A40" s="70"/>
      <c r="B40" s="510">
        <v>135</v>
      </c>
      <c r="C40" s="92" t="s">
        <v>334</v>
      </c>
      <c r="D40" s="76" t="s">
        <v>1475</v>
      </c>
      <c r="E40" s="77">
        <v>402</v>
      </c>
      <c r="F40" s="77">
        <v>0</v>
      </c>
      <c r="G40" s="77">
        <v>27</v>
      </c>
      <c r="H40" s="77">
        <v>30</v>
      </c>
      <c r="I40" s="77">
        <v>26</v>
      </c>
      <c r="J40" s="77">
        <v>24</v>
      </c>
      <c r="K40" s="77">
        <v>26</v>
      </c>
      <c r="L40" s="77">
        <v>35</v>
      </c>
      <c r="M40" s="77">
        <v>33</v>
      </c>
      <c r="N40" s="77">
        <v>36</v>
      </c>
      <c r="O40" s="77">
        <v>34</v>
      </c>
      <c r="P40" s="77">
        <v>37</v>
      </c>
      <c r="Q40" s="77">
        <v>37</v>
      </c>
      <c r="R40" s="77">
        <v>31</v>
      </c>
      <c r="S40" s="77">
        <v>26</v>
      </c>
      <c r="T40" s="81"/>
      <c r="U40" s="639">
        <f t="shared" si="17"/>
        <v>0</v>
      </c>
      <c r="V40" s="639">
        <f t="shared" si="18"/>
        <v>27</v>
      </c>
      <c r="W40" s="639">
        <f t="shared" si="19"/>
        <v>80</v>
      </c>
      <c r="X40" s="639">
        <f t="shared" si="20"/>
        <v>94</v>
      </c>
      <c r="Y40" s="639">
        <f t="shared" si="21"/>
        <v>70</v>
      </c>
      <c r="Z40" s="639">
        <f t="shared" si="22"/>
        <v>131</v>
      </c>
      <c r="AA40" s="639">
        <f t="shared" si="23"/>
        <v>262</v>
      </c>
      <c r="AB40" s="639">
        <f t="shared" si="24"/>
        <v>375</v>
      </c>
      <c r="AC40" s="639">
        <f t="shared" si="25"/>
        <v>402</v>
      </c>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row>
    <row r="41" spans="1:117">
      <c r="A41" s="70"/>
      <c r="B41" s="510">
        <v>136</v>
      </c>
      <c r="C41" s="92" t="s">
        <v>335</v>
      </c>
      <c r="D41" s="76" t="s">
        <v>1475</v>
      </c>
      <c r="E41" s="77">
        <v>804</v>
      </c>
      <c r="F41" s="77">
        <v>7</v>
      </c>
      <c r="G41" s="77">
        <v>50</v>
      </c>
      <c r="H41" s="77">
        <v>58</v>
      </c>
      <c r="I41" s="77">
        <v>63</v>
      </c>
      <c r="J41" s="77">
        <v>57</v>
      </c>
      <c r="K41" s="77">
        <v>56</v>
      </c>
      <c r="L41" s="77">
        <v>58</v>
      </c>
      <c r="M41" s="77">
        <v>62</v>
      </c>
      <c r="N41" s="77">
        <v>58</v>
      </c>
      <c r="O41" s="77">
        <v>59</v>
      </c>
      <c r="P41" s="77">
        <v>77</v>
      </c>
      <c r="Q41" s="77">
        <v>73</v>
      </c>
      <c r="R41" s="77">
        <v>62</v>
      </c>
      <c r="S41" s="77">
        <v>64</v>
      </c>
      <c r="T41" s="81"/>
      <c r="U41" s="639">
        <f t="shared" si="17"/>
        <v>7</v>
      </c>
      <c r="V41" s="639">
        <f t="shared" si="18"/>
        <v>50</v>
      </c>
      <c r="W41" s="639">
        <f t="shared" si="19"/>
        <v>178</v>
      </c>
      <c r="X41" s="639">
        <f t="shared" si="20"/>
        <v>176</v>
      </c>
      <c r="Y41" s="639">
        <f t="shared" si="21"/>
        <v>117</v>
      </c>
      <c r="Z41" s="639">
        <f t="shared" si="22"/>
        <v>276</v>
      </c>
      <c r="AA41" s="639">
        <f t="shared" si="23"/>
        <v>500</v>
      </c>
      <c r="AB41" s="639">
        <f t="shared" si="24"/>
        <v>747</v>
      </c>
      <c r="AC41" s="639">
        <f t="shared" si="25"/>
        <v>797</v>
      </c>
    </row>
    <row r="42" spans="1:117" s="84" customFormat="1" ht="10.5">
      <c r="A42" s="70"/>
      <c r="B42" s="510">
        <v>137</v>
      </c>
      <c r="C42" s="66" t="s">
        <v>336</v>
      </c>
      <c r="D42" s="76" t="s">
        <v>1475</v>
      </c>
      <c r="E42" s="77">
        <v>1027</v>
      </c>
      <c r="F42" s="77">
        <v>3</v>
      </c>
      <c r="G42" s="77">
        <v>82</v>
      </c>
      <c r="H42" s="77">
        <v>65</v>
      </c>
      <c r="I42" s="77">
        <v>85</v>
      </c>
      <c r="J42" s="77">
        <v>82</v>
      </c>
      <c r="K42" s="77">
        <v>76</v>
      </c>
      <c r="L42" s="77">
        <v>73</v>
      </c>
      <c r="M42" s="77">
        <v>78</v>
      </c>
      <c r="N42" s="77">
        <v>79</v>
      </c>
      <c r="O42" s="77">
        <v>85</v>
      </c>
      <c r="P42" s="77">
        <v>74</v>
      </c>
      <c r="Q42" s="77">
        <v>85</v>
      </c>
      <c r="R42" s="77">
        <v>87</v>
      </c>
      <c r="S42" s="77">
        <v>73</v>
      </c>
      <c r="T42" s="73"/>
      <c r="U42" s="639">
        <f t="shared" si="17"/>
        <v>3</v>
      </c>
      <c r="V42" s="639">
        <f t="shared" si="18"/>
        <v>82</v>
      </c>
      <c r="W42" s="639">
        <f t="shared" si="19"/>
        <v>232</v>
      </c>
      <c r="X42" s="639">
        <f t="shared" si="20"/>
        <v>227</v>
      </c>
      <c r="Y42" s="639">
        <f t="shared" si="21"/>
        <v>164</v>
      </c>
      <c r="Z42" s="639">
        <f t="shared" si="22"/>
        <v>319</v>
      </c>
      <c r="AA42" s="639">
        <f t="shared" si="23"/>
        <v>632</v>
      </c>
      <c r="AB42" s="639">
        <f t="shared" si="24"/>
        <v>942</v>
      </c>
      <c r="AC42" s="639">
        <f t="shared" si="25"/>
        <v>1024</v>
      </c>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row>
    <row r="43" spans="1:117" ht="10.5">
      <c r="A43" s="70"/>
      <c r="B43" s="510">
        <v>139</v>
      </c>
      <c r="C43" s="66" t="s">
        <v>337</v>
      </c>
      <c r="D43" s="76" t="s">
        <v>1475</v>
      </c>
      <c r="E43" s="77">
        <v>8561</v>
      </c>
      <c r="F43" s="77">
        <v>50</v>
      </c>
      <c r="G43" s="77">
        <v>672</v>
      </c>
      <c r="H43" s="77">
        <v>687</v>
      </c>
      <c r="I43" s="77">
        <v>726</v>
      </c>
      <c r="J43" s="77">
        <v>763</v>
      </c>
      <c r="K43" s="77">
        <v>709</v>
      </c>
      <c r="L43" s="77">
        <v>704</v>
      </c>
      <c r="M43" s="77">
        <v>684</v>
      </c>
      <c r="N43" s="77">
        <v>652</v>
      </c>
      <c r="O43" s="77">
        <v>671</v>
      </c>
      <c r="P43" s="77">
        <v>624</v>
      </c>
      <c r="Q43" s="77">
        <v>600</v>
      </c>
      <c r="R43" s="77">
        <v>514</v>
      </c>
      <c r="S43" s="77">
        <v>505</v>
      </c>
      <c r="T43" s="94"/>
      <c r="U43" s="639">
        <f t="shared" si="17"/>
        <v>50</v>
      </c>
      <c r="V43" s="639">
        <f t="shared" si="18"/>
        <v>672</v>
      </c>
      <c r="W43" s="639">
        <f t="shared" si="19"/>
        <v>2176</v>
      </c>
      <c r="X43" s="639">
        <f t="shared" si="20"/>
        <v>2097</v>
      </c>
      <c r="Y43" s="639">
        <f t="shared" si="21"/>
        <v>1323</v>
      </c>
      <c r="Z43" s="639">
        <f t="shared" si="22"/>
        <v>2243</v>
      </c>
      <c r="AA43" s="639">
        <f t="shared" si="23"/>
        <v>5407</v>
      </c>
      <c r="AB43" s="639">
        <f t="shared" si="24"/>
        <v>7839</v>
      </c>
      <c r="AC43" s="639">
        <f t="shared" si="25"/>
        <v>8511</v>
      </c>
    </row>
    <row r="44" spans="1:117" s="85" customFormat="1" ht="14.5">
      <c r="A44" s="70"/>
      <c r="B44" s="510">
        <v>148</v>
      </c>
      <c r="C44" s="66" t="s">
        <v>338</v>
      </c>
      <c r="D44" s="76" t="s">
        <v>1475</v>
      </c>
      <c r="E44" s="77">
        <v>522</v>
      </c>
      <c r="F44" s="77">
        <v>7</v>
      </c>
      <c r="G44" s="77">
        <v>50</v>
      </c>
      <c r="H44" s="77">
        <v>27</v>
      </c>
      <c r="I44" s="77">
        <v>49</v>
      </c>
      <c r="J44" s="77">
        <v>45</v>
      </c>
      <c r="K44" s="77">
        <v>35</v>
      </c>
      <c r="L44" s="77">
        <v>44</v>
      </c>
      <c r="M44" s="77">
        <v>37</v>
      </c>
      <c r="N44" s="77">
        <v>44</v>
      </c>
      <c r="O44" s="77">
        <v>42</v>
      </c>
      <c r="P44" s="77">
        <v>28</v>
      </c>
      <c r="Q44" s="77">
        <v>35</v>
      </c>
      <c r="R44" s="77">
        <v>43</v>
      </c>
      <c r="S44" s="77">
        <v>36</v>
      </c>
      <c r="T44" s="4"/>
      <c r="U44" s="639">
        <f t="shared" si="17"/>
        <v>7</v>
      </c>
      <c r="V44" s="639">
        <f t="shared" si="18"/>
        <v>50</v>
      </c>
      <c r="W44" s="639">
        <f t="shared" si="19"/>
        <v>121</v>
      </c>
      <c r="X44" s="639">
        <f t="shared" si="20"/>
        <v>116</v>
      </c>
      <c r="Y44" s="639">
        <f t="shared" si="21"/>
        <v>86</v>
      </c>
      <c r="Z44" s="639">
        <f t="shared" si="22"/>
        <v>142</v>
      </c>
      <c r="AA44" s="639">
        <f t="shared" si="23"/>
        <v>310</v>
      </c>
      <c r="AB44" s="639">
        <f t="shared" si="24"/>
        <v>465</v>
      </c>
      <c r="AC44" s="639">
        <f t="shared" si="25"/>
        <v>515</v>
      </c>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row>
    <row r="45" spans="1:117">
      <c r="A45" s="70"/>
      <c r="B45" s="510">
        <v>149</v>
      </c>
      <c r="C45" s="66" t="s">
        <v>339</v>
      </c>
      <c r="D45" s="76" t="s">
        <v>1475</v>
      </c>
      <c r="E45" s="77">
        <v>187</v>
      </c>
      <c r="F45" s="77">
        <v>3</v>
      </c>
      <c r="G45" s="77">
        <v>18</v>
      </c>
      <c r="H45" s="77">
        <v>10</v>
      </c>
      <c r="I45" s="77">
        <v>13</v>
      </c>
      <c r="J45" s="77">
        <v>11</v>
      </c>
      <c r="K45" s="77">
        <v>11</v>
      </c>
      <c r="L45" s="77">
        <v>11</v>
      </c>
      <c r="M45" s="77">
        <v>12</v>
      </c>
      <c r="N45" s="77">
        <v>16</v>
      </c>
      <c r="O45" s="77">
        <v>18</v>
      </c>
      <c r="P45" s="77">
        <v>12</v>
      </c>
      <c r="Q45" s="77">
        <v>16</v>
      </c>
      <c r="R45" s="77">
        <v>19</v>
      </c>
      <c r="S45" s="77">
        <v>17</v>
      </c>
      <c r="T45" s="81"/>
      <c r="U45" s="639">
        <f t="shared" si="17"/>
        <v>3</v>
      </c>
      <c r="V45" s="639">
        <f t="shared" si="18"/>
        <v>18</v>
      </c>
      <c r="W45" s="639">
        <f t="shared" si="19"/>
        <v>34</v>
      </c>
      <c r="X45" s="639">
        <f t="shared" si="20"/>
        <v>34</v>
      </c>
      <c r="Y45" s="639">
        <f t="shared" si="21"/>
        <v>34</v>
      </c>
      <c r="Z45" s="639">
        <f t="shared" si="22"/>
        <v>64</v>
      </c>
      <c r="AA45" s="639">
        <f t="shared" si="23"/>
        <v>107</v>
      </c>
      <c r="AB45" s="639">
        <f t="shared" si="24"/>
        <v>166</v>
      </c>
      <c r="AC45" s="639">
        <f t="shared" si="25"/>
        <v>184</v>
      </c>
    </row>
    <row r="46" spans="1:117" s="85" customFormat="1" ht="10.5">
      <c r="A46" s="70"/>
      <c r="B46" s="510">
        <v>150</v>
      </c>
      <c r="C46" s="66" t="s">
        <v>340</v>
      </c>
      <c r="D46" s="76" t="s">
        <v>1475</v>
      </c>
      <c r="E46" s="77">
        <v>850</v>
      </c>
      <c r="F46" s="77">
        <v>16</v>
      </c>
      <c r="G46" s="77">
        <v>64</v>
      </c>
      <c r="H46" s="77">
        <v>64</v>
      </c>
      <c r="I46" s="77">
        <v>71</v>
      </c>
      <c r="J46" s="77">
        <v>60</v>
      </c>
      <c r="K46" s="77">
        <v>53</v>
      </c>
      <c r="L46" s="77">
        <v>82</v>
      </c>
      <c r="M46" s="77">
        <v>59</v>
      </c>
      <c r="N46" s="77">
        <v>75</v>
      </c>
      <c r="O46" s="77">
        <v>58</v>
      </c>
      <c r="P46" s="77">
        <v>70</v>
      </c>
      <c r="Q46" s="77">
        <v>71</v>
      </c>
      <c r="R46" s="77">
        <v>56</v>
      </c>
      <c r="S46" s="77">
        <v>51</v>
      </c>
      <c r="T46" s="65"/>
      <c r="U46" s="639">
        <f t="shared" si="17"/>
        <v>16</v>
      </c>
      <c r="V46" s="639">
        <f t="shared" si="18"/>
        <v>64</v>
      </c>
      <c r="W46" s="639">
        <f t="shared" si="19"/>
        <v>195</v>
      </c>
      <c r="X46" s="639">
        <f t="shared" si="20"/>
        <v>194</v>
      </c>
      <c r="Y46" s="639">
        <f t="shared" si="21"/>
        <v>133</v>
      </c>
      <c r="Z46" s="639">
        <f t="shared" si="22"/>
        <v>248</v>
      </c>
      <c r="AA46" s="639">
        <f t="shared" si="23"/>
        <v>528</v>
      </c>
      <c r="AB46" s="639">
        <f t="shared" si="24"/>
        <v>770</v>
      </c>
      <c r="AC46" s="639">
        <f t="shared" si="25"/>
        <v>834</v>
      </c>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row>
    <row r="47" spans="1:117" ht="10.5">
      <c r="A47" s="70"/>
      <c r="B47" s="510">
        <v>151</v>
      </c>
      <c r="C47" s="66" t="s">
        <v>341</v>
      </c>
      <c r="D47" s="76" t="s">
        <v>1475</v>
      </c>
      <c r="E47" s="77">
        <v>5412</v>
      </c>
      <c r="F47" s="77">
        <v>60</v>
      </c>
      <c r="G47" s="77">
        <v>442</v>
      </c>
      <c r="H47" s="77">
        <v>433</v>
      </c>
      <c r="I47" s="77">
        <v>413</v>
      </c>
      <c r="J47" s="77">
        <v>450</v>
      </c>
      <c r="K47" s="77">
        <v>426</v>
      </c>
      <c r="L47" s="77">
        <v>446</v>
      </c>
      <c r="M47" s="77">
        <v>419</v>
      </c>
      <c r="N47" s="77">
        <v>404</v>
      </c>
      <c r="O47" s="77">
        <v>409</v>
      </c>
      <c r="P47" s="77">
        <v>404</v>
      </c>
      <c r="Q47" s="77">
        <v>428</v>
      </c>
      <c r="R47" s="77">
        <v>341</v>
      </c>
      <c r="S47" s="77">
        <v>337</v>
      </c>
      <c r="T47" s="65"/>
      <c r="U47" s="639">
        <f t="shared" si="17"/>
        <v>60</v>
      </c>
      <c r="V47" s="639">
        <f t="shared" si="18"/>
        <v>442</v>
      </c>
      <c r="W47" s="639">
        <f t="shared" si="19"/>
        <v>1296</v>
      </c>
      <c r="X47" s="639">
        <f t="shared" si="20"/>
        <v>1291</v>
      </c>
      <c r="Y47" s="639">
        <f t="shared" si="21"/>
        <v>813</v>
      </c>
      <c r="Z47" s="639">
        <f t="shared" si="22"/>
        <v>1510</v>
      </c>
      <c r="AA47" s="639">
        <f t="shared" si="23"/>
        <v>3386</v>
      </c>
      <c r="AB47" s="639">
        <f t="shared" si="24"/>
        <v>4910</v>
      </c>
      <c r="AC47" s="639">
        <f t="shared" si="25"/>
        <v>5352</v>
      </c>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row>
    <row r="48" spans="1:117" s="85" customFormat="1" ht="13">
      <c r="A48" s="70"/>
      <c r="B48" s="510">
        <v>161</v>
      </c>
      <c r="C48" s="66" t="s">
        <v>342</v>
      </c>
      <c r="D48" s="76" t="s">
        <v>1475</v>
      </c>
      <c r="E48" s="77">
        <v>150</v>
      </c>
      <c r="F48" s="77">
        <v>0</v>
      </c>
      <c r="G48" s="77">
        <v>11</v>
      </c>
      <c r="H48" s="77">
        <v>11</v>
      </c>
      <c r="I48" s="77">
        <v>10</v>
      </c>
      <c r="J48" s="77">
        <v>8</v>
      </c>
      <c r="K48" s="77">
        <v>12</v>
      </c>
      <c r="L48" s="77">
        <v>16</v>
      </c>
      <c r="M48" s="77">
        <v>9</v>
      </c>
      <c r="N48" s="77">
        <v>10</v>
      </c>
      <c r="O48" s="77">
        <v>7</v>
      </c>
      <c r="P48" s="77">
        <v>14</v>
      </c>
      <c r="Q48" s="77">
        <v>16</v>
      </c>
      <c r="R48" s="77">
        <v>9</v>
      </c>
      <c r="S48" s="77">
        <v>17</v>
      </c>
      <c r="T48" s="72"/>
      <c r="U48" s="639">
        <f t="shared" si="17"/>
        <v>0</v>
      </c>
      <c r="V48" s="639">
        <f t="shared" si="18"/>
        <v>11</v>
      </c>
      <c r="W48" s="639">
        <f t="shared" si="19"/>
        <v>29</v>
      </c>
      <c r="X48" s="639">
        <f t="shared" si="20"/>
        <v>37</v>
      </c>
      <c r="Y48" s="639">
        <f t="shared" si="21"/>
        <v>17</v>
      </c>
      <c r="Z48" s="639">
        <f t="shared" si="22"/>
        <v>56</v>
      </c>
      <c r="AA48" s="639">
        <f t="shared" si="23"/>
        <v>92</v>
      </c>
      <c r="AB48" s="639">
        <f t="shared" si="24"/>
        <v>139</v>
      </c>
      <c r="AC48" s="639">
        <f t="shared" si="25"/>
        <v>150</v>
      </c>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row>
    <row r="49" spans="1:77" ht="10.5">
      <c r="A49" s="70"/>
      <c r="B49" s="510">
        <v>171</v>
      </c>
      <c r="C49" s="66" t="s">
        <v>343</v>
      </c>
      <c r="D49" s="76" t="s">
        <v>1475</v>
      </c>
      <c r="E49" s="77">
        <v>1111</v>
      </c>
      <c r="F49" s="77">
        <v>6</v>
      </c>
      <c r="G49" s="77">
        <v>72</v>
      </c>
      <c r="H49" s="77">
        <v>70</v>
      </c>
      <c r="I49" s="77">
        <v>88</v>
      </c>
      <c r="J49" s="77">
        <v>81</v>
      </c>
      <c r="K49" s="77">
        <v>85</v>
      </c>
      <c r="L49" s="77">
        <v>75</v>
      </c>
      <c r="M49" s="77">
        <v>74</v>
      </c>
      <c r="N49" s="77">
        <v>80</v>
      </c>
      <c r="O49" s="77">
        <v>77</v>
      </c>
      <c r="P49" s="77">
        <v>86</v>
      </c>
      <c r="Q49" s="77">
        <v>94</v>
      </c>
      <c r="R49" s="77">
        <v>117</v>
      </c>
      <c r="S49" s="77">
        <v>106</v>
      </c>
      <c r="T49" s="94"/>
      <c r="U49" s="639">
        <f t="shared" si="17"/>
        <v>6</v>
      </c>
      <c r="V49" s="639">
        <f t="shared" si="18"/>
        <v>72</v>
      </c>
      <c r="W49" s="639">
        <f t="shared" si="19"/>
        <v>239</v>
      </c>
      <c r="X49" s="639">
        <f t="shared" si="20"/>
        <v>234</v>
      </c>
      <c r="Y49" s="639">
        <f t="shared" si="21"/>
        <v>157</v>
      </c>
      <c r="Z49" s="639">
        <f t="shared" si="22"/>
        <v>403</v>
      </c>
      <c r="AA49" s="639">
        <f t="shared" si="23"/>
        <v>652</v>
      </c>
      <c r="AB49" s="639">
        <f t="shared" si="24"/>
        <v>1033</v>
      </c>
      <c r="AC49" s="639">
        <f t="shared" si="25"/>
        <v>1105</v>
      </c>
    </row>
    <row r="50" spans="1:77" s="84" customFormat="1" ht="14.5">
      <c r="A50" s="70"/>
      <c r="B50" s="510">
        <v>181</v>
      </c>
      <c r="C50" s="66" t="s">
        <v>344</v>
      </c>
      <c r="D50" s="76" t="s">
        <v>1475</v>
      </c>
      <c r="E50" s="77">
        <v>376</v>
      </c>
      <c r="F50" s="77">
        <v>5</v>
      </c>
      <c r="G50" s="77">
        <v>16</v>
      </c>
      <c r="H50" s="77">
        <v>21</v>
      </c>
      <c r="I50" s="77">
        <v>36</v>
      </c>
      <c r="J50" s="77">
        <v>27</v>
      </c>
      <c r="K50" s="77">
        <v>31</v>
      </c>
      <c r="L50" s="77">
        <v>26</v>
      </c>
      <c r="M50" s="77">
        <v>23</v>
      </c>
      <c r="N50" s="77">
        <v>27</v>
      </c>
      <c r="O50" s="77">
        <v>29</v>
      </c>
      <c r="P50" s="77">
        <v>35</v>
      </c>
      <c r="Q50" s="77">
        <v>35</v>
      </c>
      <c r="R50" s="77">
        <v>23</v>
      </c>
      <c r="S50" s="77">
        <v>42</v>
      </c>
      <c r="T50" s="4"/>
      <c r="U50" s="639">
        <f t="shared" si="17"/>
        <v>5</v>
      </c>
      <c r="V50" s="639">
        <f t="shared" si="18"/>
        <v>16</v>
      </c>
      <c r="W50" s="639">
        <f t="shared" si="19"/>
        <v>84</v>
      </c>
      <c r="X50" s="639">
        <f t="shared" si="20"/>
        <v>80</v>
      </c>
      <c r="Y50" s="639">
        <f t="shared" si="21"/>
        <v>56</v>
      </c>
      <c r="Z50" s="639">
        <f t="shared" si="22"/>
        <v>135</v>
      </c>
      <c r="AA50" s="639">
        <f t="shared" si="23"/>
        <v>233</v>
      </c>
      <c r="AB50" s="639">
        <f t="shared" si="24"/>
        <v>355</v>
      </c>
      <c r="AC50" s="639">
        <f t="shared" si="25"/>
        <v>371</v>
      </c>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row>
    <row r="51" spans="1:77" s="85" customFormat="1">
      <c r="A51" s="70"/>
      <c r="B51" s="510">
        <v>182</v>
      </c>
      <c r="C51" s="66" t="s">
        <v>345</v>
      </c>
      <c r="D51" s="76" t="s">
        <v>1475</v>
      </c>
      <c r="E51" s="77">
        <v>181</v>
      </c>
      <c r="F51" s="77">
        <v>13</v>
      </c>
      <c r="G51" s="77">
        <v>10</v>
      </c>
      <c r="H51" s="77">
        <v>11</v>
      </c>
      <c r="I51" s="77">
        <v>20</v>
      </c>
      <c r="J51" s="77">
        <v>14</v>
      </c>
      <c r="K51" s="77">
        <v>17</v>
      </c>
      <c r="L51" s="77">
        <v>13</v>
      </c>
      <c r="M51" s="77">
        <v>13</v>
      </c>
      <c r="N51" s="77">
        <v>18</v>
      </c>
      <c r="O51" s="77">
        <v>14</v>
      </c>
      <c r="P51" s="77">
        <v>14</v>
      </c>
      <c r="Q51" s="77">
        <v>9</v>
      </c>
      <c r="R51" s="77">
        <v>9</v>
      </c>
      <c r="S51" s="77">
        <v>6</v>
      </c>
      <c r="T51" s="81"/>
      <c r="U51" s="639">
        <f t="shared" si="17"/>
        <v>13</v>
      </c>
      <c r="V51" s="639">
        <f t="shared" si="18"/>
        <v>10</v>
      </c>
      <c r="W51" s="639">
        <f t="shared" si="19"/>
        <v>45</v>
      </c>
      <c r="X51" s="639">
        <f t="shared" si="20"/>
        <v>43</v>
      </c>
      <c r="Y51" s="639">
        <f t="shared" si="21"/>
        <v>32</v>
      </c>
      <c r="Z51" s="639">
        <f t="shared" si="22"/>
        <v>38</v>
      </c>
      <c r="AA51" s="639">
        <f t="shared" si="23"/>
        <v>112</v>
      </c>
      <c r="AB51" s="639">
        <f t="shared" si="24"/>
        <v>158</v>
      </c>
      <c r="AC51" s="639">
        <f t="shared" si="25"/>
        <v>168</v>
      </c>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row>
    <row r="52" spans="1:77" ht="10.5">
      <c r="A52" s="70"/>
      <c r="B52" s="510">
        <v>191</v>
      </c>
      <c r="C52" s="66" t="s">
        <v>346</v>
      </c>
      <c r="D52" s="76" t="s">
        <v>1475</v>
      </c>
      <c r="E52" s="77">
        <v>6</v>
      </c>
      <c r="F52" s="77">
        <v>0</v>
      </c>
      <c r="G52" s="77">
        <v>0</v>
      </c>
      <c r="H52" s="77">
        <v>0</v>
      </c>
      <c r="I52" s="77">
        <v>2</v>
      </c>
      <c r="J52" s="77">
        <v>0</v>
      </c>
      <c r="K52" s="77">
        <v>0</v>
      </c>
      <c r="L52" s="77">
        <v>0</v>
      </c>
      <c r="M52" s="77">
        <v>3</v>
      </c>
      <c r="N52" s="77">
        <v>1</v>
      </c>
      <c r="O52" s="77">
        <v>0</v>
      </c>
      <c r="P52" s="77">
        <v>0</v>
      </c>
      <c r="Q52" s="77">
        <v>0</v>
      </c>
      <c r="R52" s="77">
        <v>0</v>
      </c>
      <c r="S52" s="77">
        <v>0</v>
      </c>
      <c r="T52" s="73"/>
      <c r="U52" s="639">
        <f t="shared" si="17"/>
        <v>0</v>
      </c>
      <c r="V52" s="639">
        <f t="shared" si="18"/>
        <v>0</v>
      </c>
      <c r="W52" s="639">
        <f t="shared" si="19"/>
        <v>2</v>
      </c>
      <c r="X52" s="639">
        <f t="shared" si="20"/>
        <v>3</v>
      </c>
      <c r="Y52" s="639">
        <f t="shared" si="21"/>
        <v>1</v>
      </c>
      <c r="Z52" s="639">
        <f t="shared" si="22"/>
        <v>0</v>
      </c>
      <c r="AA52" s="639">
        <f t="shared" si="23"/>
        <v>4</v>
      </c>
      <c r="AB52" s="639">
        <f t="shared" si="24"/>
        <v>6</v>
      </c>
      <c r="AC52" s="639">
        <f t="shared" si="25"/>
        <v>6</v>
      </c>
    </row>
    <row r="53" spans="1:77" s="85" customFormat="1">
      <c r="A53" s="70"/>
      <c r="B53" s="510">
        <v>192</v>
      </c>
      <c r="C53" s="66" t="s">
        <v>347</v>
      </c>
      <c r="D53" s="76" t="s">
        <v>1475</v>
      </c>
      <c r="E53" s="77">
        <v>426</v>
      </c>
      <c r="F53" s="77">
        <v>15</v>
      </c>
      <c r="G53" s="77">
        <v>24</v>
      </c>
      <c r="H53" s="78">
        <v>36</v>
      </c>
      <c r="I53" s="78">
        <v>29</v>
      </c>
      <c r="J53" s="78">
        <v>35</v>
      </c>
      <c r="K53" s="78">
        <v>35</v>
      </c>
      <c r="L53" s="78">
        <v>27</v>
      </c>
      <c r="M53" s="78">
        <v>42</v>
      </c>
      <c r="N53" s="78">
        <v>28</v>
      </c>
      <c r="O53" s="78">
        <v>33</v>
      </c>
      <c r="P53" s="89">
        <v>27</v>
      </c>
      <c r="Q53" s="89">
        <v>33</v>
      </c>
      <c r="R53" s="89">
        <v>20</v>
      </c>
      <c r="S53" s="89">
        <v>42</v>
      </c>
      <c r="T53" s="81"/>
      <c r="U53" s="639">
        <f t="shared" si="17"/>
        <v>15</v>
      </c>
      <c r="V53" s="639">
        <f t="shared" si="18"/>
        <v>24</v>
      </c>
      <c r="W53" s="639">
        <f t="shared" si="19"/>
        <v>100</v>
      </c>
      <c r="X53" s="639">
        <f t="shared" si="20"/>
        <v>104</v>
      </c>
      <c r="Y53" s="639">
        <f t="shared" si="21"/>
        <v>61</v>
      </c>
      <c r="Z53" s="639">
        <f t="shared" si="22"/>
        <v>122</v>
      </c>
      <c r="AA53" s="639">
        <f t="shared" si="23"/>
        <v>260</v>
      </c>
      <c r="AB53" s="639">
        <f t="shared" si="24"/>
        <v>387</v>
      </c>
      <c r="AC53" s="639">
        <f t="shared" si="25"/>
        <v>411</v>
      </c>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row>
    <row r="54" spans="1:77" s="84" customFormat="1" ht="10.5">
      <c r="A54" s="70"/>
      <c r="B54" s="510">
        <v>193</v>
      </c>
      <c r="C54" s="66" t="s">
        <v>348</v>
      </c>
      <c r="D54" s="76" t="s">
        <v>1475</v>
      </c>
      <c r="E54" s="77">
        <v>3823</v>
      </c>
      <c r="F54" s="77">
        <v>28</v>
      </c>
      <c r="G54" s="77">
        <v>323</v>
      </c>
      <c r="H54" s="77">
        <v>334</v>
      </c>
      <c r="I54" s="77">
        <v>329</v>
      </c>
      <c r="J54" s="77">
        <v>315</v>
      </c>
      <c r="K54" s="77">
        <v>302</v>
      </c>
      <c r="L54" s="77">
        <v>319</v>
      </c>
      <c r="M54" s="77">
        <v>310</v>
      </c>
      <c r="N54" s="77">
        <v>278</v>
      </c>
      <c r="O54" s="77">
        <v>282</v>
      </c>
      <c r="P54" s="77">
        <v>302</v>
      </c>
      <c r="Q54" s="77">
        <v>260</v>
      </c>
      <c r="R54" s="77">
        <v>234</v>
      </c>
      <c r="S54" s="77">
        <v>207</v>
      </c>
      <c r="T54" s="86"/>
      <c r="U54" s="639">
        <f t="shared" si="17"/>
        <v>28</v>
      </c>
      <c r="V54" s="639">
        <f t="shared" si="18"/>
        <v>323</v>
      </c>
      <c r="W54" s="639">
        <f t="shared" si="19"/>
        <v>978</v>
      </c>
      <c r="X54" s="639">
        <f t="shared" si="20"/>
        <v>931</v>
      </c>
      <c r="Y54" s="639">
        <f t="shared" si="21"/>
        <v>560</v>
      </c>
      <c r="Z54" s="639">
        <f t="shared" si="22"/>
        <v>1003</v>
      </c>
      <c r="AA54" s="639">
        <f t="shared" si="23"/>
        <v>2368</v>
      </c>
      <c r="AB54" s="639">
        <f t="shared" si="24"/>
        <v>3472</v>
      </c>
      <c r="AC54" s="639">
        <f t="shared" si="25"/>
        <v>3795</v>
      </c>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7" s="85" customFormat="1">
      <c r="A55" s="70"/>
      <c r="B55" s="510">
        <v>201</v>
      </c>
      <c r="C55" s="66" t="s">
        <v>349</v>
      </c>
      <c r="D55" s="76" t="s">
        <v>1475</v>
      </c>
      <c r="E55" s="77">
        <v>2606</v>
      </c>
      <c r="F55" s="77">
        <v>19</v>
      </c>
      <c r="G55" s="77">
        <v>160</v>
      </c>
      <c r="H55" s="77">
        <v>180</v>
      </c>
      <c r="I55" s="77">
        <v>200</v>
      </c>
      <c r="J55" s="77">
        <v>168</v>
      </c>
      <c r="K55" s="77">
        <v>201</v>
      </c>
      <c r="L55" s="77">
        <v>191</v>
      </c>
      <c r="M55" s="77">
        <v>199</v>
      </c>
      <c r="N55" s="77">
        <v>179</v>
      </c>
      <c r="O55" s="77">
        <v>201</v>
      </c>
      <c r="P55" s="77">
        <v>197</v>
      </c>
      <c r="Q55" s="77">
        <v>238</v>
      </c>
      <c r="R55" s="77">
        <v>231</v>
      </c>
      <c r="S55" s="77">
        <v>242</v>
      </c>
      <c r="T55" s="81"/>
      <c r="U55" s="639">
        <f t="shared" si="17"/>
        <v>19</v>
      </c>
      <c r="V55" s="639">
        <f t="shared" si="18"/>
        <v>160</v>
      </c>
      <c r="W55" s="639">
        <f t="shared" si="19"/>
        <v>548</v>
      </c>
      <c r="X55" s="639">
        <f t="shared" si="20"/>
        <v>591</v>
      </c>
      <c r="Y55" s="639">
        <f t="shared" si="21"/>
        <v>380</v>
      </c>
      <c r="Z55" s="639">
        <f t="shared" si="22"/>
        <v>908</v>
      </c>
      <c r="AA55" s="639">
        <f t="shared" si="23"/>
        <v>1574</v>
      </c>
      <c r="AB55" s="639">
        <f t="shared" si="24"/>
        <v>2427</v>
      </c>
      <c r="AC55" s="639">
        <f t="shared" si="25"/>
        <v>2587</v>
      </c>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row>
    <row r="56" spans="1:77" ht="10.5">
      <c r="A56" s="70"/>
      <c r="B56" s="510">
        <v>202</v>
      </c>
      <c r="C56" s="66" t="s">
        <v>350</v>
      </c>
      <c r="D56" s="76" t="s">
        <v>1475</v>
      </c>
      <c r="E56" s="77">
        <v>643</v>
      </c>
      <c r="F56" s="77">
        <v>4</v>
      </c>
      <c r="G56" s="77">
        <v>53</v>
      </c>
      <c r="H56" s="77">
        <v>51</v>
      </c>
      <c r="I56" s="77">
        <v>57</v>
      </c>
      <c r="J56" s="77">
        <v>45</v>
      </c>
      <c r="K56" s="77">
        <v>61</v>
      </c>
      <c r="L56" s="77">
        <v>61</v>
      </c>
      <c r="M56" s="77">
        <v>63</v>
      </c>
      <c r="N56" s="77">
        <v>54</v>
      </c>
      <c r="O56" s="77">
        <v>48</v>
      </c>
      <c r="P56" s="77">
        <v>45</v>
      </c>
      <c r="Q56" s="77">
        <v>33</v>
      </c>
      <c r="R56" s="77">
        <v>32</v>
      </c>
      <c r="S56" s="77">
        <v>36</v>
      </c>
      <c r="T56" s="73"/>
      <c r="U56" s="639">
        <f t="shared" si="17"/>
        <v>4</v>
      </c>
      <c r="V56" s="639">
        <f t="shared" si="18"/>
        <v>53</v>
      </c>
      <c r="W56" s="639">
        <f t="shared" si="19"/>
        <v>153</v>
      </c>
      <c r="X56" s="639">
        <f t="shared" si="20"/>
        <v>185</v>
      </c>
      <c r="Y56" s="639">
        <f t="shared" si="21"/>
        <v>102</v>
      </c>
      <c r="Z56" s="639">
        <f t="shared" si="22"/>
        <v>146</v>
      </c>
      <c r="AA56" s="639">
        <f t="shared" si="23"/>
        <v>410</v>
      </c>
      <c r="AB56" s="639">
        <f t="shared" si="24"/>
        <v>586</v>
      </c>
      <c r="AC56" s="639">
        <f t="shared" si="25"/>
        <v>639</v>
      </c>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row>
    <row r="57" spans="1:77" s="85" customFormat="1" ht="14.5">
      <c r="A57" s="70"/>
      <c r="B57" s="510">
        <v>215</v>
      </c>
      <c r="C57" s="66" t="s">
        <v>351</v>
      </c>
      <c r="D57" s="76" t="s">
        <v>1475</v>
      </c>
      <c r="E57" s="77">
        <v>2200</v>
      </c>
      <c r="F57" s="77">
        <v>51</v>
      </c>
      <c r="G57" s="77">
        <v>154</v>
      </c>
      <c r="H57" s="77">
        <v>145</v>
      </c>
      <c r="I57" s="77">
        <v>182</v>
      </c>
      <c r="J57" s="77">
        <v>196</v>
      </c>
      <c r="K57" s="77">
        <v>171</v>
      </c>
      <c r="L57" s="77">
        <v>177</v>
      </c>
      <c r="M57" s="77">
        <v>186</v>
      </c>
      <c r="N57" s="77">
        <v>157</v>
      </c>
      <c r="O57" s="77">
        <v>160</v>
      </c>
      <c r="P57" s="77">
        <v>183</v>
      </c>
      <c r="Q57" s="77">
        <v>146</v>
      </c>
      <c r="R57" s="77">
        <v>148</v>
      </c>
      <c r="S57" s="77">
        <v>144</v>
      </c>
      <c r="T57" s="4"/>
      <c r="U57" s="639">
        <f t="shared" si="17"/>
        <v>51</v>
      </c>
      <c r="V57" s="639">
        <f t="shared" si="18"/>
        <v>154</v>
      </c>
      <c r="W57" s="639">
        <f t="shared" si="19"/>
        <v>523</v>
      </c>
      <c r="X57" s="639">
        <f t="shared" si="20"/>
        <v>534</v>
      </c>
      <c r="Y57" s="639">
        <f t="shared" si="21"/>
        <v>317</v>
      </c>
      <c r="Z57" s="639">
        <f t="shared" si="22"/>
        <v>621</v>
      </c>
      <c r="AA57" s="639">
        <f t="shared" si="23"/>
        <v>1376</v>
      </c>
      <c r="AB57" s="639">
        <f t="shared" si="24"/>
        <v>1995</v>
      </c>
      <c r="AC57" s="639">
        <f t="shared" si="25"/>
        <v>2149</v>
      </c>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row>
    <row r="58" spans="1:77">
      <c r="A58" s="70"/>
      <c r="B58" s="510">
        <v>221</v>
      </c>
      <c r="C58" s="66" t="s">
        <v>352</v>
      </c>
      <c r="D58" s="76" t="s">
        <v>1475</v>
      </c>
      <c r="E58" s="77">
        <v>2510</v>
      </c>
      <c r="F58" s="77">
        <v>33</v>
      </c>
      <c r="G58" s="77">
        <v>167</v>
      </c>
      <c r="H58" s="77">
        <v>174</v>
      </c>
      <c r="I58" s="77">
        <v>190</v>
      </c>
      <c r="J58" s="77">
        <v>200</v>
      </c>
      <c r="K58" s="77">
        <v>205</v>
      </c>
      <c r="L58" s="77">
        <v>205</v>
      </c>
      <c r="M58" s="77">
        <v>180</v>
      </c>
      <c r="N58" s="77">
        <v>192</v>
      </c>
      <c r="O58" s="77">
        <v>183</v>
      </c>
      <c r="P58" s="77">
        <v>185</v>
      </c>
      <c r="Q58" s="77">
        <v>212</v>
      </c>
      <c r="R58" s="77">
        <v>202</v>
      </c>
      <c r="S58" s="77">
        <v>182</v>
      </c>
      <c r="T58" s="81"/>
      <c r="U58" s="639">
        <f t="shared" si="17"/>
        <v>33</v>
      </c>
      <c r="V58" s="639">
        <f t="shared" si="18"/>
        <v>167</v>
      </c>
      <c r="W58" s="639">
        <f t="shared" si="19"/>
        <v>564</v>
      </c>
      <c r="X58" s="639">
        <f t="shared" si="20"/>
        <v>590</v>
      </c>
      <c r="Y58" s="639">
        <f t="shared" si="21"/>
        <v>375</v>
      </c>
      <c r="Z58" s="639">
        <f t="shared" si="22"/>
        <v>781</v>
      </c>
      <c r="AA58" s="639">
        <f t="shared" si="23"/>
        <v>1562</v>
      </c>
      <c r="AB58" s="639">
        <f t="shared" si="24"/>
        <v>2310</v>
      </c>
      <c r="AC58" s="639">
        <f t="shared" si="25"/>
        <v>2477</v>
      </c>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row>
    <row r="59" spans="1:77" ht="10.5">
      <c r="A59" s="70"/>
      <c r="B59" s="510">
        <v>231</v>
      </c>
      <c r="C59" s="66" t="s">
        <v>353</v>
      </c>
      <c r="D59" s="76" t="s">
        <v>1475</v>
      </c>
      <c r="E59" s="77">
        <v>1272</v>
      </c>
      <c r="F59" s="77">
        <v>8</v>
      </c>
      <c r="G59" s="77">
        <v>92</v>
      </c>
      <c r="H59" s="77">
        <v>101</v>
      </c>
      <c r="I59" s="77">
        <v>104</v>
      </c>
      <c r="J59" s="77">
        <v>101</v>
      </c>
      <c r="K59" s="77">
        <v>104</v>
      </c>
      <c r="L59" s="77">
        <v>93</v>
      </c>
      <c r="M59" s="77">
        <v>108</v>
      </c>
      <c r="N59" s="77">
        <v>111</v>
      </c>
      <c r="O59" s="77">
        <v>94</v>
      </c>
      <c r="P59" s="77">
        <v>95</v>
      </c>
      <c r="Q59" s="77">
        <v>93</v>
      </c>
      <c r="R59" s="77">
        <v>97</v>
      </c>
      <c r="S59" s="77">
        <v>71</v>
      </c>
      <c r="T59" s="95"/>
      <c r="U59" s="639">
        <f t="shared" si="17"/>
        <v>8</v>
      </c>
      <c r="V59" s="639">
        <f t="shared" si="18"/>
        <v>92</v>
      </c>
      <c r="W59" s="639">
        <f t="shared" si="19"/>
        <v>306</v>
      </c>
      <c r="X59" s="639">
        <f t="shared" si="20"/>
        <v>305</v>
      </c>
      <c r="Y59" s="639">
        <f t="shared" si="21"/>
        <v>205</v>
      </c>
      <c r="Z59" s="639">
        <f t="shared" si="22"/>
        <v>356</v>
      </c>
      <c r="AA59" s="639">
        <f t="shared" si="23"/>
        <v>799</v>
      </c>
      <c r="AB59" s="639">
        <f t="shared" si="24"/>
        <v>1172</v>
      </c>
      <c r="AC59" s="639">
        <f t="shared" si="25"/>
        <v>1264</v>
      </c>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row>
    <row r="60" spans="1:77">
      <c r="A60" s="70"/>
      <c r="B60" s="510">
        <v>232</v>
      </c>
      <c r="C60" s="66" t="s">
        <v>354</v>
      </c>
      <c r="D60" s="76" t="s">
        <v>1475</v>
      </c>
      <c r="E60" s="77">
        <v>1154</v>
      </c>
      <c r="F60" s="77">
        <v>22</v>
      </c>
      <c r="G60" s="77">
        <v>91</v>
      </c>
      <c r="H60" s="77">
        <v>102</v>
      </c>
      <c r="I60" s="77">
        <v>104</v>
      </c>
      <c r="J60" s="77">
        <v>72</v>
      </c>
      <c r="K60" s="77">
        <v>112</v>
      </c>
      <c r="L60" s="77">
        <v>89</v>
      </c>
      <c r="M60" s="77">
        <v>83</v>
      </c>
      <c r="N60" s="77">
        <v>85</v>
      </c>
      <c r="O60" s="77">
        <v>81</v>
      </c>
      <c r="P60" s="77">
        <v>85</v>
      </c>
      <c r="Q60" s="77">
        <v>84</v>
      </c>
      <c r="R60" s="77">
        <v>74</v>
      </c>
      <c r="S60" s="77">
        <v>70</v>
      </c>
      <c r="T60" s="81"/>
      <c r="U60" s="639">
        <f t="shared" si="17"/>
        <v>22</v>
      </c>
      <c r="V60" s="639">
        <f t="shared" si="18"/>
        <v>91</v>
      </c>
      <c r="W60" s="639">
        <f t="shared" si="19"/>
        <v>278</v>
      </c>
      <c r="X60" s="639">
        <f t="shared" si="20"/>
        <v>284</v>
      </c>
      <c r="Y60" s="639">
        <f t="shared" si="21"/>
        <v>166</v>
      </c>
      <c r="Z60" s="639">
        <f t="shared" si="22"/>
        <v>313</v>
      </c>
      <c r="AA60" s="639">
        <f t="shared" si="23"/>
        <v>691</v>
      </c>
      <c r="AB60" s="639">
        <f t="shared" si="24"/>
        <v>1041</v>
      </c>
      <c r="AC60" s="639">
        <f t="shared" si="25"/>
        <v>1132</v>
      </c>
    </row>
    <row r="61" spans="1:77" s="84" customFormat="1" ht="10.5">
      <c r="A61" s="70"/>
      <c r="B61" s="510">
        <v>233</v>
      </c>
      <c r="C61" s="66" t="s">
        <v>355</v>
      </c>
      <c r="D61" s="76" t="s">
        <v>1475</v>
      </c>
      <c r="E61" s="77">
        <v>347</v>
      </c>
      <c r="F61" s="77">
        <v>5</v>
      </c>
      <c r="G61" s="77">
        <v>35</v>
      </c>
      <c r="H61" s="77">
        <v>18</v>
      </c>
      <c r="I61" s="77">
        <v>37</v>
      </c>
      <c r="J61" s="77">
        <v>24</v>
      </c>
      <c r="K61" s="77">
        <v>24</v>
      </c>
      <c r="L61" s="77">
        <v>35</v>
      </c>
      <c r="M61" s="77">
        <v>21</v>
      </c>
      <c r="N61" s="77">
        <v>27</v>
      </c>
      <c r="O61" s="77">
        <v>23</v>
      </c>
      <c r="P61" s="77">
        <v>22</v>
      </c>
      <c r="Q61" s="77">
        <v>30</v>
      </c>
      <c r="R61" s="77">
        <v>25</v>
      </c>
      <c r="S61" s="77">
        <v>21</v>
      </c>
      <c r="T61" s="65"/>
      <c r="U61" s="639">
        <f t="shared" si="17"/>
        <v>5</v>
      </c>
      <c r="V61" s="639">
        <f t="shared" si="18"/>
        <v>35</v>
      </c>
      <c r="W61" s="639">
        <f t="shared" si="19"/>
        <v>79</v>
      </c>
      <c r="X61" s="639">
        <f t="shared" si="20"/>
        <v>80</v>
      </c>
      <c r="Y61" s="639">
        <f t="shared" si="21"/>
        <v>50</v>
      </c>
      <c r="Z61" s="639">
        <f t="shared" si="22"/>
        <v>98</v>
      </c>
      <c r="AA61" s="639">
        <f t="shared" si="23"/>
        <v>206</v>
      </c>
      <c r="AB61" s="639">
        <f t="shared" si="24"/>
        <v>307</v>
      </c>
      <c r="AC61" s="639">
        <f t="shared" si="25"/>
        <v>342</v>
      </c>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row>
    <row r="62" spans="1:77" ht="13">
      <c r="A62" s="70"/>
      <c r="B62" s="510">
        <v>234</v>
      </c>
      <c r="C62" s="66" t="s">
        <v>356</v>
      </c>
      <c r="D62" s="76" t="s">
        <v>1475</v>
      </c>
      <c r="E62" s="77">
        <v>128</v>
      </c>
      <c r="F62" s="78">
        <v>0</v>
      </c>
      <c r="G62" s="78">
        <v>13</v>
      </c>
      <c r="H62" s="78">
        <v>7</v>
      </c>
      <c r="I62" s="78">
        <v>12</v>
      </c>
      <c r="J62" s="78">
        <v>11</v>
      </c>
      <c r="K62" s="78">
        <v>8</v>
      </c>
      <c r="L62" s="78">
        <v>14</v>
      </c>
      <c r="M62" s="78">
        <v>10</v>
      </c>
      <c r="N62" s="78">
        <v>11</v>
      </c>
      <c r="O62" s="78">
        <v>7</v>
      </c>
      <c r="P62" s="78">
        <v>10</v>
      </c>
      <c r="Q62" s="78">
        <v>6</v>
      </c>
      <c r="R62" s="78">
        <v>11</v>
      </c>
      <c r="S62" s="78">
        <v>8</v>
      </c>
      <c r="T62" s="72"/>
      <c r="U62" s="639">
        <f t="shared" si="17"/>
        <v>0</v>
      </c>
      <c r="V62" s="639">
        <f t="shared" si="18"/>
        <v>13</v>
      </c>
      <c r="W62" s="639">
        <f t="shared" si="19"/>
        <v>30</v>
      </c>
      <c r="X62" s="639">
        <f t="shared" si="20"/>
        <v>32</v>
      </c>
      <c r="Y62" s="639">
        <f t="shared" si="21"/>
        <v>18</v>
      </c>
      <c r="Z62" s="639">
        <f t="shared" si="22"/>
        <v>35</v>
      </c>
      <c r="AA62" s="639">
        <f t="shared" si="23"/>
        <v>77</v>
      </c>
      <c r="AB62" s="639">
        <f t="shared" si="24"/>
        <v>115</v>
      </c>
      <c r="AC62" s="639">
        <f t="shared" si="25"/>
        <v>128</v>
      </c>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row>
    <row r="63" spans="1:77" ht="10.5">
      <c r="A63" s="70"/>
      <c r="B63" s="510">
        <v>242</v>
      </c>
      <c r="C63" s="66" t="s">
        <v>357</v>
      </c>
      <c r="D63" s="76" t="s">
        <v>1475</v>
      </c>
      <c r="E63" s="77">
        <v>405</v>
      </c>
      <c r="F63" s="78">
        <v>0</v>
      </c>
      <c r="G63" s="78">
        <v>28</v>
      </c>
      <c r="H63" s="78">
        <v>35</v>
      </c>
      <c r="I63" s="78">
        <v>30</v>
      </c>
      <c r="J63" s="78">
        <v>38</v>
      </c>
      <c r="K63" s="78">
        <v>23</v>
      </c>
      <c r="L63" s="78">
        <v>24</v>
      </c>
      <c r="M63" s="78">
        <v>32</v>
      </c>
      <c r="N63" s="78">
        <v>35</v>
      </c>
      <c r="O63" s="78">
        <v>23</v>
      </c>
      <c r="P63" s="78">
        <v>39</v>
      </c>
      <c r="Q63" s="78">
        <v>27</v>
      </c>
      <c r="R63" s="78">
        <v>37</v>
      </c>
      <c r="S63" s="78">
        <v>34</v>
      </c>
      <c r="T63" s="65"/>
      <c r="U63" s="639">
        <f t="shared" si="17"/>
        <v>0</v>
      </c>
      <c r="V63" s="639">
        <f t="shared" si="18"/>
        <v>28</v>
      </c>
      <c r="W63" s="639">
        <f t="shared" si="19"/>
        <v>103</v>
      </c>
      <c r="X63" s="639">
        <f t="shared" si="20"/>
        <v>79</v>
      </c>
      <c r="Y63" s="639">
        <f t="shared" si="21"/>
        <v>58</v>
      </c>
      <c r="Z63" s="639">
        <f t="shared" si="22"/>
        <v>137</v>
      </c>
      <c r="AA63" s="639">
        <f t="shared" si="23"/>
        <v>241</v>
      </c>
      <c r="AB63" s="639">
        <f t="shared" si="24"/>
        <v>377</v>
      </c>
      <c r="AC63" s="639">
        <f t="shared" si="25"/>
        <v>405</v>
      </c>
    </row>
    <row r="64" spans="1:77" s="84" customFormat="1">
      <c r="A64" s="70"/>
      <c r="B64" s="510">
        <v>243</v>
      </c>
      <c r="C64" s="66" t="s">
        <v>358</v>
      </c>
      <c r="D64" s="76" t="s">
        <v>1475</v>
      </c>
      <c r="E64" s="77">
        <v>117</v>
      </c>
      <c r="F64" s="77">
        <v>4</v>
      </c>
      <c r="G64" s="77">
        <v>7</v>
      </c>
      <c r="H64" s="77">
        <v>11</v>
      </c>
      <c r="I64" s="77">
        <v>4</v>
      </c>
      <c r="J64" s="77">
        <v>6</v>
      </c>
      <c r="K64" s="77">
        <v>11</v>
      </c>
      <c r="L64" s="77">
        <v>10</v>
      </c>
      <c r="M64" s="77">
        <v>8</v>
      </c>
      <c r="N64" s="77">
        <v>11</v>
      </c>
      <c r="O64" s="77">
        <v>9</v>
      </c>
      <c r="P64" s="77">
        <v>10</v>
      </c>
      <c r="Q64" s="77">
        <v>7</v>
      </c>
      <c r="R64" s="77">
        <v>9</v>
      </c>
      <c r="S64" s="77">
        <v>10</v>
      </c>
      <c r="T64" s="81"/>
      <c r="U64" s="639">
        <f t="shared" si="17"/>
        <v>4</v>
      </c>
      <c r="V64" s="639">
        <f t="shared" si="18"/>
        <v>7</v>
      </c>
      <c r="W64" s="639">
        <f t="shared" si="19"/>
        <v>21</v>
      </c>
      <c r="X64" s="639">
        <f t="shared" si="20"/>
        <v>29</v>
      </c>
      <c r="Y64" s="639">
        <f t="shared" si="21"/>
        <v>20</v>
      </c>
      <c r="Z64" s="639">
        <f t="shared" si="22"/>
        <v>36</v>
      </c>
      <c r="AA64" s="639">
        <f t="shared" si="23"/>
        <v>72</v>
      </c>
      <c r="AB64" s="639">
        <f t="shared" si="24"/>
        <v>106</v>
      </c>
      <c r="AC64" s="639">
        <f t="shared" si="25"/>
        <v>113</v>
      </c>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row>
    <row r="65" spans="1:178">
      <c r="A65" s="70"/>
      <c r="B65" s="510">
        <v>244</v>
      </c>
      <c r="C65" s="66" t="s">
        <v>359</v>
      </c>
      <c r="D65" s="76" t="s">
        <v>1475</v>
      </c>
      <c r="E65" s="77">
        <v>1229</v>
      </c>
      <c r="F65" s="77">
        <v>20</v>
      </c>
      <c r="G65" s="77">
        <v>98</v>
      </c>
      <c r="H65" s="77">
        <v>95</v>
      </c>
      <c r="I65" s="77">
        <v>99</v>
      </c>
      <c r="J65" s="77">
        <v>90</v>
      </c>
      <c r="K65" s="77">
        <v>89</v>
      </c>
      <c r="L65" s="77">
        <v>69</v>
      </c>
      <c r="M65" s="77">
        <v>94</v>
      </c>
      <c r="N65" s="77">
        <v>87</v>
      </c>
      <c r="O65" s="77">
        <v>106</v>
      </c>
      <c r="P65" s="77">
        <v>118</v>
      </c>
      <c r="Q65" s="77">
        <v>90</v>
      </c>
      <c r="R65" s="77">
        <v>89</v>
      </c>
      <c r="S65" s="77">
        <v>85</v>
      </c>
      <c r="T65" s="81"/>
      <c r="U65" s="639">
        <f t="shared" si="17"/>
        <v>20</v>
      </c>
      <c r="V65" s="639">
        <f t="shared" si="18"/>
        <v>98</v>
      </c>
      <c r="W65" s="639">
        <f t="shared" si="19"/>
        <v>284</v>
      </c>
      <c r="X65" s="639">
        <f t="shared" si="20"/>
        <v>252</v>
      </c>
      <c r="Y65" s="639">
        <f t="shared" si="21"/>
        <v>193</v>
      </c>
      <c r="Z65" s="639">
        <f t="shared" si="22"/>
        <v>382</v>
      </c>
      <c r="AA65" s="639">
        <f t="shared" si="23"/>
        <v>743</v>
      </c>
      <c r="AB65" s="639">
        <f t="shared" si="24"/>
        <v>1111</v>
      </c>
      <c r="AC65" s="639">
        <f t="shared" si="25"/>
        <v>1209</v>
      </c>
    </row>
    <row r="66" spans="1:178">
      <c r="A66" s="70"/>
      <c r="B66" s="510">
        <v>251</v>
      </c>
      <c r="C66" s="66" t="s">
        <v>360</v>
      </c>
      <c r="D66" s="76" t="s">
        <v>1475</v>
      </c>
      <c r="E66" s="77">
        <v>5427</v>
      </c>
      <c r="F66" s="77">
        <v>56</v>
      </c>
      <c r="G66" s="77">
        <v>435</v>
      </c>
      <c r="H66" s="77">
        <v>459</v>
      </c>
      <c r="I66" s="77">
        <v>473</v>
      </c>
      <c r="J66" s="77">
        <v>462</v>
      </c>
      <c r="K66" s="77">
        <v>460</v>
      </c>
      <c r="L66" s="77">
        <v>436</v>
      </c>
      <c r="M66" s="77">
        <v>402</v>
      </c>
      <c r="N66" s="77">
        <v>404</v>
      </c>
      <c r="O66" s="77">
        <v>376</v>
      </c>
      <c r="P66" s="77">
        <v>390</v>
      </c>
      <c r="Q66" s="77">
        <v>434</v>
      </c>
      <c r="R66" s="77">
        <v>333</v>
      </c>
      <c r="S66" s="77">
        <v>307</v>
      </c>
      <c r="T66" s="81"/>
      <c r="U66" s="639">
        <f t="shared" si="17"/>
        <v>56</v>
      </c>
      <c r="V66" s="639">
        <f t="shared" si="18"/>
        <v>435</v>
      </c>
      <c r="W66" s="639">
        <f t="shared" si="19"/>
        <v>1394</v>
      </c>
      <c r="X66" s="639">
        <f t="shared" si="20"/>
        <v>1298</v>
      </c>
      <c r="Y66" s="639">
        <f t="shared" si="21"/>
        <v>780</v>
      </c>
      <c r="Z66" s="639">
        <f t="shared" si="22"/>
        <v>1464</v>
      </c>
      <c r="AA66" s="639">
        <f t="shared" si="23"/>
        <v>3364</v>
      </c>
      <c r="AB66" s="639">
        <f t="shared" si="24"/>
        <v>4936</v>
      </c>
      <c r="AC66" s="639">
        <f t="shared" si="25"/>
        <v>5371</v>
      </c>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row>
    <row r="67" spans="1:178" s="85" customFormat="1">
      <c r="A67" s="70"/>
      <c r="B67" s="510">
        <v>252</v>
      </c>
      <c r="C67" s="66" t="s">
        <v>361</v>
      </c>
      <c r="D67" s="76" t="s">
        <v>1475</v>
      </c>
      <c r="E67" s="77">
        <v>722</v>
      </c>
      <c r="F67" s="77">
        <v>17</v>
      </c>
      <c r="G67" s="77">
        <v>30</v>
      </c>
      <c r="H67" s="77">
        <v>47</v>
      </c>
      <c r="I67" s="77">
        <v>51</v>
      </c>
      <c r="J67" s="77">
        <v>46</v>
      </c>
      <c r="K67" s="77">
        <v>40</v>
      </c>
      <c r="L67" s="77">
        <v>56</v>
      </c>
      <c r="M67" s="77">
        <v>63</v>
      </c>
      <c r="N67" s="77">
        <v>58</v>
      </c>
      <c r="O67" s="77">
        <v>60</v>
      </c>
      <c r="P67" s="77">
        <v>71</v>
      </c>
      <c r="Q67" s="77">
        <v>63</v>
      </c>
      <c r="R67" s="77">
        <v>66</v>
      </c>
      <c r="S67" s="77">
        <v>54</v>
      </c>
      <c r="T67" s="81"/>
      <c r="U67" s="639">
        <f t="shared" si="17"/>
        <v>17</v>
      </c>
      <c r="V67" s="639">
        <f t="shared" si="18"/>
        <v>30</v>
      </c>
      <c r="W67" s="639">
        <f t="shared" si="19"/>
        <v>144</v>
      </c>
      <c r="X67" s="639">
        <f t="shared" si="20"/>
        <v>159</v>
      </c>
      <c r="Y67" s="639">
        <f t="shared" si="21"/>
        <v>118</v>
      </c>
      <c r="Z67" s="639">
        <f t="shared" si="22"/>
        <v>254</v>
      </c>
      <c r="AA67" s="639">
        <f t="shared" si="23"/>
        <v>457</v>
      </c>
      <c r="AB67" s="639">
        <f t="shared" si="24"/>
        <v>675</v>
      </c>
      <c r="AC67" s="639">
        <f t="shared" si="25"/>
        <v>705</v>
      </c>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row>
    <row r="68" spans="1:178" s="85" customFormat="1" ht="10.5">
      <c r="A68" s="70"/>
      <c r="B68" s="510">
        <v>253</v>
      </c>
      <c r="C68" s="66" t="s">
        <v>362</v>
      </c>
      <c r="D68" s="76" t="s">
        <v>1475</v>
      </c>
      <c r="E68" s="77">
        <v>624</v>
      </c>
      <c r="F68" s="77">
        <v>1</v>
      </c>
      <c r="G68" s="77">
        <v>36</v>
      </c>
      <c r="H68" s="77">
        <v>27</v>
      </c>
      <c r="I68" s="77">
        <v>56</v>
      </c>
      <c r="J68" s="77">
        <v>39</v>
      </c>
      <c r="K68" s="77">
        <v>47</v>
      </c>
      <c r="L68" s="77">
        <v>44</v>
      </c>
      <c r="M68" s="77">
        <v>49</v>
      </c>
      <c r="N68" s="77">
        <v>54</v>
      </c>
      <c r="O68" s="77">
        <v>57</v>
      </c>
      <c r="P68" s="77">
        <v>59</v>
      </c>
      <c r="Q68" s="77">
        <v>50</v>
      </c>
      <c r="R68" s="77">
        <v>49</v>
      </c>
      <c r="S68" s="77">
        <v>56</v>
      </c>
      <c r="T68" s="96"/>
      <c r="U68" s="639">
        <f t="shared" si="17"/>
        <v>1</v>
      </c>
      <c r="V68" s="639">
        <f t="shared" si="18"/>
        <v>36</v>
      </c>
      <c r="W68" s="639">
        <f t="shared" si="19"/>
        <v>122</v>
      </c>
      <c r="X68" s="639">
        <f t="shared" si="20"/>
        <v>140</v>
      </c>
      <c r="Y68" s="639">
        <f t="shared" si="21"/>
        <v>111</v>
      </c>
      <c r="Z68" s="639">
        <f t="shared" si="22"/>
        <v>214</v>
      </c>
      <c r="AA68" s="639">
        <f t="shared" si="23"/>
        <v>399</v>
      </c>
      <c r="AB68" s="639">
        <f t="shared" si="24"/>
        <v>587</v>
      </c>
      <c r="AC68" s="639">
        <f t="shared" si="25"/>
        <v>623</v>
      </c>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row>
    <row r="69" spans="1:178" s="85" customFormat="1">
      <c r="A69" s="70"/>
      <c r="B69" s="510">
        <v>261</v>
      </c>
      <c r="C69" s="66" t="s">
        <v>363</v>
      </c>
      <c r="D69" s="76" t="s">
        <v>1475</v>
      </c>
      <c r="E69" s="77">
        <v>3830</v>
      </c>
      <c r="F69" s="77">
        <v>23</v>
      </c>
      <c r="G69" s="77">
        <v>292</v>
      </c>
      <c r="H69" s="77">
        <v>335</v>
      </c>
      <c r="I69" s="77">
        <v>335</v>
      </c>
      <c r="J69" s="77">
        <v>313</v>
      </c>
      <c r="K69" s="77">
        <v>323</v>
      </c>
      <c r="L69" s="77">
        <v>315</v>
      </c>
      <c r="M69" s="77">
        <v>310</v>
      </c>
      <c r="N69" s="77">
        <v>314</v>
      </c>
      <c r="O69" s="77">
        <v>288</v>
      </c>
      <c r="P69" s="77">
        <v>275</v>
      </c>
      <c r="Q69" s="77">
        <v>263</v>
      </c>
      <c r="R69" s="77">
        <v>223</v>
      </c>
      <c r="S69" s="77">
        <v>221</v>
      </c>
      <c r="T69" s="81"/>
      <c r="U69" s="639">
        <f t="shared" si="17"/>
        <v>23</v>
      </c>
      <c r="V69" s="639">
        <f t="shared" si="18"/>
        <v>292</v>
      </c>
      <c r="W69" s="639">
        <f t="shared" si="19"/>
        <v>983</v>
      </c>
      <c r="X69" s="639">
        <f t="shared" si="20"/>
        <v>948</v>
      </c>
      <c r="Y69" s="639">
        <f t="shared" si="21"/>
        <v>602</v>
      </c>
      <c r="Z69" s="639">
        <f t="shared" si="22"/>
        <v>982</v>
      </c>
      <c r="AA69" s="639">
        <f t="shared" si="23"/>
        <v>2401</v>
      </c>
      <c r="AB69" s="639">
        <f t="shared" si="24"/>
        <v>3515</v>
      </c>
      <c r="AC69" s="639">
        <f t="shared" si="25"/>
        <v>3807</v>
      </c>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row>
    <row r="70" spans="1:178" s="85" customFormat="1" ht="10.5">
      <c r="A70" s="70"/>
      <c r="B70" s="510">
        <v>262</v>
      </c>
      <c r="C70" s="66" t="s">
        <v>364</v>
      </c>
      <c r="D70" s="76" t="s">
        <v>1475</v>
      </c>
      <c r="E70" s="77">
        <v>599</v>
      </c>
      <c r="F70" s="77">
        <v>5</v>
      </c>
      <c r="G70" s="77">
        <v>38</v>
      </c>
      <c r="H70" s="77">
        <v>46</v>
      </c>
      <c r="I70" s="77">
        <v>42</v>
      </c>
      <c r="J70" s="77">
        <v>57</v>
      </c>
      <c r="K70" s="77">
        <v>44</v>
      </c>
      <c r="L70" s="77">
        <v>54</v>
      </c>
      <c r="M70" s="77">
        <v>45</v>
      </c>
      <c r="N70" s="77">
        <v>58</v>
      </c>
      <c r="O70" s="77">
        <v>37</v>
      </c>
      <c r="P70" s="77">
        <v>54</v>
      </c>
      <c r="Q70" s="77">
        <v>42</v>
      </c>
      <c r="R70" s="77">
        <v>41</v>
      </c>
      <c r="S70" s="77">
        <v>36</v>
      </c>
      <c r="T70" s="95"/>
      <c r="U70" s="639">
        <f t="shared" si="17"/>
        <v>5</v>
      </c>
      <c r="V70" s="639">
        <f t="shared" si="18"/>
        <v>38</v>
      </c>
      <c r="W70" s="639">
        <f t="shared" si="19"/>
        <v>145</v>
      </c>
      <c r="X70" s="639">
        <f t="shared" si="20"/>
        <v>143</v>
      </c>
      <c r="Y70" s="639">
        <f t="shared" si="21"/>
        <v>95</v>
      </c>
      <c r="Z70" s="639">
        <f t="shared" si="22"/>
        <v>173</v>
      </c>
      <c r="AA70" s="639">
        <f t="shared" si="23"/>
        <v>391</v>
      </c>
      <c r="AB70" s="639">
        <f t="shared" si="24"/>
        <v>556</v>
      </c>
      <c r="AC70" s="639">
        <f t="shared" si="25"/>
        <v>594</v>
      </c>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row>
    <row r="71" spans="1:178" s="85" customFormat="1" ht="13">
      <c r="A71" s="70"/>
      <c r="B71" s="510">
        <v>271</v>
      </c>
      <c r="C71" s="66" t="s">
        <v>365</v>
      </c>
      <c r="D71" s="76" t="s">
        <v>1475</v>
      </c>
      <c r="E71" s="77">
        <v>10711</v>
      </c>
      <c r="F71" s="78">
        <v>85</v>
      </c>
      <c r="G71" s="78">
        <v>777</v>
      </c>
      <c r="H71" s="78">
        <v>852</v>
      </c>
      <c r="I71" s="78">
        <v>881</v>
      </c>
      <c r="J71" s="78">
        <v>875</v>
      </c>
      <c r="K71" s="78">
        <v>865</v>
      </c>
      <c r="L71" s="78">
        <v>840</v>
      </c>
      <c r="M71" s="78">
        <v>747</v>
      </c>
      <c r="N71" s="78">
        <v>783</v>
      </c>
      <c r="O71" s="78">
        <v>758</v>
      </c>
      <c r="P71" s="78">
        <v>873</v>
      </c>
      <c r="Q71" s="78">
        <v>842</v>
      </c>
      <c r="R71" s="78">
        <v>810</v>
      </c>
      <c r="S71" s="78">
        <v>723</v>
      </c>
      <c r="T71" s="72"/>
      <c r="U71" s="639">
        <f t="shared" si="17"/>
        <v>85</v>
      </c>
      <c r="V71" s="639">
        <f t="shared" si="18"/>
        <v>777</v>
      </c>
      <c r="W71" s="639">
        <f t="shared" si="19"/>
        <v>2608</v>
      </c>
      <c r="X71" s="639">
        <f t="shared" si="20"/>
        <v>2452</v>
      </c>
      <c r="Y71" s="639">
        <f t="shared" si="21"/>
        <v>1541</v>
      </c>
      <c r="Z71" s="639">
        <f t="shared" si="22"/>
        <v>3248</v>
      </c>
      <c r="AA71" s="639">
        <f t="shared" si="23"/>
        <v>6583</v>
      </c>
      <c r="AB71" s="639">
        <f t="shared" si="24"/>
        <v>9849</v>
      </c>
      <c r="AC71" s="639">
        <f t="shared" si="25"/>
        <v>10626</v>
      </c>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row>
    <row r="72" spans="1:178" s="85" customFormat="1" ht="10.5">
      <c r="A72" s="70"/>
      <c r="B72" s="510">
        <v>272</v>
      </c>
      <c r="C72" s="66" t="s">
        <v>366</v>
      </c>
      <c r="D72" s="76" t="s">
        <v>1475</v>
      </c>
      <c r="E72" s="77">
        <v>4215</v>
      </c>
      <c r="F72" s="77">
        <v>38</v>
      </c>
      <c r="G72" s="77">
        <v>256</v>
      </c>
      <c r="H72" s="77">
        <v>292</v>
      </c>
      <c r="I72" s="77">
        <v>288</v>
      </c>
      <c r="J72" s="77">
        <v>305</v>
      </c>
      <c r="K72" s="77">
        <v>282</v>
      </c>
      <c r="L72" s="77">
        <v>300</v>
      </c>
      <c r="M72" s="77">
        <v>338</v>
      </c>
      <c r="N72" s="77">
        <v>332</v>
      </c>
      <c r="O72" s="77">
        <v>388</v>
      </c>
      <c r="P72" s="77">
        <v>394</v>
      </c>
      <c r="Q72" s="77">
        <v>339</v>
      </c>
      <c r="R72" s="77">
        <v>373</v>
      </c>
      <c r="S72" s="77">
        <v>290</v>
      </c>
      <c r="T72" s="65"/>
      <c r="U72" s="639">
        <f t="shared" si="17"/>
        <v>38</v>
      </c>
      <c r="V72" s="639">
        <f t="shared" si="18"/>
        <v>256</v>
      </c>
      <c r="W72" s="639">
        <f t="shared" si="19"/>
        <v>885</v>
      </c>
      <c r="X72" s="639">
        <f t="shared" si="20"/>
        <v>920</v>
      </c>
      <c r="Y72" s="639">
        <f t="shared" si="21"/>
        <v>720</v>
      </c>
      <c r="Z72" s="639">
        <f t="shared" si="22"/>
        <v>1396</v>
      </c>
      <c r="AA72" s="639">
        <f t="shared" si="23"/>
        <v>2678</v>
      </c>
      <c r="AB72" s="639">
        <f t="shared" si="24"/>
        <v>3921</v>
      </c>
      <c r="AC72" s="639">
        <f t="shared" si="25"/>
        <v>4177</v>
      </c>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row>
    <row r="73" spans="1:178" s="85" customFormat="1" ht="10.5">
      <c r="A73" s="70"/>
      <c r="B73" s="510">
        <v>273</v>
      </c>
      <c r="C73" s="66" t="s">
        <v>367</v>
      </c>
      <c r="D73" s="76" t="s">
        <v>1475</v>
      </c>
      <c r="E73" s="77">
        <v>5718</v>
      </c>
      <c r="F73" s="77">
        <v>59</v>
      </c>
      <c r="G73" s="77">
        <v>397</v>
      </c>
      <c r="H73" s="77">
        <v>454</v>
      </c>
      <c r="I73" s="77">
        <v>448</v>
      </c>
      <c r="J73" s="77">
        <v>523</v>
      </c>
      <c r="K73" s="77">
        <v>422</v>
      </c>
      <c r="L73" s="77">
        <v>456</v>
      </c>
      <c r="M73" s="77">
        <v>457</v>
      </c>
      <c r="N73" s="77">
        <v>481</v>
      </c>
      <c r="O73" s="97">
        <v>395</v>
      </c>
      <c r="P73" s="77">
        <v>461</v>
      </c>
      <c r="Q73" s="77">
        <v>402</v>
      </c>
      <c r="R73" s="77">
        <v>380</v>
      </c>
      <c r="S73" s="77">
        <v>383</v>
      </c>
      <c r="T73" s="96"/>
      <c r="U73" s="639">
        <f t="shared" si="17"/>
        <v>59</v>
      </c>
      <c r="V73" s="639">
        <f t="shared" si="18"/>
        <v>397</v>
      </c>
      <c r="W73" s="639">
        <f t="shared" si="19"/>
        <v>1425</v>
      </c>
      <c r="X73" s="639">
        <f t="shared" si="20"/>
        <v>1335</v>
      </c>
      <c r="Y73" s="639">
        <f t="shared" si="21"/>
        <v>876</v>
      </c>
      <c r="Z73" s="639">
        <f t="shared" si="22"/>
        <v>1626</v>
      </c>
      <c r="AA73" s="639">
        <f t="shared" si="23"/>
        <v>3597</v>
      </c>
      <c r="AB73" s="639">
        <f t="shared" si="24"/>
        <v>5262</v>
      </c>
      <c r="AC73" s="639">
        <f t="shared" si="25"/>
        <v>5659</v>
      </c>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row>
    <row r="74" spans="1:178" s="85" customFormat="1">
      <c r="A74" s="70"/>
      <c r="B74" s="510">
        <v>274</v>
      </c>
      <c r="C74" s="66" t="s">
        <v>368</v>
      </c>
      <c r="D74" s="76" t="s">
        <v>1475</v>
      </c>
      <c r="E74" s="77">
        <v>152</v>
      </c>
      <c r="F74" s="77">
        <v>0</v>
      </c>
      <c r="G74" s="77">
        <v>9</v>
      </c>
      <c r="H74" s="77">
        <v>9</v>
      </c>
      <c r="I74" s="77">
        <v>5</v>
      </c>
      <c r="J74" s="77">
        <v>10</v>
      </c>
      <c r="K74" s="77">
        <v>11</v>
      </c>
      <c r="L74" s="77">
        <v>6</v>
      </c>
      <c r="M74" s="77">
        <v>14</v>
      </c>
      <c r="N74" s="77">
        <v>18</v>
      </c>
      <c r="O74" s="77">
        <v>9</v>
      </c>
      <c r="P74" s="77">
        <v>12</v>
      </c>
      <c r="Q74" s="77">
        <v>20</v>
      </c>
      <c r="R74" s="77">
        <v>14</v>
      </c>
      <c r="S74" s="77">
        <v>15</v>
      </c>
      <c r="T74" s="81"/>
      <c r="U74" s="639">
        <f t="shared" ref="U74:U137" si="26">F74</f>
        <v>0</v>
      </c>
      <c r="V74" s="639">
        <f t="shared" ref="V74:V137" si="27">G74</f>
        <v>9</v>
      </c>
      <c r="W74" s="639">
        <f t="shared" ref="W74:W137" si="28">SUM(H74:J74)</f>
        <v>24</v>
      </c>
      <c r="X74" s="639">
        <f t="shared" ref="X74:X137" si="29">SUM(K74:M74)</f>
        <v>31</v>
      </c>
      <c r="Y74" s="639">
        <f t="shared" ref="Y74:Y137" si="30">SUM(N74:O74)</f>
        <v>27</v>
      </c>
      <c r="Z74" s="639">
        <f t="shared" ref="Z74:Z137" si="31">SUM(P74:S74)</f>
        <v>61</v>
      </c>
      <c r="AA74" s="639">
        <f t="shared" ref="AA74:AA137" si="32">SUM(J74:Q74)</f>
        <v>100</v>
      </c>
      <c r="AB74" s="639">
        <f t="shared" ref="AB74:AB137" si="33">SUM(W74:Z74)</f>
        <v>143</v>
      </c>
      <c r="AC74" s="639">
        <f t="shared" ref="AC74:AC137" si="34">SUM(G74:S74)</f>
        <v>152</v>
      </c>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row>
    <row r="75" spans="1:178" s="85" customFormat="1">
      <c r="A75" s="70"/>
      <c r="B75" s="510">
        <v>281</v>
      </c>
      <c r="C75" s="66" t="s">
        <v>369</v>
      </c>
      <c r="D75" s="76" t="s">
        <v>1475</v>
      </c>
      <c r="E75" s="77">
        <v>2479</v>
      </c>
      <c r="F75" s="77">
        <v>41</v>
      </c>
      <c r="G75" s="77">
        <v>176</v>
      </c>
      <c r="H75" s="77">
        <v>198</v>
      </c>
      <c r="I75" s="77">
        <v>207</v>
      </c>
      <c r="J75" s="77">
        <v>176</v>
      </c>
      <c r="K75" s="77">
        <v>213</v>
      </c>
      <c r="L75" s="77">
        <v>147</v>
      </c>
      <c r="M75" s="77">
        <v>172</v>
      </c>
      <c r="N75" s="77">
        <v>175</v>
      </c>
      <c r="O75" s="77">
        <v>178</v>
      </c>
      <c r="P75" s="77">
        <v>228</v>
      </c>
      <c r="Q75" s="77">
        <v>200</v>
      </c>
      <c r="R75" s="77">
        <v>200</v>
      </c>
      <c r="S75" s="77">
        <v>168</v>
      </c>
      <c r="T75" s="81"/>
      <c r="U75" s="639">
        <f t="shared" si="26"/>
        <v>41</v>
      </c>
      <c r="V75" s="639">
        <f t="shared" si="27"/>
        <v>176</v>
      </c>
      <c r="W75" s="639">
        <f t="shared" si="28"/>
        <v>581</v>
      </c>
      <c r="X75" s="639">
        <f t="shared" si="29"/>
        <v>532</v>
      </c>
      <c r="Y75" s="639">
        <f t="shared" si="30"/>
        <v>353</v>
      </c>
      <c r="Z75" s="639">
        <f t="shared" si="31"/>
        <v>796</v>
      </c>
      <c r="AA75" s="639">
        <f t="shared" si="32"/>
        <v>1489</v>
      </c>
      <c r="AB75" s="639">
        <f t="shared" si="33"/>
        <v>2262</v>
      </c>
      <c r="AC75" s="639">
        <f t="shared" si="34"/>
        <v>2438</v>
      </c>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row>
    <row r="76" spans="1:178" s="85" customFormat="1" ht="13">
      <c r="A76" s="70"/>
      <c r="B76" s="510">
        <v>282</v>
      </c>
      <c r="C76" s="66" t="s">
        <v>370</v>
      </c>
      <c r="D76" s="76" t="s">
        <v>1475</v>
      </c>
      <c r="E76" s="77">
        <v>320</v>
      </c>
      <c r="F76" s="77">
        <v>2</v>
      </c>
      <c r="G76" s="77">
        <v>26</v>
      </c>
      <c r="H76" s="77">
        <v>25</v>
      </c>
      <c r="I76" s="77">
        <v>17</v>
      </c>
      <c r="J76" s="77">
        <v>27</v>
      </c>
      <c r="K76" s="77">
        <v>21</v>
      </c>
      <c r="L76" s="77">
        <v>27</v>
      </c>
      <c r="M76" s="77">
        <v>26</v>
      </c>
      <c r="N76" s="77">
        <v>23</v>
      </c>
      <c r="O76" s="77">
        <v>31</v>
      </c>
      <c r="P76" s="77">
        <v>23</v>
      </c>
      <c r="Q76" s="77">
        <v>28</v>
      </c>
      <c r="R76" s="77">
        <v>27</v>
      </c>
      <c r="S76" s="77">
        <v>17</v>
      </c>
      <c r="T76" s="72"/>
      <c r="U76" s="639">
        <f t="shared" si="26"/>
        <v>2</v>
      </c>
      <c r="V76" s="639">
        <f t="shared" si="27"/>
        <v>26</v>
      </c>
      <c r="W76" s="639">
        <f t="shared" si="28"/>
        <v>69</v>
      </c>
      <c r="X76" s="639">
        <f t="shared" si="29"/>
        <v>74</v>
      </c>
      <c r="Y76" s="639">
        <f t="shared" si="30"/>
        <v>54</v>
      </c>
      <c r="Z76" s="639">
        <f t="shared" si="31"/>
        <v>95</v>
      </c>
      <c r="AA76" s="639">
        <f t="shared" si="32"/>
        <v>206</v>
      </c>
      <c r="AB76" s="639">
        <f t="shared" si="33"/>
        <v>292</v>
      </c>
      <c r="AC76" s="639">
        <f t="shared" si="34"/>
        <v>318</v>
      </c>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row>
    <row r="77" spans="1:178" s="85" customFormat="1" ht="14.5">
      <c r="A77" s="70"/>
      <c r="B77" s="510">
        <v>283</v>
      </c>
      <c r="C77" s="66" t="s">
        <v>371</v>
      </c>
      <c r="D77" s="76" t="s">
        <v>1475</v>
      </c>
      <c r="E77" s="98">
        <v>253</v>
      </c>
      <c r="F77" s="99">
        <v>0</v>
      </c>
      <c r="G77" s="99">
        <v>25</v>
      </c>
      <c r="H77" s="99">
        <v>17</v>
      </c>
      <c r="I77" s="99">
        <v>25</v>
      </c>
      <c r="J77" s="99">
        <v>23</v>
      </c>
      <c r="K77" s="99">
        <v>27</v>
      </c>
      <c r="L77" s="99">
        <v>16</v>
      </c>
      <c r="M77" s="99">
        <v>13</v>
      </c>
      <c r="N77" s="99">
        <v>18</v>
      </c>
      <c r="O77" s="99">
        <v>24</v>
      </c>
      <c r="P77" s="99">
        <v>16</v>
      </c>
      <c r="Q77" s="99">
        <v>12</v>
      </c>
      <c r="R77" s="99">
        <v>22</v>
      </c>
      <c r="S77" s="99">
        <v>15</v>
      </c>
      <c r="T77" s="4"/>
      <c r="U77" s="639">
        <f t="shared" si="26"/>
        <v>0</v>
      </c>
      <c r="V77" s="639">
        <f t="shared" si="27"/>
        <v>25</v>
      </c>
      <c r="W77" s="639">
        <f t="shared" si="28"/>
        <v>65</v>
      </c>
      <c r="X77" s="639">
        <f t="shared" si="29"/>
        <v>56</v>
      </c>
      <c r="Y77" s="639">
        <f t="shared" si="30"/>
        <v>42</v>
      </c>
      <c r="Z77" s="639">
        <f t="shared" si="31"/>
        <v>65</v>
      </c>
      <c r="AA77" s="639">
        <f t="shared" si="32"/>
        <v>149</v>
      </c>
      <c r="AB77" s="639">
        <f t="shared" si="33"/>
        <v>228</v>
      </c>
      <c r="AC77" s="639">
        <f t="shared" si="34"/>
        <v>253</v>
      </c>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row>
    <row r="78" spans="1:178" s="85" customFormat="1">
      <c r="A78" s="70"/>
      <c r="B78" s="510">
        <v>285</v>
      </c>
      <c r="C78" s="66" t="s">
        <v>372</v>
      </c>
      <c r="D78" s="76" t="s">
        <v>1475</v>
      </c>
      <c r="E78" s="77">
        <v>460</v>
      </c>
      <c r="F78" s="77">
        <v>4</v>
      </c>
      <c r="G78" s="77">
        <v>40</v>
      </c>
      <c r="H78" s="77">
        <v>31</v>
      </c>
      <c r="I78" s="77">
        <v>33</v>
      </c>
      <c r="J78" s="77">
        <v>36</v>
      </c>
      <c r="K78" s="77">
        <v>28</v>
      </c>
      <c r="L78" s="77">
        <v>44</v>
      </c>
      <c r="M78" s="77">
        <v>31</v>
      </c>
      <c r="N78" s="77">
        <v>31</v>
      </c>
      <c r="O78" s="77">
        <v>56</v>
      </c>
      <c r="P78" s="77">
        <v>26</v>
      </c>
      <c r="Q78" s="77">
        <v>26</v>
      </c>
      <c r="R78" s="77">
        <v>31</v>
      </c>
      <c r="S78" s="77">
        <v>43</v>
      </c>
      <c r="T78" s="81"/>
      <c r="U78" s="639">
        <f t="shared" si="26"/>
        <v>4</v>
      </c>
      <c r="V78" s="639">
        <f t="shared" si="27"/>
        <v>40</v>
      </c>
      <c r="W78" s="639">
        <f t="shared" si="28"/>
        <v>100</v>
      </c>
      <c r="X78" s="639">
        <f t="shared" si="29"/>
        <v>103</v>
      </c>
      <c r="Y78" s="639">
        <f t="shared" si="30"/>
        <v>87</v>
      </c>
      <c r="Z78" s="639">
        <f t="shared" si="31"/>
        <v>126</v>
      </c>
      <c r="AA78" s="639">
        <f t="shared" si="32"/>
        <v>278</v>
      </c>
      <c r="AB78" s="639">
        <f t="shared" si="33"/>
        <v>416</v>
      </c>
      <c r="AC78" s="639">
        <f t="shared" si="34"/>
        <v>456</v>
      </c>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row>
    <row r="79" spans="1:178" s="100" customFormat="1" ht="13">
      <c r="A79" s="70"/>
      <c r="B79" s="510">
        <v>287</v>
      </c>
      <c r="C79" s="66" t="s">
        <v>373</v>
      </c>
      <c r="D79" s="76" t="s">
        <v>1475</v>
      </c>
      <c r="E79" s="77">
        <v>262</v>
      </c>
      <c r="F79" s="78">
        <v>5</v>
      </c>
      <c r="G79" s="78">
        <v>17</v>
      </c>
      <c r="H79" s="78">
        <v>20</v>
      </c>
      <c r="I79" s="78">
        <v>15</v>
      </c>
      <c r="J79" s="78">
        <v>16</v>
      </c>
      <c r="K79" s="78">
        <v>13</v>
      </c>
      <c r="L79" s="78">
        <v>22</v>
      </c>
      <c r="M79" s="78">
        <v>21</v>
      </c>
      <c r="N79" s="78">
        <v>16</v>
      </c>
      <c r="O79" s="78">
        <v>20</v>
      </c>
      <c r="P79" s="78">
        <v>20</v>
      </c>
      <c r="Q79" s="78">
        <v>29</v>
      </c>
      <c r="R79" s="78">
        <v>22</v>
      </c>
      <c r="S79" s="78">
        <v>26</v>
      </c>
      <c r="T79" s="81"/>
      <c r="U79" s="639">
        <f t="shared" si="26"/>
        <v>5</v>
      </c>
      <c r="V79" s="639">
        <f t="shared" si="27"/>
        <v>17</v>
      </c>
      <c r="W79" s="639">
        <f t="shared" si="28"/>
        <v>51</v>
      </c>
      <c r="X79" s="639">
        <f t="shared" si="29"/>
        <v>56</v>
      </c>
      <c r="Y79" s="639">
        <f t="shared" si="30"/>
        <v>36</v>
      </c>
      <c r="Z79" s="639">
        <f t="shared" si="31"/>
        <v>97</v>
      </c>
      <c r="AA79" s="639">
        <f t="shared" si="32"/>
        <v>157</v>
      </c>
      <c r="AB79" s="639">
        <f t="shared" si="33"/>
        <v>240</v>
      </c>
      <c r="AC79" s="639">
        <f t="shared" si="34"/>
        <v>257</v>
      </c>
    </row>
    <row r="80" spans="1:178" s="85" customFormat="1">
      <c r="A80" s="70"/>
      <c r="B80" s="510">
        <v>288</v>
      </c>
      <c r="C80" s="66" t="s">
        <v>374</v>
      </c>
      <c r="D80" s="76" t="s">
        <v>1475</v>
      </c>
      <c r="E80" s="98">
        <v>225</v>
      </c>
      <c r="F80" s="99">
        <v>0</v>
      </c>
      <c r="G80" s="99">
        <v>14</v>
      </c>
      <c r="H80" s="99">
        <v>12</v>
      </c>
      <c r="I80" s="99">
        <v>20</v>
      </c>
      <c r="J80" s="99">
        <v>14</v>
      </c>
      <c r="K80" s="99">
        <v>17</v>
      </c>
      <c r="L80" s="99">
        <v>20</v>
      </c>
      <c r="M80" s="99">
        <v>16</v>
      </c>
      <c r="N80" s="99">
        <v>24</v>
      </c>
      <c r="O80" s="99">
        <v>18</v>
      </c>
      <c r="P80" s="99">
        <v>20</v>
      </c>
      <c r="Q80" s="99">
        <v>21</v>
      </c>
      <c r="R80" s="99">
        <v>10</v>
      </c>
      <c r="S80" s="99">
        <v>19</v>
      </c>
      <c r="T80" s="81"/>
      <c r="U80" s="639">
        <f t="shared" si="26"/>
        <v>0</v>
      </c>
      <c r="V80" s="639">
        <f t="shared" si="27"/>
        <v>14</v>
      </c>
      <c r="W80" s="639">
        <f t="shared" si="28"/>
        <v>46</v>
      </c>
      <c r="X80" s="639">
        <f t="shared" si="29"/>
        <v>53</v>
      </c>
      <c r="Y80" s="639">
        <f t="shared" si="30"/>
        <v>42</v>
      </c>
      <c r="Z80" s="639">
        <f t="shared" si="31"/>
        <v>70</v>
      </c>
      <c r="AA80" s="639">
        <f t="shared" si="32"/>
        <v>150</v>
      </c>
      <c r="AB80" s="639">
        <f t="shared" si="33"/>
        <v>211</v>
      </c>
      <c r="AC80" s="639">
        <f t="shared" si="34"/>
        <v>225</v>
      </c>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row>
    <row r="81" spans="1:77" s="85" customFormat="1">
      <c r="A81" s="70"/>
      <c r="B81" s="510">
        <v>291</v>
      </c>
      <c r="C81" s="66" t="s">
        <v>375</v>
      </c>
      <c r="D81" s="76" t="s">
        <v>1475</v>
      </c>
      <c r="E81" s="77">
        <v>766</v>
      </c>
      <c r="F81" s="78">
        <v>21</v>
      </c>
      <c r="G81" s="78">
        <v>62</v>
      </c>
      <c r="H81" s="78">
        <v>46</v>
      </c>
      <c r="I81" s="78">
        <v>57</v>
      </c>
      <c r="J81" s="78">
        <v>57</v>
      </c>
      <c r="K81" s="78">
        <v>51</v>
      </c>
      <c r="L81" s="78">
        <v>52</v>
      </c>
      <c r="M81" s="78">
        <v>59</v>
      </c>
      <c r="N81" s="78">
        <v>71</v>
      </c>
      <c r="O81" s="78">
        <v>48</v>
      </c>
      <c r="P81" s="78">
        <v>72</v>
      </c>
      <c r="Q81" s="78">
        <v>62</v>
      </c>
      <c r="R81" s="78">
        <v>52</v>
      </c>
      <c r="S81" s="78">
        <v>56</v>
      </c>
      <c r="T81" s="81"/>
      <c r="U81" s="639">
        <f t="shared" si="26"/>
        <v>21</v>
      </c>
      <c r="V81" s="639">
        <f t="shared" si="27"/>
        <v>62</v>
      </c>
      <c r="W81" s="639">
        <f t="shared" si="28"/>
        <v>160</v>
      </c>
      <c r="X81" s="639">
        <f t="shared" si="29"/>
        <v>162</v>
      </c>
      <c r="Y81" s="639">
        <f t="shared" si="30"/>
        <v>119</v>
      </c>
      <c r="Z81" s="639">
        <f t="shared" si="31"/>
        <v>242</v>
      </c>
      <c r="AA81" s="639">
        <f t="shared" si="32"/>
        <v>472</v>
      </c>
      <c r="AB81" s="639">
        <f t="shared" si="33"/>
        <v>683</v>
      </c>
      <c r="AC81" s="639">
        <f t="shared" si="34"/>
        <v>745</v>
      </c>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row>
    <row r="82" spans="1:77" s="85" customFormat="1" ht="10.5">
      <c r="A82" s="70"/>
      <c r="B82" s="510">
        <v>292</v>
      </c>
      <c r="C82" s="66" t="s">
        <v>376</v>
      </c>
      <c r="D82" s="76" t="s">
        <v>1475</v>
      </c>
      <c r="E82" s="77">
        <v>79</v>
      </c>
      <c r="F82" s="77">
        <v>1</v>
      </c>
      <c r="G82" s="77">
        <v>6</v>
      </c>
      <c r="H82" s="77">
        <v>10</v>
      </c>
      <c r="I82" s="77">
        <v>11</v>
      </c>
      <c r="J82" s="77">
        <v>7</v>
      </c>
      <c r="K82" s="77">
        <v>9</v>
      </c>
      <c r="L82" s="77">
        <v>6</v>
      </c>
      <c r="M82" s="77">
        <v>2</v>
      </c>
      <c r="N82" s="77">
        <v>7</v>
      </c>
      <c r="O82" s="77">
        <v>3</v>
      </c>
      <c r="P82" s="77">
        <v>4</v>
      </c>
      <c r="Q82" s="77">
        <v>6</v>
      </c>
      <c r="R82" s="77">
        <v>3</v>
      </c>
      <c r="S82" s="77">
        <v>4</v>
      </c>
      <c r="T82" s="73"/>
      <c r="U82" s="639">
        <f t="shared" si="26"/>
        <v>1</v>
      </c>
      <c r="V82" s="639">
        <f t="shared" si="27"/>
        <v>6</v>
      </c>
      <c r="W82" s="639">
        <f t="shared" si="28"/>
        <v>28</v>
      </c>
      <c r="X82" s="639">
        <f t="shared" si="29"/>
        <v>17</v>
      </c>
      <c r="Y82" s="639">
        <f t="shared" si="30"/>
        <v>10</v>
      </c>
      <c r="Z82" s="639">
        <f t="shared" si="31"/>
        <v>17</v>
      </c>
      <c r="AA82" s="639">
        <f t="shared" si="32"/>
        <v>44</v>
      </c>
      <c r="AB82" s="639">
        <f t="shared" si="33"/>
        <v>72</v>
      </c>
      <c r="AC82" s="639">
        <f t="shared" si="34"/>
        <v>78</v>
      </c>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row>
    <row r="83" spans="1:77" s="85" customFormat="1" ht="10.5">
      <c r="A83" s="70"/>
      <c r="B83" s="510">
        <v>302</v>
      </c>
      <c r="C83" s="66" t="s">
        <v>377</v>
      </c>
      <c r="D83" s="76" t="s">
        <v>1475</v>
      </c>
      <c r="E83" s="77">
        <v>150</v>
      </c>
      <c r="F83" s="77">
        <v>4</v>
      </c>
      <c r="G83" s="77">
        <v>14</v>
      </c>
      <c r="H83" s="77">
        <v>10</v>
      </c>
      <c r="I83" s="77">
        <v>10</v>
      </c>
      <c r="J83" s="77">
        <v>12</v>
      </c>
      <c r="K83" s="77">
        <v>12</v>
      </c>
      <c r="L83" s="77">
        <v>11</v>
      </c>
      <c r="M83" s="77">
        <v>12</v>
      </c>
      <c r="N83" s="77">
        <v>12</v>
      </c>
      <c r="O83" s="77">
        <v>11</v>
      </c>
      <c r="P83" s="77">
        <v>9</v>
      </c>
      <c r="Q83" s="77">
        <v>12</v>
      </c>
      <c r="R83" s="77">
        <v>7</v>
      </c>
      <c r="S83" s="77">
        <v>14</v>
      </c>
      <c r="T83" s="95"/>
      <c r="U83" s="639">
        <f t="shared" si="26"/>
        <v>4</v>
      </c>
      <c r="V83" s="639">
        <f t="shared" si="27"/>
        <v>14</v>
      </c>
      <c r="W83" s="639">
        <f t="shared" si="28"/>
        <v>32</v>
      </c>
      <c r="X83" s="639">
        <f t="shared" si="29"/>
        <v>35</v>
      </c>
      <c r="Y83" s="639">
        <f t="shared" si="30"/>
        <v>23</v>
      </c>
      <c r="Z83" s="639">
        <f t="shared" si="31"/>
        <v>42</v>
      </c>
      <c r="AA83" s="639">
        <f t="shared" si="32"/>
        <v>91</v>
      </c>
      <c r="AB83" s="639">
        <f t="shared" si="33"/>
        <v>132</v>
      </c>
      <c r="AC83" s="639">
        <f t="shared" si="34"/>
        <v>146</v>
      </c>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row>
    <row r="84" spans="1:77" s="85" customFormat="1" ht="13">
      <c r="A84" s="70"/>
      <c r="B84" s="510">
        <v>304</v>
      </c>
      <c r="C84" s="66" t="s">
        <v>378</v>
      </c>
      <c r="D84" s="76" t="s">
        <v>1475</v>
      </c>
      <c r="E84" s="77">
        <v>436</v>
      </c>
      <c r="F84" s="78">
        <v>7</v>
      </c>
      <c r="G84" s="78">
        <v>32</v>
      </c>
      <c r="H84" s="78">
        <v>34</v>
      </c>
      <c r="I84" s="78">
        <v>29</v>
      </c>
      <c r="J84" s="78">
        <v>36</v>
      </c>
      <c r="K84" s="78">
        <v>44</v>
      </c>
      <c r="L84" s="78">
        <v>30</v>
      </c>
      <c r="M84" s="78">
        <v>38</v>
      </c>
      <c r="N84" s="78">
        <v>35</v>
      </c>
      <c r="O84" s="78">
        <v>34</v>
      </c>
      <c r="P84" s="78">
        <v>33</v>
      </c>
      <c r="Q84" s="78">
        <v>22</v>
      </c>
      <c r="R84" s="78">
        <v>31</v>
      </c>
      <c r="S84" s="78">
        <v>31</v>
      </c>
      <c r="T84" s="72"/>
      <c r="U84" s="639">
        <f t="shared" si="26"/>
        <v>7</v>
      </c>
      <c r="V84" s="639">
        <f t="shared" si="27"/>
        <v>32</v>
      </c>
      <c r="W84" s="639">
        <f t="shared" si="28"/>
        <v>99</v>
      </c>
      <c r="X84" s="639">
        <f t="shared" si="29"/>
        <v>112</v>
      </c>
      <c r="Y84" s="639">
        <f t="shared" si="30"/>
        <v>69</v>
      </c>
      <c r="Z84" s="639">
        <f t="shared" si="31"/>
        <v>117</v>
      </c>
      <c r="AA84" s="639">
        <f t="shared" si="32"/>
        <v>272</v>
      </c>
      <c r="AB84" s="639">
        <f t="shared" si="33"/>
        <v>397</v>
      </c>
      <c r="AC84" s="639">
        <f t="shared" si="34"/>
        <v>429</v>
      </c>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row>
    <row r="85" spans="1:77" s="85" customFormat="1" ht="10.5">
      <c r="A85" s="70"/>
      <c r="B85" s="510">
        <v>305</v>
      </c>
      <c r="C85" s="66" t="s">
        <v>379</v>
      </c>
      <c r="D85" s="76" t="s">
        <v>1475</v>
      </c>
      <c r="E85" s="77">
        <v>163</v>
      </c>
      <c r="F85" s="77">
        <v>2</v>
      </c>
      <c r="G85" s="77">
        <v>13</v>
      </c>
      <c r="H85" s="77">
        <v>11</v>
      </c>
      <c r="I85" s="77">
        <v>15</v>
      </c>
      <c r="J85" s="77">
        <v>9</v>
      </c>
      <c r="K85" s="77">
        <v>13</v>
      </c>
      <c r="L85" s="77">
        <v>13</v>
      </c>
      <c r="M85" s="77">
        <v>14</v>
      </c>
      <c r="N85" s="77">
        <v>9</v>
      </c>
      <c r="O85" s="77">
        <v>18</v>
      </c>
      <c r="P85" s="77">
        <v>14</v>
      </c>
      <c r="Q85" s="77">
        <v>11</v>
      </c>
      <c r="R85" s="77">
        <v>7</v>
      </c>
      <c r="S85" s="77">
        <v>14</v>
      </c>
      <c r="T85" s="73"/>
      <c r="U85" s="639">
        <f t="shared" si="26"/>
        <v>2</v>
      </c>
      <c r="V85" s="639">
        <f t="shared" si="27"/>
        <v>13</v>
      </c>
      <c r="W85" s="639">
        <f t="shared" si="28"/>
        <v>35</v>
      </c>
      <c r="X85" s="639">
        <f t="shared" si="29"/>
        <v>40</v>
      </c>
      <c r="Y85" s="639">
        <f t="shared" si="30"/>
        <v>27</v>
      </c>
      <c r="Z85" s="639">
        <f t="shared" si="31"/>
        <v>46</v>
      </c>
      <c r="AA85" s="639">
        <f t="shared" si="32"/>
        <v>101</v>
      </c>
      <c r="AB85" s="639">
        <f t="shared" si="33"/>
        <v>148</v>
      </c>
      <c r="AC85" s="639">
        <f t="shared" si="34"/>
        <v>161</v>
      </c>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row>
    <row r="86" spans="1:77" s="85" customFormat="1">
      <c r="A86" s="70"/>
      <c r="B86" s="510">
        <v>312</v>
      </c>
      <c r="C86" s="66" t="s">
        <v>380</v>
      </c>
      <c r="D86" s="76" t="s">
        <v>1475</v>
      </c>
      <c r="E86" s="77">
        <v>518</v>
      </c>
      <c r="F86" s="78">
        <v>2</v>
      </c>
      <c r="G86" s="78">
        <v>44</v>
      </c>
      <c r="H86" s="78">
        <v>43</v>
      </c>
      <c r="I86" s="78">
        <v>37</v>
      </c>
      <c r="J86" s="78">
        <v>40</v>
      </c>
      <c r="K86" s="78">
        <v>37</v>
      </c>
      <c r="L86" s="78">
        <v>41</v>
      </c>
      <c r="M86" s="78">
        <v>44</v>
      </c>
      <c r="N86" s="78">
        <v>29</v>
      </c>
      <c r="O86" s="78">
        <v>39</v>
      </c>
      <c r="P86" s="78">
        <v>52</v>
      </c>
      <c r="Q86" s="78">
        <v>37</v>
      </c>
      <c r="R86" s="78">
        <v>44</v>
      </c>
      <c r="S86" s="78">
        <v>29</v>
      </c>
      <c r="T86" s="81"/>
      <c r="U86" s="639">
        <f t="shared" si="26"/>
        <v>2</v>
      </c>
      <c r="V86" s="639">
        <f t="shared" si="27"/>
        <v>44</v>
      </c>
      <c r="W86" s="639">
        <f t="shared" si="28"/>
        <v>120</v>
      </c>
      <c r="X86" s="639">
        <f t="shared" si="29"/>
        <v>122</v>
      </c>
      <c r="Y86" s="639">
        <f t="shared" si="30"/>
        <v>68</v>
      </c>
      <c r="Z86" s="639">
        <f t="shared" si="31"/>
        <v>162</v>
      </c>
      <c r="AA86" s="639">
        <f t="shared" si="32"/>
        <v>319</v>
      </c>
      <c r="AB86" s="639">
        <f t="shared" si="33"/>
        <v>472</v>
      </c>
      <c r="AC86" s="639">
        <f t="shared" si="34"/>
        <v>516</v>
      </c>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row>
    <row r="87" spans="1:77" s="85" customFormat="1" ht="10.5">
      <c r="A87" s="70"/>
      <c r="B87" s="510">
        <v>314</v>
      </c>
      <c r="C87" s="66" t="s">
        <v>381</v>
      </c>
      <c r="D87" s="76" t="s">
        <v>1475</v>
      </c>
      <c r="E87" s="77">
        <v>232</v>
      </c>
      <c r="F87" s="77">
        <v>2</v>
      </c>
      <c r="G87" s="77">
        <v>15</v>
      </c>
      <c r="H87" s="77">
        <v>18</v>
      </c>
      <c r="I87" s="77">
        <v>16</v>
      </c>
      <c r="J87" s="77">
        <v>22</v>
      </c>
      <c r="K87" s="77">
        <v>17</v>
      </c>
      <c r="L87" s="77">
        <v>22</v>
      </c>
      <c r="M87" s="77">
        <v>20</v>
      </c>
      <c r="N87" s="77">
        <v>21</v>
      </c>
      <c r="O87" s="77">
        <v>20</v>
      </c>
      <c r="P87" s="77">
        <v>20</v>
      </c>
      <c r="Q87" s="77">
        <v>17</v>
      </c>
      <c r="R87" s="77">
        <v>13</v>
      </c>
      <c r="S87" s="77">
        <v>9</v>
      </c>
      <c r="T87" s="65"/>
      <c r="U87" s="639">
        <f t="shared" si="26"/>
        <v>2</v>
      </c>
      <c r="V87" s="639">
        <f t="shared" si="27"/>
        <v>15</v>
      </c>
      <c r="W87" s="639">
        <f t="shared" si="28"/>
        <v>56</v>
      </c>
      <c r="X87" s="639">
        <f t="shared" si="29"/>
        <v>59</v>
      </c>
      <c r="Y87" s="639">
        <f t="shared" si="30"/>
        <v>41</v>
      </c>
      <c r="Z87" s="639">
        <f t="shared" si="31"/>
        <v>59</v>
      </c>
      <c r="AA87" s="639">
        <f t="shared" si="32"/>
        <v>159</v>
      </c>
      <c r="AB87" s="639">
        <f t="shared" si="33"/>
        <v>215</v>
      </c>
      <c r="AC87" s="639">
        <f t="shared" si="34"/>
        <v>230</v>
      </c>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row>
    <row r="88" spans="1:77" s="85" customFormat="1" ht="10.5">
      <c r="A88" s="70"/>
      <c r="B88" s="510">
        <v>316</v>
      </c>
      <c r="C88" s="66" t="s">
        <v>382</v>
      </c>
      <c r="D88" s="76" t="s">
        <v>1475</v>
      </c>
      <c r="E88" s="77">
        <v>207</v>
      </c>
      <c r="F88" s="89">
        <v>0</v>
      </c>
      <c r="G88" s="78">
        <v>14</v>
      </c>
      <c r="H88" s="78">
        <v>19</v>
      </c>
      <c r="I88" s="78">
        <v>22</v>
      </c>
      <c r="J88" s="78">
        <v>18</v>
      </c>
      <c r="K88" s="78">
        <v>12</v>
      </c>
      <c r="L88" s="78">
        <v>14</v>
      </c>
      <c r="M88" s="78">
        <v>15</v>
      </c>
      <c r="N88" s="78">
        <v>14</v>
      </c>
      <c r="O88" s="78">
        <v>12</v>
      </c>
      <c r="P88" s="78">
        <v>15</v>
      </c>
      <c r="Q88" s="78">
        <v>16</v>
      </c>
      <c r="R88" s="78">
        <v>21</v>
      </c>
      <c r="S88" s="78">
        <v>15</v>
      </c>
      <c r="T88" s="94"/>
      <c r="U88" s="639">
        <f t="shared" si="26"/>
        <v>0</v>
      </c>
      <c r="V88" s="639">
        <f t="shared" si="27"/>
        <v>14</v>
      </c>
      <c r="W88" s="639">
        <f t="shared" si="28"/>
        <v>59</v>
      </c>
      <c r="X88" s="639">
        <f t="shared" si="29"/>
        <v>41</v>
      </c>
      <c r="Y88" s="639">
        <f t="shared" si="30"/>
        <v>26</v>
      </c>
      <c r="Z88" s="639">
        <f t="shared" si="31"/>
        <v>67</v>
      </c>
      <c r="AA88" s="639">
        <f t="shared" si="32"/>
        <v>116</v>
      </c>
      <c r="AB88" s="639">
        <f t="shared" si="33"/>
        <v>193</v>
      </c>
      <c r="AC88" s="639">
        <f t="shared" si="34"/>
        <v>207</v>
      </c>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row>
    <row r="89" spans="1:77" s="85" customFormat="1" ht="10.5">
      <c r="A89" s="70"/>
      <c r="B89" s="510">
        <v>321</v>
      </c>
      <c r="C89" s="66" t="s">
        <v>383</v>
      </c>
      <c r="D89" s="76" t="s">
        <v>1475</v>
      </c>
      <c r="E89" s="77">
        <v>5311</v>
      </c>
      <c r="F89" s="89">
        <v>62</v>
      </c>
      <c r="G89" s="78">
        <v>418</v>
      </c>
      <c r="H89" s="78">
        <v>414</v>
      </c>
      <c r="I89" s="78">
        <v>411</v>
      </c>
      <c r="J89" s="78">
        <v>415</v>
      </c>
      <c r="K89" s="78">
        <v>401</v>
      </c>
      <c r="L89" s="78">
        <v>424</v>
      </c>
      <c r="M89" s="78">
        <v>407</v>
      </c>
      <c r="N89" s="78">
        <v>386</v>
      </c>
      <c r="O89" s="78">
        <v>416</v>
      </c>
      <c r="P89" s="78">
        <v>415</v>
      </c>
      <c r="Q89" s="78">
        <v>380</v>
      </c>
      <c r="R89" s="78">
        <v>434</v>
      </c>
      <c r="S89" s="78">
        <v>328</v>
      </c>
      <c r="T89" s="94"/>
      <c r="U89" s="639">
        <f t="shared" si="26"/>
        <v>62</v>
      </c>
      <c r="V89" s="639">
        <f t="shared" si="27"/>
        <v>418</v>
      </c>
      <c r="W89" s="639">
        <f t="shared" si="28"/>
        <v>1240</v>
      </c>
      <c r="X89" s="639">
        <f t="shared" si="29"/>
        <v>1232</v>
      </c>
      <c r="Y89" s="639">
        <f t="shared" si="30"/>
        <v>802</v>
      </c>
      <c r="Z89" s="639">
        <f t="shared" si="31"/>
        <v>1557</v>
      </c>
      <c r="AA89" s="639">
        <f t="shared" si="32"/>
        <v>3244</v>
      </c>
      <c r="AB89" s="639">
        <f t="shared" si="33"/>
        <v>4831</v>
      </c>
      <c r="AC89" s="639">
        <f t="shared" si="34"/>
        <v>5249</v>
      </c>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row>
    <row r="90" spans="1:77" s="85" customFormat="1" ht="14.5">
      <c r="A90" s="70"/>
      <c r="B90" s="510">
        <v>322</v>
      </c>
      <c r="C90" s="66" t="s">
        <v>384</v>
      </c>
      <c r="D90" s="76" t="s">
        <v>1475</v>
      </c>
      <c r="E90" s="77">
        <v>1573</v>
      </c>
      <c r="F90" s="77">
        <v>27</v>
      </c>
      <c r="G90" s="77">
        <v>87</v>
      </c>
      <c r="H90" s="77">
        <v>117</v>
      </c>
      <c r="I90" s="77">
        <v>93</v>
      </c>
      <c r="J90" s="77">
        <v>129</v>
      </c>
      <c r="K90" s="77">
        <v>106</v>
      </c>
      <c r="L90" s="77">
        <v>118</v>
      </c>
      <c r="M90" s="77">
        <v>115</v>
      </c>
      <c r="N90" s="77">
        <v>106</v>
      </c>
      <c r="O90" s="77">
        <v>150</v>
      </c>
      <c r="P90" s="77">
        <v>122</v>
      </c>
      <c r="Q90" s="77">
        <v>141</v>
      </c>
      <c r="R90" s="77">
        <v>125</v>
      </c>
      <c r="S90" s="77">
        <v>137</v>
      </c>
      <c r="T90" s="4"/>
      <c r="U90" s="639">
        <f t="shared" si="26"/>
        <v>27</v>
      </c>
      <c r="V90" s="639">
        <f t="shared" si="27"/>
        <v>87</v>
      </c>
      <c r="W90" s="639">
        <f t="shared" si="28"/>
        <v>339</v>
      </c>
      <c r="X90" s="639">
        <f t="shared" si="29"/>
        <v>339</v>
      </c>
      <c r="Y90" s="639">
        <f t="shared" si="30"/>
        <v>256</v>
      </c>
      <c r="Z90" s="639">
        <f t="shared" si="31"/>
        <v>525</v>
      </c>
      <c r="AA90" s="639">
        <f t="shared" si="32"/>
        <v>987</v>
      </c>
      <c r="AB90" s="639">
        <f t="shared" si="33"/>
        <v>1459</v>
      </c>
      <c r="AC90" s="639">
        <f t="shared" si="34"/>
        <v>1546</v>
      </c>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row>
    <row r="91" spans="1:77" s="4" customFormat="1" ht="14.5">
      <c r="A91" s="70"/>
      <c r="B91" s="510">
        <v>331</v>
      </c>
      <c r="C91" s="66" t="s">
        <v>385</v>
      </c>
      <c r="D91" s="76" t="s">
        <v>1475</v>
      </c>
      <c r="E91" s="77">
        <v>4382</v>
      </c>
      <c r="F91" s="77">
        <v>82</v>
      </c>
      <c r="G91" s="77">
        <v>338</v>
      </c>
      <c r="H91" s="77">
        <v>348</v>
      </c>
      <c r="I91" s="77">
        <v>368</v>
      </c>
      <c r="J91" s="77">
        <v>336</v>
      </c>
      <c r="K91" s="77">
        <v>339</v>
      </c>
      <c r="L91" s="77">
        <v>316</v>
      </c>
      <c r="M91" s="77">
        <v>311</v>
      </c>
      <c r="N91" s="77">
        <v>327</v>
      </c>
      <c r="O91" s="77">
        <v>266</v>
      </c>
      <c r="P91" s="77">
        <v>318</v>
      </c>
      <c r="Q91" s="77">
        <v>341</v>
      </c>
      <c r="R91" s="77">
        <v>350</v>
      </c>
      <c r="S91" s="77">
        <v>342</v>
      </c>
      <c r="T91" s="81"/>
      <c r="U91" s="639">
        <f t="shared" si="26"/>
        <v>82</v>
      </c>
      <c r="V91" s="639">
        <f t="shared" si="27"/>
        <v>338</v>
      </c>
      <c r="W91" s="639">
        <f t="shared" si="28"/>
        <v>1052</v>
      </c>
      <c r="X91" s="639">
        <f t="shared" si="29"/>
        <v>966</v>
      </c>
      <c r="Y91" s="639">
        <f t="shared" si="30"/>
        <v>593</v>
      </c>
      <c r="Z91" s="639">
        <f t="shared" si="31"/>
        <v>1351</v>
      </c>
      <c r="AA91" s="639">
        <f t="shared" si="32"/>
        <v>2554</v>
      </c>
      <c r="AB91" s="639">
        <f t="shared" si="33"/>
        <v>3962</v>
      </c>
      <c r="AC91" s="639">
        <f t="shared" si="34"/>
        <v>4300</v>
      </c>
    </row>
    <row r="92" spans="1:77" s="4" customFormat="1" ht="14.5">
      <c r="A92" s="70"/>
      <c r="B92" s="510">
        <v>340</v>
      </c>
      <c r="C92" s="66" t="s">
        <v>386</v>
      </c>
      <c r="D92" s="76" t="s">
        <v>1475</v>
      </c>
      <c r="E92" s="77">
        <v>4738</v>
      </c>
      <c r="F92" s="77">
        <v>52</v>
      </c>
      <c r="G92" s="77">
        <v>323</v>
      </c>
      <c r="H92" s="77">
        <v>327</v>
      </c>
      <c r="I92" s="77">
        <v>362</v>
      </c>
      <c r="J92" s="77">
        <v>343</v>
      </c>
      <c r="K92" s="77">
        <v>362</v>
      </c>
      <c r="L92" s="77">
        <v>359</v>
      </c>
      <c r="M92" s="77">
        <v>385</v>
      </c>
      <c r="N92" s="77">
        <v>338</v>
      </c>
      <c r="O92" s="77">
        <v>380</v>
      </c>
      <c r="P92" s="77">
        <v>377</v>
      </c>
      <c r="Q92" s="77">
        <v>397</v>
      </c>
      <c r="R92" s="77">
        <v>399</v>
      </c>
      <c r="S92" s="77">
        <v>334</v>
      </c>
      <c r="T92" s="81"/>
      <c r="U92" s="639">
        <f t="shared" si="26"/>
        <v>52</v>
      </c>
      <c r="V92" s="639">
        <f t="shared" si="27"/>
        <v>323</v>
      </c>
      <c r="W92" s="639">
        <f t="shared" si="28"/>
        <v>1032</v>
      </c>
      <c r="X92" s="639">
        <f t="shared" si="29"/>
        <v>1106</v>
      </c>
      <c r="Y92" s="639">
        <f t="shared" si="30"/>
        <v>718</v>
      </c>
      <c r="Z92" s="639">
        <f t="shared" si="31"/>
        <v>1507</v>
      </c>
      <c r="AA92" s="639">
        <f t="shared" si="32"/>
        <v>2941</v>
      </c>
      <c r="AB92" s="639">
        <f t="shared" si="33"/>
        <v>4363</v>
      </c>
      <c r="AC92" s="639">
        <f t="shared" si="34"/>
        <v>4686</v>
      </c>
    </row>
    <row r="93" spans="1:77" s="4" customFormat="1" ht="14.5">
      <c r="A93" s="70"/>
      <c r="B93" s="510">
        <v>341</v>
      </c>
      <c r="C93" s="66" t="s">
        <v>387</v>
      </c>
      <c r="D93" s="76" t="s">
        <v>1475</v>
      </c>
      <c r="E93" s="77">
        <v>506</v>
      </c>
      <c r="F93" s="77">
        <v>19</v>
      </c>
      <c r="G93" s="77">
        <v>38</v>
      </c>
      <c r="H93" s="77">
        <v>40</v>
      </c>
      <c r="I93" s="77">
        <v>35</v>
      </c>
      <c r="J93" s="77">
        <v>40</v>
      </c>
      <c r="K93" s="77">
        <v>52</v>
      </c>
      <c r="L93" s="77">
        <v>38</v>
      </c>
      <c r="M93" s="77">
        <v>43</v>
      </c>
      <c r="N93" s="77">
        <v>32</v>
      </c>
      <c r="O93" s="77">
        <v>33</v>
      </c>
      <c r="P93" s="77">
        <v>38</v>
      </c>
      <c r="Q93" s="77">
        <v>25</v>
      </c>
      <c r="R93" s="77">
        <v>42</v>
      </c>
      <c r="S93" s="77">
        <v>31</v>
      </c>
      <c r="T93" s="73"/>
      <c r="U93" s="639">
        <f t="shared" si="26"/>
        <v>19</v>
      </c>
      <c r="V93" s="639">
        <f t="shared" si="27"/>
        <v>38</v>
      </c>
      <c r="W93" s="639">
        <f t="shared" si="28"/>
        <v>115</v>
      </c>
      <c r="X93" s="639">
        <f t="shared" si="29"/>
        <v>133</v>
      </c>
      <c r="Y93" s="639">
        <f t="shared" si="30"/>
        <v>65</v>
      </c>
      <c r="Z93" s="639">
        <f t="shared" si="31"/>
        <v>136</v>
      </c>
      <c r="AA93" s="639">
        <f t="shared" si="32"/>
        <v>301</v>
      </c>
      <c r="AB93" s="639">
        <f t="shared" si="33"/>
        <v>449</v>
      </c>
      <c r="AC93" s="639">
        <f t="shared" si="34"/>
        <v>487</v>
      </c>
    </row>
    <row r="94" spans="1:77" s="4" customFormat="1" ht="14.5">
      <c r="A94" s="70"/>
      <c r="B94" s="510">
        <v>342</v>
      </c>
      <c r="C94" s="66" t="s">
        <v>388</v>
      </c>
      <c r="D94" s="76" t="s">
        <v>1475</v>
      </c>
      <c r="E94" s="77">
        <v>74</v>
      </c>
      <c r="F94" s="77">
        <v>0</v>
      </c>
      <c r="G94" s="77">
        <v>3</v>
      </c>
      <c r="H94" s="77">
        <v>10</v>
      </c>
      <c r="I94" s="77">
        <v>4</v>
      </c>
      <c r="J94" s="77">
        <v>4</v>
      </c>
      <c r="K94" s="77">
        <v>3</v>
      </c>
      <c r="L94" s="77">
        <v>6</v>
      </c>
      <c r="M94" s="77">
        <v>9</v>
      </c>
      <c r="N94" s="77">
        <v>4</v>
      </c>
      <c r="O94" s="77">
        <v>9</v>
      </c>
      <c r="P94" s="77">
        <v>8</v>
      </c>
      <c r="Q94" s="77">
        <v>3</v>
      </c>
      <c r="R94" s="77">
        <v>7</v>
      </c>
      <c r="S94" s="77">
        <v>4</v>
      </c>
      <c r="U94" s="639">
        <f t="shared" si="26"/>
        <v>0</v>
      </c>
      <c r="V94" s="639">
        <f t="shared" si="27"/>
        <v>3</v>
      </c>
      <c r="W94" s="639">
        <f t="shared" si="28"/>
        <v>18</v>
      </c>
      <c r="X94" s="639">
        <f t="shared" si="29"/>
        <v>18</v>
      </c>
      <c r="Y94" s="639">
        <f t="shared" si="30"/>
        <v>13</v>
      </c>
      <c r="Z94" s="639">
        <f t="shared" si="31"/>
        <v>22</v>
      </c>
      <c r="AA94" s="639">
        <f t="shared" si="32"/>
        <v>46</v>
      </c>
      <c r="AB94" s="639">
        <f t="shared" si="33"/>
        <v>71</v>
      </c>
      <c r="AC94" s="639">
        <f t="shared" si="34"/>
        <v>74</v>
      </c>
    </row>
    <row r="95" spans="1:77" s="4" customFormat="1" ht="14.5">
      <c r="A95" s="70"/>
      <c r="B95" s="510">
        <v>351</v>
      </c>
      <c r="C95" s="66" t="s">
        <v>389</v>
      </c>
      <c r="D95" s="76" t="s">
        <v>1475</v>
      </c>
      <c r="E95" s="98">
        <v>877</v>
      </c>
      <c r="F95" s="99">
        <v>3</v>
      </c>
      <c r="G95" s="99">
        <v>74</v>
      </c>
      <c r="H95" s="99">
        <v>66</v>
      </c>
      <c r="I95" s="99">
        <v>83</v>
      </c>
      <c r="J95" s="99">
        <v>68</v>
      </c>
      <c r="K95" s="99">
        <v>59</v>
      </c>
      <c r="L95" s="99">
        <v>78</v>
      </c>
      <c r="M95" s="99">
        <v>67</v>
      </c>
      <c r="N95" s="99">
        <v>66</v>
      </c>
      <c r="O95" s="99">
        <v>79</v>
      </c>
      <c r="P95" s="99">
        <v>76</v>
      </c>
      <c r="Q95" s="99">
        <v>45</v>
      </c>
      <c r="R95" s="99">
        <v>60</v>
      </c>
      <c r="S95" s="99">
        <v>53</v>
      </c>
      <c r="T95" s="81"/>
      <c r="U95" s="639">
        <f t="shared" si="26"/>
        <v>3</v>
      </c>
      <c r="V95" s="639">
        <f t="shared" si="27"/>
        <v>74</v>
      </c>
      <c r="W95" s="639">
        <f t="shared" si="28"/>
        <v>217</v>
      </c>
      <c r="X95" s="639">
        <f t="shared" si="29"/>
        <v>204</v>
      </c>
      <c r="Y95" s="639">
        <f t="shared" si="30"/>
        <v>145</v>
      </c>
      <c r="Z95" s="639">
        <f t="shared" si="31"/>
        <v>234</v>
      </c>
      <c r="AA95" s="639">
        <f t="shared" si="32"/>
        <v>538</v>
      </c>
      <c r="AB95" s="639">
        <f t="shared" si="33"/>
        <v>800</v>
      </c>
      <c r="AC95" s="639">
        <f t="shared" si="34"/>
        <v>874</v>
      </c>
    </row>
    <row r="96" spans="1:77" s="4" customFormat="1" ht="14.5">
      <c r="A96" s="70"/>
      <c r="B96" s="510">
        <v>363</v>
      </c>
      <c r="C96" s="66" t="s">
        <v>390</v>
      </c>
      <c r="D96" s="76" t="s">
        <v>1475</v>
      </c>
      <c r="E96" s="77">
        <v>829</v>
      </c>
      <c r="F96" s="77">
        <v>0</v>
      </c>
      <c r="G96" s="77">
        <v>55</v>
      </c>
      <c r="H96" s="77">
        <v>62</v>
      </c>
      <c r="I96" s="77">
        <v>67</v>
      </c>
      <c r="J96" s="77">
        <v>57</v>
      </c>
      <c r="K96" s="77">
        <v>55</v>
      </c>
      <c r="L96" s="77">
        <v>59</v>
      </c>
      <c r="M96" s="77">
        <v>75</v>
      </c>
      <c r="N96" s="77">
        <v>76</v>
      </c>
      <c r="O96" s="77">
        <v>76</v>
      </c>
      <c r="P96" s="77">
        <v>94</v>
      </c>
      <c r="Q96" s="77">
        <v>61</v>
      </c>
      <c r="R96" s="77">
        <v>46</v>
      </c>
      <c r="S96" s="77">
        <v>46</v>
      </c>
      <c r="T96" s="81"/>
      <c r="U96" s="639">
        <f t="shared" si="26"/>
        <v>0</v>
      </c>
      <c r="V96" s="639">
        <f t="shared" si="27"/>
        <v>55</v>
      </c>
      <c r="W96" s="639">
        <f t="shared" si="28"/>
        <v>186</v>
      </c>
      <c r="X96" s="639">
        <f t="shared" si="29"/>
        <v>189</v>
      </c>
      <c r="Y96" s="639">
        <f t="shared" si="30"/>
        <v>152</v>
      </c>
      <c r="Z96" s="639">
        <f t="shared" si="31"/>
        <v>247</v>
      </c>
      <c r="AA96" s="639">
        <f t="shared" si="32"/>
        <v>553</v>
      </c>
      <c r="AB96" s="639">
        <f t="shared" si="33"/>
        <v>774</v>
      </c>
      <c r="AC96" s="639">
        <f t="shared" si="34"/>
        <v>829</v>
      </c>
    </row>
    <row r="97" spans="1:77" s="85" customFormat="1">
      <c r="A97" s="70"/>
      <c r="B97" s="510">
        <v>364</v>
      </c>
      <c r="C97" s="66" t="s">
        <v>391</v>
      </c>
      <c r="D97" s="76" t="s">
        <v>1475</v>
      </c>
      <c r="E97" s="77">
        <v>12</v>
      </c>
      <c r="F97" s="77">
        <v>0</v>
      </c>
      <c r="G97" s="77">
        <v>1</v>
      </c>
      <c r="H97" s="77">
        <v>1</v>
      </c>
      <c r="I97" s="77">
        <v>4</v>
      </c>
      <c r="J97" s="77">
        <v>1</v>
      </c>
      <c r="K97" s="77">
        <v>2</v>
      </c>
      <c r="L97" s="77">
        <v>1</v>
      </c>
      <c r="M97" s="77">
        <v>2</v>
      </c>
      <c r="N97" s="77">
        <v>0</v>
      </c>
      <c r="O97" s="77">
        <v>0</v>
      </c>
      <c r="P97" s="77">
        <v>0</v>
      </c>
      <c r="Q97" s="77">
        <v>0</v>
      </c>
      <c r="R97" s="77">
        <v>0</v>
      </c>
      <c r="S97" s="77">
        <v>0</v>
      </c>
      <c r="T97" s="81"/>
      <c r="U97" s="639">
        <f t="shared" si="26"/>
        <v>0</v>
      </c>
      <c r="V97" s="639">
        <f t="shared" si="27"/>
        <v>1</v>
      </c>
      <c r="W97" s="639">
        <f t="shared" si="28"/>
        <v>6</v>
      </c>
      <c r="X97" s="639">
        <f t="shared" si="29"/>
        <v>5</v>
      </c>
      <c r="Y97" s="639">
        <f t="shared" si="30"/>
        <v>0</v>
      </c>
      <c r="Z97" s="639">
        <f t="shared" si="31"/>
        <v>0</v>
      </c>
      <c r="AA97" s="639">
        <f t="shared" si="32"/>
        <v>6</v>
      </c>
      <c r="AB97" s="639">
        <f t="shared" si="33"/>
        <v>11</v>
      </c>
      <c r="AC97" s="639">
        <f t="shared" si="34"/>
        <v>12</v>
      </c>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row>
    <row r="98" spans="1:77" s="85" customFormat="1">
      <c r="A98" s="70"/>
      <c r="B98" s="510">
        <v>365</v>
      </c>
      <c r="C98" s="66" t="s">
        <v>392</v>
      </c>
      <c r="D98" s="76" t="s">
        <v>1475</v>
      </c>
      <c r="E98" s="77">
        <v>337</v>
      </c>
      <c r="F98" s="77">
        <v>28</v>
      </c>
      <c r="G98" s="77">
        <v>19</v>
      </c>
      <c r="H98" s="77">
        <v>26</v>
      </c>
      <c r="I98" s="77">
        <v>26</v>
      </c>
      <c r="J98" s="77">
        <v>29</v>
      </c>
      <c r="K98" s="77">
        <v>22</v>
      </c>
      <c r="L98" s="77">
        <v>19</v>
      </c>
      <c r="M98" s="77">
        <v>32</v>
      </c>
      <c r="N98" s="77">
        <v>22</v>
      </c>
      <c r="O98" s="77">
        <v>32</v>
      </c>
      <c r="P98" s="77">
        <v>18</v>
      </c>
      <c r="Q98" s="77">
        <v>21</v>
      </c>
      <c r="R98" s="77">
        <v>20</v>
      </c>
      <c r="S98" s="77">
        <v>13</v>
      </c>
      <c r="T98" s="81"/>
      <c r="U98" s="639">
        <f t="shared" si="26"/>
        <v>28</v>
      </c>
      <c r="V98" s="639">
        <f t="shared" si="27"/>
        <v>19</v>
      </c>
      <c r="W98" s="639">
        <f t="shared" si="28"/>
        <v>81</v>
      </c>
      <c r="X98" s="639">
        <f t="shared" si="29"/>
        <v>73</v>
      </c>
      <c r="Y98" s="639">
        <f t="shared" si="30"/>
        <v>54</v>
      </c>
      <c r="Z98" s="639">
        <f t="shared" si="31"/>
        <v>72</v>
      </c>
      <c r="AA98" s="639">
        <f t="shared" si="32"/>
        <v>195</v>
      </c>
      <c r="AB98" s="639">
        <f t="shared" si="33"/>
        <v>280</v>
      </c>
      <c r="AC98" s="639">
        <f t="shared" si="34"/>
        <v>299</v>
      </c>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row>
    <row r="99" spans="1:77" s="85" customFormat="1">
      <c r="A99" s="70"/>
      <c r="B99" s="510">
        <v>370</v>
      </c>
      <c r="C99" s="66" t="s">
        <v>393</v>
      </c>
      <c r="D99" s="76" t="s">
        <v>1475</v>
      </c>
      <c r="E99" s="77">
        <v>1195</v>
      </c>
      <c r="F99" s="77">
        <v>0</v>
      </c>
      <c r="G99" s="77">
        <v>78</v>
      </c>
      <c r="H99" s="77">
        <v>109</v>
      </c>
      <c r="I99" s="77">
        <v>91</v>
      </c>
      <c r="J99" s="77">
        <v>85</v>
      </c>
      <c r="K99" s="77">
        <v>97</v>
      </c>
      <c r="L99" s="77">
        <v>93</v>
      </c>
      <c r="M99" s="77">
        <v>85</v>
      </c>
      <c r="N99" s="77">
        <v>96</v>
      </c>
      <c r="O99" s="77">
        <v>99</v>
      </c>
      <c r="P99" s="77">
        <v>101</v>
      </c>
      <c r="Q99" s="77">
        <v>92</v>
      </c>
      <c r="R99" s="77">
        <v>71</v>
      </c>
      <c r="S99" s="77">
        <v>98</v>
      </c>
      <c r="T99" s="81"/>
      <c r="U99" s="639">
        <f t="shared" si="26"/>
        <v>0</v>
      </c>
      <c r="V99" s="639">
        <f t="shared" si="27"/>
        <v>78</v>
      </c>
      <c r="W99" s="639">
        <f t="shared" si="28"/>
        <v>285</v>
      </c>
      <c r="X99" s="639">
        <f t="shared" si="29"/>
        <v>275</v>
      </c>
      <c r="Y99" s="639">
        <f t="shared" si="30"/>
        <v>195</v>
      </c>
      <c r="Z99" s="639">
        <f t="shared" si="31"/>
        <v>362</v>
      </c>
      <c r="AA99" s="639">
        <f t="shared" si="32"/>
        <v>748</v>
      </c>
      <c r="AB99" s="639">
        <f t="shared" si="33"/>
        <v>1117</v>
      </c>
      <c r="AC99" s="639">
        <f t="shared" si="34"/>
        <v>1195</v>
      </c>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row>
    <row r="100" spans="1:77" s="85" customFormat="1">
      <c r="A100" s="70"/>
      <c r="B100" s="510">
        <v>371</v>
      </c>
      <c r="C100" s="66" t="s">
        <v>394</v>
      </c>
      <c r="D100" s="76" t="s">
        <v>1475</v>
      </c>
      <c r="E100" s="77">
        <v>1555</v>
      </c>
      <c r="F100" s="77">
        <v>51</v>
      </c>
      <c r="G100" s="77">
        <v>126</v>
      </c>
      <c r="H100" s="77">
        <v>112</v>
      </c>
      <c r="I100" s="77">
        <v>111</v>
      </c>
      <c r="J100" s="77">
        <v>131</v>
      </c>
      <c r="K100" s="77">
        <v>107</v>
      </c>
      <c r="L100" s="77">
        <v>114</v>
      </c>
      <c r="M100" s="77">
        <v>117</v>
      </c>
      <c r="N100" s="77">
        <v>114</v>
      </c>
      <c r="O100" s="77">
        <v>117</v>
      </c>
      <c r="P100" s="77">
        <v>115</v>
      </c>
      <c r="Q100" s="77">
        <v>129</v>
      </c>
      <c r="R100" s="77">
        <v>102</v>
      </c>
      <c r="S100" s="77">
        <v>109</v>
      </c>
      <c r="T100" s="81"/>
      <c r="U100" s="639">
        <f t="shared" si="26"/>
        <v>51</v>
      </c>
      <c r="V100" s="639">
        <f t="shared" si="27"/>
        <v>126</v>
      </c>
      <c r="W100" s="639">
        <f t="shared" si="28"/>
        <v>354</v>
      </c>
      <c r="X100" s="639">
        <f t="shared" si="29"/>
        <v>338</v>
      </c>
      <c r="Y100" s="639">
        <f t="shared" si="30"/>
        <v>231</v>
      </c>
      <c r="Z100" s="639">
        <f t="shared" si="31"/>
        <v>455</v>
      </c>
      <c r="AA100" s="639">
        <f t="shared" si="32"/>
        <v>944</v>
      </c>
      <c r="AB100" s="639">
        <f t="shared" si="33"/>
        <v>1378</v>
      </c>
      <c r="AC100" s="639">
        <f t="shared" si="34"/>
        <v>1504</v>
      </c>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row>
    <row r="101" spans="1:77" s="85" customFormat="1">
      <c r="A101" s="70"/>
      <c r="B101" s="510">
        <v>372</v>
      </c>
      <c r="C101" s="66" t="s">
        <v>395</v>
      </c>
      <c r="D101" s="76" t="s">
        <v>1475</v>
      </c>
      <c r="E101" s="77">
        <v>976</v>
      </c>
      <c r="F101" s="77">
        <v>24</v>
      </c>
      <c r="G101" s="77">
        <v>69</v>
      </c>
      <c r="H101" s="77">
        <v>62</v>
      </c>
      <c r="I101" s="77">
        <v>78</v>
      </c>
      <c r="J101" s="77">
        <v>78</v>
      </c>
      <c r="K101" s="77">
        <v>79</v>
      </c>
      <c r="L101" s="77">
        <v>72</v>
      </c>
      <c r="M101" s="77">
        <v>78</v>
      </c>
      <c r="N101" s="77">
        <v>66</v>
      </c>
      <c r="O101" s="77">
        <v>75</v>
      </c>
      <c r="P101" s="77">
        <v>82</v>
      </c>
      <c r="Q101" s="77">
        <v>74</v>
      </c>
      <c r="R101" s="77">
        <v>85</v>
      </c>
      <c r="S101" s="77">
        <v>54</v>
      </c>
      <c r="T101" s="81"/>
      <c r="U101" s="639">
        <f t="shared" si="26"/>
        <v>24</v>
      </c>
      <c r="V101" s="639">
        <f t="shared" si="27"/>
        <v>69</v>
      </c>
      <c r="W101" s="639">
        <f t="shared" si="28"/>
        <v>218</v>
      </c>
      <c r="X101" s="639">
        <f t="shared" si="29"/>
        <v>229</v>
      </c>
      <c r="Y101" s="639">
        <f t="shared" si="30"/>
        <v>141</v>
      </c>
      <c r="Z101" s="639">
        <f t="shared" si="31"/>
        <v>295</v>
      </c>
      <c r="AA101" s="639">
        <f t="shared" si="32"/>
        <v>604</v>
      </c>
      <c r="AB101" s="639">
        <f t="shared" si="33"/>
        <v>883</v>
      </c>
      <c r="AC101" s="639">
        <f t="shared" si="34"/>
        <v>952</v>
      </c>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row>
    <row r="102" spans="1:77" s="85" customFormat="1">
      <c r="A102" s="70"/>
      <c r="B102" s="510">
        <v>373</v>
      </c>
      <c r="C102" s="66" t="s">
        <v>396</v>
      </c>
      <c r="D102" s="76" t="s">
        <v>1475</v>
      </c>
      <c r="E102" s="77">
        <v>1712</v>
      </c>
      <c r="F102" s="77">
        <v>17</v>
      </c>
      <c r="G102" s="77">
        <v>123</v>
      </c>
      <c r="H102" s="77">
        <v>150</v>
      </c>
      <c r="I102" s="77">
        <v>122</v>
      </c>
      <c r="J102" s="77">
        <v>142</v>
      </c>
      <c r="K102" s="77">
        <v>137</v>
      </c>
      <c r="L102" s="77">
        <v>128</v>
      </c>
      <c r="M102" s="77">
        <v>148</v>
      </c>
      <c r="N102" s="77">
        <v>126</v>
      </c>
      <c r="O102" s="77">
        <v>134</v>
      </c>
      <c r="P102" s="77">
        <v>142</v>
      </c>
      <c r="Q102" s="77">
        <v>121</v>
      </c>
      <c r="R102" s="77">
        <v>108</v>
      </c>
      <c r="S102" s="77">
        <v>114</v>
      </c>
      <c r="T102" s="81"/>
      <c r="U102" s="639">
        <f t="shared" si="26"/>
        <v>17</v>
      </c>
      <c r="V102" s="639">
        <f t="shared" si="27"/>
        <v>123</v>
      </c>
      <c r="W102" s="639">
        <f t="shared" si="28"/>
        <v>414</v>
      </c>
      <c r="X102" s="639">
        <f t="shared" si="29"/>
        <v>413</v>
      </c>
      <c r="Y102" s="639">
        <f t="shared" si="30"/>
        <v>260</v>
      </c>
      <c r="Z102" s="639">
        <f t="shared" si="31"/>
        <v>485</v>
      </c>
      <c r="AA102" s="639">
        <f t="shared" si="32"/>
        <v>1078</v>
      </c>
      <c r="AB102" s="639">
        <f t="shared" si="33"/>
        <v>1572</v>
      </c>
      <c r="AC102" s="639">
        <f t="shared" si="34"/>
        <v>1695</v>
      </c>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row>
    <row r="103" spans="1:77" s="85" customFormat="1" ht="14.5">
      <c r="A103" s="70"/>
      <c r="B103" s="510">
        <v>381</v>
      </c>
      <c r="C103" s="66" t="s">
        <v>397</v>
      </c>
      <c r="D103" s="76" t="s">
        <v>1475</v>
      </c>
      <c r="E103" s="77">
        <v>1473</v>
      </c>
      <c r="F103" s="77">
        <v>11</v>
      </c>
      <c r="G103" s="77">
        <v>115</v>
      </c>
      <c r="H103" s="77">
        <v>132</v>
      </c>
      <c r="I103" s="77">
        <v>130</v>
      </c>
      <c r="J103" s="77">
        <v>113</v>
      </c>
      <c r="K103" s="77">
        <v>123</v>
      </c>
      <c r="L103" s="77">
        <v>116</v>
      </c>
      <c r="M103" s="77">
        <v>107</v>
      </c>
      <c r="N103" s="77">
        <v>102</v>
      </c>
      <c r="O103" s="77">
        <v>114</v>
      </c>
      <c r="P103" s="77">
        <v>110</v>
      </c>
      <c r="Q103" s="77">
        <v>106</v>
      </c>
      <c r="R103" s="77">
        <v>107</v>
      </c>
      <c r="S103" s="77">
        <v>87</v>
      </c>
      <c r="T103" s="4"/>
      <c r="U103" s="639">
        <f t="shared" si="26"/>
        <v>11</v>
      </c>
      <c r="V103" s="639">
        <f t="shared" si="27"/>
        <v>115</v>
      </c>
      <c r="W103" s="639">
        <f t="shared" si="28"/>
        <v>375</v>
      </c>
      <c r="X103" s="639">
        <f t="shared" si="29"/>
        <v>346</v>
      </c>
      <c r="Y103" s="639">
        <f t="shared" si="30"/>
        <v>216</v>
      </c>
      <c r="Z103" s="639">
        <f t="shared" si="31"/>
        <v>410</v>
      </c>
      <c r="AA103" s="639">
        <f t="shared" si="32"/>
        <v>891</v>
      </c>
      <c r="AB103" s="639">
        <f t="shared" si="33"/>
        <v>1347</v>
      </c>
      <c r="AC103" s="639">
        <f t="shared" si="34"/>
        <v>1462</v>
      </c>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row>
    <row r="104" spans="1:77" s="85" customFormat="1">
      <c r="A104" s="70"/>
      <c r="B104" s="510">
        <v>382</v>
      </c>
      <c r="C104" s="66" t="s">
        <v>398</v>
      </c>
      <c r="D104" s="76" t="s">
        <v>1475</v>
      </c>
      <c r="E104" s="77">
        <v>177</v>
      </c>
      <c r="F104" s="77">
        <v>1</v>
      </c>
      <c r="G104" s="77">
        <v>11</v>
      </c>
      <c r="H104" s="77">
        <v>8</v>
      </c>
      <c r="I104" s="77">
        <v>12</v>
      </c>
      <c r="J104" s="77">
        <v>16</v>
      </c>
      <c r="K104" s="77">
        <v>10</v>
      </c>
      <c r="L104" s="77">
        <v>17</v>
      </c>
      <c r="M104" s="77">
        <v>11</v>
      </c>
      <c r="N104" s="77">
        <v>21</v>
      </c>
      <c r="O104" s="77">
        <v>15</v>
      </c>
      <c r="P104" s="77">
        <v>15</v>
      </c>
      <c r="Q104" s="77">
        <v>12</v>
      </c>
      <c r="R104" s="77">
        <v>15</v>
      </c>
      <c r="S104" s="77">
        <v>13</v>
      </c>
      <c r="T104" s="81"/>
      <c r="U104" s="639">
        <f t="shared" si="26"/>
        <v>1</v>
      </c>
      <c r="V104" s="639">
        <f t="shared" si="27"/>
        <v>11</v>
      </c>
      <c r="W104" s="639">
        <f t="shared" si="28"/>
        <v>36</v>
      </c>
      <c r="X104" s="639">
        <f t="shared" si="29"/>
        <v>38</v>
      </c>
      <c r="Y104" s="639">
        <f t="shared" si="30"/>
        <v>36</v>
      </c>
      <c r="Z104" s="639">
        <f t="shared" si="31"/>
        <v>55</v>
      </c>
      <c r="AA104" s="639">
        <f t="shared" si="32"/>
        <v>117</v>
      </c>
      <c r="AB104" s="639">
        <f t="shared" si="33"/>
        <v>165</v>
      </c>
      <c r="AC104" s="639">
        <f t="shared" si="34"/>
        <v>176</v>
      </c>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row>
    <row r="105" spans="1:77" ht="10.5">
      <c r="A105" s="70"/>
      <c r="B105" s="510">
        <v>383</v>
      </c>
      <c r="C105" s="66" t="s">
        <v>399</v>
      </c>
      <c r="D105" s="76" t="s">
        <v>1475</v>
      </c>
      <c r="E105" s="77">
        <v>18</v>
      </c>
      <c r="F105" s="89">
        <v>0</v>
      </c>
      <c r="G105" s="78">
        <v>0</v>
      </c>
      <c r="H105" s="78">
        <v>3</v>
      </c>
      <c r="I105" s="78">
        <v>5</v>
      </c>
      <c r="J105" s="78">
        <v>2</v>
      </c>
      <c r="K105" s="78">
        <v>2</v>
      </c>
      <c r="L105" s="78">
        <v>4</v>
      </c>
      <c r="M105" s="78">
        <v>2</v>
      </c>
      <c r="N105" s="78">
        <v>0</v>
      </c>
      <c r="O105" s="78">
        <v>0</v>
      </c>
      <c r="P105" s="78">
        <v>0</v>
      </c>
      <c r="Q105" s="78">
        <v>0</v>
      </c>
      <c r="R105" s="78">
        <v>0</v>
      </c>
      <c r="S105" s="78">
        <v>0</v>
      </c>
      <c r="T105" s="73"/>
      <c r="U105" s="639">
        <f t="shared" si="26"/>
        <v>0</v>
      </c>
      <c r="V105" s="639">
        <f t="shared" si="27"/>
        <v>0</v>
      </c>
      <c r="W105" s="639">
        <f t="shared" si="28"/>
        <v>10</v>
      </c>
      <c r="X105" s="639">
        <f t="shared" si="29"/>
        <v>8</v>
      </c>
      <c r="Y105" s="639">
        <f t="shared" si="30"/>
        <v>0</v>
      </c>
      <c r="Z105" s="639">
        <f t="shared" si="31"/>
        <v>0</v>
      </c>
      <c r="AA105" s="639">
        <f t="shared" si="32"/>
        <v>10</v>
      </c>
      <c r="AB105" s="639">
        <f t="shared" si="33"/>
        <v>18</v>
      </c>
      <c r="AC105" s="639">
        <f t="shared" si="34"/>
        <v>18</v>
      </c>
    </row>
    <row r="106" spans="1:77">
      <c r="A106" s="70"/>
      <c r="B106" s="510">
        <v>391</v>
      </c>
      <c r="C106" s="66" t="s">
        <v>400</v>
      </c>
      <c r="D106" s="76" t="s">
        <v>1475</v>
      </c>
      <c r="E106" s="77">
        <v>1088</v>
      </c>
      <c r="F106" s="77">
        <v>9</v>
      </c>
      <c r="G106" s="78">
        <v>76</v>
      </c>
      <c r="H106" s="78">
        <v>89</v>
      </c>
      <c r="I106" s="78">
        <v>84</v>
      </c>
      <c r="J106" s="78">
        <v>73</v>
      </c>
      <c r="K106" s="78">
        <v>87</v>
      </c>
      <c r="L106" s="78">
        <v>82</v>
      </c>
      <c r="M106" s="78">
        <v>92</v>
      </c>
      <c r="N106" s="89">
        <v>77</v>
      </c>
      <c r="O106" s="89">
        <v>82</v>
      </c>
      <c r="P106" s="89">
        <v>81</v>
      </c>
      <c r="Q106" s="89">
        <v>87</v>
      </c>
      <c r="R106" s="89">
        <v>89</v>
      </c>
      <c r="S106" s="89">
        <v>80</v>
      </c>
      <c r="T106" s="81"/>
      <c r="U106" s="639">
        <f t="shared" si="26"/>
        <v>9</v>
      </c>
      <c r="V106" s="639">
        <f t="shared" si="27"/>
        <v>76</v>
      </c>
      <c r="W106" s="639">
        <f t="shared" si="28"/>
        <v>246</v>
      </c>
      <c r="X106" s="639">
        <f t="shared" si="29"/>
        <v>261</v>
      </c>
      <c r="Y106" s="639">
        <f t="shared" si="30"/>
        <v>159</v>
      </c>
      <c r="Z106" s="639">
        <f t="shared" si="31"/>
        <v>337</v>
      </c>
      <c r="AA106" s="639">
        <f t="shared" si="32"/>
        <v>661</v>
      </c>
      <c r="AB106" s="639">
        <f t="shared" si="33"/>
        <v>1003</v>
      </c>
      <c r="AC106" s="639">
        <f t="shared" si="34"/>
        <v>1079</v>
      </c>
    </row>
    <row r="107" spans="1:77">
      <c r="A107" s="70"/>
      <c r="B107" s="510">
        <v>392</v>
      </c>
      <c r="C107" s="66" t="s">
        <v>401</v>
      </c>
      <c r="D107" s="76" t="s">
        <v>1475</v>
      </c>
      <c r="E107" s="77">
        <v>102</v>
      </c>
      <c r="F107" s="77">
        <v>0</v>
      </c>
      <c r="G107" s="77">
        <v>7</v>
      </c>
      <c r="H107" s="77">
        <v>4</v>
      </c>
      <c r="I107" s="77">
        <v>9</v>
      </c>
      <c r="J107" s="77">
        <v>5</v>
      </c>
      <c r="K107" s="77">
        <v>13</v>
      </c>
      <c r="L107" s="77">
        <v>11</v>
      </c>
      <c r="M107" s="77">
        <v>5</v>
      </c>
      <c r="N107" s="77">
        <v>5</v>
      </c>
      <c r="O107" s="77">
        <v>13</v>
      </c>
      <c r="P107" s="77">
        <v>8</v>
      </c>
      <c r="Q107" s="77">
        <v>5</v>
      </c>
      <c r="R107" s="77">
        <v>9</v>
      </c>
      <c r="S107" s="77">
        <v>8</v>
      </c>
      <c r="T107" s="81"/>
      <c r="U107" s="639">
        <f t="shared" si="26"/>
        <v>0</v>
      </c>
      <c r="V107" s="639">
        <f t="shared" si="27"/>
        <v>7</v>
      </c>
      <c r="W107" s="639">
        <f t="shared" si="28"/>
        <v>18</v>
      </c>
      <c r="X107" s="639">
        <f t="shared" si="29"/>
        <v>29</v>
      </c>
      <c r="Y107" s="639">
        <f t="shared" si="30"/>
        <v>18</v>
      </c>
      <c r="Z107" s="639">
        <f t="shared" si="31"/>
        <v>30</v>
      </c>
      <c r="AA107" s="639">
        <f t="shared" si="32"/>
        <v>65</v>
      </c>
      <c r="AB107" s="639">
        <f t="shared" si="33"/>
        <v>95</v>
      </c>
      <c r="AC107" s="639">
        <f t="shared" si="34"/>
        <v>102</v>
      </c>
    </row>
    <row r="108" spans="1:77" ht="10.5">
      <c r="A108" s="70"/>
      <c r="B108" s="510">
        <v>393</v>
      </c>
      <c r="C108" s="66" t="s">
        <v>402</v>
      </c>
      <c r="D108" s="76" t="s">
        <v>1475</v>
      </c>
      <c r="E108" s="77">
        <v>502</v>
      </c>
      <c r="F108" s="77">
        <v>16</v>
      </c>
      <c r="G108" s="77">
        <v>28</v>
      </c>
      <c r="H108" s="77">
        <v>41</v>
      </c>
      <c r="I108" s="77">
        <v>34</v>
      </c>
      <c r="J108" s="77">
        <v>35</v>
      </c>
      <c r="K108" s="77">
        <v>32</v>
      </c>
      <c r="L108" s="77">
        <v>45</v>
      </c>
      <c r="M108" s="77">
        <v>35</v>
      </c>
      <c r="N108" s="77">
        <v>46</v>
      </c>
      <c r="O108" s="77">
        <v>33</v>
      </c>
      <c r="P108" s="77">
        <v>42</v>
      </c>
      <c r="Q108" s="77">
        <v>38</v>
      </c>
      <c r="R108" s="77">
        <v>36</v>
      </c>
      <c r="S108" s="77">
        <v>41</v>
      </c>
      <c r="T108" s="95"/>
      <c r="U108" s="639">
        <f t="shared" si="26"/>
        <v>16</v>
      </c>
      <c r="V108" s="639">
        <f t="shared" si="27"/>
        <v>28</v>
      </c>
      <c r="W108" s="639">
        <f t="shared" si="28"/>
        <v>110</v>
      </c>
      <c r="X108" s="639">
        <f t="shared" si="29"/>
        <v>112</v>
      </c>
      <c r="Y108" s="639">
        <f t="shared" si="30"/>
        <v>79</v>
      </c>
      <c r="Z108" s="639">
        <f t="shared" si="31"/>
        <v>157</v>
      </c>
      <c r="AA108" s="639">
        <f t="shared" si="32"/>
        <v>306</v>
      </c>
      <c r="AB108" s="639">
        <f t="shared" si="33"/>
        <v>458</v>
      </c>
      <c r="AC108" s="639">
        <f t="shared" si="34"/>
        <v>486</v>
      </c>
    </row>
    <row r="109" spans="1:77" ht="10.5">
      <c r="A109" s="70"/>
      <c r="B109" s="510">
        <v>394</v>
      </c>
      <c r="C109" s="66" t="s">
        <v>403</v>
      </c>
      <c r="D109" s="76" t="s">
        <v>1475</v>
      </c>
      <c r="E109" s="77">
        <v>6</v>
      </c>
      <c r="F109" s="77">
        <v>0</v>
      </c>
      <c r="G109" s="77">
        <v>1</v>
      </c>
      <c r="H109" s="77">
        <v>1</v>
      </c>
      <c r="I109" s="77">
        <v>3</v>
      </c>
      <c r="J109" s="77">
        <v>0</v>
      </c>
      <c r="K109" s="77">
        <v>1</v>
      </c>
      <c r="L109" s="77">
        <v>0</v>
      </c>
      <c r="M109" s="77">
        <v>0</v>
      </c>
      <c r="N109" s="77">
        <v>0</v>
      </c>
      <c r="O109" s="77">
        <v>0</v>
      </c>
      <c r="P109" s="77">
        <v>0</v>
      </c>
      <c r="Q109" s="77">
        <v>0</v>
      </c>
      <c r="R109" s="77">
        <v>0</v>
      </c>
      <c r="S109" s="77">
        <v>0</v>
      </c>
      <c r="T109" s="65"/>
      <c r="U109" s="639">
        <f t="shared" si="26"/>
        <v>0</v>
      </c>
      <c r="V109" s="639">
        <f t="shared" si="27"/>
        <v>1</v>
      </c>
      <c r="W109" s="639">
        <f t="shared" si="28"/>
        <v>4</v>
      </c>
      <c r="X109" s="639">
        <f t="shared" si="29"/>
        <v>1</v>
      </c>
      <c r="Y109" s="639">
        <f t="shared" si="30"/>
        <v>0</v>
      </c>
      <c r="Z109" s="639">
        <f t="shared" si="31"/>
        <v>0</v>
      </c>
      <c r="AA109" s="639">
        <f t="shared" si="32"/>
        <v>1</v>
      </c>
      <c r="AB109" s="639">
        <f t="shared" si="33"/>
        <v>5</v>
      </c>
      <c r="AC109" s="639">
        <f t="shared" si="34"/>
        <v>6</v>
      </c>
    </row>
    <row r="110" spans="1:77">
      <c r="A110" s="70"/>
      <c r="B110" s="510">
        <v>401</v>
      </c>
      <c r="C110" s="66" t="s">
        <v>404</v>
      </c>
      <c r="D110" s="76" t="s">
        <v>1475</v>
      </c>
      <c r="E110" s="77">
        <v>1783</v>
      </c>
      <c r="F110" s="89">
        <v>15</v>
      </c>
      <c r="G110" s="78">
        <v>143</v>
      </c>
      <c r="H110" s="78">
        <v>154</v>
      </c>
      <c r="I110" s="78">
        <v>140</v>
      </c>
      <c r="J110" s="78">
        <v>162</v>
      </c>
      <c r="K110" s="78">
        <v>132</v>
      </c>
      <c r="L110" s="78">
        <v>125</v>
      </c>
      <c r="M110" s="78">
        <v>126</v>
      </c>
      <c r="N110" s="78">
        <v>138</v>
      </c>
      <c r="O110" s="78">
        <v>140</v>
      </c>
      <c r="P110" s="89">
        <v>123</v>
      </c>
      <c r="Q110" s="89">
        <v>132</v>
      </c>
      <c r="R110" s="89">
        <v>136</v>
      </c>
      <c r="S110" s="89">
        <v>117</v>
      </c>
      <c r="T110" s="81"/>
      <c r="U110" s="639">
        <f t="shared" si="26"/>
        <v>15</v>
      </c>
      <c r="V110" s="639">
        <f t="shared" si="27"/>
        <v>143</v>
      </c>
      <c r="W110" s="639">
        <f t="shared" si="28"/>
        <v>456</v>
      </c>
      <c r="X110" s="639">
        <f t="shared" si="29"/>
        <v>383</v>
      </c>
      <c r="Y110" s="639">
        <f t="shared" si="30"/>
        <v>278</v>
      </c>
      <c r="Z110" s="639">
        <f t="shared" si="31"/>
        <v>508</v>
      </c>
      <c r="AA110" s="639">
        <f t="shared" si="32"/>
        <v>1078</v>
      </c>
      <c r="AB110" s="639">
        <f t="shared" si="33"/>
        <v>1625</v>
      </c>
      <c r="AC110" s="639">
        <f t="shared" si="34"/>
        <v>1768</v>
      </c>
    </row>
    <row r="111" spans="1:77">
      <c r="A111" s="70"/>
      <c r="B111" s="510">
        <v>411</v>
      </c>
      <c r="C111" s="66" t="s">
        <v>405</v>
      </c>
      <c r="D111" s="76" t="s">
        <v>1475</v>
      </c>
      <c r="E111" s="77">
        <v>9051</v>
      </c>
      <c r="F111" s="77">
        <v>87</v>
      </c>
      <c r="G111" s="77">
        <v>726</v>
      </c>
      <c r="H111" s="77">
        <v>755</v>
      </c>
      <c r="I111" s="77">
        <v>768</v>
      </c>
      <c r="J111" s="77">
        <v>762</v>
      </c>
      <c r="K111" s="77">
        <v>700</v>
      </c>
      <c r="L111" s="77">
        <v>682</v>
      </c>
      <c r="M111" s="77">
        <v>725</v>
      </c>
      <c r="N111" s="77">
        <v>628</v>
      </c>
      <c r="O111" s="77">
        <v>669</v>
      </c>
      <c r="P111" s="77">
        <v>676</v>
      </c>
      <c r="Q111" s="77">
        <v>667</v>
      </c>
      <c r="R111" s="77">
        <v>612</v>
      </c>
      <c r="S111" s="77">
        <v>594</v>
      </c>
      <c r="T111" s="81"/>
      <c r="U111" s="639">
        <f t="shared" si="26"/>
        <v>87</v>
      </c>
      <c r="V111" s="639">
        <f t="shared" si="27"/>
        <v>726</v>
      </c>
      <c r="W111" s="639">
        <f t="shared" si="28"/>
        <v>2285</v>
      </c>
      <c r="X111" s="639">
        <f t="shared" si="29"/>
        <v>2107</v>
      </c>
      <c r="Y111" s="639">
        <f t="shared" si="30"/>
        <v>1297</v>
      </c>
      <c r="Z111" s="639">
        <f t="shared" si="31"/>
        <v>2549</v>
      </c>
      <c r="AA111" s="639">
        <f t="shared" si="32"/>
        <v>5509</v>
      </c>
      <c r="AB111" s="639">
        <f t="shared" si="33"/>
        <v>8238</v>
      </c>
      <c r="AC111" s="639">
        <f t="shared" si="34"/>
        <v>8964</v>
      </c>
    </row>
    <row r="112" spans="1:77" ht="10.5">
      <c r="A112" s="70"/>
      <c r="B112" s="510">
        <v>412</v>
      </c>
      <c r="C112" s="66" t="s">
        <v>406</v>
      </c>
      <c r="D112" s="76" t="s">
        <v>1475</v>
      </c>
      <c r="E112" s="77">
        <v>1287</v>
      </c>
      <c r="F112" s="77">
        <v>13</v>
      </c>
      <c r="G112" s="77">
        <v>98</v>
      </c>
      <c r="H112" s="77">
        <v>116</v>
      </c>
      <c r="I112" s="77">
        <v>89</v>
      </c>
      <c r="J112" s="77">
        <v>108</v>
      </c>
      <c r="K112" s="77">
        <v>112</v>
      </c>
      <c r="L112" s="77">
        <v>108</v>
      </c>
      <c r="M112" s="77">
        <v>97</v>
      </c>
      <c r="N112" s="77">
        <v>88</v>
      </c>
      <c r="O112" s="77">
        <v>99</v>
      </c>
      <c r="P112" s="77">
        <v>102</v>
      </c>
      <c r="Q112" s="77">
        <v>97</v>
      </c>
      <c r="R112" s="77">
        <v>89</v>
      </c>
      <c r="S112" s="77">
        <v>71</v>
      </c>
      <c r="T112" s="94"/>
      <c r="U112" s="639">
        <f t="shared" si="26"/>
        <v>13</v>
      </c>
      <c r="V112" s="639">
        <f t="shared" si="27"/>
        <v>98</v>
      </c>
      <c r="W112" s="639">
        <f t="shared" si="28"/>
        <v>313</v>
      </c>
      <c r="X112" s="639">
        <f t="shared" si="29"/>
        <v>317</v>
      </c>
      <c r="Y112" s="639">
        <f t="shared" si="30"/>
        <v>187</v>
      </c>
      <c r="Z112" s="639">
        <f t="shared" si="31"/>
        <v>359</v>
      </c>
      <c r="AA112" s="639">
        <f t="shared" si="32"/>
        <v>811</v>
      </c>
      <c r="AB112" s="639">
        <f t="shared" si="33"/>
        <v>1176</v>
      </c>
      <c r="AC112" s="639">
        <f t="shared" si="34"/>
        <v>1274</v>
      </c>
    </row>
    <row r="113" spans="1:29">
      <c r="A113" s="70"/>
      <c r="B113" s="510">
        <v>413</v>
      </c>
      <c r="C113" s="66" t="s">
        <v>407</v>
      </c>
      <c r="D113" s="76" t="s">
        <v>1475</v>
      </c>
      <c r="E113" s="77">
        <v>1631</v>
      </c>
      <c r="F113" s="77">
        <v>27</v>
      </c>
      <c r="G113" s="77">
        <v>109</v>
      </c>
      <c r="H113" s="77">
        <v>107</v>
      </c>
      <c r="I113" s="77">
        <v>140</v>
      </c>
      <c r="J113" s="77">
        <v>125</v>
      </c>
      <c r="K113" s="77">
        <v>133</v>
      </c>
      <c r="L113" s="77">
        <v>137</v>
      </c>
      <c r="M113" s="77">
        <v>131</v>
      </c>
      <c r="N113" s="77">
        <v>134</v>
      </c>
      <c r="O113" s="77">
        <v>133</v>
      </c>
      <c r="P113" s="77">
        <v>129</v>
      </c>
      <c r="Q113" s="77">
        <v>121</v>
      </c>
      <c r="R113" s="77">
        <v>103</v>
      </c>
      <c r="S113" s="77">
        <v>102</v>
      </c>
      <c r="T113" s="81"/>
      <c r="U113" s="639">
        <f t="shared" si="26"/>
        <v>27</v>
      </c>
      <c r="V113" s="639">
        <f t="shared" si="27"/>
        <v>109</v>
      </c>
      <c r="W113" s="639">
        <f t="shared" si="28"/>
        <v>372</v>
      </c>
      <c r="X113" s="639">
        <f t="shared" si="29"/>
        <v>401</v>
      </c>
      <c r="Y113" s="639">
        <f t="shared" si="30"/>
        <v>267</v>
      </c>
      <c r="Z113" s="639">
        <f t="shared" si="31"/>
        <v>455</v>
      </c>
      <c r="AA113" s="639">
        <f t="shared" si="32"/>
        <v>1043</v>
      </c>
      <c r="AB113" s="639">
        <f t="shared" si="33"/>
        <v>1495</v>
      </c>
      <c r="AC113" s="639">
        <f t="shared" si="34"/>
        <v>1604</v>
      </c>
    </row>
    <row r="114" spans="1:29" ht="10.5">
      <c r="A114" s="70"/>
      <c r="B114" s="510">
        <v>414</v>
      </c>
      <c r="C114" s="66" t="s">
        <v>408</v>
      </c>
      <c r="D114" s="76" t="s">
        <v>1475</v>
      </c>
      <c r="E114" s="77">
        <v>1816</v>
      </c>
      <c r="F114" s="77">
        <v>25</v>
      </c>
      <c r="G114" s="77">
        <v>141</v>
      </c>
      <c r="H114" s="77">
        <v>142</v>
      </c>
      <c r="I114" s="77">
        <v>153</v>
      </c>
      <c r="J114" s="77">
        <v>155</v>
      </c>
      <c r="K114" s="77">
        <v>147</v>
      </c>
      <c r="L114" s="77">
        <v>148</v>
      </c>
      <c r="M114" s="77">
        <v>145</v>
      </c>
      <c r="N114" s="77">
        <v>130</v>
      </c>
      <c r="O114" s="77">
        <v>154</v>
      </c>
      <c r="P114" s="77">
        <v>130</v>
      </c>
      <c r="Q114" s="77">
        <v>134</v>
      </c>
      <c r="R114" s="77">
        <v>109</v>
      </c>
      <c r="S114" s="77">
        <v>103</v>
      </c>
      <c r="T114" s="73"/>
      <c r="U114" s="639">
        <f t="shared" si="26"/>
        <v>25</v>
      </c>
      <c r="V114" s="639">
        <f t="shared" si="27"/>
        <v>141</v>
      </c>
      <c r="W114" s="639">
        <f t="shared" si="28"/>
        <v>450</v>
      </c>
      <c r="X114" s="639">
        <f t="shared" si="29"/>
        <v>440</v>
      </c>
      <c r="Y114" s="639">
        <f t="shared" si="30"/>
        <v>284</v>
      </c>
      <c r="Z114" s="639">
        <f t="shared" si="31"/>
        <v>476</v>
      </c>
      <c r="AA114" s="639">
        <f t="shared" si="32"/>
        <v>1143</v>
      </c>
      <c r="AB114" s="639">
        <f t="shared" si="33"/>
        <v>1650</v>
      </c>
      <c r="AC114" s="639">
        <f t="shared" si="34"/>
        <v>1791</v>
      </c>
    </row>
    <row r="115" spans="1:29">
      <c r="A115" s="70"/>
      <c r="B115" s="510">
        <v>415</v>
      </c>
      <c r="C115" s="66" t="s">
        <v>409</v>
      </c>
      <c r="D115" s="76" t="s">
        <v>1475</v>
      </c>
      <c r="E115" s="77">
        <v>325</v>
      </c>
      <c r="F115" s="77">
        <v>11</v>
      </c>
      <c r="G115" s="77">
        <v>33</v>
      </c>
      <c r="H115" s="77">
        <v>27</v>
      </c>
      <c r="I115" s="77">
        <v>26</v>
      </c>
      <c r="J115" s="77">
        <v>25</v>
      </c>
      <c r="K115" s="77">
        <v>28</v>
      </c>
      <c r="L115" s="77">
        <v>23</v>
      </c>
      <c r="M115" s="77">
        <v>12</v>
      </c>
      <c r="N115" s="77">
        <v>15</v>
      </c>
      <c r="O115" s="77">
        <v>23</v>
      </c>
      <c r="P115" s="77">
        <v>31</v>
      </c>
      <c r="Q115" s="77">
        <v>28</v>
      </c>
      <c r="R115" s="77">
        <v>22</v>
      </c>
      <c r="S115" s="77">
        <v>21</v>
      </c>
      <c r="T115" s="81"/>
      <c r="U115" s="639">
        <f t="shared" si="26"/>
        <v>11</v>
      </c>
      <c r="V115" s="639">
        <f t="shared" si="27"/>
        <v>33</v>
      </c>
      <c r="W115" s="639">
        <f t="shared" si="28"/>
        <v>78</v>
      </c>
      <c r="X115" s="639">
        <f t="shared" si="29"/>
        <v>63</v>
      </c>
      <c r="Y115" s="639">
        <f t="shared" si="30"/>
        <v>38</v>
      </c>
      <c r="Z115" s="639">
        <f t="shared" si="31"/>
        <v>102</v>
      </c>
      <c r="AA115" s="639">
        <f t="shared" si="32"/>
        <v>185</v>
      </c>
      <c r="AB115" s="639">
        <f t="shared" si="33"/>
        <v>281</v>
      </c>
      <c r="AC115" s="639">
        <f t="shared" si="34"/>
        <v>314</v>
      </c>
    </row>
    <row r="116" spans="1:29">
      <c r="A116" s="70"/>
      <c r="B116" s="510">
        <v>416</v>
      </c>
      <c r="C116" s="66" t="s">
        <v>410</v>
      </c>
      <c r="D116" s="76" t="s">
        <v>1475</v>
      </c>
      <c r="E116" s="77">
        <v>11</v>
      </c>
      <c r="F116" s="77">
        <v>0</v>
      </c>
      <c r="G116" s="77">
        <v>2</v>
      </c>
      <c r="H116" s="77">
        <v>1</v>
      </c>
      <c r="I116" s="77">
        <v>2</v>
      </c>
      <c r="J116" s="77">
        <v>1</v>
      </c>
      <c r="K116" s="77">
        <v>1</v>
      </c>
      <c r="L116" s="77">
        <v>3</v>
      </c>
      <c r="M116" s="77">
        <v>1</v>
      </c>
      <c r="N116" s="77">
        <v>0</v>
      </c>
      <c r="O116" s="77">
        <v>0</v>
      </c>
      <c r="P116" s="77">
        <v>0</v>
      </c>
      <c r="Q116" s="77">
        <v>0</v>
      </c>
      <c r="R116" s="77">
        <v>0</v>
      </c>
      <c r="S116" s="77">
        <v>0</v>
      </c>
      <c r="T116" s="81"/>
      <c r="U116" s="639">
        <f t="shared" si="26"/>
        <v>0</v>
      </c>
      <c r="V116" s="639">
        <f t="shared" si="27"/>
        <v>2</v>
      </c>
      <c r="W116" s="639">
        <f t="shared" si="28"/>
        <v>4</v>
      </c>
      <c r="X116" s="639">
        <f t="shared" si="29"/>
        <v>5</v>
      </c>
      <c r="Y116" s="639">
        <f t="shared" si="30"/>
        <v>0</v>
      </c>
      <c r="Z116" s="639">
        <f t="shared" si="31"/>
        <v>0</v>
      </c>
      <c r="AA116" s="639">
        <f t="shared" si="32"/>
        <v>6</v>
      </c>
      <c r="AB116" s="639">
        <f t="shared" si="33"/>
        <v>9</v>
      </c>
      <c r="AC116" s="639">
        <f t="shared" si="34"/>
        <v>11</v>
      </c>
    </row>
    <row r="117" spans="1:29">
      <c r="A117" s="70"/>
      <c r="B117" s="510">
        <v>417</v>
      </c>
      <c r="C117" s="66" t="s">
        <v>411</v>
      </c>
      <c r="D117" s="76" t="s">
        <v>1475</v>
      </c>
      <c r="E117" s="77">
        <v>312</v>
      </c>
      <c r="F117" s="89">
        <v>0</v>
      </c>
      <c r="G117" s="78">
        <v>32</v>
      </c>
      <c r="H117" s="78">
        <v>21</v>
      </c>
      <c r="I117" s="78">
        <v>18</v>
      </c>
      <c r="J117" s="78">
        <v>23</v>
      </c>
      <c r="K117" s="78">
        <v>27</v>
      </c>
      <c r="L117" s="78">
        <v>23</v>
      </c>
      <c r="M117" s="78">
        <v>22</v>
      </c>
      <c r="N117" s="78">
        <v>33</v>
      </c>
      <c r="O117" s="78">
        <v>23</v>
      </c>
      <c r="P117" s="89">
        <v>26</v>
      </c>
      <c r="Q117" s="89">
        <v>18</v>
      </c>
      <c r="R117" s="89">
        <v>19</v>
      </c>
      <c r="S117" s="89">
        <v>27</v>
      </c>
      <c r="T117" s="81"/>
      <c r="U117" s="639">
        <f t="shared" si="26"/>
        <v>0</v>
      </c>
      <c r="V117" s="639">
        <f t="shared" si="27"/>
        <v>32</v>
      </c>
      <c r="W117" s="639">
        <f t="shared" si="28"/>
        <v>62</v>
      </c>
      <c r="X117" s="639">
        <f t="shared" si="29"/>
        <v>72</v>
      </c>
      <c r="Y117" s="639">
        <f t="shared" si="30"/>
        <v>56</v>
      </c>
      <c r="Z117" s="639">
        <f t="shared" si="31"/>
        <v>90</v>
      </c>
      <c r="AA117" s="639">
        <f t="shared" si="32"/>
        <v>195</v>
      </c>
      <c r="AB117" s="639">
        <f t="shared" si="33"/>
        <v>280</v>
      </c>
      <c r="AC117" s="639">
        <f t="shared" si="34"/>
        <v>312</v>
      </c>
    </row>
    <row r="118" spans="1:29">
      <c r="A118" s="70"/>
      <c r="B118" s="510">
        <v>418</v>
      </c>
      <c r="C118" s="66" t="s">
        <v>412</v>
      </c>
      <c r="D118" s="76" t="s">
        <v>1475</v>
      </c>
      <c r="E118" s="77">
        <v>283</v>
      </c>
      <c r="F118" s="89">
        <v>0</v>
      </c>
      <c r="G118" s="78">
        <v>25</v>
      </c>
      <c r="H118" s="78">
        <v>26</v>
      </c>
      <c r="I118" s="78">
        <v>32</v>
      </c>
      <c r="J118" s="78">
        <v>30</v>
      </c>
      <c r="K118" s="78">
        <v>21</v>
      </c>
      <c r="L118" s="78">
        <v>26</v>
      </c>
      <c r="M118" s="78">
        <v>24</v>
      </c>
      <c r="N118" s="78">
        <v>16</v>
      </c>
      <c r="O118" s="78">
        <v>23</v>
      </c>
      <c r="P118" s="78">
        <v>19</v>
      </c>
      <c r="Q118" s="78">
        <v>17</v>
      </c>
      <c r="R118" s="78">
        <v>14</v>
      </c>
      <c r="S118" s="78">
        <v>10</v>
      </c>
      <c r="T118" s="81"/>
      <c r="U118" s="639">
        <f t="shared" si="26"/>
        <v>0</v>
      </c>
      <c r="V118" s="639">
        <f t="shared" si="27"/>
        <v>25</v>
      </c>
      <c r="W118" s="639">
        <f t="shared" si="28"/>
        <v>88</v>
      </c>
      <c r="X118" s="639">
        <f t="shared" si="29"/>
        <v>71</v>
      </c>
      <c r="Y118" s="639">
        <f t="shared" si="30"/>
        <v>39</v>
      </c>
      <c r="Z118" s="639">
        <f t="shared" si="31"/>
        <v>60</v>
      </c>
      <c r="AA118" s="639">
        <f t="shared" si="32"/>
        <v>176</v>
      </c>
      <c r="AB118" s="639">
        <f t="shared" si="33"/>
        <v>258</v>
      </c>
      <c r="AC118" s="639">
        <f t="shared" si="34"/>
        <v>283</v>
      </c>
    </row>
    <row r="119" spans="1:29" ht="10.5">
      <c r="A119" s="70"/>
      <c r="B119" s="510">
        <v>421</v>
      </c>
      <c r="C119" s="66" t="s">
        <v>413</v>
      </c>
      <c r="D119" s="76" t="s">
        <v>1475</v>
      </c>
      <c r="E119" s="77">
        <v>1046</v>
      </c>
      <c r="F119" s="78">
        <v>7</v>
      </c>
      <c r="G119" s="78">
        <v>70</v>
      </c>
      <c r="H119" s="78">
        <v>79</v>
      </c>
      <c r="I119" s="78">
        <v>97</v>
      </c>
      <c r="J119" s="78">
        <v>93</v>
      </c>
      <c r="K119" s="78">
        <v>76</v>
      </c>
      <c r="L119" s="78">
        <v>83</v>
      </c>
      <c r="M119" s="78">
        <v>72</v>
      </c>
      <c r="N119" s="78">
        <v>91</v>
      </c>
      <c r="O119" s="78">
        <v>88</v>
      </c>
      <c r="P119" s="78">
        <v>82</v>
      </c>
      <c r="Q119" s="78">
        <v>66</v>
      </c>
      <c r="R119" s="78">
        <v>80</v>
      </c>
      <c r="S119" s="78">
        <v>62</v>
      </c>
      <c r="T119" s="73"/>
      <c r="U119" s="639">
        <f t="shared" si="26"/>
        <v>7</v>
      </c>
      <c r="V119" s="639">
        <f t="shared" si="27"/>
        <v>70</v>
      </c>
      <c r="W119" s="639">
        <f t="shared" si="28"/>
        <v>269</v>
      </c>
      <c r="X119" s="639">
        <f t="shared" si="29"/>
        <v>231</v>
      </c>
      <c r="Y119" s="639">
        <f t="shared" si="30"/>
        <v>179</v>
      </c>
      <c r="Z119" s="639">
        <f t="shared" si="31"/>
        <v>290</v>
      </c>
      <c r="AA119" s="639">
        <f t="shared" si="32"/>
        <v>651</v>
      </c>
      <c r="AB119" s="639">
        <f t="shared" si="33"/>
        <v>969</v>
      </c>
      <c r="AC119" s="639">
        <f t="shared" si="34"/>
        <v>1039</v>
      </c>
    </row>
    <row r="120" spans="1:29">
      <c r="A120" s="70"/>
      <c r="B120" s="510">
        <v>422</v>
      </c>
      <c r="C120" s="66" t="s">
        <v>414</v>
      </c>
      <c r="D120" s="76" t="s">
        <v>1475</v>
      </c>
      <c r="E120" s="77">
        <v>280</v>
      </c>
      <c r="F120" s="77">
        <v>8</v>
      </c>
      <c r="G120" s="77">
        <v>15</v>
      </c>
      <c r="H120" s="77">
        <v>20</v>
      </c>
      <c r="I120" s="77">
        <v>16</v>
      </c>
      <c r="J120" s="77">
        <v>20</v>
      </c>
      <c r="K120" s="77">
        <v>22</v>
      </c>
      <c r="L120" s="77">
        <v>12</v>
      </c>
      <c r="M120" s="77">
        <v>23</v>
      </c>
      <c r="N120" s="77">
        <v>23</v>
      </c>
      <c r="O120" s="77">
        <v>24</v>
      </c>
      <c r="P120" s="77">
        <v>18</v>
      </c>
      <c r="Q120" s="77">
        <v>26</v>
      </c>
      <c r="R120" s="77">
        <v>30</v>
      </c>
      <c r="S120" s="77">
        <v>23</v>
      </c>
      <c r="T120" s="81"/>
      <c r="U120" s="639">
        <f t="shared" si="26"/>
        <v>8</v>
      </c>
      <c r="V120" s="639">
        <f t="shared" si="27"/>
        <v>15</v>
      </c>
      <c r="W120" s="639">
        <f t="shared" si="28"/>
        <v>56</v>
      </c>
      <c r="X120" s="639">
        <f t="shared" si="29"/>
        <v>57</v>
      </c>
      <c r="Y120" s="639">
        <f t="shared" si="30"/>
        <v>47</v>
      </c>
      <c r="Z120" s="639">
        <f t="shared" si="31"/>
        <v>97</v>
      </c>
      <c r="AA120" s="639">
        <f t="shared" si="32"/>
        <v>168</v>
      </c>
      <c r="AB120" s="639">
        <f t="shared" si="33"/>
        <v>257</v>
      </c>
      <c r="AC120" s="639">
        <f t="shared" si="34"/>
        <v>272</v>
      </c>
    </row>
    <row r="121" spans="1:29">
      <c r="A121" s="70"/>
      <c r="B121" s="510">
        <v>431</v>
      </c>
      <c r="C121" s="66" t="s">
        <v>415</v>
      </c>
      <c r="D121" s="76" t="s">
        <v>1475</v>
      </c>
      <c r="E121" s="77">
        <v>1533</v>
      </c>
      <c r="F121" s="77">
        <v>18</v>
      </c>
      <c r="G121" s="77">
        <v>93</v>
      </c>
      <c r="H121" s="77">
        <v>102</v>
      </c>
      <c r="I121" s="77">
        <v>107</v>
      </c>
      <c r="J121" s="77">
        <v>117</v>
      </c>
      <c r="K121" s="77">
        <v>118</v>
      </c>
      <c r="L121" s="77">
        <v>130</v>
      </c>
      <c r="M121" s="77">
        <v>119</v>
      </c>
      <c r="N121" s="77">
        <v>134</v>
      </c>
      <c r="O121" s="77">
        <v>135</v>
      </c>
      <c r="P121" s="77">
        <v>109</v>
      </c>
      <c r="Q121" s="77">
        <v>122</v>
      </c>
      <c r="R121" s="77">
        <v>127</v>
      </c>
      <c r="S121" s="77">
        <v>102</v>
      </c>
      <c r="T121" s="81"/>
      <c r="U121" s="639">
        <f t="shared" si="26"/>
        <v>18</v>
      </c>
      <c r="V121" s="639">
        <f t="shared" si="27"/>
        <v>93</v>
      </c>
      <c r="W121" s="639">
        <f t="shared" si="28"/>
        <v>326</v>
      </c>
      <c r="X121" s="639">
        <f t="shared" si="29"/>
        <v>367</v>
      </c>
      <c r="Y121" s="639">
        <f t="shared" si="30"/>
        <v>269</v>
      </c>
      <c r="Z121" s="639">
        <f t="shared" si="31"/>
        <v>460</v>
      </c>
      <c r="AA121" s="639">
        <f t="shared" si="32"/>
        <v>984</v>
      </c>
      <c r="AB121" s="639">
        <f t="shared" si="33"/>
        <v>1422</v>
      </c>
      <c r="AC121" s="639">
        <f t="shared" si="34"/>
        <v>1515</v>
      </c>
    </row>
    <row r="122" spans="1:29" ht="10.5">
      <c r="A122" s="70"/>
      <c r="B122" s="510">
        <v>432</v>
      </c>
      <c r="C122" s="66" t="s">
        <v>416</v>
      </c>
      <c r="D122" s="76" t="s">
        <v>1475</v>
      </c>
      <c r="E122" s="77">
        <v>132</v>
      </c>
      <c r="F122" s="77">
        <v>12</v>
      </c>
      <c r="G122" s="77">
        <v>10</v>
      </c>
      <c r="H122" s="77">
        <v>9</v>
      </c>
      <c r="I122" s="77">
        <v>12</v>
      </c>
      <c r="J122" s="77">
        <v>12</v>
      </c>
      <c r="K122" s="77">
        <v>7</v>
      </c>
      <c r="L122" s="77">
        <v>7</v>
      </c>
      <c r="M122" s="77">
        <v>5</v>
      </c>
      <c r="N122" s="77">
        <v>13</v>
      </c>
      <c r="O122" s="77">
        <v>9</v>
      </c>
      <c r="P122" s="77">
        <v>9</v>
      </c>
      <c r="Q122" s="77">
        <v>9</v>
      </c>
      <c r="R122" s="77">
        <v>10</v>
      </c>
      <c r="S122" s="77">
        <v>8</v>
      </c>
      <c r="T122" s="73"/>
      <c r="U122" s="639">
        <f t="shared" si="26"/>
        <v>12</v>
      </c>
      <c r="V122" s="639">
        <f t="shared" si="27"/>
        <v>10</v>
      </c>
      <c r="W122" s="639">
        <f t="shared" si="28"/>
        <v>33</v>
      </c>
      <c r="X122" s="639">
        <f t="shared" si="29"/>
        <v>19</v>
      </c>
      <c r="Y122" s="639">
        <f t="shared" si="30"/>
        <v>22</v>
      </c>
      <c r="Z122" s="639">
        <f t="shared" si="31"/>
        <v>36</v>
      </c>
      <c r="AA122" s="639">
        <f t="shared" si="32"/>
        <v>71</v>
      </c>
      <c r="AB122" s="639">
        <f t="shared" si="33"/>
        <v>110</v>
      </c>
      <c r="AC122" s="639">
        <f t="shared" si="34"/>
        <v>120</v>
      </c>
    </row>
    <row r="123" spans="1:29" ht="10.5">
      <c r="A123" s="70"/>
      <c r="B123" s="510">
        <v>433</v>
      </c>
      <c r="C123" s="66" t="s">
        <v>417</v>
      </c>
      <c r="D123" s="76" t="s">
        <v>1475</v>
      </c>
      <c r="E123" s="77">
        <v>125</v>
      </c>
      <c r="F123" s="77">
        <v>7</v>
      </c>
      <c r="G123" s="77">
        <v>5</v>
      </c>
      <c r="H123" s="77">
        <v>8</v>
      </c>
      <c r="I123" s="77">
        <v>6</v>
      </c>
      <c r="J123" s="77">
        <v>7</v>
      </c>
      <c r="K123" s="77">
        <v>6</v>
      </c>
      <c r="L123" s="77">
        <v>8</v>
      </c>
      <c r="M123" s="77">
        <v>10</v>
      </c>
      <c r="N123" s="77">
        <v>8</v>
      </c>
      <c r="O123" s="77">
        <v>11</v>
      </c>
      <c r="P123" s="77">
        <v>10</v>
      </c>
      <c r="Q123" s="77">
        <v>16</v>
      </c>
      <c r="R123" s="77">
        <v>8</v>
      </c>
      <c r="S123" s="77">
        <v>15</v>
      </c>
      <c r="T123" s="94"/>
      <c r="U123" s="639">
        <f t="shared" si="26"/>
        <v>7</v>
      </c>
      <c r="V123" s="639">
        <f t="shared" si="27"/>
        <v>5</v>
      </c>
      <c r="W123" s="639">
        <f t="shared" si="28"/>
        <v>21</v>
      </c>
      <c r="X123" s="639">
        <f t="shared" si="29"/>
        <v>24</v>
      </c>
      <c r="Y123" s="639">
        <f t="shared" si="30"/>
        <v>19</v>
      </c>
      <c r="Z123" s="639">
        <f t="shared" si="31"/>
        <v>49</v>
      </c>
      <c r="AA123" s="639">
        <f t="shared" si="32"/>
        <v>76</v>
      </c>
      <c r="AB123" s="639">
        <f t="shared" si="33"/>
        <v>113</v>
      </c>
      <c r="AC123" s="639">
        <f t="shared" si="34"/>
        <v>118</v>
      </c>
    </row>
    <row r="124" spans="1:29" ht="14.5">
      <c r="A124" s="70"/>
      <c r="B124" s="510">
        <v>451</v>
      </c>
      <c r="C124" s="66" t="s">
        <v>418</v>
      </c>
      <c r="D124" s="76" t="s">
        <v>1475</v>
      </c>
      <c r="E124" s="77">
        <v>407</v>
      </c>
      <c r="F124" s="77">
        <v>0</v>
      </c>
      <c r="G124" s="77">
        <v>24</v>
      </c>
      <c r="H124" s="77">
        <v>27</v>
      </c>
      <c r="I124" s="77">
        <v>30</v>
      </c>
      <c r="J124" s="77">
        <v>29</v>
      </c>
      <c r="K124" s="77">
        <v>33</v>
      </c>
      <c r="L124" s="77">
        <v>33</v>
      </c>
      <c r="M124" s="77">
        <v>33</v>
      </c>
      <c r="N124" s="77">
        <v>32</v>
      </c>
      <c r="O124" s="77">
        <v>29</v>
      </c>
      <c r="P124" s="77">
        <v>38</v>
      </c>
      <c r="Q124" s="77">
        <v>31</v>
      </c>
      <c r="R124" s="77">
        <v>27</v>
      </c>
      <c r="S124" s="77">
        <v>41</v>
      </c>
      <c r="T124" s="4"/>
      <c r="U124" s="639">
        <f t="shared" si="26"/>
        <v>0</v>
      </c>
      <c r="V124" s="639">
        <f t="shared" si="27"/>
        <v>24</v>
      </c>
      <c r="W124" s="639">
        <f t="shared" si="28"/>
        <v>86</v>
      </c>
      <c r="X124" s="639">
        <f t="shared" si="29"/>
        <v>99</v>
      </c>
      <c r="Y124" s="639">
        <f t="shared" si="30"/>
        <v>61</v>
      </c>
      <c r="Z124" s="639">
        <f t="shared" si="31"/>
        <v>137</v>
      </c>
      <c r="AA124" s="639">
        <f t="shared" si="32"/>
        <v>258</v>
      </c>
      <c r="AB124" s="639">
        <f t="shared" si="33"/>
        <v>383</v>
      </c>
      <c r="AC124" s="639">
        <f t="shared" si="34"/>
        <v>407</v>
      </c>
    </row>
    <row r="125" spans="1:29">
      <c r="A125" s="70"/>
      <c r="B125" s="510">
        <v>452</v>
      </c>
      <c r="C125" s="66" t="s">
        <v>419</v>
      </c>
      <c r="D125" s="76" t="s">
        <v>1475</v>
      </c>
      <c r="E125" s="77">
        <v>2285</v>
      </c>
      <c r="F125" s="77">
        <v>0</v>
      </c>
      <c r="G125" s="78">
        <v>116</v>
      </c>
      <c r="H125" s="78">
        <v>94</v>
      </c>
      <c r="I125" s="78">
        <v>124</v>
      </c>
      <c r="J125" s="78">
        <v>131</v>
      </c>
      <c r="K125" s="78">
        <v>148</v>
      </c>
      <c r="L125" s="78">
        <v>138</v>
      </c>
      <c r="M125" s="78">
        <v>139</v>
      </c>
      <c r="N125" s="78">
        <v>212</v>
      </c>
      <c r="O125" s="78">
        <v>221</v>
      </c>
      <c r="P125" s="78">
        <v>196</v>
      </c>
      <c r="Q125" s="78">
        <v>276</v>
      </c>
      <c r="R125" s="78">
        <v>233</v>
      </c>
      <c r="S125" s="78">
        <v>257</v>
      </c>
      <c r="T125" s="81"/>
      <c r="U125" s="639">
        <f t="shared" si="26"/>
        <v>0</v>
      </c>
      <c r="V125" s="639">
        <f t="shared" si="27"/>
        <v>116</v>
      </c>
      <c r="W125" s="639">
        <f t="shared" si="28"/>
        <v>349</v>
      </c>
      <c r="X125" s="639">
        <f t="shared" si="29"/>
        <v>425</v>
      </c>
      <c r="Y125" s="639">
        <f t="shared" si="30"/>
        <v>433</v>
      </c>
      <c r="Z125" s="639">
        <f t="shared" si="31"/>
        <v>962</v>
      </c>
      <c r="AA125" s="639">
        <f t="shared" si="32"/>
        <v>1461</v>
      </c>
      <c r="AB125" s="639">
        <f t="shared" si="33"/>
        <v>2169</v>
      </c>
      <c r="AC125" s="639">
        <f t="shared" si="34"/>
        <v>2285</v>
      </c>
    </row>
    <row r="126" spans="1:29" s="4" customFormat="1" ht="14.5">
      <c r="A126" s="70"/>
      <c r="B126" s="510">
        <v>453</v>
      </c>
      <c r="C126" s="66" t="s">
        <v>420</v>
      </c>
      <c r="D126" s="76" t="s">
        <v>1475</v>
      </c>
      <c r="E126" s="68">
        <v>337</v>
      </c>
      <c r="F126" s="68">
        <v>0</v>
      </c>
      <c r="G126" s="68">
        <v>0</v>
      </c>
      <c r="H126" s="68">
        <v>0</v>
      </c>
      <c r="I126" s="68">
        <v>0</v>
      </c>
      <c r="J126" s="68">
        <v>0</v>
      </c>
      <c r="K126" s="68">
        <v>0</v>
      </c>
      <c r="L126" s="68">
        <v>0</v>
      </c>
      <c r="M126" s="68">
        <v>0</v>
      </c>
      <c r="N126" s="68">
        <v>0</v>
      </c>
      <c r="O126" s="68">
        <v>0</v>
      </c>
      <c r="P126" s="68">
        <v>24</v>
      </c>
      <c r="Q126" s="68">
        <v>67</v>
      </c>
      <c r="R126" s="68">
        <v>99</v>
      </c>
      <c r="S126" s="68">
        <v>147</v>
      </c>
      <c r="U126" s="639">
        <f t="shared" si="26"/>
        <v>0</v>
      </c>
      <c r="V126" s="639">
        <f t="shared" si="27"/>
        <v>0</v>
      </c>
      <c r="W126" s="639">
        <f t="shared" si="28"/>
        <v>0</v>
      </c>
      <c r="X126" s="639">
        <f t="shared" si="29"/>
        <v>0</v>
      </c>
      <c r="Y126" s="639">
        <f t="shared" si="30"/>
        <v>0</v>
      </c>
      <c r="Z126" s="639">
        <f t="shared" si="31"/>
        <v>337</v>
      </c>
      <c r="AA126" s="639">
        <f t="shared" si="32"/>
        <v>91</v>
      </c>
      <c r="AB126" s="639">
        <f t="shared" si="33"/>
        <v>337</v>
      </c>
      <c r="AC126" s="639">
        <f t="shared" si="34"/>
        <v>337</v>
      </c>
    </row>
    <row r="127" spans="1:29">
      <c r="A127" s="70"/>
      <c r="B127" s="510">
        <v>454</v>
      </c>
      <c r="C127" s="66" t="s">
        <v>421</v>
      </c>
      <c r="D127" s="76" t="s">
        <v>1475</v>
      </c>
      <c r="E127" s="77">
        <v>243</v>
      </c>
      <c r="F127" s="77">
        <v>0</v>
      </c>
      <c r="G127" s="77">
        <v>24</v>
      </c>
      <c r="H127" s="77">
        <v>25</v>
      </c>
      <c r="I127" s="77">
        <v>25</v>
      </c>
      <c r="J127" s="77">
        <v>32</v>
      </c>
      <c r="K127" s="77">
        <v>31</v>
      </c>
      <c r="L127" s="77">
        <v>31</v>
      </c>
      <c r="M127" s="77">
        <v>30</v>
      </c>
      <c r="N127" s="77">
        <v>25</v>
      </c>
      <c r="O127" s="77">
        <v>20</v>
      </c>
      <c r="P127" s="77">
        <v>0</v>
      </c>
      <c r="Q127" s="77">
        <v>0</v>
      </c>
      <c r="R127" s="77">
        <v>0</v>
      </c>
      <c r="S127" s="77">
        <v>0</v>
      </c>
      <c r="T127" s="81"/>
      <c r="U127" s="639">
        <f t="shared" si="26"/>
        <v>0</v>
      </c>
      <c r="V127" s="639">
        <f t="shared" si="27"/>
        <v>24</v>
      </c>
      <c r="W127" s="639">
        <f t="shared" si="28"/>
        <v>82</v>
      </c>
      <c r="X127" s="639">
        <f t="shared" si="29"/>
        <v>92</v>
      </c>
      <c r="Y127" s="639">
        <f t="shared" si="30"/>
        <v>45</v>
      </c>
      <c r="Z127" s="639">
        <f t="shared" si="31"/>
        <v>0</v>
      </c>
      <c r="AA127" s="639">
        <f t="shared" si="32"/>
        <v>169</v>
      </c>
      <c r="AB127" s="639">
        <f t="shared" si="33"/>
        <v>219</v>
      </c>
      <c r="AC127" s="639">
        <f t="shared" si="34"/>
        <v>243</v>
      </c>
    </row>
    <row r="128" spans="1:29" s="4" customFormat="1" ht="14.5">
      <c r="A128" s="70"/>
      <c r="B128" s="510">
        <v>455</v>
      </c>
      <c r="C128" s="66" t="s">
        <v>422</v>
      </c>
      <c r="D128" s="76" t="s">
        <v>1475</v>
      </c>
      <c r="E128" s="68">
        <v>860</v>
      </c>
      <c r="F128" s="68">
        <v>0</v>
      </c>
      <c r="G128" s="101">
        <v>71</v>
      </c>
      <c r="H128" s="101">
        <v>72</v>
      </c>
      <c r="I128" s="101">
        <v>78</v>
      </c>
      <c r="J128" s="101">
        <v>78</v>
      </c>
      <c r="K128" s="101">
        <v>84</v>
      </c>
      <c r="L128" s="101">
        <v>84</v>
      </c>
      <c r="M128" s="101">
        <v>89</v>
      </c>
      <c r="N128" s="101">
        <v>109</v>
      </c>
      <c r="O128" s="101">
        <v>60</v>
      </c>
      <c r="P128" s="102">
        <v>54</v>
      </c>
      <c r="Q128" s="102">
        <v>32</v>
      </c>
      <c r="R128" s="102">
        <v>29</v>
      </c>
      <c r="S128" s="102">
        <v>20</v>
      </c>
      <c r="U128" s="639">
        <f t="shared" si="26"/>
        <v>0</v>
      </c>
      <c r="V128" s="639">
        <f t="shared" si="27"/>
        <v>71</v>
      </c>
      <c r="W128" s="639">
        <f t="shared" si="28"/>
        <v>228</v>
      </c>
      <c r="X128" s="639">
        <f t="shared" si="29"/>
        <v>257</v>
      </c>
      <c r="Y128" s="639">
        <f t="shared" si="30"/>
        <v>169</v>
      </c>
      <c r="Z128" s="639">
        <f t="shared" si="31"/>
        <v>135</v>
      </c>
      <c r="AA128" s="639">
        <f t="shared" si="32"/>
        <v>590</v>
      </c>
      <c r="AB128" s="639">
        <f t="shared" si="33"/>
        <v>789</v>
      </c>
      <c r="AC128" s="639">
        <f t="shared" si="34"/>
        <v>860</v>
      </c>
    </row>
    <row r="129" spans="1:29" s="4" customFormat="1" ht="14.5">
      <c r="A129" s="70"/>
      <c r="B129" s="510">
        <v>456</v>
      </c>
      <c r="C129" s="66" t="s">
        <v>423</v>
      </c>
      <c r="D129" s="76" t="s">
        <v>1475</v>
      </c>
      <c r="E129" s="68">
        <v>274</v>
      </c>
      <c r="F129" s="68">
        <v>0</v>
      </c>
      <c r="G129" s="101">
        <v>24</v>
      </c>
      <c r="H129" s="101">
        <v>29</v>
      </c>
      <c r="I129" s="101">
        <v>29</v>
      </c>
      <c r="J129" s="101">
        <v>29</v>
      </c>
      <c r="K129" s="101">
        <v>33</v>
      </c>
      <c r="L129" s="101">
        <v>33</v>
      </c>
      <c r="M129" s="101">
        <v>34</v>
      </c>
      <c r="N129" s="101">
        <v>32</v>
      </c>
      <c r="O129" s="101">
        <v>31</v>
      </c>
      <c r="P129" s="101">
        <v>0</v>
      </c>
      <c r="Q129" s="101">
        <v>0</v>
      </c>
      <c r="R129" s="101">
        <v>0</v>
      </c>
      <c r="S129" s="101">
        <v>0</v>
      </c>
      <c r="U129" s="639">
        <f t="shared" si="26"/>
        <v>0</v>
      </c>
      <c r="V129" s="639">
        <f t="shared" si="27"/>
        <v>24</v>
      </c>
      <c r="W129" s="639">
        <f t="shared" si="28"/>
        <v>87</v>
      </c>
      <c r="X129" s="639">
        <f t="shared" si="29"/>
        <v>100</v>
      </c>
      <c r="Y129" s="639">
        <f t="shared" si="30"/>
        <v>63</v>
      </c>
      <c r="Z129" s="639">
        <f t="shared" si="31"/>
        <v>0</v>
      </c>
      <c r="AA129" s="639">
        <f t="shared" si="32"/>
        <v>192</v>
      </c>
      <c r="AB129" s="639">
        <f t="shared" si="33"/>
        <v>250</v>
      </c>
      <c r="AC129" s="639">
        <f t="shared" si="34"/>
        <v>274</v>
      </c>
    </row>
    <row r="130" spans="1:29" s="4" customFormat="1" ht="14.5">
      <c r="A130" s="70"/>
      <c r="B130" s="510">
        <v>457</v>
      </c>
      <c r="C130" s="66" t="s">
        <v>424</v>
      </c>
      <c r="D130" s="76" t="s">
        <v>1475</v>
      </c>
      <c r="E130" s="68">
        <v>957</v>
      </c>
      <c r="F130" s="68">
        <v>0</v>
      </c>
      <c r="G130" s="78">
        <v>35</v>
      </c>
      <c r="H130" s="78">
        <v>50</v>
      </c>
      <c r="I130" s="78">
        <v>47</v>
      </c>
      <c r="J130" s="78">
        <v>32</v>
      </c>
      <c r="K130" s="78">
        <v>55</v>
      </c>
      <c r="L130" s="78">
        <v>40</v>
      </c>
      <c r="M130" s="78">
        <v>63</v>
      </c>
      <c r="N130" s="78">
        <v>93</v>
      </c>
      <c r="O130" s="78">
        <v>104</v>
      </c>
      <c r="P130" s="102">
        <v>149</v>
      </c>
      <c r="Q130" s="102">
        <v>99</v>
      </c>
      <c r="R130" s="102">
        <v>93</v>
      </c>
      <c r="S130" s="102">
        <v>97</v>
      </c>
      <c r="U130" s="639">
        <f t="shared" si="26"/>
        <v>0</v>
      </c>
      <c r="V130" s="639">
        <f t="shared" si="27"/>
        <v>35</v>
      </c>
      <c r="W130" s="639">
        <f t="shared" si="28"/>
        <v>129</v>
      </c>
      <c r="X130" s="639">
        <f t="shared" si="29"/>
        <v>158</v>
      </c>
      <c r="Y130" s="639">
        <f t="shared" si="30"/>
        <v>197</v>
      </c>
      <c r="Z130" s="639">
        <f t="shared" si="31"/>
        <v>438</v>
      </c>
      <c r="AA130" s="639">
        <f t="shared" si="32"/>
        <v>635</v>
      </c>
      <c r="AB130" s="639">
        <f t="shared" si="33"/>
        <v>922</v>
      </c>
      <c r="AC130" s="639">
        <f t="shared" si="34"/>
        <v>957</v>
      </c>
    </row>
    <row r="131" spans="1:29" s="4" customFormat="1" ht="14.5">
      <c r="A131" s="70"/>
      <c r="B131" s="510">
        <v>458</v>
      </c>
      <c r="C131" s="66" t="s">
        <v>425</v>
      </c>
      <c r="D131" s="76" t="s">
        <v>1475</v>
      </c>
      <c r="E131" s="68">
        <v>418</v>
      </c>
      <c r="F131" s="68">
        <v>0</v>
      </c>
      <c r="G131" s="101">
        <v>24</v>
      </c>
      <c r="H131" s="101">
        <v>28</v>
      </c>
      <c r="I131" s="101">
        <v>30</v>
      </c>
      <c r="J131" s="101">
        <v>30</v>
      </c>
      <c r="K131" s="101">
        <v>33</v>
      </c>
      <c r="L131" s="101">
        <v>33</v>
      </c>
      <c r="M131" s="101">
        <v>33</v>
      </c>
      <c r="N131" s="101">
        <v>32</v>
      </c>
      <c r="O131" s="101">
        <v>33</v>
      </c>
      <c r="P131" s="101">
        <v>38</v>
      </c>
      <c r="Q131" s="101">
        <v>33</v>
      </c>
      <c r="R131" s="101">
        <v>38</v>
      </c>
      <c r="S131" s="101">
        <v>33</v>
      </c>
      <c r="U131" s="639">
        <f t="shared" si="26"/>
        <v>0</v>
      </c>
      <c r="V131" s="639">
        <f t="shared" si="27"/>
        <v>24</v>
      </c>
      <c r="W131" s="639">
        <f t="shared" si="28"/>
        <v>88</v>
      </c>
      <c r="X131" s="639">
        <f t="shared" si="29"/>
        <v>99</v>
      </c>
      <c r="Y131" s="639">
        <f t="shared" si="30"/>
        <v>65</v>
      </c>
      <c r="Z131" s="639">
        <f t="shared" si="31"/>
        <v>142</v>
      </c>
      <c r="AA131" s="639">
        <f t="shared" si="32"/>
        <v>265</v>
      </c>
      <c r="AB131" s="639">
        <f t="shared" si="33"/>
        <v>394</v>
      </c>
      <c r="AC131" s="639">
        <f t="shared" si="34"/>
        <v>418</v>
      </c>
    </row>
    <row r="132" spans="1:29" s="4" customFormat="1" ht="14.5">
      <c r="A132" s="70"/>
      <c r="B132" s="510">
        <v>460</v>
      </c>
      <c r="C132" s="66" t="s">
        <v>1476</v>
      </c>
      <c r="D132" s="76" t="s">
        <v>1475</v>
      </c>
      <c r="E132" s="68">
        <v>485</v>
      </c>
      <c r="F132" s="68">
        <v>0</v>
      </c>
      <c r="G132" s="78">
        <v>48</v>
      </c>
      <c r="H132" s="78">
        <v>57</v>
      </c>
      <c r="I132" s="78">
        <v>60</v>
      </c>
      <c r="J132" s="78">
        <v>64</v>
      </c>
      <c r="K132" s="78">
        <v>64</v>
      </c>
      <c r="L132" s="78">
        <v>63</v>
      </c>
      <c r="M132" s="78">
        <v>61</v>
      </c>
      <c r="N132" s="78">
        <v>34</v>
      </c>
      <c r="O132" s="78">
        <v>34</v>
      </c>
      <c r="P132" s="78">
        <v>0</v>
      </c>
      <c r="Q132" s="78">
        <v>0</v>
      </c>
      <c r="R132" s="78">
        <v>0</v>
      </c>
      <c r="S132" s="78">
        <v>0</v>
      </c>
      <c r="U132" s="639">
        <f t="shared" si="26"/>
        <v>0</v>
      </c>
      <c r="V132" s="639">
        <f t="shared" si="27"/>
        <v>48</v>
      </c>
      <c r="W132" s="639">
        <f t="shared" si="28"/>
        <v>181</v>
      </c>
      <c r="X132" s="639">
        <f t="shared" si="29"/>
        <v>188</v>
      </c>
      <c r="Y132" s="639">
        <f t="shared" si="30"/>
        <v>68</v>
      </c>
      <c r="Z132" s="639">
        <f t="shared" si="31"/>
        <v>0</v>
      </c>
      <c r="AA132" s="639">
        <f t="shared" si="32"/>
        <v>320</v>
      </c>
      <c r="AB132" s="639">
        <f t="shared" si="33"/>
        <v>437</v>
      </c>
      <c r="AC132" s="639">
        <f t="shared" si="34"/>
        <v>485</v>
      </c>
    </row>
    <row r="133" spans="1:29" s="4" customFormat="1" ht="14.5">
      <c r="A133" s="70"/>
      <c r="B133" s="510">
        <v>461</v>
      </c>
      <c r="C133" s="66" t="s">
        <v>426</v>
      </c>
      <c r="D133" s="76" t="s">
        <v>1475</v>
      </c>
      <c r="E133" s="68">
        <v>414</v>
      </c>
      <c r="F133" s="68">
        <v>0</v>
      </c>
      <c r="G133" s="78">
        <v>30</v>
      </c>
      <c r="H133" s="78">
        <v>30</v>
      </c>
      <c r="I133" s="78">
        <v>30</v>
      </c>
      <c r="J133" s="78">
        <v>30</v>
      </c>
      <c r="K133" s="78">
        <v>34</v>
      </c>
      <c r="L133" s="78">
        <v>34</v>
      </c>
      <c r="M133" s="78">
        <v>34</v>
      </c>
      <c r="N133" s="78">
        <v>35</v>
      </c>
      <c r="O133" s="78">
        <v>35</v>
      </c>
      <c r="P133" s="68">
        <v>29</v>
      </c>
      <c r="Q133" s="68">
        <v>34</v>
      </c>
      <c r="R133" s="68">
        <v>30</v>
      </c>
      <c r="S133" s="68">
        <v>29</v>
      </c>
      <c r="U133" s="639">
        <f t="shared" si="26"/>
        <v>0</v>
      </c>
      <c r="V133" s="639">
        <f t="shared" si="27"/>
        <v>30</v>
      </c>
      <c r="W133" s="639">
        <f t="shared" si="28"/>
        <v>90</v>
      </c>
      <c r="X133" s="639">
        <f t="shared" si="29"/>
        <v>102</v>
      </c>
      <c r="Y133" s="639">
        <f t="shared" si="30"/>
        <v>70</v>
      </c>
      <c r="Z133" s="639">
        <f t="shared" si="31"/>
        <v>122</v>
      </c>
      <c r="AA133" s="639">
        <f t="shared" si="32"/>
        <v>265</v>
      </c>
      <c r="AB133" s="639">
        <f t="shared" si="33"/>
        <v>384</v>
      </c>
      <c r="AC133" s="639">
        <f t="shared" si="34"/>
        <v>414</v>
      </c>
    </row>
    <row r="134" spans="1:29" s="4" customFormat="1" ht="14.5">
      <c r="A134" s="70"/>
      <c r="B134" s="510">
        <v>462</v>
      </c>
      <c r="C134" s="66" t="s">
        <v>427</v>
      </c>
      <c r="D134" s="76" t="s">
        <v>1475</v>
      </c>
      <c r="E134" s="68">
        <v>686</v>
      </c>
      <c r="F134" s="68">
        <v>0</v>
      </c>
      <c r="G134" s="78">
        <v>47</v>
      </c>
      <c r="H134" s="78">
        <v>56</v>
      </c>
      <c r="I134" s="78">
        <v>56</v>
      </c>
      <c r="J134" s="78">
        <v>56</v>
      </c>
      <c r="K134" s="78">
        <v>66</v>
      </c>
      <c r="L134" s="78">
        <v>66</v>
      </c>
      <c r="M134" s="78">
        <v>66</v>
      </c>
      <c r="N134" s="78">
        <v>67</v>
      </c>
      <c r="O134" s="78">
        <v>64</v>
      </c>
      <c r="P134" s="78">
        <v>49</v>
      </c>
      <c r="Q134" s="78">
        <v>41</v>
      </c>
      <c r="R134" s="78">
        <v>30</v>
      </c>
      <c r="S134" s="78">
        <v>22</v>
      </c>
      <c r="U134" s="639">
        <f t="shared" si="26"/>
        <v>0</v>
      </c>
      <c r="V134" s="639">
        <f t="shared" si="27"/>
        <v>47</v>
      </c>
      <c r="W134" s="639">
        <f t="shared" si="28"/>
        <v>168</v>
      </c>
      <c r="X134" s="639">
        <f t="shared" si="29"/>
        <v>198</v>
      </c>
      <c r="Y134" s="639">
        <f t="shared" si="30"/>
        <v>131</v>
      </c>
      <c r="Z134" s="639">
        <f t="shared" si="31"/>
        <v>142</v>
      </c>
      <c r="AA134" s="639">
        <f t="shared" si="32"/>
        <v>475</v>
      </c>
      <c r="AB134" s="639">
        <f t="shared" si="33"/>
        <v>639</v>
      </c>
      <c r="AC134" s="639">
        <f t="shared" si="34"/>
        <v>686</v>
      </c>
    </row>
    <row r="135" spans="1:29" s="4" customFormat="1" ht="14.5">
      <c r="A135" s="70"/>
      <c r="B135" s="510">
        <v>463</v>
      </c>
      <c r="C135" s="66" t="s">
        <v>428</v>
      </c>
      <c r="D135" s="76" t="s">
        <v>1475</v>
      </c>
      <c r="E135" s="68">
        <v>670</v>
      </c>
      <c r="F135" s="68">
        <v>0</v>
      </c>
      <c r="G135" s="78">
        <v>43</v>
      </c>
      <c r="H135" s="78">
        <v>59</v>
      </c>
      <c r="I135" s="78">
        <v>56</v>
      </c>
      <c r="J135" s="78">
        <v>56</v>
      </c>
      <c r="K135" s="78">
        <v>61</v>
      </c>
      <c r="L135" s="78">
        <v>61</v>
      </c>
      <c r="M135" s="78">
        <v>63</v>
      </c>
      <c r="N135" s="78">
        <v>61</v>
      </c>
      <c r="O135" s="78">
        <v>61</v>
      </c>
      <c r="P135" s="78">
        <v>46</v>
      </c>
      <c r="Q135" s="78">
        <v>39</v>
      </c>
      <c r="R135" s="78">
        <v>27</v>
      </c>
      <c r="S135" s="78">
        <v>37</v>
      </c>
      <c r="U135" s="639">
        <f t="shared" si="26"/>
        <v>0</v>
      </c>
      <c r="V135" s="639">
        <f t="shared" si="27"/>
        <v>43</v>
      </c>
      <c r="W135" s="639">
        <f t="shared" si="28"/>
        <v>171</v>
      </c>
      <c r="X135" s="639">
        <f t="shared" si="29"/>
        <v>185</v>
      </c>
      <c r="Y135" s="639">
        <f t="shared" si="30"/>
        <v>122</v>
      </c>
      <c r="Z135" s="639">
        <f t="shared" si="31"/>
        <v>149</v>
      </c>
      <c r="AA135" s="639">
        <f t="shared" si="32"/>
        <v>448</v>
      </c>
      <c r="AB135" s="639">
        <f t="shared" si="33"/>
        <v>627</v>
      </c>
      <c r="AC135" s="639">
        <f t="shared" si="34"/>
        <v>670</v>
      </c>
    </row>
    <row r="136" spans="1:29" s="4" customFormat="1" ht="14.5">
      <c r="A136" s="70"/>
      <c r="B136" s="510">
        <v>464</v>
      </c>
      <c r="C136" s="66" t="s">
        <v>429</v>
      </c>
      <c r="D136" s="76" t="s">
        <v>1475</v>
      </c>
      <c r="E136" s="68">
        <v>436</v>
      </c>
      <c r="F136" s="68">
        <v>0</v>
      </c>
      <c r="G136" s="78">
        <v>69</v>
      </c>
      <c r="H136" s="78">
        <v>46</v>
      </c>
      <c r="I136" s="78">
        <v>48</v>
      </c>
      <c r="J136" s="78">
        <v>50</v>
      </c>
      <c r="K136" s="78">
        <v>51</v>
      </c>
      <c r="L136" s="78">
        <v>53</v>
      </c>
      <c r="M136" s="78">
        <v>53</v>
      </c>
      <c r="N136" s="78">
        <v>36</v>
      </c>
      <c r="O136" s="78">
        <v>30</v>
      </c>
      <c r="P136" s="78">
        <v>0</v>
      </c>
      <c r="Q136" s="78">
        <v>0</v>
      </c>
      <c r="R136" s="78">
        <v>0</v>
      </c>
      <c r="S136" s="78">
        <v>0</v>
      </c>
      <c r="U136" s="639">
        <f t="shared" si="26"/>
        <v>0</v>
      </c>
      <c r="V136" s="639">
        <f t="shared" si="27"/>
        <v>69</v>
      </c>
      <c r="W136" s="639">
        <f t="shared" si="28"/>
        <v>144</v>
      </c>
      <c r="X136" s="639">
        <f t="shared" si="29"/>
        <v>157</v>
      </c>
      <c r="Y136" s="639">
        <f t="shared" si="30"/>
        <v>66</v>
      </c>
      <c r="Z136" s="639">
        <f t="shared" si="31"/>
        <v>0</v>
      </c>
      <c r="AA136" s="639">
        <f t="shared" si="32"/>
        <v>273</v>
      </c>
      <c r="AB136" s="639">
        <f t="shared" si="33"/>
        <v>367</v>
      </c>
      <c r="AC136" s="639">
        <f t="shared" si="34"/>
        <v>436</v>
      </c>
    </row>
    <row r="137" spans="1:29" s="4" customFormat="1" ht="14.5">
      <c r="A137" s="70"/>
      <c r="B137" s="510">
        <v>465</v>
      </c>
      <c r="C137" s="66" t="s">
        <v>430</v>
      </c>
      <c r="D137" s="76" t="s">
        <v>1475</v>
      </c>
      <c r="E137" s="68">
        <v>247</v>
      </c>
      <c r="F137" s="68">
        <v>0</v>
      </c>
      <c r="G137" s="78">
        <v>24</v>
      </c>
      <c r="H137" s="78">
        <v>21</v>
      </c>
      <c r="I137" s="78">
        <v>23</v>
      </c>
      <c r="J137" s="78">
        <v>26</v>
      </c>
      <c r="K137" s="78">
        <v>25</v>
      </c>
      <c r="L137" s="78">
        <v>21</v>
      </c>
      <c r="M137" s="78">
        <v>20</v>
      </c>
      <c r="N137" s="78">
        <v>14</v>
      </c>
      <c r="O137" s="78">
        <v>20</v>
      </c>
      <c r="P137" s="68">
        <v>16</v>
      </c>
      <c r="Q137" s="68">
        <v>13</v>
      </c>
      <c r="R137" s="68">
        <v>15</v>
      </c>
      <c r="S137" s="68">
        <v>9</v>
      </c>
      <c r="U137" s="639">
        <f t="shared" si="26"/>
        <v>0</v>
      </c>
      <c r="V137" s="639">
        <f t="shared" si="27"/>
        <v>24</v>
      </c>
      <c r="W137" s="639">
        <f t="shared" si="28"/>
        <v>70</v>
      </c>
      <c r="X137" s="639">
        <f t="shared" si="29"/>
        <v>66</v>
      </c>
      <c r="Y137" s="639">
        <f t="shared" si="30"/>
        <v>34</v>
      </c>
      <c r="Z137" s="639">
        <f t="shared" si="31"/>
        <v>53</v>
      </c>
      <c r="AA137" s="639">
        <f t="shared" si="32"/>
        <v>155</v>
      </c>
      <c r="AB137" s="639">
        <f t="shared" si="33"/>
        <v>223</v>
      </c>
      <c r="AC137" s="639">
        <f t="shared" si="34"/>
        <v>247</v>
      </c>
    </row>
    <row r="138" spans="1:29" s="4" customFormat="1" ht="14.5">
      <c r="A138" s="70"/>
      <c r="B138" s="510">
        <v>466</v>
      </c>
      <c r="C138" s="66" t="s">
        <v>431</v>
      </c>
      <c r="D138" s="76" t="s">
        <v>1475</v>
      </c>
      <c r="E138" s="68">
        <v>449</v>
      </c>
      <c r="F138" s="68">
        <v>0</v>
      </c>
      <c r="G138" s="78">
        <v>0</v>
      </c>
      <c r="H138" s="78">
        <v>0</v>
      </c>
      <c r="I138" s="78">
        <v>0</v>
      </c>
      <c r="J138" s="78">
        <v>0</v>
      </c>
      <c r="K138" s="78">
        <v>0</v>
      </c>
      <c r="L138" s="78">
        <v>0</v>
      </c>
      <c r="M138" s="78">
        <v>0</v>
      </c>
      <c r="N138" s="78">
        <v>0</v>
      </c>
      <c r="O138" s="78">
        <v>0</v>
      </c>
      <c r="P138" s="78">
        <v>59</v>
      </c>
      <c r="Q138" s="78">
        <v>80</v>
      </c>
      <c r="R138" s="78">
        <v>109</v>
      </c>
      <c r="S138" s="78">
        <v>201</v>
      </c>
      <c r="U138" s="639">
        <f t="shared" ref="U138:U163" si="35">F138</f>
        <v>0</v>
      </c>
      <c r="V138" s="639">
        <f t="shared" ref="V138:V163" si="36">G138</f>
        <v>0</v>
      </c>
      <c r="W138" s="639">
        <f t="shared" ref="W138:W163" si="37">SUM(H138:J138)</f>
        <v>0</v>
      </c>
      <c r="X138" s="639">
        <f t="shared" ref="X138:X163" si="38">SUM(K138:M138)</f>
        <v>0</v>
      </c>
      <c r="Y138" s="639">
        <f t="shared" ref="Y138:Y163" si="39">SUM(N138:O138)</f>
        <v>0</v>
      </c>
      <c r="Z138" s="639">
        <f t="shared" ref="Z138:Z163" si="40">SUM(P138:S138)</f>
        <v>449</v>
      </c>
      <c r="AA138" s="639">
        <f t="shared" ref="AA138:AA163" si="41">SUM(J138:Q138)</f>
        <v>139</v>
      </c>
      <c r="AB138" s="639">
        <f t="shared" ref="AB138:AB163" si="42">SUM(W138:Z138)</f>
        <v>449</v>
      </c>
      <c r="AC138" s="639">
        <f t="shared" ref="AC138:AC163" si="43">SUM(G138:S138)</f>
        <v>449</v>
      </c>
    </row>
    <row r="139" spans="1:29" s="4" customFormat="1" ht="14.5">
      <c r="A139" s="70"/>
      <c r="B139" s="510">
        <v>468</v>
      </c>
      <c r="C139" s="66" t="s">
        <v>432</v>
      </c>
      <c r="D139" s="76" t="s">
        <v>1475</v>
      </c>
      <c r="E139" s="68">
        <v>262</v>
      </c>
      <c r="F139" s="68">
        <v>0</v>
      </c>
      <c r="G139" s="68">
        <v>0</v>
      </c>
      <c r="H139" s="68">
        <v>0</v>
      </c>
      <c r="I139" s="68">
        <v>0</v>
      </c>
      <c r="J139" s="68">
        <v>0</v>
      </c>
      <c r="K139" s="68">
        <v>17</v>
      </c>
      <c r="L139" s="68">
        <v>38</v>
      </c>
      <c r="M139" s="68">
        <v>51</v>
      </c>
      <c r="N139" s="68">
        <v>81</v>
      </c>
      <c r="O139" s="68">
        <v>75</v>
      </c>
      <c r="P139" s="78">
        <v>0</v>
      </c>
      <c r="Q139" s="78">
        <v>0</v>
      </c>
      <c r="R139" s="78">
        <v>0</v>
      </c>
      <c r="S139" s="78">
        <v>0</v>
      </c>
      <c r="U139" s="639">
        <f t="shared" si="35"/>
        <v>0</v>
      </c>
      <c r="V139" s="639">
        <f t="shared" si="36"/>
        <v>0</v>
      </c>
      <c r="W139" s="639">
        <f t="shared" si="37"/>
        <v>0</v>
      </c>
      <c r="X139" s="639">
        <f t="shared" si="38"/>
        <v>106</v>
      </c>
      <c r="Y139" s="639">
        <f t="shared" si="39"/>
        <v>156</v>
      </c>
      <c r="Z139" s="639">
        <f t="shared" si="40"/>
        <v>0</v>
      </c>
      <c r="AA139" s="639">
        <f t="shared" si="41"/>
        <v>262</v>
      </c>
      <c r="AB139" s="639">
        <f t="shared" si="42"/>
        <v>262</v>
      </c>
      <c r="AC139" s="639">
        <f t="shared" si="43"/>
        <v>262</v>
      </c>
    </row>
    <row r="140" spans="1:29" s="4" customFormat="1" ht="14.5">
      <c r="A140" s="70"/>
      <c r="B140" s="510">
        <v>469</v>
      </c>
      <c r="C140" s="66" t="s">
        <v>433</v>
      </c>
      <c r="D140" s="76" t="s">
        <v>1475</v>
      </c>
      <c r="E140" s="68">
        <v>240</v>
      </c>
      <c r="F140" s="68">
        <v>0</v>
      </c>
      <c r="G140" s="68">
        <v>0</v>
      </c>
      <c r="H140" s="68">
        <v>0</v>
      </c>
      <c r="I140" s="68">
        <v>0</v>
      </c>
      <c r="J140" s="68">
        <v>0</v>
      </c>
      <c r="K140" s="78">
        <v>0</v>
      </c>
      <c r="L140" s="78">
        <v>0</v>
      </c>
      <c r="M140" s="78">
        <v>4</v>
      </c>
      <c r="N140" s="78">
        <v>26</v>
      </c>
      <c r="O140" s="78">
        <v>27</v>
      </c>
      <c r="P140" s="68">
        <v>36</v>
      </c>
      <c r="Q140" s="68">
        <v>49</v>
      </c>
      <c r="R140" s="68">
        <v>48</v>
      </c>
      <c r="S140" s="68">
        <v>50</v>
      </c>
      <c r="U140" s="639">
        <f t="shared" si="35"/>
        <v>0</v>
      </c>
      <c r="V140" s="639">
        <f t="shared" si="36"/>
        <v>0</v>
      </c>
      <c r="W140" s="639">
        <f t="shared" si="37"/>
        <v>0</v>
      </c>
      <c r="X140" s="639">
        <f t="shared" si="38"/>
        <v>4</v>
      </c>
      <c r="Y140" s="639">
        <f t="shared" si="39"/>
        <v>53</v>
      </c>
      <c r="Z140" s="639">
        <f t="shared" si="40"/>
        <v>183</v>
      </c>
      <c r="AA140" s="639">
        <f t="shared" si="41"/>
        <v>142</v>
      </c>
      <c r="AB140" s="639">
        <f t="shared" si="42"/>
        <v>240</v>
      </c>
      <c r="AC140" s="639">
        <f t="shared" si="43"/>
        <v>240</v>
      </c>
    </row>
    <row r="141" spans="1:29" s="4" customFormat="1" ht="14.5">
      <c r="A141" s="70"/>
      <c r="B141" s="510">
        <v>470</v>
      </c>
      <c r="C141" s="66" t="s">
        <v>434</v>
      </c>
      <c r="D141" s="76" t="s">
        <v>1475</v>
      </c>
      <c r="E141" s="68">
        <v>244</v>
      </c>
      <c r="F141" s="68">
        <v>0</v>
      </c>
      <c r="G141" s="68">
        <v>0</v>
      </c>
      <c r="H141" s="68">
        <v>0</v>
      </c>
      <c r="I141" s="68">
        <v>0</v>
      </c>
      <c r="J141" s="68">
        <v>0</v>
      </c>
      <c r="K141" s="68">
        <v>0</v>
      </c>
      <c r="L141" s="68">
        <v>0</v>
      </c>
      <c r="M141" s="68">
        <v>0</v>
      </c>
      <c r="N141" s="68">
        <v>0</v>
      </c>
      <c r="O141" s="68">
        <v>0</v>
      </c>
      <c r="P141" s="68">
        <v>2</v>
      </c>
      <c r="Q141" s="68">
        <v>15</v>
      </c>
      <c r="R141" s="68">
        <v>73</v>
      </c>
      <c r="S141" s="68">
        <v>154</v>
      </c>
      <c r="U141" s="639">
        <f t="shared" si="35"/>
        <v>0</v>
      </c>
      <c r="V141" s="639">
        <f t="shared" si="36"/>
        <v>0</v>
      </c>
      <c r="W141" s="639">
        <f t="shared" si="37"/>
        <v>0</v>
      </c>
      <c r="X141" s="639">
        <f t="shared" si="38"/>
        <v>0</v>
      </c>
      <c r="Y141" s="639">
        <f t="shared" si="39"/>
        <v>0</v>
      </c>
      <c r="Z141" s="639">
        <f t="shared" si="40"/>
        <v>244</v>
      </c>
      <c r="AA141" s="639">
        <f t="shared" si="41"/>
        <v>17</v>
      </c>
      <c r="AB141" s="639">
        <f t="shared" si="42"/>
        <v>244</v>
      </c>
      <c r="AC141" s="639">
        <f t="shared" si="43"/>
        <v>244</v>
      </c>
    </row>
    <row r="142" spans="1:29" s="4" customFormat="1" ht="14.5">
      <c r="A142" s="70"/>
      <c r="B142" s="510">
        <v>472</v>
      </c>
      <c r="C142" s="66" t="s">
        <v>435</v>
      </c>
      <c r="D142" s="76" t="s">
        <v>1475</v>
      </c>
      <c r="E142" s="68">
        <v>168</v>
      </c>
      <c r="F142" s="68">
        <v>0</v>
      </c>
      <c r="G142" s="68">
        <v>21</v>
      </c>
      <c r="H142" s="68">
        <v>21</v>
      </c>
      <c r="I142" s="68">
        <v>21</v>
      </c>
      <c r="J142" s="68">
        <v>14</v>
      </c>
      <c r="K142" s="68">
        <v>22</v>
      </c>
      <c r="L142" s="68">
        <v>22</v>
      </c>
      <c r="M142" s="68">
        <v>19</v>
      </c>
      <c r="N142" s="68">
        <v>15</v>
      </c>
      <c r="O142" s="68">
        <v>13</v>
      </c>
      <c r="P142" s="78">
        <v>0</v>
      </c>
      <c r="Q142" s="78">
        <v>0</v>
      </c>
      <c r="R142" s="78">
        <v>0</v>
      </c>
      <c r="S142" s="78">
        <v>0</v>
      </c>
      <c r="U142" s="639">
        <f t="shared" si="35"/>
        <v>0</v>
      </c>
      <c r="V142" s="639">
        <f t="shared" si="36"/>
        <v>21</v>
      </c>
      <c r="W142" s="639">
        <f t="shared" si="37"/>
        <v>56</v>
      </c>
      <c r="X142" s="639">
        <f t="shared" si="38"/>
        <v>63</v>
      </c>
      <c r="Y142" s="639">
        <f t="shared" si="39"/>
        <v>28</v>
      </c>
      <c r="Z142" s="639">
        <f t="shared" si="40"/>
        <v>0</v>
      </c>
      <c r="AA142" s="639">
        <f t="shared" si="41"/>
        <v>105</v>
      </c>
      <c r="AB142" s="639">
        <f t="shared" si="42"/>
        <v>147</v>
      </c>
      <c r="AC142" s="639">
        <f t="shared" si="43"/>
        <v>168</v>
      </c>
    </row>
    <row r="143" spans="1:29" s="4" customFormat="1" ht="14.5">
      <c r="A143" s="70"/>
      <c r="B143" s="510">
        <v>473</v>
      </c>
      <c r="C143" s="66" t="s">
        <v>436</v>
      </c>
      <c r="D143" s="76" t="s">
        <v>1475</v>
      </c>
      <c r="E143" s="68">
        <v>324</v>
      </c>
      <c r="F143" s="68">
        <v>0</v>
      </c>
      <c r="G143" s="78">
        <v>48</v>
      </c>
      <c r="H143" s="78">
        <v>42</v>
      </c>
      <c r="I143" s="78">
        <v>43</v>
      </c>
      <c r="J143" s="78">
        <v>47</v>
      </c>
      <c r="K143" s="78">
        <v>40</v>
      </c>
      <c r="L143" s="78">
        <v>31</v>
      </c>
      <c r="M143" s="78">
        <v>29</v>
      </c>
      <c r="N143" s="78">
        <v>21</v>
      </c>
      <c r="O143" s="78">
        <v>23</v>
      </c>
      <c r="P143" s="68">
        <v>0</v>
      </c>
      <c r="Q143" s="68">
        <v>0</v>
      </c>
      <c r="R143" s="68">
        <v>0</v>
      </c>
      <c r="S143" s="68">
        <v>0</v>
      </c>
      <c r="U143" s="639">
        <f t="shared" si="35"/>
        <v>0</v>
      </c>
      <c r="V143" s="639">
        <f t="shared" si="36"/>
        <v>48</v>
      </c>
      <c r="W143" s="639">
        <f t="shared" si="37"/>
        <v>132</v>
      </c>
      <c r="X143" s="639">
        <f t="shared" si="38"/>
        <v>100</v>
      </c>
      <c r="Y143" s="639">
        <f t="shared" si="39"/>
        <v>44</v>
      </c>
      <c r="Z143" s="639">
        <f t="shared" si="40"/>
        <v>0</v>
      </c>
      <c r="AA143" s="639">
        <f t="shared" si="41"/>
        <v>191</v>
      </c>
      <c r="AB143" s="639">
        <f t="shared" si="42"/>
        <v>276</v>
      </c>
      <c r="AC143" s="639">
        <f t="shared" si="43"/>
        <v>324</v>
      </c>
    </row>
    <row r="144" spans="1:29" s="4" customFormat="1" ht="14.5">
      <c r="A144" s="70"/>
      <c r="B144" s="510">
        <v>474</v>
      </c>
      <c r="C144" s="66" t="s">
        <v>437</v>
      </c>
      <c r="D144" s="76" t="s">
        <v>1475</v>
      </c>
      <c r="E144" s="68">
        <v>205</v>
      </c>
      <c r="F144" s="68">
        <v>0</v>
      </c>
      <c r="G144" s="78">
        <v>28</v>
      </c>
      <c r="H144" s="78">
        <v>33</v>
      </c>
      <c r="I144" s="78">
        <v>40</v>
      </c>
      <c r="J144" s="78">
        <v>26</v>
      </c>
      <c r="K144" s="78">
        <v>31</v>
      </c>
      <c r="L144" s="78">
        <v>31</v>
      </c>
      <c r="M144" s="78">
        <v>16</v>
      </c>
      <c r="N144" s="78">
        <v>0</v>
      </c>
      <c r="O144" s="78">
        <v>0</v>
      </c>
      <c r="P144" s="68">
        <v>0</v>
      </c>
      <c r="Q144" s="68">
        <v>0</v>
      </c>
      <c r="R144" s="68">
        <v>0</v>
      </c>
      <c r="S144" s="68">
        <v>0</v>
      </c>
      <c r="U144" s="639">
        <f t="shared" si="35"/>
        <v>0</v>
      </c>
      <c r="V144" s="639">
        <f t="shared" si="36"/>
        <v>28</v>
      </c>
      <c r="W144" s="639">
        <f t="shared" si="37"/>
        <v>99</v>
      </c>
      <c r="X144" s="639">
        <f t="shared" si="38"/>
        <v>78</v>
      </c>
      <c r="Y144" s="639">
        <f t="shared" si="39"/>
        <v>0</v>
      </c>
      <c r="Z144" s="639">
        <f t="shared" si="40"/>
        <v>0</v>
      </c>
      <c r="AA144" s="639">
        <f t="shared" si="41"/>
        <v>104</v>
      </c>
      <c r="AB144" s="639">
        <f t="shared" si="42"/>
        <v>177</v>
      </c>
      <c r="AC144" s="639">
        <f t="shared" si="43"/>
        <v>205</v>
      </c>
    </row>
    <row r="145" spans="1:29" s="4" customFormat="1" ht="14.5">
      <c r="A145" s="70"/>
      <c r="B145" s="510">
        <v>475</v>
      </c>
      <c r="C145" s="66" t="s">
        <v>438</v>
      </c>
      <c r="D145" s="76" t="s">
        <v>1475</v>
      </c>
      <c r="E145" s="68">
        <v>920</v>
      </c>
      <c r="F145" s="68">
        <v>0</v>
      </c>
      <c r="G145" s="78">
        <v>66</v>
      </c>
      <c r="H145" s="78">
        <v>66</v>
      </c>
      <c r="I145" s="78">
        <v>72</v>
      </c>
      <c r="J145" s="78">
        <v>78</v>
      </c>
      <c r="K145" s="78">
        <v>78</v>
      </c>
      <c r="L145" s="78">
        <v>84</v>
      </c>
      <c r="M145" s="78">
        <v>89</v>
      </c>
      <c r="N145" s="68">
        <v>90</v>
      </c>
      <c r="O145" s="68">
        <v>85</v>
      </c>
      <c r="P145" s="68">
        <v>84</v>
      </c>
      <c r="Q145" s="68">
        <v>79</v>
      </c>
      <c r="R145" s="68">
        <v>34</v>
      </c>
      <c r="S145" s="68">
        <v>15</v>
      </c>
      <c r="U145" s="639">
        <f t="shared" si="35"/>
        <v>0</v>
      </c>
      <c r="V145" s="639">
        <f t="shared" si="36"/>
        <v>66</v>
      </c>
      <c r="W145" s="639">
        <f t="shared" si="37"/>
        <v>216</v>
      </c>
      <c r="X145" s="639">
        <f t="shared" si="38"/>
        <v>251</v>
      </c>
      <c r="Y145" s="639">
        <f t="shared" si="39"/>
        <v>175</v>
      </c>
      <c r="Z145" s="639">
        <f t="shared" si="40"/>
        <v>212</v>
      </c>
      <c r="AA145" s="639">
        <f t="shared" si="41"/>
        <v>667</v>
      </c>
      <c r="AB145" s="639">
        <f t="shared" si="42"/>
        <v>854</v>
      </c>
      <c r="AC145" s="639">
        <f t="shared" si="43"/>
        <v>920</v>
      </c>
    </row>
    <row r="146" spans="1:29" s="4" customFormat="1" ht="14.5">
      <c r="A146" s="70"/>
      <c r="B146" s="510">
        <v>476</v>
      </c>
      <c r="C146" s="66" t="s">
        <v>439</v>
      </c>
      <c r="D146" s="76" t="s">
        <v>1475</v>
      </c>
      <c r="E146" s="68">
        <v>407</v>
      </c>
      <c r="F146" s="68">
        <v>0</v>
      </c>
      <c r="G146" s="78">
        <v>4</v>
      </c>
      <c r="H146" s="78">
        <v>9</v>
      </c>
      <c r="I146" s="78">
        <v>11</v>
      </c>
      <c r="J146" s="78">
        <v>7</v>
      </c>
      <c r="K146" s="78">
        <v>14</v>
      </c>
      <c r="L146" s="78">
        <v>19</v>
      </c>
      <c r="M146" s="78">
        <v>17</v>
      </c>
      <c r="N146" s="78">
        <v>44</v>
      </c>
      <c r="O146" s="78">
        <v>42</v>
      </c>
      <c r="P146" s="78">
        <v>71</v>
      </c>
      <c r="Q146" s="78">
        <v>68</v>
      </c>
      <c r="R146" s="78">
        <v>51</v>
      </c>
      <c r="S146" s="68">
        <v>50</v>
      </c>
      <c r="U146" s="639">
        <f t="shared" si="35"/>
        <v>0</v>
      </c>
      <c r="V146" s="639">
        <f t="shared" si="36"/>
        <v>4</v>
      </c>
      <c r="W146" s="639">
        <f t="shared" si="37"/>
        <v>27</v>
      </c>
      <c r="X146" s="639">
        <f t="shared" si="38"/>
        <v>50</v>
      </c>
      <c r="Y146" s="639">
        <f t="shared" si="39"/>
        <v>86</v>
      </c>
      <c r="Z146" s="639">
        <f t="shared" si="40"/>
        <v>240</v>
      </c>
      <c r="AA146" s="639">
        <f t="shared" si="41"/>
        <v>282</v>
      </c>
      <c r="AB146" s="639">
        <f t="shared" si="42"/>
        <v>403</v>
      </c>
      <c r="AC146" s="639">
        <f t="shared" si="43"/>
        <v>407</v>
      </c>
    </row>
    <row r="147" spans="1:29" s="4" customFormat="1" ht="14.5">
      <c r="A147" s="70"/>
      <c r="B147" s="510">
        <v>477</v>
      </c>
      <c r="C147" s="66" t="s">
        <v>440</v>
      </c>
      <c r="D147" s="76" t="s">
        <v>1475</v>
      </c>
      <c r="E147" s="68">
        <v>501</v>
      </c>
      <c r="F147" s="68">
        <v>0</v>
      </c>
      <c r="G147" s="78">
        <v>85</v>
      </c>
      <c r="H147" s="78">
        <v>93</v>
      </c>
      <c r="I147" s="78">
        <v>68</v>
      </c>
      <c r="J147" s="78">
        <v>67</v>
      </c>
      <c r="K147" s="78">
        <v>64</v>
      </c>
      <c r="L147" s="78">
        <v>45</v>
      </c>
      <c r="M147" s="78">
        <v>48</v>
      </c>
      <c r="N147" s="78">
        <v>20</v>
      </c>
      <c r="O147" s="78">
        <v>11</v>
      </c>
      <c r="P147" s="78">
        <v>0</v>
      </c>
      <c r="Q147" s="78">
        <v>0</v>
      </c>
      <c r="R147" s="78">
        <v>0</v>
      </c>
      <c r="S147" s="78">
        <v>0</v>
      </c>
      <c r="U147" s="639">
        <f t="shared" si="35"/>
        <v>0</v>
      </c>
      <c r="V147" s="639">
        <f t="shared" si="36"/>
        <v>85</v>
      </c>
      <c r="W147" s="639">
        <f t="shared" si="37"/>
        <v>228</v>
      </c>
      <c r="X147" s="639">
        <f t="shared" si="38"/>
        <v>157</v>
      </c>
      <c r="Y147" s="639">
        <f t="shared" si="39"/>
        <v>31</v>
      </c>
      <c r="Z147" s="639">
        <f t="shared" si="40"/>
        <v>0</v>
      </c>
      <c r="AA147" s="639">
        <f t="shared" si="41"/>
        <v>255</v>
      </c>
      <c r="AB147" s="639">
        <f t="shared" si="42"/>
        <v>416</v>
      </c>
      <c r="AC147" s="639">
        <f t="shared" si="43"/>
        <v>501</v>
      </c>
    </row>
    <row r="148" spans="1:29" s="4" customFormat="1" ht="14.5">
      <c r="A148" s="70"/>
      <c r="B148" s="510">
        <v>478</v>
      </c>
      <c r="C148" s="66" t="s">
        <v>441</v>
      </c>
      <c r="D148" s="76" t="s">
        <v>1475</v>
      </c>
      <c r="E148" s="68">
        <v>300</v>
      </c>
      <c r="F148" s="68">
        <v>0</v>
      </c>
      <c r="G148" s="78">
        <v>24</v>
      </c>
      <c r="H148" s="78">
        <v>28</v>
      </c>
      <c r="I148" s="78">
        <v>30</v>
      </c>
      <c r="J148" s="78">
        <v>30</v>
      </c>
      <c r="K148" s="78">
        <v>33</v>
      </c>
      <c r="L148" s="78">
        <v>33</v>
      </c>
      <c r="M148" s="68">
        <v>50</v>
      </c>
      <c r="N148" s="68">
        <v>41</v>
      </c>
      <c r="O148" s="68">
        <v>31</v>
      </c>
      <c r="P148" s="68">
        <v>0</v>
      </c>
      <c r="Q148" s="68">
        <v>0</v>
      </c>
      <c r="R148" s="68">
        <v>0</v>
      </c>
      <c r="S148" s="68">
        <v>0</v>
      </c>
      <c r="U148" s="639">
        <f t="shared" si="35"/>
        <v>0</v>
      </c>
      <c r="V148" s="639">
        <f t="shared" si="36"/>
        <v>24</v>
      </c>
      <c r="W148" s="639">
        <f t="shared" si="37"/>
        <v>88</v>
      </c>
      <c r="X148" s="639">
        <f t="shared" si="38"/>
        <v>116</v>
      </c>
      <c r="Y148" s="639">
        <f t="shared" si="39"/>
        <v>72</v>
      </c>
      <c r="Z148" s="639">
        <f t="shared" si="40"/>
        <v>0</v>
      </c>
      <c r="AA148" s="639">
        <f t="shared" si="41"/>
        <v>218</v>
      </c>
      <c r="AB148" s="639">
        <f t="shared" si="42"/>
        <v>276</v>
      </c>
      <c r="AC148" s="639">
        <f t="shared" si="43"/>
        <v>300</v>
      </c>
    </row>
    <row r="149" spans="1:29" s="4" customFormat="1" ht="14.5">
      <c r="A149" s="70"/>
      <c r="B149" s="510">
        <v>479</v>
      </c>
      <c r="C149" s="66" t="s">
        <v>442</v>
      </c>
      <c r="D149" s="76" t="s">
        <v>1475</v>
      </c>
      <c r="E149" s="68">
        <v>177</v>
      </c>
      <c r="F149" s="68">
        <v>0</v>
      </c>
      <c r="G149" s="78">
        <v>20</v>
      </c>
      <c r="H149" s="78">
        <v>21</v>
      </c>
      <c r="I149" s="78">
        <v>26</v>
      </c>
      <c r="J149" s="78">
        <v>20</v>
      </c>
      <c r="K149" s="78">
        <v>21</v>
      </c>
      <c r="L149" s="78">
        <v>23</v>
      </c>
      <c r="M149" s="78">
        <v>18</v>
      </c>
      <c r="N149" s="78">
        <v>10</v>
      </c>
      <c r="O149" s="78">
        <v>18</v>
      </c>
      <c r="P149" s="68">
        <v>0</v>
      </c>
      <c r="Q149" s="68">
        <v>0</v>
      </c>
      <c r="R149" s="68">
        <v>0</v>
      </c>
      <c r="S149" s="68">
        <v>0</v>
      </c>
      <c r="U149" s="639">
        <f t="shared" si="35"/>
        <v>0</v>
      </c>
      <c r="V149" s="639">
        <f t="shared" si="36"/>
        <v>20</v>
      </c>
      <c r="W149" s="639">
        <f t="shared" si="37"/>
        <v>67</v>
      </c>
      <c r="X149" s="639">
        <f t="shared" si="38"/>
        <v>62</v>
      </c>
      <c r="Y149" s="639">
        <f t="shared" si="39"/>
        <v>28</v>
      </c>
      <c r="Z149" s="639">
        <f t="shared" si="40"/>
        <v>0</v>
      </c>
      <c r="AA149" s="639">
        <f t="shared" si="41"/>
        <v>110</v>
      </c>
      <c r="AB149" s="639">
        <f t="shared" si="42"/>
        <v>157</v>
      </c>
      <c r="AC149" s="639">
        <f t="shared" si="43"/>
        <v>177</v>
      </c>
    </row>
    <row r="150" spans="1:29" s="4" customFormat="1" ht="14.5">
      <c r="A150" s="70"/>
      <c r="B150" s="510">
        <v>480</v>
      </c>
      <c r="C150" s="66" t="s">
        <v>443</v>
      </c>
      <c r="D150" s="76" t="s">
        <v>1475</v>
      </c>
      <c r="E150" s="68">
        <v>434</v>
      </c>
      <c r="F150" s="68">
        <v>0</v>
      </c>
      <c r="G150" s="101">
        <v>47</v>
      </c>
      <c r="H150" s="101">
        <v>48</v>
      </c>
      <c r="I150" s="101">
        <v>51</v>
      </c>
      <c r="J150" s="101">
        <v>55</v>
      </c>
      <c r="K150" s="101">
        <v>59</v>
      </c>
      <c r="L150" s="101">
        <v>53</v>
      </c>
      <c r="M150" s="101">
        <v>31</v>
      </c>
      <c r="N150" s="101">
        <v>32</v>
      </c>
      <c r="O150" s="101">
        <v>28</v>
      </c>
      <c r="P150" s="68">
        <v>16</v>
      </c>
      <c r="Q150" s="68">
        <v>14</v>
      </c>
      <c r="R150" s="68">
        <v>0</v>
      </c>
      <c r="S150" s="68">
        <v>0</v>
      </c>
      <c r="U150" s="639">
        <f t="shared" si="35"/>
        <v>0</v>
      </c>
      <c r="V150" s="639">
        <f t="shared" si="36"/>
        <v>47</v>
      </c>
      <c r="W150" s="639">
        <f t="shared" si="37"/>
        <v>154</v>
      </c>
      <c r="X150" s="639">
        <f t="shared" si="38"/>
        <v>143</v>
      </c>
      <c r="Y150" s="639">
        <f t="shared" si="39"/>
        <v>60</v>
      </c>
      <c r="Z150" s="639">
        <f t="shared" si="40"/>
        <v>30</v>
      </c>
      <c r="AA150" s="639">
        <f t="shared" si="41"/>
        <v>288</v>
      </c>
      <c r="AB150" s="639">
        <f t="shared" si="42"/>
        <v>387</v>
      </c>
      <c r="AC150" s="639">
        <f t="shared" si="43"/>
        <v>434</v>
      </c>
    </row>
    <row r="151" spans="1:29" s="4" customFormat="1" ht="14.5">
      <c r="A151" s="70"/>
      <c r="B151" s="510">
        <v>481</v>
      </c>
      <c r="C151" s="66" t="s">
        <v>444</v>
      </c>
      <c r="D151" s="76" t="s">
        <v>1475</v>
      </c>
      <c r="E151" s="68">
        <v>521</v>
      </c>
      <c r="F151" s="68">
        <v>0</v>
      </c>
      <c r="G151" s="78">
        <v>60</v>
      </c>
      <c r="H151" s="78">
        <v>59</v>
      </c>
      <c r="I151" s="78">
        <v>60</v>
      </c>
      <c r="J151" s="78">
        <v>59</v>
      </c>
      <c r="K151" s="78">
        <v>60</v>
      </c>
      <c r="L151" s="78">
        <v>59</v>
      </c>
      <c r="M151" s="78">
        <v>60</v>
      </c>
      <c r="N151" s="78">
        <v>56</v>
      </c>
      <c r="O151" s="78">
        <v>48</v>
      </c>
      <c r="P151" s="78">
        <v>0</v>
      </c>
      <c r="Q151" s="68">
        <v>0</v>
      </c>
      <c r="R151" s="68">
        <v>0</v>
      </c>
      <c r="S151" s="68">
        <v>0</v>
      </c>
      <c r="U151" s="639">
        <f t="shared" si="35"/>
        <v>0</v>
      </c>
      <c r="V151" s="639">
        <f t="shared" si="36"/>
        <v>60</v>
      </c>
      <c r="W151" s="639">
        <f t="shared" si="37"/>
        <v>178</v>
      </c>
      <c r="X151" s="639">
        <f t="shared" si="38"/>
        <v>179</v>
      </c>
      <c r="Y151" s="639">
        <f t="shared" si="39"/>
        <v>104</v>
      </c>
      <c r="Z151" s="639">
        <f t="shared" si="40"/>
        <v>0</v>
      </c>
      <c r="AA151" s="639">
        <f t="shared" si="41"/>
        <v>342</v>
      </c>
      <c r="AB151" s="639">
        <f t="shared" si="42"/>
        <v>461</v>
      </c>
      <c r="AC151" s="639">
        <f t="shared" si="43"/>
        <v>521</v>
      </c>
    </row>
    <row r="152" spans="1:29" s="4" customFormat="1" ht="14.5">
      <c r="A152" s="70"/>
      <c r="B152" s="510">
        <v>482</v>
      </c>
      <c r="C152" s="66" t="s">
        <v>445</v>
      </c>
      <c r="D152" s="76" t="s">
        <v>1475</v>
      </c>
      <c r="E152" s="68">
        <v>260</v>
      </c>
      <c r="F152" s="68">
        <v>0</v>
      </c>
      <c r="G152" s="78">
        <v>24</v>
      </c>
      <c r="H152" s="78">
        <v>25</v>
      </c>
      <c r="I152" s="78">
        <v>26</v>
      </c>
      <c r="J152" s="78">
        <v>26</v>
      </c>
      <c r="K152" s="78">
        <v>28</v>
      </c>
      <c r="L152" s="78">
        <v>29</v>
      </c>
      <c r="M152" s="78">
        <v>28</v>
      </c>
      <c r="N152" s="78">
        <v>30</v>
      </c>
      <c r="O152" s="78">
        <v>21</v>
      </c>
      <c r="P152" s="68">
        <v>12</v>
      </c>
      <c r="Q152" s="68">
        <v>11</v>
      </c>
      <c r="R152" s="68">
        <v>0</v>
      </c>
      <c r="S152" s="68">
        <v>0</v>
      </c>
      <c r="U152" s="639">
        <f t="shared" si="35"/>
        <v>0</v>
      </c>
      <c r="V152" s="639">
        <f t="shared" si="36"/>
        <v>24</v>
      </c>
      <c r="W152" s="639">
        <f t="shared" si="37"/>
        <v>77</v>
      </c>
      <c r="X152" s="639">
        <f t="shared" si="38"/>
        <v>85</v>
      </c>
      <c r="Y152" s="639">
        <f t="shared" si="39"/>
        <v>51</v>
      </c>
      <c r="Z152" s="639">
        <f t="shared" si="40"/>
        <v>23</v>
      </c>
      <c r="AA152" s="639">
        <f t="shared" si="41"/>
        <v>185</v>
      </c>
      <c r="AB152" s="639">
        <f t="shared" si="42"/>
        <v>236</v>
      </c>
      <c r="AC152" s="639">
        <f t="shared" si="43"/>
        <v>260</v>
      </c>
    </row>
    <row r="153" spans="1:29" s="4" customFormat="1" ht="14.5">
      <c r="A153" s="70"/>
      <c r="B153" s="510">
        <v>483</v>
      </c>
      <c r="C153" s="66" t="s">
        <v>446</v>
      </c>
      <c r="D153" s="76" t="s">
        <v>1475</v>
      </c>
      <c r="E153" s="68">
        <v>96</v>
      </c>
      <c r="F153" s="68">
        <v>0</v>
      </c>
      <c r="G153" s="78">
        <v>17</v>
      </c>
      <c r="H153" s="78">
        <v>13</v>
      </c>
      <c r="I153" s="78">
        <v>18</v>
      </c>
      <c r="J153" s="78">
        <v>15</v>
      </c>
      <c r="K153" s="78">
        <v>13</v>
      </c>
      <c r="L153" s="78">
        <v>12</v>
      </c>
      <c r="M153" s="78">
        <v>8</v>
      </c>
      <c r="N153" s="78">
        <v>0</v>
      </c>
      <c r="O153" s="78">
        <v>0</v>
      </c>
      <c r="P153" s="78">
        <v>0</v>
      </c>
      <c r="Q153" s="68">
        <v>0</v>
      </c>
      <c r="R153" s="68">
        <v>0</v>
      </c>
      <c r="S153" s="68">
        <v>0</v>
      </c>
      <c r="U153" s="639">
        <f t="shared" si="35"/>
        <v>0</v>
      </c>
      <c r="V153" s="639">
        <f t="shared" si="36"/>
        <v>17</v>
      </c>
      <c r="W153" s="639">
        <f t="shared" si="37"/>
        <v>46</v>
      </c>
      <c r="X153" s="639">
        <f t="shared" si="38"/>
        <v>33</v>
      </c>
      <c r="Y153" s="639">
        <f t="shared" si="39"/>
        <v>0</v>
      </c>
      <c r="Z153" s="639">
        <f t="shared" si="40"/>
        <v>0</v>
      </c>
      <c r="AA153" s="639">
        <f t="shared" si="41"/>
        <v>48</v>
      </c>
      <c r="AB153" s="639">
        <f t="shared" si="42"/>
        <v>79</v>
      </c>
      <c r="AC153" s="639">
        <f t="shared" si="43"/>
        <v>96</v>
      </c>
    </row>
    <row r="154" spans="1:29" s="4" customFormat="1" ht="14.5">
      <c r="A154" s="70"/>
      <c r="B154" s="510">
        <v>485</v>
      </c>
      <c r="C154" s="66" t="s">
        <v>447</v>
      </c>
      <c r="D154" s="76" t="s">
        <v>1475</v>
      </c>
      <c r="E154" s="68">
        <v>79</v>
      </c>
      <c r="F154" s="68">
        <v>0</v>
      </c>
      <c r="G154" s="78">
        <v>0</v>
      </c>
      <c r="H154" s="78">
        <v>0</v>
      </c>
      <c r="I154" s="78">
        <v>0</v>
      </c>
      <c r="J154" s="78">
        <v>0</v>
      </c>
      <c r="K154" s="78">
        <v>0</v>
      </c>
      <c r="L154" s="78">
        <v>0</v>
      </c>
      <c r="M154" s="78">
        <v>0</v>
      </c>
      <c r="N154" s="68">
        <v>0</v>
      </c>
      <c r="O154" s="68">
        <v>0</v>
      </c>
      <c r="P154" s="68">
        <v>25</v>
      </c>
      <c r="Q154" s="68">
        <v>35</v>
      </c>
      <c r="R154" s="68">
        <v>19</v>
      </c>
      <c r="S154" s="68">
        <v>0</v>
      </c>
      <c r="U154" s="639">
        <f t="shared" si="35"/>
        <v>0</v>
      </c>
      <c r="V154" s="639">
        <f t="shared" si="36"/>
        <v>0</v>
      </c>
      <c r="W154" s="639">
        <f t="shared" si="37"/>
        <v>0</v>
      </c>
      <c r="X154" s="639">
        <f t="shared" si="38"/>
        <v>0</v>
      </c>
      <c r="Y154" s="639">
        <f t="shared" si="39"/>
        <v>0</v>
      </c>
      <c r="Z154" s="639">
        <f t="shared" si="40"/>
        <v>79</v>
      </c>
      <c r="AA154" s="639">
        <f t="shared" si="41"/>
        <v>60</v>
      </c>
      <c r="AB154" s="639">
        <f t="shared" si="42"/>
        <v>79</v>
      </c>
      <c r="AC154" s="639">
        <f t="shared" si="43"/>
        <v>79</v>
      </c>
    </row>
    <row r="155" spans="1:29" s="4" customFormat="1" ht="14.5">
      <c r="A155" s="71"/>
      <c r="B155" s="510">
        <v>486</v>
      </c>
      <c r="C155" s="513" t="s">
        <v>448</v>
      </c>
      <c r="D155" s="67" t="s">
        <v>1475</v>
      </c>
      <c r="E155" s="68">
        <v>104</v>
      </c>
      <c r="F155" s="68">
        <v>0</v>
      </c>
      <c r="G155" s="68">
        <v>10</v>
      </c>
      <c r="H155" s="68">
        <v>10</v>
      </c>
      <c r="I155" s="68">
        <v>10</v>
      </c>
      <c r="J155" s="68">
        <v>11</v>
      </c>
      <c r="K155" s="68">
        <v>10</v>
      </c>
      <c r="L155" s="68">
        <v>11</v>
      </c>
      <c r="M155" s="68">
        <v>7</v>
      </c>
      <c r="N155" s="68">
        <v>9</v>
      </c>
      <c r="O155" s="68">
        <v>10</v>
      </c>
      <c r="P155" s="78">
        <v>14</v>
      </c>
      <c r="Q155" s="78">
        <v>2</v>
      </c>
      <c r="R155" s="68">
        <v>0</v>
      </c>
      <c r="S155" s="68">
        <v>0</v>
      </c>
      <c r="U155" s="639">
        <f t="shared" si="35"/>
        <v>0</v>
      </c>
      <c r="V155" s="639">
        <f t="shared" si="36"/>
        <v>10</v>
      </c>
      <c r="W155" s="639">
        <f t="shared" si="37"/>
        <v>31</v>
      </c>
      <c r="X155" s="639">
        <f t="shared" si="38"/>
        <v>28</v>
      </c>
      <c r="Y155" s="639">
        <f t="shared" si="39"/>
        <v>19</v>
      </c>
      <c r="Z155" s="639">
        <f t="shared" si="40"/>
        <v>16</v>
      </c>
      <c r="AA155" s="639">
        <f t="shared" si="41"/>
        <v>74</v>
      </c>
      <c r="AB155" s="639">
        <f t="shared" si="42"/>
        <v>94</v>
      </c>
      <c r="AC155" s="639">
        <f t="shared" si="43"/>
        <v>104</v>
      </c>
    </row>
    <row r="156" spans="1:29" s="4" customFormat="1" ht="14.5">
      <c r="A156" s="71"/>
      <c r="B156" s="510">
        <v>487</v>
      </c>
      <c r="C156" s="513" t="s">
        <v>449</v>
      </c>
      <c r="D156" s="67" t="s">
        <v>1475</v>
      </c>
      <c r="E156" s="77">
        <v>339</v>
      </c>
      <c r="F156" s="77">
        <v>0</v>
      </c>
      <c r="G156" s="78">
        <v>0</v>
      </c>
      <c r="H156" s="78">
        <v>0</v>
      </c>
      <c r="I156" s="78">
        <v>0</v>
      </c>
      <c r="J156" s="78">
        <v>0</v>
      </c>
      <c r="K156" s="78">
        <v>0</v>
      </c>
      <c r="L156" s="78">
        <v>0</v>
      </c>
      <c r="M156" s="78">
        <v>53</v>
      </c>
      <c r="N156" s="78">
        <v>52</v>
      </c>
      <c r="O156" s="78">
        <v>56</v>
      </c>
      <c r="P156" s="68">
        <v>60</v>
      </c>
      <c r="Q156" s="68">
        <v>40</v>
      </c>
      <c r="R156" s="68">
        <v>43</v>
      </c>
      <c r="S156" s="68">
        <v>35</v>
      </c>
      <c r="U156" s="639">
        <f t="shared" si="35"/>
        <v>0</v>
      </c>
      <c r="V156" s="639">
        <f t="shared" si="36"/>
        <v>0</v>
      </c>
      <c r="W156" s="639">
        <f t="shared" si="37"/>
        <v>0</v>
      </c>
      <c r="X156" s="639">
        <f t="shared" si="38"/>
        <v>53</v>
      </c>
      <c r="Y156" s="639">
        <f t="shared" si="39"/>
        <v>108</v>
      </c>
      <c r="Z156" s="639">
        <f t="shared" si="40"/>
        <v>178</v>
      </c>
      <c r="AA156" s="639">
        <f t="shared" si="41"/>
        <v>261</v>
      </c>
      <c r="AB156" s="639">
        <f t="shared" si="42"/>
        <v>339</v>
      </c>
      <c r="AC156" s="639">
        <f t="shared" si="43"/>
        <v>339</v>
      </c>
    </row>
    <row r="157" spans="1:29" s="4" customFormat="1" ht="14.5">
      <c r="A157" s="71"/>
      <c r="B157" s="510">
        <v>488</v>
      </c>
      <c r="C157" s="513" t="s">
        <v>450</v>
      </c>
      <c r="D157" s="67" t="s">
        <v>1475</v>
      </c>
      <c r="E157" s="68">
        <v>131</v>
      </c>
      <c r="F157" s="68">
        <v>0</v>
      </c>
      <c r="G157" s="68">
        <v>13</v>
      </c>
      <c r="H157" s="68">
        <v>24</v>
      </c>
      <c r="I157" s="68">
        <v>18</v>
      </c>
      <c r="J157" s="68">
        <v>18</v>
      </c>
      <c r="K157" s="68">
        <v>23</v>
      </c>
      <c r="L157" s="68">
        <v>23</v>
      </c>
      <c r="M157" s="78">
        <v>12</v>
      </c>
      <c r="N157" s="78">
        <v>0</v>
      </c>
      <c r="O157" s="78">
        <v>0</v>
      </c>
      <c r="P157" s="78">
        <v>0</v>
      </c>
      <c r="Q157" s="78">
        <v>0</v>
      </c>
      <c r="R157" s="78">
        <v>0</v>
      </c>
      <c r="S157" s="78">
        <v>0</v>
      </c>
      <c r="U157" s="639">
        <f t="shared" si="35"/>
        <v>0</v>
      </c>
      <c r="V157" s="639">
        <f t="shared" si="36"/>
        <v>13</v>
      </c>
      <c r="W157" s="639">
        <f t="shared" si="37"/>
        <v>60</v>
      </c>
      <c r="X157" s="639">
        <f t="shared" si="38"/>
        <v>58</v>
      </c>
      <c r="Y157" s="639">
        <f t="shared" si="39"/>
        <v>0</v>
      </c>
      <c r="Z157" s="639">
        <f t="shared" si="40"/>
        <v>0</v>
      </c>
      <c r="AA157" s="639">
        <f t="shared" si="41"/>
        <v>76</v>
      </c>
      <c r="AB157" s="639">
        <f t="shared" si="42"/>
        <v>118</v>
      </c>
      <c r="AC157" s="639">
        <f t="shared" si="43"/>
        <v>131</v>
      </c>
    </row>
    <row r="158" spans="1:29" s="4" customFormat="1" ht="14.5">
      <c r="A158" s="103"/>
      <c r="B158" s="511">
        <v>489</v>
      </c>
      <c r="C158" s="104" t="s">
        <v>451</v>
      </c>
      <c r="D158" s="76" t="s">
        <v>1475</v>
      </c>
      <c r="E158" s="77">
        <v>59</v>
      </c>
      <c r="F158" s="89">
        <v>0</v>
      </c>
      <c r="G158" s="78">
        <v>0</v>
      </c>
      <c r="H158" s="78">
        <v>0</v>
      </c>
      <c r="I158" s="78">
        <v>0</v>
      </c>
      <c r="J158" s="78">
        <v>0</v>
      </c>
      <c r="K158" s="78">
        <v>0</v>
      </c>
      <c r="L158" s="78">
        <v>0</v>
      </c>
      <c r="M158" s="89">
        <v>0</v>
      </c>
      <c r="N158" s="89">
        <v>0</v>
      </c>
      <c r="O158" s="89">
        <v>0</v>
      </c>
      <c r="P158" s="89">
        <v>13</v>
      </c>
      <c r="Q158" s="89">
        <v>12</v>
      </c>
      <c r="R158" s="89">
        <v>19</v>
      </c>
      <c r="S158" s="89">
        <v>15</v>
      </c>
      <c r="U158" s="639">
        <f t="shared" si="35"/>
        <v>0</v>
      </c>
      <c r="V158" s="639">
        <f t="shared" si="36"/>
        <v>0</v>
      </c>
      <c r="W158" s="639">
        <f t="shared" si="37"/>
        <v>0</v>
      </c>
      <c r="X158" s="639">
        <f t="shared" si="38"/>
        <v>0</v>
      </c>
      <c r="Y158" s="639">
        <f t="shared" si="39"/>
        <v>0</v>
      </c>
      <c r="Z158" s="639">
        <f t="shared" si="40"/>
        <v>59</v>
      </c>
      <c r="AA158" s="639">
        <f t="shared" si="41"/>
        <v>25</v>
      </c>
      <c r="AB158" s="639">
        <f t="shared" si="42"/>
        <v>59</v>
      </c>
      <c r="AC158" s="639">
        <f t="shared" si="43"/>
        <v>59</v>
      </c>
    </row>
    <row r="159" spans="1:29" s="4" customFormat="1" ht="14.5">
      <c r="A159" s="103"/>
      <c r="B159" s="511">
        <v>490</v>
      </c>
      <c r="C159" s="104" t="s">
        <v>452</v>
      </c>
      <c r="D159" s="76" t="s">
        <v>1475</v>
      </c>
      <c r="E159" s="77">
        <v>664</v>
      </c>
      <c r="F159" s="77">
        <v>0</v>
      </c>
      <c r="G159" s="78">
        <v>66</v>
      </c>
      <c r="H159" s="78">
        <v>91</v>
      </c>
      <c r="I159" s="78">
        <v>67</v>
      </c>
      <c r="J159" s="78">
        <v>56</v>
      </c>
      <c r="K159" s="78">
        <v>58</v>
      </c>
      <c r="L159" s="78">
        <v>47</v>
      </c>
      <c r="M159" s="77">
        <v>52</v>
      </c>
      <c r="N159" s="77">
        <v>47</v>
      </c>
      <c r="O159" s="77">
        <v>46</v>
      </c>
      <c r="P159" s="78">
        <v>35</v>
      </c>
      <c r="Q159" s="78">
        <v>38</v>
      </c>
      <c r="R159" s="78">
        <v>37</v>
      </c>
      <c r="S159" s="77">
        <v>24</v>
      </c>
      <c r="U159" s="639">
        <f t="shared" si="35"/>
        <v>0</v>
      </c>
      <c r="V159" s="639">
        <f t="shared" si="36"/>
        <v>66</v>
      </c>
      <c r="W159" s="639">
        <f t="shared" si="37"/>
        <v>214</v>
      </c>
      <c r="X159" s="639">
        <f t="shared" si="38"/>
        <v>157</v>
      </c>
      <c r="Y159" s="639">
        <f t="shared" si="39"/>
        <v>93</v>
      </c>
      <c r="Z159" s="639">
        <f t="shared" si="40"/>
        <v>134</v>
      </c>
      <c r="AA159" s="639">
        <f t="shared" si="41"/>
        <v>379</v>
      </c>
      <c r="AB159" s="639">
        <f t="shared" si="42"/>
        <v>598</v>
      </c>
      <c r="AC159" s="639">
        <f t="shared" si="43"/>
        <v>664</v>
      </c>
    </row>
    <row r="160" spans="1:29" s="4" customFormat="1" ht="14.5">
      <c r="A160" s="103"/>
      <c r="B160" s="510">
        <v>491</v>
      </c>
      <c r="C160" s="66" t="s">
        <v>453</v>
      </c>
      <c r="D160" s="67" t="s">
        <v>1475</v>
      </c>
      <c r="E160" s="68">
        <v>721</v>
      </c>
      <c r="F160" s="68">
        <v>0</v>
      </c>
      <c r="G160" s="78">
        <v>0</v>
      </c>
      <c r="H160" s="78">
        <v>0</v>
      </c>
      <c r="I160" s="78">
        <v>0</v>
      </c>
      <c r="J160" s="78">
        <v>0</v>
      </c>
      <c r="K160" s="78">
        <v>0</v>
      </c>
      <c r="L160" s="78">
        <v>0</v>
      </c>
      <c r="M160" s="78">
        <v>162</v>
      </c>
      <c r="N160" s="78">
        <v>134</v>
      </c>
      <c r="O160" s="78">
        <v>124</v>
      </c>
      <c r="P160" s="78">
        <v>84</v>
      </c>
      <c r="Q160" s="78">
        <v>78</v>
      </c>
      <c r="R160" s="78">
        <v>77</v>
      </c>
      <c r="S160" s="78">
        <v>62</v>
      </c>
      <c r="U160" s="639">
        <f t="shared" si="35"/>
        <v>0</v>
      </c>
      <c r="V160" s="639">
        <f t="shared" si="36"/>
        <v>0</v>
      </c>
      <c r="W160" s="639">
        <f t="shared" si="37"/>
        <v>0</v>
      </c>
      <c r="X160" s="639">
        <f t="shared" si="38"/>
        <v>162</v>
      </c>
      <c r="Y160" s="639">
        <f t="shared" si="39"/>
        <v>258</v>
      </c>
      <c r="Z160" s="639">
        <f t="shared" si="40"/>
        <v>301</v>
      </c>
      <c r="AA160" s="639">
        <f t="shared" si="41"/>
        <v>582</v>
      </c>
      <c r="AB160" s="639">
        <f t="shared" si="42"/>
        <v>721</v>
      </c>
      <c r="AC160" s="639">
        <f t="shared" si="43"/>
        <v>721</v>
      </c>
    </row>
    <row r="161" spans="1:29" s="4" customFormat="1" ht="14.5">
      <c r="A161" s="70"/>
      <c r="B161" s="510">
        <v>493</v>
      </c>
      <c r="C161" s="66" t="s">
        <v>454</v>
      </c>
      <c r="D161" s="67" t="s">
        <v>1475</v>
      </c>
      <c r="E161" s="68">
        <v>960</v>
      </c>
      <c r="F161" s="68">
        <v>0</v>
      </c>
      <c r="G161" s="68">
        <v>77</v>
      </c>
      <c r="H161" s="68">
        <v>90</v>
      </c>
      <c r="I161" s="68">
        <v>90</v>
      </c>
      <c r="J161" s="68">
        <v>96</v>
      </c>
      <c r="K161" s="68">
        <v>96</v>
      </c>
      <c r="L161" s="68">
        <v>105</v>
      </c>
      <c r="M161" s="105">
        <v>105</v>
      </c>
      <c r="N161" s="105">
        <v>97</v>
      </c>
      <c r="O161" s="105">
        <v>83</v>
      </c>
      <c r="P161" s="105">
        <v>36</v>
      </c>
      <c r="Q161" s="105">
        <v>36</v>
      </c>
      <c r="R161" s="105">
        <v>24</v>
      </c>
      <c r="S161" s="105">
        <v>25</v>
      </c>
      <c r="U161" s="639">
        <f t="shared" si="35"/>
        <v>0</v>
      </c>
      <c r="V161" s="639">
        <f t="shared" si="36"/>
        <v>77</v>
      </c>
      <c r="W161" s="639">
        <f t="shared" si="37"/>
        <v>276</v>
      </c>
      <c r="X161" s="639">
        <f t="shared" si="38"/>
        <v>306</v>
      </c>
      <c r="Y161" s="639">
        <f t="shared" si="39"/>
        <v>180</v>
      </c>
      <c r="Z161" s="639">
        <f t="shared" si="40"/>
        <v>121</v>
      </c>
      <c r="AA161" s="639">
        <f t="shared" si="41"/>
        <v>654</v>
      </c>
      <c r="AB161" s="639">
        <f t="shared" si="42"/>
        <v>883</v>
      </c>
      <c r="AC161" s="639">
        <f t="shared" si="43"/>
        <v>960</v>
      </c>
    </row>
    <row r="163" spans="1:29" s="4" customFormat="1" ht="14.5">
      <c r="A163" s="70"/>
      <c r="B163" s="510">
        <v>555</v>
      </c>
      <c r="C163" s="66" t="s">
        <v>260</v>
      </c>
      <c r="D163" s="67" t="s">
        <v>1475</v>
      </c>
      <c r="E163" s="68">
        <v>128</v>
      </c>
      <c r="F163" s="68">
        <v>0</v>
      </c>
      <c r="G163" s="68">
        <v>0</v>
      </c>
      <c r="H163" s="68">
        <v>0</v>
      </c>
      <c r="I163" s="68">
        <v>0</v>
      </c>
      <c r="J163" s="68">
        <v>0</v>
      </c>
      <c r="K163" s="68">
        <v>0</v>
      </c>
      <c r="L163" s="68">
        <v>0</v>
      </c>
      <c r="M163" s="68">
        <v>0</v>
      </c>
      <c r="N163" s="106">
        <v>1</v>
      </c>
      <c r="O163" s="106">
        <v>6</v>
      </c>
      <c r="P163" s="106">
        <v>20</v>
      </c>
      <c r="Q163" s="106">
        <v>28</v>
      </c>
      <c r="R163" s="106">
        <v>32</v>
      </c>
      <c r="S163" s="106">
        <v>41</v>
      </c>
      <c r="U163" s="639">
        <f t="shared" si="35"/>
        <v>0</v>
      </c>
      <c r="V163" s="639">
        <f t="shared" si="36"/>
        <v>0</v>
      </c>
      <c r="W163" s="639">
        <f t="shared" si="37"/>
        <v>0</v>
      </c>
      <c r="X163" s="639">
        <f t="shared" si="38"/>
        <v>0</v>
      </c>
      <c r="Y163" s="639">
        <f t="shared" si="39"/>
        <v>7</v>
      </c>
      <c r="Z163" s="639">
        <f t="shared" si="40"/>
        <v>121</v>
      </c>
      <c r="AA163" s="639">
        <f t="shared" si="41"/>
        <v>55</v>
      </c>
      <c r="AB163" s="639">
        <f t="shared" si="42"/>
        <v>128</v>
      </c>
      <c r="AC163" s="639">
        <f t="shared" si="43"/>
        <v>128</v>
      </c>
    </row>
    <row r="164" spans="1:29" ht="10.15" customHeight="1">
      <c r="E164" s="95"/>
      <c r="F164" s="95">
        <f>SUM(F7:F12, F15:F163)</f>
        <v>2999</v>
      </c>
      <c r="G164" s="95"/>
      <c r="H164" s="95"/>
      <c r="I164" s="95"/>
      <c r="J164" s="95"/>
      <c r="K164" s="95"/>
      <c r="L164" s="95"/>
      <c r="M164" s="95"/>
      <c r="N164" s="95"/>
      <c r="O164" s="95"/>
      <c r="P164" s="95"/>
      <c r="Q164" s="95"/>
      <c r="R164" s="95"/>
      <c r="T164" s="81"/>
      <c r="U164" s="69"/>
      <c r="V164" s="69"/>
      <c r="W164" s="69"/>
      <c r="X164" s="69"/>
      <c r="Y164" s="69"/>
      <c r="Z164" s="69"/>
      <c r="AA164" s="69"/>
      <c r="AB164" s="69"/>
    </row>
    <row r="165" spans="1:29" ht="10.15" customHeight="1">
      <c r="E165" s="95"/>
      <c r="F165" s="95"/>
      <c r="G165" s="95"/>
      <c r="H165" s="95"/>
      <c r="I165" s="95"/>
      <c r="J165" s="95"/>
      <c r="K165" s="95"/>
      <c r="L165" s="95"/>
      <c r="M165" s="95"/>
      <c r="N165" s="95"/>
      <c r="O165" s="95"/>
      <c r="P165" s="95"/>
      <c r="Q165" s="95"/>
      <c r="R165" s="95"/>
      <c r="T165" s="81"/>
      <c r="U165" s="95"/>
      <c r="V165" s="95"/>
      <c r="W165" s="95"/>
    </row>
    <row r="166" spans="1:29" ht="10.15" customHeight="1">
      <c r="E166" s="95"/>
      <c r="F166" s="95"/>
      <c r="G166" s="95"/>
      <c r="H166" s="95"/>
      <c r="I166" s="95"/>
      <c r="J166" s="95"/>
      <c r="K166" s="95"/>
      <c r="L166" s="95"/>
      <c r="M166" s="95"/>
      <c r="N166" s="95"/>
      <c r="O166" s="95"/>
      <c r="P166" s="95"/>
      <c r="Q166" s="95"/>
      <c r="R166" s="95"/>
      <c r="T166" s="81"/>
      <c r="U166" s="95"/>
      <c r="V166" s="95"/>
      <c r="W166" s="95"/>
    </row>
    <row r="167" spans="1:29" ht="10.15" customHeight="1">
      <c r="E167" s="95"/>
      <c r="F167" s="95"/>
      <c r="G167" s="95"/>
      <c r="H167" s="95"/>
      <c r="I167" s="95"/>
      <c r="J167" s="95"/>
      <c r="K167" s="95"/>
      <c r="L167" s="95"/>
      <c r="M167" s="95"/>
      <c r="N167" s="95"/>
      <c r="O167" s="95"/>
      <c r="P167" s="95"/>
      <c r="Q167" s="95"/>
      <c r="R167" s="95"/>
      <c r="T167" s="81"/>
      <c r="U167" s="95"/>
      <c r="V167" s="95"/>
      <c r="W167" s="95"/>
    </row>
    <row r="168" spans="1:29" ht="10.15" customHeight="1">
      <c r="E168" s="95"/>
      <c r="F168" s="95"/>
      <c r="G168" s="95"/>
      <c r="H168" s="95"/>
      <c r="I168" s="95"/>
      <c r="J168" s="95"/>
      <c r="K168" s="95"/>
      <c r="L168" s="95"/>
      <c r="M168" s="95"/>
      <c r="N168" s="95"/>
      <c r="O168" s="95"/>
      <c r="P168" s="95"/>
      <c r="Q168" s="95"/>
      <c r="R168" s="95"/>
      <c r="T168" s="81"/>
      <c r="U168" s="95"/>
      <c r="V168" s="95"/>
      <c r="W168" s="95"/>
    </row>
    <row r="169" spans="1:29" ht="10.15" customHeight="1">
      <c r="E169" s="95"/>
      <c r="F169" s="95"/>
      <c r="G169" s="95"/>
      <c r="H169" s="95"/>
      <c r="I169" s="95"/>
      <c r="J169" s="95"/>
      <c r="K169" s="95"/>
      <c r="L169" s="95"/>
      <c r="M169" s="95"/>
      <c r="N169" s="95"/>
      <c r="O169" s="95"/>
      <c r="P169" s="95"/>
      <c r="Q169" s="95"/>
      <c r="R169" s="95"/>
      <c r="T169" s="81"/>
      <c r="U169" s="95"/>
      <c r="V169" s="95"/>
      <c r="W169" s="95"/>
    </row>
    <row r="170" spans="1:29" ht="10.15" customHeight="1">
      <c r="E170" s="95"/>
      <c r="F170" s="95"/>
      <c r="G170" s="95"/>
      <c r="H170" s="95"/>
      <c r="I170" s="95"/>
      <c r="J170" s="95"/>
      <c r="K170" s="95"/>
      <c r="L170" s="95"/>
      <c r="M170" s="95"/>
      <c r="N170" s="95"/>
      <c r="O170" s="95"/>
      <c r="P170" s="95"/>
      <c r="Q170" s="95"/>
      <c r="R170" s="95"/>
      <c r="T170" s="81"/>
      <c r="U170" s="95"/>
      <c r="V170" s="95"/>
      <c r="W170" s="95"/>
    </row>
    <row r="171" spans="1:29" ht="10.15" customHeight="1">
      <c r="E171" s="95"/>
      <c r="F171" s="95"/>
      <c r="G171" s="95"/>
      <c r="H171" s="95"/>
      <c r="I171" s="95"/>
      <c r="J171" s="95"/>
      <c r="K171" s="95"/>
      <c r="L171" s="95"/>
      <c r="M171" s="95"/>
      <c r="N171" s="95"/>
      <c r="O171" s="95"/>
      <c r="P171" s="95"/>
      <c r="Q171" s="95"/>
      <c r="R171" s="95"/>
      <c r="T171" s="81"/>
      <c r="U171" s="95"/>
      <c r="V171" s="95"/>
      <c r="W171" s="95"/>
    </row>
    <row r="172" spans="1:29" ht="10.15" customHeight="1">
      <c r="E172" s="95"/>
      <c r="F172" s="95"/>
      <c r="G172" s="95"/>
      <c r="H172" s="95"/>
      <c r="I172" s="95"/>
      <c r="J172" s="95"/>
      <c r="K172" s="95"/>
      <c r="L172" s="95"/>
      <c r="M172" s="95"/>
      <c r="N172" s="95"/>
      <c r="O172" s="95"/>
      <c r="P172" s="95"/>
      <c r="Q172" s="95"/>
      <c r="R172" s="95"/>
      <c r="T172" s="81"/>
      <c r="U172" s="95"/>
      <c r="V172" s="95"/>
      <c r="W172" s="95"/>
    </row>
    <row r="173" spans="1:29" ht="10.15" customHeight="1">
      <c r="E173" s="95"/>
      <c r="F173" s="95"/>
      <c r="G173" s="95"/>
      <c r="H173" s="95"/>
      <c r="I173" s="95"/>
      <c r="J173" s="95"/>
      <c r="K173" s="95"/>
      <c r="L173" s="95"/>
      <c r="M173" s="95"/>
      <c r="N173" s="95"/>
      <c r="O173" s="95"/>
      <c r="P173" s="95"/>
      <c r="Q173" s="95"/>
      <c r="R173" s="95"/>
      <c r="T173" s="81"/>
      <c r="U173" s="95"/>
      <c r="V173" s="95"/>
      <c r="W173" s="95"/>
    </row>
    <row r="174" spans="1:29" ht="10.15" customHeight="1">
      <c r="E174" s="95"/>
      <c r="F174" s="95"/>
      <c r="G174" s="95"/>
      <c r="H174" s="95"/>
      <c r="I174" s="95"/>
      <c r="J174" s="95"/>
      <c r="K174" s="95"/>
      <c r="L174" s="95"/>
      <c r="M174" s="95"/>
      <c r="N174" s="95"/>
      <c r="O174" s="95"/>
      <c r="P174" s="95"/>
      <c r="Q174" s="95"/>
      <c r="R174" s="95"/>
      <c r="T174" s="81"/>
      <c r="U174" s="95"/>
      <c r="V174" s="95"/>
      <c r="W174" s="95"/>
    </row>
    <row r="175" spans="1:29" ht="10.15" customHeight="1">
      <c r="E175" s="95"/>
      <c r="F175" s="95"/>
      <c r="G175" s="95"/>
      <c r="H175" s="95"/>
      <c r="I175" s="95"/>
      <c r="J175" s="95"/>
      <c r="K175" s="95"/>
      <c r="L175" s="95"/>
      <c r="M175" s="95"/>
      <c r="N175" s="95"/>
      <c r="O175" s="95"/>
      <c r="P175" s="95"/>
      <c r="Q175" s="95"/>
      <c r="R175" s="95"/>
      <c r="T175" s="81"/>
      <c r="U175" s="95"/>
      <c r="V175" s="95"/>
      <c r="W175" s="95"/>
    </row>
    <row r="176" spans="1:29" ht="10.15" customHeight="1">
      <c r="E176" s="95"/>
      <c r="F176" s="95"/>
      <c r="G176" s="95"/>
      <c r="H176" s="95"/>
      <c r="I176" s="95"/>
      <c r="J176" s="95"/>
      <c r="K176" s="95"/>
      <c r="L176" s="95"/>
      <c r="M176" s="95"/>
      <c r="N176" s="95"/>
      <c r="O176" s="95"/>
      <c r="P176" s="95"/>
      <c r="Q176" s="95"/>
      <c r="R176" s="95"/>
      <c r="T176" s="81"/>
      <c r="U176" s="95"/>
      <c r="V176" s="95"/>
      <c r="W176" s="95"/>
    </row>
    <row r="177" spans="5:23" ht="10.15" customHeight="1">
      <c r="E177" s="95"/>
      <c r="F177" s="95"/>
      <c r="G177" s="95"/>
      <c r="H177" s="95"/>
      <c r="I177" s="95"/>
      <c r="J177" s="95"/>
      <c r="K177" s="95"/>
      <c r="L177" s="95"/>
      <c r="M177" s="95"/>
      <c r="N177" s="95"/>
      <c r="O177" s="95"/>
      <c r="P177" s="95"/>
      <c r="Q177" s="95"/>
      <c r="R177" s="95"/>
      <c r="T177" s="81"/>
      <c r="U177" s="95"/>
      <c r="V177" s="95"/>
      <c r="W177" s="95"/>
    </row>
    <row r="178" spans="5:23" ht="10.15" customHeight="1">
      <c r="E178" s="95"/>
      <c r="F178" s="95"/>
      <c r="G178" s="95"/>
      <c r="H178" s="95"/>
      <c r="I178" s="95"/>
      <c r="J178" s="95"/>
      <c r="K178" s="95"/>
      <c r="L178" s="95"/>
      <c r="M178" s="95"/>
      <c r="N178" s="95"/>
      <c r="O178" s="95"/>
      <c r="P178" s="95"/>
      <c r="Q178" s="95"/>
      <c r="R178" s="95"/>
      <c r="T178" s="81"/>
      <c r="U178" s="95"/>
      <c r="V178" s="95"/>
      <c r="W178" s="95"/>
    </row>
    <row r="179" spans="5:23" ht="10.15" customHeight="1">
      <c r="E179" s="95"/>
      <c r="F179" s="95"/>
      <c r="G179" s="95"/>
      <c r="H179" s="95"/>
      <c r="I179" s="95"/>
      <c r="J179" s="95"/>
      <c r="K179" s="95"/>
      <c r="L179" s="95"/>
      <c r="M179" s="95"/>
      <c r="N179" s="95"/>
      <c r="O179" s="95"/>
      <c r="P179" s="95"/>
      <c r="Q179" s="95"/>
      <c r="R179" s="95"/>
      <c r="T179" s="81"/>
      <c r="U179" s="95"/>
      <c r="V179" s="95"/>
      <c r="W179" s="95"/>
    </row>
    <row r="180" spans="5:23" ht="10.15" customHeight="1">
      <c r="E180" s="95"/>
      <c r="F180" s="95"/>
      <c r="G180" s="95"/>
      <c r="H180" s="95"/>
      <c r="I180" s="95"/>
      <c r="J180" s="95"/>
      <c r="K180" s="95"/>
      <c r="L180" s="95"/>
      <c r="M180" s="95"/>
      <c r="N180" s="95"/>
      <c r="O180" s="95"/>
      <c r="P180" s="95"/>
      <c r="Q180" s="95"/>
      <c r="R180" s="95"/>
      <c r="T180" s="81"/>
      <c r="U180" s="95"/>
      <c r="V180" s="95"/>
      <c r="W180" s="95"/>
    </row>
    <row r="181" spans="5:23" ht="10.15" customHeight="1">
      <c r="E181" s="95"/>
      <c r="F181" s="95"/>
      <c r="G181" s="95"/>
      <c r="H181" s="95"/>
      <c r="I181" s="95"/>
      <c r="J181" s="95"/>
      <c r="K181" s="95"/>
      <c r="L181" s="95"/>
      <c r="M181" s="95"/>
      <c r="N181" s="95"/>
      <c r="O181" s="95"/>
      <c r="P181" s="95"/>
      <c r="Q181" s="95"/>
      <c r="R181" s="95"/>
      <c r="T181" s="81"/>
      <c r="U181" s="95"/>
      <c r="V181" s="95"/>
      <c r="W181" s="95"/>
    </row>
    <row r="182" spans="5:23" ht="10.15" customHeight="1">
      <c r="E182" s="95"/>
      <c r="F182" s="95"/>
      <c r="G182" s="95"/>
      <c r="H182" s="95"/>
      <c r="I182" s="95"/>
      <c r="J182" s="95"/>
      <c r="K182" s="95"/>
      <c r="L182" s="95"/>
      <c r="M182" s="95"/>
      <c r="N182" s="95"/>
      <c r="O182" s="95"/>
      <c r="P182" s="95"/>
      <c r="Q182" s="95"/>
      <c r="R182" s="95"/>
      <c r="T182" s="81"/>
      <c r="U182" s="95"/>
      <c r="V182" s="95"/>
      <c r="W182" s="95"/>
    </row>
    <row r="183" spans="5:23" ht="10.15" customHeight="1">
      <c r="E183" s="95"/>
      <c r="F183" s="95"/>
      <c r="G183" s="95"/>
      <c r="H183" s="95"/>
      <c r="I183" s="95"/>
      <c r="J183" s="95"/>
      <c r="K183" s="95"/>
      <c r="L183" s="95"/>
      <c r="M183" s="95"/>
      <c r="N183" s="95"/>
      <c r="O183" s="95"/>
      <c r="P183" s="95"/>
      <c r="Q183" s="95"/>
      <c r="R183" s="95"/>
      <c r="T183" s="81"/>
      <c r="U183" s="95"/>
      <c r="V183" s="95"/>
      <c r="W183" s="95"/>
    </row>
    <row r="184" spans="5:23" ht="10.15" customHeight="1">
      <c r="E184" s="95"/>
      <c r="F184" s="95"/>
      <c r="G184" s="95"/>
      <c r="H184" s="95"/>
      <c r="I184" s="95"/>
      <c r="J184" s="95"/>
      <c r="K184" s="95"/>
      <c r="L184" s="95"/>
      <c r="M184" s="95"/>
      <c r="N184" s="95"/>
      <c r="O184" s="95"/>
      <c r="P184" s="95"/>
      <c r="Q184" s="95"/>
      <c r="R184" s="95"/>
      <c r="T184" s="81"/>
      <c r="U184" s="95"/>
      <c r="V184" s="95"/>
      <c r="W184" s="95"/>
    </row>
    <row r="185" spans="5:23" ht="10.15" customHeight="1">
      <c r="E185" s="95"/>
      <c r="F185" s="95"/>
      <c r="G185" s="95"/>
      <c r="H185" s="95"/>
      <c r="I185" s="95"/>
      <c r="J185" s="95"/>
      <c r="K185" s="95"/>
      <c r="L185" s="95"/>
      <c r="M185" s="95"/>
      <c r="N185" s="95"/>
      <c r="O185" s="95"/>
      <c r="P185" s="95"/>
      <c r="Q185" s="95"/>
      <c r="R185" s="95"/>
      <c r="T185" s="81"/>
      <c r="U185" s="95"/>
      <c r="V185" s="95"/>
      <c r="W185" s="95"/>
    </row>
    <row r="186" spans="5:23" ht="10.15" customHeight="1">
      <c r="E186" s="95"/>
      <c r="F186" s="95"/>
      <c r="G186" s="95"/>
      <c r="H186" s="95"/>
      <c r="I186" s="95"/>
      <c r="J186" s="95"/>
      <c r="K186" s="95"/>
      <c r="L186" s="95"/>
      <c r="M186" s="95"/>
      <c r="N186" s="95"/>
      <c r="O186" s="95"/>
      <c r="P186" s="95"/>
      <c r="Q186" s="95"/>
      <c r="R186" s="95"/>
      <c r="T186" s="81"/>
      <c r="U186" s="95"/>
      <c r="V186" s="95"/>
      <c r="W186" s="95"/>
    </row>
    <row r="187" spans="5:23" ht="10.15" customHeight="1">
      <c r="E187" s="95"/>
      <c r="F187" s="95"/>
      <c r="G187" s="95"/>
      <c r="H187" s="95"/>
      <c r="I187" s="95"/>
      <c r="J187" s="95"/>
      <c r="K187" s="95"/>
      <c r="L187" s="95"/>
      <c r="M187" s="95"/>
      <c r="N187" s="95"/>
      <c r="O187" s="95"/>
      <c r="P187" s="95"/>
      <c r="Q187" s="95"/>
      <c r="R187" s="95"/>
      <c r="T187" s="81"/>
      <c r="U187" s="95"/>
      <c r="V187" s="95"/>
      <c r="W187" s="95"/>
    </row>
    <row r="188" spans="5:23" ht="10.15" customHeight="1">
      <c r="E188" s="95"/>
      <c r="F188" s="95"/>
      <c r="G188" s="95"/>
      <c r="H188" s="95"/>
      <c r="I188" s="95"/>
      <c r="J188" s="95"/>
      <c r="K188" s="95"/>
      <c r="L188" s="95"/>
      <c r="M188" s="95"/>
      <c r="N188" s="95"/>
      <c r="O188" s="95"/>
      <c r="P188" s="95"/>
      <c r="Q188" s="95"/>
      <c r="R188" s="95"/>
      <c r="T188" s="81"/>
      <c r="U188" s="95"/>
      <c r="V188" s="95"/>
      <c r="W188" s="95"/>
    </row>
    <row r="189" spans="5:23" ht="10.15" customHeight="1">
      <c r="E189" s="95"/>
      <c r="F189" s="95"/>
      <c r="G189" s="95"/>
      <c r="H189" s="95"/>
      <c r="I189" s="95"/>
      <c r="J189" s="95"/>
      <c r="K189" s="95"/>
      <c r="L189" s="95"/>
      <c r="M189" s="95"/>
      <c r="N189" s="95"/>
      <c r="O189" s="95"/>
      <c r="P189" s="95"/>
      <c r="Q189" s="95"/>
      <c r="R189" s="95"/>
      <c r="T189" s="81"/>
      <c r="U189" s="95"/>
      <c r="V189" s="95"/>
      <c r="W189" s="95"/>
    </row>
    <row r="190" spans="5:23" ht="10.15" customHeight="1">
      <c r="E190" s="95"/>
      <c r="F190" s="95"/>
      <c r="G190" s="95"/>
      <c r="H190" s="95"/>
      <c r="I190" s="95"/>
      <c r="J190" s="95"/>
      <c r="K190" s="95"/>
      <c r="L190" s="95"/>
      <c r="M190" s="95"/>
      <c r="N190" s="95"/>
      <c r="O190" s="95"/>
      <c r="P190" s="95"/>
      <c r="Q190" s="95"/>
      <c r="R190" s="95"/>
      <c r="T190" s="81"/>
      <c r="U190" s="95"/>
      <c r="V190" s="95"/>
      <c r="W190" s="95"/>
    </row>
    <row r="191" spans="5:23" ht="10.15" customHeight="1">
      <c r="E191" s="95"/>
      <c r="F191" s="95"/>
      <c r="G191" s="95"/>
      <c r="H191" s="95"/>
      <c r="I191" s="95"/>
      <c r="J191" s="95"/>
      <c r="K191" s="95"/>
      <c r="L191" s="95"/>
      <c r="M191" s="95"/>
      <c r="N191" s="95"/>
      <c r="O191" s="95"/>
      <c r="P191" s="95"/>
      <c r="Q191" s="95"/>
      <c r="R191" s="95"/>
      <c r="T191" s="81"/>
      <c r="U191" s="95"/>
      <c r="V191" s="95"/>
      <c r="W191" s="95"/>
    </row>
    <row r="192" spans="5:23" ht="10.15" customHeight="1">
      <c r="E192" s="95"/>
      <c r="F192" s="95"/>
      <c r="G192" s="95"/>
      <c r="H192" s="95"/>
      <c r="I192" s="95"/>
      <c r="J192" s="95"/>
      <c r="K192" s="95"/>
      <c r="L192" s="95"/>
      <c r="M192" s="95"/>
      <c r="N192" s="95"/>
      <c r="O192" s="95"/>
      <c r="P192" s="95"/>
      <c r="Q192" s="95"/>
      <c r="R192" s="95"/>
      <c r="T192" s="81"/>
      <c r="U192" s="95"/>
      <c r="V192" s="95"/>
      <c r="W192" s="95"/>
    </row>
    <row r="193" spans="5:23" ht="10.15" customHeight="1">
      <c r="E193" s="95"/>
      <c r="F193" s="95"/>
      <c r="G193" s="95"/>
      <c r="H193" s="95"/>
      <c r="I193" s="95"/>
      <c r="J193" s="95"/>
      <c r="K193" s="95"/>
      <c r="L193" s="95"/>
      <c r="M193" s="95"/>
      <c r="N193" s="95"/>
      <c r="O193" s="95"/>
      <c r="P193" s="95"/>
      <c r="Q193" s="95"/>
      <c r="R193" s="95"/>
      <c r="T193" s="81"/>
      <c r="U193" s="95"/>
      <c r="V193" s="95"/>
      <c r="W193" s="95"/>
    </row>
    <row r="194" spans="5:23" ht="10.15" customHeight="1">
      <c r="E194" s="95"/>
      <c r="F194" s="95"/>
      <c r="G194" s="95"/>
      <c r="H194" s="95"/>
      <c r="I194" s="95"/>
      <c r="J194" s="95"/>
      <c r="K194" s="95"/>
      <c r="L194" s="95"/>
      <c r="M194" s="95"/>
      <c r="N194" s="95"/>
      <c r="O194" s="95"/>
      <c r="P194" s="95"/>
      <c r="Q194" s="95"/>
      <c r="R194" s="95"/>
      <c r="T194" s="81"/>
      <c r="U194" s="95"/>
      <c r="V194" s="95"/>
      <c r="W194" s="95"/>
    </row>
    <row r="195" spans="5:23" ht="10.15" customHeight="1">
      <c r="E195" s="95"/>
      <c r="F195" s="95"/>
      <c r="G195" s="95"/>
      <c r="H195" s="95"/>
      <c r="I195" s="95"/>
      <c r="J195" s="95"/>
      <c r="K195" s="95"/>
      <c r="L195" s="95"/>
      <c r="M195" s="95"/>
      <c r="N195" s="95"/>
      <c r="O195" s="95"/>
      <c r="P195" s="95"/>
      <c r="Q195" s="95"/>
      <c r="R195" s="95"/>
      <c r="T195" s="81"/>
      <c r="U195" s="95"/>
      <c r="V195" s="95"/>
      <c r="W195" s="95"/>
    </row>
    <row r="196" spans="5:23" ht="10.15" customHeight="1">
      <c r="E196" s="95"/>
      <c r="F196" s="95"/>
      <c r="G196" s="95"/>
      <c r="H196" s="95"/>
      <c r="I196" s="95"/>
      <c r="J196" s="95"/>
      <c r="K196" s="95"/>
      <c r="L196" s="95"/>
      <c r="M196" s="95"/>
      <c r="N196" s="95"/>
      <c r="O196" s="95"/>
      <c r="P196" s="95"/>
      <c r="Q196" s="95"/>
      <c r="R196" s="95"/>
      <c r="T196" s="81"/>
      <c r="U196" s="95"/>
      <c r="V196" s="95"/>
      <c r="W196" s="95"/>
    </row>
    <row r="197" spans="5:23" ht="10.15" customHeight="1">
      <c r="E197" s="95"/>
      <c r="F197" s="95"/>
      <c r="G197" s="95"/>
      <c r="H197" s="95"/>
      <c r="I197" s="95"/>
      <c r="J197" s="95"/>
      <c r="K197" s="95"/>
      <c r="L197" s="95"/>
      <c r="M197" s="95"/>
      <c r="N197" s="95"/>
      <c r="O197" s="95"/>
      <c r="P197" s="95"/>
      <c r="Q197" s="95"/>
      <c r="R197" s="95"/>
      <c r="T197" s="81"/>
      <c r="U197" s="95"/>
      <c r="V197" s="95"/>
      <c r="W197" s="95"/>
    </row>
    <row r="198" spans="5:23" ht="10.15" customHeight="1">
      <c r="E198" s="95"/>
      <c r="F198" s="95"/>
      <c r="G198" s="95"/>
      <c r="H198" s="95"/>
      <c r="I198" s="95"/>
      <c r="J198" s="95"/>
      <c r="K198" s="95"/>
      <c r="L198" s="95"/>
      <c r="M198" s="95"/>
      <c r="N198" s="95"/>
      <c r="O198" s="95"/>
      <c r="P198" s="95"/>
      <c r="Q198" s="95"/>
      <c r="R198" s="95"/>
      <c r="T198" s="81"/>
      <c r="U198" s="95"/>
      <c r="V198" s="95"/>
      <c r="W198" s="95"/>
    </row>
    <row r="199" spans="5:23" ht="10.15" customHeight="1">
      <c r="E199" s="95"/>
      <c r="F199" s="95"/>
      <c r="G199" s="95"/>
      <c r="H199" s="95"/>
      <c r="I199" s="95"/>
      <c r="J199" s="95"/>
      <c r="K199" s="95"/>
      <c r="L199" s="95"/>
      <c r="M199" s="95"/>
      <c r="N199" s="95"/>
      <c r="O199" s="95"/>
      <c r="P199" s="95"/>
      <c r="Q199" s="95"/>
      <c r="R199" s="95"/>
      <c r="T199" s="81"/>
      <c r="U199" s="95"/>
      <c r="V199" s="95"/>
      <c r="W199" s="95"/>
    </row>
    <row r="200" spans="5:23" ht="10.15" customHeight="1">
      <c r="E200" s="95"/>
      <c r="F200" s="95"/>
      <c r="G200" s="95"/>
      <c r="H200" s="95"/>
      <c r="I200" s="95"/>
      <c r="J200" s="95"/>
      <c r="K200" s="95"/>
      <c r="L200" s="95"/>
      <c r="M200" s="95"/>
      <c r="N200" s="95"/>
      <c r="O200" s="95"/>
      <c r="P200" s="95"/>
      <c r="Q200" s="95"/>
      <c r="R200" s="95"/>
      <c r="T200" s="81"/>
      <c r="U200" s="95"/>
      <c r="V200" s="95"/>
      <c r="W200" s="95"/>
    </row>
    <row r="201" spans="5:23" ht="10.15" customHeight="1">
      <c r="E201" s="95"/>
      <c r="F201" s="95"/>
      <c r="G201" s="95"/>
      <c r="H201" s="95"/>
      <c r="I201" s="95"/>
      <c r="J201" s="95"/>
      <c r="K201" s="95"/>
      <c r="L201" s="95"/>
      <c r="M201" s="95"/>
      <c r="N201" s="95"/>
      <c r="O201" s="95"/>
      <c r="P201" s="95"/>
      <c r="Q201" s="95"/>
      <c r="R201" s="95"/>
      <c r="T201" s="81"/>
      <c r="U201" s="95"/>
      <c r="V201" s="95"/>
      <c r="W201" s="95"/>
    </row>
    <row r="202" spans="5:23" ht="10.15" customHeight="1">
      <c r="E202" s="95"/>
      <c r="F202" s="95"/>
      <c r="G202" s="95"/>
      <c r="H202" s="95"/>
      <c r="I202" s="95"/>
      <c r="J202" s="95"/>
      <c r="K202" s="95"/>
      <c r="L202" s="95"/>
      <c r="M202" s="95"/>
      <c r="N202" s="95"/>
      <c r="O202" s="95"/>
      <c r="P202" s="95"/>
      <c r="Q202" s="95"/>
      <c r="R202" s="95"/>
      <c r="T202" s="81"/>
      <c r="U202" s="95"/>
      <c r="V202" s="95"/>
      <c r="W202" s="95"/>
    </row>
    <row r="203" spans="5:23" ht="10.15" customHeight="1">
      <c r="E203" s="95"/>
      <c r="F203" s="95"/>
      <c r="G203" s="95"/>
      <c r="H203" s="95"/>
      <c r="I203" s="95"/>
      <c r="J203" s="95"/>
      <c r="K203" s="95"/>
      <c r="L203" s="95"/>
      <c r="M203" s="95"/>
      <c r="N203" s="95"/>
      <c r="O203" s="95"/>
      <c r="P203" s="95"/>
      <c r="Q203" s="95"/>
      <c r="R203" s="95"/>
      <c r="T203" s="81"/>
      <c r="U203" s="95"/>
      <c r="V203" s="95"/>
      <c r="W203" s="95"/>
    </row>
    <row r="204" spans="5:23" ht="10.15" customHeight="1">
      <c r="E204" s="95"/>
      <c r="F204" s="95"/>
      <c r="G204" s="95"/>
      <c r="H204" s="95"/>
      <c r="I204" s="95"/>
      <c r="J204" s="95"/>
      <c r="K204" s="95"/>
      <c r="L204" s="95"/>
      <c r="M204" s="95"/>
      <c r="N204" s="95"/>
      <c r="O204" s="95"/>
      <c r="P204" s="95"/>
      <c r="Q204" s="95"/>
      <c r="R204" s="95"/>
      <c r="T204" s="81"/>
      <c r="U204" s="95"/>
      <c r="V204" s="95"/>
      <c r="W204" s="95"/>
    </row>
    <row r="205" spans="5:23" ht="10.15" customHeight="1">
      <c r="E205" s="95"/>
      <c r="F205" s="95"/>
      <c r="G205" s="95"/>
      <c r="H205" s="95"/>
      <c r="I205" s="95"/>
      <c r="J205" s="95"/>
      <c r="K205" s="95"/>
      <c r="L205" s="95"/>
      <c r="M205" s="95"/>
      <c r="N205" s="95"/>
      <c r="O205" s="95"/>
      <c r="P205" s="95"/>
      <c r="Q205" s="95"/>
      <c r="R205" s="95"/>
      <c r="T205" s="81"/>
      <c r="U205" s="95"/>
      <c r="V205" s="95"/>
      <c r="W205" s="95"/>
    </row>
    <row r="206" spans="5:23" ht="10.15" customHeight="1">
      <c r="E206" s="95"/>
      <c r="F206" s="95"/>
      <c r="G206" s="95"/>
      <c r="H206" s="95"/>
      <c r="I206" s="95"/>
      <c r="J206" s="95"/>
      <c r="K206" s="95"/>
      <c r="L206" s="95"/>
      <c r="M206" s="95"/>
      <c r="N206" s="95"/>
      <c r="O206" s="95"/>
      <c r="P206" s="95"/>
      <c r="Q206" s="95"/>
      <c r="R206" s="95"/>
      <c r="T206" s="81"/>
      <c r="U206" s="95"/>
      <c r="V206" s="95"/>
      <c r="W206" s="95"/>
    </row>
    <row r="207" spans="5:23" ht="10.15" customHeight="1">
      <c r="E207" s="95"/>
      <c r="F207" s="95"/>
      <c r="G207" s="95"/>
      <c r="H207" s="95"/>
      <c r="I207" s="95"/>
      <c r="J207" s="95"/>
      <c r="K207" s="95"/>
      <c r="L207" s="95"/>
      <c r="M207" s="95"/>
      <c r="N207" s="95"/>
      <c r="O207" s="95"/>
      <c r="P207" s="95"/>
      <c r="Q207" s="95"/>
      <c r="R207" s="95"/>
      <c r="T207" s="81"/>
      <c r="U207" s="95"/>
      <c r="V207" s="95"/>
      <c r="W207" s="95"/>
    </row>
    <row r="208" spans="5:23" ht="10.15" customHeight="1">
      <c r="E208" s="95"/>
      <c r="F208" s="95"/>
      <c r="G208" s="95"/>
      <c r="H208" s="95"/>
      <c r="I208" s="95"/>
      <c r="J208" s="95"/>
      <c r="K208" s="95"/>
      <c r="L208" s="95"/>
      <c r="M208" s="95"/>
      <c r="N208" s="95"/>
      <c r="O208" s="95"/>
      <c r="P208" s="95"/>
      <c r="Q208" s="95"/>
      <c r="R208" s="95"/>
      <c r="T208" s="81"/>
      <c r="U208" s="95"/>
      <c r="V208" s="95"/>
      <c r="W208" s="95"/>
    </row>
    <row r="209" spans="5:23" ht="10.15" customHeight="1">
      <c r="E209" s="95"/>
      <c r="F209" s="95"/>
      <c r="G209" s="95"/>
      <c r="H209" s="95"/>
      <c r="I209" s="95"/>
      <c r="J209" s="95"/>
      <c r="K209" s="95"/>
      <c r="L209" s="95"/>
      <c r="M209" s="95"/>
      <c r="N209" s="95"/>
      <c r="O209" s="95"/>
      <c r="P209" s="95"/>
      <c r="Q209" s="95"/>
      <c r="R209" s="95"/>
      <c r="T209" s="81"/>
      <c r="U209" s="95"/>
      <c r="V209" s="95"/>
      <c r="W209" s="95"/>
    </row>
    <row r="210" spans="5:23" ht="10.15" customHeight="1">
      <c r="E210" s="95"/>
      <c r="F210" s="95"/>
      <c r="G210" s="95"/>
      <c r="H210" s="95"/>
      <c r="I210" s="95"/>
      <c r="J210" s="95"/>
      <c r="K210" s="95"/>
      <c r="L210" s="95"/>
      <c r="M210" s="95"/>
      <c r="N210" s="95"/>
      <c r="O210" s="95"/>
      <c r="P210" s="95"/>
      <c r="Q210" s="95"/>
      <c r="R210" s="95"/>
      <c r="T210" s="81"/>
      <c r="U210" s="95"/>
      <c r="V210" s="95"/>
      <c r="W210" s="95"/>
    </row>
    <row r="211" spans="5:23" ht="10.15" customHeight="1">
      <c r="E211" s="95"/>
      <c r="F211" s="95"/>
      <c r="G211" s="95"/>
      <c r="H211" s="95"/>
      <c r="I211" s="95"/>
      <c r="J211" s="95"/>
      <c r="K211" s="95"/>
      <c r="L211" s="95"/>
      <c r="M211" s="95"/>
      <c r="N211" s="95"/>
      <c r="O211" s="95"/>
      <c r="P211" s="95"/>
      <c r="Q211" s="95"/>
      <c r="R211" s="95"/>
      <c r="T211" s="81"/>
      <c r="U211" s="95"/>
      <c r="V211" s="95"/>
      <c r="W211" s="95"/>
    </row>
    <row r="212" spans="5:23" ht="10.15" customHeight="1">
      <c r="E212" s="95"/>
      <c r="F212" s="95"/>
      <c r="G212" s="95"/>
      <c r="H212" s="95"/>
      <c r="I212" s="95"/>
      <c r="J212" s="95"/>
      <c r="K212" s="95"/>
      <c r="L212" s="95"/>
      <c r="M212" s="95"/>
      <c r="N212" s="95"/>
      <c r="O212" s="95"/>
      <c r="P212" s="95"/>
      <c r="Q212" s="95"/>
      <c r="R212" s="95"/>
      <c r="T212" s="81"/>
      <c r="U212" s="95"/>
      <c r="V212" s="95"/>
      <c r="W212" s="95"/>
    </row>
    <row r="213" spans="5:23" ht="10.15" customHeight="1">
      <c r="E213" s="95"/>
      <c r="F213" s="95"/>
      <c r="G213" s="95"/>
      <c r="H213" s="95"/>
      <c r="I213" s="95"/>
      <c r="J213" s="95"/>
      <c r="K213" s="95"/>
      <c r="L213" s="95"/>
      <c r="M213" s="95"/>
      <c r="N213" s="95"/>
      <c r="O213" s="95"/>
      <c r="P213" s="95"/>
      <c r="Q213" s="95"/>
      <c r="R213" s="95"/>
      <c r="T213" s="81"/>
      <c r="U213" s="95"/>
      <c r="V213" s="95"/>
      <c r="W213" s="95"/>
    </row>
    <row r="214" spans="5:23" ht="10.15" customHeight="1">
      <c r="E214" s="95"/>
      <c r="F214" s="95"/>
      <c r="G214" s="95"/>
      <c r="H214" s="95"/>
      <c r="I214" s="95"/>
      <c r="J214" s="95"/>
      <c r="K214" s="95"/>
      <c r="L214" s="95"/>
      <c r="M214" s="95"/>
      <c r="N214" s="95"/>
      <c r="O214" s="95"/>
      <c r="P214" s="95"/>
      <c r="Q214" s="95"/>
      <c r="R214" s="95"/>
      <c r="T214" s="81"/>
      <c r="U214" s="95"/>
      <c r="V214" s="95"/>
      <c r="W214" s="95"/>
    </row>
    <row r="215" spans="5:23" ht="10.15" customHeight="1">
      <c r="E215" s="95"/>
      <c r="F215" s="95"/>
      <c r="G215" s="95"/>
      <c r="H215" s="95"/>
      <c r="I215" s="95"/>
      <c r="J215" s="95"/>
      <c r="K215" s="95"/>
      <c r="L215" s="95"/>
      <c r="M215" s="95"/>
      <c r="N215" s="95"/>
      <c r="O215" s="95"/>
      <c r="P215" s="95"/>
      <c r="Q215" s="95"/>
      <c r="R215" s="95"/>
      <c r="T215" s="81"/>
      <c r="U215" s="95"/>
      <c r="V215" s="95"/>
      <c r="W215" s="95"/>
    </row>
    <row r="216" spans="5:23" ht="10.15" customHeight="1">
      <c r="E216" s="95"/>
      <c r="F216" s="95"/>
      <c r="G216" s="95"/>
      <c r="H216" s="95"/>
      <c r="I216" s="95"/>
      <c r="J216" s="95"/>
      <c r="K216" s="95"/>
      <c r="L216" s="95"/>
      <c r="M216" s="95"/>
      <c r="N216" s="95"/>
      <c r="O216" s="95"/>
      <c r="P216" s="95"/>
      <c r="Q216" s="95"/>
      <c r="R216" s="95"/>
      <c r="T216" s="81"/>
      <c r="U216" s="95"/>
      <c r="V216" s="95"/>
      <c r="W216" s="95"/>
    </row>
    <row r="217" spans="5:23" ht="10.15" customHeight="1">
      <c r="E217" s="95"/>
      <c r="F217" s="95"/>
      <c r="G217" s="95"/>
      <c r="H217" s="95"/>
      <c r="I217" s="95"/>
      <c r="J217" s="95"/>
      <c r="K217" s="95"/>
      <c r="L217" s="95"/>
      <c r="M217" s="95"/>
      <c r="N217" s="95"/>
      <c r="O217" s="95"/>
      <c r="P217" s="95"/>
      <c r="Q217" s="95"/>
      <c r="R217" s="95"/>
      <c r="T217" s="81"/>
      <c r="U217" s="95"/>
      <c r="V217" s="95"/>
      <c r="W217" s="95"/>
    </row>
    <row r="218" spans="5:23" ht="10.15" customHeight="1">
      <c r="E218" s="95"/>
      <c r="F218" s="95"/>
      <c r="G218" s="95"/>
      <c r="H218" s="95"/>
      <c r="I218" s="95"/>
      <c r="J218" s="95"/>
      <c r="K218" s="95"/>
      <c r="L218" s="95"/>
      <c r="M218" s="95"/>
      <c r="N218" s="95"/>
      <c r="O218" s="95"/>
      <c r="P218" s="95"/>
      <c r="Q218" s="95"/>
      <c r="R218" s="95"/>
      <c r="T218" s="81"/>
      <c r="U218" s="95"/>
      <c r="V218" s="95"/>
      <c r="W218" s="95"/>
    </row>
    <row r="219" spans="5:23" ht="10.15" customHeight="1">
      <c r="E219" s="95"/>
      <c r="F219" s="95"/>
      <c r="G219" s="95"/>
      <c r="H219" s="95"/>
      <c r="I219" s="95"/>
      <c r="J219" s="95"/>
      <c r="K219" s="95"/>
      <c r="L219" s="95"/>
      <c r="M219" s="95"/>
      <c r="N219" s="95"/>
      <c r="O219" s="95"/>
      <c r="P219" s="95"/>
      <c r="Q219" s="95"/>
      <c r="R219" s="95"/>
      <c r="T219" s="81"/>
      <c r="U219" s="95"/>
      <c r="V219" s="95"/>
      <c r="W219" s="95"/>
    </row>
    <row r="220" spans="5:23" ht="10.15" customHeight="1">
      <c r="E220" s="95"/>
      <c r="F220" s="95"/>
      <c r="G220" s="95"/>
      <c r="H220" s="95"/>
      <c r="I220" s="95"/>
      <c r="J220" s="95"/>
      <c r="K220" s="95"/>
      <c r="L220" s="95"/>
      <c r="M220" s="95"/>
      <c r="N220" s="95"/>
      <c r="O220" s="95"/>
      <c r="P220" s="95"/>
      <c r="Q220" s="95"/>
      <c r="R220" s="95"/>
      <c r="T220" s="81"/>
      <c r="U220" s="95"/>
      <c r="V220" s="95"/>
      <c r="W220" s="95"/>
    </row>
    <row r="221" spans="5:23" ht="10.15" customHeight="1">
      <c r="E221" s="95"/>
      <c r="F221" s="95"/>
      <c r="G221" s="95"/>
      <c r="H221" s="95"/>
      <c r="I221" s="95"/>
      <c r="J221" s="95"/>
      <c r="K221" s="95"/>
      <c r="L221" s="95"/>
      <c r="M221" s="95"/>
      <c r="N221" s="95"/>
      <c r="O221" s="95"/>
      <c r="P221" s="95"/>
      <c r="Q221" s="95"/>
      <c r="R221" s="95"/>
      <c r="T221" s="81"/>
      <c r="U221" s="95"/>
      <c r="V221" s="95"/>
      <c r="W221" s="95"/>
    </row>
    <row r="222" spans="5:23" ht="10.15" customHeight="1">
      <c r="E222" s="95"/>
      <c r="F222" s="95"/>
      <c r="G222" s="95"/>
      <c r="H222" s="95"/>
      <c r="I222" s="95"/>
      <c r="J222" s="95"/>
      <c r="K222" s="95"/>
      <c r="L222" s="95"/>
      <c r="M222" s="95"/>
      <c r="N222" s="95"/>
      <c r="O222" s="95"/>
      <c r="P222" s="95"/>
      <c r="Q222" s="95"/>
      <c r="R222" s="95"/>
      <c r="T222" s="81"/>
      <c r="U222" s="95"/>
      <c r="V222" s="95"/>
      <c r="W222" s="95"/>
    </row>
    <row r="223" spans="5:23" ht="10.15" customHeight="1">
      <c r="E223" s="95"/>
      <c r="F223" s="95"/>
      <c r="G223" s="95"/>
      <c r="H223" s="95"/>
      <c r="I223" s="95"/>
      <c r="J223" s="95"/>
      <c r="K223" s="95"/>
      <c r="L223" s="95"/>
      <c r="M223" s="95"/>
      <c r="N223" s="95"/>
      <c r="O223" s="95"/>
      <c r="P223" s="95"/>
      <c r="Q223" s="95"/>
      <c r="R223" s="95"/>
      <c r="T223" s="81"/>
      <c r="U223" s="95"/>
      <c r="V223" s="95"/>
      <c r="W223" s="95"/>
    </row>
    <row r="224" spans="5:23" ht="10.15" customHeight="1">
      <c r="E224" s="95"/>
      <c r="F224" s="95"/>
      <c r="G224" s="95"/>
      <c r="H224" s="95"/>
      <c r="I224" s="95"/>
      <c r="J224" s="95"/>
      <c r="K224" s="95"/>
      <c r="L224" s="95"/>
      <c r="M224" s="95"/>
      <c r="N224" s="95"/>
      <c r="O224" s="95"/>
      <c r="P224" s="95"/>
      <c r="Q224" s="95"/>
      <c r="R224" s="95"/>
      <c r="T224" s="81"/>
      <c r="U224" s="95"/>
      <c r="V224" s="95"/>
      <c r="W224" s="95"/>
    </row>
    <row r="225" spans="5:23" ht="10.15" customHeight="1">
      <c r="E225" s="95"/>
      <c r="F225" s="95"/>
      <c r="G225" s="95"/>
      <c r="H225" s="95"/>
      <c r="I225" s="95"/>
      <c r="J225" s="95"/>
      <c r="K225" s="95"/>
      <c r="L225" s="95"/>
      <c r="M225" s="95"/>
      <c r="N225" s="95"/>
      <c r="O225" s="95"/>
      <c r="P225" s="95"/>
      <c r="Q225" s="95"/>
      <c r="R225" s="95"/>
      <c r="T225" s="81"/>
      <c r="U225" s="95"/>
      <c r="V225" s="95"/>
      <c r="W225" s="95"/>
    </row>
    <row r="226" spans="5:23" ht="10.15" customHeight="1">
      <c r="E226" s="95"/>
      <c r="F226" s="95"/>
      <c r="G226" s="95"/>
      <c r="H226" s="95"/>
      <c r="I226" s="95"/>
      <c r="J226" s="95"/>
      <c r="K226" s="95"/>
      <c r="L226" s="95"/>
      <c r="M226" s="95"/>
      <c r="N226" s="95"/>
      <c r="O226" s="95"/>
      <c r="P226" s="95"/>
      <c r="Q226" s="95"/>
      <c r="R226" s="95"/>
      <c r="T226" s="81"/>
      <c r="U226" s="95"/>
      <c r="V226" s="95"/>
      <c r="W226" s="95"/>
    </row>
    <row r="227" spans="5:23" ht="10.15" customHeight="1">
      <c r="E227" s="95"/>
      <c r="F227" s="95"/>
      <c r="G227" s="95"/>
      <c r="H227" s="95"/>
      <c r="I227" s="95"/>
      <c r="J227" s="95"/>
      <c r="K227" s="95"/>
      <c r="L227" s="95"/>
      <c r="M227" s="95"/>
      <c r="N227" s="95"/>
      <c r="O227" s="95"/>
      <c r="P227" s="95"/>
      <c r="Q227" s="95"/>
      <c r="R227" s="95"/>
      <c r="T227" s="81"/>
      <c r="U227" s="95"/>
      <c r="V227" s="95"/>
      <c r="W227" s="95"/>
    </row>
    <row r="228" spans="5:23" ht="10.15" customHeight="1">
      <c r="E228" s="95"/>
      <c r="F228" s="95"/>
      <c r="G228" s="95"/>
      <c r="H228" s="95"/>
      <c r="I228" s="95"/>
      <c r="J228" s="95"/>
      <c r="K228" s="95"/>
      <c r="L228" s="95"/>
      <c r="M228" s="95"/>
      <c r="N228" s="95"/>
      <c r="O228" s="95"/>
      <c r="P228" s="95"/>
      <c r="Q228" s="95"/>
      <c r="R228" s="95"/>
      <c r="T228" s="81"/>
      <c r="U228" s="95"/>
      <c r="V228" s="95"/>
      <c r="W228" s="95"/>
    </row>
    <row r="229" spans="5:23" ht="10.15" customHeight="1">
      <c r="E229" s="95"/>
      <c r="F229" s="95"/>
      <c r="G229" s="95"/>
      <c r="H229" s="95"/>
      <c r="I229" s="95"/>
      <c r="J229" s="95"/>
      <c r="K229" s="95"/>
      <c r="L229" s="95"/>
      <c r="M229" s="95"/>
      <c r="N229" s="95"/>
      <c r="O229" s="95"/>
      <c r="P229" s="95"/>
      <c r="Q229" s="95"/>
      <c r="R229" s="95"/>
      <c r="T229" s="81"/>
      <c r="U229" s="95"/>
      <c r="V229" s="95"/>
      <c r="W229" s="95"/>
    </row>
    <row r="230" spans="5:23" ht="10.15" customHeight="1">
      <c r="E230" s="95"/>
      <c r="F230" s="95"/>
      <c r="G230" s="95"/>
      <c r="H230" s="95"/>
      <c r="I230" s="95"/>
      <c r="J230" s="95"/>
      <c r="K230" s="95"/>
      <c r="L230" s="95"/>
      <c r="M230" s="95"/>
      <c r="N230" s="95"/>
      <c r="O230" s="95"/>
      <c r="P230" s="95"/>
      <c r="Q230" s="95"/>
      <c r="R230" s="95"/>
      <c r="T230" s="81"/>
      <c r="U230" s="95"/>
      <c r="V230" s="95"/>
      <c r="W230" s="95"/>
    </row>
    <row r="231" spans="5:23" ht="10.15" customHeight="1">
      <c r="E231" s="95"/>
      <c r="F231" s="95"/>
      <c r="G231" s="95"/>
      <c r="H231" s="95"/>
      <c r="I231" s="95"/>
      <c r="J231" s="95"/>
      <c r="K231" s="95"/>
      <c r="L231" s="95"/>
      <c r="M231" s="95"/>
      <c r="N231" s="95"/>
      <c r="O231" s="95"/>
      <c r="P231" s="95"/>
      <c r="Q231" s="95"/>
      <c r="R231" s="95"/>
      <c r="T231" s="81"/>
      <c r="U231" s="95"/>
      <c r="V231" s="95"/>
      <c r="W231" s="95"/>
    </row>
    <row r="232" spans="5:23" ht="10.15" customHeight="1">
      <c r="E232" s="95"/>
      <c r="F232" s="95"/>
      <c r="G232" s="95"/>
      <c r="H232" s="95"/>
      <c r="I232" s="95"/>
      <c r="J232" s="95"/>
      <c r="K232" s="95"/>
      <c r="L232" s="95"/>
      <c r="M232" s="95"/>
      <c r="N232" s="95"/>
      <c r="O232" s="95"/>
      <c r="P232" s="95"/>
      <c r="Q232" s="95"/>
      <c r="R232" s="95"/>
      <c r="T232" s="81"/>
      <c r="U232" s="95"/>
      <c r="V232" s="95"/>
      <c r="W232" s="95"/>
    </row>
    <row r="233" spans="5:23" ht="10.15" customHeight="1">
      <c r="E233" s="95"/>
      <c r="F233" s="95"/>
      <c r="G233" s="95"/>
      <c r="H233" s="95"/>
      <c r="I233" s="95"/>
      <c r="J233" s="95"/>
      <c r="K233" s="95"/>
      <c r="L233" s="95"/>
      <c r="M233" s="95"/>
      <c r="N233" s="95"/>
      <c r="O233" s="95"/>
      <c r="P233" s="95"/>
      <c r="Q233" s="95"/>
      <c r="R233" s="95"/>
      <c r="T233" s="81"/>
      <c r="U233" s="95"/>
      <c r="V233" s="95"/>
      <c r="W233" s="95"/>
    </row>
    <row r="234" spans="5:23" ht="10.15" customHeight="1">
      <c r="E234" s="95"/>
      <c r="F234" s="95"/>
      <c r="G234" s="95"/>
      <c r="H234" s="95"/>
      <c r="I234" s="95"/>
      <c r="J234" s="95"/>
      <c r="K234" s="95"/>
      <c r="L234" s="95"/>
      <c r="M234" s="95"/>
      <c r="N234" s="95"/>
      <c r="O234" s="95"/>
      <c r="P234" s="95"/>
      <c r="Q234" s="95"/>
      <c r="R234" s="95"/>
      <c r="T234" s="81"/>
      <c r="U234" s="95"/>
      <c r="V234" s="95"/>
      <c r="W234" s="95"/>
    </row>
    <row r="235" spans="5:23" ht="10.15" customHeight="1">
      <c r="E235" s="95"/>
      <c r="F235" s="95"/>
      <c r="G235" s="95"/>
      <c r="H235" s="95"/>
      <c r="I235" s="95"/>
      <c r="J235" s="95"/>
      <c r="K235" s="95"/>
      <c r="L235" s="95"/>
      <c r="M235" s="95"/>
      <c r="N235" s="95"/>
      <c r="O235" s="95"/>
      <c r="P235" s="95"/>
      <c r="Q235" s="95"/>
      <c r="R235" s="95"/>
      <c r="T235" s="81"/>
      <c r="U235" s="95"/>
      <c r="V235" s="95"/>
      <c r="W235" s="95"/>
    </row>
    <row r="236" spans="5:23" ht="10.15" customHeight="1">
      <c r="E236" s="95"/>
      <c r="F236" s="95"/>
      <c r="G236" s="95"/>
      <c r="H236" s="95"/>
      <c r="I236" s="95"/>
      <c r="J236" s="95"/>
      <c r="K236" s="95"/>
      <c r="L236" s="95"/>
      <c r="M236" s="95"/>
      <c r="N236" s="95"/>
      <c r="O236" s="95"/>
      <c r="P236" s="95"/>
      <c r="Q236" s="95"/>
      <c r="R236" s="95"/>
      <c r="T236" s="81"/>
      <c r="U236" s="95"/>
      <c r="V236" s="95"/>
      <c r="W236" s="95"/>
    </row>
    <row r="237" spans="5:23" ht="10.15" customHeight="1">
      <c r="E237" s="95"/>
      <c r="F237" s="95"/>
      <c r="G237" s="95"/>
      <c r="H237" s="95"/>
      <c r="I237" s="95"/>
      <c r="J237" s="95"/>
      <c r="K237" s="95"/>
      <c r="L237" s="95"/>
      <c r="M237" s="95"/>
      <c r="N237" s="95"/>
      <c r="O237" s="95"/>
      <c r="P237" s="95"/>
      <c r="Q237" s="95"/>
      <c r="R237" s="95"/>
      <c r="T237" s="81"/>
      <c r="U237" s="95"/>
      <c r="V237" s="95"/>
      <c r="W237" s="95"/>
    </row>
    <row r="238" spans="5:23" ht="10.15" customHeight="1">
      <c r="E238" s="95"/>
      <c r="F238" s="95"/>
      <c r="G238" s="95"/>
      <c r="H238" s="95"/>
      <c r="I238" s="95"/>
      <c r="J238" s="95"/>
      <c r="K238" s="95"/>
      <c r="L238" s="95"/>
      <c r="M238" s="95"/>
      <c r="N238" s="95"/>
      <c r="O238" s="95"/>
      <c r="P238" s="95"/>
      <c r="Q238" s="95"/>
      <c r="R238" s="95"/>
      <c r="T238" s="81"/>
      <c r="U238" s="95"/>
      <c r="V238" s="95"/>
      <c r="W238" s="95"/>
    </row>
    <row r="239" spans="5:23" ht="10.15" customHeight="1">
      <c r="E239" s="95"/>
      <c r="F239" s="95"/>
      <c r="G239" s="95"/>
      <c r="H239" s="95"/>
      <c r="I239" s="95"/>
      <c r="J239" s="95"/>
      <c r="K239" s="95"/>
      <c r="L239" s="95"/>
      <c r="M239" s="95"/>
      <c r="N239" s="95"/>
      <c r="O239" s="95"/>
      <c r="P239" s="95"/>
      <c r="Q239" s="95"/>
      <c r="R239" s="95"/>
      <c r="T239" s="81"/>
      <c r="U239" s="95"/>
      <c r="V239" s="95"/>
      <c r="W239" s="95"/>
    </row>
    <row r="240" spans="5:23" ht="10.15" customHeight="1">
      <c r="E240" s="95"/>
      <c r="F240" s="95"/>
      <c r="G240" s="95"/>
      <c r="H240" s="95"/>
      <c r="I240" s="95"/>
      <c r="J240" s="95"/>
      <c r="K240" s="95"/>
      <c r="L240" s="95"/>
      <c r="M240" s="95"/>
      <c r="N240" s="95"/>
      <c r="O240" s="95"/>
      <c r="P240" s="95"/>
      <c r="Q240" s="95"/>
      <c r="R240" s="95"/>
      <c r="T240" s="81"/>
      <c r="U240" s="95"/>
      <c r="V240" s="95"/>
      <c r="W240" s="95"/>
    </row>
    <row r="241" spans="5:23" ht="10.15" customHeight="1">
      <c r="E241" s="95"/>
      <c r="F241" s="95"/>
      <c r="G241" s="95"/>
      <c r="H241" s="95"/>
      <c r="I241" s="95"/>
      <c r="J241" s="95"/>
      <c r="K241" s="95"/>
      <c r="L241" s="95"/>
      <c r="M241" s="95"/>
      <c r="N241" s="95"/>
      <c r="O241" s="95"/>
      <c r="P241" s="95"/>
      <c r="Q241" s="95"/>
      <c r="R241" s="95"/>
      <c r="T241" s="81"/>
      <c r="U241" s="95"/>
      <c r="V241" s="95"/>
      <c r="W241" s="95"/>
    </row>
    <row r="242" spans="5:23" ht="10.15" customHeight="1">
      <c r="E242" s="95"/>
      <c r="F242" s="95"/>
      <c r="G242" s="95"/>
      <c r="H242" s="95"/>
      <c r="I242" s="95"/>
      <c r="J242" s="95"/>
      <c r="K242" s="95"/>
      <c r="L242" s="95"/>
      <c r="M242" s="95"/>
      <c r="N242" s="95"/>
      <c r="O242" s="95"/>
      <c r="P242" s="95"/>
      <c r="Q242" s="95"/>
      <c r="R242" s="95"/>
      <c r="T242" s="81"/>
      <c r="U242" s="95"/>
      <c r="V242" s="95"/>
      <c r="W242" s="95"/>
    </row>
    <row r="243" spans="5:23" ht="10.15" customHeight="1">
      <c r="E243" s="95"/>
      <c r="F243" s="95"/>
      <c r="G243" s="95"/>
      <c r="H243" s="95"/>
      <c r="I243" s="95"/>
      <c r="J243" s="95"/>
      <c r="K243" s="95"/>
      <c r="L243" s="95"/>
      <c r="M243" s="95"/>
      <c r="N243" s="95"/>
      <c r="O243" s="95"/>
      <c r="P243" s="95"/>
      <c r="Q243" s="95"/>
      <c r="R243" s="95"/>
      <c r="T243" s="81"/>
      <c r="U243" s="95"/>
      <c r="V243" s="95"/>
      <c r="W243" s="95"/>
    </row>
    <row r="244" spans="5:23" ht="10.15" customHeight="1">
      <c r="E244" s="95"/>
      <c r="F244" s="95"/>
      <c r="G244" s="95"/>
      <c r="H244" s="95"/>
      <c r="I244" s="95"/>
      <c r="J244" s="95"/>
      <c r="K244" s="95"/>
      <c r="L244" s="95"/>
      <c r="M244" s="95"/>
      <c r="N244" s="95"/>
      <c r="O244" s="95"/>
      <c r="P244" s="95"/>
      <c r="Q244" s="95"/>
      <c r="R244" s="95"/>
      <c r="T244" s="81"/>
      <c r="U244" s="95"/>
      <c r="V244" s="95"/>
      <c r="W244" s="95"/>
    </row>
    <row r="245" spans="5:23" ht="10.15" customHeight="1">
      <c r="E245" s="95"/>
      <c r="F245" s="95"/>
      <c r="G245" s="95"/>
      <c r="H245" s="95"/>
      <c r="I245" s="95"/>
      <c r="J245" s="95"/>
      <c r="K245" s="95"/>
      <c r="L245" s="95"/>
      <c r="M245" s="95"/>
      <c r="N245" s="95"/>
      <c r="O245" s="95"/>
      <c r="P245" s="95"/>
      <c r="Q245" s="95"/>
      <c r="R245" s="95"/>
      <c r="T245" s="81"/>
      <c r="U245" s="95"/>
      <c r="V245" s="95"/>
      <c r="W245" s="95"/>
    </row>
    <row r="246" spans="5:23" ht="10.15" customHeight="1">
      <c r="E246" s="95"/>
      <c r="F246" s="95"/>
      <c r="G246" s="95"/>
      <c r="H246" s="95"/>
      <c r="I246" s="95"/>
      <c r="J246" s="95"/>
      <c r="K246" s="95"/>
      <c r="L246" s="95"/>
      <c r="M246" s="95"/>
      <c r="N246" s="95"/>
      <c r="O246" s="95"/>
      <c r="P246" s="95"/>
      <c r="Q246" s="95"/>
      <c r="R246" s="95"/>
      <c r="T246" s="81"/>
      <c r="U246" s="95"/>
      <c r="V246" s="95"/>
      <c r="W246" s="95"/>
    </row>
    <row r="247" spans="5:23" ht="10.15" customHeight="1">
      <c r="E247" s="95"/>
      <c r="F247" s="95"/>
      <c r="G247" s="95"/>
      <c r="H247" s="95"/>
      <c r="I247" s="95"/>
      <c r="J247" s="95"/>
      <c r="K247" s="95"/>
      <c r="L247" s="95"/>
      <c r="M247" s="95"/>
      <c r="N247" s="95"/>
      <c r="O247" s="95"/>
      <c r="P247" s="95"/>
      <c r="Q247" s="95"/>
      <c r="R247" s="95"/>
      <c r="T247" s="81"/>
      <c r="U247" s="95"/>
      <c r="V247" s="95"/>
      <c r="W247" s="95"/>
    </row>
    <row r="248" spans="5:23" ht="10.15" customHeight="1">
      <c r="E248" s="95"/>
      <c r="F248" s="95"/>
      <c r="G248" s="95"/>
      <c r="H248" s="95"/>
      <c r="I248" s="95"/>
      <c r="J248" s="95"/>
      <c r="K248" s="95"/>
      <c r="L248" s="95"/>
      <c r="M248" s="95"/>
      <c r="N248" s="95"/>
      <c r="O248" s="95"/>
      <c r="P248" s="95"/>
      <c r="Q248" s="95"/>
      <c r="R248" s="95"/>
      <c r="T248" s="81"/>
      <c r="U248" s="95"/>
      <c r="V248" s="95"/>
      <c r="W248" s="95"/>
    </row>
    <row r="249" spans="5:23" ht="10.15" customHeight="1">
      <c r="E249" s="95"/>
      <c r="F249" s="95"/>
      <c r="G249" s="95"/>
      <c r="H249" s="95"/>
      <c r="I249" s="95"/>
      <c r="J249" s="95"/>
      <c r="K249" s="95"/>
      <c r="L249" s="95"/>
      <c r="M249" s="95"/>
      <c r="N249" s="95"/>
      <c r="O249" s="95"/>
      <c r="P249" s="95"/>
      <c r="Q249" s="95"/>
      <c r="R249" s="95"/>
      <c r="T249" s="81"/>
      <c r="U249" s="95"/>
      <c r="V249" s="95"/>
      <c r="W249" s="95"/>
    </row>
    <row r="250" spans="5:23" ht="10.15" customHeight="1">
      <c r="E250" s="95"/>
      <c r="F250" s="95"/>
      <c r="G250" s="95"/>
      <c r="H250" s="95"/>
      <c r="I250" s="95"/>
      <c r="J250" s="95"/>
      <c r="K250" s="95"/>
      <c r="L250" s="95"/>
      <c r="M250" s="95"/>
      <c r="N250" s="95"/>
      <c r="O250" s="95"/>
      <c r="P250" s="95"/>
      <c r="Q250" s="95"/>
      <c r="R250" s="95"/>
      <c r="T250" s="81"/>
      <c r="U250" s="95"/>
      <c r="V250" s="95"/>
      <c r="W250" s="95"/>
    </row>
    <row r="251" spans="5:23" ht="10.15" customHeight="1">
      <c r="E251" s="95"/>
      <c r="F251" s="95"/>
      <c r="G251" s="95"/>
      <c r="H251" s="95"/>
      <c r="I251" s="95"/>
      <c r="J251" s="95"/>
      <c r="K251" s="95"/>
      <c r="L251" s="95"/>
      <c r="M251" s="95"/>
      <c r="N251" s="95"/>
      <c r="O251" s="95"/>
      <c r="P251" s="95"/>
      <c r="Q251" s="95"/>
      <c r="R251" s="95"/>
      <c r="T251" s="81"/>
      <c r="U251" s="95"/>
      <c r="V251" s="95"/>
      <c r="W251" s="95"/>
    </row>
    <row r="252" spans="5:23" ht="10.15" customHeight="1">
      <c r="E252" s="95"/>
      <c r="F252" s="95"/>
      <c r="G252" s="95"/>
      <c r="H252" s="95"/>
      <c r="I252" s="95"/>
      <c r="J252" s="95"/>
      <c r="K252" s="95"/>
      <c r="L252" s="95"/>
      <c r="M252" s="95"/>
      <c r="N252" s="95"/>
      <c r="O252" s="95"/>
      <c r="P252" s="95"/>
      <c r="Q252" s="95"/>
      <c r="R252" s="95"/>
      <c r="T252" s="81"/>
      <c r="U252" s="95"/>
      <c r="V252" s="95"/>
      <c r="W252" s="95"/>
    </row>
    <row r="253" spans="5:23" ht="10.15" customHeight="1">
      <c r="E253" s="95"/>
      <c r="F253" s="95"/>
      <c r="G253" s="95"/>
      <c r="H253" s="95"/>
      <c r="I253" s="95"/>
      <c r="J253" s="95"/>
      <c r="K253" s="95"/>
      <c r="L253" s="95"/>
      <c r="M253" s="95"/>
      <c r="N253" s="95"/>
      <c r="O253" s="95"/>
      <c r="P253" s="95"/>
      <c r="Q253" s="95"/>
      <c r="R253" s="95"/>
      <c r="T253" s="81"/>
      <c r="U253" s="95"/>
      <c r="V253" s="95"/>
      <c r="W253" s="95"/>
    </row>
    <row r="254" spans="5:23" ht="10.15" customHeight="1">
      <c r="E254" s="95"/>
      <c r="F254" s="95"/>
      <c r="G254" s="95"/>
      <c r="H254" s="95"/>
      <c r="I254" s="95"/>
      <c r="J254" s="95"/>
      <c r="K254" s="95"/>
      <c r="L254" s="95"/>
      <c r="M254" s="95"/>
      <c r="N254" s="95"/>
      <c r="O254" s="95"/>
      <c r="P254" s="95"/>
      <c r="Q254" s="95"/>
      <c r="R254" s="95"/>
      <c r="T254" s="81"/>
      <c r="U254" s="95"/>
      <c r="V254" s="95"/>
      <c r="W254" s="95"/>
    </row>
    <row r="255" spans="5:23" ht="10.15" customHeight="1">
      <c r="E255" s="95"/>
      <c r="F255" s="95"/>
      <c r="G255" s="95"/>
      <c r="H255" s="95"/>
      <c r="I255" s="95"/>
      <c r="J255" s="95"/>
      <c r="K255" s="95"/>
      <c r="L255" s="95"/>
      <c r="M255" s="95"/>
      <c r="N255" s="95"/>
      <c r="O255" s="95"/>
      <c r="P255" s="95"/>
      <c r="Q255" s="95"/>
      <c r="R255" s="95"/>
      <c r="T255" s="81"/>
      <c r="U255" s="95"/>
      <c r="V255" s="95"/>
      <c r="W255" s="95"/>
    </row>
    <row r="256" spans="5:23" ht="10.15" customHeight="1">
      <c r="E256" s="95"/>
      <c r="F256" s="95"/>
      <c r="G256" s="95"/>
      <c r="H256" s="95"/>
      <c r="I256" s="95"/>
      <c r="J256" s="95"/>
      <c r="K256" s="95"/>
      <c r="L256" s="95"/>
      <c r="M256" s="95"/>
      <c r="N256" s="95"/>
      <c r="O256" s="95"/>
      <c r="P256" s="95"/>
      <c r="Q256" s="95"/>
      <c r="R256" s="95"/>
      <c r="T256" s="81"/>
      <c r="U256" s="95"/>
      <c r="V256" s="95"/>
      <c r="W256" s="95"/>
    </row>
    <row r="257" spans="5:23" ht="10.15" customHeight="1">
      <c r="E257" s="95"/>
      <c r="F257" s="95"/>
      <c r="G257" s="95"/>
      <c r="H257" s="95"/>
      <c r="I257" s="95"/>
      <c r="J257" s="95"/>
      <c r="K257" s="95"/>
      <c r="L257" s="95"/>
      <c r="M257" s="95"/>
      <c r="N257" s="95"/>
      <c r="O257" s="95"/>
      <c r="P257" s="95"/>
      <c r="Q257" s="95"/>
      <c r="R257" s="95"/>
      <c r="T257" s="81"/>
      <c r="U257" s="95"/>
      <c r="V257" s="95"/>
      <c r="W257" s="95"/>
    </row>
    <row r="258" spans="5:23" ht="10.15" customHeight="1">
      <c r="E258" s="95"/>
      <c r="F258" s="95"/>
      <c r="G258" s="95"/>
      <c r="H258" s="95"/>
      <c r="I258" s="95"/>
      <c r="J258" s="95"/>
      <c r="K258" s="95"/>
      <c r="L258" s="95"/>
      <c r="M258" s="95"/>
      <c r="N258" s="95"/>
      <c r="O258" s="95"/>
      <c r="P258" s="95"/>
      <c r="Q258" s="95"/>
      <c r="R258" s="95"/>
      <c r="T258" s="81"/>
      <c r="U258" s="95"/>
      <c r="V258" s="95"/>
      <c r="W258" s="95"/>
    </row>
    <row r="259" spans="5:23" ht="10.15" customHeight="1">
      <c r="E259" s="95"/>
      <c r="F259" s="95"/>
      <c r="G259" s="95"/>
      <c r="H259" s="95"/>
      <c r="I259" s="95"/>
      <c r="J259" s="95"/>
      <c r="K259" s="95"/>
      <c r="L259" s="95"/>
      <c r="M259" s="95"/>
      <c r="N259" s="95"/>
      <c r="O259" s="95"/>
      <c r="P259" s="95"/>
      <c r="Q259" s="95"/>
      <c r="R259" s="95"/>
      <c r="T259" s="81"/>
      <c r="U259" s="95"/>
      <c r="V259" s="95"/>
      <c r="W259" s="95"/>
    </row>
    <row r="260" spans="5:23" ht="10.15" customHeight="1">
      <c r="E260" s="95"/>
      <c r="F260" s="95"/>
      <c r="G260" s="95"/>
      <c r="H260" s="95"/>
      <c r="I260" s="95"/>
      <c r="J260" s="95"/>
      <c r="K260" s="95"/>
      <c r="L260" s="95"/>
      <c r="M260" s="95"/>
      <c r="N260" s="95"/>
      <c r="O260" s="95"/>
      <c r="P260" s="95"/>
      <c r="Q260" s="95"/>
      <c r="R260" s="95"/>
      <c r="T260" s="81"/>
      <c r="U260" s="95"/>
      <c r="V260" s="95"/>
      <c r="W260" s="95"/>
    </row>
    <row r="261" spans="5:23" ht="10.15" customHeight="1">
      <c r="E261" s="95"/>
      <c r="F261" s="95"/>
      <c r="G261" s="95"/>
      <c r="H261" s="95"/>
      <c r="I261" s="95"/>
      <c r="J261" s="95"/>
      <c r="K261" s="95"/>
      <c r="L261" s="95"/>
      <c r="M261" s="95"/>
      <c r="N261" s="95"/>
      <c r="O261" s="95"/>
      <c r="P261" s="95"/>
      <c r="Q261" s="95"/>
      <c r="R261" s="95"/>
      <c r="T261" s="81"/>
      <c r="U261" s="95"/>
      <c r="V261" s="95"/>
      <c r="W261" s="95"/>
    </row>
    <row r="262" spans="5:23" ht="10.15" customHeight="1">
      <c r="E262" s="95"/>
      <c r="F262" s="95"/>
      <c r="G262" s="95"/>
      <c r="H262" s="95"/>
      <c r="I262" s="95"/>
      <c r="J262" s="95"/>
      <c r="K262" s="95"/>
      <c r="L262" s="95"/>
      <c r="M262" s="95"/>
      <c r="N262" s="95"/>
      <c r="O262" s="95"/>
      <c r="P262" s="95"/>
      <c r="Q262" s="95"/>
      <c r="R262" s="95"/>
      <c r="T262" s="81"/>
      <c r="U262" s="95"/>
      <c r="V262" s="95"/>
      <c r="W262" s="95"/>
    </row>
    <row r="263" spans="5:23" ht="10.15" customHeight="1">
      <c r="E263" s="95"/>
      <c r="F263" s="95"/>
      <c r="G263" s="95"/>
      <c r="H263" s="95"/>
      <c r="I263" s="95"/>
      <c r="J263" s="95"/>
      <c r="K263" s="95"/>
      <c r="L263" s="95"/>
      <c r="M263" s="95"/>
      <c r="N263" s="95"/>
      <c r="O263" s="95"/>
      <c r="P263" s="95"/>
      <c r="Q263" s="95"/>
      <c r="R263" s="95"/>
      <c r="T263" s="81"/>
      <c r="U263" s="95"/>
      <c r="V263" s="95"/>
      <c r="W263" s="95"/>
    </row>
    <row r="264" spans="5:23" ht="10.15" customHeight="1">
      <c r="E264" s="95"/>
      <c r="F264" s="95"/>
      <c r="G264" s="95"/>
      <c r="H264" s="95"/>
      <c r="I264" s="95"/>
      <c r="J264" s="95"/>
      <c r="K264" s="95"/>
      <c r="L264" s="95"/>
      <c r="M264" s="95"/>
      <c r="N264" s="95"/>
      <c r="O264" s="95"/>
      <c r="P264" s="95"/>
      <c r="Q264" s="95"/>
      <c r="R264" s="95"/>
      <c r="T264" s="81"/>
      <c r="U264" s="95"/>
      <c r="V264" s="95"/>
      <c r="W264" s="95"/>
    </row>
    <row r="265" spans="5:23" ht="10.15" customHeight="1">
      <c r="E265" s="95"/>
      <c r="F265" s="95"/>
      <c r="G265" s="95"/>
      <c r="H265" s="95"/>
      <c r="I265" s="95"/>
      <c r="J265" s="95"/>
      <c r="K265" s="95"/>
      <c r="L265" s="95"/>
      <c r="M265" s="95"/>
      <c r="N265" s="95"/>
      <c r="O265" s="95"/>
      <c r="P265" s="95"/>
      <c r="Q265" s="95"/>
      <c r="R265" s="95"/>
      <c r="T265" s="81"/>
      <c r="U265" s="95"/>
      <c r="V265" s="95"/>
      <c r="W265" s="95"/>
    </row>
    <row r="266" spans="5:23" ht="10.15" customHeight="1">
      <c r="E266" s="95"/>
      <c r="F266" s="95"/>
      <c r="G266" s="95"/>
      <c r="H266" s="95"/>
      <c r="I266" s="95"/>
      <c r="J266" s="95"/>
      <c r="K266" s="95"/>
      <c r="L266" s="95"/>
      <c r="M266" s="95"/>
      <c r="N266" s="95"/>
      <c r="O266" s="95"/>
      <c r="P266" s="95"/>
      <c r="Q266" s="95"/>
      <c r="R266" s="95"/>
      <c r="T266" s="81"/>
      <c r="U266" s="95"/>
      <c r="V266" s="95"/>
      <c r="W266" s="95"/>
    </row>
    <row r="267" spans="5:23" ht="10.15" customHeight="1">
      <c r="E267" s="95"/>
      <c r="F267" s="95"/>
      <c r="G267" s="95"/>
      <c r="H267" s="95"/>
      <c r="I267" s="95"/>
      <c r="J267" s="95"/>
      <c r="K267" s="95"/>
      <c r="L267" s="95"/>
      <c r="M267" s="95"/>
      <c r="N267" s="95"/>
      <c r="O267" s="95"/>
      <c r="P267" s="95"/>
      <c r="Q267" s="95"/>
      <c r="R267" s="95"/>
      <c r="T267" s="81"/>
      <c r="U267" s="95"/>
      <c r="V267" s="95"/>
      <c r="W267" s="95"/>
    </row>
    <row r="268" spans="5:23" ht="10.15" customHeight="1">
      <c r="E268" s="95"/>
      <c r="F268" s="95"/>
      <c r="G268" s="95"/>
      <c r="H268" s="95"/>
      <c r="I268" s="95"/>
      <c r="J268" s="95"/>
      <c r="K268" s="95"/>
      <c r="L268" s="95"/>
      <c r="M268" s="95"/>
      <c r="N268" s="95"/>
      <c r="O268" s="95"/>
      <c r="P268" s="95"/>
      <c r="Q268" s="95"/>
      <c r="R268" s="95"/>
      <c r="T268" s="81"/>
      <c r="U268" s="95"/>
      <c r="V268" s="95"/>
      <c r="W268" s="95"/>
    </row>
    <row r="269" spans="5:23" ht="10.15" customHeight="1">
      <c r="E269" s="95"/>
      <c r="F269" s="95"/>
      <c r="G269" s="95"/>
      <c r="H269" s="95"/>
      <c r="I269" s="95"/>
      <c r="J269" s="95"/>
      <c r="K269" s="95"/>
      <c r="L269" s="95"/>
      <c r="M269" s="95"/>
      <c r="N269" s="95"/>
      <c r="O269" s="95"/>
      <c r="P269" s="95"/>
      <c r="Q269" s="95"/>
      <c r="R269" s="95"/>
      <c r="T269" s="81"/>
      <c r="U269" s="95"/>
      <c r="V269" s="95"/>
      <c r="W269" s="95"/>
    </row>
    <row r="270" spans="5:23" ht="10.15" customHeight="1">
      <c r="E270" s="95"/>
      <c r="F270" s="95"/>
      <c r="G270" s="95"/>
      <c r="H270" s="95"/>
      <c r="I270" s="95"/>
      <c r="J270" s="95"/>
      <c r="K270" s="95"/>
      <c r="L270" s="95"/>
      <c r="M270" s="95"/>
      <c r="N270" s="95"/>
      <c r="O270" s="95"/>
      <c r="P270" s="95"/>
      <c r="Q270" s="95"/>
      <c r="R270" s="95"/>
      <c r="T270" s="81"/>
      <c r="U270" s="95"/>
      <c r="V270" s="95"/>
      <c r="W270" s="95"/>
    </row>
    <row r="271" spans="5:23" ht="10.15" customHeight="1">
      <c r="E271" s="95"/>
      <c r="F271" s="95"/>
      <c r="G271" s="95"/>
      <c r="H271" s="95"/>
      <c r="I271" s="95"/>
      <c r="J271" s="95"/>
      <c r="K271" s="95"/>
      <c r="L271" s="95"/>
      <c r="M271" s="95"/>
      <c r="N271" s="95"/>
      <c r="O271" s="95"/>
      <c r="P271" s="95"/>
      <c r="Q271" s="95"/>
      <c r="R271" s="95"/>
      <c r="T271" s="81"/>
      <c r="U271" s="95"/>
      <c r="V271" s="95"/>
      <c r="W271" s="95"/>
    </row>
    <row r="272" spans="5:23" ht="10.15" customHeight="1">
      <c r="E272" s="95"/>
      <c r="F272" s="95"/>
      <c r="G272" s="95"/>
      <c r="H272" s="95"/>
      <c r="I272" s="95"/>
      <c r="J272" s="95"/>
      <c r="K272" s="95"/>
      <c r="L272" s="95"/>
      <c r="M272" s="95"/>
      <c r="N272" s="95"/>
      <c r="O272" s="95"/>
      <c r="P272" s="95"/>
      <c r="Q272" s="95"/>
      <c r="R272" s="95"/>
      <c r="T272" s="81"/>
      <c r="U272" s="95"/>
      <c r="V272" s="95"/>
      <c r="W272" s="95"/>
    </row>
    <row r="273" spans="5:23" ht="10.15" customHeight="1">
      <c r="E273" s="95"/>
      <c r="F273" s="95"/>
      <c r="G273" s="95"/>
      <c r="H273" s="95"/>
      <c r="I273" s="95"/>
      <c r="J273" s="95"/>
      <c r="K273" s="95"/>
      <c r="L273" s="95"/>
      <c r="M273" s="95"/>
      <c r="N273" s="95"/>
      <c r="O273" s="95"/>
      <c r="P273" s="95"/>
      <c r="Q273" s="95"/>
      <c r="R273" s="95"/>
      <c r="T273" s="81"/>
      <c r="U273" s="95"/>
      <c r="V273" s="95"/>
      <c r="W273" s="95"/>
    </row>
    <row r="274" spans="5:23" ht="10.15" customHeight="1">
      <c r="E274" s="95"/>
      <c r="F274" s="95"/>
      <c r="G274" s="95"/>
      <c r="H274" s="95"/>
      <c r="I274" s="95"/>
      <c r="J274" s="95"/>
      <c r="K274" s="95"/>
      <c r="L274" s="95"/>
      <c r="M274" s="95"/>
      <c r="N274" s="95"/>
      <c r="O274" s="95"/>
      <c r="P274" s="95"/>
      <c r="Q274" s="95"/>
      <c r="R274" s="95"/>
      <c r="T274" s="81"/>
      <c r="U274" s="95"/>
      <c r="V274" s="95"/>
      <c r="W274" s="95"/>
    </row>
    <row r="275" spans="5:23" ht="10.15" customHeight="1">
      <c r="E275" s="95"/>
      <c r="F275" s="95"/>
      <c r="G275" s="95"/>
      <c r="H275" s="95"/>
      <c r="I275" s="95"/>
      <c r="J275" s="95"/>
      <c r="K275" s="95"/>
      <c r="L275" s="95"/>
      <c r="M275" s="95"/>
      <c r="N275" s="95"/>
      <c r="O275" s="95"/>
      <c r="P275" s="95"/>
      <c r="Q275" s="95"/>
      <c r="R275" s="95"/>
      <c r="T275" s="81"/>
      <c r="U275" s="95"/>
      <c r="V275" s="95"/>
      <c r="W275" s="95"/>
    </row>
    <row r="276" spans="5:23" ht="10.15" customHeight="1">
      <c r="E276" s="95"/>
      <c r="F276" s="95"/>
      <c r="G276" s="95"/>
      <c r="H276" s="95"/>
      <c r="I276" s="95"/>
      <c r="J276" s="95"/>
      <c r="K276" s="95"/>
      <c r="L276" s="95"/>
      <c r="M276" s="95"/>
      <c r="N276" s="95"/>
      <c r="O276" s="95"/>
      <c r="P276" s="95"/>
      <c r="Q276" s="95"/>
      <c r="R276" s="95"/>
      <c r="T276" s="81"/>
      <c r="U276" s="95"/>
      <c r="V276" s="95"/>
      <c r="W276" s="95"/>
    </row>
    <row r="277" spans="5:23" ht="10.15" customHeight="1">
      <c r="E277" s="95"/>
      <c r="F277" s="95"/>
      <c r="G277" s="95"/>
      <c r="H277" s="95"/>
      <c r="I277" s="95"/>
      <c r="J277" s="95"/>
      <c r="K277" s="95"/>
      <c r="L277" s="95"/>
      <c r="M277" s="95"/>
      <c r="N277" s="95"/>
      <c r="O277" s="95"/>
      <c r="P277" s="95"/>
      <c r="Q277" s="95"/>
      <c r="R277" s="95"/>
      <c r="T277" s="81"/>
      <c r="U277" s="95"/>
      <c r="V277" s="95"/>
      <c r="W277" s="95"/>
    </row>
    <row r="278" spans="5:23" ht="10.15" customHeight="1">
      <c r="E278" s="95"/>
      <c r="F278" s="95"/>
      <c r="G278" s="95"/>
      <c r="H278" s="95"/>
      <c r="I278" s="95"/>
      <c r="J278" s="95"/>
      <c r="K278" s="95"/>
      <c r="L278" s="95"/>
      <c r="M278" s="95"/>
      <c r="N278" s="95"/>
      <c r="O278" s="95"/>
      <c r="P278" s="95"/>
      <c r="Q278" s="95"/>
      <c r="R278" s="95"/>
      <c r="T278" s="81"/>
      <c r="U278" s="95"/>
      <c r="V278" s="95"/>
      <c r="W278" s="95"/>
    </row>
    <row r="279" spans="5:23" ht="10.15" customHeight="1">
      <c r="E279" s="95"/>
      <c r="F279" s="95"/>
      <c r="G279" s="95"/>
      <c r="H279" s="95"/>
      <c r="I279" s="95"/>
      <c r="J279" s="95"/>
      <c r="K279" s="95"/>
      <c r="L279" s="95"/>
      <c r="M279" s="95"/>
      <c r="N279" s="95"/>
      <c r="O279" s="95"/>
      <c r="P279" s="95"/>
      <c r="Q279" s="95"/>
      <c r="R279" s="95"/>
      <c r="T279" s="81"/>
      <c r="U279" s="95"/>
      <c r="V279" s="95"/>
      <c r="W279" s="95"/>
    </row>
    <row r="280" spans="5:23" ht="10.15" customHeight="1">
      <c r="E280" s="95"/>
      <c r="F280" s="95"/>
      <c r="G280" s="95"/>
      <c r="H280" s="95"/>
      <c r="I280" s="95"/>
      <c r="J280" s="95"/>
      <c r="K280" s="95"/>
      <c r="L280" s="95"/>
      <c r="M280" s="95"/>
      <c r="N280" s="95"/>
      <c r="O280" s="95"/>
      <c r="P280" s="95"/>
      <c r="Q280" s="95"/>
      <c r="R280" s="95"/>
      <c r="T280" s="81"/>
      <c r="U280" s="95"/>
      <c r="V280" s="95"/>
      <c r="W280" s="95"/>
    </row>
    <row r="281" spans="5:23" ht="10.15" customHeight="1">
      <c r="E281" s="95"/>
      <c r="F281" s="95"/>
      <c r="G281" s="95"/>
      <c r="H281" s="95"/>
      <c r="I281" s="95"/>
      <c r="J281" s="95"/>
      <c r="K281" s="95"/>
      <c r="L281" s="95"/>
      <c r="M281" s="95"/>
      <c r="N281" s="95"/>
      <c r="O281" s="95"/>
      <c r="P281" s="95"/>
      <c r="Q281" s="95"/>
      <c r="R281" s="95"/>
      <c r="T281" s="81"/>
      <c r="U281" s="95"/>
      <c r="V281" s="95"/>
      <c r="W281" s="95"/>
    </row>
    <row r="282" spans="5:23" ht="10.15" customHeight="1">
      <c r="E282" s="95"/>
      <c r="F282" s="95"/>
      <c r="G282" s="95"/>
      <c r="H282" s="95"/>
      <c r="I282" s="95"/>
      <c r="J282" s="95"/>
      <c r="K282" s="95"/>
      <c r="L282" s="95"/>
      <c r="M282" s="95"/>
      <c r="N282" s="95"/>
      <c r="O282" s="95"/>
      <c r="P282" s="95"/>
      <c r="Q282" s="95"/>
      <c r="R282" s="95"/>
      <c r="T282" s="81"/>
      <c r="U282" s="95"/>
      <c r="V282" s="95"/>
      <c r="W282" s="95"/>
    </row>
    <row r="283" spans="5:23" ht="10.15" customHeight="1">
      <c r="E283" s="95"/>
      <c r="F283" s="95"/>
      <c r="G283" s="95"/>
      <c r="H283" s="95"/>
      <c r="I283" s="95"/>
      <c r="J283" s="95"/>
      <c r="K283" s="95"/>
      <c r="L283" s="95"/>
      <c r="M283" s="95"/>
      <c r="N283" s="95"/>
      <c r="O283" s="95"/>
      <c r="P283" s="95"/>
      <c r="Q283" s="95"/>
      <c r="R283" s="95"/>
      <c r="T283" s="81"/>
      <c r="U283" s="95"/>
      <c r="V283" s="95"/>
      <c r="W283" s="95"/>
    </row>
    <row r="284" spans="5:23" ht="10.15" customHeight="1">
      <c r="E284" s="95"/>
      <c r="F284" s="95"/>
      <c r="G284" s="95"/>
      <c r="H284" s="95"/>
      <c r="I284" s="95"/>
      <c r="J284" s="95"/>
      <c r="K284" s="95"/>
      <c r="L284" s="95"/>
      <c r="M284" s="95"/>
      <c r="N284" s="95"/>
      <c r="O284" s="95"/>
      <c r="P284" s="95"/>
      <c r="Q284" s="95"/>
      <c r="R284" s="95"/>
      <c r="T284" s="81"/>
      <c r="U284" s="95"/>
      <c r="V284" s="95"/>
      <c r="W284" s="95"/>
    </row>
    <row r="285" spans="5:23" ht="10.15" customHeight="1">
      <c r="E285" s="95"/>
      <c r="F285" s="95"/>
      <c r="G285" s="95"/>
      <c r="H285" s="95"/>
      <c r="I285" s="95"/>
      <c r="J285" s="95"/>
      <c r="K285" s="95"/>
      <c r="L285" s="95"/>
      <c r="M285" s="95"/>
      <c r="N285" s="95"/>
      <c r="O285" s="95"/>
      <c r="P285" s="95"/>
      <c r="Q285" s="95"/>
      <c r="R285" s="95"/>
      <c r="T285" s="81"/>
      <c r="U285" s="95"/>
      <c r="V285" s="95"/>
      <c r="W285" s="95"/>
    </row>
    <row r="286" spans="5:23" ht="10.15" customHeight="1">
      <c r="E286" s="95"/>
      <c r="F286" s="95"/>
      <c r="G286" s="95"/>
      <c r="H286" s="95"/>
      <c r="I286" s="95"/>
      <c r="J286" s="95"/>
      <c r="K286" s="95"/>
      <c r="L286" s="95"/>
      <c r="M286" s="95"/>
      <c r="N286" s="95"/>
      <c r="O286" s="95"/>
      <c r="P286" s="95"/>
      <c r="Q286" s="95"/>
      <c r="R286" s="95"/>
      <c r="T286" s="81"/>
      <c r="U286" s="95"/>
      <c r="V286" s="95"/>
      <c r="W286" s="95"/>
    </row>
    <row r="287" spans="5:23" ht="10.15" customHeight="1">
      <c r="E287" s="95"/>
      <c r="F287" s="95"/>
      <c r="G287" s="95"/>
      <c r="H287" s="95"/>
      <c r="I287" s="95"/>
      <c r="J287" s="95"/>
      <c r="K287" s="95"/>
      <c r="L287" s="95"/>
      <c r="M287" s="95"/>
      <c r="N287" s="95"/>
      <c r="O287" s="95"/>
      <c r="P287" s="95"/>
      <c r="Q287" s="95"/>
      <c r="R287" s="95"/>
      <c r="T287" s="81"/>
      <c r="U287" s="95"/>
      <c r="V287" s="95"/>
      <c r="W287" s="95"/>
    </row>
    <row r="288" spans="5:23" ht="10.15" customHeight="1">
      <c r="E288" s="95"/>
      <c r="F288" s="95"/>
      <c r="G288" s="95"/>
      <c r="H288" s="95"/>
      <c r="I288" s="95"/>
      <c r="J288" s="95"/>
      <c r="K288" s="95"/>
      <c r="L288" s="95"/>
      <c r="M288" s="95"/>
      <c r="N288" s="95"/>
      <c r="O288" s="95"/>
      <c r="P288" s="95"/>
      <c r="Q288" s="95"/>
      <c r="R288" s="95"/>
      <c r="T288" s="81"/>
      <c r="U288" s="95"/>
      <c r="V288" s="95"/>
      <c r="W288" s="95"/>
    </row>
    <row r="289" spans="5:23" ht="10.15" customHeight="1">
      <c r="E289" s="95"/>
      <c r="F289" s="95"/>
      <c r="G289" s="95"/>
      <c r="H289" s="95"/>
      <c r="I289" s="95"/>
      <c r="J289" s="95"/>
      <c r="K289" s="95"/>
      <c r="L289" s="95"/>
      <c r="M289" s="95"/>
      <c r="N289" s="95"/>
      <c r="O289" s="95"/>
      <c r="P289" s="95"/>
      <c r="Q289" s="95"/>
      <c r="R289" s="95"/>
      <c r="T289" s="81"/>
      <c r="U289" s="95"/>
      <c r="V289" s="95"/>
      <c r="W289" s="95"/>
    </row>
    <row r="290" spans="5:23" ht="10.15" customHeight="1">
      <c r="E290" s="95"/>
      <c r="F290" s="95"/>
      <c r="G290" s="95"/>
      <c r="H290" s="95"/>
      <c r="I290" s="95"/>
      <c r="J290" s="95"/>
      <c r="K290" s="95"/>
      <c r="L290" s="95"/>
      <c r="M290" s="95"/>
      <c r="N290" s="95"/>
      <c r="O290" s="95"/>
      <c r="P290" s="95"/>
      <c r="Q290" s="95"/>
      <c r="R290" s="95"/>
      <c r="T290" s="81"/>
      <c r="U290" s="95"/>
      <c r="V290" s="95"/>
      <c r="W290" s="95"/>
    </row>
    <row r="291" spans="5:23" ht="10.15" customHeight="1">
      <c r="E291" s="95"/>
      <c r="F291" s="95"/>
      <c r="G291" s="95"/>
      <c r="H291" s="95"/>
      <c r="I291" s="95"/>
      <c r="J291" s="95"/>
      <c r="K291" s="95"/>
      <c r="L291" s="95"/>
      <c r="M291" s="95"/>
      <c r="N291" s="95"/>
      <c r="O291" s="95"/>
      <c r="P291" s="95"/>
      <c r="Q291" s="95"/>
      <c r="R291" s="95"/>
      <c r="T291" s="81"/>
      <c r="U291" s="95"/>
      <c r="V291" s="95"/>
      <c r="W291" s="95"/>
    </row>
    <row r="292" spans="5:23" ht="10.15" customHeight="1">
      <c r="E292" s="95"/>
      <c r="F292" s="95"/>
      <c r="G292" s="95"/>
      <c r="H292" s="95"/>
      <c r="I292" s="95"/>
      <c r="J292" s="95"/>
      <c r="K292" s="95"/>
      <c r="L292" s="95"/>
      <c r="M292" s="95"/>
      <c r="N292" s="95"/>
      <c r="O292" s="95"/>
      <c r="P292" s="95"/>
      <c r="Q292" s="95"/>
      <c r="R292" s="95"/>
      <c r="T292" s="81"/>
      <c r="U292" s="95"/>
      <c r="V292" s="95"/>
      <c r="W292" s="95"/>
    </row>
    <row r="293" spans="5:23" ht="10.15" customHeight="1">
      <c r="E293" s="95"/>
      <c r="F293" s="95"/>
      <c r="G293" s="95"/>
      <c r="H293" s="95"/>
      <c r="I293" s="95"/>
      <c r="J293" s="95"/>
      <c r="K293" s="95"/>
      <c r="L293" s="95"/>
      <c r="M293" s="95"/>
      <c r="N293" s="95"/>
      <c r="O293" s="95"/>
      <c r="P293" s="95"/>
      <c r="Q293" s="95"/>
      <c r="R293" s="95"/>
      <c r="T293" s="81"/>
      <c r="U293" s="95"/>
      <c r="V293" s="95"/>
      <c r="W293" s="95"/>
    </row>
    <row r="294" spans="5:23" ht="10.15" customHeight="1">
      <c r="E294" s="95"/>
      <c r="F294" s="95"/>
      <c r="G294" s="95"/>
      <c r="H294" s="95"/>
      <c r="I294" s="95"/>
      <c r="J294" s="95"/>
      <c r="K294" s="95"/>
      <c r="L294" s="95"/>
      <c r="M294" s="95"/>
      <c r="N294" s="95"/>
      <c r="O294" s="95"/>
      <c r="P294" s="95"/>
      <c r="Q294" s="95"/>
      <c r="R294" s="95"/>
      <c r="T294" s="81"/>
      <c r="U294" s="95"/>
      <c r="V294" s="95"/>
      <c r="W294" s="95"/>
    </row>
    <row r="295" spans="5:23" ht="10.15" customHeight="1">
      <c r="E295" s="95"/>
      <c r="F295" s="95"/>
      <c r="G295" s="95"/>
      <c r="H295" s="95"/>
      <c r="I295" s="95"/>
      <c r="J295" s="95"/>
      <c r="K295" s="95"/>
      <c r="L295" s="95"/>
      <c r="M295" s="95"/>
      <c r="N295" s="95"/>
      <c r="O295" s="95"/>
      <c r="P295" s="95"/>
      <c r="Q295" s="95"/>
      <c r="R295" s="95"/>
      <c r="T295" s="81"/>
      <c r="U295" s="95"/>
      <c r="V295" s="95"/>
      <c r="W295" s="95"/>
    </row>
    <row r="296" spans="5:23" ht="10.15" customHeight="1">
      <c r="E296" s="95"/>
      <c r="F296" s="95"/>
      <c r="G296" s="95"/>
      <c r="H296" s="95"/>
      <c r="I296" s="95"/>
      <c r="J296" s="95"/>
      <c r="K296" s="95"/>
      <c r="L296" s="95"/>
      <c r="M296" s="95"/>
      <c r="N296" s="95"/>
      <c r="O296" s="95"/>
      <c r="P296" s="95"/>
      <c r="Q296" s="95"/>
      <c r="R296" s="95"/>
      <c r="T296" s="81"/>
      <c r="U296" s="95"/>
      <c r="V296" s="95"/>
      <c r="W296" s="95"/>
    </row>
    <row r="297" spans="5:23" ht="10.15" customHeight="1">
      <c r="E297" s="95"/>
      <c r="F297" s="95"/>
      <c r="G297" s="95"/>
      <c r="H297" s="95"/>
      <c r="I297" s="95"/>
      <c r="J297" s="95"/>
      <c r="K297" s="95"/>
      <c r="L297" s="95"/>
      <c r="M297" s="95"/>
      <c r="N297" s="95"/>
      <c r="O297" s="95"/>
      <c r="P297" s="95"/>
      <c r="Q297" s="95"/>
      <c r="R297" s="95"/>
      <c r="T297" s="81"/>
      <c r="U297" s="95"/>
      <c r="V297" s="95"/>
      <c r="W297" s="95"/>
    </row>
    <row r="298" spans="5:23" ht="10.15" customHeight="1">
      <c r="E298" s="95"/>
      <c r="F298" s="95"/>
      <c r="G298" s="95"/>
      <c r="H298" s="95"/>
      <c r="I298" s="95"/>
      <c r="J298" s="95"/>
      <c r="K298" s="95"/>
      <c r="L298" s="95"/>
      <c r="M298" s="95"/>
      <c r="N298" s="95"/>
      <c r="O298" s="95"/>
      <c r="P298" s="95"/>
      <c r="Q298" s="95"/>
      <c r="R298" s="95"/>
      <c r="T298" s="81"/>
      <c r="U298" s="95"/>
      <c r="V298" s="95"/>
      <c r="W298" s="95"/>
    </row>
    <row r="299" spans="5:23" ht="10.15" customHeight="1">
      <c r="E299" s="95"/>
      <c r="F299" s="95"/>
      <c r="G299" s="95"/>
      <c r="H299" s="95"/>
      <c r="I299" s="95"/>
      <c r="J299" s="95"/>
      <c r="K299" s="95"/>
      <c r="L299" s="95"/>
      <c r="M299" s="95"/>
      <c r="N299" s="95"/>
      <c r="O299" s="95"/>
      <c r="P299" s="95"/>
      <c r="Q299" s="95"/>
      <c r="R299" s="95"/>
      <c r="T299" s="81"/>
      <c r="U299" s="95"/>
      <c r="V299" s="95"/>
      <c r="W299" s="95"/>
    </row>
    <row r="300" spans="5:23" ht="10.15" customHeight="1">
      <c r="E300" s="95"/>
      <c r="F300" s="95"/>
      <c r="G300" s="95"/>
      <c r="H300" s="95"/>
      <c r="I300" s="95"/>
      <c r="J300" s="95"/>
      <c r="K300" s="95"/>
      <c r="L300" s="95"/>
      <c r="M300" s="95"/>
      <c r="N300" s="95"/>
      <c r="O300" s="95"/>
      <c r="P300" s="95"/>
      <c r="Q300" s="95"/>
      <c r="R300" s="95"/>
      <c r="T300" s="81"/>
      <c r="U300" s="95"/>
      <c r="V300" s="95"/>
      <c r="W300" s="95"/>
    </row>
    <row r="301" spans="5:23" ht="10.15" customHeight="1">
      <c r="E301" s="95"/>
      <c r="F301" s="95"/>
      <c r="G301" s="95"/>
      <c r="H301" s="95"/>
      <c r="I301" s="95"/>
      <c r="J301" s="95"/>
      <c r="K301" s="95"/>
      <c r="L301" s="95"/>
      <c r="M301" s="95"/>
      <c r="N301" s="95"/>
      <c r="O301" s="95"/>
      <c r="P301" s="95"/>
      <c r="Q301" s="95"/>
      <c r="R301" s="95"/>
      <c r="T301" s="81"/>
      <c r="U301" s="95"/>
      <c r="V301" s="95"/>
      <c r="W301" s="95"/>
    </row>
    <row r="302" spans="5:23" ht="10.15" customHeight="1">
      <c r="E302" s="95"/>
      <c r="F302" s="95"/>
      <c r="G302" s="95"/>
      <c r="H302" s="95"/>
      <c r="I302" s="95"/>
      <c r="J302" s="95"/>
      <c r="K302" s="95"/>
      <c r="L302" s="95"/>
      <c r="M302" s="95"/>
      <c r="N302" s="95"/>
      <c r="O302" s="95"/>
      <c r="P302" s="95"/>
      <c r="Q302" s="95"/>
      <c r="R302" s="95"/>
      <c r="T302" s="81"/>
      <c r="U302" s="95"/>
      <c r="V302" s="95"/>
      <c r="W302" s="95"/>
    </row>
    <row r="303" spans="5:23" ht="10.15" customHeight="1">
      <c r="E303" s="95"/>
      <c r="F303" s="95"/>
      <c r="G303" s="95"/>
      <c r="H303" s="95"/>
      <c r="I303" s="95"/>
      <c r="J303" s="95"/>
      <c r="K303" s="95"/>
      <c r="L303" s="95"/>
      <c r="M303" s="95"/>
      <c r="N303" s="95"/>
      <c r="O303" s="95"/>
      <c r="P303" s="95"/>
      <c r="Q303" s="95"/>
      <c r="R303" s="95"/>
      <c r="T303" s="81"/>
      <c r="U303" s="95"/>
      <c r="V303" s="95"/>
      <c r="W303" s="95"/>
    </row>
    <row r="304" spans="5:23" ht="10.15" customHeight="1">
      <c r="E304" s="95"/>
      <c r="F304" s="95"/>
      <c r="G304" s="95"/>
      <c r="H304" s="95"/>
      <c r="I304" s="95"/>
      <c r="J304" s="95"/>
      <c r="K304" s="95"/>
      <c r="L304" s="95"/>
      <c r="M304" s="95"/>
      <c r="N304" s="95"/>
      <c r="O304" s="95"/>
      <c r="P304" s="95"/>
      <c r="Q304" s="95"/>
      <c r="R304" s="95"/>
      <c r="T304" s="81"/>
      <c r="U304" s="95"/>
      <c r="V304" s="95"/>
      <c r="W304" s="95"/>
    </row>
    <row r="305" spans="5:23" ht="10.15" customHeight="1">
      <c r="E305" s="95"/>
      <c r="F305" s="95"/>
      <c r="G305" s="95"/>
      <c r="H305" s="95"/>
      <c r="I305" s="95"/>
      <c r="J305" s="95"/>
      <c r="K305" s="95"/>
      <c r="L305" s="95"/>
      <c r="M305" s="95"/>
      <c r="N305" s="95"/>
      <c r="O305" s="95"/>
      <c r="P305" s="95"/>
      <c r="Q305" s="95"/>
      <c r="R305" s="95"/>
      <c r="T305" s="81"/>
      <c r="U305" s="95"/>
      <c r="V305" s="95"/>
      <c r="W305" s="95"/>
    </row>
    <row r="306" spans="5:23" ht="10.15" customHeight="1">
      <c r="E306" s="95"/>
      <c r="F306" s="95"/>
      <c r="G306" s="95"/>
      <c r="H306" s="95"/>
      <c r="I306" s="95"/>
      <c r="J306" s="95"/>
      <c r="K306" s="95"/>
      <c r="L306" s="95"/>
      <c r="M306" s="95"/>
      <c r="N306" s="95"/>
      <c r="O306" s="95"/>
      <c r="P306" s="95"/>
      <c r="Q306" s="95"/>
      <c r="R306" s="95"/>
      <c r="T306" s="81"/>
      <c r="U306" s="95"/>
      <c r="V306" s="95"/>
      <c r="W306" s="95"/>
    </row>
    <row r="307" spans="5:23" ht="10.15" customHeight="1">
      <c r="E307" s="95"/>
      <c r="F307" s="95"/>
      <c r="G307" s="95"/>
      <c r="H307" s="95"/>
      <c r="I307" s="95"/>
      <c r="J307" s="95"/>
      <c r="K307" s="95"/>
      <c r="L307" s="95"/>
      <c r="M307" s="95"/>
      <c r="N307" s="95"/>
      <c r="O307" s="95"/>
      <c r="P307" s="95"/>
      <c r="Q307" s="95"/>
      <c r="R307" s="95"/>
      <c r="T307" s="81"/>
      <c r="U307" s="95"/>
      <c r="V307" s="95"/>
      <c r="W307" s="95"/>
    </row>
    <row r="308" spans="5:23" ht="10.15" customHeight="1">
      <c r="E308" s="95"/>
      <c r="F308" s="95"/>
      <c r="G308" s="95"/>
      <c r="H308" s="95"/>
      <c r="I308" s="95"/>
      <c r="J308" s="95"/>
      <c r="K308" s="95"/>
      <c r="L308" s="95"/>
      <c r="M308" s="95"/>
      <c r="N308" s="95"/>
      <c r="O308" s="95"/>
      <c r="P308" s="95"/>
      <c r="Q308" s="95"/>
      <c r="R308" s="95"/>
      <c r="T308" s="81"/>
      <c r="U308" s="95"/>
      <c r="V308" s="95"/>
      <c r="W308" s="95"/>
    </row>
    <row r="309" spans="5:23" ht="10.15" customHeight="1">
      <c r="E309" s="95"/>
      <c r="F309" s="95"/>
      <c r="G309" s="95"/>
      <c r="H309" s="95"/>
      <c r="I309" s="95"/>
      <c r="J309" s="95"/>
      <c r="K309" s="95"/>
      <c r="L309" s="95"/>
      <c r="M309" s="95"/>
      <c r="N309" s="95"/>
      <c r="O309" s="95"/>
      <c r="P309" s="95"/>
      <c r="Q309" s="95"/>
      <c r="R309" s="95"/>
      <c r="T309" s="81"/>
      <c r="U309" s="95"/>
      <c r="V309" s="95"/>
      <c r="W309" s="95"/>
    </row>
    <row r="310" spans="5:23" ht="10.15" customHeight="1">
      <c r="E310" s="95"/>
      <c r="F310" s="95"/>
      <c r="G310" s="95"/>
      <c r="H310" s="95"/>
      <c r="I310" s="95"/>
      <c r="J310" s="95"/>
      <c r="K310" s="95"/>
      <c r="L310" s="95"/>
      <c r="M310" s="95"/>
      <c r="N310" s="95"/>
      <c r="O310" s="95"/>
      <c r="P310" s="95"/>
      <c r="Q310" s="95"/>
      <c r="R310" s="95"/>
      <c r="T310" s="81"/>
      <c r="U310" s="95"/>
      <c r="V310" s="95"/>
      <c r="W310" s="95"/>
    </row>
    <row r="311" spans="5:23" ht="10.15" customHeight="1">
      <c r="E311" s="95"/>
      <c r="F311" s="95"/>
      <c r="G311" s="95"/>
      <c r="H311" s="95"/>
      <c r="I311" s="95"/>
      <c r="J311" s="95"/>
      <c r="K311" s="95"/>
      <c r="L311" s="95"/>
      <c r="M311" s="95"/>
      <c r="N311" s="95"/>
      <c r="O311" s="95"/>
      <c r="P311" s="95"/>
      <c r="Q311" s="95"/>
      <c r="R311" s="95"/>
      <c r="T311" s="81"/>
      <c r="U311" s="95"/>
      <c r="V311" s="95"/>
      <c r="W311" s="95"/>
    </row>
    <row r="312" spans="5:23" ht="10.15" customHeight="1">
      <c r="E312" s="95"/>
      <c r="F312" s="95"/>
      <c r="G312" s="95"/>
      <c r="H312" s="95"/>
      <c r="I312" s="95"/>
      <c r="J312" s="95"/>
      <c r="K312" s="95"/>
      <c r="L312" s="95"/>
      <c r="M312" s="95"/>
      <c r="N312" s="95"/>
      <c r="O312" s="95"/>
      <c r="P312" s="95"/>
      <c r="Q312" s="95"/>
      <c r="R312" s="95"/>
      <c r="T312" s="81"/>
      <c r="U312" s="95"/>
      <c r="V312" s="95"/>
      <c r="W312" s="95"/>
    </row>
    <row r="313" spans="5:23" ht="10.15" customHeight="1">
      <c r="E313" s="95"/>
      <c r="F313" s="95"/>
      <c r="G313" s="95"/>
      <c r="H313" s="95"/>
      <c r="I313" s="95"/>
      <c r="J313" s="95"/>
      <c r="K313" s="95"/>
      <c r="L313" s="95"/>
      <c r="M313" s="95"/>
      <c r="N313" s="95"/>
      <c r="O313" s="95"/>
      <c r="P313" s="95"/>
      <c r="Q313" s="95"/>
      <c r="R313" s="95"/>
      <c r="T313" s="81"/>
      <c r="U313" s="95"/>
      <c r="V313" s="95"/>
      <c r="W313" s="95"/>
    </row>
    <row r="314" spans="5:23" ht="10.15" customHeight="1">
      <c r="E314" s="95"/>
      <c r="F314" s="95"/>
      <c r="G314" s="95"/>
      <c r="H314" s="95"/>
      <c r="I314" s="95"/>
      <c r="J314" s="95"/>
      <c r="K314" s="95"/>
      <c r="L314" s="95"/>
      <c r="M314" s="95"/>
      <c r="N314" s="95"/>
      <c r="O314" s="95"/>
      <c r="P314" s="95"/>
      <c r="Q314" s="95"/>
      <c r="R314" s="95"/>
      <c r="T314" s="81"/>
      <c r="U314" s="95"/>
      <c r="V314" s="95"/>
      <c r="W314" s="95"/>
    </row>
    <row r="315" spans="5:23" ht="10.15" customHeight="1">
      <c r="E315" s="95"/>
      <c r="F315" s="95"/>
      <c r="G315" s="95"/>
      <c r="H315" s="95"/>
      <c r="I315" s="95"/>
      <c r="J315" s="95"/>
      <c r="K315" s="95"/>
      <c r="L315" s="95"/>
      <c r="M315" s="95"/>
      <c r="N315" s="95"/>
      <c r="O315" s="95"/>
      <c r="P315" s="95"/>
      <c r="Q315" s="95"/>
      <c r="R315" s="95"/>
      <c r="T315" s="81"/>
      <c r="U315" s="95"/>
      <c r="V315" s="95"/>
      <c r="W315" s="95"/>
    </row>
    <row r="316" spans="5:23" ht="10.15" customHeight="1">
      <c r="E316" s="95"/>
      <c r="F316" s="95"/>
      <c r="G316" s="95"/>
      <c r="H316" s="95"/>
      <c r="I316" s="95"/>
      <c r="J316" s="95"/>
      <c r="K316" s="95"/>
      <c r="L316" s="95"/>
      <c r="M316" s="95"/>
      <c r="N316" s="95"/>
      <c r="O316" s="95"/>
      <c r="P316" s="95"/>
      <c r="Q316" s="95"/>
      <c r="R316" s="95"/>
      <c r="T316" s="81"/>
      <c r="U316" s="95"/>
      <c r="V316" s="95"/>
      <c r="W316" s="95"/>
    </row>
    <row r="317" spans="5:23" ht="10.15" customHeight="1">
      <c r="E317" s="95"/>
      <c r="F317" s="95"/>
      <c r="G317" s="95"/>
      <c r="H317" s="95"/>
      <c r="I317" s="95"/>
      <c r="J317" s="95"/>
      <c r="K317" s="95"/>
      <c r="L317" s="95"/>
      <c r="M317" s="95"/>
      <c r="N317" s="95"/>
      <c r="O317" s="95"/>
      <c r="P317" s="95"/>
      <c r="Q317" s="95"/>
      <c r="R317" s="95"/>
      <c r="T317" s="81"/>
      <c r="U317" s="95"/>
      <c r="V317" s="95"/>
      <c r="W317" s="95"/>
    </row>
    <row r="318" spans="5:23" ht="10.15" customHeight="1">
      <c r="E318" s="95"/>
      <c r="F318" s="95"/>
      <c r="G318" s="95"/>
      <c r="H318" s="95"/>
      <c r="I318" s="95"/>
      <c r="J318" s="95"/>
      <c r="K318" s="95"/>
      <c r="L318" s="95"/>
      <c r="M318" s="95"/>
      <c r="N318" s="95"/>
      <c r="O318" s="95"/>
      <c r="P318" s="95"/>
      <c r="Q318" s="95"/>
      <c r="R318" s="95"/>
      <c r="T318" s="81"/>
      <c r="U318" s="95"/>
      <c r="V318" s="95"/>
      <c r="W318" s="95"/>
    </row>
    <row r="319" spans="5:23" ht="10.15" customHeight="1">
      <c r="E319" s="95"/>
      <c r="F319" s="95"/>
      <c r="G319" s="95"/>
      <c r="H319" s="95"/>
      <c r="I319" s="95"/>
      <c r="J319" s="95"/>
      <c r="K319" s="95"/>
      <c r="L319" s="95"/>
      <c r="M319" s="95"/>
      <c r="N319" s="95"/>
      <c r="O319" s="95"/>
      <c r="P319" s="95"/>
      <c r="Q319" s="95"/>
      <c r="R319" s="95"/>
      <c r="T319" s="81"/>
      <c r="U319" s="95"/>
      <c r="V319" s="95"/>
      <c r="W319" s="95"/>
    </row>
    <row r="320" spans="5:23" ht="10.15" customHeight="1">
      <c r="E320" s="95"/>
      <c r="F320" s="95"/>
      <c r="G320" s="95"/>
      <c r="H320" s="95"/>
      <c r="I320" s="95"/>
      <c r="J320" s="95"/>
      <c r="K320" s="95"/>
      <c r="L320" s="95"/>
      <c r="M320" s="95"/>
      <c r="N320" s="95"/>
      <c r="O320" s="95"/>
      <c r="P320" s="95"/>
      <c r="Q320" s="95"/>
      <c r="R320" s="95"/>
      <c r="T320" s="81"/>
      <c r="U320" s="95"/>
      <c r="V320" s="95"/>
      <c r="W320" s="95"/>
    </row>
    <row r="321" spans="5:23" ht="10.15" customHeight="1">
      <c r="E321" s="95"/>
      <c r="F321" s="95"/>
      <c r="G321" s="95"/>
      <c r="H321" s="95"/>
      <c r="I321" s="95"/>
      <c r="J321" s="95"/>
      <c r="K321" s="95"/>
      <c r="L321" s="95"/>
      <c r="M321" s="95"/>
      <c r="N321" s="95"/>
      <c r="O321" s="95"/>
      <c r="P321" s="95"/>
      <c r="Q321" s="95"/>
      <c r="R321" s="95"/>
      <c r="T321" s="81"/>
      <c r="U321" s="95"/>
      <c r="V321" s="95"/>
      <c r="W321" s="95"/>
    </row>
    <row r="322" spans="5:23" ht="10.15" customHeight="1">
      <c r="E322" s="95"/>
      <c r="F322" s="95"/>
      <c r="G322" s="95"/>
      <c r="H322" s="95"/>
      <c r="I322" s="95"/>
      <c r="J322" s="95"/>
      <c r="K322" s="95"/>
      <c r="L322" s="95"/>
      <c r="M322" s="95"/>
      <c r="N322" s="95"/>
      <c r="O322" s="95"/>
      <c r="P322" s="95"/>
      <c r="Q322" s="95"/>
      <c r="R322" s="95"/>
      <c r="T322" s="81"/>
      <c r="U322" s="95"/>
      <c r="V322" s="95"/>
      <c r="W322" s="95"/>
    </row>
    <row r="323" spans="5:23" ht="10.15" customHeight="1">
      <c r="E323" s="95"/>
      <c r="F323" s="95"/>
      <c r="G323" s="95"/>
      <c r="H323" s="95"/>
      <c r="I323" s="95"/>
      <c r="J323" s="95"/>
      <c r="K323" s="95"/>
      <c r="L323" s="95"/>
      <c r="M323" s="95"/>
      <c r="N323" s="95"/>
      <c r="O323" s="95"/>
      <c r="P323" s="95"/>
      <c r="Q323" s="95"/>
      <c r="R323" s="95"/>
      <c r="T323" s="81"/>
      <c r="U323" s="95"/>
      <c r="V323" s="95"/>
      <c r="W323" s="95"/>
    </row>
    <row r="324" spans="5:23" ht="10.15" customHeight="1">
      <c r="E324" s="95"/>
      <c r="F324" s="95"/>
      <c r="G324" s="95"/>
      <c r="H324" s="95"/>
      <c r="I324" s="95"/>
      <c r="J324" s="95"/>
      <c r="K324" s="95"/>
      <c r="L324" s="95"/>
      <c r="M324" s="95"/>
      <c r="N324" s="95"/>
      <c r="O324" s="95"/>
      <c r="P324" s="95"/>
      <c r="Q324" s="95"/>
      <c r="R324" s="95"/>
      <c r="T324" s="81"/>
      <c r="U324" s="95"/>
      <c r="V324" s="95"/>
      <c r="W324" s="95"/>
    </row>
    <row r="325" spans="5:23" ht="10.15" customHeight="1">
      <c r="E325" s="95"/>
      <c r="F325" s="95"/>
      <c r="G325" s="95"/>
      <c r="H325" s="95"/>
      <c r="I325" s="95"/>
      <c r="J325" s="95"/>
      <c r="K325" s="95"/>
      <c r="L325" s="95"/>
      <c r="M325" s="95"/>
      <c r="N325" s="95"/>
      <c r="O325" s="95"/>
      <c r="P325" s="95"/>
      <c r="Q325" s="95"/>
      <c r="R325" s="95"/>
      <c r="T325" s="81"/>
      <c r="U325" s="95"/>
      <c r="V325" s="95"/>
      <c r="W325" s="95"/>
    </row>
    <row r="326" spans="5:23" ht="10.15" customHeight="1">
      <c r="E326" s="95"/>
      <c r="F326" s="95"/>
      <c r="G326" s="95"/>
      <c r="H326" s="95"/>
      <c r="I326" s="95"/>
      <c r="J326" s="95"/>
      <c r="K326" s="95"/>
      <c r="L326" s="95"/>
      <c r="M326" s="95"/>
      <c r="N326" s="95"/>
      <c r="O326" s="95"/>
      <c r="P326" s="95"/>
      <c r="Q326" s="95"/>
      <c r="R326" s="95"/>
      <c r="T326" s="81"/>
      <c r="U326" s="95"/>
      <c r="V326" s="95"/>
      <c r="W326" s="95"/>
    </row>
    <row r="327" spans="5:23" ht="10.15" customHeight="1">
      <c r="E327" s="95"/>
      <c r="F327" s="95"/>
      <c r="G327" s="95"/>
      <c r="H327" s="95"/>
      <c r="I327" s="95"/>
      <c r="J327" s="95"/>
      <c r="K327" s="95"/>
      <c r="L327" s="95"/>
      <c r="M327" s="95"/>
      <c r="N327" s="95"/>
      <c r="O327" s="95"/>
      <c r="P327" s="95"/>
      <c r="Q327" s="95"/>
      <c r="R327" s="95"/>
      <c r="T327" s="81"/>
      <c r="U327" s="95"/>
      <c r="V327" s="95"/>
      <c r="W327" s="95"/>
    </row>
    <row r="328" spans="5:23" ht="10.15" customHeight="1">
      <c r="E328" s="95"/>
      <c r="F328" s="95"/>
      <c r="G328" s="95"/>
      <c r="H328" s="95"/>
      <c r="I328" s="95"/>
      <c r="J328" s="95"/>
      <c r="K328" s="95"/>
      <c r="L328" s="95"/>
      <c r="M328" s="95"/>
      <c r="N328" s="95"/>
      <c r="O328" s="95"/>
      <c r="P328" s="95"/>
      <c r="Q328" s="95"/>
      <c r="R328" s="95"/>
      <c r="T328" s="81"/>
      <c r="U328" s="95"/>
      <c r="V328" s="95"/>
      <c r="W328" s="95"/>
    </row>
    <row r="329" spans="5:23" ht="10.15" customHeight="1">
      <c r="E329" s="95"/>
      <c r="F329" s="95"/>
      <c r="G329" s="95"/>
      <c r="H329" s="95"/>
      <c r="I329" s="95"/>
      <c r="J329" s="95"/>
      <c r="K329" s="95"/>
      <c r="L329" s="95"/>
      <c r="M329" s="95"/>
      <c r="N329" s="95"/>
      <c r="O329" s="95"/>
      <c r="P329" s="95"/>
      <c r="Q329" s="95"/>
      <c r="R329" s="95"/>
      <c r="T329" s="81"/>
      <c r="U329" s="95"/>
      <c r="V329" s="95"/>
      <c r="W329" s="95"/>
    </row>
    <row r="330" spans="5:23" ht="10.15" customHeight="1">
      <c r="E330" s="95"/>
      <c r="F330" s="95"/>
      <c r="G330" s="95"/>
      <c r="H330" s="95"/>
      <c r="I330" s="95"/>
      <c r="J330" s="95"/>
      <c r="K330" s="95"/>
      <c r="L330" s="95"/>
      <c r="M330" s="95"/>
      <c r="N330" s="95"/>
      <c r="O330" s="95"/>
      <c r="P330" s="95"/>
      <c r="Q330" s="95"/>
      <c r="R330" s="95"/>
      <c r="T330" s="81"/>
      <c r="U330" s="95"/>
      <c r="V330" s="95"/>
      <c r="W330" s="95"/>
    </row>
    <row r="331" spans="5:23" ht="10.15" customHeight="1">
      <c r="E331" s="95"/>
      <c r="F331" s="95"/>
      <c r="G331" s="95"/>
      <c r="H331" s="95"/>
      <c r="I331" s="95"/>
      <c r="J331" s="95"/>
      <c r="K331" s="95"/>
      <c r="L331" s="95"/>
      <c r="M331" s="95"/>
      <c r="N331" s="95"/>
      <c r="O331" s="95"/>
      <c r="P331" s="95"/>
      <c r="Q331" s="95"/>
      <c r="R331" s="95"/>
      <c r="T331" s="81"/>
      <c r="U331" s="95"/>
      <c r="V331" s="95"/>
      <c r="W331" s="95"/>
    </row>
    <row r="332" spans="5:23" ht="10.15" customHeight="1">
      <c r="E332" s="95"/>
      <c r="F332" s="95"/>
      <c r="G332" s="95"/>
      <c r="H332" s="95"/>
      <c r="I332" s="95"/>
      <c r="J332" s="95"/>
      <c r="K332" s="95"/>
      <c r="L332" s="95"/>
      <c r="M332" s="95"/>
      <c r="N332" s="95"/>
      <c r="O332" s="95"/>
      <c r="P332" s="95"/>
      <c r="Q332" s="95"/>
      <c r="R332" s="95"/>
      <c r="T332" s="81"/>
      <c r="U332" s="95"/>
      <c r="V332" s="95"/>
      <c r="W332" s="95"/>
    </row>
    <row r="333" spans="5:23" ht="10.15" customHeight="1">
      <c r="E333" s="95"/>
      <c r="F333" s="95"/>
      <c r="G333" s="95"/>
      <c r="H333" s="95"/>
      <c r="I333" s="95"/>
      <c r="J333" s="95"/>
      <c r="K333" s="95"/>
      <c r="L333" s="95"/>
      <c r="M333" s="95"/>
      <c r="N333" s="95"/>
      <c r="O333" s="95"/>
      <c r="P333" s="95"/>
      <c r="Q333" s="95"/>
      <c r="R333" s="95"/>
      <c r="T333" s="81"/>
      <c r="U333" s="95"/>
      <c r="V333" s="95"/>
      <c r="W333" s="95"/>
    </row>
    <row r="334" spans="5:23" ht="10.15" customHeight="1">
      <c r="E334" s="95"/>
      <c r="F334" s="95"/>
      <c r="G334" s="95"/>
      <c r="H334" s="95"/>
      <c r="I334" s="95"/>
      <c r="J334" s="95"/>
      <c r="K334" s="95"/>
      <c r="L334" s="95"/>
      <c r="M334" s="95"/>
      <c r="N334" s="95"/>
      <c r="O334" s="95"/>
      <c r="P334" s="95"/>
      <c r="Q334" s="95"/>
      <c r="R334" s="95"/>
      <c r="T334" s="81"/>
      <c r="U334" s="95"/>
      <c r="V334" s="95"/>
      <c r="W334" s="95"/>
    </row>
    <row r="335" spans="5:23" ht="10.15" customHeight="1">
      <c r="E335" s="95"/>
      <c r="F335" s="95"/>
      <c r="G335" s="95"/>
      <c r="H335" s="95"/>
      <c r="I335" s="95"/>
      <c r="J335" s="95"/>
      <c r="K335" s="95"/>
      <c r="L335" s="95"/>
      <c r="M335" s="95"/>
      <c r="N335" s="95"/>
      <c r="O335" s="95"/>
      <c r="P335" s="95"/>
      <c r="Q335" s="95"/>
      <c r="R335" s="95"/>
      <c r="T335" s="81"/>
      <c r="U335" s="95"/>
      <c r="V335" s="95"/>
      <c r="W335" s="95"/>
    </row>
    <row r="336" spans="5:23" ht="10.15" customHeight="1">
      <c r="E336" s="95"/>
      <c r="F336" s="95"/>
      <c r="G336" s="95"/>
      <c r="H336" s="95"/>
      <c r="I336" s="95"/>
      <c r="J336" s="95"/>
      <c r="K336" s="95"/>
      <c r="L336" s="95"/>
      <c r="M336" s="95"/>
      <c r="N336" s="95"/>
      <c r="O336" s="95"/>
      <c r="P336" s="95"/>
      <c r="Q336" s="95"/>
      <c r="R336" s="95"/>
      <c r="T336" s="81"/>
      <c r="U336" s="95"/>
      <c r="V336" s="95"/>
      <c r="W336" s="95"/>
    </row>
    <row r="337" spans="5:23" ht="10.15" customHeight="1">
      <c r="E337" s="95"/>
      <c r="F337" s="95"/>
      <c r="G337" s="95"/>
      <c r="H337" s="95"/>
      <c r="I337" s="95"/>
      <c r="J337" s="95"/>
      <c r="K337" s="95"/>
      <c r="L337" s="95"/>
      <c r="M337" s="95"/>
      <c r="N337" s="95"/>
      <c r="O337" s="95"/>
      <c r="P337" s="95"/>
      <c r="Q337" s="95"/>
      <c r="R337" s="95"/>
      <c r="T337" s="81"/>
      <c r="U337" s="95"/>
      <c r="V337" s="95"/>
      <c r="W337" s="95"/>
    </row>
    <row r="338" spans="5:23" ht="10.15" customHeight="1">
      <c r="E338" s="95"/>
      <c r="F338" s="95"/>
      <c r="G338" s="95"/>
      <c r="H338" s="95"/>
      <c r="I338" s="95"/>
      <c r="J338" s="95"/>
      <c r="K338" s="95"/>
      <c r="L338" s="95"/>
      <c r="M338" s="95"/>
      <c r="N338" s="95"/>
      <c r="O338" s="95"/>
      <c r="P338" s="95"/>
      <c r="Q338" s="95"/>
      <c r="R338" s="95"/>
      <c r="T338" s="81"/>
      <c r="U338" s="95"/>
      <c r="V338" s="95"/>
      <c r="W338" s="95"/>
    </row>
    <row r="339" spans="5:23" ht="10.15" customHeight="1">
      <c r="E339" s="95"/>
      <c r="F339" s="95"/>
      <c r="G339" s="95"/>
      <c r="H339" s="95"/>
      <c r="I339" s="95"/>
      <c r="J339" s="95"/>
      <c r="K339" s="95"/>
      <c r="L339" s="95"/>
      <c r="M339" s="95"/>
      <c r="N339" s="95"/>
      <c r="O339" s="95"/>
      <c r="P339" s="95"/>
      <c r="Q339" s="95"/>
      <c r="R339" s="95"/>
      <c r="T339" s="81"/>
      <c r="U339" s="95"/>
      <c r="V339" s="95"/>
      <c r="W339" s="95"/>
    </row>
    <row r="340" spans="5:23" ht="10.15" customHeight="1">
      <c r="E340" s="95"/>
      <c r="F340" s="95"/>
      <c r="G340" s="95"/>
      <c r="H340" s="95"/>
      <c r="I340" s="95"/>
      <c r="J340" s="95"/>
      <c r="K340" s="95"/>
      <c r="L340" s="95"/>
      <c r="M340" s="95"/>
      <c r="N340" s="95"/>
      <c r="O340" s="95"/>
      <c r="P340" s="95"/>
      <c r="Q340" s="95"/>
      <c r="R340" s="95"/>
      <c r="T340" s="81"/>
      <c r="U340" s="95"/>
      <c r="V340" s="95"/>
      <c r="W340" s="95"/>
    </row>
    <row r="341" spans="5:23" ht="10.15" customHeight="1">
      <c r="E341" s="95"/>
      <c r="F341" s="95"/>
      <c r="G341" s="95"/>
      <c r="H341" s="95"/>
      <c r="I341" s="95"/>
      <c r="J341" s="95"/>
      <c r="K341" s="95"/>
      <c r="L341" s="95"/>
      <c r="M341" s="95"/>
      <c r="N341" s="95"/>
      <c r="O341" s="95"/>
      <c r="P341" s="95"/>
      <c r="Q341" s="95"/>
      <c r="R341" s="95"/>
      <c r="T341" s="81"/>
      <c r="U341" s="95"/>
      <c r="V341" s="95"/>
      <c r="W341" s="95"/>
    </row>
    <row r="342" spans="5:23" ht="10.15" customHeight="1">
      <c r="E342" s="95"/>
      <c r="F342" s="95"/>
      <c r="G342" s="95"/>
      <c r="H342" s="95"/>
      <c r="I342" s="95"/>
      <c r="J342" s="95"/>
      <c r="K342" s="95"/>
      <c r="L342" s="95"/>
      <c r="M342" s="95"/>
      <c r="N342" s="95"/>
      <c r="O342" s="95"/>
      <c r="P342" s="95"/>
      <c r="Q342" s="95"/>
      <c r="R342" s="95"/>
      <c r="T342" s="81"/>
      <c r="U342" s="95"/>
      <c r="V342" s="95"/>
      <c r="W342" s="95"/>
    </row>
    <row r="343" spans="5:23" ht="10.15" customHeight="1">
      <c r="E343" s="95"/>
      <c r="F343" s="95"/>
      <c r="G343" s="95"/>
      <c r="H343" s="95"/>
      <c r="I343" s="95"/>
      <c r="J343" s="95"/>
      <c r="K343" s="95"/>
      <c r="L343" s="95"/>
      <c r="M343" s="95"/>
      <c r="N343" s="95"/>
      <c r="O343" s="95"/>
      <c r="P343" s="95"/>
      <c r="Q343" s="95"/>
      <c r="R343" s="95"/>
      <c r="T343" s="81"/>
      <c r="U343" s="95"/>
      <c r="V343" s="95"/>
      <c r="W343" s="95"/>
    </row>
    <row r="344" spans="5:23" ht="10.15" customHeight="1">
      <c r="E344" s="95"/>
      <c r="F344" s="95"/>
      <c r="G344" s="95"/>
      <c r="H344" s="95"/>
      <c r="I344" s="95"/>
      <c r="J344" s="95"/>
      <c r="K344" s="95"/>
      <c r="L344" s="95"/>
      <c r="M344" s="95"/>
      <c r="N344" s="95"/>
      <c r="O344" s="95"/>
      <c r="P344" s="95"/>
      <c r="Q344" s="95"/>
      <c r="R344" s="95"/>
      <c r="T344" s="81"/>
      <c r="U344" s="95"/>
      <c r="V344" s="95"/>
      <c r="W344" s="95"/>
    </row>
    <row r="345" spans="5:23" ht="10.15" customHeight="1">
      <c r="E345" s="95"/>
      <c r="F345" s="95"/>
      <c r="G345" s="95"/>
      <c r="H345" s="95"/>
      <c r="I345" s="95"/>
      <c r="J345" s="95"/>
      <c r="K345" s="95"/>
      <c r="L345" s="95"/>
      <c r="M345" s="95"/>
      <c r="N345" s="95"/>
      <c r="O345" s="95"/>
      <c r="P345" s="95"/>
      <c r="Q345" s="95"/>
      <c r="R345" s="95"/>
      <c r="T345" s="81"/>
      <c r="U345" s="95"/>
      <c r="V345" s="95"/>
      <c r="W345" s="95"/>
    </row>
    <row r="346" spans="5:23" ht="10.15" customHeight="1">
      <c r="E346" s="95"/>
      <c r="F346" s="95"/>
      <c r="G346" s="95"/>
      <c r="H346" s="95"/>
      <c r="I346" s="95"/>
      <c r="J346" s="95"/>
      <c r="K346" s="95"/>
      <c r="L346" s="95"/>
      <c r="M346" s="95"/>
      <c r="N346" s="95"/>
      <c r="O346" s="95"/>
      <c r="P346" s="95"/>
      <c r="Q346" s="95"/>
      <c r="R346" s="95"/>
      <c r="T346" s="81"/>
      <c r="U346" s="95"/>
      <c r="V346" s="95"/>
      <c r="W346" s="95"/>
    </row>
    <row r="347" spans="5:23" ht="10.15" customHeight="1">
      <c r="E347" s="95"/>
      <c r="F347" s="95"/>
      <c r="G347" s="95"/>
      <c r="H347" s="95"/>
      <c r="I347" s="95"/>
      <c r="J347" s="95"/>
      <c r="K347" s="95"/>
      <c r="L347" s="95"/>
      <c r="M347" s="95"/>
      <c r="N347" s="95"/>
      <c r="O347" s="95"/>
      <c r="P347" s="95"/>
      <c r="Q347" s="95"/>
      <c r="R347" s="95"/>
      <c r="T347" s="81"/>
      <c r="U347" s="95"/>
      <c r="V347" s="95"/>
      <c r="W347" s="95"/>
    </row>
    <row r="348" spans="5:23" ht="10.15" customHeight="1">
      <c r="E348" s="95"/>
      <c r="F348" s="95"/>
      <c r="G348" s="95"/>
      <c r="H348" s="95"/>
      <c r="I348" s="95"/>
      <c r="J348" s="95"/>
      <c r="K348" s="95"/>
      <c r="L348" s="95"/>
      <c r="M348" s="95"/>
      <c r="N348" s="95"/>
      <c r="O348" s="95"/>
      <c r="P348" s="95"/>
      <c r="Q348" s="95"/>
      <c r="R348" s="95"/>
      <c r="T348" s="81"/>
      <c r="U348" s="95"/>
      <c r="V348" s="95"/>
      <c r="W348" s="95"/>
    </row>
    <row r="349" spans="5:23" ht="10.15" customHeight="1">
      <c r="E349" s="95"/>
      <c r="F349" s="95"/>
      <c r="G349" s="95"/>
      <c r="H349" s="95"/>
      <c r="I349" s="95"/>
      <c r="J349" s="95"/>
      <c r="K349" s="95"/>
      <c r="L349" s="95"/>
      <c r="M349" s="95"/>
      <c r="N349" s="95"/>
      <c r="O349" s="95"/>
      <c r="P349" s="95"/>
      <c r="Q349" s="95"/>
      <c r="R349" s="95"/>
      <c r="T349" s="81"/>
      <c r="U349" s="95"/>
      <c r="V349" s="95"/>
      <c r="W349" s="95"/>
    </row>
    <row r="350" spans="5:23" ht="10.15" customHeight="1">
      <c r="E350" s="95"/>
      <c r="F350" s="95"/>
      <c r="G350" s="95"/>
      <c r="H350" s="95"/>
      <c r="I350" s="95"/>
      <c r="J350" s="95"/>
      <c r="K350" s="95"/>
      <c r="L350" s="95"/>
      <c r="M350" s="95"/>
      <c r="N350" s="95"/>
      <c r="O350" s="95"/>
      <c r="P350" s="95"/>
      <c r="Q350" s="95"/>
      <c r="R350" s="95"/>
      <c r="T350" s="81"/>
      <c r="U350" s="95"/>
      <c r="V350" s="95"/>
      <c r="W350" s="95"/>
    </row>
    <row r="351" spans="5:23" ht="10.15" customHeight="1">
      <c r="E351" s="95"/>
      <c r="F351" s="95"/>
      <c r="G351" s="95"/>
      <c r="H351" s="95"/>
      <c r="I351" s="95"/>
      <c r="J351" s="95"/>
      <c r="K351" s="95"/>
      <c r="L351" s="95"/>
      <c r="M351" s="95"/>
      <c r="N351" s="95"/>
      <c r="O351" s="95"/>
      <c r="P351" s="95"/>
      <c r="Q351" s="95"/>
      <c r="R351" s="95"/>
      <c r="T351" s="81"/>
      <c r="U351" s="95"/>
      <c r="V351" s="95"/>
      <c r="W351" s="95"/>
    </row>
    <row r="352" spans="5:23" ht="10.15" customHeight="1">
      <c r="E352" s="95"/>
      <c r="F352" s="95"/>
      <c r="G352" s="95"/>
      <c r="H352" s="95"/>
      <c r="I352" s="95"/>
      <c r="J352" s="95"/>
      <c r="K352" s="95"/>
      <c r="L352" s="95"/>
      <c r="M352" s="95"/>
      <c r="N352" s="95"/>
      <c r="O352" s="95"/>
      <c r="P352" s="95"/>
      <c r="Q352" s="95"/>
      <c r="R352" s="95"/>
      <c r="T352" s="81"/>
      <c r="U352" s="95"/>
      <c r="V352" s="95"/>
      <c r="W352" s="95"/>
    </row>
    <row r="353" spans="5:23" ht="10.15" customHeight="1">
      <c r="E353" s="95"/>
      <c r="F353" s="95"/>
      <c r="G353" s="95"/>
      <c r="H353" s="95"/>
      <c r="I353" s="95"/>
      <c r="J353" s="95"/>
      <c r="K353" s="95"/>
      <c r="L353" s="95"/>
      <c r="M353" s="95"/>
      <c r="N353" s="95"/>
      <c r="O353" s="95"/>
      <c r="P353" s="95"/>
      <c r="Q353" s="95"/>
      <c r="R353" s="95"/>
      <c r="T353" s="81"/>
      <c r="U353" s="95"/>
      <c r="V353" s="95"/>
      <c r="W353" s="95"/>
    </row>
    <row r="354" spans="5:23" ht="10.15" customHeight="1">
      <c r="E354" s="95"/>
      <c r="F354" s="95"/>
      <c r="G354" s="95"/>
      <c r="H354" s="95"/>
      <c r="I354" s="95"/>
      <c r="J354" s="95"/>
      <c r="K354" s="95"/>
      <c r="L354" s="95"/>
      <c r="M354" s="95"/>
      <c r="N354" s="95"/>
      <c r="O354" s="95"/>
      <c r="P354" s="95"/>
      <c r="Q354" s="95"/>
      <c r="R354" s="95"/>
      <c r="T354" s="81"/>
      <c r="U354" s="95"/>
      <c r="V354" s="95"/>
      <c r="W354" s="95"/>
    </row>
    <row r="355" spans="5:23" ht="10.15" customHeight="1">
      <c r="E355" s="95"/>
      <c r="F355" s="95"/>
      <c r="G355" s="95"/>
      <c r="H355" s="95"/>
      <c r="I355" s="95"/>
      <c r="J355" s="95"/>
      <c r="K355" s="95"/>
      <c r="L355" s="95"/>
      <c r="M355" s="95"/>
      <c r="N355" s="95"/>
      <c r="O355" s="95"/>
      <c r="P355" s="95"/>
      <c r="Q355" s="95"/>
      <c r="R355" s="95"/>
      <c r="T355" s="81"/>
      <c r="U355" s="95"/>
      <c r="V355" s="95"/>
      <c r="W355" s="95"/>
    </row>
    <row r="356" spans="5:23" ht="10.15" customHeight="1">
      <c r="E356" s="95"/>
      <c r="F356" s="95"/>
      <c r="G356" s="95"/>
      <c r="H356" s="95"/>
      <c r="I356" s="95"/>
      <c r="J356" s="95"/>
      <c r="K356" s="95"/>
      <c r="L356" s="95"/>
      <c r="M356" s="95"/>
      <c r="N356" s="95"/>
      <c r="O356" s="95"/>
      <c r="P356" s="95"/>
      <c r="Q356" s="95"/>
      <c r="R356" s="95"/>
      <c r="T356" s="81"/>
      <c r="U356" s="95"/>
      <c r="V356" s="95"/>
      <c r="W356" s="95"/>
    </row>
    <row r="357" spans="5:23" ht="10.15" customHeight="1">
      <c r="E357" s="95"/>
      <c r="F357" s="95"/>
      <c r="G357" s="95"/>
      <c r="H357" s="95"/>
      <c r="I357" s="95"/>
      <c r="J357" s="95"/>
      <c r="K357" s="95"/>
      <c r="L357" s="95"/>
      <c r="M357" s="95"/>
      <c r="N357" s="95"/>
      <c r="O357" s="95"/>
      <c r="P357" s="95"/>
      <c r="Q357" s="95"/>
      <c r="R357" s="95"/>
      <c r="T357" s="81"/>
      <c r="U357" s="95"/>
      <c r="V357" s="95"/>
      <c r="W357" s="95"/>
    </row>
    <row r="358" spans="5:23" ht="10.15" customHeight="1">
      <c r="E358" s="95"/>
      <c r="F358" s="95"/>
      <c r="G358" s="95"/>
      <c r="H358" s="95"/>
      <c r="I358" s="95"/>
      <c r="J358" s="95"/>
      <c r="K358" s="95"/>
      <c r="L358" s="95"/>
      <c r="M358" s="95"/>
      <c r="N358" s="95"/>
      <c r="O358" s="95"/>
      <c r="P358" s="95"/>
      <c r="Q358" s="95"/>
      <c r="R358" s="95"/>
      <c r="T358" s="81"/>
      <c r="U358" s="95"/>
      <c r="V358" s="95"/>
      <c r="W358" s="95"/>
    </row>
    <row r="359" spans="5:23" ht="10.15" customHeight="1">
      <c r="E359" s="95"/>
      <c r="F359" s="95"/>
      <c r="G359" s="95"/>
      <c r="H359" s="95"/>
      <c r="I359" s="95"/>
      <c r="J359" s="95"/>
      <c r="K359" s="95"/>
      <c r="L359" s="95"/>
      <c r="M359" s="95"/>
      <c r="N359" s="95"/>
      <c r="O359" s="95"/>
      <c r="P359" s="95"/>
      <c r="Q359" s="95"/>
      <c r="R359" s="95"/>
      <c r="T359" s="81"/>
      <c r="U359" s="95"/>
      <c r="V359" s="95"/>
      <c r="W359" s="95"/>
    </row>
    <row r="360" spans="5:23" ht="10.15" customHeight="1">
      <c r="E360" s="95"/>
      <c r="F360" s="95"/>
      <c r="G360" s="95"/>
      <c r="H360" s="95"/>
      <c r="I360" s="95"/>
      <c r="J360" s="95"/>
      <c r="K360" s="95"/>
      <c r="L360" s="95"/>
      <c r="M360" s="95"/>
      <c r="N360" s="95"/>
      <c r="O360" s="95"/>
      <c r="P360" s="95"/>
      <c r="Q360" s="95"/>
      <c r="R360" s="95"/>
      <c r="T360" s="81"/>
      <c r="U360" s="95"/>
      <c r="V360" s="95"/>
      <c r="W360" s="95"/>
    </row>
    <row r="361" spans="5:23" ht="10.15" customHeight="1">
      <c r="E361" s="95"/>
      <c r="F361" s="95"/>
      <c r="G361" s="95"/>
      <c r="H361" s="95"/>
      <c r="I361" s="95"/>
      <c r="J361" s="95"/>
      <c r="K361" s="95"/>
      <c r="L361" s="95"/>
      <c r="M361" s="95"/>
      <c r="N361" s="95"/>
      <c r="O361" s="95"/>
      <c r="P361" s="95"/>
      <c r="Q361" s="95"/>
      <c r="R361" s="95"/>
      <c r="T361" s="81"/>
      <c r="U361" s="95"/>
      <c r="V361" s="95"/>
      <c r="W361" s="95"/>
    </row>
    <row r="362" spans="5:23" ht="10.15" customHeight="1">
      <c r="E362" s="95"/>
      <c r="F362" s="95"/>
      <c r="G362" s="95"/>
      <c r="H362" s="95"/>
      <c r="I362" s="95"/>
      <c r="J362" s="95"/>
      <c r="K362" s="95"/>
      <c r="L362" s="95"/>
      <c r="M362" s="95"/>
      <c r="N362" s="95"/>
      <c r="O362" s="95"/>
      <c r="P362" s="95"/>
      <c r="Q362" s="95"/>
      <c r="R362" s="95"/>
      <c r="T362" s="81"/>
      <c r="U362" s="95"/>
      <c r="V362" s="95"/>
      <c r="W362" s="95"/>
    </row>
    <row r="363" spans="5:23" ht="10.15" customHeight="1">
      <c r="E363" s="95"/>
      <c r="F363" s="95"/>
      <c r="G363" s="95"/>
      <c r="H363" s="95"/>
      <c r="I363" s="95"/>
      <c r="J363" s="95"/>
      <c r="K363" s="95"/>
      <c r="L363" s="95"/>
      <c r="M363" s="95"/>
      <c r="N363" s="95"/>
      <c r="O363" s="95"/>
      <c r="P363" s="95"/>
      <c r="Q363" s="95"/>
      <c r="R363" s="95"/>
      <c r="T363" s="81"/>
      <c r="U363" s="95"/>
      <c r="V363" s="95"/>
      <c r="W363" s="95"/>
    </row>
    <row r="364" spans="5:23" ht="10.15" customHeight="1">
      <c r="E364" s="95"/>
      <c r="F364" s="95"/>
      <c r="G364" s="95"/>
      <c r="H364" s="95"/>
      <c r="I364" s="95"/>
      <c r="J364" s="95"/>
      <c r="K364" s="95"/>
      <c r="L364" s="95"/>
      <c r="M364" s="95"/>
      <c r="N364" s="95"/>
      <c r="O364" s="95"/>
      <c r="P364" s="95"/>
      <c r="Q364" s="95"/>
      <c r="R364" s="95"/>
      <c r="T364" s="81"/>
      <c r="U364" s="95"/>
      <c r="V364" s="95"/>
      <c r="W364" s="95"/>
    </row>
    <row r="365" spans="5:23" ht="10.15" customHeight="1">
      <c r="E365" s="95"/>
      <c r="F365" s="95"/>
      <c r="G365" s="95"/>
      <c r="H365" s="95"/>
      <c r="I365" s="95"/>
      <c r="J365" s="95"/>
      <c r="K365" s="95"/>
      <c r="L365" s="95"/>
      <c r="M365" s="95"/>
      <c r="N365" s="95"/>
      <c r="O365" s="95"/>
      <c r="P365" s="95"/>
      <c r="Q365" s="95"/>
      <c r="R365" s="95"/>
      <c r="T365" s="81"/>
      <c r="U365" s="95"/>
      <c r="V365" s="95"/>
      <c r="W365" s="95"/>
    </row>
    <row r="366" spans="5:23" ht="10.15" customHeight="1">
      <c r="E366" s="95"/>
      <c r="F366" s="95"/>
      <c r="G366" s="95"/>
      <c r="H366" s="95"/>
      <c r="I366" s="95"/>
      <c r="J366" s="95"/>
      <c r="K366" s="95"/>
      <c r="L366" s="95"/>
      <c r="M366" s="95"/>
      <c r="N366" s="95"/>
      <c r="O366" s="95"/>
      <c r="P366" s="95"/>
      <c r="Q366" s="95"/>
      <c r="R366" s="95"/>
      <c r="T366" s="81"/>
      <c r="U366" s="95"/>
      <c r="V366" s="95"/>
      <c r="W366" s="95"/>
    </row>
    <row r="367" spans="5:23" ht="10.15" customHeight="1">
      <c r="E367" s="95"/>
      <c r="F367" s="95"/>
      <c r="G367" s="95"/>
      <c r="H367" s="95"/>
      <c r="I367" s="95"/>
      <c r="J367" s="95"/>
      <c r="K367" s="95"/>
      <c r="L367" s="95"/>
      <c r="M367" s="95"/>
      <c r="N367" s="95"/>
      <c r="O367" s="95"/>
      <c r="P367" s="95"/>
      <c r="Q367" s="95"/>
      <c r="R367" s="95"/>
      <c r="T367" s="81"/>
      <c r="U367" s="95"/>
      <c r="V367" s="95"/>
      <c r="W367" s="95"/>
    </row>
    <row r="368" spans="5:23" ht="10.15" customHeight="1">
      <c r="E368" s="95"/>
      <c r="F368" s="95"/>
      <c r="G368" s="95"/>
      <c r="H368" s="95"/>
      <c r="I368" s="95"/>
      <c r="J368" s="95"/>
      <c r="K368" s="95"/>
      <c r="L368" s="95"/>
      <c r="M368" s="95"/>
      <c r="N368" s="95"/>
      <c r="O368" s="95"/>
      <c r="P368" s="95"/>
      <c r="Q368" s="95"/>
      <c r="R368" s="95"/>
      <c r="T368" s="81"/>
      <c r="U368" s="95"/>
      <c r="V368" s="95"/>
      <c r="W368" s="95"/>
    </row>
    <row r="369" spans="5:23" ht="10.15" customHeight="1">
      <c r="E369" s="95"/>
      <c r="F369" s="95"/>
      <c r="G369" s="95"/>
      <c r="H369" s="95"/>
      <c r="I369" s="95"/>
      <c r="J369" s="95"/>
      <c r="K369" s="95"/>
      <c r="L369" s="95"/>
      <c r="M369" s="95"/>
      <c r="N369" s="95"/>
      <c r="O369" s="95"/>
      <c r="P369" s="95"/>
      <c r="Q369" s="95"/>
      <c r="R369" s="95"/>
      <c r="T369" s="81"/>
      <c r="U369" s="95"/>
      <c r="V369" s="95"/>
      <c r="W369" s="95"/>
    </row>
    <row r="370" spans="5:23" ht="10.15" customHeight="1">
      <c r="E370" s="95"/>
      <c r="F370" s="95"/>
      <c r="G370" s="95"/>
      <c r="H370" s="95"/>
      <c r="I370" s="95"/>
      <c r="J370" s="95"/>
      <c r="K370" s="95"/>
      <c r="L370" s="95"/>
      <c r="M370" s="95"/>
      <c r="N370" s="95"/>
      <c r="O370" s="95"/>
      <c r="P370" s="95"/>
      <c r="Q370" s="95"/>
      <c r="R370" s="95"/>
      <c r="T370" s="81"/>
      <c r="U370" s="95"/>
      <c r="V370" s="95"/>
      <c r="W370" s="95"/>
    </row>
    <row r="371" spans="5:23" ht="10.15" customHeight="1">
      <c r="E371" s="95"/>
      <c r="F371" s="95"/>
      <c r="G371" s="95"/>
      <c r="H371" s="95"/>
      <c r="I371" s="95"/>
      <c r="J371" s="95"/>
      <c r="K371" s="95"/>
      <c r="L371" s="95"/>
      <c r="M371" s="95"/>
      <c r="N371" s="95"/>
      <c r="O371" s="95"/>
      <c r="P371" s="95"/>
      <c r="Q371" s="95"/>
      <c r="R371" s="95"/>
      <c r="T371" s="81"/>
      <c r="U371" s="95"/>
      <c r="V371" s="95"/>
      <c r="W371" s="95"/>
    </row>
    <row r="372" spans="5:23" ht="10.15" customHeight="1">
      <c r="E372" s="95"/>
      <c r="F372" s="95"/>
      <c r="G372" s="95"/>
      <c r="H372" s="95"/>
      <c r="I372" s="95"/>
      <c r="J372" s="95"/>
      <c r="K372" s="95"/>
      <c r="L372" s="95"/>
      <c r="M372" s="95"/>
      <c r="N372" s="95"/>
      <c r="O372" s="95"/>
      <c r="P372" s="95"/>
      <c r="Q372" s="95"/>
      <c r="R372" s="95"/>
      <c r="T372" s="81"/>
      <c r="U372" s="95"/>
      <c r="V372" s="95"/>
      <c r="W372" s="95"/>
    </row>
    <row r="373" spans="5:23" ht="10.15" customHeight="1">
      <c r="E373" s="95"/>
      <c r="F373" s="95"/>
      <c r="G373" s="95"/>
      <c r="H373" s="95"/>
      <c r="I373" s="95"/>
      <c r="J373" s="95"/>
      <c r="K373" s="95"/>
      <c r="L373" s="95"/>
      <c r="M373" s="95"/>
      <c r="N373" s="95"/>
      <c r="O373" s="95"/>
      <c r="P373" s="95"/>
      <c r="Q373" s="95"/>
      <c r="R373" s="95"/>
      <c r="T373" s="81"/>
      <c r="U373" s="95"/>
      <c r="V373" s="95"/>
      <c r="W373" s="95"/>
    </row>
    <row r="374" spans="5:23" ht="10.15" customHeight="1">
      <c r="E374" s="95"/>
      <c r="F374" s="95"/>
      <c r="G374" s="95"/>
      <c r="H374" s="95"/>
      <c r="I374" s="95"/>
      <c r="J374" s="95"/>
      <c r="K374" s="95"/>
      <c r="L374" s="95"/>
      <c r="M374" s="95"/>
      <c r="N374" s="95"/>
      <c r="O374" s="95"/>
      <c r="P374" s="95"/>
      <c r="Q374" s="95"/>
      <c r="R374" s="95"/>
      <c r="T374" s="81"/>
      <c r="U374" s="95"/>
      <c r="V374" s="95"/>
      <c r="W374" s="95"/>
    </row>
    <row r="375" spans="5:23" ht="10.15" customHeight="1">
      <c r="E375" s="95"/>
      <c r="F375" s="95"/>
      <c r="G375" s="95"/>
      <c r="H375" s="95"/>
      <c r="I375" s="95"/>
      <c r="J375" s="95"/>
      <c r="K375" s="95"/>
      <c r="L375" s="95"/>
      <c r="M375" s="95"/>
      <c r="N375" s="95"/>
      <c r="O375" s="95"/>
      <c r="P375" s="95"/>
      <c r="Q375" s="95"/>
      <c r="R375" s="95"/>
      <c r="T375" s="81"/>
      <c r="U375" s="95"/>
      <c r="V375" s="95"/>
      <c r="W375" s="95"/>
    </row>
    <row r="376" spans="5:23" ht="10.15" customHeight="1">
      <c r="E376" s="95"/>
      <c r="F376" s="95"/>
      <c r="G376" s="95"/>
      <c r="H376" s="95"/>
      <c r="I376" s="95"/>
      <c r="J376" s="95"/>
      <c r="K376" s="95"/>
      <c r="L376" s="95"/>
      <c r="M376" s="95"/>
      <c r="N376" s="95"/>
      <c r="O376" s="95"/>
      <c r="P376" s="95"/>
      <c r="Q376" s="95"/>
      <c r="R376" s="95"/>
      <c r="T376" s="81"/>
      <c r="U376" s="95"/>
      <c r="V376" s="95"/>
      <c r="W376" s="95"/>
    </row>
    <row r="377" spans="5:23" ht="10.15" customHeight="1">
      <c r="E377" s="95"/>
      <c r="F377" s="95"/>
      <c r="G377" s="95"/>
      <c r="H377" s="95"/>
      <c r="I377" s="95"/>
      <c r="J377" s="95"/>
      <c r="K377" s="95"/>
      <c r="L377" s="95"/>
      <c r="M377" s="95"/>
      <c r="N377" s="95"/>
      <c r="O377" s="95"/>
      <c r="P377" s="95"/>
      <c r="Q377" s="95"/>
      <c r="R377" s="95"/>
      <c r="T377" s="81"/>
      <c r="U377" s="95"/>
      <c r="V377" s="95"/>
      <c r="W377" s="95"/>
    </row>
    <row r="378" spans="5:23" ht="10.15" customHeight="1">
      <c r="E378" s="95"/>
      <c r="F378" s="95"/>
      <c r="G378" s="95"/>
      <c r="H378" s="95"/>
      <c r="I378" s="95"/>
      <c r="J378" s="95"/>
      <c r="K378" s="95"/>
      <c r="L378" s="95"/>
      <c r="M378" s="95"/>
      <c r="N378" s="95"/>
      <c r="O378" s="95"/>
      <c r="P378" s="95"/>
      <c r="Q378" s="95"/>
      <c r="R378" s="95"/>
      <c r="T378" s="81"/>
      <c r="U378" s="95"/>
      <c r="V378" s="95"/>
      <c r="W378" s="95"/>
    </row>
    <row r="379" spans="5:23" ht="10.15" customHeight="1">
      <c r="E379" s="95"/>
      <c r="F379" s="95"/>
      <c r="G379" s="95"/>
      <c r="H379" s="95"/>
      <c r="I379" s="95"/>
      <c r="J379" s="95"/>
      <c r="K379" s="95"/>
      <c r="L379" s="95"/>
      <c r="M379" s="95"/>
      <c r="N379" s="95"/>
      <c r="O379" s="95"/>
      <c r="P379" s="95"/>
      <c r="Q379" s="95"/>
      <c r="R379" s="95"/>
      <c r="T379" s="81"/>
      <c r="U379" s="95"/>
      <c r="V379" s="95"/>
      <c r="W379" s="95"/>
    </row>
    <row r="380" spans="5:23" ht="10.15" customHeight="1">
      <c r="E380" s="95"/>
      <c r="F380" s="95"/>
      <c r="G380" s="95"/>
      <c r="H380" s="95"/>
      <c r="I380" s="95"/>
      <c r="J380" s="95"/>
      <c r="K380" s="95"/>
      <c r="L380" s="95"/>
      <c r="M380" s="95"/>
      <c r="N380" s="95"/>
      <c r="O380" s="95"/>
      <c r="P380" s="95"/>
      <c r="Q380" s="95"/>
      <c r="R380" s="95"/>
      <c r="T380" s="81"/>
      <c r="U380" s="95"/>
      <c r="V380" s="95"/>
      <c r="W380" s="95"/>
    </row>
    <row r="381" spans="5:23" ht="10.15" customHeight="1">
      <c r="E381" s="95"/>
      <c r="F381" s="95"/>
      <c r="G381" s="95"/>
      <c r="H381" s="95"/>
      <c r="I381" s="95"/>
      <c r="J381" s="95"/>
      <c r="K381" s="95"/>
      <c r="L381" s="95"/>
      <c r="M381" s="95"/>
      <c r="N381" s="95"/>
      <c r="O381" s="95"/>
      <c r="P381" s="95"/>
      <c r="Q381" s="95"/>
      <c r="R381" s="95"/>
      <c r="T381" s="81"/>
      <c r="U381" s="95"/>
      <c r="V381" s="95"/>
      <c r="W381" s="95"/>
    </row>
    <row r="382" spans="5:23" ht="10.15" customHeight="1">
      <c r="E382" s="95"/>
      <c r="F382" s="95"/>
      <c r="G382" s="95"/>
      <c r="H382" s="95"/>
      <c r="I382" s="95"/>
      <c r="J382" s="95"/>
      <c r="K382" s="95"/>
      <c r="L382" s="95"/>
      <c r="M382" s="95"/>
      <c r="N382" s="95"/>
      <c r="O382" s="95"/>
      <c r="P382" s="95"/>
      <c r="Q382" s="95"/>
      <c r="R382" s="95"/>
      <c r="T382" s="81"/>
      <c r="U382" s="95"/>
      <c r="V382" s="95"/>
      <c r="W382" s="95"/>
    </row>
    <row r="383" spans="5:23" ht="10.15" customHeight="1">
      <c r="E383" s="95"/>
      <c r="F383" s="95"/>
      <c r="G383" s="95"/>
      <c r="H383" s="95"/>
      <c r="I383" s="95"/>
      <c r="J383" s="95"/>
      <c r="K383" s="95"/>
      <c r="L383" s="95"/>
      <c r="M383" s="95"/>
      <c r="N383" s="95"/>
      <c r="O383" s="95"/>
      <c r="P383" s="95"/>
      <c r="Q383" s="95"/>
      <c r="R383" s="95"/>
      <c r="T383" s="81"/>
      <c r="U383" s="95"/>
      <c r="V383" s="95"/>
      <c r="W383" s="95"/>
    </row>
    <row r="384" spans="5:23" ht="10.15" customHeight="1">
      <c r="E384" s="95"/>
      <c r="F384" s="95"/>
      <c r="G384" s="95"/>
      <c r="H384" s="95"/>
      <c r="I384" s="95"/>
      <c r="J384" s="95"/>
      <c r="K384" s="95"/>
      <c r="L384" s="95"/>
      <c r="M384" s="95"/>
      <c r="N384" s="95"/>
      <c r="O384" s="95"/>
      <c r="P384" s="95"/>
      <c r="Q384" s="95"/>
      <c r="R384" s="95"/>
      <c r="T384" s="81"/>
      <c r="U384" s="95"/>
      <c r="V384" s="95"/>
      <c r="W384" s="95"/>
    </row>
    <row r="385" spans="5:23" ht="10.15" customHeight="1">
      <c r="E385" s="95"/>
      <c r="F385" s="95"/>
      <c r="G385" s="95"/>
      <c r="H385" s="95"/>
      <c r="I385" s="95"/>
      <c r="J385" s="95"/>
      <c r="K385" s="95"/>
      <c r="L385" s="95"/>
      <c r="M385" s="95"/>
      <c r="N385" s="95"/>
      <c r="O385" s="95"/>
      <c r="P385" s="95"/>
      <c r="Q385" s="95"/>
      <c r="R385" s="95"/>
      <c r="T385" s="81"/>
      <c r="U385" s="95"/>
      <c r="V385" s="95"/>
      <c r="W385" s="95"/>
    </row>
    <row r="386" spans="5:23" ht="10.15" customHeight="1">
      <c r="E386" s="95"/>
      <c r="F386" s="95"/>
      <c r="G386" s="95"/>
      <c r="H386" s="95"/>
      <c r="I386" s="95"/>
      <c r="J386" s="95"/>
      <c r="K386" s="95"/>
      <c r="L386" s="95"/>
      <c r="M386" s="95"/>
      <c r="N386" s="95"/>
      <c r="O386" s="95"/>
      <c r="P386" s="95"/>
      <c r="Q386" s="95"/>
      <c r="R386" s="95"/>
      <c r="T386" s="81"/>
      <c r="U386" s="95"/>
      <c r="V386" s="95"/>
      <c r="W386" s="95"/>
    </row>
    <row r="387" spans="5:23" ht="10.15" customHeight="1">
      <c r="E387" s="95"/>
      <c r="F387" s="95"/>
      <c r="G387" s="95"/>
      <c r="H387" s="95"/>
      <c r="I387" s="95"/>
      <c r="J387" s="95"/>
      <c r="K387" s="95"/>
      <c r="L387" s="95"/>
      <c r="M387" s="95"/>
      <c r="N387" s="95"/>
      <c r="O387" s="95"/>
      <c r="P387" s="95"/>
      <c r="Q387" s="95"/>
      <c r="R387" s="95"/>
      <c r="T387" s="81"/>
      <c r="U387" s="95"/>
      <c r="V387" s="95"/>
      <c r="W387" s="95"/>
    </row>
    <row r="388" spans="5:23" ht="10.15" customHeight="1">
      <c r="E388" s="95"/>
      <c r="F388" s="95"/>
      <c r="G388" s="95"/>
      <c r="H388" s="95"/>
      <c r="I388" s="95"/>
      <c r="J388" s="95"/>
      <c r="K388" s="95"/>
      <c r="L388" s="95"/>
      <c r="M388" s="95"/>
      <c r="N388" s="95"/>
      <c r="O388" s="95"/>
      <c r="P388" s="95"/>
      <c r="Q388" s="95"/>
      <c r="R388" s="95"/>
      <c r="T388" s="81"/>
      <c r="U388" s="95"/>
      <c r="V388" s="95"/>
      <c r="W388" s="95"/>
    </row>
    <row r="389" spans="5:23" ht="10.15" customHeight="1">
      <c r="E389" s="95"/>
      <c r="F389" s="95"/>
      <c r="G389" s="95"/>
      <c r="H389" s="95"/>
      <c r="I389" s="95"/>
      <c r="J389" s="95"/>
      <c r="K389" s="95"/>
      <c r="L389" s="95"/>
      <c r="M389" s="95"/>
      <c r="N389" s="95"/>
      <c r="O389" s="95"/>
      <c r="P389" s="95"/>
      <c r="Q389" s="95"/>
      <c r="R389" s="95"/>
      <c r="T389" s="81"/>
      <c r="U389" s="95"/>
      <c r="V389" s="95"/>
      <c r="W389" s="95"/>
    </row>
    <row r="390" spans="5:23" ht="10.15" customHeight="1">
      <c r="E390" s="95"/>
      <c r="F390" s="95"/>
      <c r="G390" s="95"/>
      <c r="H390" s="95"/>
      <c r="I390" s="95"/>
      <c r="J390" s="95"/>
      <c r="K390" s="95"/>
      <c r="L390" s="95"/>
      <c r="M390" s="95"/>
      <c r="N390" s="95"/>
      <c r="O390" s="95"/>
      <c r="P390" s="95"/>
      <c r="Q390" s="95"/>
      <c r="R390" s="95"/>
      <c r="T390" s="81"/>
      <c r="U390" s="95"/>
      <c r="V390" s="95"/>
      <c r="W390" s="95"/>
    </row>
    <row r="391" spans="5:23" ht="10.15" customHeight="1">
      <c r="E391" s="95"/>
      <c r="F391" s="95"/>
      <c r="G391" s="95"/>
      <c r="H391" s="95"/>
      <c r="I391" s="95"/>
      <c r="J391" s="95"/>
      <c r="K391" s="95"/>
      <c r="L391" s="95"/>
      <c r="M391" s="95"/>
      <c r="N391" s="95"/>
      <c r="O391" s="95"/>
      <c r="P391" s="95"/>
      <c r="Q391" s="95"/>
      <c r="R391" s="95"/>
      <c r="T391" s="81"/>
      <c r="U391" s="95"/>
      <c r="V391" s="95"/>
      <c r="W391" s="95"/>
    </row>
    <row r="392" spans="5:23" ht="10.15" customHeight="1">
      <c r="E392" s="95"/>
      <c r="F392" s="95"/>
      <c r="G392" s="95"/>
      <c r="H392" s="95"/>
      <c r="I392" s="95"/>
      <c r="J392" s="95"/>
      <c r="K392" s="95"/>
      <c r="L392" s="95"/>
      <c r="M392" s="95"/>
      <c r="N392" s="95"/>
      <c r="O392" s="95"/>
      <c r="P392" s="95"/>
      <c r="Q392" s="95"/>
      <c r="R392" s="95"/>
      <c r="T392" s="81"/>
      <c r="U392" s="95"/>
      <c r="V392" s="95"/>
      <c r="W392" s="95"/>
    </row>
    <row r="393" spans="5:23" ht="10.15" customHeight="1">
      <c r="E393" s="95"/>
      <c r="F393" s="95"/>
      <c r="G393" s="95"/>
      <c r="H393" s="95"/>
      <c r="I393" s="95"/>
      <c r="J393" s="95"/>
      <c r="K393" s="95"/>
      <c r="L393" s="95"/>
      <c r="M393" s="95"/>
      <c r="N393" s="95"/>
      <c r="O393" s="95"/>
      <c r="P393" s="95"/>
      <c r="Q393" s="95"/>
      <c r="R393" s="95"/>
      <c r="T393" s="81"/>
      <c r="U393" s="95"/>
      <c r="V393" s="95"/>
      <c r="W393" s="95"/>
    </row>
    <row r="394" spans="5:23" ht="10.15" customHeight="1">
      <c r="E394" s="95"/>
      <c r="F394" s="95"/>
      <c r="G394" s="95"/>
      <c r="H394" s="95"/>
      <c r="I394" s="95"/>
      <c r="J394" s="95"/>
      <c r="K394" s="95"/>
      <c r="L394" s="95"/>
      <c r="M394" s="95"/>
      <c r="N394" s="95"/>
      <c r="O394" s="95"/>
      <c r="P394" s="95"/>
      <c r="Q394" s="95"/>
      <c r="R394" s="95"/>
      <c r="T394" s="81"/>
      <c r="U394" s="95"/>
      <c r="V394" s="95"/>
      <c r="W394" s="95"/>
    </row>
    <row r="395" spans="5:23" ht="10.15" customHeight="1">
      <c r="E395" s="95"/>
      <c r="F395" s="95"/>
      <c r="G395" s="95"/>
      <c r="H395" s="95"/>
      <c r="I395" s="95"/>
      <c r="J395" s="95"/>
      <c r="K395" s="95"/>
      <c r="L395" s="95"/>
      <c r="M395" s="95"/>
      <c r="N395" s="95"/>
      <c r="O395" s="95"/>
      <c r="P395" s="95"/>
      <c r="Q395" s="95"/>
      <c r="R395" s="95"/>
      <c r="T395" s="81"/>
      <c r="U395" s="95"/>
      <c r="V395" s="95"/>
      <c r="W395" s="95"/>
    </row>
    <row r="396" spans="5:23" ht="10.15" customHeight="1">
      <c r="E396" s="95"/>
      <c r="F396" s="95"/>
      <c r="G396" s="95"/>
      <c r="H396" s="95"/>
      <c r="I396" s="95"/>
      <c r="J396" s="95"/>
      <c r="K396" s="95"/>
      <c r="L396" s="95"/>
      <c r="M396" s="95"/>
      <c r="N396" s="95"/>
      <c r="O396" s="95"/>
      <c r="P396" s="95"/>
      <c r="Q396" s="95"/>
      <c r="R396" s="95"/>
      <c r="T396" s="81"/>
      <c r="U396" s="95"/>
      <c r="V396" s="95"/>
      <c r="W396" s="95"/>
    </row>
    <row r="397" spans="5:23" ht="10.15" customHeight="1">
      <c r="E397" s="95"/>
      <c r="F397" s="95"/>
      <c r="G397" s="95"/>
      <c r="H397" s="95"/>
      <c r="I397" s="95"/>
      <c r="J397" s="95"/>
      <c r="K397" s="95"/>
      <c r="L397" s="95"/>
      <c r="M397" s="95"/>
      <c r="N397" s="95"/>
      <c r="O397" s="95"/>
      <c r="P397" s="95"/>
      <c r="Q397" s="95"/>
      <c r="R397" s="95"/>
      <c r="T397" s="81"/>
      <c r="U397" s="95"/>
      <c r="V397" s="95"/>
      <c r="W397" s="95"/>
    </row>
    <row r="398" spans="5:23" ht="10.15" customHeight="1">
      <c r="E398" s="95"/>
      <c r="F398" s="95"/>
      <c r="G398" s="95"/>
      <c r="H398" s="95"/>
      <c r="I398" s="95"/>
      <c r="J398" s="95"/>
      <c r="K398" s="95"/>
      <c r="L398" s="95"/>
      <c r="M398" s="95"/>
      <c r="N398" s="95"/>
      <c r="O398" s="95"/>
      <c r="P398" s="95"/>
      <c r="Q398" s="95"/>
      <c r="R398" s="95"/>
      <c r="T398" s="81"/>
      <c r="U398" s="95"/>
      <c r="V398" s="95"/>
      <c r="W398" s="95"/>
    </row>
    <row r="399" spans="5:23" ht="10.15" customHeight="1">
      <c r="E399" s="95"/>
      <c r="F399" s="95"/>
      <c r="G399" s="95"/>
      <c r="H399" s="95"/>
      <c r="I399" s="95"/>
      <c r="J399" s="95"/>
      <c r="K399" s="95"/>
      <c r="L399" s="95"/>
      <c r="M399" s="95"/>
      <c r="N399" s="95"/>
      <c r="O399" s="95"/>
      <c r="P399" s="95"/>
      <c r="Q399" s="95"/>
      <c r="R399" s="95"/>
      <c r="T399" s="81"/>
      <c r="U399" s="95"/>
      <c r="V399" s="95"/>
      <c r="W399" s="95"/>
    </row>
    <row r="400" spans="5:23" ht="10.15" customHeight="1">
      <c r="E400" s="95"/>
      <c r="F400" s="95"/>
      <c r="G400" s="95"/>
      <c r="H400" s="95"/>
      <c r="I400" s="95"/>
      <c r="J400" s="95"/>
      <c r="K400" s="95"/>
      <c r="L400" s="95"/>
      <c r="M400" s="95"/>
      <c r="N400" s="95"/>
      <c r="O400" s="95"/>
      <c r="P400" s="95"/>
      <c r="Q400" s="95"/>
      <c r="R400" s="95"/>
      <c r="T400" s="81"/>
      <c r="U400" s="95"/>
      <c r="V400" s="95"/>
      <c r="W400" s="95"/>
    </row>
    <row r="401" spans="5:23" ht="10.15" customHeight="1">
      <c r="E401" s="95"/>
      <c r="F401" s="95"/>
      <c r="G401" s="95"/>
      <c r="H401" s="95"/>
      <c r="I401" s="95"/>
      <c r="J401" s="95"/>
      <c r="K401" s="95"/>
      <c r="L401" s="95"/>
      <c r="M401" s="95"/>
      <c r="N401" s="95"/>
      <c r="O401" s="95"/>
      <c r="P401" s="95"/>
      <c r="Q401" s="95"/>
      <c r="R401" s="95"/>
      <c r="T401" s="81"/>
      <c r="U401" s="95"/>
      <c r="V401" s="95"/>
      <c r="W401" s="95"/>
    </row>
    <row r="402" spans="5:23" ht="10.15" customHeight="1">
      <c r="E402" s="95"/>
      <c r="F402" s="95"/>
      <c r="G402" s="95"/>
      <c r="H402" s="95"/>
      <c r="I402" s="95"/>
      <c r="J402" s="95"/>
      <c r="K402" s="95"/>
      <c r="L402" s="95"/>
      <c r="M402" s="95"/>
      <c r="N402" s="95"/>
      <c r="O402" s="95"/>
      <c r="P402" s="95"/>
      <c r="Q402" s="95"/>
      <c r="R402" s="95"/>
      <c r="T402" s="81"/>
      <c r="U402" s="95"/>
      <c r="V402" s="95"/>
      <c r="W402" s="95"/>
    </row>
    <row r="403" spans="5:23" ht="10.15" customHeight="1">
      <c r="E403" s="95"/>
      <c r="F403" s="95"/>
      <c r="G403" s="95"/>
      <c r="H403" s="95"/>
      <c r="I403" s="95"/>
      <c r="J403" s="95"/>
      <c r="K403" s="95"/>
      <c r="L403" s="95"/>
      <c r="M403" s="95"/>
      <c r="N403" s="95"/>
      <c r="O403" s="95"/>
      <c r="P403" s="95"/>
      <c r="Q403" s="95"/>
      <c r="R403" s="95"/>
      <c r="T403" s="81"/>
      <c r="U403" s="95"/>
      <c r="V403" s="95"/>
      <c r="W403" s="95"/>
    </row>
    <row r="404" spans="5:23" ht="10.15" customHeight="1">
      <c r="E404" s="95"/>
      <c r="F404" s="95"/>
      <c r="G404" s="95"/>
      <c r="H404" s="95"/>
      <c r="I404" s="95"/>
      <c r="J404" s="95"/>
      <c r="K404" s="95"/>
      <c r="L404" s="95"/>
      <c r="M404" s="95"/>
      <c r="N404" s="95"/>
      <c r="O404" s="95"/>
      <c r="P404" s="95"/>
      <c r="Q404" s="95"/>
      <c r="R404" s="95"/>
      <c r="T404" s="81"/>
      <c r="U404" s="95"/>
      <c r="V404" s="95"/>
      <c r="W404" s="95"/>
    </row>
    <row r="405" spans="5:23" ht="10.15" customHeight="1">
      <c r="E405" s="95"/>
      <c r="F405" s="95"/>
      <c r="G405" s="95"/>
      <c r="H405" s="95"/>
      <c r="I405" s="95"/>
      <c r="J405" s="95"/>
      <c r="K405" s="95"/>
      <c r="L405" s="95"/>
      <c r="M405" s="95"/>
      <c r="N405" s="95"/>
      <c r="O405" s="95"/>
      <c r="P405" s="95"/>
      <c r="Q405" s="95"/>
      <c r="R405" s="95"/>
      <c r="T405" s="81"/>
      <c r="U405" s="95"/>
      <c r="V405" s="95"/>
      <c r="W405" s="95"/>
    </row>
    <row r="406" spans="5:23" ht="10.15" customHeight="1">
      <c r="E406" s="95"/>
      <c r="F406" s="95"/>
      <c r="G406" s="95"/>
      <c r="H406" s="95"/>
      <c r="I406" s="95"/>
      <c r="J406" s="95"/>
      <c r="K406" s="95"/>
      <c r="L406" s="95"/>
      <c r="M406" s="95"/>
      <c r="N406" s="95"/>
      <c r="O406" s="95"/>
      <c r="P406" s="95"/>
      <c r="Q406" s="95"/>
      <c r="R406" s="95"/>
      <c r="T406" s="81"/>
      <c r="U406" s="95"/>
      <c r="V406" s="95"/>
      <c r="W406" s="95"/>
    </row>
    <row r="407" spans="5:23" ht="10.15" customHeight="1">
      <c r="E407" s="95"/>
      <c r="F407" s="95"/>
      <c r="G407" s="95"/>
      <c r="H407" s="95"/>
      <c r="I407" s="95"/>
      <c r="J407" s="95"/>
      <c r="K407" s="95"/>
      <c r="L407" s="95"/>
      <c r="M407" s="95"/>
      <c r="N407" s="95"/>
      <c r="O407" s="95"/>
      <c r="P407" s="95"/>
      <c r="Q407" s="95"/>
      <c r="R407" s="95"/>
      <c r="T407" s="81"/>
      <c r="U407" s="95"/>
      <c r="V407" s="95"/>
      <c r="W407" s="95"/>
    </row>
    <row r="408" spans="5:23" ht="10.15" customHeight="1">
      <c r="E408" s="95"/>
      <c r="F408" s="95"/>
      <c r="G408" s="95"/>
      <c r="H408" s="95"/>
      <c r="I408" s="95"/>
      <c r="J408" s="95"/>
      <c r="K408" s="95"/>
      <c r="L408" s="95"/>
      <c r="M408" s="95"/>
      <c r="N408" s="95"/>
      <c r="O408" s="95"/>
      <c r="P408" s="95"/>
      <c r="Q408" s="95"/>
      <c r="R408" s="95"/>
      <c r="T408" s="81"/>
      <c r="U408" s="95"/>
      <c r="V408" s="95"/>
      <c r="W408" s="95"/>
    </row>
    <row r="409" spans="5:23" ht="10.15" customHeight="1">
      <c r="E409" s="95"/>
      <c r="F409" s="95"/>
      <c r="G409" s="95"/>
      <c r="H409" s="95"/>
      <c r="I409" s="95"/>
      <c r="J409" s="95"/>
      <c r="K409" s="95"/>
      <c r="L409" s="95"/>
      <c r="M409" s="95"/>
      <c r="N409" s="95"/>
      <c r="O409" s="95"/>
      <c r="P409" s="95"/>
      <c r="Q409" s="95"/>
      <c r="R409" s="95"/>
      <c r="T409" s="81"/>
      <c r="U409" s="95"/>
      <c r="V409" s="95"/>
      <c r="W409" s="95"/>
    </row>
    <row r="410" spans="5:23" ht="10.15" customHeight="1">
      <c r="E410" s="95"/>
      <c r="F410" s="95"/>
      <c r="G410" s="95"/>
      <c r="H410" s="95"/>
      <c r="I410" s="95"/>
      <c r="J410" s="95"/>
      <c r="K410" s="95"/>
      <c r="L410" s="95"/>
      <c r="M410" s="95"/>
      <c r="N410" s="95"/>
      <c r="O410" s="95"/>
      <c r="P410" s="95"/>
      <c r="Q410" s="95"/>
      <c r="R410" s="95"/>
      <c r="T410" s="81"/>
      <c r="U410" s="95"/>
      <c r="V410" s="95"/>
      <c r="W410" s="95"/>
    </row>
    <row r="411" spans="5:23" ht="10.15" customHeight="1">
      <c r="E411" s="95"/>
      <c r="F411" s="95"/>
      <c r="G411" s="95"/>
      <c r="H411" s="95"/>
      <c r="I411" s="95"/>
      <c r="J411" s="95"/>
      <c r="K411" s="95"/>
      <c r="L411" s="95"/>
      <c r="M411" s="95"/>
      <c r="N411" s="95"/>
      <c r="O411" s="95"/>
      <c r="P411" s="95"/>
      <c r="Q411" s="95"/>
      <c r="R411" s="95"/>
      <c r="T411" s="81"/>
      <c r="U411" s="95"/>
      <c r="V411" s="95"/>
      <c r="W411" s="95"/>
    </row>
    <row r="412" spans="5:23" ht="10.15" customHeight="1">
      <c r="E412" s="95"/>
      <c r="F412" s="95"/>
      <c r="G412" s="95"/>
      <c r="H412" s="95"/>
      <c r="I412" s="95"/>
      <c r="J412" s="95"/>
      <c r="K412" s="95"/>
      <c r="L412" s="95"/>
      <c r="M412" s="95"/>
      <c r="N412" s="95"/>
      <c r="O412" s="95"/>
      <c r="P412" s="95"/>
      <c r="Q412" s="95"/>
      <c r="R412" s="95"/>
      <c r="T412" s="81"/>
      <c r="U412" s="95"/>
      <c r="V412" s="95"/>
      <c r="W412" s="95"/>
    </row>
    <row r="413" spans="5:23" ht="10.15" customHeight="1">
      <c r="E413" s="95"/>
      <c r="F413" s="95"/>
      <c r="G413" s="95"/>
      <c r="H413" s="95"/>
      <c r="I413" s="95"/>
      <c r="J413" s="95"/>
      <c r="K413" s="95"/>
      <c r="L413" s="95"/>
      <c r="M413" s="95"/>
      <c r="N413" s="95"/>
      <c r="O413" s="95"/>
      <c r="P413" s="95"/>
      <c r="Q413" s="95"/>
      <c r="R413" s="95"/>
      <c r="T413" s="81"/>
      <c r="U413" s="95"/>
      <c r="V413" s="95"/>
      <c r="W413" s="95"/>
    </row>
    <row r="414" spans="5:23" ht="10.15" customHeight="1">
      <c r="E414" s="95"/>
      <c r="F414" s="95"/>
      <c r="G414" s="95"/>
      <c r="H414" s="95"/>
      <c r="I414" s="95"/>
      <c r="J414" s="95"/>
      <c r="K414" s="95"/>
      <c r="L414" s="95"/>
      <c r="M414" s="95"/>
      <c r="N414" s="95"/>
      <c r="O414" s="95"/>
      <c r="P414" s="95"/>
      <c r="Q414" s="95"/>
      <c r="R414" s="95"/>
      <c r="T414" s="81"/>
      <c r="U414" s="95"/>
      <c r="V414" s="95"/>
      <c r="W414" s="95"/>
    </row>
    <row r="415" spans="5:23" ht="10.15" customHeight="1">
      <c r="E415" s="95"/>
      <c r="F415" s="95"/>
      <c r="G415" s="95"/>
      <c r="H415" s="95"/>
      <c r="I415" s="95"/>
      <c r="J415" s="95"/>
      <c r="K415" s="95"/>
      <c r="L415" s="95"/>
      <c r="M415" s="95"/>
      <c r="N415" s="95"/>
      <c r="O415" s="95"/>
      <c r="P415" s="95"/>
      <c r="Q415" s="95"/>
      <c r="R415" s="95"/>
      <c r="T415" s="81"/>
      <c r="U415" s="95"/>
      <c r="V415" s="95"/>
      <c r="W415" s="95"/>
    </row>
    <row r="416" spans="5:23" ht="10.15" customHeight="1">
      <c r="E416" s="95"/>
      <c r="F416" s="95"/>
      <c r="G416" s="95"/>
      <c r="H416" s="95"/>
      <c r="I416" s="95"/>
      <c r="J416" s="95"/>
      <c r="K416" s="95"/>
      <c r="L416" s="95"/>
      <c r="M416" s="95"/>
      <c r="N416" s="95"/>
      <c r="O416" s="95"/>
      <c r="P416" s="95"/>
      <c r="Q416" s="95"/>
      <c r="R416" s="95"/>
      <c r="T416" s="81"/>
      <c r="U416" s="95"/>
      <c r="V416" s="95"/>
      <c r="W416" s="95"/>
    </row>
    <row r="417" spans="5:23" ht="10.15" customHeight="1">
      <c r="E417" s="95"/>
      <c r="F417" s="95"/>
      <c r="G417" s="95"/>
      <c r="H417" s="95"/>
      <c r="I417" s="95"/>
      <c r="J417" s="95"/>
      <c r="K417" s="95"/>
      <c r="L417" s="95"/>
      <c r="M417" s="95"/>
      <c r="N417" s="95"/>
      <c r="O417" s="95"/>
      <c r="P417" s="95"/>
      <c r="Q417" s="95"/>
      <c r="R417" s="95"/>
      <c r="T417" s="81"/>
      <c r="U417" s="95"/>
      <c r="V417" s="95"/>
      <c r="W417" s="95"/>
    </row>
    <row r="418" spans="5:23" ht="10.15" customHeight="1">
      <c r="E418" s="95"/>
      <c r="F418" s="95"/>
      <c r="G418" s="95"/>
      <c r="H418" s="95"/>
      <c r="I418" s="95"/>
      <c r="J418" s="95"/>
      <c r="K418" s="95"/>
      <c r="L418" s="95"/>
      <c r="M418" s="95"/>
      <c r="N418" s="95"/>
      <c r="O418" s="95"/>
      <c r="P418" s="95"/>
      <c r="Q418" s="95"/>
      <c r="R418" s="95"/>
      <c r="T418" s="81"/>
      <c r="U418" s="95"/>
      <c r="V418" s="95"/>
      <c r="W418" s="95"/>
    </row>
    <row r="419" spans="5:23" ht="10.15" customHeight="1">
      <c r="E419" s="95"/>
      <c r="F419" s="95"/>
      <c r="G419" s="95"/>
      <c r="H419" s="95"/>
      <c r="I419" s="95"/>
      <c r="J419" s="95"/>
      <c r="K419" s="95"/>
      <c r="L419" s="95"/>
      <c r="M419" s="95"/>
      <c r="N419" s="95"/>
      <c r="O419" s="95"/>
      <c r="P419" s="95"/>
      <c r="Q419" s="95"/>
      <c r="R419" s="95"/>
      <c r="T419" s="81"/>
      <c r="U419" s="95"/>
      <c r="V419" s="95"/>
      <c r="W419" s="95"/>
    </row>
    <row r="420" spans="5:23" ht="10.15" customHeight="1">
      <c r="E420" s="95"/>
      <c r="F420" s="95"/>
      <c r="G420" s="95"/>
      <c r="H420" s="95"/>
      <c r="I420" s="95"/>
      <c r="J420" s="95"/>
      <c r="K420" s="95"/>
      <c r="L420" s="95"/>
      <c r="M420" s="95"/>
      <c r="N420" s="95"/>
      <c r="O420" s="95"/>
      <c r="P420" s="95"/>
      <c r="Q420" s="95"/>
      <c r="R420" s="95"/>
      <c r="T420" s="81"/>
      <c r="U420" s="95"/>
      <c r="V420" s="95"/>
      <c r="W420" s="95"/>
    </row>
    <row r="421" spans="5:23" ht="10.15" customHeight="1">
      <c r="E421" s="95"/>
      <c r="F421" s="95"/>
      <c r="G421" s="95"/>
      <c r="H421" s="95"/>
      <c r="I421" s="95"/>
      <c r="J421" s="95"/>
      <c r="K421" s="95"/>
      <c r="L421" s="95"/>
      <c r="M421" s="95"/>
      <c r="N421" s="95"/>
      <c r="O421" s="95"/>
      <c r="P421" s="95"/>
      <c r="Q421" s="95"/>
      <c r="R421" s="95"/>
      <c r="T421" s="81"/>
      <c r="U421" s="95"/>
      <c r="V421" s="95"/>
      <c r="W421" s="95"/>
    </row>
    <row r="422" spans="5:23" ht="10.15" customHeight="1">
      <c r="E422" s="95"/>
      <c r="F422" s="95"/>
      <c r="G422" s="95"/>
      <c r="H422" s="95"/>
      <c r="I422" s="95"/>
      <c r="J422" s="95"/>
      <c r="K422" s="95"/>
      <c r="L422" s="95"/>
      <c r="M422" s="95"/>
      <c r="N422" s="95"/>
      <c r="O422" s="95"/>
      <c r="P422" s="95"/>
      <c r="Q422" s="95"/>
      <c r="R422" s="95"/>
      <c r="T422" s="81"/>
      <c r="U422" s="95"/>
      <c r="V422" s="95"/>
      <c r="W422" s="95"/>
    </row>
    <row r="423" spans="5:23" ht="10.15" customHeight="1">
      <c r="E423" s="95"/>
      <c r="F423" s="95"/>
      <c r="G423" s="95"/>
      <c r="H423" s="95"/>
      <c r="I423" s="95"/>
      <c r="J423" s="95"/>
      <c r="K423" s="95"/>
      <c r="L423" s="95"/>
      <c r="M423" s="95"/>
      <c r="N423" s="95"/>
      <c r="O423" s="95"/>
      <c r="P423" s="95"/>
      <c r="Q423" s="95"/>
      <c r="R423" s="95"/>
      <c r="T423" s="81"/>
      <c r="U423" s="95"/>
      <c r="V423" s="95"/>
      <c r="W423" s="95"/>
    </row>
    <row r="424" spans="5:23" ht="10.15" customHeight="1">
      <c r="E424" s="95"/>
      <c r="F424" s="95"/>
      <c r="G424" s="95"/>
      <c r="H424" s="95"/>
      <c r="I424" s="95"/>
      <c r="J424" s="95"/>
      <c r="K424" s="95"/>
      <c r="L424" s="95"/>
      <c r="M424" s="95"/>
      <c r="N424" s="95"/>
      <c r="O424" s="95"/>
      <c r="P424" s="95"/>
      <c r="Q424" s="95"/>
      <c r="R424" s="95"/>
      <c r="T424" s="81"/>
      <c r="U424" s="95"/>
      <c r="V424" s="95"/>
      <c r="W424" s="95"/>
    </row>
    <row r="425" spans="5:23" ht="10.15" customHeight="1">
      <c r="E425" s="95"/>
      <c r="F425" s="95"/>
      <c r="G425" s="95"/>
      <c r="H425" s="95"/>
      <c r="I425" s="95"/>
      <c r="J425" s="95"/>
      <c r="K425" s="95"/>
      <c r="L425" s="95"/>
      <c r="M425" s="95"/>
      <c r="N425" s="95"/>
      <c r="O425" s="95"/>
      <c r="P425" s="95"/>
      <c r="Q425" s="95"/>
      <c r="R425" s="95"/>
      <c r="T425" s="81"/>
      <c r="U425" s="95"/>
      <c r="V425" s="95"/>
      <c r="W425" s="95"/>
    </row>
    <row r="426" spans="5:23" ht="10.15" customHeight="1">
      <c r="E426" s="95"/>
      <c r="F426" s="95"/>
      <c r="G426" s="95"/>
      <c r="H426" s="95"/>
      <c r="I426" s="95"/>
      <c r="J426" s="95"/>
      <c r="K426" s="95"/>
      <c r="L426" s="95"/>
      <c r="M426" s="95"/>
      <c r="N426" s="95"/>
      <c r="O426" s="95"/>
      <c r="P426" s="95"/>
      <c r="Q426" s="95"/>
      <c r="R426" s="95"/>
      <c r="T426" s="81"/>
      <c r="U426" s="95"/>
      <c r="V426" s="95"/>
      <c r="W426" s="95"/>
    </row>
    <row r="427" spans="5:23" ht="10.15" customHeight="1">
      <c r="E427" s="95"/>
      <c r="F427" s="95"/>
      <c r="G427" s="95"/>
      <c r="H427" s="95"/>
      <c r="I427" s="95"/>
      <c r="J427" s="95"/>
      <c r="K427" s="95"/>
      <c r="L427" s="95"/>
      <c r="M427" s="95"/>
      <c r="N427" s="95"/>
      <c r="O427" s="95"/>
      <c r="P427" s="95"/>
      <c r="Q427" s="95"/>
      <c r="R427" s="95"/>
      <c r="T427" s="81"/>
      <c r="U427" s="95"/>
      <c r="V427" s="95"/>
      <c r="W427" s="95"/>
    </row>
    <row r="428" spans="5:23" ht="10.15" customHeight="1">
      <c r="E428" s="95"/>
      <c r="F428" s="95"/>
      <c r="G428" s="95"/>
      <c r="H428" s="95"/>
      <c r="I428" s="95"/>
      <c r="J428" s="95"/>
      <c r="K428" s="95"/>
      <c r="L428" s="95"/>
      <c r="M428" s="95"/>
      <c r="N428" s="95"/>
      <c r="O428" s="95"/>
      <c r="P428" s="95"/>
      <c r="Q428" s="95"/>
      <c r="R428" s="95"/>
      <c r="T428" s="81"/>
      <c r="U428" s="95"/>
      <c r="V428" s="95"/>
      <c r="W428" s="95"/>
    </row>
    <row r="429" spans="5:23" ht="10.15" customHeight="1">
      <c r="E429" s="95"/>
      <c r="F429" s="95"/>
      <c r="G429" s="95"/>
      <c r="H429" s="95"/>
      <c r="I429" s="95"/>
      <c r="J429" s="95"/>
      <c r="K429" s="95"/>
      <c r="L429" s="95"/>
      <c r="M429" s="95"/>
      <c r="N429" s="95"/>
      <c r="O429" s="95"/>
      <c r="P429" s="95"/>
      <c r="Q429" s="95"/>
      <c r="R429" s="95"/>
      <c r="T429" s="81"/>
      <c r="U429" s="95"/>
      <c r="V429" s="95"/>
      <c r="W429" s="95"/>
    </row>
    <row r="430" spans="5:23" ht="10.15" customHeight="1">
      <c r="E430" s="95"/>
      <c r="F430" s="95"/>
      <c r="G430" s="95"/>
      <c r="H430" s="95"/>
      <c r="I430" s="95"/>
      <c r="J430" s="95"/>
      <c r="K430" s="95"/>
      <c r="L430" s="95"/>
      <c r="M430" s="95"/>
      <c r="N430" s="95"/>
      <c r="O430" s="95"/>
      <c r="P430" s="95"/>
      <c r="Q430" s="95"/>
      <c r="R430" s="95"/>
      <c r="T430" s="81"/>
      <c r="U430" s="95"/>
      <c r="V430" s="95"/>
      <c r="W430" s="95"/>
    </row>
    <row r="431" spans="5:23" ht="10.15" customHeight="1">
      <c r="E431" s="95"/>
      <c r="F431" s="95"/>
      <c r="G431" s="95"/>
      <c r="H431" s="95"/>
      <c r="I431" s="95"/>
      <c r="J431" s="95"/>
      <c r="K431" s="95"/>
      <c r="L431" s="95"/>
      <c r="M431" s="95"/>
      <c r="N431" s="95"/>
      <c r="O431" s="95"/>
      <c r="P431" s="95"/>
      <c r="Q431" s="95"/>
      <c r="R431" s="95"/>
      <c r="T431" s="81"/>
      <c r="U431" s="95"/>
      <c r="V431" s="95"/>
      <c r="W431" s="95"/>
    </row>
    <row r="432" spans="5:23" ht="10.15" customHeight="1">
      <c r="E432" s="95"/>
      <c r="F432" s="95"/>
      <c r="G432" s="95"/>
      <c r="H432" s="95"/>
      <c r="I432" s="95"/>
      <c r="J432" s="95"/>
      <c r="K432" s="95"/>
      <c r="L432" s="95"/>
      <c r="M432" s="95"/>
      <c r="N432" s="95"/>
      <c r="O432" s="95"/>
      <c r="P432" s="95"/>
      <c r="Q432" s="95"/>
      <c r="R432" s="95"/>
      <c r="T432" s="81"/>
      <c r="U432" s="95"/>
      <c r="V432" s="95"/>
      <c r="W432" s="95"/>
    </row>
    <row r="433" spans="5:23" ht="10.15" customHeight="1">
      <c r="E433" s="95"/>
      <c r="F433" s="95"/>
      <c r="G433" s="95"/>
      <c r="H433" s="95"/>
      <c r="I433" s="95"/>
      <c r="J433" s="95"/>
      <c r="K433" s="95"/>
      <c r="L433" s="95"/>
      <c r="M433" s="95"/>
      <c r="N433" s="95"/>
      <c r="O433" s="95"/>
      <c r="P433" s="95"/>
      <c r="Q433" s="95"/>
      <c r="R433" s="95"/>
      <c r="T433" s="81"/>
      <c r="U433" s="95"/>
      <c r="V433" s="95"/>
      <c r="W433" s="95"/>
    </row>
    <row r="434" spans="5:23" ht="10.15" customHeight="1">
      <c r="E434" s="95"/>
      <c r="F434" s="95"/>
      <c r="G434" s="95"/>
      <c r="H434" s="95"/>
      <c r="I434" s="95"/>
      <c r="J434" s="95"/>
      <c r="K434" s="95"/>
      <c r="L434" s="95"/>
      <c r="M434" s="95"/>
      <c r="N434" s="95"/>
      <c r="O434" s="95"/>
      <c r="P434" s="95"/>
      <c r="Q434" s="95"/>
      <c r="R434" s="95"/>
      <c r="T434" s="81"/>
      <c r="U434" s="95"/>
      <c r="V434" s="95"/>
      <c r="W434" s="95"/>
    </row>
    <row r="435" spans="5:23" ht="10.15" customHeight="1">
      <c r="E435" s="95"/>
      <c r="F435" s="95"/>
      <c r="G435" s="95"/>
      <c r="H435" s="95"/>
      <c r="I435" s="95"/>
      <c r="J435" s="95"/>
      <c r="K435" s="95"/>
      <c r="L435" s="95"/>
      <c r="M435" s="95"/>
      <c r="N435" s="95"/>
      <c r="O435" s="95"/>
      <c r="P435" s="95"/>
      <c r="Q435" s="95"/>
      <c r="R435" s="95"/>
      <c r="T435" s="81"/>
      <c r="U435" s="95"/>
      <c r="V435" s="95"/>
      <c r="W435" s="95"/>
    </row>
    <row r="436" spans="5:23" ht="10.15" customHeight="1">
      <c r="E436" s="95"/>
      <c r="F436" s="95"/>
      <c r="G436" s="95"/>
      <c r="H436" s="95"/>
      <c r="I436" s="95"/>
      <c r="J436" s="95"/>
      <c r="K436" s="95"/>
      <c r="L436" s="95"/>
      <c r="M436" s="95"/>
      <c r="N436" s="95"/>
      <c r="O436" s="95"/>
      <c r="P436" s="95"/>
      <c r="Q436" s="95"/>
      <c r="R436" s="95"/>
      <c r="T436" s="81"/>
      <c r="U436" s="95"/>
      <c r="V436" s="95"/>
      <c r="W436" s="95"/>
    </row>
    <row r="437" spans="5:23" ht="10.15" customHeight="1">
      <c r="E437" s="95"/>
      <c r="F437" s="95"/>
      <c r="G437" s="95"/>
      <c r="H437" s="95"/>
      <c r="I437" s="95"/>
      <c r="J437" s="95"/>
      <c r="K437" s="95"/>
      <c r="L437" s="95"/>
      <c r="M437" s="95"/>
      <c r="N437" s="95"/>
      <c r="O437" s="95"/>
      <c r="P437" s="95"/>
      <c r="Q437" s="95"/>
      <c r="R437" s="95"/>
      <c r="T437" s="81"/>
      <c r="U437" s="95"/>
      <c r="V437" s="95"/>
      <c r="W437" s="95"/>
    </row>
    <row r="438" spans="5:23" ht="10.15" customHeight="1">
      <c r="E438" s="95"/>
      <c r="F438" s="95"/>
      <c r="G438" s="95"/>
      <c r="H438" s="95"/>
      <c r="I438" s="95"/>
      <c r="J438" s="95"/>
      <c r="K438" s="95"/>
      <c r="L438" s="95"/>
      <c r="M438" s="95"/>
      <c r="N438" s="95"/>
      <c r="O438" s="95"/>
      <c r="P438" s="95"/>
      <c r="Q438" s="95"/>
      <c r="R438" s="95"/>
      <c r="T438" s="81"/>
      <c r="U438" s="95"/>
      <c r="V438" s="95"/>
      <c r="W438" s="95"/>
    </row>
    <row r="439" spans="5:23" ht="10.15" customHeight="1">
      <c r="E439" s="95"/>
      <c r="F439" s="95"/>
      <c r="G439" s="95"/>
      <c r="H439" s="95"/>
      <c r="I439" s="95"/>
      <c r="J439" s="95"/>
      <c r="K439" s="95"/>
      <c r="L439" s="95"/>
      <c r="M439" s="95"/>
      <c r="N439" s="95"/>
      <c r="O439" s="95"/>
      <c r="P439" s="95"/>
      <c r="Q439" s="95"/>
      <c r="R439" s="95"/>
      <c r="T439" s="81"/>
      <c r="U439" s="95"/>
      <c r="V439" s="95"/>
      <c r="W439" s="95"/>
    </row>
    <row r="440" spans="5:23" ht="10.15" customHeight="1">
      <c r="E440" s="95"/>
      <c r="F440" s="95"/>
      <c r="G440" s="95"/>
      <c r="H440" s="95"/>
      <c r="I440" s="95"/>
      <c r="J440" s="95"/>
      <c r="K440" s="95"/>
      <c r="L440" s="95"/>
      <c r="M440" s="95"/>
      <c r="N440" s="95"/>
      <c r="O440" s="95"/>
      <c r="P440" s="95"/>
      <c r="Q440" s="95"/>
      <c r="R440" s="95"/>
      <c r="T440" s="81"/>
      <c r="U440" s="95"/>
      <c r="V440" s="95"/>
      <c r="W440" s="95"/>
    </row>
    <row r="441" spans="5:23" ht="10.15" customHeight="1">
      <c r="E441" s="95"/>
      <c r="F441" s="95"/>
      <c r="G441" s="95"/>
      <c r="H441" s="95"/>
      <c r="I441" s="95"/>
      <c r="J441" s="95"/>
      <c r="K441" s="95"/>
      <c r="L441" s="95"/>
      <c r="M441" s="95"/>
      <c r="N441" s="95"/>
      <c r="O441" s="95"/>
      <c r="P441" s="95"/>
      <c r="Q441" s="95"/>
      <c r="R441" s="95"/>
      <c r="T441" s="81"/>
      <c r="U441" s="95"/>
      <c r="V441" s="95"/>
      <c r="W441" s="95"/>
    </row>
    <row r="442" spans="5:23" ht="10.15" customHeight="1">
      <c r="E442" s="95"/>
      <c r="F442" s="95"/>
      <c r="G442" s="95"/>
      <c r="H442" s="95"/>
      <c r="I442" s="95"/>
      <c r="J442" s="95"/>
      <c r="K442" s="95"/>
      <c r="L442" s="95"/>
      <c r="M442" s="95"/>
      <c r="N442" s="95"/>
      <c r="O442" s="95"/>
      <c r="P442" s="95"/>
      <c r="Q442" s="95"/>
      <c r="R442" s="95"/>
      <c r="T442" s="81"/>
      <c r="U442" s="95"/>
      <c r="V442" s="95"/>
      <c r="W442" s="95"/>
    </row>
    <row r="443" spans="5:23" ht="10.15" customHeight="1">
      <c r="E443" s="95"/>
      <c r="F443" s="95"/>
      <c r="G443" s="95"/>
      <c r="H443" s="95"/>
      <c r="I443" s="95"/>
      <c r="J443" s="95"/>
      <c r="K443" s="95"/>
      <c r="L443" s="95"/>
      <c r="M443" s="95"/>
      <c r="N443" s="95"/>
      <c r="O443" s="95"/>
      <c r="P443" s="95"/>
      <c r="Q443" s="95"/>
      <c r="R443" s="95"/>
      <c r="T443" s="81"/>
      <c r="U443" s="95"/>
      <c r="V443" s="95"/>
      <c r="W443" s="95"/>
    </row>
    <row r="444" spans="5:23" ht="10.15" customHeight="1">
      <c r="E444" s="95"/>
      <c r="F444" s="95"/>
      <c r="G444" s="95"/>
      <c r="H444" s="95"/>
      <c r="I444" s="95"/>
      <c r="J444" s="95"/>
      <c r="K444" s="95"/>
      <c r="L444" s="95"/>
      <c r="M444" s="95"/>
      <c r="N444" s="95"/>
      <c r="O444" s="95"/>
      <c r="P444" s="95"/>
      <c r="Q444" s="95"/>
      <c r="R444" s="95"/>
      <c r="T444" s="81"/>
      <c r="U444" s="95"/>
      <c r="V444" s="95"/>
      <c r="W444" s="95"/>
    </row>
    <row r="445" spans="5:23" ht="10.15" customHeight="1">
      <c r="E445" s="95"/>
      <c r="F445" s="95"/>
      <c r="G445" s="95"/>
      <c r="H445" s="95"/>
      <c r="I445" s="95"/>
      <c r="J445" s="95"/>
      <c r="K445" s="95"/>
      <c r="L445" s="95"/>
      <c r="M445" s="95"/>
      <c r="N445" s="95"/>
      <c r="O445" s="95"/>
      <c r="P445" s="95"/>
      <c r="Q445" s="95"/>
      <c r="R445" s="95"/>
      <c r="T445" s="81"/>
      <c r="U445" s="95"/>
      <c r="V445" s="95"/>
      <c r="W445" s="95"/>
    </row>
    <row r="446" spans="5:23" ht="10.15" customHeight="1">
      <c r="E446" s="95"/>
      <c r="F446" s="95"/>
      <c r="G446" s="95"/>
      <c r="H446" s="95"/>
      <c r="I446" s="95"/>
      <c r="J446" s="95"/>
      <c r="K446" s="95"/>
      <c r="L446" s="95"/>
      <c r="M446" s="95"/>
      <c r="N446" s="95"/>
      <c r="O446" s="95"/>
      <c r="P446" s="95"/>
      <c r="Q446" s="95"/>
      <c r="R446" s="95"/>
      <c r="T446" s="81"/>
      <c r="U446" s="95"/>
      <c r="V446" s="95"/>
      <c r="W446" s="95"/>
    </row>
    <row r="447" spans="5:23" ht="10.15" customHeight="1">
      <c r="E447" s="95"/>
      <c r="F447" s="95"/>
      <c r="G447" s="95"/>
      <c r="H447" s="95"/>
      <c r="I447" s="95"/>
      <c r="J447" s="95"/>
      <c r="K447" s="95"/>
      <c r="L447" s="95"/>
      <c r="M447" s="95"/>
      <c r="N447" s="95"/>
      <c r="O447" s="95"/>
      <c r="P447" s="95"/>
      <c r="Q447" s="95"/>
      <c r="R447" s="95"/>
      <c r="T447" s="81"/>
      <c r="U447" s="95"/>
      <c r="V447" s="95"/>
      <c r="W447" s="95"/>
    </row>
    <row r="448" spans="5:23" ht="10.15" customHeight="1">
      <c r="E448" s="95"/>
      <c r="F448" s="95"/>
      <c r="G448" s="95"/>
      <c r="H448" s="95"/>
      <c r="I448" s="95"/>
      <c r="J448" s="95"/>
      <c r="K448" s="95"/>
      <c r="L448" s="95"/>
      <c r="M448" s="95"/>
      <c r="N448" s="95"/>
      <c r="O448" s="95"/>
      <c r="P448" s="95"/>
      <c r="Q448" s="95"/>
      <c r="R448" s="95"/>
      <c r="T448" s="81"/>
      <c r="U448" s="95"/>
      <c r="V448" s="95"/>
      <c r="W448" s="95"/>
    </row>
    <row r="449" spans="5:23" ht="10.15" customHeight="1">
      <c r="E449" s="95"/>
      <c r="F449" s="95"/>
      <c r="G449" s="95"/>
      <c r="H449" s="95"/>
      <c r="I449" s="95"/>
      <c r="J449" s="95"/>
      <c r="K449" s="95"/>
      <c r="L449" s="95"/>
      <c r="M449" s="95"/>
      <c r="N449" s="95"/>
      <c r="O449" s="95"/>
      <c r="P449" s="95"/>
      <c r="Q449" s="95"/>
      <c r="R449" s="95"/>
      <c r="T449" s="81"/>
      <c r="U449" s="95"/>
      <c r="V449" s="95"/>
      <c r="W449" s="95"/>
    </row>
    <row r="450" spans="5:23" ht="10.15" customHeight="1">
      <c r="E450" s="95"/>
      <c r="F450" s="95"/>
      <c r="G450" s="95"/>
      <c r="H450" s="95"/>
      <c r="I450" s="95"/>
      <c r="J450" s="95"/>
      <c r="K450" s="95"/>
      <c r="L450" s="95"/>
      <c r="M450" s="95"/>
      <c r="N450" s="95"/>
      <c r="O450" s="95"/>
      <c r="P450" s="95"/>
      <c r="Q450" s="95"/>
      <c r="R450" s="95"/>
      <c r="T450" s="81"/>
      <c r="U450" s="95"/>
      <c r="V450" s="95"/>
      <c r="W450" s="95"/>
    </row>
    <row r="451" spans="5:23" ht="10.15" customHeight="1">
      <c r="E451" s="95"/>
      <c r="F451" s="95"/>
      <c r="G451" s="95"/>
      <c r="H451" s="95"/>
      <c r="I451" s="95"/>
      <c r="J451" s="95"/>
      <c r="K451" s="95"/>
      <c r="L451" s="95"/>
      <c r="M451" s="95"/>
      <c r="N451" s="95"/>
      <c r="O451" s="95"/>
      <c r="P451" s="95"/>
      <c r="Q451" s="95"/>
      <c r="R451" s="95"/>
      <c r="T451" s="81"/>
      <c r="U451" s="95"/>
      <c r="V451" s="95"/>
      <c r="W451" s="95"/>
    </row>
    <row r="452" spans="5:23" ht="10.15" customHeight="1">
      <c r="E452" s="95"/>
      <c r="F452" s="95"/>
      <c r="G452" s="95"/>
      <c r="H452" s="95"/>
      <c r="I452" s="95"/>
      <c r="J452" s="95"/>
      <c r="K452" s="95"/>
      <c r="L452" s="95"/>
      <c r="M452" s="95"/>
      <c r="N452" s="95"/>
      <c r="O452" s="95"/>
      <c r="P452" s="95"/>
      <c r="Q452" s="95"/>
      <c r="R452" s="95"/>
      <c r="T452" s="81"/>
      <c r="U452" s="95"/>
      <c r="V452" s="95"/>
      <c r="W452" s="95"/>
    </row>
    <row r="453" spans="5:23" ht="10.15" customHeight="1">
      <c r="E453" s="95"/>
      <c r="F453" s="95"/>
      <c r="G453" s="95"/>
      <c r="H453" s="95"/>
      <c r="I453" s="95"/>
      <c r="J453" s="95"/>
      <c r="K453" s="95"/>
      <c r="L453" s="95"/>
      <c r="M453" s="95"/>
      <c r="N453" s="95"/>
      <c r="O453" s="95"/>
      <c r="P453" s="95"/>
      <c r="Q453" s="95"/>
      <c r="R453" s="95"/>
      <c r="T453" s="81"/>
      <c r="U453" s="95"/>
      <c r="V453" s="95"/>
      <c r="W453" s="95"/>
    </row>
    <row r="454" spans="5:23" ht="10.15" customHeight="1">
      <c r="E454" s="95"/>
      <c r="F454" s="95"/>
      <c r="G454" s="95"/>
      <c r="H454" s="95"/>
      <c r="I454" s="95"/>
      <c r="J454" s="95"/>
      <c r="K454" s="95"/>
      <c r="L454" s="95"/>
      <c r="M454" s="95"/>
      <c r="N454" s="95"/>
      <c r="O454" s="95"/>
      <c r="P454" s="95"/>
      <c r="Q454" s="95"/>
      <c r="R454" s="95"/>
      <c r="T454" s="81"/>
      <c r="U454" s="95"/>
      <c r="V454" s="95"/>
      <c r="W454" s="95"/>
    </row>
    <row r="455" spans="5:23" ht="10.15" customHeight="1">
      <c r="E455" s="95"/>
      <c r="F455" s="95"/>
      <c r="G455" s="95"/>
      <c r="H455" s="95"/>
      <c r="I455" s="95"/>
      <c r="J455" s="95"/>
      <c r="K455" s="95"/>
      <c r="L455" s="95"/>
      <c r="M455" s="95"/>
      <c r="N455" s="95"/>
      <c r="O455" s="95"/>
      <c r="P455" s="95"/>
      <c r="Q455" s="95"/>
      <c r="R455" s="95"/>
      <c r="T455" s="81"/>
      <c r="U455" s="95"/>
      <c r="V455" s="95"/>
      <c r="W455" s="95"/>
    </row>
    <row r="456" spans="5:23" ht="10.15" customHeight="1">
      <c r="E456" s="95"/>
      <c r="F456" s="95"/>
      <c r="G456" s="95"/>
      <c r="H456" s="95"/>
      <c r="I456" s="95"/>
      <c r="J456" s="95"/>
      <c r="K456" s="95"/>
      <c r="L456" s="95"/>
      <c r="M456" s="95"/>
      <c r="N456" s="95"/>
      <c r="O456" s="95"/>
      <c r="P456" s="95"/>
      <c r="Q456" s="95"/>
      <c r="R456" s="95"/>
      <c r="T456" s="81"/>
      <c r="U456" s="95"/>
      <c r="V456" s="95"/>
      <c r="W456" s="95"/>
    </row>
    <row r="457" spans="5:23" ht="10.15" customHeight="1">
      <c r="E457" s="95"/>
      <c r="F457" s="95"/>
      <c r="G457" s="95"/>
      <c r="H457" s="95"/>
      <c r="I457" s="95"/>
      <c r="J457" s="95"/>
      <c r="K457" s="95"/>
      <c r="L457" s="95"/>
      <c r="M457" s="95"/>
      <c r="N457" s="95"/>
      <c r="O457" s="95"/>
      <c r="P457" s="95"/>
      <c r="Q457" s="95"/>
      <c r="R457" s="95"/>
      <c r="T457" s="81"/>
      <c r="U457" s="95"/>
      <c r="V457" s="95"/>
      <c r="W457" s="95"/>
    </row>
    <row r="458" spans="5:23" ht="10.15" customHeight="1">
      <c r="E458" s="95"/>
      <c r="F458" s="95"/>
      <c r="G458" s="95"/>
      <c r="H458" s="95"/>
      <c r="I458" s="95"/>
      <c r="J458" s="95"/>
      <c r="K458" s="95"/>
      <c r="L458" s="95"/>
      <c r="M458" s="95"/>
      <c r="N458" s="95"/>
      <c r="O458" s="95"/>
      <c r="P458" s="95"/>
      <c r="Q458" s="95"/>
      <c r="R458" s="95"/>
      <c r="T458" s="81"/>
      <c r="U458" s="95"/>
      <c r="V458" s="95"/>
      <c r="W458" s="95"/>
    </row>
    <row r="459" spans="5:23" ht="10.15" customHeight="1">
      <c r="E459" s="95"/>
      <c r="F459" s="95"/>
      <c r="G459" s="95"/>
      <c r="H459" s="95"/>
      <c r="I459" s="95"/>
      <c r="J459" s="95"/>
      <c r="K459" s="95"/>
      <c r="L459" s="95"/>
      <c r="M459" s="95"/>
      <c r="N459" s="95"/>
      <c r="O459" s="95"/>
      <c r="P459" s="95"/>
      <c r="Q459" s="95"/>
      <c r="R459" s="95"/>
      <c r="T459" s="81"/>
      <c r="U459" s="95"/>
      <c r="V459" s="95"/>
      <c r="W459" s="95"/>
    </row>
    <row r="460" spans="5:23" ht="10.15" customHeight="1">
      <c r="E460" s="95"/>
      <c r="F460" s="95"/>
      <c r="G460" s="95"/>
      <c r="H460" s="95"/>
      <c r="I460" s="95"/>
      <c r="J460" s="95"/>
      <c r="K460" s="95"/>
      <c r="L460" s="95"/>
      <c r="M460" s="95"/>
      <c r="N460" s="95"/>
      <c r="O460" s="95"/>
      <c r="P460" s="95"/>
      <c r="Q460" s="95"/>
      <c r="R460" s="95"/>
      <c r="T460" s="81"/>
      <c r="U460" s="95"/>
      <c r="V460" s="95"/>
      <c r="W460" s="95"/>
    </row>
    <row r="461" spans="5:23" ht="10.15" customHeight="1">
      <c r="E461" s="95"/>
      <c r="F461" s="95"/>
      <c r="G461" s="95"/>
      <c r="H461" s="95"/>
      <c r="I461" s="95"/>
      <c r="J461" s="95"/>
      <c r="K461" s="95"/>
      <c r="L461" s="95"/>
      <c r="M461" s="95"/>
      <c r="N461" s="95"/>
      <c r="O461" s="95"/>
      <c r="P461" s="95"/>
      <c r="Q461" s="95"/>
      <c r="R461" s="95"/>
      <c r="T461" s="81"/>
      <c r="U461" s="95"/>
      <c r="V461" s="95"/>
      <c r="W461" s="95"/>
    </row>
    <row r="462" spans="5:23" ht="10.15" customHeight="1">
      <c r="E462" s="95"/>
      <c r="F462" s="95"/>
      <c r="G462" s="95"/>
      <c r="H462" s="95"/>
      <c r="I462" s="95"/>
      <c r="J462" s="95"/>
      <c r="K462" s="95"/>
      <c r="L462" s="95"/>
      <c r="M462" s="95"/>
      <c r="N462" s="95"/>
      <c r="O462" s="95"/>
      <c r="P462" s="95"/>
      <c r="Q462" s="95"/>
      <c r="R462" s="95"/>
      <c r="T462" s="81"/>
      <c r="U462" s="95"/>
      <c r="V462" s="95"/>
      <c r="W462" s="95"/>
    </row>
    <row r="463" spans="5:23" ht="10.15" customHeight="1">
      <c r="E463" s="95"/>
      <c r="F463" s="95"/>
      <c r="G463" s="95"/>
      <c r="H463" s="95"/>
      <c r="I463" s="95"/>
      <c r="J463" s="95"/>
      <c r="K463" s="95"/>
      <c r="L463" s="95"/>
      <c r="M463" s="95"/>
      <c r="N463" s="95"/>
      <c r="O463" s="95"/>
      <c r="P463" s="95"/>
      <c r="Q463" s="95"/>
      <c r="R463" s="95"/>
      <c r="T463" s="81"/>
      <c r="U463" s="95"/>
      <c r="V463" s="95"/>
      <c r="W463" s="95"/>
    </row>
    <row r="464" spans="5:23" ht="10.15" customHeight="1">
      <c r="E464" s="95"/>
      <c r="F464" s="95"/>
      <c r="G464" s="95"/>
      <c r="H464" s="95"/>
      <c r="I464" s="95"/>
      <c r="J464" s="95"/>
      <c r="K464" s="95"/>
      <c r="L464" s="95"/>
      <c r="M464" s="95"/>
      <c r="N464" s="95"/>
      <c r="O464" s="95"/>
      <c r="P464" s="95"/>
      <c r="Q464" s="95"/>
      <c r="R464" s="95"/>
      <c r="T464" s="81"/>
      <c r="U464" s="95"/>
      <c r="V464" s="95"/>
      <c r="W464" s="95"/>
    </row>
    <row r="465" spans="5:23" ht="10.15" customHeight="1">
      <c r="E465" s="95"/>
      <c r="F465" s="95"/>
      <c r="G465" s="95"/>
      <c r="H465" s="95"/>
      <c r="I465" s="95"/>
      <c r="J465" s="95"/>
      <c r="K465" s="95"/>
      <c r="L465" s="95"/>
      <c r="M465" s="95"/>
      <c r="N465" s="95"/>
      <c r="O465" s="95"/>
      <c r="P465" s="95"/>
      <c r="Q465" s="95"/>
      <c r="R465" s="95"/>
      <c r="T465" s="81"/>
      <c r="U465" s="95"/>
      <c r="V465" s="95"/>
      <c r="W465" s="95"/>
    </row>
    <row r="466" spans="5:23" ht="10.15" customHeight="1">
      <c r="E466" s="95"/>
      <c r="F466" s="95"/>
      <c r="G466" s="95"/>
      <c r="H466" s="95"/>
      <c r="I466" s="95"/>
      <c r="J466" s="95"/>
      <c r="K466" s="95"/>
      <c r="L466" s="95"/>
      <c r="M466" s="95"/>
      <c r="N466" s="95"/>
      <c r="O466" s="95"/>
      <c r="P466" s="95"/>
      <c r="Q466" s="95"/>
      <c r="R466" s="95"/>
      <c r="T466" s="81"/>
      <c r="U466" s="95"/>
      <c r="V466" s="95"/>
      <c r="W466" s="95"/>
    </row>
    <row r="467" spans="5:23" ht="10.15" customHeight="1">
      <c r="E467" s="95"/>
      <c r="F467" s="95"/>
      <c r="G467" s="95"/>
      <c r="H467" s="95"/>
      <c r="I467" s="95"/>
      <c r="J467" s="95"/>
      <c r="K467" s="95"/>
      <c r="L467" s="95"/>
      <c r="M467" s="95"/>
      <c r="N467" s="95"/>
      <c r="O467" s="95"/>
      <c r="P467" s="95"/>
      <c r="Q467" s="95"/>
      <c r="R467" s="95"/>
      <c r="T467" s="81"/>
      <c r="U467" s="95"/>
      <c r="V467" s="95"/>
      <c r="W467" s="95"/>
    </row>
    <row r="468" spans="5:23" ht="10.15" customHeight="1">
      <c r="E468" s="95"/>
      <c r="F468" s="95"/>
      <c r="G468" s="95"/>
      <c r="H468" s="95"/>
      <c r="I468" s="95"/>
      <c r="J468" s="95"/>
      <c r="K468" s="95"/>
      <c r="L468" s="95"/>
      <c r="M468" s="95"/>
      <c r="N468" s="95"/>
      <c r="O468" s="95"/>
      <c r="P468" s="95"/>
      <c r="Q468" s="95"/>
      <c r="R468" s="95"/>
      <c r="T468" s="81"/>
      <c r="U468" s="95"/>
      <c r="V468" s="95"/>
      <c r="W468" s="95"/>
    </row>
    <row r="469" spans="5:23" ht="10.15" customHeight="1">
      <c r="E469" s="95"/>
      <c r="F469" s="95"/>
      <c r="G469" s="95"/>
      <c r="H469" s="95"/>
      <c r="I469" s="95"/>
      <c r="J469" s="95"/>
      <c r="K469" s="95"/>
      <c r="L469" s="95"/>
      <c r="M469" s="95"/>
      <c r="N469" s="95"/>
      <c r="O469" s="95"/>
      <c r="P469" s="95"/>
      <c r="Q469" s="95"/>
      <c r="R469" s="95"/>
      <c r="T469" s="81"/>
      <c r="U469" s="95"/>
      <c r="V469" s="95"/>
      <c r="W469" s="95"/>
    </row>
    <row r="470" spans="5:23" ht="10.15" customHeight="1">
      <c r="E470" s="95"/>
      <c r="F470" s="95"/>
      <c r="G470" s="95"/>
      <c r="H470" s="95"/>
      <c r="I470" s="95"/>
      <c r="J470" s="95"/>
      <c r="K470" s="95"/>
      <c r="L470" s="95"/>
      <c r="M470" s="95"/>
      <c r="N470" s="95"/>
      <c r="O470" s="95"/>
      <c r="P470" s="95"/>
      <c r="Q470" s="95"/>
      <c r="R470" s="95"/>
      <c r="T470" s="81"/>
      <c r="U470" s="95"/>
      <c r="V470" s="95"/>
      <c r="W470" s="95"/>
    </row>
    <row r="471" spans="5:23" ht="10.15" customHeight="1">
      <c r="E471" s="95"/>
      <c r="F471" s="95"/>
      <c r="G471" s="95"/>
      <c r="H471" s="95"/>
      <c r="I471" s="95"/>
      <c r="J471" s="95"/>
      <c r="K471" s="95"/>
      <c r="L471" s="95"/>
      <c r="M471" s="95"/>
      <c r="N471" s="95"/>
      <c r="O471" s="95"/>
      <c r="P471" s="95"/>
      <c r="Q471" s="95"/>
      <c r="R471" s="95"/>
      <c r="T471" s="81"/>
      <c r="U471" s="95"/>
      <c r="V471" s="95"/>
      <c r="W471" s="95"/>
    </row>
    <row r="472" spans="5:23" ht="10.15" customHeight="1">
      <c r="E472" s="95"/>
      <c r="F472" s="95"/>
      <c r="G472" s="95"/>
      <c r="H472" s="95"/>
      <c r="I472" s="95"/>
      <c r="J472" s="95"/>
      <c r="K472" s="95"/>
      <c r="L472" s="95"/>
      <c r="M472" s="95"/>
      <c r="N472" s="95"/>
      <c r="O472" s="95"/>
      <c r="P472" s="95"/>
      <c r="Q472" s="95"/>
      <c r="R472" s="95"/>
      <c r="T472" s="81"/>
      <c r="U472" s="95"/>
      <c r="V472" s="95"/>
      <c r="W472" s="95"/>
    </row>
    <row r="473" spans="5:23" ht="10.15" customHeight="1">
      <c r="E473" s="95"/>
      <c r="F473" s="95"/>
      <c r="G473" s="95"/>
      <c r="H473" s="95"/>
      <c r="I473" s="95"/>
      <c r="J473" s="95"/>
      <c r="K473" s="95"/>
      <c r="L473" s="95"/>
      <c r="M473" s="95"/>
      <c r="N473" s="95"/>
      <c r="O473" s="95"/>
      <c r="P473" s="95"/>
      <c r="Q473" s="95"/>
      <c r="R473" s="95"/>
      <c r="T473" s="81"/>
      <c r="U473" s="95"/>
      <c r="V473" s="95"/>
      <c r="W473" s="95"/>
    </row>
    <row r="474" spans="5:23" ht="10.15" customHeight="1">
      <c r="E474" s="95"/>
      <c r="F474" s="95"/>
      <c r="G474" s="95"/>
      <c r="H474" s="95"/>
      <c r="I474" s="95"/>
      <c r="J474" s="95"/>
      <c r="K474" s="95"/>
      <c r="L474" s="95"/>
      <c r="M474" s="95"/>
      <c r="N474" s="95"/>
      <c r="O474" s="95"/>
      <c r="P474" s="95"/>
      <c r="Q474" s="95"/>
      <c r="R474" s="95"/>
      <c r="T474" s="81"/>
      <c r="U474" s="95"/>
      <c r="V474" s="95"/>
      <c r="W474" s="95"/>
    </row>
    <row r="475" spans="5:23" ht="10.15" customHeight="1">
      <c r="E475" s="95"/>
      <c r="F475" s="95"/>
      <c r="G475" s="95"/>
      <c r="H475" s="95"/>
      <c r="I475" s="95"/>
      <c r="J475" s="95"/>
      <c r="K475" s="95"/>
      <c r="L475" s="95"/>
      <c r="M475" s="95"/>
      <c r="N475" s="95"/>
      <c r="O475" s="95"/>
      <c r="P475" s="95"/>
      <c r="Q475" s="95"/>
      <c r="R475" s="95"/>
      <c r="T475" s="81"/>
      <c r="U475" s="95"/>
      <c r="V475" s="95"/>
      <c r="W475" s="95"/>
    </row>
    <row r="476" spans="5:23" ht="10.15" customHeight="1">
      <c r="E476" s="95"/>
      <c r="F476" s="95"/>
      <c r="G476" s="95"/>
      <c r="H476" s="95"/>
      <c r="I476" s="95"/>
      <c r="J476" s="95"/>
      <c r="K476" s="95"/>
      <c r="L476" s="95"/>
      <c r="M476" s="95"/>
      <c r="N476" s="95"/>
      <c r="O476" s="95"/>
      <c r="P476" s="95"/>
      <c r="Q476" s="95"/>
      <c r="R476" s="95"/>
      <c r="T476" s="81"/>
      <c r="U476" s="95"/>
      <c r="V476" s="95"/>
      <c r="W476" s="95"/>
    </row>
    <row r="477" spans="5:23" ht="10.15" customHeight="1">
      <c r="E477" s="95"/>
      <c r="F477" s="95"/>
      <c r="G477" s="95"/>
      <c r="H477" s="95"/>
      <c r="I477" s="95"/>
      <c r="J477" s="95"/>
      <c r="K477" s="95"/>
      <c r="L477" s="95"/>
      <c r="M477" s="95"/>
      <c r="N477" s="95"/>
      <c r="O477" s="95"/>
      <c r="P477" s="95"/>
      <c r="Q477" s="95"/>
      <c r="R477" s="95"/>
      <c r="T477" s="81"/>
      <c r="U477" s="95"/>
      <c r="V477" s="95"/>
      <c r="W477" s="95"/>
    </row>
    <row r="478" spans="5:23" ht="10.15" customHeight="1">
      <c r="E478" s="95"/>
      <c r="F478" s="95"/>
      <c r="G478" s="95"/>
      <c r="H478" s="95"/>
      <c r="I478" s="95"/>
      <c r="J478" s="95"/>
      <c r="K478" s="95"/>
      <c r="L478" s="95"/>
      <c r="M478" s="95"/>
      <c r="N478" s="95"/>
      <c r="O478" s="95"/>
      <c r="P478" s="95"/>
      <c r="Q478" s="95"/>
      <c r="R478" s="95"/>
      <c r="T478" s="81"/>
      <c r="U478" s="95"/>
      <c r="V478" s="95"/>
      <c r="W478" s="95"/>
    </row>
    <row r="479" spans="5:23" ht="10.15" customHeight="1">
      <c r="E479" s="95"/>
      <c r="F479" s="95"/>
      <c r="G479" s="95"/>
      <c r="H479" s="95"/>
      <c r="I479" s="95"/>
      <c r="J479" s="95"/>
      <c r="K479" s="95"/>
      <c r="L479" s="95"/>
      <c r="M479" s="95"/>
      <c r="N479" s="95"/>
      <c r="O479" s="95"/>
      <c r="P479" s="95"/>
      <c r="Q479" s="95"/>
      <c r="R479" s="95"/>
      <c r="T479" s="81"/>
      <c r="U479" s="95"/>
      <c r="V479" s="95"/>
      <c r="W479" s="95"/>
    </row>
    <row r="480" spans="5:23" ht="10.15" customHeight="1">
      <c r="E480" s="95"/>
      <c r="F480" s="95"/>
      <c r="G480" s="95"/>
      <c r="H480" s="95"/>
      <c r="I480" s="95"/>
      <c r="J480" s="95"/>
      <c r="K480" s="95"/>
      <c r="L480" s="95"/>
      <c r="M480" s="95"/>
      <c r="N480" s="95"/>
      <c r="O480" s="95"/>
      <c r="P480" s="95"/>
      <c r="Q480" s="95"/>
      <c r="R480" s="95"/>
      <c r="T480" s="81"/>
      <c r="U480" s="95"/>
      <c r="V480" s="95"/>
      <c r="W480" s="95"/>
    </row>
    <row r="481" spans="5:23" ht="10.15" customHeight="1">
      <c r="E481" s="95"/>
      <c r="F481" s="95"/>
      <c r="G481" s="95"/>
      <c r="H481" s="95"/>
      <c r="I481" s="95"/>
      <c r="J481" s="95"/>
      <c r="K481" s="95"/>
      <c r="L481" s="95"/>
      <c r="M481" s="95"/>
      <c r="N481" s="95"/>
      <c r="O481" s="95"/>
      <c r="P481" s="95"/>
      <c r="Q481" s="95"/>
      <c r="R481" s="95"/>
      <c r="T481" s="81"/>
      <c r="U481" s="95"/>
      <c r="V481" s="95"/>
      <c r="W481" s="95"/>
    </row>
    <row r="482" spans="5:23" ht="10.15" customHeight="1">
      <c r="E482" s="95"/>
      <c r="F482" s="95"/>
      <c r="G482" s="95"/>
      <c r="H482" s="95"/>
      <c r="I482" s="95"/>
      <c r="J482" s="95"/>
      <c r="K482" s="95"/>
      <c r="L482" s="95"/>
      <c r="M482" s="95"/>
      <c r="N482" s="95"/>
      <c r="O482" s="95"/>
      <c r="P482" s="95"/>
      <c r="Q482" s="95"/>
      <c r="R482" s="95"/>
      <c r="T482" s="81"/>
      <c r="U482" s="95"/>
      <c r="V482" s="95"/>
      <c r="W482" s="95"/>
    </row>
    <row r="483" spans="5:23" ht="10.15" customHeight="1">
      <c r="E483" s="95"/>
      <c r="F483" s="95"/>
      <c r="G483" s="95"/>
      <c r="H483" s="95"/>
      <c r="I483" s="95"/>
      <c r="J483" s="95"/>
      <c r="K483" s="95"/>
      <c r="L483" s="95"/>
      <c r="M483" s="95"/>
      <c r="N483" s="95"/>
      <c r="O483" s="95"/>
      <c r="P483" s="95"/>
      <c r="Q483" s="95"/>
      <c r="R483" s="95"/>
      <c r="T483" s="81"/>
      <c r="U483" s="95"/>
      <c r="V483" s="95"/>
      <c r="W483" s="95"/>
    </row>
    <row r="484" spans="5:23" ht="10.15" customHeight="1">
      <c r="E484" s="95"/>
      <c r="F484" s="95"/>
      <c r="G484" s="95"/>
      <c r="H484" s="95"/>
      <c r="I484" s="95"/>
      <c r="J484" s="95"/>
      <c r="K484" s="95"/>
      <c r="L484" s="95"/>
      <c r="M484" s="95"/>
      <c r="N484" s="95"/>
      <c r="O484" s="95"/>
      <c r="P484" s="95"/>
      <c r="Q484" s="95"/>
      <c r="R484" s="95"/>
      <c r="T484" s="81"/>
      <c r="U484" s="95"/>
      <c r="V484" s="95"/>
      <c r="W484" s="95"/>
    </row>
    <row r="485" spans="5:23" ht="10.15" customHeight="1">
      <c r="E485" s="95"/>
      <c r="F485" s="95"/>
      <c r="G485" s="95"/>
      <c r="H485" s="95"/>
      <c r="I485" s="95"/>
      <c r="J485" s="95"/>
      <c r="K485" s="95"/>
      <c r="L485" s="95"/>
      <c r="M485" s="95"/>
      <c r="N485" s="95"/>
      <c r="O485" s="95"/>
      <c r="P485" s="95"/>
      <c r="Q485" s="95"/>
      <c r="R485" s="95"/>
      <c r="T485" s="81"/>
      <c r="U485" s="95"/>
      <c r="V485" s="95"/>
      <c r="W485" s="95"/>
    </row>
    <row r="486" spans="5:23" ht="10.15" customHeight="1">
      <c r="E486" s="95"/>
      <c r="F486" s="95"/>
      <c r="G486" s="95"/>
      <c r="H486" s="95"/>
      <c r="I486" s="95"/>
      <c r="J486" s="95"/>
      <c r="K486" s="95"/>
      <c r="L486" s="95"/>
      <c r="M486" s="95"/>
      <c r="N486" s="95"/>
      <c r="O486" s="95"/>
      <c r="P486" s="95"/>
      <c r="Q486" s="95"/>
      <c r="R486" s="95"/>
      <c r="T486" s="81"/>
      <c r="U486" s="95"/>
      <c r="V486" s="95"/>
      <c r="W486" s="95"/>
    </row>
    <row r="487" spans="5:23" ht="10.15" customHeight="1">
      <c r="E487" s="95"/>
      <c r="F487" s="95"/>
      <c r="G487" s="95"/>
      <c r="H487" s="95"/>
      <c r="I487" s="95"/>
      <c r="J487" s="95"/>
      <c r="K487" s="95"/>
      <c r="L487" s="95"/>
      <c r="M487" s="95"/>
      <c r="N487" s="95"/>
      <c r="O487" s="95"/>
      <c r="P487" s="95"/>
      <c r="Q487" s="95"/>
      <c r="R487" s="95"/>
      <c r="T487" s="81"/>
      <c r="U487" s="95"/>
      <c r="V487" s="95"/>
      <c r="W487" s="95"/>
    </row>
    <row r="488" spans="5:23" ht="10.15" customHeight="1">
      <c r="E488" s="95"/>
      <c r="F488" s="95"/>
      <c r="G488" s="95"/>
      <c r="H488" s="95"/>
      <c r="I488" s="95"/>
      <c r="J488" s="95"/>
      <c r="K488" s="95"/>
      <c r="L488" s="95"/>
      <c r="M488" s="95"/>
      <c r="N488" s="95"/>
      <c r="O488" s="95"/>
      <c r="P488" s="95"/>
      <c r="Q488" s="95"/>
      <c r="R488" s="95"/>
      <c r="T488" s="81"/>
      <c r="U488" s="95"/>
      <c r="V488" s="95"/>
      <c r="W488" s="95"/>
    </row>
    <row r="489" spans="5:23" ht="10.15" customHeight="1">
      <c r="E489" s="95"/>
      <c r="F489" s="95"/>
      <c r="G489" s="95"/>
      <c r="H489" s="95"/>
      <c r="I489" s="95"/>
      <c r="J489" s="95"/>
      <c r="K489" s="95"/>
      <c r="L489" s="95"/>
      <c r="M489" s="95"/>
      <c r="N489" s="95"/>
      <c r="O489" s="95"/>
      <c r="P489" s="95"/>
      <c r="Q489" s="95"/>
      <c r="R489" s="95"/>
      <c r="T489" s="81"/>
      <c r="U489" s="95"/>
      <c r="V489" s="95"/>
      <c r="W489" s="95"/>
    </row>
    <row r="490" spans="5:23" ht="10.15" customHeight="1">
      <c r="E490" s="95"/>
      <c r="F490" s="95"/>
      <c r="G490" s="95"/>
      <c r="H490" s="95"/>
      <c r="I490" s="95"/>
      <c r="J490" s="95"/>
      <c r="K490" s="95"/>
      <c r="L490" s="95"/>
      <c r="M490" s="95"/>
      <c r="N490" s="95"/>
      <c r="O490" s="95"/>
      <c r="P490" s="95"/>
      <c r="Q490" s="95"/>
      <c r="R490" s="95"/>
      <c r="T490" s="81"/>
      <c r="U490" s="95"/>
      <c r="V490" s="95"/>
      <c r="W490" s="95"/>
    </row>
    <row r="491" spans="5:23" ht="10.15" customHeight="1">
      <c r="E491" s="95"/>
      <c r="F491" s="95"/>
      <c r="G491" s="95"/>
      <c r="H491" s="95"/>
      <c r="I491" s="95"/>
      <c r="J491" s="95"/>
      <c r="K491" s="95"/>
      <c r="L491" s="95"/>
      <c r="M491" s="95"/>
      <c r="N491" s="95"/>
      <c r="O491" s="95"/>
      <c r="P491" s="95"/>
      <c r="Q491" s="95"/>
      <c r="R491" s="95"/>
      <c r="T491" s="81"/>
      <c r="U491" s="95"/>
      <c r="V491" s="95"/>
      <c r="W491" s="95"/>
    </row>
    <row r="492" spans="5:23" ht="10.15" customHeight="1">
      <c r="E492" s="95"/>
      <c r="F492" s="95"/>
      <c r="G492" s="95"/>
      <c r="H492" s="95"/>
      <c r="I492" s="95"/>
      <c r="J492" s="95"/>
      <c r="K492" s="95"/>
      <c r="L492" s="95"/>
      <c r="M492" s="95"/>
      <c r="N492" s="95"/>
      <c r="O492" s="95"/>
      <c r="P492" s="95"/>
      <c r="Q492" s="95"/>
      <c r="R492" s="95"/>
      <c r="T492" s="81"/>
      <c r="U492" s="95"/>
      <c r="V492" s="95"/>
      <c r="W492" s="95"/>
    </row>
    <row r="493" spans="5:23" ht="10.15" customHeight="1">
      <c r="E493" s="95"/>
      <c r="F493" s="95"/>
      <c r="G493" s="95"/>
      <c r="H493" s="95"/>
      <c r="I493" s="95"/>
      <c r="J493" s="95"/>
      <c r="K493" s="95"/>
      <c r="L493" s="95"/>
      <c r="M493" s="95"/>
      <c r="N493" s="95"/>
      <c r="O493" s="95"/>
      <c r="P493" s="95"/>
      <c r="Q493" s="95"/>
      <c r="R493" s="95"/>
      <c r="T493" s="81"/>
      <c r="U493" s="95"/>
      <c r="V493" s="95"/>
      <c r="W493" s="95"/>
    </row>
    <row r="494" spans="5:23" ht="10.15" customHeight="1">
      <c r="E494" s="95"/>
      <c r="F494" s="95"/>
      <c r="G494" s="95"/>
      <c r="H494" s="95"/>
      <c r="I494" s="95"/>
      <c r="J494" s="95"/>
      <c r="K494" s="95"/>
      <c r="L494" s="95"/>
      <c r="M494" s="95"/>
      <c r="N494" s="95"/>
      <c r="O494" s="95"/>
      <c r="P494" s="95"/>
      <c r="Q494" s="95"/>
      <c r="R494" s="95"/>
      <c r="T494" s="81"/>
      <c r="U494" s="95"/>
      <c r="V494" s="95"/>
      <c r="W494" s="95"/>
    </row>
    <row r="495" spans="5:23" ht="10.15" customHeight="1">
      <c r="E495" s="95"/>
      <c r="F495" s="95"/>
      <c r="G495" s="95"/>
      <c r="H495" s="95"/>
      <c r="I495" s="95"/>
      <c r="J495" s="95"/>
      <c r="K495" s="95"/>
      <c r="L495" s="95"/>
      <c r="M495" s="95"/>
      <c r="N495" s="95"/>
      <c r="O495" s="95"/>
      <c r="P495" s="95"/>
      <c r="Q495" s="95"/>
      <c r="R495" s="95"/>
      <c r="T495" s="81"/>
      <c r="U495" s="95"/>
      <c r="V495" s="95"/>
      <c r="W495" s="95"/>
    </row>
    <row r="496" spans="5:23" ht="10.15" customHeight="1">
      <c r="E496" s="95"/>
      <c r="F496" s="95"/>
      <c r="G496" s="95"/>
      <c r="H496" s="95"/>
      <c r="I496" s="95"/>
      <c r="J496" s="95"/>
      <c r="K496" s="95"/>
      <c r="L496" s="95"/>
      <c r="M496" s="95"/>
      <c r="N496" s="95"/>
      <c r="O496" s="95"/>
      <c r="P496" s="95"/>
      <c r="Q496" s="95"/>
      <c r="R496" s="95"/>
      <c r="T496" s="81"/>
      <c r="U496" s="95"/>
      <c r="V496" s="95"/>
      <c r="W496" s="95"/>
    </row>
    <row r="497" spans="5:23" ht="10.15" customHeight="1">
      <c r="E497" s="95"/>
      <c r="F497" s="95"/>
      <c r="G497" s="95"/>
      <c r="H497" s="95"/>
      <c r="I497" s="95"/>
      <c r="J497" s="95"/>
      <c r="K497" s="95"/>
      <c r="L497" s="95"/>
      <c r="M497" s="95"/>
      <c r="N497" s="95"/>
      <c r="O497" s="95"/>
      <c r="P497" s="95"/>
      <c r="Q497" s="95"/>
      <c r="R497" s="95"/>
      <c r="T497" s="81"/>
      <c r="U497" s="95"/>
      <c r="V497" s="95"/>
      <c r="W497" s="95"/>
    </row>
    <row r="498" spans="5:23" ht="10.15" customHeight="1">
      <c r="E498" s="95"/>
      <c r="F498" s="95"/>
      <c r="G498" s="95"/>
      <c r="H498" s="95"/>
      <c r="I498" s="95"/>
      <c r="J498" s="95"/>
      <c r="K498" s="95"/>
      <c r="L498" s="95"/>
      <c r="M498" s="95"/>
      <c r="N498" s="95"/>
      <c r="O498" s="95"/>
      <c r="P498" s="95"/>
      <c r="Q498" s="95"/>
      <c r="R498" s="95"/>
      <c r="T498" s="81"/>
      <c r="U498" s="95"/>
      <c r="V498" s="95"/>
      <c r="W498" s="95"/>
    </row>
    <row r="499" spans="5:23" ht="10.15" customHeight="1">
      <c r="E499" s="95"/>
      <c r="F499" s="95"/>
      <c r="G499" s="95"/>
      <c r="H499" s="95"/>
      <c r="I499" s="95"/>
      <c r="J499" s="95"/>
      <c r="K499" s="95"/>
      <c r="L499" s="95"/>
      <c r="M499" s="95"/>
      <c r="N499" s="95"/>
      <c r="O499" s="95"/>
      <c r="P499" s="95"/>
      <c r="Q499" s="95"/>
      <c r="R499" s="95"/>
      <c r="T499" s="81"/>
      <c r="U499" s="95"/>
      <c r="V499" s="95"/>
      <c r="W499" s="95"/>
    </row>
    <row r="500" spans="5:23" ht="10.15" customHeight="1">
      <c r="E500" s="95"/>
      <c r="F500" s="95"/>
      <c r="G500" s="95"/>
      <c r="H500" s="95"/>
      <c r="I500" s="95"/>
      <c r="J500" s="95"/>
      <c r="K500" s="95"/>
      <c r="L500" s="95"/>
      <c r="M500" s="95"/>
      <c r="N500" s="95"/>
      <c r="O500" s="95"/>
      <c r="P500" s="95"/>
      <c r="Q500" s="95"/>
      <c r="R500" s="95"/>
      <c r="T500" s="81"/>
      <c r="U500" s="95"/>
      <c r="V500" s="95"/>
      <c r="W500" s="95"/>
    </row>
    <row r="501" spans="5:23" ht="10.15" customHeight="1">
      <c r="E501" s="95"/>
      <c r="F501" s="95"/>
      <c r="G501" s="95"/>
      <c r="H501" s="95"/>
      <c r="I501" s="95"/>
      <c r="J501" s="95"/>
      <c r="K501" s="95"/>
      <c r="L501" s="95"/>
      <c r="M501" s="95"/>
      <c r="N501" s="95"/>
      <c r="O501" s="95"/>
      <c r="P501" s="95"/>
      <c r="Q501" s="95"/>
      <c r="R501" s="95"/>
      <c r="T501" s="81"/>
      <c r="U501" s="95"/>
      <c r="V501" s="95"/>
      <c r="W501" s="95"/>
    </row>
    <row r="502" spans="5:23" ht="10.15" customHeight="1">
      <c r="E502" s="95"/>
      <c r="F502" s="95"/>
      <c r="G502" s="95"/>
      <c r="H502" s="95"/>
      <c r="I502" s="95"/>
      <c r="J502" s="95"/>
      <c r="K502" s="95"/>
      <c r="L502" s="95"/>
      <c r="M502" s="95"/>
      <c r="N502" s="95"/>
      <c r="O502" s="95"/>
      <c r="P502" s="95"/>
      <c r="Q502" s="95"/>
      <c r="R502" s="95"/>
      <c r="T502" s="81"/>
      <c r="U502" s="95"/>
      <c r="V502" s="95"/>
      <c r="W502" s="95"/>
    </row>
    <row r="503" spans="5:23" ht="10.15" customHeight="1">
      <c r="E503" s="95"/>
      <c r="F503" s="95"/>
      <c r="G503" s="95"/>
      <c r="H503" s="95"/>
      <c r="I503" s="95"/>
      <c r="J503" s="95"/>
      <c r="K503" s="95"/>
      <c r="L503" s="95"/>
      <c r="M503" s="95"/>
      <c r="N503" s="95"/>
      <c r="O503" s="95"/>
      <c r="P503" s="95"/>
      <c r="Q503" s="95"/>
      <c r="R503" s="95"/>
      <c r="T503" s="81"/>
      <c r="U503" s="95"/>
      <c r="V503" s="95"/>
      <c r="W503" s="95"/>
    </row>
    <row r="504" spans="5:23" ht="10.15" customHeight="1">
      <c r="E504" s="95"/>
      <c r="F504" s="95"/>
      <c r="G504" s="95"/>
      <c r="H504" s="95"/>
      <c r="I504" s="95"/>
      <c r="J504" s="95"/>
      <c r="K504" s="95"/>
      <c r="L504" s="95"/>
      <c r="M504" s="95"/>
      <c r="N504" s="95"/>
      <c r="O504" s="95"/>
      <c r="P504" s="95"/>
      <c r="Q504" s="95"/>
      <c r="R504" s="95"/>
      <c r="T504" s="81"/>
      <c r="U504" s="95"/>
      <c r="V504" s="95"/>
      <c r="W504" s="95"/>
    </row>
    <row r="505" spans="5:23" ht="10.15" customHeight="1">
      <c r="E505" s="95"/>
      <c r="F505" s="95"/>
      <c r="G505" s="95"/>
      <c r="H505" s="95"/>
      <c r="I505" s="95"/>
      <c r="J505" s="95"/>
      <c r="K505" s="95"/>
      <c r="L505" s="95"/>
      <c r="M505" s="95"/>
      <c r="N505" s="95"/>
      <c r="O505" s="95"/>
      <c r="P505" s="95"/>
      <c r="Q505" s="95"/>
      <c r="R505" s="95"/>
      <c r="T505" s="81"/>
      <c r="U505" s="95"/>
      <c r="V505" s="95"/>
      <c r="W505" s="95"/>
    </row>
    <row r="506" spans="5:23" ht="10.15" customHeight="1">
      <c r="E506" s="95"/>
      <c r="F506" s="95"/>
      <c r="G506" s="95"/>
      <c r="H506" s="95"/>
      <c r="I506" s="95"/>
      <c r="J506" s="95"/>
      <c r="K506" s="95"/>
      <c r="L506" s="95"/>
      <c r="M506" s="95"/>
      <c r="N506" s="95"/>
      <c r="O506" s="95"/>
      <c r="P506" s="95"/>
      <c r="Q506" s="95"/>
      <c r="R506" s="95"/>
      <c r="T506" s="81"/>
      <c r="U506" s="95"/>
      <c r="V506" s="95"/>
      <c r="W506" s="95"/>
    </row>
    <row r="507" spans="5:23" ht="10.15" customHeight="1">
      <c r="E507" s="95"/>
      <c r="F507" s="95"/>
      <c r="G507" s="95"/>
      <c r="H507" s="95"/>
      <c r="I507" s="95"/>
      <c r="J507" s="95"/>
      <c r="K507" s="95"/>
      <c r="L507" s="95"/>
      <c r="M507" s="95"/>
      <c r="N507" s="95"/>
      <c r="O507" s="95"/>
      <c r="P507" s="95"/>
      <c r="Q507" s="95"/>
      <c r="R507" s="95"/>
      <c r="T507" s="81"/>
      <c r="U507" s="95"/>
      <c r="V507" s="95"/>
      <c r="W507" s="95"/>
    </row>
    <row r="508" spans="5:23" ht="10.15" customHeight="1">
      <c r="E508" s="95"/>
      <c r="F508" s="95"/>
      <c r="G508" s="95"/>
      <c r="H508" s="95"/>
      <c r="I508" s="95"/>
      <c r="J508" s="95"/>
      <c r="K508" s="95"/>
      <c r="L508" s="95"/>
      <c r="M508" s="95"/>
      <c r="N508" s="95"/>
      <c r="O508" s="95"/>
      <c r="P508" s="95"/>
      <c r="Q508" s="95"/>
      <c r="R508" s="95"/>
      <c r="T508" s="81"/>
      <c r="U508" s="95"/>
      <c r="V508" s="95"/>
      <c r="W508" s="95"/>
    </row>
    <row r="509" spans="5:23" ht="10.15" customHeight="1">
      <c r="E509" s="95"/>
      <c r="F509" s="95"/>
      <c r="G509" s="95"/>
      <c r="H509" s="95"/>
      <c r="I509" s="95"/>
      <c r="J509" s="95"/>
      <c r="K509" s="95"/>
      <c r="L509" s="95"/>
      <c r="M509" s="95"/>
      <c r="N509" s="95"/>
      <c r="O509" s="95"/>
      <c r="P509" s="95"/>
      <c r="Q509" s="95"/>
      <c r="R509" s="95"/>
      <c r="T509" s="81"/>
      <c r="U509" s="95"/>
      <c r="V509" s="95"/>
      <c r="W509" s="95"/>
    </row>
    <row r="510" spans="5:23" ht="10.15" customHeight="1">
      <c r="E510" s="95"/>
      <c r="F510" s="95"/>
      <c r="G510" s="95"/>
      <c r="H510" s="95"/>
      <c r="I510" s="95"/>
      <c r="J510" s="95"/>
      <c r="K510" s="95"/>
      <c r="L510" s="95"/>
      <c r="M510" s="95"/>
      <c r="N510" s="95"/>
      <c r="O510" s="95"/>
      <c r="P510" s="95"/>
      <c r="Q510" s="95"/>
      <c r="R510" s="95"/>
      <c r="T510" s="81"/>
      <c r="U510" s="95"/>
      <c r="V510" s="95"/>
      <c r="W510" s="95"/>
    </row>
    <row r="511" spans="5:23" ht="10.15" customHeight="1">
      <c r="E511" s="95"/>
      <c r="F511" s="95"/>
      <c r="G511" s="95"/>
      <c r="H511" s="95"/>
      <c r="I511" s="95"/>
      <c r="J511" s="95"/>
      <c r="K511" s="95"/>
      <c r="L511" s="95"/>
      <c r="M511" s="95"/>
      <c r="N511" s="95"/>
      <c r="O511" s="95"/>
      <c r="P511" s="95"/>
      <c r="Q511" s="95"/>
      <c r="R511" s="95"/>
      <c r="T511" s="81"/>
      <c r="U511" s="95"/>
      <c r="V511" s="95"/>
      <c r="W511" s="95"/>
    </row>
    <row r="512" spans="5:23" ht="10.15" customHeight="1">
      <c r="E512" s="95"/>
      <c r="F512" s="95"/>
      <c r="G512" s="95"/>
      <c r="H512" s="95"/>
      <c r="I512" s="95"/>
      <c r="J512" s="95"/>
      <c r="K512" s="95"/>
      <c r="L512" s="95"/>
      <c r="M512" s="95"/>
      <c r="N512" s="95"/>
      <c r="O512" s="95"/>
      <c r="P512" s="95"/>
      <c r="Q512" s="95"/>
      <c r="R512" s="95"/>
      <c r="T512" s="81"/>
      <c r="U512" s="95"/>
      <c r="V512" s="95"/>
      <c r="W512" s="95"/>
    </row>
    <row r="513" spans="5:23" ht="10.15" customHeight="1">
      <c r="E513" s="95"/>
      <c r="F513" s="95"/>
      <c r="G513" s="95"/>
      <c r="H513" s="95"/>
      <c r="I513" s="95"/>
      <c r="J513" s="95"/>
      <c r="K513" s="95"/>
      <c r="L513" s="95"/>
      <c r="M513" s="95"/>
      <c r="N513" s="95"/>
      <c r="O513" s="95"/>
      <c r="P513" s="95"/>
      <c r="Q513" s="95"/>
      <c r="R513" s="95"/>
      <c r="T513" s="81"/>
      <c r="U513" s="95"/>
      <c r="V513" s="95"/>
      <c r="W513" s="95"/>
    </row>
    <row r="514" spans="5:23" ht="10.15" customHeight="1">
      <c r="E514" s="95"/>
      <c r="F514" s="95"/>
      <c r="G514" s="95"/>
      <c r="H514" s="95"/>
      <c r="I514" s="95"/>
      <c r="J514" s="95"/>
      <c r="K514" s="95"/>
      <c r="L514" s="95"/>
      <c r="M514" s="95"/>
      <c r="N514" s="95"/>
      <c r="O514" s="95"/>
      <c r="P514" s="95"/>
      <c r="Q514" s="95"/>
      <c r="R514" s="95"/>
      <c r="T514" s="81"/>
      <c r="U514" s="95"/>
      <c r="V514" s="95"/>
      <c r="W514" s="95"/>
    </row>
    <row r="515" spans="5:23" ht="10.15" customHeight="1">
      <c r="E515" s="95"/>
      <c r="F515" s="95"/>
      <c r="G515" s="95"/>
      <c r="H515" s="95"/>
      <c r="I515" s="95"/>
      <c r="J515" s="95"/>
      <c r="K515" s="95"/>
      <c r="L515" s="95"/>
      <c r="M515" s="95"/>
      <c r="N515" s="95"/>
      <c r="O515" s="95"/>
      <c r="P515" s="95"/>
      <c r="Q515" s="95"/>
      <c r="R515" s="95"/>
      <c r="T515" s="81"/>
      <c r="U515" s="95"/>
      <c r="V515" s="95"/>
      <c r="W515" s="95"/>
    </row>
    <row r="516" spans="5:23" ht="10.15" customHeight="1">
      <c r="E516" s="95"/>
      <c r="F516" s="95"/>
      <c r="G516" s="95"/>
      <c r="H516" s="95"/>
      <c r="I516" s="95"/>
      <c r="J516" s="95"/>
      <c r="K516" s="95"/>
      <c r="L516" s="95"/>
      <c r="M516" s="95"/>
      <c r="N516" s="95"/>
      <c r="O516" s="95"/>
      <c r="P516" s="95"/>
      <c r="Q516" s="95"/>
      <c r="R516" s="95"/>
      <c r="T516" s="81"/>
      <c r="U516" s="95"/>
      <c r="V516" s="95"/>
      <c r="W516" s="95"/>
    </row>
    <row r="517" spans="5:23" ht="10.15" customHeight="1">
      <c r="E517" s="95"/>
      <c r="F517" s="95"/>
      <c r="G517" s="95"/>
      <c r="H517" s="95"/>
      <c r="I517" s="95"/>
      <c r="J517" s="95"/>
      <c r="K517" s="95"/>
      <c r="L517" s="95"/>
      <c r="M517" s="95"/>
      <c r="N517" s="95"/>
      <c r="O517" s="95"/>
      <c r="P517" s="95"/>
      <c r="Q517" s="95"/>
      <c r="R517" s="95"/>
      <c r="T517" s="81"/>
      <c r="U517" s="95"/>
      <c r="V517" s="95"/>
      <c r="W517" s="95"/>
    </row>
    <row r="518" spans="5:23" ht="10.15" customHeight="1">
      <c r="E518" s="95"/>
      <c r="F518" s="95"/>
      <c r="G518" s="95"/>
      <c r="H518" s="95"/>
      <c r="I518" s="95"/>
      <c r="J518" s="95"/>
      <c r="K518" s="95"/>
      <c r="L518" s="95"/>
      <c r="M518" s="95"/>
      <c r="N518" s="95"/>
      <c r="O518" s="95"/>
      <c r="P518" s="95"/>
      <c r="Q518" s="95"/>
      <c r="R518" s="95"/>
      <c r="T518" s="81"/>
      <c r="U518" s="95"/>
      <c r="V518" s="95"/>
      <c r="W518" s="95"/>
    </row>
    <row r="519" spans="5:23" ht="10.15" customHeight="1">
      <c r="E519" s="95"/>
      <c r="F519" s="95"/>
      <c r="G519" s="95"/>
      <c r="H519" s="95"/>
      <c r="I519" s="95"/>
      <c r="J519" s="95"/>
      <c r="K519" s="95"/>
      <c r="L519" s="95"/>
      <c r="M519" s="95"/>
      <c r="N519" s="95"/>
      <c r="O519" s="95"/>
      <c r="P519" s="95"/>
      <c r="Q519" s="95"/>
      <c r="R519" s="95"/>
      <c r="T519" s="81"/>
      <c r="U519" s="95"/>
      <c r="V519" s="95"/>
      <c r="W519" s="95"/>
    </row>
    <row r="520" spans="5:23" ht="10.15" customHeight="1">
      <c r="E520" s="95"/>
      <c r="F520" s="95"/>
      <c r="G520" s="95"/>
      <c r="H520" s="95"/>
      <c r="I520" s="95"/>
      <c r="J520" s="95"/>
      <c r="K520" s="95"/>
      <c r="L520" s="95"/>
      <c r="M520" s="95"/>
      <c r="N520" s="95"/>
      <c r="O520" s="95"/>
      <c r="P520" s="95"/>
      <c r="Q520" s="95"/>
      <c r="R520" s="95"/>
      <c r="T520" s="81"/>
      <c r="U520" s="95"/>
      <c r="V520" s="95"/>
      <c r="W520" s="95"/>
    </row>
    <row r="521" spans="5:23" ht="10.15" customHeight="1">
      <c r="E521" s="95"/>
      <c r="F521" s="95"/>
      <c r="G521" s="95"/>
      <c r="H521" s="95"/>
      <c r="I521" s="95"/>
      <c r="J521" s="95"/>
      <c r="K521" s="95"/>
      <c r="L521" s="95"/>
      <c r="M521" s="95"/>
      <c r="N521" s="95"/>
      <c r="O521" s="95"/>
      <c r="P521" s="95"/>
      <c r="Q521" s="95"/>
      <c r="R521" s="95"/>
      <c r="T521" s="81"/>
      <c r="U521" s="95"/>
      <c r="V521" s="95"/>
      <c r="W521" s="95"/>
    </row>
    <row r="522" spans="5:23" ht="10.15" customHeight="1">
      <c r="E522" s="95"/>
      <c r="F522" s="95"/>
      <c r="G522" s="95"/>
      <c r="H522" s="95"/>
      <c r="I522" s="95"/>
      <c r="J522" s="95"/>
      <c r="K522" s="95"/>
      <c r="L522" s="95"/>
      <c r="M522" s="95"/>
      <c r="N522" s="95"/>
      <c r="O522" s="95"/>
      <c r="P522" s="95"/>
      <c r="Q522" s="95"/>
      <c r="R522" s="95"/>
      <c r="T522" s="81"/>
      <c r="U522" s="95"/>
      <c r="V522" s="95"/>
      <c r="W522" s="95"/>
    </row>
    <row r="523" spans="5:23" ht="10.15" customHeight="1">
      <c r="E523" s="95"/>
      <c r="F523" s="95"/>
      <c r="G523" s="95"/>
      <c r="H523" s="95"/>
      <c r="I523" s="95"/>
      <c r="J523" s="95"/>
      <c r="K523" s="95"/>
      <c r="L523" s="95"/>
      <c r="M523" s="95"/>
      <c r="N523" s="95"/>
      <c r="O523" s="95"/>
      <c r="P523" s="95"/>
      <c r="Q523" s="95"/>
      <c r="R523" s="95"/>
      <c r="T523" s="81"/>
      <c r="U523" s="95"/>
      <c r="V523" s="95"/>
      <c r="W523" s="95"/>
    </row>
    <row r="524" spans="5:23" ht="10.15" customHeight="1">
      <c r="E524" s="95"/>
      <c r="F524" s="95"/>
      <c r="G524" s="95"/>
      <c r="H524" s="95"/>
      <c r="I524" s="95"/>
      <c r="J524" s="95"/>
      <c r="K524" s="95"/>
      <c r="L524" s="95"/>
      <c r="M524" s="95"/>
      <c r="N524" s="95"/>
      <c r="O524" s="95"/>
      <c r="P524" s="95"/>
      <c r="Q524" s="95"/>
      <c r="R524" s="95"/>
      <c r="T524" s="81"/>
      <c r="U524" s="95"/>
      <c r="V524" s="95"/>
      <c r="W524" s="95"/>
    </row>
    <row r="525" spans="5:23" ht="10.15" customHeight="1">
      <c r="E525" s="95"/>
      <c r="F525" s="95"/>
      <c r="G525" s="95"/>
      <c r="H525" s="95"/>
      <c r="I525" s="95"/>
      <c r="J525" s="95"/>
      <c r="K525" s="95"/>
      <c r="L525" s="95"/>
      <c r="M525" s="95"/>
      <c r="N525" s="95"/>
      <c r="O525" s="95"/>
      <c r="P525" s="95"/>
      <c r="Q525" s="95"/>
      <c r="R525" s="95"/>
      <c r="T525" s="81"/>
      <c r="U525" s="95"/>
      <c r="V525" s="95"/>
      <c r="W525" s="95"/>
    </row>
    <row r="526" spans="5:23" ht="10.15" customHeight="1">
      <c r="E526" s="95"/>
      <c r="F526" s="95"/>
      <c r="G526" s="95"/>
      <c r="H526" s="95"/>
      <c r="I526" s="95"/>
      <c r="J526" s="95"/>
      <c r="K526" s="95"/>
      <c r="L526" s="95"/>
      <c r="M526" s="95"/>
      <c r="N526" s="95"/>
      <c r="O526" s="95"/>
      <c r="P526" s="95"/>
      <c r="Q526" s="95"/>
      <c r="R526" s="95"/>
      <c r="T526" s="81"/>
      <c r="U526" s="95"/>
      <c r="V526" s="95"/>
      <c r="W526" s="95"/>
    </row>
    <row r="527" spans="5:23" ht="10.15" customHeight="1">
      <c r="E527" s="95"/>
      <c r="F527" s="95"/>
      <c r="G527" s="95"/>
      <c r="H527" s="95"/>
      <c r="I527" s="95"/>
      <c r="J527" s="95"/>
      <c r="K527" s="95"/>
      <c r="L527" s="95"/>
      <c r="M527" s="95"/>
      <c r="N527" s="95"/>
      <c r="O527" s="95"/>
      <c r="P527" s="95"/>
      <c r="Q527" s="95"/>
      <c r="R527" s="95"/>
      <c r="T527" s="81"/>
      <c r="U527" s="95"/>
      <c r="V527" s="95"/>
      <c r="W527" s="95"/>
    </row>
    <row r="528" spans="5:23" ht="10.15" customHeight="1">
      <c r="E528" s="95"/>
      <c r="F528" s="95"/>
      <c r="G528" s="95"/>
      <c r="H528" s="95"/>
      <c r="I528" s="95"/>
      <c r="J528" s="95"/>
      <c r="K528" s="95"/>
      <c r="L528" s="95"/>
      <c r="M528" s="95"/>
      <c r="N528" s="95"/>
      <c r="O528" s="95"/>
      <c r="P528" s="95"/>
      <c r="Q528" s="95"/>
      <c r="R528" s="95"/>
      <c r="T528" s="81"/>
      <c r="U528" s="95"/>
      <c r="V528" s="95"/>
      <c r="W528" s="95"/>
    </row>
    <row r="529" spans="5:23" ht="10.15" customHeight="1">
      <c r="E529" s="95"/>
      <c r="F529" s="95"/>
      <c r="G529" s="95"/>
      <c r="H529" s="95"/>
      <c r="I529" s="95"/>
      <c r="J529" s="95"/>
      <c r="K529" s="95"/>
      <c r="L529" s="95"/>
      <c r="M529" s="95"/>
      <c r="N529" s="95"/>
      <c r="O529" s="95"/>
      <c r="P529" s="95"/>
      <c r="Q529" s="95"/>
      <c r="R529" s="95"/>
      <c r="T529" s="81"/>
      <c r="U529" s="95"/>
      <c r="V529" s="95"/>
      <c r="W529" s="95"/>
    </row>
    <row r="530" spans="5:23" ht="10.15" customHeight="1">
      <c r="E530" s="95"/>
      <c r="F530" s="95"/>
      <c r="G530" s="95"/>
      <c r="H530" s="95"/>
      <c r="I530" s="95"/>
      <c r="J530" s="95"/>
      <c r="K530" s="95"/>
      <c r="L530" s="95"/>
      <c r="M530" s="95"/>
      <c r="N530" s="95"/>
      <c r="O530" s="95"/>
      <c r="P530" s="95"/>
      <c r="Q530" s="95"/>
      <c r="R530" s="95"/>
      <c r="T530" s="81"/>
      <c r="U530" s="95"/>
      <c r="V530" s="95"/>
      <c r="W530" s="95"/>
    </row>
    <row r="531" spans="5:23" ht="10.15" customHeight="1">
      <c r="E531" s="95"/>
      <c r="F531" s="95"/>
      <c r="G531" s="95"/>
      <c r="H531" s="95"/>
      <c r="I531" s="95"/>
      <c r="J531" s="95"/>
      <c r="K531" s="95"/>
      <c r="L531" s="95"/>
      <c r="M531" s="95"/>
      <c r="N531" s="95"/>
      <c r="O531" s="95"/>
      <c r="P531" s="95"/>
      <c r="Q531" s="95"/>
      <c r="R531" s="95"/>
      <c r="T531" s="81"/>
      <c r="U531" s="95"/>
      <c r="V531" s="95"/>
      <c r="W531" s="95"/>
    </row>
    <row r="532" spans="5:23" ht="10.15" customHeight="1">
      <c r="E532" s="95"/>
      <c r="F532" s="95"/>
      <c r="G532" s="95"/>
      <c r="H532" s="95"/>
      <c r="I532" s="95"/>
      <c r="J532" s="95"/>
      <c r="K532" s="95"/>
      <c r="L532" s="95"/>
      <c r="M532" s="95"/>
      <c r="N532" s="95"/>
      <c r="O532" s="95"/>
      <c r="P532" s="95"/>
      <c r="Q532" s="95"/>
      <c r="R532" s="95"/>
      <c r="T532" s="81"/>
      <c r="U532" s="95"/>
      <c r="V532" s="95"/>
      <c r="W532" s="95"/>
    </row>
    <row r="533" spans="5:23" ht="10.15" customHeight="1">
      <c r="E533" s="95"/>
      <c r="F533" s="95"/>
      <c r="G533" s="95"/>
      <c r="H533" s="95"/>
      <c r="I533" s="95"/>
      <c r="J533" s="95"/>
      <c r="K533" s="95"/>
      <c r="L533" s="95"/>
      <c r="M533" s="95"/>
      <c r="N533" s="95"/>
      <c r="O533" s="95"/>
      <c r="P533" s="95"/>
      <c r="Q533" s="95"/>
      <c r="R533" s="95"/>
      <c r="T533" s="81"/>
      <c r="U533" s="95"/>
      <c r="V533" s="95"/>
      <c r="W533" s="95"/>
    </row>
    <row r="534" spans="5:23" ht="10.15" customHeight="1">
      <c r="E534" s="95"/>
      <c r="F534" s="95"/>
      <c r="G534" s="95"/>
      <c r="H534" s="95"/>
      <c r="I534" s="95"/>
      <c r="J534" s="95"/>
      <c r="K534" s="95"/>
      <c r="L534" s="95"/>
      <c r="M534" s="95"/>
      <c r="N534" s="95"/>
      <c r="O534" s="95"/>
      <c r="P534" s="95"/>
      <c r="Q534" s="95"/>
      <c r="R534" s="95"/>
      <c r="T534" s="81"/>
      <c r="U534" s="95"/>
      <c r="V534" s="95"/>
      <c r="W534" s="95"/>
    </row>
    <row r="535" spans="5:23" ht="10.15" customHeight="1">
      <c r="E535" s="95"/>
      <c r="F535" s="95"/>
      <c r="G535" s="95"/>
      <c r="H535" s="95"/>
      <c r="I535" s="95"/>
      <c r="J535" s="95"/>
      <c r="K535" s="95"/>
      <c r="L535" s="95"/>
      <c r="M535" s="95"/>
      <c r="N535" s="95"/>
      <c r="O535" s="95"/>
      <c r="P535" s="95"/>
      <c r="Q535" s="95"/>
      <c r="R535" s="95"/>
      <c r="T535" s="81"/>
      <c r="U535" s="95"/>
      <c r="V535" s="95"/>
      <c r="W535" s="95"/>
    </row>
    <row r="536" spans="5:23" ht="10.15" customHeight="1">
      <c r="E536" s="95"/>
      <c r="F536" s="95"/>
      <c r="G536" s="95"/>
      <c r="H536" s="95"/>
      <c r="I536" s="95"/>
      <c r="J536" s="95"/>
      <c r="K536" s="95"/>
      <c r="L536" s="95"/>
      <c r="M536" s="95"/>
      <c r="N536" s="95"/>
      <c r="O536" s="95"/>
      <c r="P536" s="95"/>
      <c r="Q536" s="95"/>
      <c r="R536" s="95"/>
      <c r="T536" s="81"/>
      <c r="U536" s="95"/>
      <c r="V536" s="95"/>
      <c r="W536" s="95"/>
    </row>
    <row r="537" spans="5:23" ht="10.15" customHeight="1">
      <c r="E537" s="95"/>
      <c r="F537" s="95"/>
      <c r="G537" s="95"/>
      <c r="H537" s="95"/>
      <c r="I537" s="95"/>
      <c r="J537" s="95"/>
      <c r="K537" s="95"/>
      <c r="L537" s="95"/>
      <c r="M537" s="95"/>
      <c r="N537" s="95"/>
      <c r="O537" s="95"/>
      <c r="P537" s="95"/>
      <c r="Q537" s="95"/>
      <c r="R537" s="95"/>
      <c r="T537" s="81"/>
      <c r="U537" s="95"/>
      <c r="V537" s="95"/>
      <c r="W537" s="95"/>
    </row>
    <row r="538" spans="5:23" ht="10.15" customHeight="1">
      <c r="E538" s="95"/>
      <c r="F538" s="95"/>
      <c r="G538" s="95"/>
      <c r="H538" s="95"/>
      <c r="I538" s="95"/>
      <c r="J538" s="95"/>
      <c r="K538" s="95"/>
      <c r="L538" s="95"/>
      <c r="M538" s="95"/>
      <c r="N538" s="95"/>
      <c r="O538" s="95"/>
      <c r="P538" s="95"/>
      <c r="Q538" s="95"/>
      <c r="R538" s="95"/>
      <c r="T538" s="81"/>
      <c r="U538" s="95"/>
      <c r="V538" s="95"/>
      <c r="W538" s="95"/>
    </row>
    <row r="539" spans="5:23" ht="10.15" customHeight="1">
      <c r="E539" s="95"/>
      <c r="F539" s="95"/>
      <c r="G539" s="95"/>
      <c r="H539" s="95"/>
      <c r="I539" s="95"/>
      <c r="J539" s="95"/>
      <c r="K539" s="95"/>
      <c r="L539" s="95"/>
      <c r="M539" s="95"/>
      <c r="N539" s="95"/>
      <c r="O539" s="95"/>
      <c r="P539" s="95"/>
      <c r="Q539" s="95"/>
      <c r="R539" s="95"/>
      <c r="T539" s="81"/>
      <c r="U539" s="95"/>
      <c r="V539" s="95"/>
      <c r="W539" s="95"/>
    </row>
    <row r="540" spans="5:23" ht="10.15" customHeight="1">
      <c r="E540" s="95"/>
      <c r="F540" s="95"/>
      <c r="G540" s="95"/>
      <c r="H540" s="95"/>
      <c r="I540" s="95"/>
      <c r="J540" s="95"/>
      <c r="K540" s="95"/>
      <c r="L540" s="95"/>
      <c r="M540" s="95"/>
      <c r="N540" s="95"/>
      <c r="O540" s="95"/>
      <c r="P540" s="95"/>
      <c r="Q540" s="95"/>
      <c r="R540" s="95"/>
      <c r="T540" s="81"/>
      <c r="U540" s="95"/>
      <c r="V540" s="95"/>
      <c r="W540" s="95"/>
    </row>
    <row r="541" spans="5:23" ht="10.15" customHeight="1">
      <c r="E541" s="95"/>
      <c r="F541" s="95"/>
      <c r="G541" s="95"/>
      <c r="H541" s="95"/>
      <c r="I541" s="95"/>
      <c r="J541" s="95"/>
      <c r="K541" s="95"/>
      <c r="L541" s="95"/>
      <c r="M541" s="95"/>
      <c r="N541" s="95"/>
      <c r="O541" s="95"/>
      <c r="P541" s="95"/>
      <c r="Q541" s="95"/>
      <c r="R541" s="95"/>
      <c r="T541" s="81"/>
      <c r="U541" s="95"/>
      <c r="V541" s="95"/>
      <c r="W541" s="95"/>
    </row>
    <row r="542" spans="5:23" ht="10.15" customHeight="1">
      <c r="E542" s="95"/>
      <c r="F542" s="95"/>
      <c r="G542" s="95"/>
      <c r="H542" s="95"/>
      <c r="I542" s="95"/>
      <c r="J542" s="95"/>
      <c r="K542" s="95"/>
      <c r="L542" s="95"/>
      <c r="M542" s="95"/>
      <c r="N542" s="95"/>
      <c r="O542" s="95"/>
      <c r="P542" s="95"/>
      <c r="Q542" s="95"/>
      <c r="R542" s="95"/>
      <c r="T542" s="81"/>
      <c r="U542" s="95"/>
      <c r="V542" s="95"/>
      <c r="W542" s="95"/>
    </row>
    <row r="543" spans="5:23" ht="10.15" customHeight="1">
      <c r="E543" s="95"/>
      <c r="F543" s="95"/>
      <c r="G543" s="95"/>
      <c r="H543" s="95"/>
      <c r="I543" s="95"/>
      <c r="J543" s="95"/>
      <c r="K543" s="95"/>
      <c r="L543" s="95"/>
      <c r="M543" s="95"/>
      <c r="N543" s="95"/>
      <c r="O543" s="95"/>
      <c r="P543" s="95"/>
      <c r="Q543" s="95"/>
      <c r="R543" s="95"/>
      <c r="T543" s="81"/>
      <c r="U543" s="95"/>
      <c r="V543" s="95"/>
      <c r="W543" s="95"/>
    </row>
    <row r="544" spans="5:23" ht="10.15" customHeight="1">
      <c r="E544" s="95"/>
      <c r="F544" s="95"/>
      <c r="G544" s="95"/>
      <c r="H544" s="95"/>
      <c r="I544" s="95"/>
      <c r="J544" s="95"/>
      <c r="K544" s="95"/>
      <c r="L544" s="95"/>
      <c r="M544" s="95"/>
      <c r="N544" s="95"/>
      <c r="O544" s="95"/>
      <c r="P544" s="95"/>
      <c r="Q544" s="95"/>
      <c r="R544" s="95"/>
      <c r="T544" s="81"/>
      <c r="U544" s="95"/>
      <c r="V544" s="95"/>
      <c r="W544" s="95"/>
    </row>
    <row r="545" spans="5:23" ht="10.15" customHeight="1">
      <c r="E545" s="95"/>
      <c r="F545" s="95"/>
      <c r="G545" s="95"/>
      <c r="H545" s="95"/>
      <c r="I545" s="95"/>
      <c r="J545" s="95"/>
      <c r="K545" s="95"/>
      <c r="L545" s="95"/>
      <c r="M545" s="95"/>
      <c r="N545" s="95"/>
      <c r="O545" s="95"/>
      <c r="P545" s="95"/>
      <c r="Q545" s="95"/>
      <c r="R545" s="95"/>
      <c r="T545" s="81"/>
      <c r="U545" s="95"/>
      <c r="V545" s="95"/>
      <c r="W545" s="95"/>
    </row>
    <row r="546" spans="5:23" ht="10.15" customHeight="1">
      <c r="E546" s="95"/>
      <c r="F546" s="95"/>
      <c r="G546" s="95"/>
      <c r="H546" s="95"/>
      <c r="I546" s="95"/>
      <c r="J546" s="95"/>
      <c r="K546" s="95"/>
      <c r="L546" s="95"/>
      <c r="M546" s="95"/>
      <c r="N546" s="95"/>
      <c r="O546" s="95"/>
      <c r="P546" s="95"/>
      <c r="Q546" s="95"/>
      <c r="R546" s="95"/>
      <c r="T546" s="81"/>
      <c r="U546" s="95"/>
      <c r="V546" s="95"/>
      <c r="W546" s="95"/>
    </row>
    <row r="547" spans="5:23" ht="10.15" customHeight="1">
      <c r="E547" s="95"/>
      <c r="F547" s="95"/>
      <c r="G547" s="95"/>
      <c r="H547" s="95"/>
      <c r="I547" s="95"/>
      <c r="J547" s="95"/>
      <c r="K547" s="95"/>
      <c r="L547" s="95"/>
      <c r="M547" s="95"/>
      <c r="N547" s="95"/>
      <c r="O547" s="95"/>
      <c r="P547" s="95"/>
      <c r="Q547" s="95"/>
      <c r="R547" s="95"/>
      <c r="T547" s="81"/>
      <c r="U547" s="95"/>
      <c r="V547" s="95"/>
      <c r="W547" s="95"/>
    </row>
    <row r="548" spans="5:23" ht="10.15" customHeight="1">
      <c r="E548" s="95"/>
      <c r="F548" s="95"/>
      <c r="G548" s="95"/>
      <c r="H548" s="95"/>
      <c r="I548" s="95"/>
      <c r="J548" s="95"/>
      <c r="K548" s="95"/>
      <c r="L548" s="95"/>
      <c r="M548" s="95"/>
      <c r="N548" s="95"/>
      <c r="O548" s="95"/>
      <c r="P548" s="95"/>
      <c r="Q548" s="95"/>
      <c r="R548" s="95"/>
      <c r="T548" s="81"/>
      <c r="U548" s="95"/>
      <c r="V548" s="95"/>
      <c r="W548" s="95"/>
    </row>
    <row r="549" spans="5:23" ht="10.15" customHeight="1">
      <c r="E549" s="95"/>
      <c r="F549" s="95"/>
      <c r="G549" s="95"/>
      <c r="H549" s="95"/>
      <c r="I549" s="95"/>
      <c r="J549" s="95"/>
      <c r="K549" s="95"/>
      <c r="L549" s="95"/>
      <c r="M549" s="95"/>
      <c r="N549" s="95"/>
      <c r="O549" s="95"/>
      <c r="P549" s="95"/>
      <c r="Q549" s="95"/>
      <c r="R549" s="95"/>
      <c r="T549" s="81"/>
      <c r="U549" s="95"/>
      <c r="V549" s="95"/>
      <c r="W549" s="95"/>
    </row>
    <row r="550" spans="5:23" ht="10.15" customHeight="1">
      <c r="E550" s="95"/>
      <c r="F550" s="95"/>
      <c r="G550" s="95"/>
      <c r="H550" s="95"/>
      <c r="I550" s="95"/>
      <c r="J550" s="95"/>
      <c r="K550" s="95"/>
      <c r="L550" s="95"/>
      <c r="M550" s="95"/>
      <c r="N550" s="95"/>
      <c r="O550" s="95"/>
      <c r="P550" s="95"/>
      <c r="Q550" s="95"/>
      <c r="R550" s="95"/>
      <c r="T550" s="81"/>
      <c r="U550" s="95"/>
      <c r="V550" s="95"/>
      <c r="W550" s="95"/>
    </row>
    <row r="551" spans="5:23" ht="10.15" customHeight="1">
      <c r="E551" s="95"/>
      <c r="F551" s="95"/>
      <c r="G551" s="95"/>
      <c r="H551" s="95"/>
      <c r="I551" s="95"/>
      <c r="J551" s="95"/>
      <c r="K551" s="95"/>
      <c r="L551" s="95"/>
      <c r="M551" s="95"/>
      <c r="N551" s="95"/>
      <c r="O551" s="95"/>
      <c r="P551" s="95"/>
      <c r="Q551" s="95"/>
      <c r="R551" s="95"/>
      <c r="T551" s="81"/>
      <c r="U551" s="95"/>
      <c r="V551" s="95"/>
      <c r="W551" s="95"/>
    </row>
    <row r="552" spans="5:23" ht="10.15" customHeight="1">
      <c r="E552" s="95"/>
      <c r="F552" s="95"/>
      <c r="G552" s="95"/>
      <c r="H552" s="95"/>
      <c r="I552" s="95"/>
      <c r="J552" s="95"/>
      <c r="K552" s="95"/>
      <c r="L552" s="95"/>
      <c r="M552" s="95"/>
      <c r="N552" s="95"/>
      <c r="O552" s="95"/>
      <c r="P552" s="95"/>
      <c r="Q552" s="95"/>
      <c r="R552" s="95"/>
      <c r="T552" s="81"/>
      <c r="U552" s="95"/>
      <c r="V552" s="95"/>
      <c r="W552" s="95"/>
    </row>
    <row r="553" spans="5:23" ht="10.15" customHeight="1">
      <c r="E553" s="95"/>
      <c r="F553" s="95"/>
      <c r="G553" s="95"/>
      <c r="H553" s="95"/>
      <c r="I553" s="95"/>
      <c r="J553" s="95"/>
      <c r="K553" s="95"/>
      <c r="L553" s="95"/>
      <c r="M553" s="95"/>
      <c r="N553" s="95"/>
      <c r="O553" s="95"/>
      <c r="P553" s="95"/>
      <c r="Q553" s="95"/>
      <c r="R553" s="95"/>
      <c r="T553" s="81"/>
      <c r="U553" s="95"/>
      <c r="V553" s="95"/>
      <c r="W553" s="95"/>
    </row>
    <row r="554" spans="5:23" ht="10.15" customHeight="1">
      <c r="E554" s="95"/>
      <c r="F554" s="95"/>
      <c r="G554" s="95"/>
      <c r="H554" s="95"/>
      <c r="I554" s="95"/>
      <c r="J554" s="95"/>
      <c r="K554" s="95"/>
      <c r="L554" s="95"/>
      <c r="M554" s="95"/>
      <c r="N554" s="95"/>
      <c r="O554" s="95"/>
      <c r="P554" s="95"/>
      <c r="Q554" s="95"/>
      <c r="R554" s="95"/>
      <c r="T554" s="81"/>
      <c r="U554" s="95"/>
      <c r="V554" s="95"/>
      <c r="W554" s="95"/>
    </row>
    <row r="555" spans="5:23" ht="10.15" customHeight="1">
      <c r="E555" s="95"/>
      <c r="F555" s="95"/>
      <c r="G555" s="95"/>
      <c r="H555" s="95"/>
      <c r="I555" s="95"/>
      <c r="J555" s="95"/>
      <c r="K555" s="95"/>
      <c r="L555" s="95"/>
      <c r="M555" s="95"/>
      <c r="N555" s="95"/>
      <c r="O555" s="95"/>
      <c r="P555" s="95"/>
      <c r="Q555" s="95"/>
      <c r="R555" s="95"/>
      <c r="T555" s="81"/>
      <c r="U555" s="95"/>
      <c r="V555" s="95"/>
      <c r="W555" s="95"/>
    </row>
    <row r="556" spans="5:23" ht="10.15" customHeight="1">
      <c r="E556" s="95"/>
      <c r="F556" s="95"/>
      <c r="G556" s="95"/>
      <c r="H556" s="95"/>
      <c r="I556" s="95"/>
      <c r="J556" s="95"/>
      <c r="K556" s="95"/>
      <c r="L556" s="95"/>
      <c r="M556" s="95"/>
      <c r="N556" s="95"/>
      <c r="O556" s="95"/>
      <c r="P556" s="95"/>
      <c r="Q556" s="95"/>
      <c r="R556" s="95"/>
      <c r="T556" s="81"/>
      <c r="U556" s="95"/>
      <c r="V556" s="95"/>
      <c r="W556" s="95"/>
    </row>
    <row r="557" spans="5:23" ht="10.15" customHeight="1">
      <c r="E557" s="95"/>
      <c r="F557" s="95"/>
      <c r="G557" s="95"/>
      <c r="H557" s="95"/>
      <c r="I557" s="95"/>
      <c r="J557" s="95"/>
      <c r="K557" s="95"/>
      <c r="L557" s="95"/>
      <c r="M557" s="95"/>
      <c r="N557" s="95"/>
      <c r="O557" s="95"/>
      <c r="P557" s="95"/>
      <c r="Q557" s="95"/>
      <c r="R557" s="95"/>
      <c r="T557" s="81"/>
      <c r="U557" s="95"/>
      <c r="V557" s="95"/>
      <c r="W557" s="95"/>
    </row>
    <row r="558" spans="5:23" ht="10.15" customHeight="1">
      <c r="E558" s="95"/>
      <c r="F558" s="95"/>
      <c r="G558" s="95"/>
      <c r="H558" s="95"/>
      <c r="I558" s="95"/>
      <c r="J558" s="95"/>
      <c r="K558" s="95"/>
      <c r="L558" s="95"/>
      <c r="M558" s="95"/>
      <c r="N558" s="95"/>
      <c r="O558" s="95"/>
      <c r="P558" s="95"/>
      <c r="Q558" s="95"/>
      <c r="R558" s="95"/>
      <c r="T558" s="81"/>
      <c r="U558" s="95"/>
      <c r="V558" s="95"/>
      <c r="W558" s="95"/>
    </row>
    <row r="559" spans="5:23" ht="10.15" customHeight="1">
      <c r="E559" s="95"/>
      <c r="F559" s="95"/>
      <c r="G559" s="95"/>
      <c r="H559" s="95"/>
      <c r="I559" s="95"/>
      <c r="J559" s="95"/>
      <c r="K559" s="95"/>
      <c r="L559" s="95"/>
      <c r="M559" s="95"/>
      <c r="N559" s="95"/>
      <c r="O559" s="95"/>
      <c r="P559" s="95"/>
      <c r="Q559" s="95"/>
      <c r="R559" s="95"/>
      <c r="T559" s="81"/>
      <c r="U559" s="95"/>
      <c r="V559" s="95"/>
      <c r="W559" s="95"/>
    </row>
    <row r="560" spans="5:23" ht="10.15" customHeight="1">
      <c r="E560" s="95"/>
      <c r="F560" s="95"/>
      <c r="G560" s="95"/>
      <c r="H560" s="95"/>
      <c r="I560" s="95"/>
      <c r="J560" s="95"/>
      <c r="K560" s="95"/>
      <c r="L560" s="95"/>
      <c r="M560" s="95"/>
      <c r="N560" s="95"/>
      <c r="O560" s="95"/>
      <c r="P560" s="95"/>
      <c r="Q560" s="95"/>
      <c r="R560" s="95"/>
      <c r="T560" s="81"/>
      <c r="U560" s="95"/>
      <c r="V560" s="95"/>
      <c r="W560" s="95"/>
    </row>
    <row r="561" spans="5:23" ht="10.15" customHeight="1">
      <c r="E561" s="95"/>
      <c r="F561" s="95"/>
      <c r="G561" s="95"/>
      <c r="H561" s="95"/>
      <c r="I561" s="95"/>
      <c r="J561" s="95"/>
      <c r="K561" s="95"/>
      <c r="L561" s="95"/>
      <c r="M561" s="95"/>
      <c r="N561" s="95"/>
      <c r="O561" s="95"/>
      <c r="P561" s="95"/>
      <c r="Q561" s="95"/>
      <c r="R561" s="95"/>
      <c r="T561" s="81"/>
      <c r="U561" s="95"/>
      <c r="V561" s="95"/>
      <c r="W561" s="95"/>
    </row>
    <row r="562" spans="5:23" ht="10.15" customHeight="1">
      <c r="E562" s="95"/>
      <c r="F562" s="95"/>
      <c r="G562" s="95"/>
      <c r="H562" s="95"/>
      <c r="I562" s="95"/>
      <c r="J562" s="95"/>
      <c r="K562" s="95"/>
      <c r="L562" s="95"/>
      <c r="M562" s="95"/>
      <c r="N562" s="95"/>
      <c r="O562" s="95"/>
      <c r="P562" s="95"/>
      <c r="Q562" s="95"/>
      <c r="R562" s="95"/>
      <c r="T562" s="81"/>
      <c r="U562" s="95"/>
      <c r="V562" s="95"/>
      <c r="W562" s="95"/>
    </row>
    <row r="563" spans="5:23" ht="10.15" customHeight="1">
      <c r="E563" s="95"/>
      <c r="F563" s="95"/>
      <c r="G563" s="95"/>
      <c r="H563" s="95"/>
      <c r="I563" s="95"/>
      <c r="J563" s="95"/>
      <c r="K563" s="95"/>
      <c r="L563" s="95"/>
      <c r="M563" s="95"/>
      <c r="N563" s="95"/>
      <c r="O563" s="95"/>
      <c r="P563" s="95"/>
      <c r="Q563" s="95"/>
      <c r="R563" s="95"/>
      <c r="T563" s="81"/>
      <c r="U563" s="95"/>
      <c r="V563" s="95"/>
      <c r="W563" s="95"/>
    </row>
    <row r="564" spans="5:23" ht="10.15" customHeight="1">
      <c r="E564" s="95"/>
      <c r="F564" s="95"/>
      <c r="G564" s="95"/>
      <c r="H564" s="95"/>
      <c r="I564" s="95"/>
      <c r="J564" s="95"/>
      <c r="K564" s="95"/>
      <c r="L564" s="95"/>
      <c r="M564" s="95"/>
      <c r="N564" s="95"/>
      <c r="O564" s="95"/>
      <c r="P564" s="95"/>
      <c r="Q564" s="95"/>
      <c r="R564" s="95"/>
      <c r="T564" s="81"/>
      <c r="U564" s="95"/>
      <c r="V564" s="95"/>
      <c r="W564" s="95"/>
    </row>
    <row r="565" spans="5:23" ht="10.15" customHeight="1">
      <c r="E565" s="95"/>
      <c r="F565" s="95"/>
      <c r="G565" s="95"/>
      <c r="H565" s="95"/>
      <c r="I565" s="95"/>
      <c r="J565" s="95"/>
      <c r="K565" s="95"/>
      <c r="L565" s="95"/>
      <c r="M565" s="95"/>
      <c r="N565" s="95"/>
      <c r="O565" s="95"/>
      <c r="P565" s="95"/>
      <c r="Q565" s="95"/>
      <c r="R565" s="95"/>
      <c r="T565" s="81"/>
      <c r="U565" s="95"/>
      <c r="V565" s="95"/>
      <c r="W565" s="95"/>
    </row>
    <row r="566" spans="5:23" ht="10.15" customHeight="1">
      <c r="E566" s="95"/>
      <c r="F566" s="95"/>
      <c r="G566" s="95"/>
      <c r="H566" s="95"/>
      <c r="I566" s="95"/>
      <c r="J566" s="95"/>
      <c r="K566" s="95"/>
      <c r="L566" s="95"/>
      <c r="M566" s="95"/>
      <c r="N566" s="95"/>
      <c r="O566" s="95"/>
      <c r="P566" s="95"/>
      <c r="Q566" s="95"/>
      <c r="R566" s="95"/>
      <c r="T566" s="81"/>
      <c r="U566" s="95"/>
      <c r="V566" s="95"/>
      <c r="W566" s="95"/>
    </row>
    <row r="567" spans="5:23" ht="10.15" customHeight="1">
      <c r="E567" s="95"/>
      <c r="F567" s="95"/>
      <c r="G567" s="95"/>
      <c r="H567" s="95"/>
      <c r="I567" s="95"/>
      <c r="J567" s="95"/>
      <c r="K567" s="95"/>
      <c r="L567" s="95"/>
      <c r="M567" s="95"/>
      <c r="N567" s="95"/>
      <c r="O567" s="95"/>
      <c r="P567" s="95"/>
      <c r="Q567" s="95"/>
      <c r="R567" s="95"/>
      <c r="T567" s="81"/>
      <c r="U567" s="95"/>
      <c r="V567" s="95"/>
      <c r="W567" s="95"/>
    </row>
    <row r="568" spans="5:23" ht="10.15" customHeight="1">
      <c r="E568" s="95"/>
      <c r="F568" s="95"/>
      <c r="G568" s="95"/>
      <c r="H568" s="95"/>
      <c r="I568" s="95"/>
      <c r="J568" s="95"/>
      <c r="K568" s="95"/>
      <c r="L568" s="95"/>
      <c r="M568" s="95"/>
      <c r="N568" s="95"/>
      <c r="O568" s="95"/>
      <c r="P568" s="95"/>
      <c r="Q568" s="95"/>
      <c r="R568" s="95"/>
      <c r="T568" s="81"/>
      <c r="U568" s="95"/>
      <c r="V568" s="95"/>
      <c r="W568" s="95"/>
    </row>
    <row r="569" spans="5:23" ht="10.15" customHeight="1">
      <c r="E569" s="95"/>
      <c r="F569" s="95"/>
      <c r="G569" s="95"/>
      <c r="H569" s="95"/>
      <c r="I569" s="95"/>
      <c r="J569" s="95"/>
      <c r="K569" s="95"/>
      <c r="L569" s="95"/>
      <c r="M569" s="95"/>
      <c r="N569" s="95"/>
      <c r="O569" s="95"/>
      <c r="P569" s="95"/>
      <c r="Q569" s="95"/>
      <c r="R569" s="95"/>
      <c r="T569" s="81"/>
      <c r="U569" s="95"/>
      <c r="V569" s="95"/>
      <c r="W569" s="95"/>
    </row>
    <row r="570" spans="5:23" ht="10.15" customHeight="1">
      <c r="E570" s="95"/>
      <c r="F570" s="95"/>
      <c r="G570" s="95"/>
      <c r="H570" s="95"/>
      <c r="I570" s="95"/>
      <c r="J570" s="95"/>
      <c r="K570" s="95"/>
      <c r="L570" s="95"/>
      <c r="M570" s="95"/>
      <c r="N570" s="95"/>
      <c r="O570" s="95"/>
      <c r="P570" s="95"/>
      <c r="Q570" s="95"/>
      <c r="R570" s="95"/>
      <c r="T570" s="81"/>
      <c r="U570" s="95"/>
      <c r="V570" s="95"/>
      <c r="W570" s="95"/>
    </row>
    <row r="571" spans="5:23" ht="10.15" customHeight="1">
      <c r="E571" s="95"/>
      <c r="F571" s="95"/>
      <c r="G571" s="95"/>
      <c r="H571" s="95"/>
      <c r="I571" s="95"/>
      <c r="J571" s="95"/>
      <c r="K571" s="95"/>
      <c r="L571" s="95"/>
      <c r="M571" s="95"/>
      <c r="N571" s="95"/>
      <c r="O571" s="95"/>
      <c r="P571" s="95"/>
      <c r="Q571" s="95"/>
      <c r="R571" s="95"/>
      <c r="T571" s="81"/>
      <c r="U571" s="95"/>
      <c r="V571" s="95"/>
      <c r="W571" s="95"/>
    </row>
    <row r="572" spans="5:23" ht="10.15" customHeight="1">
      <c r="E572" s="95"/>
      <c r="F572" s="95"/>
      <c r="G572" s="95"/>
      <c r="H572" s="95"/>
      <c r="I572" s="95"/>
      <c r="J572" s="95"/>
      <c r="K572" s="95"/>
      <c r="L572" s="95"/>
      <c r="M572" s="95"/>
      <c r="N572" s="95"/>
      <c r="O572" s="95"/>
      <c r="P572" s="95"/>
      <c r="Q572" s="95"/>
      <c r="R572" s="95"/>
      <c r="T572" s="81"/>
      <c r="U572" s="95"/>
      <c r="V572" s="95"/>
      <c r="W572" s="95"/>
    </row>
    <row r="573" spans="5:23" ht="10.15" customHeight="1">
      <c r="E573" s="95"/>
      <c r="F573" s="95"/>
      <c r="G573" s="95"/>
      <c r="H573" s="95"/>
      <c r="I573" s="95"/>
      <c r="J573" s="95"/>
      <c r="K573" s="95"/>
      <c r="L573" s="95"/>
      <c r="M573" s="95"/>
      <c r="N573" s="95"/>
      <c r="O573" s="95"/>
      <c r="P573" s="95"/>
      <c r="Q573" s="95"/>
      <c r="R573" s="95"/>
      <c r="T573" s="81"/>
      <c r="U573" s="95"/>
      <c r="V573" s="95"/>
      <c r="W573" s="95"/>
    </row>
    <row r="574" spans="5:23" ht="10.15" customHeight="1">
      <c r="E574" s="95"/>
      <c r="F574" s="95"/>
      <c r="G574" s="95"/>
      <c r="H574" s="95"/>
      <c r="I574" s="95"/>
      <c r="J574" s="95"/>
      <c r="K574" s="95"/>
      <c r="L574" s="95"/>
      <c r="M574" s="95"/>
      <c r="N574" s="95"/>
      <c r="O574" s="95"/>
      <c r="P574" s="95"/>
      <c r="Q574" s="95"/>
      <c r="R574" s="95"/>
      <c r="T574" s="81"/>
      <c r="U574" s="95"/>
      <c r="V574" s="95"/>
      <c r="W574" s="95"/>
    </row>
    <row r="575" spans="5:23" ht="10.15" customHeight="1">
      <c r="E575" s="95"/>
      <c r="F575" s="95"/>
      <c r="G575" s="95"/>
      <c r="H575" s="95"/>
      <c r="I575" s="95"/>
      <c r="J575" s="95"/>
      <c r="K575" s="95"/>
      <c r="L575" s="95"/>
      <c r="M575" s="95"/>
      <c r="N575" s="95"/>
      <c r="O575" s="95"/>
      <c r="P575" s="95"/>
      <c r="Q575" s="95"/>
      <c r="R575" s="95"/>
      <c r="T575" s="81"/>
      <c r="U575" s="95"/>
      <c r="V575" s="95"/>
      <c r="W575" s="95"/>
    </row>
    <row r="576" spans="5:23" ht="10.15" customHeight="1">
      <c r="E576" s="95"/>
      <c r="F576" s="95"/>
      <c r="G576" s="95"/>
      <c r="H576" s="95"/>
      <c r="I576" s="95"/>
      <c r="J576" s="95"/>
      <c r="K576" s="95"/>
      <c r="L576" s="95"/>
      <c r="M576" s="95"/>
      <c r="N576" s="95"/>
      <c r="O576" s="95"/>
      <c r="P576" s="95"/>
      <c r="Q576" s="95"/>
      <c r="R576" s="95"/>
      <c r="T576" s="81"/>
      <c r="U576" s="95"/>
      <c r="V576" s="95"/>
      <c r="W576" s="95"/>
    </row>
    <row r="577" spans="5:23" ht="10.15" customHeight="1">
      <c r="E577" s="95"/>
      <c r="F577" s="95"/>
      <c r="G577" s="95"/>
      <c r="H577" s="95"/>
      <c r="I577" s="95"/>
      <c r="J577" s="95"/>
      <c r="K577" s="95"/>
      <c r="L577" s="95"/>
      <c r="M577" s="95"/>
      <c r="N577" s="95"/>
      <c r="O577" s="95"/>
      <c r="P577" s="95"/>
      <c r="Q577" s="95"/>
      <c r="R577" s="95"/>
      <c r="T577" s="81"/>
      <c r="U577" s="95"/>
      <c r="V577" s="95"/>
      <c r="W577" s="95"/>
    </row>
    <row r="578" spans="5:23" ht="10.15" customHeight="1">
      <c r="E578" s="95"/>
      <c r="F578" s="95"/>
      <c r="G578" s="95"/>
      <c r="H578" s="95"/>
      <c r="I578" s="95"/>
      <c r="J578" s="95"/>
      <c r="K578" s="95"/>
      <c r="L578" s="95"/>
      <c r="M578" s="95"/>
      <c r="N578" s="95"/>
      <c r="O578" s="95"/>
      <c r="P578" s="95"/>
      <c r="Q578" s="95"/>
      <c r="R578" s="95"/>
      <c r="T578" s="81"/>
      <c r="U578" s="95"/>
      <c r="V578" s="95"/>
      <c r="W578" s="95"/>
    </row>
    <row r="579" spans="5:23" ht="10.15" customHeight="1">
      <c r="E579" s="95"/>
      <c r="F579" s="95"/>
      <c r="G579" s="95"/>
      <c r="H579" s="95"/>
      <c r="I579" s="95"/>
      <c r="J579" s="95"/>
      <c r="K579" s="95"/>
      <c r="L579" s="95"/>
      <c r="M579" s="95"/>
      <c r="N579" s="95"/>
      <c r="O579" s="95"/>
      <c r="P579" s="95"/>
      <c r="Q579" s="95"/>
      <c r="R579" s="95"/>
      <c r="T579" s="81"/>
      <c r="U579" s="95"/>
      <c r="V579" s="95"/>
      <c r="W579" s="95"/>
    </row>
    <row r="580" spans="5:23" ht="10.15" customHeight="1">
      <c r="E580" s="95"/>
      <c r="F580" s="95"/>
      <c r="G580" s="95"/>
      <c r="H580" s="95"/>
      <c r="I580" s="95"/>
      <c r="J580" s="95"/>
      <c r="K580" s="95"/>
      <c r="L580" s="95"/>
      <c r="M580" s="95"/>
      <c r="N580" s="95"/>
      <c r="O580" s="95"/>
      <c r="P580" s="95"/>
      <c r="Q580" s="95"/>
      <c r="R580" s="95"/>
      <c r="T580" s="81"/>
      <c r="U580" s="95"/>
      <c r="V580" s="95"/>
      <c r="W580" s="95"/>
    </row>
    <row r="581" spans="5:23" ht="10.15" customHeight="1">
      <c r="E581" s="95"/>
      <c r="F581" s="95"/>
      <c r="G581" s="95"/>
      <c r="H581" s="95"/>
      <c r="I581" s="95"/>
      <c r="J581" s="95"/>
      <c r="K581" s="95"/>
      <c r="L581" s="95"/>
      <c r="M581" s="95"/>
      <c r="N581" s="95"/>
      <c r="O581" s="95"/>
      <c r="P581" s="95"/>
      <c r="Q581" s="95"/>
      <c r="R581" s="95"/>
      <c r="T581" s="81"/>
      <c r="U581" s="95"/>
      <c r="V581" s="95"/>
      <c r="W581" s="95"/>
    </row>
    <row r="582" spans="5:23" ht="10.15" customHeight="1">
      <c r="E582" s="95"/>
      <c r="F582" s="95"/>
      <c r="G582" s="95"/>
      <c r="H582" s="95"/>
      <c r="I582" s="95"/>
      <c r="J582" s="95"/>
      <c r="K582" s="95"/>
      <c r="L582" s="95"/>
      <c r="M582" s="95"/>
      <c r="N582" s="95"/>
      <c r="O582" s="95"/>
      <c r="P582" s="95"/>
      <c r="Q582" s="95"/>
      <c r="R582" s="95"/>
      <c r="T582" s="81"/>
      <c r="U582" s="95"/>
      <c r="V582" s="95"/>
      <c r="W582" s="95"/>
    </row>
    <row r="583" spans="5:23" ht="10.15" customHeight="1">
      <c r="E583" s="95"/>
      <c r="F583" s="95"/>
      <c r="G583" s="95"/>
      <c r="H583" s="95"/>
      <c r="I583" s="95"/>
      <c r="J583" s="95"/>
      <c r="K583" s="95"/>
      <c r="L583" s="95"/>
      <c r="M583" s="95"/>
      <c r="N583" s="95"/>
      <c r="O583" s="95"/>
      <c r="P583" s="95"/>
      <c r="Q583" s="95"/>
      <c r="R583" s="95"/>
      <c r="T583" s="81"/>
      <c r="U583" s="95"/>
      <c r="V583" s="95"/>
      <c r="W583" s="95"/>
    </row>
    <row r="584" spans="5:23" ht="10.15" customHeight="1">
      <c r="E584" s="95"/>
      <c r="F584" s="95"/>
      <c r="G584" s="95"/>
      <c r="H584" s="95"/>
      <c r="I584" s="95"/>
      <c r="J584" s="95"/>
      <c r="K584" s="95"/>
      <c r="L584" s="95"/>
      <c r="M584" s="95"/>
      <c r="N584" s="95"/>
      <c r="O584" s="95"/>
      <c r="P584" s="95"/>
      <c r="Q584" s="95"/>
      <c r="R584" s="95"/>
      <c r="T584" s="81"/>
      <c r="U584" s="95"/>
      <c r="V584" s="95"/>
      <c r="W584" s="95"/>
    </row>
    <row r="585" spans="5:23" ht="10.15" customHeight="1">
      <c r="E585" s="95"/>
      <c r="F585" s="95"/>
      <c r="G585" s="95"/>
      <c r="H585" s="95"/>
      <c r="I585" s="95"/>
      <c r="J585" s="95"/>
      <c r="K585" s="95"/>
      <c r="L585" s="95"/>
      <c r="M585" s="95"/>
      <c r="N585" s="95"/>
      <c r="O585" s="95"/>
      <c r="P585" s="95"/>
      <c r="Q585" s="95"/>
      <c r="R585" s="95"/>
      <c r="T585" s="81"/>
      <c r="U585" s="95"/>
      <c r="V585" s="95"/>
      <c r="W585" s="95"/>
    </row>
    <row r="586" spans="5:23" ht="10.15" customHeight="1">
      <c r="E586" s="95"/>
      <c r="F586" s="95"/>
      <c r="G586" s="95"/>
      <c r="H586" s="95"/>
      <c r="I586" s="95"/>
      <c r="J586" s="95"/>
      <c r="K586" s="95"/>
      <c r="L586" s="95"/>
      <c r="M586" s="95"/>
      <c r="N586" s="95"/>
      <c r="O586" s="95"/>
      <c r="P586" s="95"/>
      <c r="Q586" s="95"/>
      <c r="R586" s="95"/>
      <c r="T586" s="81"/>
      <c r="U586" s="95"/>
      <c r="V586" s="95"/>
      <c r="W586" s="95"/>
    </row>
    <row r="587" spans="5:23" ht="10.15" customHeight="1">
      <c r="E587" s="95"/>
      <c r="F587" s="95"/>
      <c r="G587" s="95"/>
      <c r="H587" s="95"/>
      <c r="I587" s="95"/>
      <c r="J587" s="95"/>
      <c r="K587" s="95"/>
      <c r="L587" s="95"/>
      <c r="M587" s="95"/>
      <c r="N587" s="95"/>
      <c r="O587" s="95"/>
      <c r="P587" s="95"/>
      <c r="Q587" s="95"/>
      <c r="R587" s="95"/>
      <c r="T587" s="81"/>
      <c r="U587" s="95"/>
      <c r="V587" s="95"/>
      <c r="W587" s="95"/>
    </row>
    <row r="588" spans="5:23" ht="10.15" customHeight="1">
      <c r="E588" s="95"/>
      <c r="F588" s="95"/>
      <c r="G588" s="95"/>
      <c r="H588" s="95"/>
      <c r="I588" s="95"/>
      <c r="J588" s="95"/>
      <c r="K588" s="95"/>
      <c r="L588" s="95"/>
      <c r="M588" s="95"/>
      <c r="N588" s="95"/>
      <c r="O588" s="95"/>
      <c r="P588" s="95"/>
      <c r="Q588" s="95"/>
      <c r="R588" s="95"/>
      <c r="T588" s="81"/>
      <c r="U588" s="95"/>
      <c r="V588" s="95"/>
      <c r="W588" s="95"/>
    </row>
    <row r="589" spans="5:23" ht="10.15" customHeight="1">
      <c r="E589" s="95"/>
      <c r="F589" s="95"/>
      <c r="G589" s="95"/>
      <c r="H589" s="95"/>
      <c r="I589" s="95"/>
      <c r="J589" s="95"/>
      <c r="K589" s="95"/>
      <c r="L589" s="95"/>
      <c r="M589" s="95"/>
      <c r="N589" s="95"/>
      <c r="O589" s="95"/>
      <c r="P589" s="95"/>
      <c r="Q589" s="95"/>
      <c r="R589" s="95"/>
      <c r="T589" s="81"/>
      <c r="U589" s="95"/>
      <c r="V589" s="95"/>
      <c r="W589" s="95"/>
    </row>
    <row r="590" spans="5:23" ht="10.15" customHeight="1">
      <c r="E590" s="95"/>
      <c r="F590" s="95"/>
      <c r="G590" s="95"/>
      <c r="H590" s="95"/>
      <c r="I590" s="95"/>
      <c r="J590" s="95"/>
      <c r="K590" s="95"/>
      <c r="L590" s="95"/>
      <c r="M590" s="95"/>
      <c r="N590" s="95"/>
      <c r="O590" s="95"/>
      <c r="P590" s="95"/>
      <c r="Q590" s="95"/>
      <c r="R590" s="95"/>
      <c r="T590" s="81"/>
      <c r="U590" s="95"/>
      <c r="V590" s="95"/>
      <c r="W590" s="95"/>
    </row>
    <row r="591" spans="5:23" ht="10.15" customHeight="1">
      <c r="E591" s="95"/>
      <c r="F591" s="95"/>
      <c r="G591" s="95"/>
      <c r="H591" s="95"/>
      <c r="I591" s="95"/>
      <c r="J591" s="95"/>
      <c r="K591" s="95"/>
      <c r="L591" s="95"/>
      <c r="M591" s="95"/>
      <c r="N591" s="95"/>
      <c r="O591" s="95"/>
      <c r="P591" s="95"/>
      <c r="Q591" s="95"/>
      <c r="R591" s="95"/>
      <c r="T591" s="81"/>
      <c r="U591" s="95"/>
      <c r="V591" s="95"/>
      <c r="W591" s="95"/>
    </row>
    <row r="592" spans="5:23" ht="10.15" customHeight="1">
      <c r="E592" s="95"/>
      <c r="F592" s="95"/>
      <c r="G592" s="95"/>
      <c r="H592" s="95"/>
      <c r="I592" s="95"/>
      <c r="J592" s="95"/>
      <c r="K592" s="95"/>
      <c r="L592" s="95"/>
      <c r="M592" s="95"/>
      <c r="N592" s="95"/>
      <c r="O592" s="95"/>
      <c r="P592" s="95"/>
      <c r="Q592" s="95"/>
      <c r="R592" s="95"/>
      <c r="T592" s="81"/>
      <c r="U592" s="95"/>
      <c r="V592" s="95"/>
      <c r="W592" s="95"/>
    </row>
    <row r="593" spans="5:23" ht="10.15" customHeight="1">
      <c r="E593" s="95"/>
      <c r="F593" s="95"/>
      <c r="G593" s="95"/>
      <c r="H593" s="95"/>
      <c r="I593" s="95"/>
      <c r="J593" s="95"/>
      <c r="K593" s="95"/>
      <c r="L593" s="95"/>
      <c r="M593" s="95"/>
      <c r="N593" s="95"/>
      <c r="O593" s="95"/>
      <c r="P593" s="95"/>
      <c r="Q593" s="95"/>
      <c r="R593" s="95"/>
      <c r="T593" s="81"/>
      <c r="U593" s="95"/>
      <c r="V593" s="95"/>
      <c r="W593" s="95"/>
    </row>
    <row r="594" spans="5:23" ht="10.15" customHeight="1">
      <c r="E594" s="95"/>
      <c r="F594" s="95"/>
      <c r="G594" s="95"/>
      <c r="H594" s="95"/>
      <c r="I594" s="95"/>
      <c r="J594" s="95"/>
      <c r="K594" s="95"/>
      <c r="L594" s="95"/>
      <c r="M594" s="95"/>
      <c r="N594" s="95"/>
      <c r="O594" s="95"/>
      <c r="P594" s="95"/>
      <c r="Q594" s="95"/>
      <c r="R594" s="95"/>
      <c r="T594" s="81"/>
      <c r="U594" s="95"/>
      <c r="V594" s="95"/>
      <c r="W594" s="95"/>
    </row>
    <row r="595" spans="5:23" ht="10.15" customHeight="1">
      <c r="E595" s="95"/>
      <c r="F595" s="95"/>
      <c r="G595" s="95"/>
      <c r="H595" s="95"/>
      <c r="I595" s="95"/>
      <c r="J595" s="95"/>
      <c r="K595" s="95"/>
      <c r="L595" s="95"/>
      <c r="M595" s="95"/>
      <c r="N595" s="95"/>
      <c r="O595" s="95"/>
      <c r="P595" s="95"/>
      <c r="Q595" s="95"/>
      <c r="R595" s="95"/>
      <c r="T595" s="81"/>
      <c r="U595" s="95"/>
      <c r="V595" s="95"/>
      <c r="W595" s="95"/>
    </row>
    <row r="596" spans="5:23" ht="10.15" customHeight="1">
      <c r="E596" s="95"/>
      <c r="F596" s="95"/>
      <c r="G596" s="95"/>
      <c r="H596" s="95"/>
      <c r="I596" s="95"/>
      <c r="J596" s="95"/>
      <c r="K596" s="95"/>
      <c r="L596" s="95"/>
      <c r="M596" s="95"/>
      <c r="N596" s="95"/>
      <c r="O596" s="95"/>
      <c r="P596" s="95"/>
      <c r="Q596" s="95"/>
      <c r="R596" s="95"/>
      <c r="T596" s="81"/>
      <c r="U596" s="95"/>
      <c r="V596" s="95"/>
      <c r="W596" s="95"/>
    </row>
    <row r="597" spans="5:23" ht="10.15" customHeight="1">
      <c r="E597" s="95"/>
      <c r="F597" s="95"/>
      <c r="G597" s="95"/>
      <c r="H597" s="95"/>
      <c r="I597" s="95"/>
      <c r="J597" s="95"/>
      <c r="K597" s="95"/>
      <c r="L597" s="95"/>
      <c r="M597" s="95"/>
      <c r="N597" s="95"/>
      <c r="O597" s="95"/>
      <c r="P597" s="95"/>
      <c r="Q597" s="95"/>
      <c r="R597" s="95"/>
      <c r="T597" s="81"/>
      <c r="U597" s="95"/>
      <c r="V597" s="95"/>
      <c r="W597" s="95"/>
    </row>
    <row r="598" spans="5:23" ht="10.15" customHeight="1">
      <c r="E598" s="95"/>
      <c r="F598" s="95"/>
      <c r="G598" s="95"/>
      <c r="H598" s="95"/>
      <c r="I598" s="95"/>
      <c r="J598" s="95"/>
      <c r="K598" s="95"/>
      <c r="L598" s="95"/>
      <c r="M598" s="95"/>
      <c r="N598" s="95"/>
      <c r="O598" s="95"/>
      <c r="P598" s="95"/>
      <c r="Q598" s="95"/>
      <c r="R598" s="95"/>
      <c r="T598" s="81"/>
      <c r="U598" s="95"/>
      <c r="V598" s="95"/>
      <c r="W598" s="95"/>
    </row>
    <row r="599" spans="5:23" ht="10.15" customHeight="1">
      <c r="E599" s="95"/>
      <c r="F599" s="95"/>
      <c r="G599" s="95"/>
      <c r="H599" s="95"/>
      <c r="I599" s="95"/>
      <c r="J599" s="95"/>
      <c r="K599" s="95"/>
      <c r="L599" s="95"/>
      <c r="M599" s="95"/>
      <c r="N599" s="95"/>
      <c r="O599" s="95"/>
      <c r="P599" s="95"/>
      <c r="Q599" s="95"/>
      <c r="R599" s="95"/>
      <c r="T599" s="81"/>
      <c r="U599" s="95"/>
      <c r="V599" s="95"/>
      <c r="W599" s="95"/>
    </row>
    <row r="600" spans="5:23" ht="10.15" customHeight="1">
      <c r="E600" s="95"/>
      <c r="F600" s="95"/>
      <c r="G600" s="95"/>
      <c r="H600" s="95"/>
      <c r="I600" s="95"/>
      <c r="J600" s="95"/>
      <c r="K600" s="95"/>
      <c r="L600" s="95"/>
      <c r="M600" s="95"/>
      <c r="N600" s="95"/>
      <c r="O600" s="95"/>
      <c r="P600" s="95"/>
      <c r="Q600" s="95"/>
      <c r="R600" s="95"/>
      <c r="T600" s="81"/>
      <c r="U600" s="95"/>
      <c r="V600" s="95"/>
      <c r="W600" s="95"/>
    </row>
    <row r="601" spans="5:23" ht="10.15" customHeight="1">
      <c r="E601" s="95"/>
      <c r="F601" s="95"/>
      <c r="G601" s="95"/>
      <c r="H601" s="95"/>
      <c r="I601" s="95"/>
      <c r="J601" s="95"/>
      <c r="K601" s="95"/>
      <c r="L601" s="95"/>
      <c r="M601" s="95"/>
      <c r="N601" s="95"/>
      <c r="O601" s="95"/>
      <c r="P601" s="95"/>
      <c r="Q601" s="95"/>
      <c r="R601" s="95"/>
      <c r="T601" s="81"/>
      <c r="U601" s="95"/>
      <c r="V601" s="95"/>
      <c r="W601" s="95"/>
    </row>
    <row r="602" spans="5:23" ht="10.15" customHeight="1">
      <c r="E602" s="95"/>
      <c r="F602" s="95"/>
      <c r="G602" s="95"/>
      <c r="H602" s="95"/>
      <c r="I602" s="95"/>
      <c r="J602" s="95"/>
      <c r="K602" s="95"/>
      <c r="L602" s="95"/>
      <c r="M602" s="95"/>
      <c r="N602" s="95"/>
      <c r="O602" s="95"/>
      <c r="P602" s="95"/>
      <c r="Q602" s="95"/>
      <c r="R602" s="95"/>
      <c r="T602" s="81"/>
      <c r="U602" s="95"/>
      <c r="V602" s="95"/>
      <c r="W602" s="95"/>
    </row>
    <row r="603" spans="5:23" ht="10.15" customHeight="1">
      <c r="E603" s="95"/>
      <c r="F603" s="95"/>
      <c r="G603" s="95"/>
      <c r="H603" s="95"/>
      <c r="I603" s="95"/>
      <c r="J603" s="95"/>
      <c r="K603" s="95"/>
      <c r="L603" s="95"/>
      <c r="M603" s="95"/>
      <c r="N603" s="95"/>
      <c r="O603" s="95"/>
      <c r="P603" s="95"/>
      <c r="Q603" s="95"/>
      <c r="R603" s="95"/>
      <c r="T603" s="81"/>
      <c r="U603" s="95"/>
      <c r="V603" s="95"/>
      <c r="W603" s="95"/>
    </row>
    <row r="604" spans="5:23" ht="10.15" customHeight="1">
      <c r="E604" s="95"/>
      <c r="F604" s="95"/>
      <c r="G604" s="95"/>
      <c r="H604" s="95"/>
      <c r="I604" s="95"/>
      <c r="J604" s="95"/>
      <c r="K604" s="95"/>
      <c r="L604" s="95"/>
      <c r="M604" s="95"/>
      <c r="N604" s="95"/>
      <c r="O604" s="95"/>
      <c r="P604" s="95"/>
      <c r="Q604" s="95"/>
      <c r="R604" s="95"/>
      <c r="T604" s="81"/>
      <c r="U604" s="95"/>
      <c r="V604" s="95"/>
      <c r="W604" s="95"/>
    </row>
    <row r="605" spans="5:23" ht="10.15" customHeight="1">
      <c r="E605" s="95"/>
      <c r="F605" s="95"/>
      <c r="G605" s="95"/>
      <c r="H605" s="95"/>
      <c r="I605" s="95"/>
      <c r="J605" s="95"/>
      <c r="K605" s="95"/>
      <c r="L605" s="95"/>
      <c r="M605" s="95"/>
      <c r="N605" s="95"/>
      <c r="O605" s="95"/>
      <c r="P605" s="95"/>
      <c r="Q605" s="95"/>
      <c r="R605" s="95"/>
      <c r="T605" s="81"/>
      <c r="U605" s="95"/>
      <c r="V605" s="95"/>
      <c r="W605" s="95"/>
    </row>
    <row r="606" spans="5:23" ht="10.15" customHeight="1">
      <c r="E606" s="95"/>
      <c r="F606" s="95"/>
      <c r="G606" s="95"/>
      <c r="H606" s="95"/>
      <c r="I606" s="95"/>
      <c r="J606" s="95"/>
      <c r="K606" s="95"/>
      <c r="L606" s="95"/>
      <c r="M606" s="95"/>
      <c r="N606" s="95"/>
      <c r="O606" s="95"/>
      <c r="P606" s="95"/>
      <c r="Q606" s="95"/>
      <c r="R606" s="95"/>
      <c r="T606" s="81"/>
      <c r="U606" s="95"/>
      <c r="V606" s="95"/>
      <c r="W606" s="95"/>
    </row>
    <row r="607" spans="5:23" ht="10.15" customHeight="1">
      <c r="E607" s="95"/>
      <c r="F607" s="95"/>
      <c r="G607" s="95"/>
      <c r="H607" s="95"/>
      <c r="I607" s="95"/>
      <c r="J607" s="95"/>
      <c r="K607" s="95"/>
      <c r="L607" s="95"/>
      <c r="M607" s="95"/>
      <c r="N607" s="95"/>
      <c r="O607" s="95"/>
      <c r="P607" s="95"/>
      <c r="Q607" s="95"/>
      <c r="R607" s="95"/>
      <c r="T607" s="81"/>
      <c r="U607" s="95"/>
      <c r="V607" s="95"/>
      <c r="W607" s="95"/>
    </row>
    <row r="608" spans="5:23" ht="10.15" customHeight="1">
      <c r="E608" s="95"/>
      <c r="F608" s="95"/>
      <c r="G608" s="95"/>
      <c r="H608" s="95"/>
      <c r="I608" s="95"/>
      <c r="J608" s="95"/>
      <c r="K608" s="95"/>
      <c r="L608" s="95"/>
      <c r="M608" s="95"/>
      <c r="N608" s="95"/>
      <c r="O608" s="95"/>
      <c r="P608" s="95"/>
      <c r="Q608" s="95"/>
      <c r="R608" s="95"/>
      <c r="T608" s="81"/>
      <c r="U608" s="95"/>
      <c r="V608" s="95"/>
      <c r="W608" s="95"/>
    </row>
    <row r="609" spans="5:23" ht="10.15" customHeight="1">
      <c r="E609" s="95"/>
      <c r="F609" s="95"/>
      <c r="G609" s="95"/>
      <c r="H609" s="95"/>
      <c r="I609" s="95"/>
      <c r="J609" s="95"/>
      <c r="K609" s="95"/>
      <c r="L609" s="95"/>
      <c r="M609" s="95"/>
      <c r="N609" s="95"/>
      <c r="O609" s="95"/>
      <c r="P609" s="95"/>
      <c r="Q609" s="95"/>
      <c r="R609" s="95"/>
      <c r="T609" s="81"/>
      <c r="U609" s="95"/>
      <c r="V609" s="95"/>
      <c r="W609" s="95"/>
    </row>
    <row r="610" spans="5:23" ht="10.15" customHeight="1">
      <c r="E610" s="95"/>
      <c r="F610" s="95"/>
      <c r="G610" s="95"/>
      <c r="H610" s="95"/>
      <c r="I610" s="95"/>
      <c r="J610" s="95"/>
      <c r="K610" s="95"/>
      <c r="L610" s="95"/>
      <c r="M610" s="95"/>
      <c r="N610" s="95"/>
      <c r="O610" s="95"/>
      <c r="P610" s="95"/>
      <c r="Q610" s="95"/>
      <c r="R610" s="95"/>
      <c r="T610" s="81"/>
      <c r="U610" s="95"/>
      <c r="V610" s="95"/>
      <c r="W610" s="95"/>
    </row>
    <row r="611" spans="5:23" ht="10.15" customHeight="1">
      <c r="E611" s="95"/>
      <c r="F611" s="95"/>
      <c r="G611" s="95"/>
      <c r="H611" s="95"/>
      <c r="I611" s="95"/>
      <c r="J611" s="95"/>
      <c r="K611" s="95"/>
      <c r="L611" s="95"/>
      <c r="M611" s="95"/>
      <c r="N611" s="95"/>
      <c r="O611" s="95"/>
      <c r="P611" s="95"/>
      <c r="Q611" s="95"/>
      <c r="R611" s="95"/>
      <c r="T611" s="81"/>
      <c r="U611" s="95"/>
      <c r="V611" s="95"/>
      <c r="W611" s="95"/>
    </row>
    <row r="612" spans="5:23" ht="10.15" customHeight="1">
      <c r="E612" s="95"/>
      <c r="F612" s="95"/>
      <c r="G612" s="95"/>
      <c r="H612" s="95"/>
      <c r="I612" s="95"/>
      <c r="J612" s="95"/>
      <c r="K612" s="95"/>
      <c r="L612" s="95"/>
      <c r="M612" s="95"/>
      <c r="N612" s="95"/>
      <c r="O612" s="95"/>
      <c r="P612" s="95"/>
      <c r="Q612" s="95"/>
      <c r="R612" s="95"/>
      <c r="T612" s="81"/>
      <c r="U612" s="95"/>
      <c r="V612" s="95"/>
      <c r="W612" s="95"/>
    </row>
    <row r="613" spans="5:23" ht="10.15" customHeight="1">
      <c r="E613" s="95"/>
      <c r="F613" s="95"/>
      <c r="G613" s="95"/>
      <c r="H613" s="95"/>
      <c r="I613" s="95"/>
      <c r="J613" s="95"/>
      <c r="K613" s="95"/>
      <c r="L613" s="95"/>
      <c r="M613" s="95"/>
      <c r="N613" s="95"/>
      <c r="O613" s="95"/>
      <c r="P613" s="95"/>
      <c r="Q613" s="95"/>
      <c r="R613" s="95"/>
      <c r="T613" s="81"/>
      <c r="U613" s="95"/>
      <c r="V613" s="95"/>
      <c r="W613" s="95"/>
    </row>
    <row r="614" spans="5:23" ht="10.15" customHeight="1">
      <c r="E614" s="95"/>
      <c r="F614" s="95"/>
      <c r="G614" s="95"/>
      <c r="H614" s="95"/>
      <c r="I614" s="95"/>
      <c r="J614" s="95"/>
      <c r="K614" s="95"/>
      <c r="L614" s="95"/>
      <c r="M614" s="95"/>
      <c r="N614" s="95"/>
      <c r="O614" s="95"/>
      <c r="P614" s="95"/>
      <c r="Q614" s="95"/>
      <c r="R614" s="95"/>
      <c r="T614" s="81"/>
      <c r="U614" s="95"/>
      <c r="V614" s="95"/>
      <c r="W614" s="95"/>
    </row>
    <row r="615" spans="5:23" ht="10.15" customHeight="1">
      <c r="E615" s="95"/>
      <c r="F615" s="95"/>
      <c r="G615" s="95"/>
      <c r="H615" s="95"/>
      <c r="I615" s="95"/>
      <c r="J615" s="95"/>
      <c r="K615" s="95"/>
      <c r="L615" s="95"/>
      <c r="M615" s="95"/>
      <c r="N615" s="95"/>
      <c r="O615" s="95"/>
      <c r="P615" s="95"/>
      <c r="Q615" s="95"/>
      <c r="R615" s="95"/>
      <c r="T615" s="81"/>
      <c r="U615" s="95"/>
      <c r="V615" s="95"/>
      <c r="W615" s="95"/>
    </row>
    <row r="616" spans="5:23" ht="10.15" customHeight="1">
      <c r="E616" s="95"/>
      <c r="F616" s="95"/>
      <c r="G616" s="95"/>
      <c r="H616" s="95"/>
      <c r="I616" s="95"/>
      <c r="J616" s="95"/>
      <c r="K616" s="95"/>
      <c r="L616" s="95"/>
      <c r="M616" s="95"/>
      <c r="N616" s="95"/>
      <c r="O616" s="95"/>
      <c r="P616" s="95"/>
      <c r="Q616" s="95"/>
      <c r="R616" s="95"/>
      <c r="T616" s="81"/>
      <c r="U616" s="95"/>
      <c r="V616" s="95"/>
      <c r="W616" s="95"/>
    </row>
    <row r="617" spans="5:23" ht="10.15" customHeight="1">
      <c r="E617" s="95"/>
      <c r="F617" s="95"/>
      <c r="G617" s="95"/>
      <c r="H617" s="95"/>
      <c r="I617" s="95"/>
      <c r="J617" s="95"/>
      <c r="K617" s="95"/>
      <c r="L617" s="95"/>
      <c r="M617" s="95"/>
      <c r="N617" s="95"/>
      <c r="O617" s="95"/>
      <c r="P617" s="95"/>
      <c r="Q617" s="95"/>
      <c r="R617" s="95"/>
      <c r="T617" s="81"/>
      <c r="U617" s="95"/>
      <c r="V617" s="95"/>
      <c r="W617" s="95"/>
    </row>
    <row r="618" spans="5:23" ht="10.15" customHeight="1">
      <c r="E618" s="95"/>
      <c r="F618" s="95"/>
      <c r="G618" s="95"/>
      <c r="H618" s="95"/>
      <c r="I618" s="95"/>
      <c r="J618" s="95"/>
      <c r="K618" s="95"/>
      <c r="L618" s="95"/>
      <c r="M618" s="95"/>
      <c r="N618" s="95"/>
      <c r="O618" s="95"/>
      <c r="P618" s="95"/>
      <c r="Q618" s="95"/>
      <c r="R618" s="95"/>
      <c r="T618" s="81"/>
      <c r="U618" s="95"/>
      <c r="V618" s="95"/>
      <c r="W618" s="95"/>
    </row>
    <row r="619" spans="5:23" ht="10.15" customHeight="1">
      <c r="E619" s="95"/>
      <c r="F619" s="95"/>
      <c r="G619" s="95"/>
      <c r="H619" s="95"/>
      <c r="I619" s="95"/>
      <c r="J619" s="95"/>
      <c r="K619" s="95"/>
      <c r="L619" s="95"/>
      <c r="M619" s="95"/>
      <c r="N619" s="95"/>
      <c r="O619" s="95"/>
      <c r="P619" s="95"/>
      <c r="Q619" s="95"/>
      <c r="R619" s="95"/>
      <c r="T619" s="81"/>
      <c r="U619" s="95"/>
      <c r="V619" s="95"/>
      <c r="W619" s="95"/>
    </row>
    <row r="620" spans="5:23" ht="10.15" customHeight="1">
      <c r="E620" s="95"/>
      <c r="F620" s="95"/>
      <c r="G620" s="95"/>
      <c r="H620" s="95"/>
      <c r="I620" s="95"/>
      <c r="J620" s="95"/>
      <c r="K620" s="95"/>
      <c r="L620" s="95"/>
      <c r="M620" s="95"/>
      <c r="N620" s="95"/>
      <c r="O620" s="95"/>
      <c r="P620" s="95"/>
      <c r="Q620" s="95"/>
      <c r="R620" s="95"/>
      <c r="T620" s="81"/>
      <c r="U620" s="95"/>
      <c r="V620" s="95"/>
      <c r="W620" s="95"/>
    </row>
    <row r="621" spans="5:23" ht="10.15" customHeight="1">
      <c r="E621" s="95"/>
      <c r="F621" s="95"/>
      <c r="G621" s="95"/>
      <c r="H621" s="95"/>
      <c r="I621" s="95"/>
      <c r="J621" s="95"/>
      <c r="K621" s="95"/>
      <c r="L621" s="95"/>
      <c r="M621" s="95"/>
      <c r="N621" s="95"/>
      <c r="O621" s="95"/>
      <c r="P621" s="95"/>
      <c r="Q621" s="95"/>
      <c r="R621" s="95"/>
      <c r="T621" s="81"/>
      <c r="U621" s="95"/>
      <c r="V621" s="95"/>
      <c r="W621" s="95"/>
    </row>
    <row r="622" spans="5:23" ht="10.15" customHeight="1">
      <c r="E622" s="95"/>
      <c r="F622" s="95"/>
      <c r="G622" s="95"/>
      <c r="H622" s="95"/>
      <c r="I622" s="95"/>
      <c r="J622" s="95"/>
      <c r="K622" s="95"/>
      <c r="L622" s="95"/>
      <c r="M622" s="95"/>
      <c r="N622" s="95"/>
      <c r="O622" s="95"/>
      <c r="P622" s="95"/>
      <c r="Q622" s="95"/>
      <c r="R622" s="95"/>
      <c r="T622" s="81"/>
      <c r="U622" s="95"/>
      <c r="V622" s="95"/>
      <c r="W622" s="95"/>
    </row>
    <row r="623" spans="5:23" ht="10.15" customHeight="1">
      <c r="E623" s="95"/>
      <c r="F623" s="95"/>
      <c r="G623" s="95"/>
      <c r="H623" s="95"/>
      <c r="I623" s="95"/>
      <c r="J623" s="95"/>
      <c r="K623" s="95"/>
      <c r="L623" s="95"/>
      <c r="M623" s="95"/>
      <c r="N623" s="95"/>
      <c r="O623" s="95"/>
      <c r="P623" s="95"/>
      <c r="Q623" s="95"/>
      <c r="R623" s="95"/>
      <c r="T623" s="81"/>
      <c r="U623" s="95"/>
      <c r="V623" s="95"/>
      <c r="W623" s="95"/>
    </row>
    <row r="624" spans="5:23" ht="10.15" customHeight="1">
      <c r="E624" s="95"/>
      <c r="F624" s="95"/>
      <c r="G624" s="95"/>
      <c r="H624" s="95"/>
      <c r="I624" s="95"/>
      <c r="J624" s="95"/>
      <c r="K624" s="95"/>
      <c r="L624" s="95"/>
      <c r="M624" s="95"/>
      <c r="N624" s="95"/>
      <c r="O624" s="95"/>
      <c r="P624" s="95"/>
      <c r="Q624" s="95"/>
      <c r="R624" s="95"/>
      <c r="T624" s="81"/>
      <c r="U624" s="95"/>
      <c r="V624" s="95"/>
      <c r="W624" s="95"/>
    </row>
    <row r="625" spans="5:23" ht="10.15" customHeight="1">
      <c r="E625" s="95"/>
      <c r="F625" s="95"/>
      <c r="G625" s="95"/>
      <c r="H625" s="95"/>
      <c r="I625" s="95"/>
      <c r="J625" s="95"/>
      <c r="K625" s="95"/>
      <c r="L625" s="95"/>
      <c r="M625" s="95"/>
      <c r="N625" s="95"/>
      <c r="O625" s="95"/>
      <c r="P625" s="95"/>
      <c r="Q625" s="95"/>
      <c r="R625" s="95"/>
      <c r="T625" s="81"/>
      <c r="U625" s="95"/>
      <c r="V625" s="95"/>
      <c r="W625" s="95"/>
    </row>
    <row r="626" spans="5:23" ht="10.15" customHeight="1">
      <c r="E626" s="95"/>
      <c r="F626" s="95"/>
      <c r="G626" s="95"/>
      <c r="H626" s="95"/>
      <c r="I626" s="95"/>
      <c r="J626" s="95"/>
      <c r="K626" s="95"/>
      <c r="L626" s="95"/>
      <c r="M626" s="95"/>
      <c r="N626" s="95"/>
      <c r="O626" s="95"/>
      <c r="P626" s="95"/>
      <c r="Q626" s="95"/>
      <c r="R626" s="95"/>
      <c r="T626" s="81"/>
      <c r="U626" s="95"/>
      <c r="V626" s="95"/>
      <c r="W626" s="95"/>
    </row>
    <row r="627" spans="5:23" ht="10.15" customHeight="1">
      <c r="E627" s="95"/>
      <c r="F627" s="95"/>
      <c r="G627" s="95"/>
      <c r="H627" s="95"/>
      <c r="I627" s="95"/>
      <c r="J627" s="95"/>
      <c r="K627" s="95"/>
      <c r="L627" s="95"/>
      <c r="M627" s="95"/>
      <c r="N627" s="95"/>
      <c r="O627" s="95"/>
      <c r="P627" s="95"/>
      <c r="Q627" s="95"/>
      <c r="R627" s="95"/>
      <c r="T627" s="81"/>
      <c r="U627" s="95"/>
      <c r="V627" s="95"/>
      <c r="W627" s="95"/>
    </row>
    <row r="628" spans="5:23" ht="10.15" customHeight="1">
      <c r="E628" s="95"/>
      <c r="F628" s="95"/>
      <c r="G628" s="95"/>
      <c r="H628" s="95"/>
      <c r="I628" s="95"/>
      <c r="J628" s="95"/>
      <c r="K628" s="95"/>
      <c r="L628" s="95"/>
      <c r="M628" s="95"/>
      <c r="N628" s="95"/>
      <c r="O628" s="95"/>
      <c r="P628" s="95"/>
      <c r="Q628" s="95"/>
      <c r="R628" s="95"/>
      <c r="T628" s="81"/>
      <c r="U628" s="95"/>
      <c r="V628" s="95"/>
      <c r="W628" s="95"/>
    </row>
    <row r="629" spans="5:23" ht="10.15" customHeight="1">
      <c r="E629" s="95"/>
      <c r="F629" s="95"/>
      <c r="G629" s="95"/>
      <c r="H629" s="95"/>
      <c r="I629" s="95"/>
      <c r="J629" s="95"/>
      <c r="K629" s="95"/>
      <c r="L629" s="95"/>
      <c r="M629" s="95"/>
      <c r="N629" s="95"/>
      <c r="O629" s="95"/>
      <c r="P629" s="95"/>
      <c r="Q629" s="95"/>
      <c r="R629" s="95"/>
      <c r="T629" s="81"/>
      <c r="U629" s="95"/>
      <c r="V629" s="95"/>
      <c r="W629" s="95"/>
    </row>
    <row r="630" spans="5:23" ht="10.15" customHeight="1">
      <c r="E630" s="95"/>
      <c r="F630" s="95"/>
      <c r="G630" s="95"/>
      <c r="H630" s="95"/>
      <c r="I630" s="95"/>
      <c r="J630" s="95"/>
      <c r="K630" s="95"/>
      <c r="L630" s="95"/>
      <c r="M630" s="95"/>
      <c r="N630" s="95"/>
      <c r="O630" s="95"/>
      <c r="P630" s="95"/>
      <c r="Q630" s="95"/>
      <c r="R630" s="95"/>
      <c r="T630" s="81"/>
      <c r="U630" s="95"/>
      <c r="V630" s="95"/>
      <c r="W630" s="95"/>
    </row>
    <row r="631" spans="5:23" ht="10.15" customHeight="1">
      <c r="E631" s="95"/>
      <c r="F631" s="95"/>
      <c r="G631" s="95"/>
      <c r="H631" s="95"/>
      <c r="I631" s="95"/>
      <c r="J631" s="95"/>
      <c r="K631" s="95"/>
      <c r="L631" s="95"/>
      <c r="M631" s="95"/>
      <c r="N631" s="95"/>
      <c r="O631" s="95"/>
      <c r="P631" s="95"/>
      <c r="Q631" s="95"/>
      <c r="R631" s="95"/>
      <c r="T631" s="81"/>
      <c r="U631" s="95"/>
      <c r="V631" s="95"/>
      <c r="W631" s="95"/>
    </row>
    <row r="632" spans="5:23" ht="10.15" customHeight="1">
      <c r="E632" s="95"/>
      <c r="F632" s="95"/>
      <c r="G632" s="95"/>
      <c r="H632" s="95"/>
      <c r="I632" s="95"/>
      <c r="J632" s="95"/>
      <c r="K632" s="95"/>
      <c r="L632" s="95"/>
      <c r="M632" s="95"/>
      <c r="N632" s="95"/>
      <c r="O632" s="95"/>
      <c r="P632" s="95"/>
      <c r="Q632" s="95"/>
      <c r="R632" s="95"/>
      <c r="T632" s="81"/>
      <c r="U632" s="95"/>
      <c r="V632" s="95"/>
      <c r="W632" s="95"/>
    </row>
    <row r="633" spans="5:23" ht="10.15" customHeight="1">
      <c r="E633" s="95"/>
      <c r="F633" s="95"/>
      <c r="G633" s="95"/>
      <c r="H633" s="95"/>
      <c r="I633" s="95"/>
      <c r="J633" s="95"/>
      <c r="K633" s="95"/>
      <c r="L633" s="95"/>
      <c r="M633" s="95"/>
      <c r="N633" s="95"/>
      <c r="O633" s="95"/>
      <c r="P633" s="95"/>
      <c r="Q633" s="95"/>
      <c r="R633" s="95"/>
      <c r="T633" s="81"/>
      <c r="U633" s="95"/>
      <c r="V633" s="95"/>
      <c r="W633" s="95"/>
    </row>
    <row r="634" spans="5:23" ht="10.15" customHeight="1">
      <c r="E634" s="95"/>
      <c r="F634" s="95"/>
      <c r="G634" s="95"/>
      <c r="H634" s="95"/>
      <c r="I634" s="95"/>
      <c r="J634" s="95"/>
      <c r="K634" s="95"/>
      <c r="L634" s="95"/>
      <c r="M634" s="95"/>
      <c r="N634" s="95"/>
      <c r="O634" s="95"/>
      <c r="P634" s="95"/>
      <c r="Q634" s="95"/>
      <c r="R634" s="95"/>
      <c r="T634" s="81"/>
      <c r="U634" s="95"/>
      <c r="V634" s="95"/>
      <c r="W634" s="95"/>
    </row>
    <row r="635" spans="5:23" ht="10.15" customHeight="1">
      <c r="E635" s="95"/>
      <c r="F635" s="95"/>
      <c r="G635" s="95"/>
      <c r="H635" s="95"/>
      <c r="I635" s="95"/>
      <c r="J635" s="95"/>
      <c r="K635" s="95"/>
      <c r="L635" s="95"/>
      <c r="M635" s="95"/>
      <c r="N635" s="95"/>
      <c r="O635" s="95"/>
      <c r="P635" s="95"/>
      <c r="Q635" s="95"/>
      <c r="R635" s="95"/>
      <c r="T635" s="81"/>
      <c r="U635" s="95"/>
      <c r="V635" s="95"/>
      <c r="W635" s="95"/>
    </row>
    <row r="636" spans="5:23" ht="10.15" customHeight="1">
      <c r="E636" s="95"/>
      <c r="F636" s="95"/>
      <c r="G636" s="95"/>
      <c r="H636" s="95"/>
      <c r="I636" s="95"/>
      <c r="J636" s="95"/>
      <c r="K636" s="95"/>
      <c r="L636" s="95"/>
      <c r="M636" s="95"/>
      <c r="N636" s="95"/>
      <c r="O636" s="95"/>
      <c r="P636" s="95"/>
      <c r="Q636" s="95"/>
      <c r="R636" s="95"/>
      <c r="T636" s="81"/>
      <c r="U636" s="95"/>
      <c r="V636" s="95"/>
      <c r="W636" s="95"/>
    </row>
    <row r="637" spans="5:23" ht="10.15" customHeight="1">
      <c r="E637" s="95"/>
      <c r="F637" s="95"/>
      <c r="G637" s="95"/>
      <c r="H637" s="95"/>
      <c r="I637" s="95"/>
      <c r="J637" s="95"/>
      <c r="K637" s="95"/>
      <c r="L637" s="95"/>
      <c r="M637" s="95"/>
      <c r="N637" s="95"/>
      <c r="O637" s="95"/>
      <c r="P637" s="95"/>
      <c r="Q637" s="95"/>
      <c r="R637" s="95"/>
      <c r="T637" s="81"/>
      <c r="U637" s="95"/>
      <c r="V637" s="95"/>
      <c r="W637" s="95"/>
    </row>
    <row r="638" spans="5:23" ht="10.15" customHeight="1">
      <c r="E638" s="95"/>
      <c r="F638" s="95"/>
      <c r="G638" s="95"/>
      <c r="H638" s="95"/>
      <c r="I638" s="95"/>
      <c r="J638" s="95"/>
      <c r="K638" s="95"/>
      <c r="L638" s="95"/>
      <c r="M638" s="95"/>
      <c r="N638" s="95"/>
      <c r="O638" s="95"/>
      <c r="P638" s="95"/>
      <c r="Q638" s="95"/>
      <c r="R638" s="95"/>
      <c r="T638" s="81"/>
      <c r="U638" s="95"/>
      <c r="V638" s="95"/>
      <c r="W638" s="95"/>
    </row>
    <row r="639" spans="5:23" ht="10.15" customHeight="1">
      <c r="E639" s="95"/>
      <c r="F639" s="95"/>
      <c r="G639" s="95"/>
      <c r="H639" s="95"/>
      <c r="I639" s="95"/>
      <c r="J639" s="95"/>
      <c r="K639" s="95"/>
      <c r="L639" s="95"/>
      <c r="M639" s="95"/>
      <c r="N639" s="95"/>
      <c r="O639" s="95"/>
      <c r="P639" s="95"/>
      <c r="Q639" s="95"/>
      <c r="R639" s="95"/>
      <c r="T639" s="81"/>
      <c r="U639" s="95"/>
      <c r="V639" s="95"/>
      <c r="W639" s="95"/>
    </row>
    <row r="640" spans="5:23" ht="10.15" customHeight="1">
      <c r="E640" s="95"/>
      <c r="F640" s="95"/>
      <c r="G640" s="95"/>
      <c r="H640" s="95"/>
      <c r="I640" s="95"/>
      <c r="J640" s="95"/>
      <c r="K640" s="95"/>
      <c r="L640" s="95"/>
      <c r="M640" s="95"/>
      <c r="N640" s="95"/>
      <c r="O640" s="95"/>
      <c r="P640" s="95"/>
      <c r="Q640" s="95"/>
      <c r="R640" s="95"/>
      <c r="T640" s="81"/>
      <c r="U640" s="95"/>
      <c r="V640" s="95"/>
      <c r="W640" s="95"/>
    </row>
    <row r="641" spans="5:23" ht="10.15" customHeight="1">
      <c r="E641" s="95"/>
      <c r="F641" s="95"/>
      <c r="G641" s="95"/>
      <c r="H641" s="95"/>
      <c r="I641" s="95"/>
      <c r="J641" s="95"/>
      <c r="K641" s="95"/>
      <c r="L641" s="95"/>
      <c r="M641" s="95"/>
      <c r="N641" s="95"/>
      <c r="O641" s="95"/>
      <c r="P641" s="95"/>
      <c r="Q641" s="95"/>
      <c r="R641" s="95"/>
      <c r="T641" s="81"/>
      <c r="U641" s="95"/>
      <c r="V641" s="95"/>
      <c r="W641" s="95"/>
    </row>
    <row r="642" spans="5:23" ht="10.15" customHeight="1">
      <c r="E642" s="95"/>
      <c r="F642" s="95"/>
      <c r="G642" s="95"/>
      <c r="H642" s="95"/>
      <c r="I642" s="95"/>
      <c r="J642" s="95"/>
      <c r="K642" s="95"/>
      <c r="L642" s="95"/>
      <c r="M642" s="95"/>
      <c r="N642" s="95"/>
      <c r="O642" s="95"/>
      <c r="P642" s="95"/>
      <c r="Q642" s="95"/>
      <c r="R642" s="95"/>
      <c r="T642" s="81"/>
      <c r="U642" s="95"/>
      <c r="V642" s="95"/>
      <c r="W642" s="95"/>
    </row>
    <row r="643" spans="5:23" ht="10.15" customHeight="1">
      <c r="E643" s="95"/>
      <c r="F643" s="95"/>
      <c r="G643" s="95"/>
      <c r="H643" s="95"/>
      <c r="I643" s="95"/>
      <c r="J643" s="95"/>
      <c r="K643" s="95"/>
      <c r="L643" s="95"/>
      <c r="M643" s="95"/>
      <c r="N643" s="95"/>
      <c r="O643" s="95"/>
      <c r="P643" s="95"/>
      <c r="Q643" s="95"/>
      <c r="R643" s="95"/>
      <c r="T643" s="81"/>
      <c r="U643" s="95"/>
      <c r="V643" s="95"/>
      <c r="W643" s="95"/>
    </row>
    <row r="644" spans="5:23" ht="10.15" customHeight="1">
      <c r="E644" s="95"/>
      <c r="F644" s="95"/>
      <c r="G644" s="95"/>
      <c r="H644" s="95"/>
      <c r="I644" s="95"/>
      <c r="J644" s="95"/>
      <c r="K644" s="95"/>
      <c r="L644" s="95"/>
      <c r="M644" s="95"/>
      <c r="N644" s="95"/>
      <c r="O644" s="95"/>
      <c r="P644" s="95"/>
      <c r="Q644" s="95"/>
      <c r="R644" s="95"/>
      <c r="T644" s="81"/>
      <c r="U644" s="95"/>
      <c r="V644" s="95"/>
      <c r="W644" s="95"/>
    </row>
    <row r="645" spans="5:23" ht="10.15" customHeight="1">
      <c r="E645" s="95"/>
      <c r="F645" s="95"/>
      <c r="G645" s="95"/>
      <c r="H645" s="95"/>
      <c r="I645" s="95"/>
      <c r="J645" s="95"/>
      <c r="K645" s="95"/>
      <c r="L645" s="95"/>
      <c r="M645" s="95"/>
      <c r="N645" s="95"/>
      <c r="O645" s="95"/>
      <c r="P645" s="95"/>
      <c r="Q645" s="95"/>
      <c r="R645" s="95"/>
      <c r="T645" s="81"/>
      <c r="U645" s="95"/>
      <c r="V645" s="95"/>
      <c r="W645" s="95"/>
    </row>
    <row r="646" spans="5:23" ht="10.15" customHeight="1">
      <c r="E646" s="95"/>
      <c r="F646" s="95"/>
      <c r="G646" s="95"/>
      <c r="H646" s="95"/>
      <c r="I646" s="95"/>
      <c r="J646" s="95"/>
      <c r="K646" s="95"/>
      <c r="L646" s="95"/>
      <c r="M646" s="95"/>
      <c r="N646" s="95"/>
      <c r="O646" s="95"/>
      <c r="P646" s="95"/>
      <c r="Q646" s="95"/>
      <c r="R646" s="95"/>
      <c r="T646" s="81"/>
      <c r="U646" s="95"/>
      <c r="V646" s="95"/>
      <c r="W646" s="95"/>
    </row>
    <row r="647" spans="5:23" ht="10.15" customHeight="1">
      <c r="E647" s="95"/>
      <c r="F647" s="95"/>
      <c r="G647" s="95"/>
      <c r="H647" s="95"/>
      <c r="I647" s="95"/>
      <c r="J647" s="95"/>
      <c r="K647" s="95"/>
      <c r="L647" s="95"/>
      <c r="M647" s="95"/>
      <c r="N647" s="95"/>
      <c r="O647" s="95"/>
      <c r="P647" s="95"/>
      <c r="Q647" s="95"/>
      <c r="R647" s="95"/>
      <c r="T647" s="81"/>
      <c r="U647" s="95"/>
      <c r="V647" s="95"/>
      <c r="W647" s="95"/>
    </row>
    <row r="648" spans="5:23" ht="10.15" customHeight="1">
      <c r="E648" s="95"/>
      <c r="F648" s="95"/>
      <c r="G648" s="95"/>
      <c r="H648" s="95"/>
      <c r="I648" s="95"/>
      <c r="J648" s="95"/>
      <c r="K648" s="95"/>
      <c r="L648" s="95"/>
      <c r="M648" s="95"/>
      <c r="N648" s="95"/>
      <c r="O648" s="95"/>
      <c r="P648" s="95"/>
      <c r="Q648" s="95"/>
      <c r="R648" s="95"/>
      <c r="T648" s="81"/>
      <c r="U648" s="95"/>
      <c r="V648" s="95"/>
      <c r="W648" s="95"/>
    </row>
    <row r="649" spans="5:23" ht="10.15" customHeight="1">
      <c r="E649" s="95"/>
      <c r="F649" s="95"/>
      <c r="G649" s="95"/>
      <c r="H649" s="95"/>
      <c r="I649" s="95"/>
      <c r="J649" s="95"/>
      <c r="K649" s="95"/>
      <c r="L649" s="95"/>
      <c r="M649" s="95"/>
      <c r="N649" s="95"/>
      <c r="O649" s="95"/>
      <c r="P649" s="95"/>
      <c r="Q649" s="95"/>
      <c r="R649" s="95"/>
      <c r="T649" s="81"/>
      <c r="U649" s="95"/>
      <c r="V649" s="95"/>
      <c r="W649" s="95"/>
    </row>
    <row r="650" spans="5:23" ht="10.15" customHeight="1">
      <c r="E650" s="95"/>
      <c r="F650" s="95"/>
      <c r="G650" s="95"/>
      <c r="H650" s="95"/>
      <c r="I650" s="95"/>
      <c r="J650" s="95"/>
      <c r="K650" s="95"/>
      <c r="L650" s="95"/>
      <c r="M650" s="95"/>
      <c r="N650" s="95"/>
      <c r="O650" s="95"/>
      <c r="P650" s="95"/>
      <c r="Q650" s="95"/>
      <c r="R650" s="95"/>
      <c r="T650" s="81"/>
      <c r="U650" s="95"/>
      <c r="V650" s="95"/>
      <c r="W650" s="95"/>
    </row>
    <row r="651" spans="5:23" ht="10.15" customHeight="1">
      <c r="E651" s="95"/>
      <c r="F651" s="95"/>
      <c r="G651" s="95"/>
      <c r="H651" s="95"/>
      <c r="I651" s="95"/>
      <c r="J651" s="95"/>
      <c r="K651" s="95"/>
      <c r="L651" s="95"/>
      <c r="M651" s="95"/>
      <c r="N651" s="95"/>
      <c r="O651" s="95"/>
      <c r="P651" s="95"/>
      <c r="Q651" s="95"/>
      <c r="R651" s="95"/>
      <c r="T651" s="81"/>
      <c r="U651" s="95"/>
      <c r="V651" s="95"/>
      <c r="W651" s="95"/>
    </row>
    <row r="652" spans="5:23" ht="10.15" customHeight="1">
      <c r="E652" s="95"/>
      <c r="F652" s="95"/>
      <c r="G652" s="95"/>
      <c r="H652" s="95"/>
      <c r="I652" s="95"/>
      <c r="J652" s="95"/>
      <c r="K652" s="95"/>
      <c r="L652" s="95"/>
      <c r="M652" s="95"/>
      <c r="N652" s="95"/>
      <c r="O652" s="95"/>
      <c r="P652" s="95"/>
      <c r="Q652" s="95"/>
      <c r="R652" s="95"/>
      <c r="T652" s="81"/>
      <c r="U652" s="95"/>
      <c r="V652" s="95"/>
      <c r="W652" s="95"/>
    </row>
    <row r="653" spans="5:23" ht="10.15" customHeight="1">
      <c r="E653" s="95"/>
      <c r="F653" s="95"/>
      <c r="G653" s="95"/>
      <c r="H653" s="95"/>
      <c r="I653" s="95"/>
      <c r="J653" s="95"/>
      <c r="K653" s="95"/>
      <c r="L653" s="95"/>
      <c r="M653" s="95"/>
      <c r="N653" s="95"/>
      <c r="O653" s="95"/>
      <c r="P653" s="95"/>
      <c r="Q653" s="95"/>
      <c r="R653" s="95"/>
      <c r="T653" s="81"/>
      <c r="U653" s="95"/>
      <c r="V653" s="95"/>
      <c r="W653" s="95"/>
    </row>
    <row r="654" spans="5:23" ht="10.15" customHeight="1">
      <c r="E654" s="95"/>
      <c r="F654" s="95"/>
      <c r="G654" s="95"/>
      <c r="H654" s="95"/>
      <c r="I654" s="95"/>
      <c r="J654" s="95"/>
      <c r="K654" s="95"/>
      <c r="L654" s="95"/>
      <c r="M654" s="95"/>
      <c r="N654" s="95"/>
      <c r="O654" s="95"/>
      <c r="P654" s="95"/>
      <c r="Q654" s="95"/>
      <c r="R654" s="95"/>
      <c r="T654" s="81"/>
      <c r="U654" s="95"/>
      <c r="V654" s="95"/>
      <c r="W654" s="95"/>
    </row>
    <row r="655" spans="5:23" ht="10.15" customHeight="1">
      <c r="E655" s="95"/>
      <c r="F655" s="95"/>
      <c r="G655" s="95"/>
      <c r="H655" s="95"/>
      <c r="I655" s="95"/>
      <c r="J655" s="95"/>
      <c r="K655" s="95"/>
      <c r="L655" s="95"/>
      <c r="M655" s="95"/>
      <c r="N655" s="95"/>
      <c r="O655" s="95"/>
      <c r="P655" s="95"/>
      <c r="Q655" s="95"/>
      <c r="R655" s="95"/>
      <c r="T655" s="81"/>
      <c r="U655" s="95"/>
      <c r="V655" s="95"/>
      <c r="W655" s="95"/>
    </row>
    <row r="656" spans="5:23" ht="10.15" customHeight="1">
      <c r="E656" s="95"/>
      <c r="F656" s="95"/>
      <c r="G656" s="95"/>
      <c r="H656" s="95"/>
      <c r="I656" s="95"/>
      <c r="J656" s="95"/>
      <c r="K656" s="95"/>
      <c r="L656" s="95"/>
      <c r="M656" s="95"/>
      <c r="N656" s="95"/>
      <c r="O656" s="95"/>
      <c r="P656" s="95"/>
      <c r="Q656" s="95"/>
      <c r="R656" s="95"/>
      <c r="T656" s="81"/>
      <c r="U656" s="95"/>
      <c r="V656" s="95"/>
      <c r="W656" s="95"/>
    </row>
    <row r="657" spans="5:23" ht="10.15" customHeight="1">
      <c r="E657" s="95"/>
      <c r="F657" s="95"/>
      <c r="G657" s="95"/>
      <c r="H657" s="95"/>
      <c r="I657" s="95"/>
      <c r="J657" s="95"/>
      <c r="K657" s="95"/>
      <c r="L657" s="95"/>
      <c r="M657" s="95"/>
      <c r="N657" s="95"/>
      <c r="O657" s="95"/>
      <c r="P657" s="95"/>
      <c r="Q657" s="95"/>
      <c r="R657" s="95"/>
      <c r="T657" s="81"/>
      <c r="U657" s="95"/>
      <c r="V657" s="95"/>
      <c r="W657" s="95"/>
    </row>
    <row r="658" spans="5:23" ht="10.15" customHeight="1">
      <c r="E658" s="95"/>
      <c r="F658" s="95"/>
      <c r="G658" s="95"/>
      <c r="H658" s="95"/>
      <c r="I658" s="95"/>
      <c r="J658" s="95"/>
      <c r="K658" s="95"/>
      <c r="L658" s="95"/>
      <c r="M658" s="95"/>
      <c r="N658" s="95"/>
      <c r="O658" s="95"/>
      <c r="P658" s="95"/>
      <c r="Q658" s="95"/>
      <c r="R658" s="95"/>
      <c r="T658" s="81"/>
      <c r="U658" s="95"/>
      <c r="V658" s="95"/>
      <c r="W658" s="95"/>
    </row>
    <row r="659" spans="5:23" ht="10.15" customHeight="1">
      <c r="E659" s="95"/>
      <c r="F659" s="95"/>
      <c r="G659" s="95"/>
      <c r="H659" s="95"/>
      <c r="I659" s="95"/>
      <c r="J659" s="95"/>
      <c r="K659" s="95"/>
      <c r="L659" s="95"/>
      <c r="M659" s="95"/>
      <c r="N659" s="95"/>
      <c r="O659" s="95"/>
      <c r="P659" s="95"/>
      <c r="Q659" s="95"/>
      <c r="R659" s="95"/>
      <c r="T659" s="81"/>
      <c r="U659" s="95"/>
      <c r="V659" s="95"/>
      <c r="W659" s="95"/>
    </row>
    <row r="660" spans="5:23" ht="10.15" customHeight="1">
      <c r="E660" s="95"/>
      <c r="F660" s="95"/>
      <c r="G660" s="95"/>
      <c r="H660" s="95"/>
      <c r="I660" s="95"/>
      <c r="J660" s="95"/>
      <c r="K660" s="95"/>
      <c r="L660" s="95"/>
      <c r="M660" s="95"/>
      <c r="N660" s="95"/>
      <c r="O660" s="95"/>
      <c r="P660" s="95"/>
      <c r="Q660" s="95"/>
      <c r="R660" s="95"/>
      <c r="T660" s="81"/>
      <c r="U660" s="95"/>
      <c r="V660" s="95"/>
      <c r="W660" s="95"/>
    </row>
    <row r="661" spans="5:23" ht="10.15" customHeight="1">
      <c r="E661" s="95"/>
      <c r="F661" s="95"/>
      <c r="G661" s="95"/>
      <c r="H661" s="95"/>
      <c r="I661" s="95"/>
      <c r="J661" s="95"/>
      <c r="K661" s="95"/>
      <c r="L661" s="95"/>
      <c r="M661" s="95"/>
      <c r="N661" s="95"/>
      <c r="O661" s="95"/>
      <c r="P661" s="95"/>
      <c r="Q661" s="95"/>
      <c r="R661" s="95"/>
      <c r="T661" s="81"/>
      <c r="U661" s="95"/>
      <c r="V661" s="95"/>
      <c r="W661" s="95"/>
    </row>
    <row r="662" spans="5:23" ht="10.15" customHeight="1">
      <c r="E662" s="95"/>
      <c r="F662" s="95"/>
      <c r="G662" s="95"/>
      <c r="H662" s="95"/>
      <c r="I662" s="95"/>
      <c r="J662" s="95"/>
      <c r="K662" s="95"/>
      <c r="L662" s="95"/>
      <c r="M662" s="95"/>
      <c r="N662" s="95"/>
      <c r="O662" s="95"/>
      <c r="P662" s="95"/>
      <c r="Q662" s="95"/>
      <c r="R662" s="95"/>
      <c r="T662" s="81"/>
      <c r="U662" s="95"/>
      <c r="V662" s="95"/>
      <c r="W662" s="95"/>
    </row>
    <row r="663" spans="5:23" ht="10.15" customHeight="1">
      <c r="E663" s="95"/>
      <c r="F663" s="95"/>
      <c r="G663" s="95"/>
      <c r="H663" s="95"/>
      <c r="I663" s="95"/>
      <c r="J663" s="95"/>
      <c r="K663" s="95"/>
      <c r="L663" s="95"/>
      <c r="M663" s="95"/>
      <c r="N663" s="95"/>
      <c r="O663" s="95"/>
      <c r="P663" s="95"/>
      <c r="Q663" s="95"/>
      <c r="R663" s="95"/>
      <c r="T663" s="81"/>
      <c r="U663" s="95"/>
      <c r="V663" s="95"/>
      <c r="W663" s="95"/>
    </row>
    <row r="664" spans="5:23" ht="10.15" customHeight="1">
      <c r="E664" s="95"/>
      <c r="F664" s="95"/>
      <c r="G664" s="95"/>
      <c r="H664" s="95"/>
      <c r="I664" s="95"/>
      <c r="J664" s="95"/>
      <c r="K664" s="95"/>
      <c r="L664" s="95"/>
      <c r="M664" s="95"/>
      <c r="N664" s="95"/>
      <c r="O664" s="95"/>
      <c r="P664" s="95"/>
      <c r="Q664" s="95"/>
      <c r="R664" s="95"/>
      <c r="T664" s="81"/>
      <c r="U664" s="95"/>
      <c r="V664" s="95"/>
      <c r="W664" s="95"/>
    </row>
    <row r="665" spans="5:23" ht="10.15" customHeight="1">
      <c r="E665" s="95"/>
      <c r="F665" s="95"/>
      <c r="G665" s="95"/>
      <c r="H665" s="95"/>
      <c r="I665" s="95"/>
      <c r="J665" s="95"/>
      <c r="K665" s="95"/>
      <c r="L665" s="95"/>
      <c r="M665" s="95"/>
      <c r="N665" s="95"/>
      <c r="O665" s="95"/>
      <c r="P665" s="95"/>
      <c r="Q665" s="95"/>
      <c r="R665" s="95"/>
      <c r="T665" s="81"/>
      <c r="U665" s="95"/>
      <c r="V665" s="95"/>
      <c r="W665" s="95"/>
    </row>
    <row r="666" spans="5:23" ht="10.15" customHeight="1">
      <c r="E666" s="95"/>
      <c r="F666" s="95"/>
      <c r="G666" s="95"/>
      <c r="H666" s="95"/>
      <c r="I666" s="95"/>
      <c r="J666" s="95"/>
      <c r="K666" s="95"/>
      <c r="L666" s="95"/>
      <c r="M666" s="95"/>
      <c r="N666" s="95"/>
      <c r="O666" s="95"/>
      <c r="P666" s="95"/>
      <c r="Q666" s="95"/>
      <c r="R666" s="95"/>
      <c r="T666" s="81"/>
      <c r="U666" s="95"/>
      <c r="V666" s="95"/>
      <c r="W666" s="95"/>
    </row>
    <row r="667" spans="5:23" ht="10.15" customHeight="1">
      <c r="E667" s="95"/>
      <c r="F667" s="95"/>
      <c r="G667" s="95"/>
      <c r="H667" s="95"/>
      <c r="I667" s="95"/>
      <c r="J667" s="95"/>
      <c r="K667" s="95"/>
      <c r="L667" s="95"/>
      <c r="M667" s="95"/>
      <c r="N667" s="95"/>
      <c r="O667" s="95"/>
      <c r="P667" s="95"/>
      <c r="Q667" s="95"/>
      <c r="R667" s="95"/>
      <c r="T667" s="81"/>
      <c r="U667" s="95"/>
      <c r="V667" s="95"/>
      <c r="W667" s="95"/>
    </row>
    <row r="668" spans="5:23" ht="10.15" customHeight="1">
      <c r="E668" s="95"/>
      <c r="F668" s="95"/>
      <c r="G668" s="95"/>
      <c r="H668" s="95"/>
      <c r="I668" s="95"/>
      <c r="J668" s="95"/>
      <c r="K668" s="95"/>
      <c r="L668" s="95"/>
      <c r="M668" s="95"/>
      <c r="N668" s="95"/>
      <c r="O668" s="95"/>
      <c r="P668" s="95"/>
      <c r="Q668" s="95"/>
      <c r="R668" s="95"/>
      <c r="T668" s="81"/>
      <c r="U668" s="95"/>
      <c r="V668" s="95"/>
      <c r="W668" s="95"/>
    </row>
    <row r="669" spans="5:23" ht="10.15" customHeight="1">
      <c r="E669" s="95"/>
      <c r="F669" s="95"/>
      <c r="G669" s="95"/>
      <c r="H669" s="95"/>
      <c r="I669" s="95"/>
      <c r="J669" s="95"/>
      <c r="K669" s="95"/>
      <c r="L669" s="95"/>
      <c r="M669" s="95"/>
      <c r="N669" s="95"/>
      <c r="O669" s="95"/>
      <c r="P669" s="95"/>
      <c r="Q669" s="95"/>
      <c r="R669" s="95"/>
      <c r="T669" s="81"/>
      <c r="U669" s="95"/>
      <c r="V669" s="95"/>
      <c r="W669" s="95"/>
    </row>
    <row r="670" spans="5:23" ht="10.15" customHeight="1">
      <c r="E670" s="95"/>
      <c r="F670" s="95"/>
      <c r="G670" s="95"/>
      <c r="H670" s="95"/>
      <c r="I670" s="95"/>
      <c r="J670" s="95"/>
      <c r="K670" s="95"/>
      <c r="L670" s="95"/>
      <c r="M670" s="95"/>
      <c r="N670" s="95"/>
      <c r="O670" s="95"/>
      <c r="P670" s="95"/>
      <c r="Q670" s="95"/>
      <c r="R670" s="95"/>
      <c r="T670" s="81"/>
      <c r="U670" s="95"/>
      <c r="V670" s="95"/>
      <c r="W670" s="95"/>
    </row>
    <row r="671" spans="5:23" ht="10.15" customHeight="1">
      <c r="E671" s="95"/>
      <c r="F671" s="95"/>
      <c r="G671" s="95"/>
      <c r="H671" s="95"/>
      <c r="I671" s="95"/>
      <c r="J671" s="95"/>
      <c r="K671" s="95"/>
      <c r="L671" s="95"/>
      <c r="M671" s="95"/>
      <c r="N671" s="95"/>
      <c r="O671" s="95"/>
      <c r="P671" s="95"/>
      <c r="Q671" s="95"/>
      <c r="R671" s="95"/>
      <c r="T671" s="81"/>
      <c r="U671" s="95"/>
      <c r="V671" s="95"/>
      <c r="W671" s="95"/>
    </row>
    <row r="672" spans="5:23" ht="10.15" customHeight="1">
      <c r="E672" s="95"/>
      <c r="F672" s="95"/>
      <c r="G672" s="95"/>
      <c r="H672" s="95"/>
      <c r="I672" s="95"/>
      <c r="J672" s="95"/>
      <c r="K672" s="95"/>
      <c r="L672" s="95"/>
      <c r="M672" s="95"/>
      <c r="N672" s="95"/>
      <c r="O672" s="95"/>
      <c r="P672" s="95"/>
      <c r="Q672" s="95"/>
      <c r="R672" s="95"/>
      <c r="T672" s="81"/>
      <c r="U672" s="95"/>
      <c r="V672" s="95"/>
      <c r="W672" s="95"/>
    </row>
    <row r="673" spans="5:23" ht="10.15" customHeight="1">
      <c r="E673" s="95"/>
      <c r="F673" s="95"/>
      <c r="G673" s="95"/>
      <c r="H673" s="95"/>
      <c r="I673" s="95"/>
      <c r="J673" s="95"/>
      <c r="K673" s="95"/>
      <c r="L673" s="95"/>
      <c r="M673" s="95"/>
      <c r="N673" s="95"/>
      <c r="O673" s="95"/>
      <c r="P673" s="95"/>
      <c r="Q673" s="95"/>
      <c r="R673" s="95"/>
      <c r="T673" s="81"/>
      <c r="U673" s="95"/>
      <c r="V673" s="95"/>
      <c r="W673" s="95"/>
    </row>
    <row r="674" spans="5:23" ht="10.15" customHeight="1">
      <c r="E674" s="95"/>
      <c r="F674" s="95"/>
      <c r="G674" s="95"/>
      <c r="H674" s="95"/>
      <c r="I674" s="95"/>
      <c r="J674" s="95"/>
      <c r="K674" s="95"/>
      <c r="L674" s="95"/>
      <c r="M674" s="95"/>
      <c r="N674" s="95"/>
      <c r="O674" s="95"/>
      <c r="P674" s="95"/>
      <c r="Q674" s="95"/>
      <c r="R674" s="95"/>
      <c r="T674" s="81"/>
      <c r="U674" s="95"/>
      <c r="V674" s="95"/>
      <c r="W674" s="95"/>
    </row>
    <row r="675" spans="5:23" ht="10.15" customHeight="1">
      <c r="E675" s="95"/>
      <c r="F675" s="95"/>
      <c r="G675" s="95"/>
      <c r="H675" s="95"/>
      <c r="I675" s="95"/>
      <c r="J675" s="95"/>
      <c r="K675" s="95"/>
      <c r="L675" s="95"/>
      <c r="M675" s="95"/>
      <c r="N675" s="95"/>
      <c r="O675" s="95"/>
      <c r="P675" s="95"/>
      <c r="Q675" s="95"/>
      <c r="R675" s="95"/>
      <c r="T675" s="81"/>
      <c r="U675" s="95"/>
      <c r="V675" s="95"/>
      <c r="W675" s="95"/>
    </row>
    <row r="676" spans="5:23" ht="10.15" customHeight="1">
      <c r="E676" s="95"/>
      <c r="F676" s="95"/>
      <c r="G676" s="95"/>
      <c r="H676" s="95"/>
      <c r="I676" s="95"/>
      <c r="J676" s="95"/>
      <c r="K676" s="95"/>
      <c r="L676" s="95"/>
      <c r="M676" s="95"/>
      <c r="N676" s="95"/>
      <c r="O676" s="95"/>
      <c r="P676" s="95"/>
      <c r="Q676" s="95"/>
      <c r="R676" s="95"/>
      <c r="T676" s="81"/>
      <c r="U676" s="95"/>
      <c r="V676" s="95"/>
      <c r="W676" s="95"/>
    </row>
    <row r="677" spans="5:23" ht="10.15" customHeight="1">
      <c r="E677" s="95"/>
      <c r="F677" s="95"/>
      <c r="G677" s="95"/>
      <c r="H677" s="95"/>
      <c r="I677" s="95"/>
      <c r="J677" s="95"/>
      <c r="K677" s="95"/>
      <c r="L677" s="95"/>
      <c r="M677" s="95"/>
      <c r="N677" s="95"/>
      <c r="O677" s="95"/>
      <c r="P677" s="95"/>
      <c r="Q677" s="95"/>
      <c r="R677" s="95"/>
      <c r="T677" s="81"/>
      <c r="U677" s="95"/>
      <c r="V677" s="95"/>
      <c r="W677" s="95"/>
    </row>
    <row r="678" spans="5:23" ht="10.15" customHeight="1">
      <c r="E678" s="95"/>
      <c r="F678" s="95"/>
      <c r="G678" s="95"/>
      <c r="H678" s="95"/>
      <c r="I678" s="95"/>
      <c r="J678" s="95"/>
      <c r="K678" s="95"/>
      <c r="L678" s="95"/>
      <c r="M678" s="95"/>
      <c r="N678" s="95"/>
      <c r="O678" s="95"/>
      <c r="P678" s="95"/>
      <c r="Q678" s="95"/>
      <c r="R678" s="95"/>
      <c r="T678" s="81"/>
      <c r="U678" s="95"/>
      <c r="V678" s="95"/>
      <c r="W678" s="95"/>
    </row>
    <row r="679" spans="5:23" ht="10.15" customHeight="1">
      <c r="E679" s="95"/>
      <c r="F679" s="95"/>
      <c r="G679" s="95"/>
      <c r="H679" s="95"/>
      <c r="I679" s="95"/>
      <c r="J679" s="95"/>
      <c r="K679" s="95"/>
      <c r="L679" s="95"/>
      <c r="M679" s="95"/>
      <c r="N679" s="95"/>
      <c r="O679" s="95"/>
      <c r="P679" s="95"/>
      <c r="Q679" s="95"/>
      <c r="R679" s="95"/>
      <c r="T679" s="81"/>
      <c r="U679" s="95"/>
      <c r="V679" s="95"/>
      <c r="W679" s="95"/>
    </row>
    <row r="680" spans="5:23" ht="10.15" customHeight="1">
      <c r="E680" s="95"/>
      <c r="F680" s="95"/>
      <c r="G680" s="95"/>
      <c r="H680" s="95"/>
      <c r="I680" s="95"/>
      <c r="J680" s="95"/>
      <c r="K680" s="95"/>
      <c r="L680" s="95"/>
      <c r="M680" s="95"/>
      <c r="N680" s="95"/>
      <c r="O680" s="95"/>
      <c r="P680" s="95"/>
      <c r="Q680" s="95"/>
      <c r="R680" s="95"/>
      <c r="T680" s="81"/>
      <c r="U680" s="95"/>
      <c r="V680" s="95"/>
      <c r="W680" s="95"/>
    </row>
    <row r="681" spans="5:23" ht="10.15" customHeight="1">
      <c r="E681" s="95"/>
      <c r="F681" s="95"/>
      <c r="G681" s="95"/>
      <c r="H681" s="95"/>
      <c r="I681" s="95"/>
      <c r="J681" s="95"/>
      <c r="K681" s="95"/>
      <c r="L681" s="95"/>
      <c r="M681" s="95"/>
      <c r="N681" s="95"/>
      <c r="O681" s="95"/>
      <c r="P681" s="95"/>
      <c r="Q681" s="95"/>
      <c r="R681" s="95"/>
      <c r="T681" s="81"/>
      <c r="U681" s="95"/>
      <c r="V681" s="95"/>
      <c r="W681" s="95"/>
    </row>
    <row r="682" spans="5:23" ht="10.15" customHeight="1">
      <c r="E682" s="95"/>
      <c r="F682" s="95"/>
      <c r="G682" s="95"/>
      <c r="H682" s="95"/>
      <c r="I682" s="95"/>
      <c r="J682" s="95"/>
      <c r="K682" s="95"/>
      <c r="L682" s="95"/>
      <c r="M682" s="95"/>
      <c r="N682" s="95"/>
      <c r="O682" s="95"/>
      <c r="P682" s="95"/>
      <c r="Q682" s="95"/>
      <c r="R682" s="95"/>
      <c r="T682" s="81"/>
      <c r="U682" s="95"/>
      <c r="V682" s="95"/>
      <c r="W682" s="95"/>
    </row>
    <row r="683" spans="5:23" ht="10.15" customHeight="1">
      <c r="E683" s="95"/>
      <c r="F683" s="95"/>
      <c r="G683" s="95"/>
      <c r="H683" s="95"/>
      <c r="I683" s="95"/>
      <c r="J683" s="95"/>
      <c r="K683" s="95"/>
      <c r="L683" s="95"/>
      <c r="M683" s="95"/>
      <c r="N683" s="95"/>
      <c r="O683" s="95"/>
      <c r="P683" s="95"/>
      <c r="Q683" s="95"/>
      <c r="R683" s="95"/>
      <c r="T683" s="81"/>
      <c r="U683" s="95"/>
      <c r="V683" s="95"/>
      <c r="W683" s="95"/>
    </row>
    <row r="684" spans="5:23" ht="10.15" customHeight="1">
      <c r="E684" s="95"/>
      <c r="F684" s="95"/>
      <c r="G684" s="95"/>
      <c r="H684" s="95"/>
      <c r="I684" s="95"/>
      <c r="J684" s="95"/>
      <c r="K684" s="95"/>
      <c r="L684" s="95"/>
      <c r="M684" s="95"/>
      <c r="N684" s="95"/>
      <c r="O684" s="95"/>
      <c r="P684" s="95"/>
      <c r="Q684" s="95"/>
      <c r="R684" s="95"/>
      <c r="T684" s="81"/>
      <c r="U684" s="95"/>
      <c r="V684" s="95"/>
      <c r="W684" s="95"/>
    </row>
    <row r="685" spans="5:23" ht="10.15" customHeight="1">
      <c r="E685" s="95"/>
      <c r="F685" s="95"/>
      <c r="G685" s="95"/>
      <c r="H685" s="95"/>
      <c r="I685" s="95"/>
      <c r="J685" s="95"/>
      <c r="K685" s="95"/>
      <c r="L685" s="95"/>
      <c r="M685" s="95"/>
      <c r="N685" s="95"/>
      <c r="O685" s="95"/>
      <c r="P685" s="95"/>
      <c r="Q685" s="95"/>
      <c r="R685" s="95"/>
      <c r="T685" s="81"/>
      <c r="U685" s="95"/>
      <c r="V685" s="95"/>
      <c r="W685" s="95"/>
    </row>
    <row r="686" spans="5:23" ht="10.15" customHeight="1">
      <c r="E686" s="95"/>
      <c r="F686" s="95"/>
      <c r="G686" s="95"/>
      <c r="H686" s="95"/>
      <c r="I686" s="95"/>
      <c r="J686" s="95"/>
      <c r="K686" s="95"/>
      <c r="L686" s="95"/>
      <c r="M686" s="95"/>
      <c r="N686" s="95"/>
      <c r="O686" s="95"/>
      <c r="P686" s="95"/>
      <c r="Q686" s="95"/>
      <c r="R686" s="95"/>
      <c r="T686" s="81"/>
      <c r="U686" s="95"/>
      <c r="V686" s="95"/>
      <c r="W686" s="95"/>
    </row>
    <row r="687" spans="5:23" ht="10.15" customHeight="1">
      <c r="E687" s="95"/>
      <c r="F687" s="95"/>
      <c r="G687" s="95"/>
      <c r="H687" s="95"/>
      <c r="I687" s="95"/>
      <c r="J687" s="95"/>
      <c r="K687" s="95"/>
      <c r="L687" s="95"/>
      <c r="M687" s="95"/>
      <c r="N687" s="95"/>
      <c r="O687" s="95"/>
      <c r="P687" s="95"/>
      <c r="Q687" s="95"/>
      <c r="R687" s="95"/>
      <c r="T687" s="81"/>
      <c r="U687" s="95"/>
      <c r="V687" s="95"/>
      <c r="W687" s="95"/>
    </row>
    <row r="688" spans="5:23" ht="10.15" customHeight="1">
      <c r="E688" s="95"/>
      <c r="F688" s="95"/>
      <c r="G688" s="95"/>
      <c r="H688" s="95"/>
      <c r="I688" s="95"/>
      <c r="J688" s="95"/>
      <c r="K688" s="95"/>
      <c r="L688" s="95"/>
      <c r="M688" s="95"/>
      <c r="N688" s="95"/>
      <c r="O688" s="95"/>
      <c r="P688" s="95"/>
      <c r="Q688" s="95"/>
      <c r="R688" s="95"/>
      <c r="T688" s="81"/>
      <c r="U688" s="95"/>
      <c r="V688" s="95"/>
      <c r="W688" s="95"/>
    </row>
    <row r="689" spans="5:23" ht="10.15" customHeight="1">
      <c r="E689" s="95"/>
      <c r="F689" s="95"/>
      <c r="G689" s="95"/>
      <c r="H689" s="95"/>
      <c r="I689" s="95"/>
      <c r="J689" s="95"/>
      <c r="K689" s="95"/>
      <c r="L689" s="95"/>
      <c r="M689" s="95"/>
      <c r="N689" s="95"/>
      <c r="O689" s="95"/>
      <c r="P689" s="95"/>
      <c r="Q689" s="95"/>
      <c r="R689" s="95"/>
      <c r="T689" s="81"/>
      <c r="U689" s="95"/>
      <c r="V689" s="95"/>
      <c r="W689" s="95"/>
    </row>
    <row r="690" spans="5:23" ht="10.15" customHeight="1">
      <c r="E690" s="95"/>
      <c r="F690" s="95"/>
      <c r="G690" s="95"/>
      <c r="H690" s="95"/>
      <c r="I690" s="95"/>
      <c r="J690" s="95"/>
      <c r="K690" s="95"/>
      <c r="L690" s="95"/>
      <c r="M690" s="95"/>
      <c r="N690" s="95"/>
      <c r="O690" s="95"/>
      <c r="P690" s="95"/>
      <c r="Q690" s="95"/>
      <c r="R690" s="95"/>
      <c r="T690" s="81"/>
      <c r="U690" s="95"/>
      <c r="V690" s="95"/>
      <c r="W690" s="95"/>
    </row>
    <row r="691" spans="5:23" ht="10.15" customHeight="1">
      <c r="E691" s="95"/>
      <c r="F691" s="95"/>
      <c r="G691" s="95"/>
      <c r="H691" s="95"/>
      <c r="I691" s="95"/>
      <c r="J691" s="95"/>
      <c r="K691" s="95"/>
      <c r="L691" s="95"/>
      <c r="M691" s="95"/>
      <c r="N691" s="95"/>
      <c r="O691" s="95"/>
      <c r="P691" s="95"/>
      <c r="Q691" s="95"/>
      <c r="R691" s="95"/>
      <c r="T691" s="81"/>
      <c r="U691" s="95"/>
      <c r="V691" s="95"/>
      <c r="W691" s="95"/>
    </row>
    <row r="692" spans="5:23" ht="10.15" customHeight="1">
      <c r="E692" s="95"/>
      <c r="F692" s="95"/>
      <c r="G692" s="95"/>
      <c r="H692" s="95"/>
      <c r="I692" s="95"/>
      <c r="J692" s="95"/>
      <c r="K692" s="95"/>
      <c r="L692" s="95"/>
      <c r="M692" s="95"/>
      <c r="N692" s="95"/>
      <c r="O692" s="95"/>
      <c r="P692" s="95"/>
      <c r="Q692" s="95"/>
      <c r="R692" s="95"/>
      <c r="T692" s="81"/>
      <c r="U692" s="95"/>
      <c r="V692" s="95"/>
      <c r="W692" s="95"/>
    </row>
    <row r="693" spans="5:23" ht="10.15" customHeight="1">
      <c r="E693" s="95"/>
      <c r="F693" s="95"/>
      <c r="G693" s="95"/>
      <c r="H693" s="95"/>
      <c r="I693" s="95"/>
      <c r="J693" s="95"/>
      <c r="K693" s="95"/>
      <c r="L693" s="95"/>
      <c r="M693" s="95"/>
      <c r="N693" s="95"/>
      <c r="O693" s="95"/>
      <c r="P693" s="95"/>
      <c r="Q693" s="95"/>
      <c r="R693" s="95"/>
      <c r="T693" s="81"/>
      <c r="U693" s="95"/>
      <c r="V693" s="95"/>
      <c r="W693" s="95"/>
    </row>
    <row r="694" spans="5:23" ht="10.15" customHeight="1">
      <c r="E694" s="95"/>
      <c r="F694" s="95"/>
      <c r="G694" s="95"/>
      <c r="H694" s="95"/>
      <c r="I694" s="95"/>
      <c r="J694" s="95"/>
      <c r="K694" s="95"/>
      <c r="L694" s="95"/>
      <c r="M694" s="95"/>
      <c r="N694" s="95"/>
      <c r="O694" s="95"/>
      <c r="P694" s="95"/>
      <c r="Q694" s="95"/>
      <c r="R694" s="95"/>
      <c r="T694" s="81"/>
      <c r="U694" s="95"/>
      <c r="V694" s="95"/>
      <c r="W694" s="95"/>
    </row>
    <row r="695" spans="5:23" ht="10.15" customHeight="1">
      <c r="E695" s="95"/>
      <c r="F695" s="95"/>
      <c r="G695" s="95"/>
      <c r="H695" s="95"/>
      <c r="I695" s="95"/>
      <c r="J695" s="95"/>
      <c r="K695" s="95"/>
      <c r="L695" s="95"/>
      <c r="M695" s="95"/>
      <c r="N695" s="95"/>
      <c r="O695" s="95"/>
      <c r="P695" s="95"/>
      <c r="Q695" s="95"/>
      <c r="R695" s="95"/>
      <c r="T695" s="81"/>
      <c r="U695" s="95"/>
      <c r="V695" s="95"/>
      <c r="W695" s="95"/>
    </row>
    <row r="696" spans="5:23" ht="10.15" customHeight="1">
      <c r="E696" s="95"/>
      <c r="F696" s="95"/>
      <c r="G696" s="95"/>
      <c r="H696" s="95"/>
      <c r="I696" s="95"/>
      <c r="J696" s="95"/>
      <c r="K696" s="95"/>
      <c r="L696" s="95"/>
      <c r="M696" s="95"/>
      <c r="N696" s="95"/>
      <c r="O696" s="95"/>
      <c r="P696" s="95"/>
      <c r="Q696" s="95"/>
      <c r="R696" s="95"/>
      <c r="T696" s="81"/>
      <c r="U696" s="95"/>
      <c r="V696" s="95"/>
      <c r="W696" s="95"/>
    </row>
    <row r="697" spans="5:23" ht="10.15" customHeight="1">
      <c r="E697" s="95"/>
      <c r="F697" s="95"/>
      <c r="G697" s="95"/>
      <c r="H697" s="95"/>
      <c r="I697" s="95"/>
      <c r="J697" s="95"/>
      <c r="K697" s="95"/>
      <c r="L697" s="95"/>
      <c r="M697" s="95"/>
      <c r="N697" s="95"/>
      <c r="O697" s="95"/>
      <c r="P697" s="95"/>
      <c r="Q697" s="95"/>
      <c r="R697" s="95"/>
      <c r="T697" s="81"/>
      <c r="U697" s="95"/>
      <c r="V697" s="95"/>
      <c r="W697" s="95"/>
    </row>
    <row r="698" spans="5:23" ht="10.15" customHeight="1">
      <c r="E698" s="95"/>
      <c r="F698" s="95"/>
      <c r="G698" s="95"/>
      <c r="H698" s="95"/>
      <c r="I698" s="95"/>
      <c r="J698" s="95"/>
      <c r="K698" s="95"/>
      <c r="L698" s="95"/>
      <c r="M698" s="95"/>
      <c r="N698" s="95"/>
      <c r="O698" s="95"/>
      <c r="P698" s="95"/>
      <c r="Q698" s="95"/>
      <c r="R698" s="95"/>
      <c r="T698" s="81"/>
      <c r="U698" s="95"/>
      <c r="V698" s="95"/>
      <c r="W698" s="95"/>
    </row>
    <row r="699" spans="5:23" ht="10.15" customHeight="1">
      <c r="E699" s="95"/>
      <c r="F699" s="95"/>
      <c r="G699" s="95"/>
      <c r="H699" s="95"/>
      <c r="I699" s="95"/>
      <c r="J699" s="95"/>
      <c r="K699" s="95"/>
      <c r="L699" s="95"/>
      <c r="M699" s="95"/>
      <c r="N699" s="95"/>
      <c r="O699" s="95"/>
      <c r="P699" s="95"/>
      <c r="Q699" s="95"/>
      <c r="R699" s="95"/>
      <c r="T699" s="81"/>
      <c r="U699" s="95"/>
      <c r="V699" s="95"/>
      <c r="W699" s="95"/>
    </row>
    <row r="700" spans="5:23" ht="10.15" customHeight="1">
      <c r="E700" s="95"/>
      <c r="F700" s="95"/>
      <c r="G700" s="95"/>
      <c r="H700" s="95"/>
      <c r="I700" s="95"/>
      <c r="J700" s="95"/>
      <c r="K700" s="95"/>
      <c r="L700" s="95"/>
      <c r="M700" s="95"/>
      <c r="N700" s="95"/>
      <c r="O700" s="95"/>
      <c r="P700" s="95"/>
      <c r="Q700" s="95"/>
      <c r="R700" s="95"/>
      <c r="T700" s="81"/>
      <c r="U700" s="95"/>
      <c r="V700" s="95"/>
      <c r="W700" s="95"/>
    </row>
    <row r="701" spans="5:23" ht="10.15" customHeight="1">
      <c r="E701" s="95"/>
      <c r="F701" s="95"/>
      <c r="G701" s="95"/>
      <c r="H701" s="95"/>
      <c r="I701" s="95"/>
      <c r="J701" s="95"/>
      <c r="K701" s="95"/>
      <c r="L701" s="95"/>
      <c r="M701" s="95"/>
      <c r="N701" s="95"/>
      <c r="O701" s="95"/>
      <c r="P701" s="95"/>
      <c r="Q701" s="95"/>
      <c r="R701" s="95"/>
      <c r="T701" s="81"/>
      <c r="U701" s="95"/>
      <c r="V701" s="95"/>
      <c r="W701" s="95"/>
    </row>
    <row r="702" spans="5:23" ht="10.15" customHeight="1">
      <c r="E702" s="95"/>
      <c r="F702" s="95"/>
      <c r="G702" s="95"/>
      <c r="H702" s="95"/>
      <c r="I702" s="95"/>
      <c r="J702" s="95"/>
      <c r="K702" s="95"/>
      <c r="L702" s="95"/>
      <c r="M702" s="95"/>
      <c r="N702" s="95"/>
      <c r="O702" s="95"/>
      <c r="P702" s="95"/>
      <c r="Q702" s="95"/>
      <c r="R702" s="95"/>
      <c r="T702" s="81"/>
      <c r="U702" s="95"/>
      <c r="V702" s="95"/>
      <c r="W702" s="95"/>
    </row>
    <row r="703" spans="5:23" ht="10.15" customHeight="1">
      <c r="E703" s="95"/>
      <c r="F703" s="95"/>
      <c r="G703" s="95"/>
      <c r="H703" s="95"/>
      <c r="I703" s="95"/>
      <c r="J703" s="95"/>
      <c r="K703" s="95"/>
      <c r="L703" s="95"/>
      <c r="M703" s="95"/>
      <c r="N703" s="95"/>
      <c r="O703" s="95"/>
      <c r="P703" s="95"/>
      <c r="Q703" s="95"/>
      <c r="R703" s="95"/>
      <c r="T703" s="81"/>
      <c r="U703" s="95"/>
      <c r="V703" s="95"/>
      <c r="W703" s="95"/>
    </row>
    <row r="704" spans="5:23" ht="10.15" customHeight="1">
      <c r="E704" s="95"/>
      <c r="F704" s="95"/>
      <c r="G704" s="95"/>
      <c r="H704" s="95"/>
      <c r="I704" s="95"/>
      <c r="J704" s="95"/>
      <c r="K704" s="95"/>
      <c r="L704" s="95"/>
      <c r="M704" s="95"/>
      <c r="N704" s="95"/>
      <c r="O704" s="95"/>
      <c r="P704" s="95"/>
      <c r="Q704" s="95"/>
      <c r="R704" s="95"/>
      <c r="T704" s="81"/>
      <c r="U704" s="95"/>
      <c r="V704" s="95"/>
      <c r="W704" s="95"/>
    </row>
    <row r="705" spans="5:23" ht="10.15" customHeight="1">
      <c r="E705" s="95"/>
      <c r="F705" s="95"/>
      <c r="G705" s="95"/>
      <c r="H705" s="95"/>
      <c r="I705" s="95"/>
      <c r="J705" s="95"/>
      <c r="K705" s="95"/>
      <c r="L705" s="95"/>
      <c r="M705" s="95"/>
      <c r="N705" s="95"/>
      <c r="O705" s="95"/>
      <c r="P705" s="95"/>
      <c r="Q705" s="95"/>
      <c r="R705" s="95"/>
      <c r="T705" s="81"/>
      <c r="U705" s="95"/>
      <c r="V705" s="95"/>
      <c r="W705" s="95"/>
    </row>
    <row r="706" spans="5:23" ht="10.15" customHeight="1">
      <c r="E706" s="95"/>
      <c r="F706" s="95"/>
      <c r="G706" s="95"/>
      <c r="H706" s="95"/>
      <c r="I706" s="95"/>
      <c r="J706" s="95"/>
      <c r="K706" s="95"/>
      <c r="L706" s="95"/>
      <c r="M706" s="95"/>
      <c r="N706" s="95"/>
      <c r="O706" s="95"/>
      <c r="P706" s="95"/>
      <c r="Q706" s="95"/>
      <c r="R706" s="95"/>
      <c r="T706" s="81"/>
      <c r="U706" s="95"/>
      <c r="V706" s="95"/>
      <c r="W706" s="95"/>
    </row>
    <row r="707" spans="5:23" ht="10.15" customHeight="1">
      <c r="E707" s="95"/>
      <c r="F707" s="95"/>
      <c r="G707" s="95"/>
      <c r="H707" s="95"/>
      <c r="I707" s="95"/>
      <c r="J707" s="95"/>
      <c r="K707" s="95"/>
      <c r="L707" s="95"/>
      <c r="M707" s="95"/>
      <c r="N707" s="95"/>
      <c r="O707" s="95"/>
      <c r="P707" s="95"/>
      <c r="Q707" s="95"/>
      <c r="R707" s="95"/>
      <c r="T707" s="81"/>
      <c r="U707" s="95"/>
      <c r="V707" s="95"/>
      <c r="W707" s="95"/>
    </row>
    <row r="708" spans="5:23" ht="10.15" customHeight="1">
      <c r="E708" s="95"/>
      <c r="F708" s="95"/>
      <c r="G708" s="95"/>
      <c r="H708" s="95"/>
      <c r="I708" s="95"/>
      <c r="J708" s="95"/>
      <c r="K708" s="95"/>
      <c r="L708" s="95"/>
      <c r="M708" s="95"/>
      <c r="N708" s="95"/>
      <c r="O708" s="95"/>
      <c r="P708" s="95"/>
      <c r="Q708" s="95"/>
      <c r="R708" s="95"/>
      <c r="T708" s="81"/>
      <c r="U708" s="95"/>
      <c r="V708" s="95"/>
      <c r="W708" s="95"/>
    </row>
    <row r="709" spans="5:23" ht="10.15" customHeight="1">
      <c r="E709" s="95"/>
      <c r="F709" s="95"/>
      <c r="G709" s="95"/>
      <c r="H709" s="95"/>
      <c r="I709" s="95"/>
      <c r="J709" s="95"/>
      <c r="K709" s="95"/>
      <c r="L709" s="95"/>
      <c r="M709" s="95"/>
      <c r="N709" s="95"/>
      <c r="O709" s="95"/>
      <c r="P709" s="95"/>
      <c r="Q709" s="95"/>
      <c r="R709" s="95"/>
      <c r="T709" s="81"/>
      <c r="U709" s="95"/>
      <c r="V709" s="95"/>
      <c r="W709" s="95"/>
    </row>
    <row r="710" spans="5:23" ht="10.15" customHeight="1">
      <c r="E710" s="95"/>
      <c r="F710" s="95"/>
      <c r="G710" s="95"/>
      <c r="H710" s="95"/>
      <c r="I710" s="95"/>
      <c r="J710" s="95"/>
      <c r="K710" s="95"/>
      <c r="L710" s="95"/>
      <c r="M710" s="95"/>
      <c r="N710" s="95"/>
      <c r="O710" s="95"/>
      <c r="P710" s="95"/>
      <c r="Q710" s="95"/>
      <c r="R710" s="95"/>
      <c r="T710" s="81"/>
      <c r="U710" s="95"/>
      <c r="V710" s="95"/>
      <c r="W710" s="95"/>
    </row>
    <row r="711" spans="5:23" ht="10.15" customHeight="1">
      <c r="E711" s="95"/>
      <c r="F711" s="95"/>
      <c r="G711" s="95"/>
      <c r="H711" s="95"/>
      <c r="I711" s="95"/>
      <c r="J711" s="95"/>
      <c r="K711" s="95"/>
      <c r="L711" s="95"/>
      <c r="M711" s="95"/>
      <c r="N711" s="95"/>
      <c r="O711" s="95"/>
      <c r="P711" s="95"/>
      <c r="Q711" s="95"/>
      <c r="R711" s="95"/>
      <c r="T711" s="81"/>
      <c r="U711" s="95"/>
      <c r="V711" s="95"/>
      <c r="W711" s="95"/>
    </row>
    <row r="712" spans="5:23" ht="10.15" customHeight="1">
      <c r="E712" s="95"/>
      <c r="F712" s="95"/>
      <c r="G712" s="95"/>
      <c r="H712" s="95"/>
      <c r="I712" s="95"/>
      <c r="J712" s="95"/>
      <c r="K712" s="95"/>
      <c r="L712" s="95"/>
      <c r="M712" s="95"/>
      <c r="N712" s="95"/>
      <c r="O712" s="95"/>
      <c r="P712" s="95"/>
      <c r="Q712" s="95"/>
      <c r="R712" s="95"/>
      <c r="T712" s="81"/>
      <c r="U712" s="95"/>
      <c r="V712" s="95"/>
      <c r="W712" s="95"/>
    </row>
    <row r="713" spans="5:23" ht="10.15" customHeight="1">
      <c r="E713" s="95"/>
      <c r="F713" s="95"/>
      <c r="G713" s="95"/>
      <c r="H713" s="95"/>
      <c r="I713" s="95"/>
      <c r="J713" s="95"/>
      <c r="K713" s="95"/>
      <c r="L713" s="95"/>
      <c r="M713" s="95"/>
      <c r="N713" s="95"/>
      <c r="O713" s="95"/>
      <c r="P713" s="95"/>
      <c r="Q713" s="95"/>
      <c r="R713" s="95"/>
      <c r="T713" s="81"/>
      <c r="U713" s="95"/>
      <c r="V713" s="95"/>
      <c r="W713" s="95"/>
    </row>
    <row r="714" spans="5:23" ht="10.15" customHeight="1">
      <c r="E714" s="95"/>
      <c r="F714" s="95"/>
      <c r="G714" s="95"/>
      <c r="H714" s="95"/>
      <c r="I714" s="95"/>
      <c r="J714" s="95"/>
      <c r="K714" s="95"/>
      <c r="L714" s="95"/>
      <c r="M714" s="95"/>
      <c r="N714" s="95"/>
      <c r="O714" s="95"/>
      <c r="P714" s="95"/>
      <c r="Q714" s="95"/>
      <c r="R714" s="95"/>
      <c r="T714" s="81"/>
      <c r="U714" s="95"/>
      <c r="V714" s="95"/>
      <c r="W714" s="95"/>
    </row>
    <row r="715" spans="5:23" ht="10.15" customHeight="1">
      <c r="E715" s="95"/>
      <c r="F715" s="95"/>
      <c r="G715" s="95"/>
      <c r="H715" s="95"/>
      <c r="I715" s="95"/>
      <c r="J715" s="95"/>
      <c r="K715" s="95"/>
      <c r="L715" s="95"/>
      <c r="M715" s="95"/>
      <c r="N715" s="95"/>
      <c r="O715" s="95"/>
      <c r="P715" s="95"/>
      <c r="Q715" s="95"/>
      <c r="R715" s="95"/>
      <c r="T715" s="81"/>
      <c r="U715" s="95"/>
      <c r="V715" s="95"/>
      <c r="W715" s="95"/>
    </row>
    <row r="716" spans="5:23" ht="10.15" customHeight="1">
      <c r="E716" s="95"/>
      <c r="F716" s="95"/>
      <c r="G716" s="95"/>
      <c r="H716" s="95"/>
      <c r="I716" s="95"/>
      <c r="J716" s="95"/>
      <c r="K716" s="95"/>
      <c r="L716" s="95"/>
      <c r="M716" s="95"/>
      <c r="N716" s="95"/>
      <c r="O716" s="95"/>
      <c r="P716" s="95"/>
      <c r="Q716" s="95"/>
      <c r="R716" s="95"/>
      <c r="T716" s="81"/>
      <c r="U716" s="95"/>
      <c r="V716" s="95"/>
      <c r="W716" s="95"/>
    </row>
    <row r="717" spans="5:23" ht="10.15" customHeight="1">
      <c r="E717" s="95"/>
      <c r="F717" s="95"/>
      <c r="G717" s="95"/>
      <c r="H717" s="95"/>
      <c r="I717" s="95"/>
      <c r="J717" s="95"/>
      <c r="K717" s="95"/>
      <c r="L717" s="95"/>
      <c r="M717" s="95"/>
      <c r="N717" s="95"/>
      <c r="O717" s="95"/>
      <c r="P717" s="95"/>
      <c r="Q717" s="95"/>
      <c r="R717" s="95"/>
      <c r="T717" s="81"/>
      <c r="U717" s="95"/>
      <c r="V717" s="95"/>
      <c r="W717" s="95"/>
    </row>
    <row r="718" spans="5:23" ht="10.15" customHeight="1">
      <c r="E718" s="95"/>
      <c r="F718" s="95"/>
      <c r="G718" s="95"/>
      <c r="H718" s="95"/>
      <c r="I718" s="95"/>
      <c r="J718" s="95"/>
      <c r="K718" s="95"/>
      <c r="L718" s="95"/>
      <c r="M718" s="95"/>
      <c r="N718" s="95"/>
      <c r="O718" s="95"/>
      <c r="P718" s="95"/>
      <c r="Q718" s="95"/>
      <c r="R718" s="95"/>
      <c r="T718" s="81"/>
      <c r="U718" s="95"/>
      <c r="V718" s="95"/>
      <c r="W718" s="95"/>
    </row>
    <row r="719" spans="5:23" ht="10.15" customHeight="1">
      <c r="E719" s="95"/>
      <c r="F719" s="95"/>
      <c r="G719" s="95"/>
      <c r="H719" s="95"/>
      <c r="I719" s="95"/>
      <c r="J719" s="95"/>
      <c r="K719" s="95"/>
      <c r="L719" s="95"/>
      <c r="M719" s="95"/>
      <c r="N719" s="95"/>
      <c r="O719" s="95"/>
      <c r="P719" s="95"/>
      <c r="Q719" s="95"/>
      <c r="R719" s="95"/>
      <c r="T719" s="81"/>
      <c r="U719" s="95"/>
      <c r="V719" s="95"/>
      <c r="W719" s="95"/>
    </row>
    <row r="720" spans="5:23" ht="10.15" customHeight="1">
      <c r="E720" s="95"/>
      <c r="F720" s="95"/>
      <c r="G720" s="95"/>
      <c r="H720" s="95"/>
      <c r="I720" s="95"/>
      <c r="J720" s="95"/>
      <c r="K720" s="95"/>
      <c r="L720" s="95"/>
      <c r="M720" s="95"/>
      <c r="N720" s="95"/>
      <c r="O720" s="95"/>
      <c r="P720" s="95"/>
      <c r="Q720" s="95"/>
      <c r="R720" s="95"/>
      <c r="T720" s="81"/>
      <c r="U720" s="95"/>
      <c r="V720" s="95"/>
      <c r="W720" s="95"/>
    </row>
    <row r="721" spans="5:23" ht="10.15" customHeight="1">
      <c r="E721" s="95"/>
      <c r="F721" s="95"/>
      <c r="G721" s="95"/>
      <c r="H721" s="95"/>
      <c r="I721" s="95"/>
      <c r="J721" s="95"/>
      <c r="K721" s="95"/>
      <c r="L721" s="95"/>
      <c r="M721" s="95"/>
      <c r="N721" s="95"/>
      <c r="O721" s="95"/>
      <c r="P721" s="95"/>
      <c r="Q721" s="95"/>
      <c r="R721" s="95"/>
      <c r="T721" s="81"/>
      <c r="U721" s="95"/>
      <c r="V721" s="95"/>
      <c r="W721" s="95"/>
    </row>
    <row r="722" spans="5:23" ht="10.15" customHeight="1">
      <c r="E722" s="95"/>
      <c r="F722" s="95"/>
      <c r="G722" s="95"/>
      <c r="H722" s="95"/>
      <c r="I722" s="95"/>
      <c r="J722" s="95"/>
      <c r="K722" s="95"/>
      <c r="L722" s="95"/>
      <c r="M722" s="95"/>
      <c r="N722" s="95"/>
      <c r="O722" s="95"/>
      <c r="P722" s="95"/>
      <c r="Q722" s="95"/>
      <c r="R722" s="95"/>
      <c r="T722" s="81"/>
      <c r="U722" s="95"/>
      <c r="V722" s="95"/>
      <c r="W722" s="95"/>
    </row>
    <row r="723" spans="5:23" ht="10.15" customHeight="1">
      <c r="E723" s="95"/>
      <c r="F723" s="95"/>
      <c r="G723" s="95"/>
      <c r="H723" s="95"/>
      <c r="I723" s="95"/>
      <c r="J723" s="95"/>
      <c r="K723" s="95"/>
      <c r="L723" s="95"/>
      <c r="M723" s="95"/>
      <c r="N723" s="95"/>
      <c r="O723" s="95"/>
      <c r="P723" s="95"/>
      <c r="Q723" s="95"/>
      <c r="R723" s="95"/>
      <c r="T723" s="81"/>
      <c r="U723" s="95"/>
      <c r="V723" s="95"/>
      <c r="W723" s="95"/>
    </row>
    <row r="724" spans="5:23" ht="10.15" customHeight="1">
      <c r="E724" s="95"/>
      <c r="F724" s="95"/>
      <c r="G724" s="95"/>
      <c r="H724" s="95"/>
      <c r="I724" s="95"/>
      <c r="J724" s="95"/>
      <c r="K724" s="95"/>
      <c r="L724" s="95"/>
      <c r="M724" s="95"/>
      <c r="N724" s="95"/>
      <c r="O724" s="95"/>
      <c r="P724" s="95"/>
      <c r="Q724" s="95"/>
      <c r="R724" s="95"/>
      <c r="T724" s="81"/>
      <c r="U724" s="95"/>
      <c r="V724" s="95"/>
      <c r="W724" s="95"/>
    </row>
    <row r="725" spans="5:23" ht="10.15" customHeight="1">
      <c r="E725" s="95"/>
      <c r="F725" s="95"/>
      <c r="G725" s="95"/>
      <c r="H725" s="95"/>
      <c r="I725" s="95"/>
      <c r="J725" s="95"/>
      <c r="K725" s="95"/>
      <c r="L725" s="95"/>
      <c r="M725" s="95"/>
      <c r="N725" s="95"/>
      <c r="O725" s="95"/>
      <c r="P725" s="95"/>
      <c r="Q725" s="95"/>
      <c r="R725" s="95"/>
      <c r="T725" s="81"/>
      <c r="U725" s="95"/>
      <c r="V725" s="95"/>
      <c r="W725" s="95"/>
    </row>
    <row r="726" spans="5:23" ht="10.15" customHeight="1">
      <c r="E726" s="95"/>
      <c r="F726" s="95"/>
      <c r="G726" s="95"/>
      <c r="H726" s="95"/>
      <c r="I726" s="95"/>
      <c r="J726" s="95"/>
      <c r="K726" s="95"/>
      <c r="L726" s="95"/>
      <c r="M726" s="95"/>
      <c r="N726" s="95"/>
      <c r="O726" s="95"/>
      <c r="P726" s="95"/>
      <c r="Q726" s="95"/>
      <c r="R726" s="95"/>
      <c r="T726" s="81"/>
      <c r="U726" s="95"/>
      <c r="V726" s="95"/>
      <c r="W726" s="95"/>
    </row>
    <row r="727" spans="5:23" ht="10.15" customHeight="1">
      <c r="E727" s="95"/>
      <c r="F727" s="95"/>
      <c r="G727" s="95"/>
      <c r="H727" s="95"/>
      <c r="I727" s="95"/>
      <c r="J727" s="95"/>
      <c r="K727" s="95"/>
      <c r="L727" s="95"/>
      <c r="M727" s="95"/>
      <c r="N727" s="95"/>
      <c r="O727" s="95"/>
      <c r="P727" s="95"/>
      <c r="Q727" s="95"/>
      <c r="R727" s="95"/>
      <c r="T727" s="81"/>
      <c r="U727" s="95"/>
      <c r="V727" s="95"/>
      <c r="W727" s="95"/>
    </row>
    <row r="728" spans="5:23" ht="10.15" customHeight="1">
      <c r="E728" s="95"/>
      <c r="F728" s="95"/>
      <c r="G728" s="95"/>
      <c r="H728" s="95"/>
      <c r="I728" s="95"/>
      <c r="J728" s="95"/>
      <c r="K728" s="95"/>
      <c r="L728" s="95"/>
      <c r="M728" s="95"/>
      <c r="N728" s="95"/>
      <c r="O728" s="95"/>
      <c r="P728" s="95"/>
      <c r="Q728" s="95"/>
      <c r="R728" s="95"/>
      <c r="T728" s="81"/>
      <c r="U728" s="95"/>
      <c r="V728" s="95"/>
      <c r="W728" s="95"/>
    </row>
    <row r="729" spans="5:23" ht="10.15" customHeight="1">
      <c r="E729" s="95"/>
      <c r="F729" s="95"/>
      <c r="G729" s="95"/>
      <c r="H729" s="95"/>
      <c r="I729" s="95"/>
      <c r="J729" s="95"/>
      <c r="K729" s="95"/>
      <c r="L729" s="95"/>
      <c r="M729" s="95"/>
      <c r="N729" s="95"/>
      <c r="O729" s="95"/>
      <c r="P729" s="95"/>
      <c r="Q729" s="95"/>
      <c r="R729" s="95"/>
      <c r="T729" s="81"/>
      <c r="U729" s="95"/>
      <c r="V729" s="95"/>
      <c r="W729" s="95"/>
    </row>
    <row r="730" spans="5:23" ht="10.15" customHeight="1">
      <c r="E730" s="95"/>
      <c r="F730" s="95"/>
      <c r="G730" s="95"/>
      <c r="H730" s="95"/>
      <c r="I730" s="95"/>
      <c r="J730" s="95"/>
      <c r="K730" s="95"/>
      <c r="L730" s="95"/>
      <c r="M730" s="95"/>
      <c r="N730" s="95"/>
      <c r="O730" s="95"/>
      <c r="P730" s="95"/>
      <c r="Q730" s="95"/>
      <c r="R730" s="95"/>
      <c r="T730" s="81"/>
      <c r="U730" s="95"/>
      <c r="V730" s="95"/>
      <c r="W730" s="95"/>
    </row>
    <row r="731" spans="5:23" ht="10.15" customHeight="1">
      <c r="E731" s="95"/>
      <c r="F731" s="95"/>
      <c r="G731" s="95"/>
      <c r="H731" s="95"/>
      <c r="I731" s="95"/>
      <c r="J731" s="95"/>
      <c r="K731" s="95"/>
      <c r="L731" s="95"/>
      <c r="M731" s="95"/>
      <c r="N731" s="95"/>
      <c r="O731" s="95"/>
      <c r="P731" s="95"/>
      <c r="Q731" s="95"/>
      <c r="R731" s="95"/>
      <c r="T731" s="81"/>
      <c r="U731" s="95"/>
      <c r="V731" s="95"/>
      <c r="W731" s="95"/>
    </row>
    <row r="732" spans="5:23" ht="10.15" customHeight="1">
      <c r="E732" s="95"/>
      <c r="F732" s="95"/>
      <c r="G732" s="95"/>
      <c r="H732" s="95"/>
      <c r="I732" s="95"/>
      <c r="J732" s="95"/>
      <c r="K732" s="95"/>
      <c r="L732" s="95"/>
      <c r="M732" s="95"/>
      <c r="N732" s="95"/>
      <c r="O732" s="95"/>
      <c r="P732" s="95"/>
      <c r="Q732" s="95"/>
      <c r="R732" s="95"/>
      <c r="T732" s="81"/>
      <c r="U732" s="95"/>
      <c r="V732" s="95"/>
      <c r="W732" s="95"/>
    </row>
    <row r="733" spans="5:23" ht="10.15" customHeight="1">
      <c r="E733" s="95"/>
      <c r="F733" s="95"/>
      <c r="G733" s="95"/>
      <c r="H733" s="95"/>
      <c r="I733" s="95"/>
      <c r="J733" s="95"/>
      <c r="K733" s="95"/>
      <c r="L733" s="95"/>
      <c r="M733" s="95"/>
      <c r="N733" s="95"/>
      <c r="O733" s="95"/>
      <c r="P733" s="95"/>
      <c r="Q733" s="95"/>
      <c r="R733" s="95"/>
      <c r="T733" s="81"/>
      <c r="U733" s="95"/>
      <c r="V733" s="95"/>
      <c r="W733" s="95"/>
    </row>
    <row r="734" spans="5:23" ht="10.15" customHeight="1">
      <c r="E734" s="95"/>
      <c r="F734" s="95"/>
      <c r="G734" s="95"/>
      <c r="H734" s="95"/>
      <c r="I734" s="95"/>
      <c r="J734" s="95"/>
      <c r="K734" s="95"/>
      <c r="L734" s="95"/>
      <c r="M734" s="95"/>
      <c r="N734" s="95"/>
      <c r="O734" s="95"/>
      <c r="P734" s="95"/>
      <c r="Q734" s="95"/>
      <c r="R734" s="95"/>
      <c r="T734" s="81"/>
      <c r="U734" s="95"/>
      <c r="V734" s="95"/>
      <c r="W734" s="95"/>
    </row>
    <row r="735" spans="5:23" ht="10.15" customHeight="1">
      <c r="E735" s="95"/>
      <c r="F735" s="95"/>
      <c r="G735" s="95"/>
      <c r="H735" s="95"/>
      <c r="I735" s="95"/>
      <c r="J735" s="95"/>
      <c r="K735" s="95"/>
      <c r="L735" s="95"/>
      <c r="M735" s="95"/>
      <c r="N735" s="95"/>
      <c r="O735" s="95"/>
      <c r="P735" s="95"/>
      <c r="Q735" s="95"/>
      <c r="R735" s="95"/>
      <c r="T735" s="81"/>
      <c r="U735" s="95"/>
      <c r="V735" s="95"/>
      <c r="W735" s="95"/>
    </row>
    <row r="736" spans="5:23" ht="10.15" customHeight="1">
      <c r="E736" s="95"/>
      <c r="F736" s="95"/>
      <c r="G736" s="95"/>
      <c r="H736" s="95"/>
      <c r="I736" s="95"/>
      <c r="J736" s="95"/>
      <c r="K736" s="95"/>
      <c r="L736" s="95"/>
      <c r="M736" s="95"/>
      <c r="N736" s="95"/>
      <c r="O736" s="95"/>
      <c r="P736" s="95"/>
      <c r="Q736" s="95"/>
      <c r="R736" s="95"/>
      <c r="T736" s="81"/>
      <c r="U736" s="95"/>
      <c r="V736" s="95"/>
      <c r="W736" s="95"/>
    </row>
    <row r="737" spans="5:23" ht="10.15" customHeight="1">
      <c r="E737" s="95"/>
      <c r="F737" s="95"/>
      <c r="G737" s="95"/>
      <c r="H737" s="95"/>
      <c r="I737" s="95"/>
      <c r="J737" s="95"/>
      <c r="K737" s="95"/>
      <c r="L737" s="95"/>
      <c r="M737" s="95"/>
      <c r="N737" s="95"/>
      <c r="O737" s="95"/>
      <c r="P737" s="95"/>
      <c r="Q737" s="95"/>
      <c r="R737" s="95"/>
      <c r="T737" s="81"/>
      <c r="U737" s="95"/>
      <c r="V737" s="95"/>
      <c r="W737" s="95"/>
    </row>
    <row r="738" spans="5:23" ht="10.15" customHeight="1">
      <c r="E738" s="95"/>
      <c r="F738" s="95"/>
      <c r="G738" s="95"/>
      <c r="H738" s="95"/>
      <c r="I738" s="95"/>
      <c r="J738" s="95"/>
      <c r="K738" s="95"/>
      <c r="L738" s="95"/>
      <c r="M738" s="95"/>
      <c r="N738" s="95"/>
      <c r="O738" s="95"/>
      <c r="P738" s="95"/>
      <c r="Q738" s="95"/>
      <c r="R738" s="95"/>
      <c r="T738" s="81"/>
      <c r="U738" s="95"/>
      <c r="V738" s="95"/>
      <c r="W738" s="95"/>
    </row>
    <row r="739" spans="5:23" ht="10.15" customHeight="1">
      <c r="E739" s="95"/>
      <c r="F739" s="95"/>
      <c r="G739" s="95"/>
      <c r="H739" s="95"/>
      <c r="I739" s="95"/>
      <c r="J739" s="95"/>
      <c r="K739" s="95"/>
      <c r="L739" s="95"/>
      <c r="M739" s="95"/>
      <c r="N739" s="95"/>
      <c r="O739" s="95"/>
      <c r="P739" s="95"/>
      <c r="Q739" s="95"/>
      <c r="R739" s="95"/>
      <c r="T739" s="81"/>
      <c r="U739" s="95"/>
      <c r="V739" s="95"/>
      <c r="W739" s="95"/>
    </row>
    <row r="740" spans="5:23" ht="10.15" customHeight="1">
      <c r="E740" s="95"/>
      <c r="F740" s="95"/>
      <c r="G740" s="95"/>
      <c r="H740" s="95"/>
      <c r="I740" s="95"/>
      <c r="J740" s="95"/>
      <c r="K740" s="95"/>
      <c r="L740" s="95"/>
      <c r="M740" s="95"/>
      <c r="N740" s="95"/>
      <c r="O740" s="95"/>
      <c r="P740" s="95"/>
      <c r="Q740" s="95"/>
      <c r="R740" s="95"/>
      <c r="T740" s="81"/>
      <c r="U740" s="95"/>
      <c r="V740" s="95"/>
      <c r="W740" s="95"/>
    </row>
    <row r="741" spans="5:23" ht="10.15" customHeight="1">
      <c r="E741" s="95"/>
      <c r="F741" s="95"/>
      <c r="G741" s="95"/>
      <c r="H741" s="95"/>
      <c r="I741" s="95"/>
      <c r="J741" s="95"/>
      <c r="K741" s="95"/>
      <c r="L741" s="95"/>
      <c r="M741" s="95"/>
      <c r="N741" s="95"/>
      <c r="O741" s="95"/>
      <c r="P741" s="95"/>
      <c r="Q741" s="95"/>
      <c r="R741" s="95"/>
      <c r="T741" s="81"/>
      <c r="U741" s="95"/>
      <c r="V741" s="95"/>
      <c r="W741" s="95"/>
    </row>
    <row r="742" spans="5:23" ht="10.15" customHeight="1">
      <c r="E742" s="95"/>
      <c r="F742" s="95"/>
      <c r="G742" s="95"/>
      <c r="H742" s="95"/>
      <c r="I742" s="95"/>
      <c r="J742" s="95"/>
      <c r="K742" s="95"/>
      <c r="L742" s="95"/>
      <c r="M742" s="95"/>
      <c r="N742" s="95"/>
      <c r="O742" s="95"/>
      <c r="P742" s="95"/>
      <c r="Q742" s="95"/>
      <c r="R742" s="95"/>
      <c r="T742" s="81"/>
      <c r="U742" s="95"/>
      <c r="V742" s="95"/>
      <c r="W742" s="95"/>
    </row>
    <row r="743" spans="5:23" ht="10.15" customHeight="1">
      <c r="E743" s="95"/>
      <c r="F743" s="95"/>
      <c r="G743" s="95"/>
      <c r="H743" s="95"/>
      <c r="I743" s="95"/>
      <c r="J743" s="95"/>
      <c r="K743" s="95"/>
      <c r="L743" s="95"/>
      <c r="M743" s="95"/>
      <c r="N743" s="95"/>
      <c r="O743" s="95"/>
      <c r="P743" s="95"/>
      <c r="Q743" s="95"/>
      <c r="R743" s="95"/>
      <c r="T743" s="81"/>
      <c r="U743" s="95"/>
      <c r="V743" s="95"/>
      <c r="W743" s="95"/>
    </row>
    <row r="744" spans="5:23" ht="10.15" customHeight="1">
      <c r="E744" s="95"/>
      <c r="F744" s="95"/>
      <c r="G744" s="95"/>
      <c r="H744" s="95"/>
      <c r="I744" s="95"/>
      <c r="J744" s="95"/>
      <c r="K744" s="95"/>
      <c r="L744" s="95"/>
      <c r="M744" s="95"/>
      <c r="N744" s="95"/>
      <c r="O744" s="95"/>
      <c r="P744" s="95"/>
      <c r="Q744" s="95"/>
      <c r="R744" s="95"/>
      <c r="T744" s="81"/>
      <c r="U744" s="95"/>
      <c r="V744" s="95"/>
      <c r="W744" s="95"/>
    </row>
    <row r="745" spans="5:23" ht="10.15" customHeight="1">
      <c r="E745" s="95"/>
      <c r="F745" s="95"/>
      <c r="G745" s="95"/>
      <c r="H745" s="95"/>
      <c r="I745" s="95"/>
      <c r="J745" s="95"/>
      <c r="K745" s="95"/>
      <c r="L745" s="95"/>
      <c r="M745" s="95"/>
      <c r="N745" s="95"/>
      <c r="O745" s="95"/>
      <c r="P745" s="95"/>
      <c r="Q745" s="95"/>
      <c r="R745" s="95"/>
      <c r="T745" s="81"/>
      <c r="U745" s="95"/>
      <c r="V745" s="95"/>
      <c r="W745" s="95"/>
    </row>
    <row r="746" spans="5:23" ht="10.15" customHeight="1">
      <c r="E746" s="95"/>
      <c r="F746" s="95"/>
      <c r="G746" s="95"/>
      <c r="H746" s="95"/>
      <c r="I746" s="95"/>
      <c r="J746" s="95"/>
      <c r="K746" s="95"/>
      <c r="L746" s="95"/>
      <c r="M746" s="95"/>
      <c r="N746" s="95"/>
      <c r="O746" s="95"/>
      <c r="P746" s="95"/>
      <c r="Q746" s="95"/>
      <c r="R746" s="95"/>
      <c r="T746" s="81"/>
      <c r="U746" s="95"/>
      <c r="V746" s="95"/>
      <c r="W746" s="95"/>
    </row>
    <row r="747" spans="5:23" ht="10.15" customHeight="1">
      <c r="E747" s="95"/>
      <c r="F747" s="95"/>
      <c r="G747" s="95"/>
      <c r="H747" s="95"/>
      <c r="I747" s="95"/>
      <c r="J747" s="95"/>
      <c r="K747" s="95"/>
      <c r="L747" s="95"/>
      <c r="M747" s="95"/>
      <c r="N747" s="95"/>
      <c r="O747" s="95"/>
      <c r="P747" s="95"/>
      <c r="Q747" s="95"/>
      <c r="R747" s="95"/>
      <c r="T747" s="81"/>
      <c r="U747" s="95"/>
      <c r="V747" s="95"/>
      <c r="W747" s="95"/>
    </row>
    <row r="748" spans="5:23" ht="10.15" customHeight="1">
      <c r="E748" s="95"/>
      <c r="F748" s="95"/>
      <c r="G748" s="95"/>
      <c r="H748" s="95"/>
      <c r="I748" s="95"/>
      <c r="J748" s="95"/>
      <c r="K748" s="95"/>
      <c r="L748" s="95"/>
      <c r="M748" s="95"/>
      <c r="N748" s="95"/>
      <c r="O748" s="95"/>
      <c r="P748" s="95"/>
      <c r="Q748" s="95"/>
      <c r="R748" s="95"/>
      <c r="T748" s="81"/>
      <c r="U748" s="95"/>
      <c r="V748" s="95"/>
      <c r="W748" s="95"/>
    </row>
    <row r="749" spans="5:23" ht="10.15" customHeight="1">
      <c r="E749" s="95"/>
      <c r="F749" s="95"/>
      <c r="G749" s="95"/>
      <c r="H749" s="95"/>
      <c r="I749" s="95"/>
      <c r="J749" s="95"/>
      <c r="K749" s="95"/>
      <c r="L749" s="95"/>
      <c r="M749" s="95"/>
      <c r="N749" s="95"/>
      <c r="O749" s="95"/>
      <c r="P749" s="95"/>
      <c r="Q749" s="95"/>
      <c r="R749" s="95"/>
      <c r="T749" s="81"/>
      <c r="U749" s="95"/>
      <c r="V749" s="95"/>
      <c r="W749" s="95"/>
    </row>
    <row r="750" spans="5:23" ht="10.15" customHeight="1">
      <c r="E750" s="95"/>
      <c r="F750" s="95"/>
      <c r="G750" s="95"/>
      <c r="H750" s="95"/>
      <c r="I750" s="95"/>
      <c r="J750" s="95"/>
      <c r="K750" s="95"/>
      <c r="L750" s="95"/>
      <c r="M750" s="95"/>
      <c r="N750" s="95"/>
      <c r="O750" s="95"/>
      <c r="P750" s="95"/>
      <c r="Q750" s="95"/>
      <c r="R750" s="95"/>
      <c r="T750" s="81"/>
      <c r="U750" s="95"/>
      <c r="V750" s="95"/>
      <c r="W750" s="95"/>
    </row>
    <row r="751" spans="5:23" ht="10.15" customHeight="1">
      <c r="E751" s="95"/>
      <c r="F751" s="95"/>
      <c r="G751" s="95"/>
      <c r="H751" s="95"/>
      <c r="I751" s="95"/>
      <c r="J751" s="95"/>
      <c r="K751" s="95"/>
      <c r="L751" s="95"/>
      <c r="M751" s="95"/>
      <c r="N751" s="95"/>
      <c r="O751" s="95"/>
      <c r="P751" s="95"/>
      <c r="Q751" s="95"/>
      <c r="R751" s="95"/>
      <c r="T751" s="81"/>
      <c r="U751" s="95"/>
      <c r="V751" s="95"/>
      <c r="W751" s="95"/>
    </row>
    <row r="752" spans="5:23" ht="10.15" customHeight="1">
      <c r="E752" s="95"/>
      <c r="F752" s="95"/>
      <c r="G752" s="95"/>
      <c r="H752" s="95"/>
      <c r="I752" s="95"/>
      <c r="J752" s="95"/>
      <c r="K752" s="95"/>
      <c r="L752" s="95"/>
      <c r="M752" s="95"/>
      <c r="N752" s="95"/>
      <c r="O752" s="95"/>
      <c r="P752" s="95"/>
      <c r="Q752" s="95"/>
      <c r="R752" s="95"/>
      <c r="T752" s="81"/>
      <c r="U752" s="95"/>
      <c r="V752" s="95"/>
      <c r="W752" s="95"/>
    </row>
    <row r="753" spans="5:23" ht="10.15" customHeight="1">
      <c r="E753" s="95"/>
      <c r="F753" s="95"/>
      <c r="G753" s="95"/>
      <c r="H753" s="95"/>
      <c r="I753" s="95"/>
      <c r="J753" s="95"/>
      <c r="K753" s="95"/>
      <c r="L753" s="95"/>
      <c r="M753" s="95"/>
      <c r="N753" s="95"/>
      <c r="O753" s="95"/>
      <c r="P753" s="95"/>
      <c r="Q753" s="95"/>
      <c r="R753" s="95"/>
      <c r="T753" s="81"/>
      <c r="U753" s="95"/>
      <c r="V753" s="95"/>
      <c r="W753" s="95"/>
    </row>
    <row r="754" spans="5:23" ht="10.15" customHeight="1">
      <c r="E754" s="95"/>
      <c r="F754" s="95"/>
      <c r="G754" s="95"/>
      <c r="H754" s="95"/>
      <c r="I754" s="95"/>
      <c r="J754" s="95"/>
      <c r="K754" s="95"/>
      <c r="L754" s="95"/>
      <c r="M754" s="95"/>
      <c r="N754" s="95"/>
      <c r="O754" s="95"/>
      <c r="P754" s="95"/>
      <c r="Q754" s="95"/>
      <c r="R754" s="95"/>
      <c r="T754" s="81"/>
      <c r="U754" s="95"/>
      <c r="V754" s="95"/>
      <c r="W754" s="95"/>
    </row>
    <row r="755" spans="5:23" ht="10.15" customHeight="1">
      <c r="E755" s="95"/>
      <c r="F755" s="95"/>
      <c r="G755" s="95"/>
      <c r="H755" s="95"/>
      <c r="I755" s="95"/>
      <c r="J755" s="95"/>
      <c r="K755" s="95"/>
      <c r="L755" s="95"/>
      <c r="M755" s="95"/>
      <c r="N755" s="95"/>
      <c r="O755" s="95"/>
      <c r="P755" s="95"/>
      <c r="Q755" s="95"/>
      <c r="R755" s="95"/>
      <c r="T755" s="81"/>
      <c r="U755" s="95"/>
      <c r="V755" s="95"/>
      <c r="W755" s="95"/>
    </row>
    <row r="756" spans="5:23" ht="10.15" customHeight="1">
      <c r="E756" s="95"/>
      <c r="F756" s="95"/>
      <c r="G756" s="95"/>
      <c r="H756" s="95"/>
      <c r="I756" s="95"/>
      <c r="J756" s="95"/>
      <c r="K756" s="95"/>
      <c r="L756" s="95"/>
      <c r="M756" s="95"/>
      <c r="N756" s="95"/>
      <c r="O756" s="95"/>
      <c r="P756" s="95"/>
      <c r="Q756" s="95"/>
      <c r="R756" s="95"/>
      <c r="T756" s="81"/>
      <c r="U756" s="95"/>
      <c r="V756" s="95"/>
      <c r="W756" s="95"/>
    </row>
    <row r="757" spans="5:23" ht="10.15" customHeight="1">
      <c r="E757" s="95"/>
      <c r="F757" s="95"/>
      <c r="G757" s="95"/>
      <c r="H757" s="95"/>
      <c r="I757" s="95"/>
      <c r="J757" s="95"/>
      <c r="K757" s="95"/>
      <c r="L757" s="95"/>
      <c r="M757" s="95"/>
      <c r="N757" s="95"/>
      <c r="O757" s="95"/>
      <c r="P757" s="95"/>
      <c r="Q757" s="95"/>
      <c r="R757" s="95"/>
      <c r="T757" s="81"/>
      <c r="U757" s="95"/>
      <c r="V757" s="95"/>
      <c r="W757" s="95"/>
    </row>
    <row r="758" spans="5:23" ht="10.15" customHeight="1">
      <c r="E758" s="95"/>
      <c r="F758" s="95"/>
      <c r="G758" s="95"/>
      <c r="H758" s="95"/>
      <c r="I758" s="95"/>
      <c r="J758" s="95"/>
      <c r="K758" s="95"/>
      <c r="L758" s="95"/>
      <c r="M758" s="95"/>
      <c r="N758" s="95"/>
      <c r="O758" s="95"/>
      <c r="P758" s="95"/>
      <c r="Q758" s="95"/>
      <c r="R758" s="95"/>
      <c r="T758" s="81"/>
      <c r="U758" s="95"/>
      <c r="V758" s="95"/>
      <c r="W758" s="95"/>
    </row>
    <row r="759" spans="5:23" ht="10.15" customHeight="1">
      <c r="E759" s="95"/>
      <c r="F759" s="95"/>
      <c r="G759" s="95"/>
      <c r="H759" s="95"/>
      <c r="I759" s="95"/>
      <c r="J759" s="95"/>
      <c r="K759" s="95"/>
      <c r="L759" s="95"/>
      <c r="M759" s="95"/>
      <c r="N759" s="95"/>
      <c r="O759" s="95"/>
      <c r="P759" s="95"/>
      <c r="Q759" s="95"/>
      <c r="R759" s="95"/>
      <c r="T759" s="81"/>
      <c r="U759" s="95"/>
      <c r="V759" s="95"/>
      <c r="W759" s="95"/>
    </row>
    <row r="760" spans="5:23" ht="10.15" customHeight="1">
      <c r="E760" s="95"/>
      <c r="F760" s="95"/>
      <c r="G760" s="95"/>
      <c r="H760" s="95"/>
      <c r="I760" s="95"/>
      <c r="J760" s="95"/>
      <c r="K760" s="95"/>
      <c r="L760" s="95"/>
      <c r="M760" s="95"/>
      <c r="N760" s="95"/>
      <c r="O760" s="95"/>
      <c r="P760" s="95"/>
      <c r="Q760" s="95"/>
      <c r="R760" s="95"/>
      <c r="T760" s="81"/>
      <c r="U760" s="95"/>
      <c r="V760" s="95"/>
      <c r="W760" s="95"/>
    </row>
    <row r="761" spans="5:23" ht="10.15" customHeight="1">
      <c r="E761" s="95"/>
      <c r="F761" s="95"/>
      <c r="G761" s="95"/>
      <c r="H761" s="95"/>
      <c r="I761" s="95"/>
      <c r="J761" s="95"/>
      <c r="K761" s="95"/>
      <c r="L761" s="95"/>
      <c r="M761" s="95"/>
      <c r="N761" s="95"/>
      <c r="O761" s="95"/>
      <c r="P761" s="95"/>
      <c r="Q761" s="95"/>
      <c r="R761" s="95"/>
      <c r="T761" s="81"/>
      <c r="U761" s="95"/>
      <c r="V761" s="95"/>
      <c r="W761" s="95"/>
    </row>
    <row r="762" spans="5:23" ht="10.15" customHeight="1">
      <c r="E762" s="95"/>
      <c r="F762" s="95"/>
      <c r="G762" s="95"/>
      <c r="H762" s="95"/>
      <c r="I762" s="95"/>
      <c r="J762" s="95"/>
      <c r="K762" s="95"/>
      <c r="L762" s="95"/>
      <c r="M762" s="95"/>
      <c r="N762" s="95"/>
      <c r="O762" s="95"/>
      <c r="P762" s="95"/>
      <c r="Q762" s="95"/>
      <c r="R762" s="95"/>
      <c r="T762" s="81"/>
      <c r="U762" s="95"/>
      <c r="V762" s="95"/>
      <c r="W762" s="95"/>
    </row>
    <row r="763" spans="5:23" ht="10.15" customHeight="1">
      <c r="E763" s="95"/>
      <c r="F763" s="95"/>
      <c r="G763" s="95"/>
      <c r="H763" s="95"/>
      <c r="I763" s="95"/>
      <c r="J763" s="95"/>
      <c r="K763" s="95"/>
      <c r="L763" s="95"/>
      <c r="M763" s="95"/>
      <c r="N763" s="95"/>
      <c r="O763" s="95"/>
      <c r="P763" s="95"/>
      <c r="Q763" s="95"/>
      <c r="R763" s="95"/>
      <c r="T763" s="81"/>
      <c r="U763" s="95"/>
      <c r="V763" s="95"/>
      <c r="W763" s="95"/>
    </row>
    <row r="764" spans="5:23" ht="10.15" customHeight="1">
      <c r="E764" s="95"/>
      <c r="F764" s="95"/>
      <c r="G764" s="95"/>
      <c r="H764" s="95"/>
      <c r="I764" s="95"/>
      <c r="J764" s="95"/>
      <c r="K764" s="95"/>
      <c r="L764" s="95"/>
      <c r="M764" s="95"/>
      <c r="N764" s="95"/>
      <c r="O764" s="95"/>
      <c r="P764" s="95"/>
      <c r="Q764" s="95"/>
      <c r="R764" s="95"/>
      <c r="T764" s="81"/>
      <c r="U764" s="95"/>
      <c r="V764" s="95"/>
      <c r="W764" s="95"/>
    </row>
    <row r="765" spans="5:23" ht="10.15" customHeight="1">
      <c r="E765" s="95"/>
      <c r="F765" s="95"/>
      <c r="G765" s="95"/>
      <c r="H765" s="95"/>
      <c r="I765" s="95"/>
      <c r="J765" s="95"/>
      <c r="K765" s="95"/>
      <c r="L765" s="95"/>
      <c r="M765" s="95"/>
      <c r="N765" s="95"/>
      <c r="O765" s="95"/>
      <c r="P765" s="95"/>
      <c r="Q765" s="95"/>
      <c r="R765" s="95"/>
      <c r="T765" s="81"/>
      <c r="U765" s="95"/>
      <c r="V765" s="95"/>
      <c r="W765" s="95"/>
    </row>
    <row r="766" spans="5:23" ht="10.15" customHeight="1">
      <c r="E766" s="95"/>
      <c r="F766" s="95"/>
      <c r="G766" s="95"/>
      <c r="H766" s="95"/>
      <c r="I766" s="95"/>
      <c r="J766" s="95"/>
      <c r="K766" s="95"/>
      <c r="L766" s="95"/>
      <c r="M766" s="95"/>
      <c r="N766" s="95"/>
      <c r="O766" s="95"/>
      <c r="P766" s="95"/>
      <c r="Q766" s="95"/>
      <c r="R766" s="95"/>
      <c r="T766" s="81"/>
      <c r="U766" s="95"/>
      <c r="V766" s="95"/>
      <c r="W766" s="95"/>
    </row>
    <row r="767" spans="5:23" ht="10.15" customHeight="1">
      <c r="E767" s="95"/>
      <c r="F767" s="95"/>
      <c r="G767" s="95"/>
      <c r="H767" s="95"/>
      <c r="I767" s="95"/>
      <c r="J767" s="95"/>
      <c r="K767" s="95"/>
      <c r="L767" s="95"/>
      <c r="M767" s="95"/>
      <c r="N767" s="95"/>
      <c r="O767" s="95"/>
      <c r="P767" s="95"/>
      <c r="Q767" s="95"/>
      <c r="R767" s="95"/>
      <c r="T767" s="81"/>
      <c r="U767" s="95"/>
      <c r="V767" s="95"/>
      <c r="W767" s="95"/>
    </row>
    <row r="768" spans="5:23" ht="10.15" customHeight="1">
      <c r="E768" s="95"/>
      <c r="F768" s="95"/>
      <c r="G768" s="95"/>
      <c r="H768" s="95"/>
      <c r="I768" s="95"/>
      <c r="J768" s="95"/>
      <c r="K768" s="95"/>
      <c r="L768" s="95"/>
      <c r="M768" s="95"/>
      <c r="N768" s="95"/>
      <c r="O768" s="95"/>
      <c r="P768" s="95"/>
      <c r="Q768" s="95"/>
      <c r="R768" s="95"/>
      <c r="T768" s="81"/>
      <c r="U768" s="95"/>
      <c r="V768" s="95"/>
      <c r="W768" s="95"/>
    </row>
    <row r="769" spans="5:23" ht="10.15" customHeight="1">
      <c r="E769" s="95"/>
      <c r="F769" s="95"/>
      <c r="G769" s="95"/>
      <c r="H769" s="95"/>
      <c r="I769" s="95"/>
      <c r="J769" s="95"/>
      <c r="K769" s="95"/>
      <c r="L769" s="95"/>
      <c r="M769" s="95"/>
      <c r="N769" s="95"/>
      <c r="O769" s="95"/>
      <c r="P769" s="95"/>
      <c r="Q769" s="95"/>
      <c r="R769" s="95"/>
      <c r="T769" s="81"/>
      <c r="U769" s="95"/>
      <c r="V769" s="95"/>
      <c r="W769" s="95"/>
    </row>
    <row r="770" spans="5:23" ht="10.15" customHeight="1">
      <c r="E770" s="95"/>
      <c r="F770" s="95"/>
      <c r="G770" s="95"/>
      <c r="H770" s="95"/>
      <c r="I770" s="95"/>
      <c r="J770" s="95"/>
      <c r="K770" s="95"/>
      <c r="L770" s="95"/>
      <c r="M770" s="95"/>
      <c r="N770" s="95"/>
      <c r="O770" s="95"/>
      <c r="P770" s="95"/>
      <c r="Q770" s="95"/>
      <c r="R770" s="95"/>
      <c r="T770" s="81"/>
      <c r="U770" s="95"/>
      <c r="V770" s="95"/>
      <c r="W770" s="95"/>
    </row>
    <row r="771" spans="5:23" ht="10.15" customHeight="1">
      <c r="E771" s="95"/>
      <c r="F771" s="95"/>
      <c r="G771" s="95"/>
      <c r="H771" s="95"/>
      <c r="I771" s="95"/>
      <c r="J771" s="95"/>
      <c r="K771" s="95"/>
      <c r="L771" s="95"/>
      <c r="M771" s="95"/>
      <c r="N771" s="95"/>
      <c r="O771" s="95"/>
      <c r="P771" s="95"/>
      <c r="Q771" s="95"/>
      <c r="R771" s="95"/>
      <c r="T771" s="81"/>
      <c r="U771" s="95"/>
      <c r="V771" s="95"/>
      <c r="W771" s="95"/>
    </row>
    <row r="772" spans="5:23" ht="10.15" customHeight="1">
      <c r="E772" s="95"/>
      <c r="F772" s="95"/>
      <c r="G772" s="95"/>
      <c r="H772" s="95"/>
      <c r="I772" s="95"/>
      <c r="J772" s="95"/>
      <c r="K772" s="95"/>
      <c r="L772" s="95"/>
      <c r="M772" s="95"/>
      <c r="N772" s="95"/>
      <c r="O772" s="95"/>
      <c r="P772" s="95"/>
      <c r="Q772" s="95"/>
      <c r="R772" s="95"/>
      <c r="T772" s="81"/>
      <c r="U772" s="95"/>
      <c r="V772" s="95"/>
      <c r="W772" s="95"/>
    </row>
    <row r="773" spans="5:23" ht="10.15" customHeight="1">
      <c r="E773" s="95"/>
      <c r="F773" s="95"/>
      <c r="G773" s="95"/>
      <c r="H773" s="95"/>
      <c r="I773" s="95"/>
      <c r="J773" s="95"/>
      <c r="K773" s="95"/>
      <c r="L773" s="95"/>
      <c r="M773" s="95"/>
      <c r="N773" s="95"/>
      <c r="O773" s="95"/>
      <c r="P773" s="95"/>
      <c r="Q773" s="95"/>
      <c r="R773" s="95"/>
      <c r="T773" s="81"/>
      <c r="U773" s="95"/>
      <c r="V773" s="95"/>
      <c r="W773" s="95"/>
    </row>
    <row r="774" spans="5:23" ht="10.15" customHeight="1">
      <c r="E774" s="95"/>
      <c r="F774" s="95"/>
      <c r="G774" s="95"/>
      <c r="H774" s="95"/>
      <c r="I774" s="95"/>
      <c r="J774" s="95"/>
      <c r="K774" s="95"/>
      <c r="L774" s="95"/>
      <c r="M774" s="95"/>
      <c r="N774" s="95"/>
      <c r="O774" s="95"/>
      <c r="P774" s="95"/>
      <c r="Q774" s="95"/>
      <c r="R774" s="95"/>
      <c r="T774" s="81"/>
      <c r="U774" s="95"/>
      <c r="V774" s="95"/>
      <c r="W774" s="95"/>
    </row>
    <row r="775" spans="5:23" ht="10.15" customHeight="1">
      <c r="E775" s="95"/>
      <c r="F775" s="95"/>
      <c r="G775" s="95"/>
      <c r="H775" s="95"/>
      <c r="I775" s="95"/>
      <c r="J775" s="95"/>
      <c r="K775" s="95"/>
      <c r="L775" s="95"/>
      <c r="M775" s="95"/>
      <c r="N775" s="95"/>
      <c r="O775" s="95"/>
      <c r="P775" s="95"/>
      <c r="Q775" s="95"/>
      <c r="R775" s="95"/>
      <c r="T775" s="81"/>
      <c r="U775" s="95"/>
      <c r="V775" s="95"/>
      <c r="W775" s="95"/>
    </row>
    <row r="776" spans="5:23" ht="10.15" customHeight="1">
      <c r="E776" s="95"/>
      <c r="F776" s="95"/>
      <c r="G776" s="95"/>
      <c r="H776" s="95"/>
      <c r="I776" s="95"/>
      <c r="J776" s="95"/>
      <c r="K776" s="95"/>
      <c r="L776" s="95"/>
      <c r="M776" s="95"/>
      <c r="N776" s="95"/>
      <c r="O776" s="95"/>
      <c r="P776" s="95"/>
      <c r="Q776" s="95"/>
      <c r="R776" s="95"/>
      <c r="T776" s="81"/>
      <c r="U776" s="95"/>
      <c r="V776" s="95"/>
      <c r="W776" s="95"/>
    </row>
    <row r="777" spans="5:23" ht="10.15" customHeight="1">
      <c r="E777" s="95"/>
      <c r="F777" s="95"/>
      <c r="G777" s="95"/>
      <c r="H777" s="95"/>
      <c r="I777" s="95"/>
      <c r="J777" s="95"/>
      <c r="K777" s="95"/>
      <c r="L777" s="95"/>
      <c r="M777" s="95"/>
      <c r="N777" s="95"/>
      <c r="O777" s="95"/>
      <c r="P777" s="95"/>
      <c r="Q777" s="95"/>
      <c r="R777" s="95"/>
      <c r="T777" s="81"/>
      <c r="U777" s="95"/>
      <c r="V777" s="95"/>
      <c r="W777" s="95"/>
    </row>
    <row r="778" spans="5:23" ht="10.15" customHeight="1">
      <c r="E778" s="95"/>
      <c r="F778" s="95"/>
      <c r="G778" s="95"/>
      <c r="H778" s="95"/>
      <c r="I778" s="95"/>
      <c r="J778" s="95"/>
      <c r="K778" s="95"/>
      <c r="L778" s="95"/>
      <c r="M778" s="95"/>
      <c r="N778" s="95"/>
      <c r="O778" s="95"/>
      <c r="P778" s="95"/>
      <c r="Q778" s="95"/>
      <c r="R778" s="95"/>
      <c r="T778" s="81"/>
      <c r="U778" s="95"/>
      <c r="V778" s="95"/>
      <c r="W778" s="95"/>
    </row>
    <row r="779" spans="5:23" ht="10.15" customHeight="1">
      <c r="E779" s="95"/>
      <c r="F779" s="95"/>
      <c r="G779" s="95"/>
      <c r="H779" s="95"/>
      <c r="I779" s="95"/>
      <c r="J779" s="95"/>
      <c r="K779" s="95"/>
      <c r="L779" s="95"/>
      <c r="M779" s="95"/>
      <c r="N779" s="95"/>
      <c r="O779" s="95"/>
      <c r="P779" s="95"/>
      <c r="Q779" s="95"/>
      <c r="R779" s="95"/>
      <c r="T779" s="81"/>
      <c r="U779" s="95"/>
      <c r="V779" s="95"/>
      <c r="W779" s="95"/>
    </row>
    <row r="780" spans="5:23" ht="10.15" customHeight="1">
      <c r="E780" s="95"/>
      <c r="F780" s="95"/>
      <c r="G780" s="95"/>
      <c r="H780" s="95"/>
      <c r="I780" s="95"/>
      <c r="J780" s="95"/>
      <c r="K780" s="95"/>
      <c r="L780" s="95"/>
      <c r="M780" s="95"/>
      <c r="N780" s="95"/>
      <c r="O780" s="95"/>
      <c r="P780" s="95"/>
      <c r="Q780" s="95"/>
      <c r="R780" s="95"/>
      <c r="T780" s="81"/>
      <c r="U780" s="95"/>
      <c r="V780" s="95"/>
      <c r="W780" s="95"/>
    </row>
    <row r="781" spans="5:23" ht="10.15" customHeight="1">
      <c r="E781" s="95"/>
      <c r="F781" s="95"/>
      <c r="G781" s="95"/>
      <c r="H781" s="95"/>
      <c r="I781" s="95"/>
      <c r="J781" s="95"/>
      <c r="K781" s="95"/>
      <c r="L781" s="95"/>
      <c r="M781" s="95"/>
      <c r="N781" s="95"/>
      <c r="O781" s="95"/>
      <c r="P781" s="95"/>
      <c r="Q781" s="95"/>
      <c r="R781" s="95"/>
      <c r="T781" s="81"/>
      <c r="U781" s="95"/>
      <c r="V781" s="95"/>
      <c r="W781" s="95"/>
    </row>
    <row r="782" spans="5:23" ht="10.15" customHeight="1">
      <c r="E782" s="95"/>
      <c r="F782" s="95"/>
      <c r="G782" s="95"/>
      <c r="H782" s="95"/>
      <c r="I782" s="95"/>
      <c r="J782" s="95"/>
      <c r="K782" s="95"/>
      <c r="L782" s="95"/>
      <c r="M782" s="95"/>
      <c r="N782" s="95"/>
      <c r="O782" s="95"/>
      <c r="P782" s="95"/>
      <c r="Q782" s="95"/>
      <c r="R782" s="95"/>
      <c r="T782" s="81"/>
      <c r="U782" s="95"/>
      <c r="V782" s="95"/>
      <c r="W782" s="95"/>
    </row>
    <row r="783" spans="5:23" ht="10.15" customHeight="1">
      <c r="E783" s="95"/>
      <c r="F783" s="95"/>
      <c r="G783" s="95"/>
      <c r="H783" s="95"/>
      <c r="I783" s="95"/>
      <c r="J783" s="95"/>
      <c r="K783" s="95"/>
      <c r="L783" s="95"/>
      <c r="M783" s="95"/>
      <c r="N783" s="95"/>
      <c r="O783" s="95"/>
      <c r="P783" s="95"/>
      <c r="Q783" s="95"/>
      <c r="R783" s="95"/>
      <c r="T783" s="81"/>
      <c r="U783" s="95"/>
      <c r="V783" s="95"/>
      <c r="W783" s="95"/>
    </row>
    <row r="784" spans="5:23" ht="10.15" customHeight="1">
      <c r="E784" s="95"/>
      <c r="F784" s="95"/>
      <c r="G784" s="95"/>
      <c r="H784" s="95"/>
      <c r="I784" s="95"/>
      <c r="J784" s="95"/>
      <c r="K784" s="95"/>
      <c r="L784" s="95"/>
      <c r="M784" s="95"/>
      <c r="N784" s="95"/>
      <c r="O784" s="95"/>
      <c r="P784" s="95"/>
      <c r="Q784" s="95"/>
      <c r="R784" s="95"/>
      <c r="T784" s="81"/>
      <c r="U784" s="95"/>
      <c r="V784" s="95"/>
      <c r="W784" s="95"/>
    </row>
    <row r="785" spans="5:23" ht="10.15" customHeight="1">
      <c r="E785" s="95"/>
      <c r="F785" s="95"/>
      <c r="G785" s="95"/>
      <c r="H785" s="95"/>
      <c r="I785" s="95"/>
      <c r="J785" s="95"/>
      <c r="K785" s="95"/>
      <c r="L785" s="95"/>
      <c r="M785" s="95"/>
      <c r="N785" s="95"/>
      <c r="O785" s="95"/>
      <c r="P785" s="95"/>
      <c r="Q785" s="95"/>
      <c r="R785" s="95"/>
      <c r="T785" s="81"/>
      <c r="U785" s="95"/>
      <c r="V785" s="95"/>
      <c r="W785" s="95"/>
    </row>
    <row r="786" spans="5:23" ht="10.15" customHeight="1">
      <c r="E786" s="95"/>
      <c r="F786" s="95"/>
      <c r="G786" s="95"/>
      <c r="H786" s="95"/>
      <c r="I786" s="95"/>
      <c r="J786" s="95"/>
      <c r="K786" s="95"/>
      <c r="L786" s="95"/>
      <c r="M786" s="95"/>
      <c r="N786" s="95"/>
      <c r="O786" s="95"/>
      <c r="P786" s="95"/>
      <c r="Q786" s="95"/>
      <c r="R786" s="95"/>
      <c r="T786" s="81"/>
      <c r="U786" s="95"/>
      <c r="V786" s="95"/>
      <c r="W786" s="95"/>
    </row>
    <row r="787" spans="5:23" ht="10.15" customHeight="1">
      <c r="E787" s="95"/>
      <c r="F787" s="95"/>
      <c r="G787" s="95"/>
      <c r="H787" s="95"/>
      <c r="I787" s="95"/>
      <c r="J787" s="95"/>
      <c r="K787" s="95"/>
      <c r="L787" s="95"/>
      <c r="M787" s="95"/>
      <c r="N787" s="95"/>
      <c r="O787" s="95"/>
      <c r="P787" s="95"/>
      <c r="Q787" s="95"/>
      <c r="R787" s="95"/>
      <c r="T787" s="81"/>
      <c r="U787" s="95"/>
      <c r="V787" s="95"/>
      <c r="W787" s="95"/>
    </row>
    <row r="788" spans="5:23" ht="10.15" customHeight="1">
      <c r="E788" s="95"/>
      <c r="F788" s="95"/>
      <c r="G788" s="95"/>
      <c r="H788" s="95"/>
      <c r="I788" s="95"/>
      <c r="J788" s="95"/>
      <c r="K788" s="95"/>
      <c r="L788" s="95"/>
      <c r="M788" s="95"/>
      <c r="N788" s="95"/>
      <c r="O788" s="95"/>
      <c r="P788" s="95"/>
      <c r="Q788" s="95"/>
      <c r="R788" s="95"/>
      <c r="T788" s="81"/>
      <c r="U788" s="95"/>
      <c r="V788" s="95"/>
      <c r="W788" s="95"/>
    </row>
    <row r="789" spans="5:23" ht="10.15" customHeight="1">
      <c r="E789" s="95"/>
      <c r="F789" s="95"/>
      <c r="G789" s="95"/>
      <c r="H789" s="95"/>
      <c r="I789" s="95"/>
      <c r="J789" s="95"/>
      <c r="K789" s="95"/>
      <c r="L789" s="95"/>
      <c r="M789" s="95"/>
      <c r="N789" s="95"/>
      <c r="O789" s="95"/>
      <c r="P789" s="95"/>
      <c r="Q789" s="95"/>
      <c r="R789" s="95"/>
      <c r="T789" s="81"/>
      <c r="U789" s="95"/>
      <c r="V789" s="95"/>
      <c r="W789" s="95"/>
    </row>
    <row r="790" spans="5:23" ht="10.15" customHeight="1">
      <c r="E790" s="95"/>
      <c r="F790" s="95"/>
      <c r="G790" s="95"/>
      <c r="H790" s="95"/>
      <c r="I790" s="95"/>
      <c r="J790" s="95"/>
      <c r="K790" s="95"/>
      <c r="L790" s="95"/>
      <c r="M790" s="95"/>
      <c r="N790" s="95"/>
      <c r="O790" s="95"/>
      <c r="P790" s="95"/>
      <c r="Q790" s="95"/>
      <c r="R790" s="95"/>
      <c r="T790" s="81"/>
      <c r="U790" s="95"/>
      <c r="V790" s="95"/>
      <c r="W790" s="95"/>
    </row>
    <row r="791" spans="5:23" ht="10.15" customHeight="1">
      <c r="E791" s="95"/>
      <c r="F791" s="95"/>
      <c r="G791" s="95"/>
      <c r="H791" s="95"/>
      <c r="I791" s="95"/>
      <c r="J791" s="95"/>
      <c r="K791" s="95"/>
      <c r="L791" s="95"/>
      <c r="M791" s="95"/>
      <c r="N791" s="95"/>
      <c r="O791" s="95"/>
      <c r="P791" s="95"/>
      <c r="Q791" s="95"/>
      <c r="R791" s="95"/>
      <c r="T791" s="81"/>
      <c r="U791" s="95"/>
      <c r="V791" s="95"/>
      <c r="W791" s="95"/>
    </row>
    <row r="792" spans="5:23" ht="10.15" customHeight="1">
      <c r="E792" s="95"/>
      <c r="F792" s="95"/>
      <c r="G792" s="95"/>
      <c r="H792" s="95"/>
      <c r="I792" s="95"/>
      <c r="J792" s="95"/>
      <c r="K792" s="95"/>
      <c r="L792" s="95"/>
      <c r="M792" s="95"/>
      <c r="N792" s="95"/>
      <c r="O792" s="95"/>
      <c r="P792" s="95"/>
      <c r="Q792" s="95"/>
      <c r="R792" s="95"/>
      <c r="T792" s="81"/>
      <c r="U792" s="95"/>
      <c r="V792" s="95"/>
      <c r="W792" s="95"/>
    </row>
    <row r="793" spans="5:23" ht="10.15" customHeight="1">
      <c r="E793" s="95"/>
      <c r="F793" s="95"/>
      <c r="G793" s="95"/>
      <c r="H793" s="95"/>
      <c r="I793" s="95"/>
      <c r="J793" s="95"/>
      <c r="K793" s="95"/>
      <c r="L793" s="95"/>
      <c r="M793" s="95"/>
      <c r="N793" s="95"/>
      <c r="O793" s="95"/>
      <c r="P793" s="95"/>
      <c r="Q793" s="95"/>
      <c r="R793" s="95"/>
      <c r="T793" s="81"/>
      <c r="U793" s="95"/>
      <c r="V793" s="95"/>
      <c r="W793" s="95"/>
    </row>
    <row r="794" spans="5:23" ht="10.15" customHeight="1">
      <c r="E794" s="95"/>
      <c r="F794" s="95"/>
      <c r="G794" s="95"/>
      <c r="H794" s="95"/>
      <c r="I794" s="95"/>
      <c r="J794" s="95"/>
      <c r="K794" s="95"/>
      <c r="L794" s="95"/>
      <c r="M794" s="95"/>
      <c r="N794" s="95"/>
      <c r="O794" s="95"/>
      <c r="P794" s="95"/>
      <c r="Q794" s="95"/>
      <c r="R794" s="95"/>
      <c r="T794" s="81"/>
      <c r="U794" s="95"/>
      <c r="V794" s="95"/>
      <c r="W794" s="95"/>
    </row>
    <row r="795" spans="5:23" ht="10.15" customHeight="1">
      <c r="E795" s="95"/>
      <c r="F795" s="95"/>
      <c r="G795" s="95"/>
      <c r="H795" s="95"/>
      <c r="I795" s="95"/>
      <c r="J795" s="95"/>
      <c r="K795" s="95"/>
      <c r="L795" s="95"/>
      <c r="M795" s="95"/>
      <c r="N795" s="95"/>
      <c r="O795" s="95"/>
      <c r="P795" s="95"/>
      <c r="Q795" s="95"/>
      <c r="R795" s="95"/>
      <c r="T795" s="81"/>
      <c r="U795" s="95"/>
      <c r="V795" s="95"/>
      <c r="W795" s="95"/>
    </row>
    <row r="796" spans="5:23" ht="10.15" customHeight="1">
      <c r="E796" s="95"/>
      <c r="F796" s="95"/>
      <c r="G796" s="95"/>
      <c r="H796" s="95"/>
      <c r="I796" s="95"/>
      <c r="J796" s="95"/>
      <c r="K796" s="95"/>
      <c r="L796" s="95"/>
      <c r="M796" s="95"/>
      <c r="N796" s="95"/>
      <c r="O796" s="95"/>
      <c r="P796" s="95"/>
      <c r="Q796" s="95"/>
      <c r="R796" s="95"/>
      <c r="T796" s="81"/>
      <c r="U796" s="95"/>
      <c r="V796" s="95"/>
      <c r="W796" s="95"/>
    </row>
    <row r="797" spans="5:23" ht="10.15" customHeight="1">
      <c r="E797" s="95"/>
      <c r="F797" s="95"/>
      <c r="G797" s="95"/>
      <c r="H797" s="95"/>
      <c r="I797" s="95"/>
      <c r="J797" s="95"/>
      <c r="K797" s="95"/>
      <c r="L797" s="95"/>
      <c r="M797" s="95"/>
      <c r="N797" s="95"/>
      <c r="O797" s="95"/>
      <c r="P797" s="95"/>
      <c r="Q797" s="95"/>
      <c r="R797" s="95"/>
      <c r="T797" s="81"/>
      <c r="U797" s="95"/>
      <c r="V797" s="95"/>
      <c r="W797" s="95"/>
    </row>
    <row r="798" spans="5:23" ht="10.15" customHeight="1">
      <c r="E798" s="95"/>
      <c r="F798" s="95"/>
      <c r="G798" s="95"/>
      <c r="H798" s="95"/>
      <c r="I798" s="95"/>
      <c r="J798" s="95"/>
      <c r="K798" s="95"/>
      <c r="L798" s="95"/>
      <c r="M798" s="95"/>
      <c r="N798" s="95"/>
      <c r="O798" s="95"/>
      <c r="P798" s="95"/>
      <c r="Q798" s="95"/>
      <c r="R798" s="95"/>
      <c r="T798" s="81"/>
      <c r="U798" s="95"/>
      <c r="V798" s="95"/>
      <c r="W798" s="95"/>
    </row>
    <row r="799" spans="5:23" ht="10.15" customHeight="1">
      <c r="E799" s="95"/>
      <c r="F799" s="95"/>
      <c r="G799" s="95"/>
      <c r="H799" s="95"/>
      <c r="I799" s="95"/>
      <c r="J799" s="95"/>
      <c r="K799" s="95"/>
      <c r="L799" s="95"/>
      <c r="M799" s="95"/>
      <c r="N799" s="95"/>
      <c r="O799" s="95"/>
      <c r="P799" s="95"/>
      <c r="Q799" s="95"/>
      <c r="R799" s="95"/>
      <c r="T799" s="81"/>
      <c r="U799" s="95"/>
      <c r="V799" s="95"/>
      <c r="W799" s="95"/>
    </row>
    <row r="800" spans="5:23" ht="10.15" customHeight="1">
      <c r="E800" s="95"/>
      <c r="F800" s="95"/>
      <c r="G800" s="95"/>
      <c r="H800" s="95"/>
      <c r="I800" s="95"/>
      <c r="J800" s="95"/>
      <c r="K800" s="95"/>
      <c r="L800" s="95"/>
      <c r="M800" s="95"/>
      <c r="N800" s="95"/>
      <c r="O800" s="95"/>
      <c r="P800" s="95"/>
      <c r="Q800" s="95"/>
      <c r="R800" s="95"/>
      <c r="T800" s="81"/>
      <c r="U800" s="95"/>
      <c r="V800" s="95"/>
      <c r="W800" s="95"/>
    </row>
    <row r="801" spans="5:23" ht="10.15" customHeight="1">
      <c r="E801" s="95"/>
      <c r="F801" s="95"/>
      <c r="G801" s="95"/>
      <c r="H801" s="95"/>
      <c r="I801" s="95"/>
      <c r="J801" s="95"/>
      <c r="K801" s="95"/>
      <c r="L801" s="95"/>
      <c r="M801" s="95"/>
      <c r="N801" s="95"/>
      <c r="O801" s="95"/>
      <c r="P801" s="95"/>
      <c r="Q801" s="95"/>
      <c r="R801" s="95"/>
      <c r="T801" s="81"/>
      <c r="U801" s="95"/>
      <c r="V801" s="95"/>
      <c r="W801" s="95"/>
    </row>
    <row r="802" spans="5:23" ht="10.15" customHeight="1">
      <c r="E802" s="95"/>
      <c r="F802" s="95"/>
      <c r="G802" s="95"/>
      <c r="H802" s="95"/>
      <c r="I802" s="95"/>
      <c r="J802" s="95"/>
      <c r="K802" s="95"/>
      <c r="L802" s="95"/>
      <c r="M802" s="95"/>
      <c r="N802" s="95"/>
      <c r="O802" s="95"/>
      <c r="P802" s="95"/>
      <c r="Q802" s="95"/>
      <c r="R802" s="95"/>
      <c r="T802" s="81"/>
      <c r="U802" s="95"/>
      <c r="V802" s="95"/>
      <c r="W802" s="95"/>
    </row>
    <row r="803" spans="5:23" ht="10.15" customHeight="1">
      <c r="E803" s="95"/>
      <c r="F803" s="95"/>
      <c r="G803" s="95"/>
      <c r="H803" s="95"/>
      <c r="I803" s="95"/>
      <c r="J803" s="95"/>
      <c r="K803" s="95"/>
      <c r="L803" s="95"/>
      <c r="M803" s="95"/>
      <c r="N803" s="95"/>
      <c r="O803" s="95"/>
      <c r="P803" s="95"/>
      <c r="Q803" s="95"/>
      <c r="R803" s="95"/>
      <c r="T803" s="81"/>
      <c r="U803" s="95"/>
      <c r="V803" s="95"/>
      <c r="W803" s="95"/>
    </row>
    <row r="804" spans="5:23" ht="10.15" customHeight="1">
      <c r="E804" s="95"/>
      <c r="F804" s="95"/>
      <c r="G804" s="95"/>
      <c r="H804" s="95"/>
      <c r="I804" s="95"/>
      <c r="J804" s="95"/>
      <c r="K804" s="95"/>
      <c r="L804" s="95"/>
      <c r="M804" s="95"/>
      <c r="N804" s="95"/>
      <c r="O804" s="95"/>
      <c r="P804" s="95"/>
      <c r="Q804" s="95"/>
      <c r="R804" s="95"/>
      <c r="T804" s="81"/>
      <c r="U804" s="95"/>
      <c r="V804" s="95"/>
      <c r="W804" s="95"/>
    </row>
    <row r="805" spans="5:23" ht="10.15" customHeight="1">
      <c r="E805" s="95"/>
      <c r="F805" s="95"/>
      <c r="G805" s="95"/>
      <c r="H805" s="95"/>
      <c r="I805" s="95"/>
      <c r="J805" s="95"/>
      <c r="K805" s="95"/>
      <c r="L805" s="95"/>
      <c r="M805" s="95"/>
      <c r="N805" s="95"/>
      <c r="O805" s="95"/>
      <c r="P805" s="95"/>
      <c r="Q805" s="95"/>
      <c r="R805" s="95"/>
      <c r="T805" s="81"/>
      <c r="U805" s="95"/>
      <c r="V805" s="95"/>
      <c r="W805" s="95"/>
    </row>
    <row r="806" spans="5:23" ht="10.15" customHeight="1">
      <c r="E806" s="95"/>
      <c r="F806" s="95"/>
      <c r="G806" s="95"/>
      <c r="H806" s="95"/>
      <c r="I806" s="95"/>
      <c r="J806" s="95"/>
      <c r="K806" s="95"/>
      <c r="L806" s="95"/>
      <c r="M806" s="95"/>
      <c r="N806" s="95"/>
      <c r="O806" s="95"/>
      <c r="P806" s="95"/>
      <c r="Q806" s="95"/>
      <c r="R806" s="95"/>
      <c r="T806" s="81"/>
      <c r="U806" s="95"/>
      <c r="V806" s="95"/>
      <c r="W806" s="95"/>
    </row>
    <row r="807" spans="5:23" ht="10.15" customHeight="1">
      <c r="E807" s="95"/>
      <c r="F807" s="95"/>
      <c r="G807" s="95"/>
      <c r="H807" s="95"/>
      <c r="I807" s="95"/>
      <c r="J807" s="95"/>
      <c r="K807" s="95"/>
      <c r="L807" s="95"/>
      <c r="M807" s="95"/>
      <c r="N807" s="95"/>
      <c r="O807" s="95"/>
      <c r="P807" s="95"/>
      <c r="Q807" s="95"/>
      <c r="R807" s="95"/>
      <c r="T807" s="81"/>
      <c r="U807" s="95"/>
      <c r="V807" s="95"/>
      <c r="W807" s="95"/>
    </row>
    <row r="808" spans="5:23" ht="10.15" customHeight="1">
      <c r="E808" s="95"/>
      <c r="F808" s="95"/>
      <c r="G808" s="95"/>
      <c r="H808" s="95"/>
      <c r="I808" s="95"/>
      <c r="J808" s="95"/>
      <c r="K808" s="95"/>
      <c r="L808" s="95"/>
      <c r="M808" s="95"/>
      <c r="N808" s="95"/>
      <c r="O808" s="95"/>
      <c r="P808" s="95"/>
      <c r="Q808" s="95"/>
      <c r="R808" s="95"/>
      <c r="T808" s="81"/>
      <c r="U808" s="95"/>
      <c r="V808" s="95"/>
      <c r="W808" s="95"/>
    </row>
    <row r="809" spans="5:23" ht="10.15" customHeight="1">
      <c r="E809" s="95"/>
      <c r="F809" s="95"/>
      <c r="G809" s="95"/>
      <c r="H809" s="95"/>
      <c r="I809" s="95"/>
      <c r="J809" s="95"/>
      <c r="K809" s="95"/>
      <c r="L809" s="95"/>
      <c r="M809" s="95"/>
      <c r="N809" s="95"/>
      <c r="O809" s="95"/>
      <c r="P809" s="95"/>
      <c r="Q809" s="95"/>
      <c r="R809" s="95"/>
      <c r="T809" s="81"/>
      <c r="U809" s="95"/>
      <c r="V809" s="95"/>
      <c r="W809" s="95"/>
    </row>
    <row r="810" spans="5:23" ht="10.15" customHeight="1">
      <c r="E810" s="95"/>
      <c r="F810" s="95"/>
      <c r="G810" s="95"/>
      <c r="H810" s="95"/>
      <c r="I810" s="95"/>
      <c r="J810" s="95"/>
      <c r="K810" s="95"/>
      <c r="L810" s="95"/>
      <c r="M810" s="95"/>
      <c r="N810" s="95"/>
      <c r="O810" s="95"/>
      <c r="P810" s="95"/>
      <c r="Q810" s="95"/>
      <c r="R810" s="95"/>
      <c r="T810" s="81"/>
      <c r="U810" s="95"/>
      <c r="V810" s="95"/>
      <c r="W810" s="95"/>
    </row>
    <row r="811" spans="5:23" ht="10.15" customHeight="1">
      <c r="E811" s="95"/>
      <c r="F811" s="95"/>
      <c r="G811" s="95"/>
      <c r="H811" s="95"/>
      <c r="I811" s="95"/>
      <c r="J811" s="95"/>
      <c r="K811" s="95"/>
      <c r="L811" s="95"/>
      <c r="M811" s="95"/>
      <c r="N811" s="95"/>
      <c r="O811" s="95"/>
      <c r="P811" s="95"/>
      <c r="Q811" s="95"/>
      <c r="R811" s="95"/>
      <c r="T811" s="81"/>
      <c r="U811" s="95"/>
      <c r="V811" s="95"/>
      <c r="W811" s="95"/>
    </row>
    <row r="812" spans="5:23" ht="10.15" customHeight="1">
      <c r="E812" s="95"/>
      <c r="F812" s="95"/>
      <c r="G812" s="95"/>
      <c r="H812" s="95"/>
      <c r="I812" s="95"/>
      <c r="J812" s="95"/>
      <c r="K812" s="95"/>
      <c r="L812" s="95"/>
      <c r="M812" s="95"/>
      <c r="N812" s="95"/>
      <c r="O812" s="95"/>
      <c r="P812" s="95"/>
      <c r="Q812" s="95"/>
      <c r="R812" s="95"/>
      <c r="T812" s="81"/>
      <c r="U812" s="95"/>
      <c r="V812" s="95"/>
      <c r="W812" s="95"/>
    </row>
    <row r="813" spans="5:23" ht="10.15" customHeight="1">
      <c r="E813" s="95"/>
      <c r="F813" s="95"/>
      <c r="G813" s="95"/>
      <c r="H813" s="95"/>
      <c r="I813" s="95"/>
      <c r="J813" s="95"/>
      <c r="K813" s="95"/>
      <c r="L813" s="95"/>
      <c r="M813" s="95"/>
      <c r="N813" s="95"/>
      <c r="O813" s="95"/>
      <c r="P813" s="95"/>
      <c r="Q813" s="95"/>
      <c r="R813" s="95"/>
      <c r="T813" s="81"/>
      <c r="U813" s="95"/>
      <c r="V813" s="95"/>
      <c r="W813" s="95"/>
    </row>
    <row r="814" spans="5:23" ht="10.15" customHeight="1">
      <c r="E814" s="95"/>
      <c r="F814" s="95"/>
      <c r="G814" s="95"/>
      <c r="H814" s="95"/>
      <c r="I814" s="95"/>
      <c r="J814" s="95"/>
      <c r="K814" s="95"/>
      <c r="L814" s="95"/>
      <c r="M814" s="95"/>
      <c r="N814" s="95"/>
      <c r="O814" s="95"/>
      <c r="P814" s="95"/>
      <c r="Q814" s="95"/>
      <c r="R814" s="95"/>
      <c r="T814" s="81"/>
      <c r="U814" s="95"/>
      <c r="V814" s="95"/>
      <c r="W814" s="95"/>
    </row>
    <row r="815" spans="5:23" ht="10.15" customHeight="1">
      <c r="E815" s="95"/>
      <c r="F815" s="95"/>
      <c r="G815" s="95"/>
      <c r="H815" s="95"/>
      <c r="I815" s="95"/>
      <c r="J815" s="95"/>
      <c r="K815" s="95"/>
      <c r="L815" s="95"/>
      <c r="M815" s="95"/>
      <c r="N815" s="95"/>
      <c r="O815" s="95"/>
      <c r="P815" s="95"/>
      <c r="Q815" s="95"/>
      <c r="R815" s="95"/>
      <c r="T815" s="81"/>
      <c r="U815" s="95"/>
      <c r="V815" s="95"/>
      <c r="W815" s="95"/>
    </row>
    <row r="816" spans="5:23" ht="10.15" customHeight="1">
      <c r="E816" s="95"/>
      <c r="F816" s="95"/>
      <c r="G816" s="95"/>
      <c r="H816" s="95"/>
      <c r="I816" s="95"/>
      <c r="J816" s="95"/>
      <c r="K816" s="95"/>
      <c r="L816" s="95"/>
      <c r="M816" s="95"/>
      <c r="N816" s="95"/>
      <c r="O816" s="95"/>
      <c r="P816" s="95"/>
      <c r="Q816" s="95"/>
      <c r="R816" s="95"/>
      <c r="T816" s="81"/>
      <c r="U816" s="95"/>
      <c r="V816" s="95"/>
      <c r="W816" s="95"/>
    </row>
    <row r="817" spans="5:23" ht="10.15" customHeight="1">
      <c r="E817" s="95"/>
      <c r="F817" s="95"/>
      <c r="G817" s="95"/>
      <c r="H817" s="95"/>
      <c r="I817" s="95"/>
      <c r="J817" s="95"/>
      <c r="K817" s="95"/>
      <c r="L817" s="95"/>
      <c r="M817" s="95"/>
      <c r="N817" s="95"/>
      <c r="O817" s="95"/>
      <c r="P817" s="95"/>
      <c r="Q817" s="95"/>
      <c r="R817" s="95"/>
      <c r="T817" s="81"/>
      <c r="U817" s="95"/>
      <c r="V817" s="95"/>
      <c r="W817" s="95"/>
    </row>
    <row r="818" spans="5:23" ht="10.15" customHeight="1">
      <c r="E818" s="95"/>
      <c r="F818" s="95"/>
      <c r="G818" s="95"/>
      <c r="H818" s="95"/>
      <c r="I818" s="95"/>
      <c r="J818" s="95"/>
      <c r="K818" s="95"/>
      <c r="L818" s="95"/>
      <c r="M818" s="95"/>
      <c r="N818" s="95"/>
      <c r="O818" s="95"/>
      <c r="P818" s="95"/>
      <c r="Q818" s="95"/>
      <c r="R818" s="95"/>
      <c r="T818" s="81"/>
      <c r="U818" s="95"/>
      <c r="V818" s="95"/>
      <c r="W818" s="95"/>
    </row>
    <row r="819" spans="5:23" ht="10.15" customHeight="1">
      <c r="E819" s="95"/>
      <c r="F819" s="95"/>
      <c r="G819" s="95"/>
      <c r="H819" s="95"/>
      <c r="I819" s="95"/>
      <c r="J819" s="95"/>
      <c r="K819" s="95"/>
      <c r="L819" s="95"/>
      <c r="M819" s="95"/>
      <c r="N819" s="95"/>
      <c r="O819" s="95"/>
      <c r="P819" s="95"/>
      <c r="Q819" s="95"/>
      <c r="R819" s="95"/>
      <c r="T819" s="81"/>
      <c r="U819" s="95"/>
      <c r="V819" s="95"/>
      <c r="W819" s="95"/>
    </row>
    <row r="820" spans="5:23" ht="10.15" customHeight="1">
      <c r="E820" s="95"/>
      <c r="F820" s="95"/>
      <c r="G820" s="95"/>
      <c r="H820" s="95"/>
      <c r="I820" s="95"/>
      <c r="J820" s="95"/>
      <c r="K820" s="95"/>
      <c r="L820" s="95"/>
      <c r="M820" s="95"/>
      <c r="N820" s="95"/>
      <c r="O820" s="95"/>
      <c r="P820" s="95"/>
      <c r="Q820" s="95"/>
      <c r="R820" s="95"/>
      <c r="T820" s="81"/>
      <c r="U820" s="95"/>
      <c r="V820" s="95"/>
      <c r="W820" s="95"/>
    </row>
    <row r="821" spans="5:23" ht="10.15" customHeight="1">
      <c r="E821" s="95"/>
      <c r="F821" s="95"/>
      <c r="G821" s="95"/>
      <c r="H821" s="95"/>
      <c r="I821" s="95"/>
      <c r="J821" s="95"/>
      <c r="K821" s="95"/>
      <c r="L821" s="95"/>
      <c r="M821" s="95"/>
      <c r="N821" s="95"/>
      <c r="O821" s="95"/>
      <c r="P821" s="95"/>
      <c r="Q821" s="95"/>
      <c r="R821" s="95"/>
      <c r="T821" s="81"/>
      <c r="U821" s="95"/>
      <c r="V821" s="95"/>
      <c r="W821" s="95"/>
    </row>
    <row r="822" spans="5:23" ht="10.15" customHeight="1">
      <c r="E822" s="95"/>
      <c r="F822" s="95"/>
      <c r="G822" s="95"/>
      <c r="H822" s="95"/>
      <c r="I822" s="95"/>
      <c r="J822" s="95"/>
      <c r="K822" s="95"/>
      <c r="L822" s="95"/>
      <c r="M822" s="95"/>
      <c r="N822" s="95"/>
      <c r="O822" s="95"/>
      <c r="P822" s="95"/>
      <c r="Q822" s="95"/>
      <c r="R822" s="95"/>
      <c r="T822" s="81"/>
      <c r="U822" s="95"/>
      <c r="V822" s="95"/>
      <c r="W822" s="95"/>
    </row>
    <row r="823" spans="5:23" ht="10.15" customHeight="1">
      <c r="E823" s="95"/>
      <c r="F823" s="95"/>
      <c r="G823" s="95"/>
      <c r="H823" s="95"/>
      <c r="I823" s="95"/>
      <c r="J823" s="95"/>
      <c r="K823" s="95"/>
      <c r="L823" s="95"/>
      <c r="M823" s="95"/>
      <c r="N823" s="95"/>
      <c r="O823" s="95"/>
      <c r="P823" s="95"/>
      <c r="Q823" s="95"/>
      <c r="R823" s="95"/>
      <c r="T823" s="81"/>
      <c r="U823" s="95"/>
      <c r="V823" s="95"/>
      <c r="W823" s="95"/>
    </row>
    <row r="824" spans="5:23" ht="10.15" customHeight="1">
      <c r="E824" s="95"/>
      <c r="F824" s="95"/>
      <c r="G824" s="95"/>
      <c r="H824" s="95"/>
      <c r="I824" s="95"/>
      <c r="J824" s="95"/>
      <c r="K824" s="95"/>
      <c r="L824" s="95"/>
      <c r="M824" s="95"/>
      <c r="N824" s="95"/>
      <c r="O824" s="95"/>
      <c r="P824" s="95"/>
      <c r="Q824" s="95"/>
      <c r="R824" s="95"/>
      <c r="T824" s="81"/>
      <c r="U824" s="95"/>
      <c r="V824" s="95"/>
      <c r="W824" s="95"/>
    </row>
    <row r="825" spans="5:23" ht="10.15" customHeight="1">
      <c r="E825" s="95"/>
      <c r="F825" s="95"/>
      <c r="G825" s="95"/>
      <c r="H825" s="95"/>
      <c r="I825" s="95"/>
      <c r="J825" s="95"/>
      <c r="K825" s="95"/>
      <c r="L825" s="95"/>
      <c r="M825" s="95"/>
      <c r="N825" s="95"/>
      <c r="O825" s="95"/>
      <c r="P825" s="95"/>
      <c r="Q825" s="95"/>
      <c r="R825" s="95"/>
      <c r="T825" s="81"/>
      <c r="U825" s="95"/>
      <c r="V825" s="95"/>
      <c r="W825" s="95"/>
    </row>
    <row r="826" spans="5:23" ht="10.15" customHeight="1">
      <c r="E826" s="95"/>
      <c r="F826" s="95"/>
      <c r="G826" s="95"/>
      <c r="H826" s="95"/>
      <c r="I826" s="95"/>
      <c r="J826" s="95"/>
      <c r="K826" s="95"/>
      <c r="L826" s="95"/>
      <c r="M826" s="95"/>
      <c r="N826" s="95"/>
      <c r="O826" s="95"/>
      <c r="P826" s="95"/>
      <c r="Q826" s="95"/>
      <c r="R826" s="95"/>
      <c r="T826" s="81"/>
      <c r="U826" s="95"/>
      <c r="V826" s="95"/>
      <c r="W826" s="95"/>
    </row>
    <row r="827" spans="5:23" ht="10.15" customHeight="1">
      <c r="E827" s="95"/>
      <c r="F827" s="95"/>
      <c r="G827" s="95"/>
      <c r="H827" s="95"/>
      <c r="I827" s="95"/>
      <c r="J827" s="95"/>
      <c r="K827" s="95"/>
      <c r="L827" s="95"/>
      <c r="M827" s="95"/>
      <c r="N827" s="95"/>
      <c r="O827" s="95"/>
      <c r="P827" s="95"/>
      <c r="Q827" s="95"/>
      <c r="R827" s="95"/>
      <c r="T827" s="81"/>
      <c r="U827" s="95"/>
      <c r="V827" s="95"/>
      <c r="W827" s="95"/>
    </row>
    <row r="828" spans="5:23" ht="10.15" customHeight="1">
      <c r="E828" s="95"/>
      <c r="F828" s="95"/>
      <c r="G828" s="95"/>
      <c r="H828" s="95"/>
      <c r="I828" s="95"/>
      <c r="J828" s="95"/>
      <c r="K828" s="95"/>
      <c r="L828" s="95"/>
      <c r="M828" s="95"/>
      <c r="N828" s="95"/>
      <c r="O828" s="95"/>
      <c r="P828" s="95"/>
      <c r="Q828" s="95"/>
      <c r="R828" s="95"/>
      <c r="T828" s="81"/>
      <c r="U828" s="95"/>
      <c r="V828" s="95"/>
      <c r="W828" s="95"/>
    </row>
    <row r="829" spans="5:23" ht="10.15" customHeight="1">
      <c r="E829" s="95"/>
      <c r="F829" s="95"/>
      <c r="G829" s="95"/>
      <c r="H829" s="95"/>
      <c r="I829" s="95"/>
      <c r="J829" s="95"/>
      <c r="K829" s="95"/>
      <c r="L829" s="95"/>
      <c r="M829" s="95"/>
      <c r="N829" s="95"/>
      <c r="O829" s="95"/>
      <c r="P829" s="95"/>
      <c r="Q829" s="95"/>
      <c r="R829" s="95"/>
      <c r="T829" s="81"/>
      <c r="U829" s="95"/>
      <c r="V829" s="95"/>
      <c r="W829" s="95"/>
    </row>
    <row r="830" spans="5:23" ht="10.15" customHeight="1">
      <c r="E830" s="95"/>
      <c r="F830" s="95"/>
      <c r="G830" s="95"/>
      <c r="H830" s="95"/>
      <c r="I830" s="95"/>
      <c r="J830" s="95"/>
      <c r="K830" s="95"/>
      <c r="L830" s="95"/>
      <c r="M830" s="95"/>
      <c r="N830" s="95"/>
      <c r="O830" s="95"/>
      <c r="P830" s="95"/>
      <c r="Q830" s="95"/>
      <c r="R830" s="95"/>
      <c r="T830" s="81"/>
      <c r="U830" s="95"/>
      <c r="V830" s="95"/>
      <c r="W830" s="95"/>
    </row>
    <row r="831" spans="5:23" ht="10.15" customHeight="1">
      <c r="E831" s="95"/>
      <c r="F831" s="95"/>
      <c r="G831" s="95"/>
      <c r="H831" s="95"/>
      <c r="I831" s="95"/>
      <c r="J831" s="95"/>
      <c r="K831" s="95"/>
      <c r="L831" s="95"/>
      <c r="M831" s="95"/>
      <c r="N831" s="95"/>
      <c r="O831" s="95"/>
      <c r="P831" s="95"/>
      <c r="Q831" s="95"/>
      <c r="R831" s="95"/>
      <c r="T831" s="81"/>
      <c r="U831" s="95"/>
      <c r="V831" s="95"/>
      <c r="W831" s="95"/>
    </row>
    <row r="832" spans="5:23" ht="10.15" customHeight="1">
      <c r="E832" s="95"/>
      <c r="F832" s="95"/>
      <c r="G832" s="95"/>
      <c r="H832" s="95"/>
      <c r="I832" s="95"/>
      <c r="J832" s="95"/>
      <c r="K832" s="95"/>
      <c r="L832" s="95"/>
      <c r="M832" s="95"/>
      <c r="N832" s="95"/>
      <c r="O832" s="95"/>
      <c r="P832" s="95"/>
      <c r="Q832" s="95"/>
      <c r="R832" s="95"/>
      <c r="T832" s="81"/>
      <c r="U832" s="95"/>
      <c r="V832" s="95"/>
      <c r="W832" s="95"/>
    </row>
    <row r="833" spans="5:23" ht="10.15" customHeight="1">
      <c r="E833" s="95"/>
      <c r="F833" s="95"/>
      <c r="G833" s="95"/>
      <c r="H833" s="95"/>
      <c r="I833" s="95"/>
      <c r="J833" s="95"/>
      <c r="K833" s="95"/>
      <c r="L833" s="95"/>
      <c r="M833" s="95"/>
      <c r="N833" s="95"/>
      <c r="O833" s="95"/>
      <c r="P833" s="95"/>
      <c r="Q833" s="95"/>
      <c r="R833" s="95"/>
      <c r="T833" s="81"/>
      <c r="U833" s="95"/>
      <c r="V833" s="95"/>
      <c r="W833" s="95"/>
    </row>
    <row r="834" spans="5:23" ht="10.15" customHeight="1">
      <c r="E834" s="95"/>
      <c r="F834" s="95"/>
      <c r="G834" s="95"/>
      <c r="H834" s="95"/>
      <c r="I834" s="95"/>
      <c r="J834" s="95"/>
      <c r="K834" s="95"/>
      <c r="L834" s="95"/>
      <c r="M834" s="95"/>
      <c r="N834" s="95"/>
      <c r="O834" s="95"/>
      <c r="P834" s="95"/>
      <c r="Q834" s="95"/>
      <c r="R834" s="95"/>
      <c r="T834" s="81"/>
      <c r="U834" s="95"/>
      <c r="V834" s="95"/>
      <c r="W834" s="95"/>
    </row>
    <row r="835" spans="5:23" ht="10.15" customHeight="1">
      <c r="E835" s="95"/>
      <c r="F835" s="95"/>
      <c r="G835" s="95"/>
      <c r="H835" s="95"/>
      <c r="I835" s="95"/>
      <c r="J835" s="95"/>
      <c r="K835" s="95"/>
      <c r="L835" s="95"/>
      <c r="M835" s="95"/>
      <c r="N835" s="95"/>
      <c r="O835" s="95"/>
      <c r="P835" s="95"/>
      <c r="Q835" s="95"/>
      <c r="R835" s="95"/>
      <c r="T835" s="81"/>
      <c r="U835" s="95"/>
      <c r="V835" s="95"/>
      <c r="W835" s="95"/>
    </row>
    <row r="836" spans="5:23" ht="10.15" customHeight="1">
      <c r="E836" s="95"/>
      <c r="F836" s="95"/>
      <c r="G836" s="95"/>
      <c r="H836" s="95"/>
      <c r="I836" s="95"/>
      <c r="J836" s="95"/>
      <c r="K836" s="95"/>
      <c r="L836" s="95"/>
      <c r="M836" s="95"/>
      <c r="N836" s="95"/>
      <c r="O836" s="95"/>
      <c r="P836" s="95"/>
      <c r="Q836" s="95"/>
      <c r="R836" s="95"/>
      <c r="T836" s="81"/>
      <c r="U836" s="95"/>
      <c r="V836" s="95"/>
      <c r="W836" s="95"/>
    </row>
    <row r="837" spans="5:23" ht="10.15" customHeight="1">
      <c r="E837" s="95"/>
      <c r="F837" s="95"/>
      <c r="G837" s="95"/>
      <c r="H837" s="95"/>
      <c r="I837" s="95"/>
      <c r="J837" s="95"/>
      <c r="K837" s="95"/>
      <c r="L837" s="95"/>
      <c r="M837" s="95"/>
      <c r="N837" s="95"/>
      <c r="O837" s="95"/>
      <c r="P837" s="95"/>
      <c r="Q837" s="95"/>
      <c r="R837" s="95"/>
      <c r="T837" s="81"/>
      <c r="U837" s="95"/>
      <c r="V837" s="95"/>
      <c r="W837" s="95"/>
    </row>
    <row r="838" spans="5:23" ht="10.15" customHeight="1">
      <c r="E838" s="95"/>
      <c r="F838" s="95"/>
      <c r="G838" s="95"/>
      <c r="H838" s="95"/>
      <c r="I838" s="95"/>
      <c r="J838" s="95"/>
      <c r="K838" s="95"/>
      <c r="L838" s="95"/>
      <c r="M838" s="95"/>
      <c r="N838" s="95"/>
      <c r="O838" s="95"/>
      <c r="P838" s="95"/>
      <c r="Q838" s="95"/>
      <c r="R838" s="95"/>
      <c r="T838" s="81"/>
      <c r="U838" s="95"/>
      <c r="V838" s="95"/>
      <c r="W838" s="95"/>
    </row>
    <row r="839" spans="5:23" ht="10.15" customHeight="1">
      <c r="E839" s="95"/>
      <c r="F839" s="95"/>
      <c r="G839" s="95"/>
      <c r="H839" s="95"/>
      <c r="I839" s="95"/>
      <c r="J839" s="95"/>
      <c r="K839" s="95"/>
      <c r="L839" s="95"/>
      <c r="M839" s="95"/>
      <c r="N839" s="95"/>
      <c r="O839" s="95"/>
      <c r="P839" s="95"/>
      <c r="Q839" s="95"/>
      <c r="R839" s="95"/>
      <c r="T839" s="81"/>
      <c r="U839" s="95"/>
      <c r="V839" s="95"/>
      <c r="W839" s="95"/>
    </row>
    <row r="840" spans="5:23" ht="10.15" customHeight="1">
      <c r="E840" s="95"/>
      <c r="F840" s="95"/>
      <c r="G840" s="95"/>
      <c r="H840" s="95"/>
      <c r="I840" s="95"/>
      <c r="J840" s="95"/>
      <c r="K840" s="95"/>
      <c r="L840" s="95"/>
      <c r="M840" s="95"/>
      <c r="N840" s="95"/>
      <c r="O840" s="95"/>
      <c r="P840" s="95"/>
      <c r="Q840" s="95"/>
      <c r="R840" s="95"/>
      <c r="T840" s="81"/>
      <c r="U840" s="95"/>
      <c r="V840" s="95"/>
      <c r="W840" s="95"/>
    </row>
    <row r="841" spans="5:23" ht="10.15" customHeight="1">
      <c r="E841" s="95"/>
      <c r="F841" s="95"/>
      <c r="G841" s="95"/>
      <c r="H841" s="95"/>
      <c r="I841" s="95"/>
      <c r="J841" s="95"/>
      <c r="K841" s="95"/>
      <c r="L841" s="95"/>
      <c r="M841" s="95"/>
      <c r="N841" s="95"/>
      <c r="O841" s="95"/>
      <c r="P841" s="95"/>
      <c r="Q841" s="95"/>
      <c r="R841" s="95"/>
      <c r="T841" s="81"/>
      <c r="U841" s="95"/>
      <c r="V841" s="95"/>
      <c r="W841" s="95"/>
    </row>
    <row r="842" spans="5:23" ht="10.15" customHeight="1">
      <c r="E842" s="95"/>
      <c r="F842" s="95"/>
      <c r="G842" s="95"/>
      <c r="H842" s="95"/>
      <c r="I842" s="95"/>
      <c r="J842" s="95"/>
      <c r="K842" s="95"/>
      <c r="L842" s="95"/>
      <c r="M842" s="95"/>
      <c r="N842" s="95"/>
      <c r="O842" s="95"/>
      <c r="P842" s="95"/>
      <c r="Q842" s="95"/>
      <c r="R842" s="95"/>
      <c r="T842" s="81"/>
      <c r="U842" s="95"/>
      <c r="V842" s="95"/>
      <c r="W842" s="95"/>
    </row>
    <row r="843" spans="5:23" ht="10.15" customHeight="1">
      <c r="E843" s="95"/>
      <c r="F843" s="95"/>
      <c r="G843" s="95"/>
      <c r="H843" s="95"/>
      <c r="I843" s="95"/>
      <c r="J843" s="95"/>
      <c r="K843" s="95"/>
      <c r="L843" s="95"/>
      <c r="M843" s="95"/>
      <c r="N843" s="95"/>
      <c r="O843" s="95"/>
      <c r="P843" s="95"/>
      <c r="Q843" s="95"/>
      <c r="R843" s="95"/>
      <c r="T843" s="81"/>
      <c r="U843" s="95"/>
      <c r="V843" s="95"/>
      <c r="W843" s="95"/>
    </row>
    <row r="844" spans="5:23" ht="10.15" customHeight="1">
      <c r="E844" s="95"/>
      <c r="F844" s="95"/>
      <c r="G844" s="95"/>
      <c r="H844" s="95"/>
      <c r="I844" s="95"/>
      <c r="J844" s="95"/>
      <c r="K844" s="95"/>
      <c r="L844" s="95"/>
      <c r="M844" s="95"/>
      <c r="N844" s="95"/>
      <c r="O844" s="95"/>
      <c r="P844" s="95"/>
      <c r="Q844" s="95"/>
      <c r="R844" s="95"/>
      <c r="T844" s="81"/>
      <c r="U844" s="95"/>
      <c r="V844" s="95"/>
      <c r="W844" s="95"/>
    </row>
    <row r="845" spans="5:23" ht="10.15" customHeight="1">
      <c r="E845" s="95"/>
      <c r="F845" s="95"/>
      <c r="G845" s="95"/>
      <c r="H845" s="95"/>
      <c r="I845" s="95"/>
      <c r="J845" s="95"/>
      <c r="K845" s="95"/>
      <c r="L845" s="95"/>
      <c r="M845" s="95"/>
      <c r="N845" s="95"/>
      <c r="O845" s="95"/>
      <c r="P845" s="95"/>
      <c r="Q845" s="95"/>
      <c r="R845" s="95"/>
      <c r="T845" s="81"/>
      <c r="U845" s="95"/>
      <c r="V845" s="95"/>
      <c r="W845" s="95"/>
    </row>
    <row r="846" spans="5:23" ht="10.15" customHeight="1">
      <c r="E846" s="95"/>
      <c r="F846" s="95"/>
      <c r="G846" s="95"/>
      <c r="H846" s="95"/>
      <c r="I846" s="95"/>
      <c r="J846" s="95"/>
      <c r="K846" s="95"/>
      <c r="L846" s="95"/>
      <c r="M846" s="95"/>
      <c r="N846" s="95"/>
      <c r="O846" s="95"/>
      <c r="P846" s="95"/>
      <c r="Q846" s="95"/>
      <c r="R846" s="95"/>
      <c r="T846" s="81"/>
      <c r="U846" s="95"/>
      <c r="V846" s="95"/>
      <c r="W846" s="95"/>
    </row>
    <row r="847" spans="5:23" ht="10.15" customHeight="1">
      <c r="E847" s="95"/>
      <c r="F847" s="95"/>
      <c r="G847" s="95"/>
      <c r="H847" s="95"/>
      <c r="I847" s="95"/>
      <c r="J847" s="95"/>
      <c r="K847" s="95"/>
      <c r="L847" s="95"/>
      <c r="M847" s="95"/>
      <c r="N847" s="95"/>
      <c r="O847" s="95"/>
      <c r="P847" s="95"/>
      <c r="Q847" s="95"/>
      <c r="R847" s="95"/>
      <c r="T847" s="81"/>
      <c r="U847" s="95"/>
      <c r="V847" s="95"/>
      <c r="W847" s="95"/>
    </row>
    <row r="848" spans="5:23" ht="10.15" customHeight="1">
      <c r="E848" s="95"/>
      <c r="F848" s="95"/>
      <c r="G848" s="95"/>
      <c r="H848" s="95"/>
      <c r="I848" s="95"/>
      <c r="J848" s="95"/>
      <c r="K848" s="95"/>
      <c r="L848" s="95"/>
      <c r="M848" s="95"/>
      <c r="N848" s="95"/>
      <c r="O848" s="95"/>
      <c r="P848" s="95"/>
      <c r="Q848" s="95"/>
      <c r="R848" s="95"/>
      <c r="T848" s="81"/>
      <c r="U848" s="95"/>
      <c r="V848" s="95"/>
      <c r="W848" s="95"/>
    </row>
    <row r="849" spans="5:23" ht="10.15" customHeight="1">
      <c r="E849" s="95"/>
      <c r="F849" s="95"/>
      <c r="G849" s="95"/>
      <c r="H849" s="95"/>
      <c r="I849" s="95"/>
      <c r="J849" s="95"/>
      <c r="K849" s="95"/>
      <c r="L849" s="95"/>
      <c r="M849" s="95"/>
      <c r="N849" s="95"/>
      <c r="O849" s="95"/>
      <c r="P849" s="95"/>
      <c r="Q849" s="95"/>
      <c r="R849" s="95"/>
      <c r="T849" s="81"/>
      <c r="U849" s="95"/>
      <c r="V849" s="95"/>
      <c r="W849" s="95"/>
    </row>
    <row r="850" spans="5:23" ht="10.15" customHeight="1">
      <c r="E850" s="95"/>
      <c r="F850" s="95"/>
      <c r="G850" s="95"/>
      <c r="H850" s="95"/>
      <c r="I850" s="95"/>
      <c r="J850" s="95"/>
      <c r="K850" s="95"/>
      <c r="L850" s="95"/>
      <c r="M850" s="95"/>
      <c r="N850" s="95"/>
      <c r="O850" s="95"/>
      <c r="P850" s="95"/>
      <c r="Q850" s="95"/>
      <c r="R850" s="95"/>
      <c r="T850" s="81"/>
      <c r="U850" s="95"/>
      <c r="V850" s="95"/>
      <c r="W850" s="95"/>
    </row>
    <row r="851" spans="5:23" ht="10.15" customHeight="1">
      <c r="E851" s="95"/>
      <c r="F851" s="95"/>
      <c r="G851" s="95"/>
      <c r="H851" s="95"/>
      <c r="I851" s="95"/>
      <c r="J851" s="95"/>
      <c r="K851" s="95"/>
      <c r="L851" s="95"/>
      <c r="M851" s="95"/>
      <c r="N851" s="95"/>
      <c r="O851" s="95"/>
      <c r="P851" s="95"/>
      <c r="Q851" s="95"/>
      <c r="R851" s="95"/>
      <c r="T851" s="81"/>
      <c r="U851" s="95"/>
      <c r="V851" s="95"/>
      <c r="W851" s="95"/>
    </row>
    <row r="852" spans="5:23" ht="10.15" customHeight="1">
      <c r="E852" s="95"/>
      <c r="F852" s="95"/>
      <c r="G852" s="95"/>
      <c r="H852" s="95"/>
      <c r="I852" s="95"/>
      <c r="J852" s="95"/>
      <c r="K852" s="95"/>
      <c r="L852" s="95"/>
      <c r="M852" s="95"/>
      <c r="N852" s="95"/>
      <c r="O852" s="95"/>
      <c r="P852" s="95"/>
      <c r="Q852" s="95"/>
      <c r="R852" s="95"/>
      <c r="T852" s="81"/>
      <c r="U852" s="95"/>
      <c r="V852" s="95"/>
      <c r="W852" s="95"/>
    </row>
    <row r="853" spans="5:23" ht="10.15" customHeight="1">
      <c r="E853" s="95"/>
      <c r="F853" s="95"/>
      <c r="G853" s="95"/>
      <c r="H853" s="95"/>
      <c r="I853" s="95"/>
      <c r="J853" s="95"/>
      <c r="K853" s="95"/>
      <c r="L853" s="95"/>
      <c r="M853" s="95"/>
      <c r="N853" s="95"/>
      <c r="O853" s="95"/>
      <c r="P853" s="95"/>
      <c r="Q853" s="95"/>
      <c r="R853" s="95"/>
      <c r="T853" s="81"/>
      <c r="U853" s="95"/>
      <c r="V853" s="95"/>
      <c r="W853" s="95"/>
    </row>
    <row r="854" spans="5:23" ht="10.15" customHeight="1">
      <c r="E854" s="95"/>
      <c r="F854" s="95"/>
      <c r="G854" s="95"/>
      <c r="H854" s="95"/>
      <c r="I854" s="95"/>
      <c r="J854" s="95"/>
      <c r="K854" s="95"/>
      <c r="L854" s="95"/>
      <c r="M854" s="95"/>
      <c r="N854" s="95"/>
      <c r="O854" s="95"/>
      <c r="P854" s="95"/>
      <c r="Q854" s="95"/>
      <c r="R854" s="95"/>
      <c r="T854" s="81"/>
      <c r="U854" s="95"/>
      <c r="V854" s="95"/>
      <c r="W854" s="95"/>
    </row>
    <row r="855" spans="5:23" ht="10.15" customHeight="1">
      <c r="E855" s="95"/>
      <c r="F855" s="95"/>
      <c r="G855" s="95"/>
      <c r="H855" s="95"/>
      <c r="I855" s="95"/>
      <c r="J855" s="95"/>
      <c r="K855" s="95"/>
      <c r="L855" s="95"/>
      <c r="M855" s="95"/>
      <c r="N855" s="95"/>
      <c r="O855" s="95"/>
      <c r="P855" s="95"/>
      <c r="Q855" s="95"/>
      <c r="R855" s="95"/>
      <c r="T855" s="81"/>
      <c r="U855" s="95"/>
      <c r="V855" s="95"/>
      <c r="W855" s="95"/>
    </row>
    <row r="856" spans="5:23" ht="10.15" customHeight="1">
      <c r="E856" s="95"/>
      <c r="F856" s="95"/>
      <c r="G856" s="95"/>
      <c r="H856" s="95"/>
      <c r="I856" s="95"/>
      <c r="J856" s="95"/>
      <c r="K856" s="95"/>
      <c r="L856" s="95"/>
      <c r="M856" s="95"/>
      <c r="N856" s="95"/>
      <c r="O856" s="95"/>
      <c r="P856" s="95"/>
      <c r="Q856" s="95"/>
      <c r="R856" s="95"/>
      <c r="T856" s="81"/>
      <c r="U856" s="95"/>
      <c r="V856" s="95"/>
      <c r="W856" s="95"/>
    </row>
    <row r="857" spans="5:23" ht="10.15" customHeight="1">
      <c r="E857" s="95"/>
      <c r="F857" s="95"/>
      <c r="G857" s="95"/>
      <c r="H857" s="95"/>
      <c r="I857" s="95"/>
      <c r="J857" s="95"/>
      <c r="K857" s="95"/>
      <c r="L857" s="95"/>
      <c r="M857" s="95"/>
      <c r="N857" s="95"/>
      <c r="O857" s="95"/>
      <c r="P857" s="95"/>
      <c r="Q857" s="95"/>
      <c r="R857" s="95"/>
      <c r="T857" s="81"/>
      <c r="U857" s="95"/>
      <c r="V857" s="95"/>
      <c r="W857" s="95"/>
    </row>
    <row r="858" spans="5:23" ht="10.15" customHeight="1">
      <c r="E858" s="95"/>
      <c r="F858" s="95"/>
      <c r="G858" s="95"/>
      <c r="H858" s="95"/>
      <c r="I858" s="95"/>
      <c r="J858" s="95"/>
      <c r="K858" s="95"/>
      <c r="L858" s="95"/>
      <c r="M858" s="95"/>
      <c r="N858" s="95"/>
      <c r="O858" s="95"/>
      <c r="P858" s="95"/>
      <c r="Q858" s="95"/>
      <c r="R858" s="95"/>
      <c r="T858" s="81"/>
      <c r="U858" s="95"/>
      <c r="V858" s="95"/>
      <c r="W858" s="95"/>
    </row>
    <row r="859" spans="5:23" ht="10.15" customHeight="1">
      <c r="E859" s="95"/>
      <c r="F859" s="95"/>
      <c r="G859" s="95"/>
      <c r="H859" s="95"/>
      <c r="I859" s="95"/>
      <c r="J859" s="95"/>
      <c r="K859" s="95"/>
      <c r="L859" s="95"/>
      <c r="M859" s="95"/>
      <c r="N859" s="95"/>
      <c r="O859" s="95"/>
      <c r="P859" s="95"/>
      <c r="Q859" s="95"/>
      <c r="R859" s="95"/>
      <c r="T859" s="81"/>
      <c r="U859" s="95"/>
      <c r="V859" s="95"/>
      <c r="W859" s="95"/>
    </row>
    <row r="860" spans="5:23" ht="10.15" customHeight="1">
      <c r="E860" s="95"/>
      <c r="F860" s="95"/>
      <c r="G860" s="95"/>
      <c r="H860" s="95"/>
      <c r="I860" s="95"/>
      <c r="J860" s="95"/>
      <c r="K860" s="95"/>
      <c r="L860" s="95"/>
      <c r="M860" s="95"/>
      <c r="N860" s="95"/>
      <c r="O860" s="95"/>
      <c r="P860" s="95"/>
      <c r="Q860" s="95"/>
      <c r="R860" s="95"/>
      <c r="T860" s="81"/>
      <c r="U860" s="95"/>
      <c r="V860" s="95"/>
      <c r="W860" s="95"/>
    </row>
    <row r="861" spans="5:23" ht="10.15" customHeight="1">
      <c r="E861" s="95"/>
      <c r="F861" s="95"/>
      <c r="G861" s="95"/>
      <c r="H861" s="95"/>
      <c r="I861" s="95"/>
      <c r="J861" s="95"/>
      <c r="K861" s="95"/>
      <c r="L861" s="95"/>
      <c r="M861" s="95"/>
      <c r="N861" s="95"/>
      <c r="O861" s="95"/>
      <c r="P861" s="95"/>
      <c r="Q861" s="95"/>
      <c r="R861" s="95"/>
      <c r="T861" s="81"/>
      <c r="U861" s="95"/>
      <c r="V861" s="95"/>
      <c r="W861" s="95"/>
    </row>
    <row r="862" spans="5:23" ht="10.15" customHeight="1">
      <c r="E862" s="95"/>
      <c r="F862" s="95"/>
      <c r="G862" s="95"/>
      <c r="H862" s="95"/>
      <c r="I862" s="95"/>
      <c r="J862" s="95"/>
      <c r="K862" s="95"/>
      <c r="L862" s="95"/>
      <c r="M862" s="95"/>
      <c r="N862" s="95"/>
      <c r="O862" s="95"/>
      <c r="P862" s="95"/>
      <c r="Q862" s="95"/>
      <c r="R862" s="95"/>
      <c r="T862" s="81"/>
      <c r="U862" s="95"/>
      <c r="V862" s="95"/>
      <c r="W862" s="95"/>
    </row>
    <row r="863" spans="5:23" ht="10.15" customHeight="1">
      <c r="E863" s="95"/>
      <c r="F863" s="95"/>
      <c r="G863" s="95"/>
      <c r="H863" s="95"/>
      <c r="I863" s="95"/>
      <c r="J863" s="95"/>
      <c r="K863" s="95"/>
      <c r="L863" s="95"/>
      <c r="M863" s="95"/>
      <c r="N863" s="95"/>
      <c r="O863" s="95"/>
      <c r="P863" s="95"/>
      <c r="Q863" s="95"/>
      <c r="R863" s="95"/>
      <c r="T863" s="81"/>
      <c r="U863" s="95"/>
      <c r="V863" s="95"/>
      <c r="W863" s="95"/>
    </row>
    <row r="864" spans="5:23" ht="10.15" customHeight="1">
      <c r="E864" s="95"/>
      <c r="F864" s="95"/>
      <c r="G864" s="95"/>
      <c r="H864" s="95"/>
      <c r="I864" s="95"/>
      <c r="J864" s="95"/>
      <c r="K864" s="95"/>
      <c r="L864" s="95"/>
      <c r="M864" s="95"/>
      <c r="N864" s="95"/>
      <c r="O864" s="95"/>
      <c r="P864" s="95"/>
      <c r="Q864" s="95"/>
      <c r="R864" s="95"/>
      <c r="T864" s="81"/>
      <c r="U864" s="95"/>
      <c r="V864" s="95"/>
      <c r="W864" s="95"/>
    </row>
    <row r="865" spans="5:23" ht="10.15" customHeight="1">
      <c r="E865" s="95"/>
      <c r="F865" s="95"/>
      <c r="G865" s="95"/>
      <c r="H865" s="95"/>
      <c r="I865" s="95"/>
      <c r="J865" s="95"/>
      <c r="K865" s="95"/>
      <c r="L865" s="95"/>
      <c r="M865" s="95"/>
      <c r="N865" s="95"/>
      <c r="O865" s="95"/>
      <c r="P865" s="95"/>
      <c r="Q865" s="95"/>
      <c r="R865" s="95"/>
      <c r="T865" s="81"/>
      <c r="U865" s="95"/>
      <c r="V865" s="95"/>
      <c r="W865" s="95"/>
    </row>
    <row r="866" spans="5:23" ht="10.15" customHeight="1">
      <c r="E866" s="95"/>
      <c r="F866" s="95"/>
      <c r="G866" s="95"/>
      <c r="H866" s="95"/>
      <c r="I866" s="95"/>
      <c r="J866" s="95"/>
      <c r="K866" s="95"/>
      <c r="L866" s="95"/>
      <c r="M866" s="95"/>
      <c r="N866" s="95"/>
      <c r="O866" s="95"/>
      <c r="P866" s="95"/>
      <c r="Q866" s="95"/>
      <c r="R866" s="95"/>
      <c r="T866" s="81"/>
      <c r="U866" s="95"/>
      <c r="V866" s="95"/>
      <c r="W866" s="95"/>
    </row>
    <row r="867" spans="5:23" ht="10.15" customHeight="1">
      <c r="E867" s="95"/>
      <c r="F867" s="95"/>
      <c r="G867" s="95"/>
      <c r="H867" s="95"/>
      <c r="I867" s="95"/>
      <c r="J867" s="95"/>
      <c r="K867" s="95"/>
      <c r="L867" s="95"/>
      <c r="M867" s="95"/>
      <c r="N867" s="95"/>
      <c r="O867" s="95"/>
      <c r="P867" s="95"/>
      <c r="Q867" s="95"/>
      <c r="R867" s="95"/>
      <c r="T867" s="81"/>
      <c r="U867" s="95"/>
      <c r="V867" s="95"/>
      <c r="W867" s="95"/>
    </row>
    <row r="868" spans="5:23" ht="10.15" customHeight="1">
      <c r="E868" s="95"/>
      <c r="F868" s="95"/>
      <c r="G868" s="95"/>
      <c r="H868" s="95"/>
      <c r="I868" s="95"/>
      <c r="J868" s="95"/>
      <c r="K868" s="95"/>
      <c r="L868" s="95"/>
      <c r="M868" s="95"/>
      <c r="N868" s="95"/>
      <c r="O868" s="95"/>
      <c r="P868" s="95"/>
      <c r="Q868" s="95"/>
      <c r="R868" s="95"/>
      <c r="T868" s="81"/>
      <c r="U868" s="95"/>
      <c r="V868" s="95"/>
      <c r="W868" s="95"/>
    </row>
    <row r="869" spans="5:23" ht="10.15" customHeight="1">
      <c r="E869" s="95"/>
      <c r="F869" s="95"/>
      <c r="G869" s="95"/>
      <c r="H869" s="95"/>
      <c r="I869" s="95"/>
      <c r="J869" s="95"/>
      <c r="K869" s="95"/>
      <c r="L869" s="95"/>
      <c r="M869" s="95"/>
      <c r="N869" s="95"/>
      <c r="O869" s="95"/>
      <c r="P869" s="95"/>
      <c r="Q869" s="95"/>
      <c r="R869" s="95"/>
      <c r="T869" s="81"/>
      <c r="U869" s="95"/>
      <c r="V869" s="95"/>
      <c r="W869" s="95"/>
    </row>
    <row r="870" spans="5:23" ht="10.15" customHeight="1">
      <c r="E870" s="95"/>
      <c r="F870" s="95"/>
      <c r="G870" s="95"/>
      <c r="H870" s="95"/>
      <c r="I870" s="95"/>
      <c r="J870" s="95"/>
      <c r="K870" s="95"/>
      <c r="L870" s="95"/>
      <c r="M870" s="95"/>
      <c r="N870" s="95"/>
      <c r="O870" s="95"/>
      <c r="P870" s="95"/>
      <c r="Q870" s="95"/>
      <c r="R870" s="95"/>
      <c r="T870" s="81"/>
      <c r="U870" s="95"/>
      <c r="V870" s="95"/>
      <c r="W870" s="95"/>
    </row>
    <row r="871" spans="5:23" ht="10.15" customHeight="1">
      <c r="E871" s="95"/>
      <c r="F871" s="95"/>
      <c r="G871" s="95"/>
      <c r="H871" s="95"/>
      <c r="I871" s="95"/>
      <c r="J871" s="95"/>
      <c r="K871" s="95"/>
      <c r="L871" s="95"/>
      <c r="M871" s="95"/>
      <c r="N871" s="95"/>
      <c r="O871" s="95"/>
      <c r="P871" s="95"/>
      <c r="Q871" s="95"/>
      <c r="R871" s="95"/>
      <c r="T871" s="81"/>
      <c r="U871" s="95"/>
      <c r="V871" s="95"/>
      <c r="W871" s="95"/>
    </row>
    <row r="872" spans="5:23" ht="10.15" customHeight="1">
      <c r="E872" s="95"/>
      <c r="F872" s="95"/>
      <c r="G872" s="95"/>
      <c r="H872" s="95"/>
      <c r="I872" s="95"/>
      <c r="J872" s="95"/>
      <c r="K872" s="95"/>
      <c r="L872" s="95"/>
      <c r="M872" s="95"/>
      <c r="N872" s="95"/>
      <c r="O872" s="95"/>
      <c r="P872" s="95"/>
      <c r="Q872" s="95"/>
      <c r="R872" s="95"/>
      <c r="T872" s="81"/>
      <c r="U872" s="95"/>
      <c r="V872" s="95"/>
      <c r="W872" s="95"/>
    </row>
    <row r="873" spans="5:23" ht="10.15" customHeight="1">
      <c r="E873" s="95"/>
      <c r="F873" s="95"/>
      <c r="G873" s="95"/>
      <c r="H873" s="95"/>
      <c r="I873" s="95"/>
      <c r="J873" s="95"/>
      <c r="K873" s="95"/>
      <c r="L873" s="95"/>
      <c r="M873" s="95"/>
      <c r="N873" s="95"/>
      <c r="O873" s="95"/>
      <c r="P873" s="95"/>
      <c r="Q873" s="95"/>
      <c r="R873" s="95"/>
      <c r="T873" s="81"/>
      <c r="U873" s="95"/>
      <c r="V873" s="95"/>
      <c r="W873" s="95"/>
    </row>
    <row r="874" spans="5:23" ht="10.15" customHeight="1">
      <c r="E874" s="95"/>
      <c r="F874" s="95"/>
      <c r="G874" s="95"/>
      <c r="H874" s="95"/>
      <c r="I874" s="95"/>
      <c r="J874" s="95"/>
      <c r="K874" s="95"/>
      <c r="L874" s="95"/>
      <c r="M874" s="95"/>
      <c r="N874" s="95"/>
      <c r="O874" s="95"/>
      <c r="P874" s="95"/>
      <c r="Q874" s="95"/>
      <c r="R874" s="95"/>
      <c r="T874" s="81"/>
      <c r="U874" s="95"/>
      <c r="V874" s="95"/>
      <c r="W874" s="95"/>
    </row>
    <row r="875" spans="5:23" ht="10.15" customHeight="1">
      <c r="E875" s="95"/>
      <c r="F875" s="95"/>
      <c r="G875" s="95"/>
      <c r="H875" s="95"/>
      <c r="I875" s="95"/>
      <c r="J875" s="95"/>
      <c r="K875" s="95"/>
      <c r="L875" s="95"/>
      <c r="M875" s="95"/>
      <c r="N875" s="95"/>
      <c r="O875" s="95"/>
      <c r="P875" s="95"/>
      <c r="Q875" s="95"/>
      <c r="R875" s="95"/>
      <c r="T875" s="81"/>
      <c r="U875" s="95"/>
      <c r="V875" s="95"/>
      <c r="W875" s="95"/>
    </row>
    <row r="876" spans="5:23" ht="10.15" customHeight="1">
      <c r="E876" s="95"/>
      <c r="F876" s="95"/>
      <c r="G876" s="95"/>
      <c r="H876" s="95"/>
      <c r="I876" s="95"/>
      <c r="J876" s="95"/>
      <c r="K876" s="95"/>
      <c r="L876" s="95"/>
      <c r="M876" s="95"/>
      <c r="N876" s="95"/>
      <c r="O876" s="95"/>
      <c r="P876" s="95"/>
      <c r="Q876" s="95"/>
      <c r="R876" s="95"/>
      <c r="T876" s="81"/>
      <c r="U876" s="95"/>
      <c r="V876" s="95"/>
      <c r="W876" s="95"/>
    </row>
    <row r="877" spans="5:23" ht="10.15" customHeight="1">
      <c r="E877" s="95"/>
      <c r="F877" s="95"/>
      <c r="G877" s="95"/>
      <c r="H877" s="95"/>
      <c r="I877" s="95"/>
      <c r="J877" s="95"/>
      <c r="K877" s="95"/>
      <c r="L877" s="95"/>
      <c r="M877" s="95"/>
      <c r="N877" s="95"/>
      <c r="O877" s="95"/>
      <c r="P877" s="95"/>
      <c r="Q877" s="95"/>
      <c r="R877" s="95"/>
      <c r="T877" s="81"/>
      <c r="U877" s="95"/>
      <c r="V877" s="95"/>
      <c r="W877" s="95"/>
    </row>
    <row r="878" spans="5:23" ht="10.15" customHeight="1">
      <c r="E878" s="95"/>
      <c r="F878" s="95"/>
      <c r="G878" s="95"/>
      <c r="H878" s="95"/>
      <c r="I878" s="95"/>
      <c r="J878" s="95"/>
      <c r="K878" s="95"/>
      <c r="L878" s="95"/>
      <c r="M878" s="95"/>
      <c r="N878" s="95"/>
      <c r="O878" s="95"/>
      <c r="P878" s="95"/>
      <c r="Q878" s="95"/>
      <c r="R878" s="95"/>
      <c r="T878" s="81"/>
      <c r="U878" s="95"/>
      <c r="V878" s="95"/>
      <c r="W878" s="95"/>
    </row>
    <row r="879" spans="5:23" ht="10.15" customHeight="1">
      <c r="E879" s="95"/>
      <c r="F879" s="95"/>
      <c r="G879" s="95"/>
      <c r="H879" s="95"/>
      <c r="I879" s="95"/>
      <c r="J879" s="95"/>
      <c r="K879" s="95"/>
      <c r="L879" s="95"/>
      <c r="M879" s="95"/>
      <c r="N879" s="95"/>
      <c r="O879" s="95"/>
      <c r="P879" s="95"/>
      <c r="Q879" s="95"/>
      <c r="R879" s="95"/>
      <c r="T879" s="81"/>
      <c r="U879" s="95"/>
      <c r="V879" s="95"/>
      <c r="W879" s="95"/>
    </row>
    <row r="880" spans="5:23" ht="10.15" customHeight="1">
      <c r="E880" s="95"/>
      <c r="F880" s="95"/>
      <c r="G880" s="95"/>
      <c r="H880" s="95"/>
      <c r="I880" s="95"/>
      <c r="J880" s="95"/>
      <c r="K880" s="95"/>
      <c r="L880" s="95"/>
      <c r="M880" s="95"/>
      <c r="N880" s="95"/>
      <c r="O880" s="95"/>
      <c r="P880" s="95"/>
      <c r="Q880" s="95"/>
      <c r="R880" s="95"/>
      <c r="T880" s="81"/>
      <c r="U880" s="95"/>
      <c r="V880" s="95"/>
      <c r="W880" s="95"/>
    </row>
    <row r="881" spans="5:23" ht="10.15" customHeight="1">
      <c r="E881" s="95"/>
      <c r="F881" s="95"/>
      <c r="G881" s="95"/>
      <c r="H881" s="95"/>
      <c r="I881" s="95"/>
      <c r="J881" s="95"/>
      <c r="K881" s="95"/>
      <c r="L881" s="95"/>
      <c r="M881" s="95"/>
      <c r="N881" s="95"/>
      <c r="O881" s="95"/>
      <c r="P881" s="95"/>
      <c r="Q881" s="95"/>
      <c r="R881" s="95"/>
      <c r="T881" s="81"/>
      <c r="U881" s="95"/>
      <c r="V881" s="95"/>
      <c r="W881" s="95"/>
    </row>
    <row r="882" spans="5:23" ht="10.15" customHeight="1">
      <c r="E882" s="95"/>
      <c r="F882" s="95"/>
      <c r="G882" s="95"/>
      <c r="H882" s="95"/>
      <c r="I882" s="95"/>
      <c r="J882" s="95"/>
      <c r="K882" s="95"/>
      <c r="L882" s="95"/>
      <c r="M882" s="95"/>
      <c r="N882" s="95"/>
      <c r="O882" s="95"/>
      <c r="P882" s="95"/>
      <c r="Q882" s="95"/>
      <c r="R882" s="95"/>
      <c r="T882" s="81"/>
      <c r="U882" s="95"/>
      <c r="V882" s="95"/>
      <c r="W882" s="95"/>
    </row>
    <row r="883" spans="5:23" ht="10.15" customHeight="1">
      <c r="E883" s="95"/>
      <c r="F883" s="95"/>
      <c r="G883" s="95"/>
      <c r="H883" s="95"/>
      <c r="I883" s="95"/>
      <c r="J883" s="95"/>
      <c r="K883" s="95"/>
      <c r="L883" s="95"/>
      <c r="M883" s="95"/>
      <c r="N883" s="95"/>
      <c r="O883" s="95"/>
      <c r="P883" s="95"/>
      <c r="Q883" s="95"/>
      <c r="R883" s="95"/>
      <c r="T883" s="81"/>
      <c r="U883" s="95"/>
      <c r="V883" s="95"/>
      <c r="W883" s="95"/>
    </row>
    <row r="884" spans="5:23" ht="10.15" customHeight="1">
      <c r="E884" s="95"/>
      <c r="F884" s="95"/>
      <c r="G884" s="95"/>
      <c r="H884" s="95"/>
      <c r="I884" s="95"/>
      <c r="J884" s="95"/>
      <c r="K884" s="95"/>
      <c r="L884" s="95"/>
      <c r="M884" s="95"/>
      <c r="N884" s="95"/>
      <c r="O884" s="95"/>
      <c r="P884" s="95"/>
      <c r="Q884" s="95"/>
      <c r="R884" s="95"/>
      <c r="T884" s="81"/>
      <c r="U884" s="95"/>
      <c r="V884" s="95"/>
      <c r="W884" s="95"/>
    </row>
    <row r="885" spans="5:23" ht="10.15" customHeight="1">
      <c r="E885" s="95"/>
      <c r="F885" s="95"/>
      <c r="G885" s="95"/>
      <c r="H885" s="95"/>
      <c r="I885" s="95"/>
      <c r="J885" s="95"/>
      <c r="K885" s="95"/>
      <c r="L885" s="95"/>
      <c r="M885" s="95"/>
      <c r="N885" s="95"/>
      <c r="O885" s="95"/>
      <c r="P885" s="95"/>
      <c r="Q885" s="95"/>
      <c r="R885" s="95"/>
      <c r="T885" s="81"/>
      <c r="U885" s="95"/>
      <c r="V885" s="95"/>
      <c r="W885" s="95"/>
    </row>
    <row r="886" spans="5:23" ht="10.15" customHeight="1">
      <c r="E886" s="95"/>
      <c r="F886" s="95"/>
      <c r="G886" s="95"/>
      <c r="H886" s="95"/>
      <c r="I886" s="95"/>
      <c r="J886" s="95"/>
      <c r="K886" s="95"/>
      <c r="L886" s="95"/>
      <c r="M886" s="95"/>
      <c r="N886" s="95"/>
      <c r="O886" s="95"/>
      <c r="P886" s="95"/>
      <c r="Q886" s="95"/>
      <c r="R886" s="95"/>
      <c r="T886" s="81"/>
      <c r="U886" s="95"/>
      <c r="V886" s="95"/>
      <c r="W886" s="95"/>
    </row>
    <row r="887" spans="5:23" ht="10.15" customHeight="1">
      <c r="E887" s="95"/>
      <c r="F887" s="95"/>
      <c r="G887" s="95"/>
      <c r="H887" s="95"/>
      <c r="I887" s="95"/>
      <c r="J887" s="95"/>
      <c r="K887" s="95"/>
      <c r="L887" s="95"/>
      <c r="M887" s="95"/>
      <c r="N887" s="95"/>
      <c r="O887" s="95"/>
      <c r="P887" s="95"/>
      <c r="Q887" s="95"/>
      <c r="R887" s="95"/>
      <c r="T887" s="81"/>
      <c r="U887" s="95"/>
      <c r="V887" s="95"/>
      <c r="W887" s="95"/>
    </row>
    <row r="888" spans="5:23" ht="10.15" customHeight="1">
      <c r="E888" s="95"/>
      <c r="F888" s="95"/>
      <c r="G888" s="95"/>
      <c r="H888" s="95"/>
      <c r="I888" s="95"/>
      <c r="J888" s="95"/>
      <c r="K888" s="95"/>
      <c r="L888" s="95"/>
      <c r="M888" s="95"/>
      <c r="N888" s="95"/>
      <c r="O888" s="95"/>
      <c r="P888" s="95"/>
      <c r="Q888" s="95"/>
      <c r="R888" s="95"/>
      <c r="T888" s="81"/>
      <c r="U888" s="95"/>
      <c r="V888" s="95"/>
      <c r="W888" s="95"/>
    </row>
    <row r="889" spans="5:23" ht="10.15" customHeight="1">
      <c r="E889" s="95"/>
      <c r="F889" s="95"/>
      <c r="G889" s="95"/>
      <c r="H889" s="95"/>
      <c r="I889" s="95"/>
      <c r="J889" s="95"/>
      <c r="K889" s="95"/>
      <c r="L889" s="95"/>
      <c r="M889" s="95"/>
      <c r="N889" s="95"/>
      <c r="O889" s="95"/>
      <c r="P889" s="95"/>
      <c r="Q889" s="95"/>
      <c r="R889" s="95"/>
      <c r="T889" s="81"/>
      <c r="U889" s="95"/>
      <c r="V889" s="95"/>
      <c r="W889" s="95"/>
    </row>
    <row r="890" spans="5:23" ht="10.15" customHeight="1">
      <c r="E890" s="95"/>
      <c r="F890" s="95"/>
      <c r="G890" s="95"/>
      <c r="H890" s="95"/>
      <c r="I890" s="95"/>
      <c r="J890" s="95"/>
      <c r="K890" s="95"/>
      <c r="L890" s="95"/>
      <c r="M890" s="95"/>
      <c r="N890" s="95"/>
      <c r="O890" s="95"/>
      <c r="P890" s="95"/>
      <c r="Q890" s="95"/>
      <c r="R890" s="95"/>
      <c r="T890" s="81"/>
      <c r="U890" s="95"/>
      <c r="V890" s="95"/>
      <c r="W890" s="95"/>
    </row>
    <row r="891" spans="5:23" ht="10.15" customHeight="1">
      <c r="E891" s="95"/>
      <c r="F891" s="95"/>
      <c r="G891" s="95"/>
      <c r="H891" s="95"/>
      <c r="I891" s="95"/>
      <c r="J891" s="95"/>
      <c r="K891" s="95"/>
      <c r="L891" s="95"/>
      <c r="M891" s="95"/>
      <c r="N891" s="95"/>
      <c r="O891" s="95"/>
      <c r="P891" s="95"/>
      <c r="Q891" s="95"/>
      <c r="R891" s="95"/>
      <c r="T891" s="81"/>
      <c r="U891" s="95"/>
      <c r="V891" s="95"/>
      <c r="W891" s="95"/>
    </row>
    <row r="892" spans="5:23" ht="10.15" customHeight="1">
      <c r="E892" s="95"/>
      <c r="F892" s="95"/>
      <c r="G892" s="95"/>
      <c r="H892" s="95"/>
      <c r="I892" s="95"/>
      <c r="J892" s="95"/>
      <c r="K892" s="95"/>
      <c r="L892" s="95"/>
      <c r="M892" s="95"/>
      <c r="N892" s="95"/>
      <c r="O892" s="95"/>
      <c r="P892" s="95"/>
      <c r="Q892" s="95"/>
      <c r="R892" s="95"/>
      <c r="T892" s="81"/>
      <c r="U892" s="95"/>
      <c r="V892" s="95"/>
      <c r="W892" s="95"/>
    </row>
    <row r="893" spans="5:23" ht="10.15" customHeight="1">
      <c r="E893" s="95"/>
      <c r="F893" s="95"/>
      <c r="G893" s="95"/>
      <c r="H893" s="95"/>
      <c r="I893" s="95"/>
      <c r="J893" s="95"/>
      <c r="K893" s="95"/>
      <c r="L893" s="95"/>
      <c r="M893" s="95"/>
      <c r="N893" s="95"/>
      <c r="O893" s="95"/>
      <c r="P893" s="95"/>
      <c r="Q893" s="95"/>
      <c r="R893" s="95"/>
      <c r="T893" s="81"/>
      <c r="U893" s="95"/>
      <c r="V893" s="95"/>
      <c r="W893" s="95"/>
    </row>
    <row r="894" spans="5:23" ht="10.15" customHeight="1">
      <c r="E894" s="95"/>
      <c r="F894" s="95"/>
      <c r="G894" s="95"/>
      <c r="H894" s="95"/>
      <c r="I894" s="95"/>
      <c r="J894" s="95"/>
      <c r="K894" s="95"/>
      <c r="L894" s="95"/>
      <c r="M894" s="95"/>
      <c r="N894" s="95"/>
      <c r="O894" s="95"/>
      <c r="P894" s="95"/>
      <c r="Q894" s="95"/>
      <c r="R894" s="95"/>
      <c r="T894" s="81"/>
      <c r="U894" s="95"/>
      <c r="V894" s="95"/>
      <c r="W894" s="95"/>
    </row>
    <row r="895" spans="5:23" ht="10.15" customHeight="1">
      <c r="E895" s="95"/>
      <c r="F895" s="95"/>
      <c r="G895" s="95"/>
      <c r="H895" s="95"/>
      <c r="I895" s="95"/>
      <c r="J895" s="95"/>
      <c r="K895" s="95"/>
      <c r="L895" s="95"/>
      <c r="M895" s="95"/>
      <c r="N895" s="95"/>
      <c r="O895" s="95"/>
      <c r="P895" s="95"/>
      <c r="Q895" s="95"/>
      <c r="R895" s="95"/>
      <c r="T895" s="81"/>
      <c r="U895" s="95"/>
      <c r="V895" s="95"/>
      <c r="W895" s="95"/>
    </row>
    <row r="896" spans="5:23" ht="10.15" customHeight="1">
      <c r="E896" s="95"/>
      <c r="F896" s="95"/>
      <c r="G896" s="95"/>
      <c r="H896" s="95"/>
      <c r="I896" s="95"/>
      <c r="J896" s="95"/>
      <c r="K896" s="95"/>
      <c r="L896" s="95"/>
      <c r="M896" s="95"/>
      <c r="N896" s="95"/>
      <c r="O896" s="95"/>
      <c r="P896" s="95"/>
      <c r="Q896" s="95"/>
      <c r="R896" s="95"/>
      <c r="T896" s="81"/>
      <c r="U896" s="95"/>
      <c r="V896" s="95"/>
      <c r="W896" s="95"/>
    </row>
    <row r="897" spans="5:23" ht="10.15" customHeight="1">
      <c r="E897" s="95"/>
      <c r="F897" s="95"/>
      <c r="G897" s="95"/>
      <c r="H897" s="95"/>
      <c r="I897" s="95"/>
      <c r="J897" s="95"/>
      <c r="K897" s="95"/>
      <c r="L897" s="95"/>
      <c r="M897" s="95"/>
      <c r="N897" s="95"/>
      <c r="O897" s="95"/>
      <c r="P897" s="95"/>
      <c r="Q897" s="95"/>
      <c r="R897" s="95"/>
      <c r="T897" s="81"/>
      <c r="U897" s="95"/>
      <c r="V897" s="95"/>
      <c r="W897" s="95"/>
    </row>
    <row r="898" spans="5:23" ht="10.15" customHeight="1">
      <c r="E898" s="95"/>
      <c r="F898" s="95"/>
      <c r="G898" s="95"/>
      <c r="H898" s="95"/>
      <c r="I898" s="95"/>
      <c r="J898" s="95"/>
      <c r="K898" s="95"/>
      <c r="L898" s="95"/>
      <c r="M898" s="95"/>
      <c r="N898" s="95"/>
      <c r="O898" s="95"/>
      <c r="P898" s="95"/>
      <c r="Q898" s="95"/>
      <c r="R898" s="95"/>
      <c r="T898" s="81"/>
      <c r="U898" s="95"/>
      <c r="V898" s="95"/>
      <c r="W898" s="95"/>
    </row>
    <row r="899" spans="5:23" ht="10.15" customHeight="1">
      <c r="E899" s="95"/>
      <c r="F899" s="95"/>
      <c r="G899" s="95"/>
      <c r="H899" s="95"/>
      <c r="I899" s="95"/>
      <c r="J899" s="95"/>
      <c r="K899" s="95"/>
      <c r="L899" s="95"/>
      <c r="M899" s="95"/>
      <c r="N899" s="95"/>
      <c r="O899" s="95"/>
      <c r="P899" s="95"/>
      <c r="Q899" s="95"/>
      <c r="R899" s="95"/>
      <c r="T899" s="81"/>
      <c r="U899" s="95"/>
      <c r="V899" s="95"/>
      <c r="W899" s="95"/>
    </row>
    <row r="900" spans="5:23" ht="10.15" customHeight="1">
      <c r="E900" s="95"/>
      <c r="F900" s="95"/>
      <c r="G900" s="95"/>
      <c r="H900" s="95"/>
      <c r="I900" s="95"/>
      <c r="J900" s="95"/>
      <c r="K900" s="95"/>
      <c r="L900" s="95"/>
      <c r="M900" s="95"/>
      <c r="N900" s="95"/>
      <c r="O900" s="95"/>
      <c r="P900" s="95"/>
      <c r="Q900" s="95"/>
      <c r="R900" s="95"/>
      <c r="T900" s="81"/>
      <c r="U900" s="95"/>
      <c r="V900" s="95"/>
      <c r="W900" s="95"/>
    </row>
    <row r="901" spans="5:23" ht="10.15" customHeight="1">
      <c r="E901" s="95"/>
      <c r="F901" s="95"/>
      <c r="G901" s="95"/>
      <c r="H901" s="95"/>
      <c r="I901" s="95"/>
      <c r="J901" s="95"/>
      <c r="K901" s="95"/>
      <c r="L901" s="95"/>
      <c r="M901" s="95"/>
      <c r="N901" s="95"/>
      <c r="O901" s="95"/>
      <c r="P901" s="95"/>
      <c r="Q901" s="95"/>
      <c r="R901" s="95"/>
      <c r="T901" s="81"/>
      <c r="U901" s="95"/>
      <c r="V901" s="95"/>
      <c r="W901" s="95"/>
    </row>
    <row r="902" spans="5:23" ht="10.15" customHeight="1">
      <c r="E902" s="95"/>
      <c r="F902" s="95"/>
      <c r="G902" s="95"/>
      <c r="H902" s="95"/>
      <c r="I902" s="95"/>
      <c r="J902" s="95"/>
      <c r="K902" s="95"/>
      <c r="L902" s="95"/>
      <c r="M902" s="95"/>
      <c r="N902" s="95"/>
      <c r="O902" s="95"/>
      <c r="P902" s="95"/>
      <c r="Q902" s="95"/>
      <c r="R902" s="95"/>
      <c r="T902" s="81"/>
      <c r="U902" s="95"/>
      <c r="V902" s="95"/>
      <c r="W902" s="95"/>
    </row>
    <row r="903" spans="5:23" ht="10.15" customHeight="1">
      <c r="E903" s="95"/>
      <c r="F903" s="95"/>
      <c r="G903" s="95"/>
      <c r="H903" s="95"/>
      <c r="I903" s="95"/>
      <c r="J903" s="95"/>
      <c r="K903" s="95"/>
      <c r="L903" s="95"/>
      <c r="M903" s="95"/>
      <c r="N903" s="95"/>
      <c r="O903" s="95"/>
      <c r="P903" s="95"/>
      <c r="Q903" s="95"/>
      <c r="R903" s="95"/>
      <c r="T903" s="81"/>
      <c r="U903" s="95"/>
      <c r="V903" s="95"/>
      <c r="W903" s="95"/>
    </row>
    <row r="904" spans="5:23" ht="10.15" customHeight="1">
      <c r="E904" s="95"/>
      <c r="F904" s="95"/>
      <c r="G904" s="95"/>
      <c r="H904" s="95"/>
      <c r="I904" s="95"/>
      <c r="J904" s="95"/>
      <c r="K904" s="95"/>
      <c r="L904" s="95"/>
      <c r="M904" s="95"/>
      <c r="N904" s="95"/>
      <c r="O904" s="95"/>
      <c r="P904" s="95"/>
      <c r="Q904" s="95"/>
      <c r="R904" s="95"/>
      <c r="T904" s="81"/>
      <c r="U904" s="95"/>
      <c r="V904" s="95"/>
      <c r="W904" s="95"/>
    </row>
    <row r="905" spans="5:23" ht="10.15" customHeight="1">
      <c r="E905" s="95"/>
      <c r="F905" s="95"/>
      <c r="G905" s="95"/>
      <c r="H905" s="95"/>
      <c r="I905" s="95"/>
      <c r="J905" s="95"/>
      <c r="K905" s="95"/>
      <c r="L905" s="95"/>
      <c r="M905" s="95"/>
      <c r="N905" s="95"/>
      <c r="O905" s="95"/>
      <c r="P905" s="95"/>
      <c r="Q905" s="95"/>
      <c r="R905" s="95"/>
      <c r="T905" s="81"/>
      <c r="U905" s="95"/>
      <c r="V905" s="95"/>
      <c r="W905" s="95"/>
    </row>
    <row r="906" spans="5:23" ht="10.15" customHeight="1">
      <c r="E906" s="95"/>
      <c r="F906" s="95"/>
      <c r="G906" s="95"/>
      <c r="H906" s="95"/>
      <c r="I906" s="95"/>
      <c r="J906" s="95"/>
      <c r="K906" s="95"/>
      <c r="L906" s="95"/>
      <c r="M906" s="95"/>
      <c r="N906" s="95"/>
      <c r="O906" s="95"/>
      <c r="P906" s="95"/>
      <c r="Q906" s="95"/>
      <c r="R906" s="95"/>
      <c r="T906" s="81"/>
      <c r="U906" s="95"/>
      <c r="V906" s="95"/>
      <c r="W906" s="95"/>
    </row>
    <row r="907" spans="5:23" ht="10.15" customHeight="1">
      <c r="E907" s="95"/>
      <c r="F907" s="95"/>
      <c r="G907" s="95"/>
      <c r="H907" s="95"/>
      <c r="I907" s="95"/>
      <c r="J907" s="95"/>
      <c r="K907" s="95"/>
      <c r="L907" s="95"/>
      <c r="M907" s="95"/>
      <c r="N907" s="95"/>
      <c r="O907" s="95"/>
      <c r="P907" s="95"/>
      <c r="Q907" s="95"/>
      <c r="R907" s="95"/>
      <c r="T907" s="81"/>
      <c r="U907" s="95"/>
      <c r="V907" s="95"/>
      <c r="W907" s="95"/>
    </row>
    <row r="908" spans="5:23" ht="10.15" customHeight="1">
      <c r="E908" s="95"/>
      <c r="F908" s="95"/>
      <c r="G908" s="95"/>
      <c r="H908" s="95"/>
      <c r="I908" s="95"/>
      <c r="J908" s="95"/>
      <c r="K908" s="95"/>
      <c r="L908" s="95"/>
      <c r="M908" s="95"/>
      <c r="N908" s="95"/>
      <c r="O908" s="95"/>
      <c r="P908" s="95"/>
      <c r="Q908" s="95"/>
      <c r="R908" s="95"/>
      <c r="T908" s="81"/>
      <c r="U908" s="95"/>
      <c r="V908" s="95"/>
      <c r="W908" s="95"/>
    </row>
    <row r="909" spans="5:23" ht="10.15" customHeight="1">
      <c r="E909" s="95"/>
      <c r="F909" s="95"/>
      <c r="G909" s="95"/>
      <c r="H909" s="95"/>
      <c r="I909" s="95"/>
      <c r="J909" s="95"/>
      <c r="K909" s="95"/>
      <c r="L909" s="95"/>
      <c r="M909" s="95"/>
      <c r="N909" s="95"/>
      <c r="O909" s="95"/>
      <c r="P909" s="95"/>
      <c r="Q909" s="95"/>
      <c r="R909" s="95"/>
      <c r="T909" s="81"/>
      <c r="U909" s="95"/>
      <c r="V909" s="95"/>
      <c r="W909" s="95"/>
    </row>
    <row r="910" spans="5:23" ht="10.15" customHeight="1">
      <c r="E910" s="95"/>
      <c r="F910" s="95"/>
      <c r="G910" s="95"/>
      <c r="H910" s="95"/>
      <c r="I910" s="95"/>
      <c r="J910" s="95"/>
      <c r="K910" s="95"/>
      <c r="L910" s="95"/>
      <c r="M910" s="95"/>
      <c r="N910" s="95"/>
      <c r="O910" s="95"/>
      <c r="P910" s="95"/>
      <c r="Q910" s="95"/>
      <c r="R910" s="95"/>
      <c r="T910" s="81"/>
      <c r="U910" s="95"/>
      <c r="V910" s="95"/>
      <c r="W910" s="95"/>
    </row>
    <row r="911" spans="5:23" ht="10.15" customHeight="1">
      <c r="E911" s="95"/>
      <c r="F911" s="95"/>
      <c r="G911" s="95"/>
      <c r="H911" s="95"/>
      <c r="I911" s="95"/>
      <c r="J911" s="95"/>
      <c r="K911" s="95"/>
      <c r="L911" s="95"/>
      <c r="M911" s="95"/>
      <c r="N911" s="95"/>
      <c r="O911" s="95"/>
      <c r="P911" s="95"/>
      <c r="Q911" s="95"/>
      <c r="R911" s="95"/>
      <c r="T911" s="81"/>
      <c r="U911" s="95"/>
      <c r="V911" s="95"/>
      <c r="W911" s="95"/>
    </row>
    <row r="912" spans="5:23" ht="10.15" customHeight="1">
      <c r="E912" s="95"/>
      <c r="F912" s="95"/>
      <c r="G912" s="95"/>
      <c r="H912" s="95"/>
      <c r="I912" s="95"/>
      <c r="J912" s="95"/>
      <c r="K912" s="95"/>
      <c r="L912" s="95"/>
      <c r="M912" s="95"/>
      <c r="N912" s="95"/>
      <c r="O912" s="95"/>
      <c r="P912" s="95"/>
      <c r="Q912" s="95"/>
      <c r="R912" s="95"/>
      <c r="T912" s="81"/>
      <c r="U912" s="95"/>
      <c r="V912" s="95"/>
      <c r="W912" s="95"/>
    </row>
    <row r="913" spans="5:23" ht="10.15" customHeight="1">
      <c r="E913" s="95"/>
      <c r="F913" s="95"/>
      <c r="G913" s="95"/>
      <c r="H913" s="95"/>
      <c r="I913" s="95"/>
      <c r="J913" s="95"/>
      <c r="K913" s="95"/>
      <c r="L913" s="95"/>
      <c r="M913" s="95"/>
      <c r="N913" s="95"/>
      <c r="O913" s="95"/>
      <c r="P913" s="95"/>
      <c r="Q913" s="95"/>
      <c r="R913" s="95"/>
      <c r="T913" s="81"/>
      <c r="U913" s="95"/>
      <c r="V913" s="95"/>
      <c r="W913" s="95"/>
    </row>
    <row r="914" spans="5:23" ht="10.15" customHeight="1">
      <c r="E914" s="95"/>
      <c r="F914" s="95"/>
      <c r="G914" s="95"/>
      <c r="H914" s="95"/>
      <c r="I914" s="95"/>
      <c r="J914" s="95"/>
      <c r="K914" s="95"/>
      <c r="L914" s="95"/>
      <c r="M914" s="95"/>
      <c r="N914" s="95"/>
      <c r="O914" s="95"/>
      <c r="P914" s="95"/>
      <c r="Q914" s="95"/>
      <c r="R914" s="95"/>
      <c r="T914" s="81"/>
      <c r="U914" s="95"/>
      <c r="V914" s="95"/>
      <c r="W914" s="95"/>
    </row>
    <row r="915" spans="5:23" ht="10.15" customHeight="1">
      <c r="E915" s="95"/>
      <c r="F915" s="95"/>
      <c r="G915" s="95"/>
      <c r="H915" s="95"/>
      <c r="I915" s="95"/>
      <c r="J915" s="95"/>
      <c r="K915" s="95"/>
      <c r="L915" s="95"/>
      <c r="M915" s="95"/>
      <c r="N915" s="95"/>
      <c r="O915" s="95"/>
      <c r="P915" s="95"/>
      <c r="Q915" s="95"/>
      <c r="R915" s="95"/>
      <c r="T915" s="81"/>
      <c r="U915" s="95"/>
      <c r="V915" s="95"/>
      <c r="W915" s="95"/>
    </row>
    <row r="916" spans="5:23" ht="10.15" customHeight="1">
      <c r="E916" s="95"/>
      <c r="F916" s="95"/>
      <c r="G916" s="95"/>
      <c r="H916" s="95"/>
      <c r="I916" s="95"/>
      <c r="J916" s="95"/>
      <c r="K916" s="95"/>
      <c r="L916" s="95"/>
      <c r="M916" s="95"/>
      <c r="N916" s="95"/>
      <c r="O916" s="95"/>
      <c r="P916" s="95"/>
      <c r="Q916" s="95"/>
      <c r="R916" s="95"/>
      <c r="T916" s="81"/>
      <c r="U916" s="95"/>
      <c r="V916" s="95"/>
      <c r="W916" s="95"/>
    </row>
    <row r="917" spans="5:23" ht="10.15" customHeight="1">
      <c r="E917" s="95"/>
      <c r="F917" s="95"/>
      <c r="G917" s="95"/>
      <c r="H917" s="95"/>
      <c r="I917" s="95"/>
      <c r="J917" s="95"/>
      <c r="K917" s="95"/>
      <c r="L917" s="95"/>
      <c r="M917" s="95"/>
      <c r="N917" s="95"/>
      <c r="O917" s="95"/>
      <c r="P917" s="95"/>
      <c r="Q917" s="95"/>
      <c r="R917" s="95"/>
      <c r="T917" s="81"/>
      <c r="U917" s="95"/>
      <c r="V917" s="95"/>
      <c r="W917" s="95"/>
    </row>
    <row r="918" spans="5:23" ht="10.15" customHeight="1">
      <c r="E918" s="95"/>
      <c r="F918" s="95"/>
      <c r="G918" s="95"/>
      <c r="H918" s="95"/>
      <c r="I918" s="95"/>
      <c r="J918" s="95"/>
      <c r="K918" s="95"/>
      <c r="L918" s="95"/>
      <c r="M918" s="95"/>
      <c r="N918" s="95"/>
      <c r="O918" s="95"/>
      <c r="P918" s="95"/>
      <c r="Q918" s="95"/>
      <c r="R918" s="95"/>
      <c r="T918" s="81"/>
      <c r="U918" s="95"/>
      <c r="V918" s="95"/>
      <c r="W918" s="95"/>
    </row>
    <row r="919" spans="5:23" ht="10.15" customHeight="1">
      <c r="E919" s="95"/>
      <c r="F919" s="95"/>
      <c r="G919" s="95"/>
      <c r="H919" s="95"/>
      <c r="I919" s="95"/>
      <c r="J919" s="95"/>
      <c r="K919" s="95"/>
      <c r="L919" s="95"/>
      <c r="M919" s="95"/>
      <c r="N919" s="95"/>
      <c r="O919" s="95"/>
      <c r="P919" s="95"/>
      <c r="Q919" s="95"/>
      <c r="R919" s="95"/>
      <c r="T919" s="81"/>
      <c r="U919" s="95"/>
      <c r="V919" s="95"/>
      <c r="W919" s="95"/>
    </row>
    <row r="920" spans="5:23" ht="10.15" customHeight="1">
      <c r="E920" s="95"/>
      <c r="F920" s="95"/>
      <c r="G920" s="95"/>
      <c r="H920" s="95"/>
      <c r="I920" s="95"/>
      <c r="J920" s="95"/>
      <c r="K920" s="95"/>
      <c r="L920" s="95"/>
      <c r="M920" s="95"/>
      <c r="N920" s="95"/>
      <c r="O920" s="95"/>
      <c r="P920" s="95"/>
      <c r="Q920" s="95"/>
      <c r="R920" s="95"/>
      <c r="T920" s="81"/>
      <c r="U920" s="95"/>
      <c r="V920" s="95"/>
      <c r="W920" s="95"/>
    </row>
    <row r="921" spans="5:23" ht="10.15" customHeight="1">
      <c r="E921" s="95"/>
      <c r="F921" s="95"/>
      <c r="G921" s="95"/>
      <c r="H921" s="95"/>
      <c r="I921" s="95"/>
      <c r="J921" s="95"/>
      <c r="K921" s="95"/>
      <c r="L921" s="95"/>
      <c r="M921" s="95"/>
      <c r="N921" s="95"/>
      <c r="O921" s="95"/>
      <c r="P921" s="95"/>
      <c r="Q921" s="95"/>
      <c r="R921" s="95"/>
      <c r="T921" s="81"/>
      <c r="U921" s="95"/>
      <c r="V921" s="95"/>
      <c r="W921" s="95"/>
    </row>
    <row r="922" spans="5:23" ht="10.15" customHeight="1">
      <c r="E922" s="95"/>
      <c r="F922" s="95"/>
      <c r="G922" s="95"/>
      <c r="H922" s="95"/>
      <c r="I922" s="95"/>
      <c r="J922" s="95"/>
      <c r="K922" s="95"/>
      <c r="L922" s="95"/>
      <c r="M922" s="95"/>
      <c r="N922" s="95"/>
      <c r="O922" s="95"/>
      <c r="P922" s="95"/>
      <c r="Q922" s="95"/>
      <c r="R922" s="95"/>
      <c r="T922" s="81"/>
      <c r="U922" s="95"/>
      <c r="V922" s="95"/>
      <c r="W922" s="95"/>
    </row>
    <row r="923" spans="5:23" ht="10.15" customHeight="1">
      <c r="E923" s="95"/>
      <c r="F923" s="95"/>
      <c r="G923" s="95"/>
      <c r="H923" s="95"/>
      <c r="I923" s="95"/>
      <c r="J923" s="95"/>
      <c r="K923" s="95"/>
      <c r="L923" s="95"/>
      <c r="M923" s="95"/>
      <c r="N923" s="95"/>
      <c r="O923" s="95"/>
      <c r="P923" s="95"/>
      <c r="Q923" s="95"/>
      <c r="R923" s="95"/>
      <c r="T923" s="81"/>
      <c r="U923" s="95"/>
      <c r="V923" s="95"/>
      <c r="W923" s="95"/>
    </row>
    <row r="924" spans="5:23" ht="10.15" customHeight="1">
      <c r="E924" s="95"/>
      <c r="F924" s="95"/>
      <c r="G924" s="95"/>
      <c r="H924" s="95"/>
      <c r="I924" s="95"/>
      <c r="J924" s="95"/>
      <c r="K924" s="95"/>
      <c r="L924" s="95"/>
      <c r="M924" s="95"/>
      <c r="N924" s="95"/>
      <c r="O924" s="95"/>
      <c r="P924" s="95"/>
      <c r="Q924" s="95"/>
      <c r="R924" s="95"/>
      <c r="T924" s="81"/>
      <c r="U924" s="95"/>
      <c r="V924" s="95"/>
      <c r="W924" s="95"/>
    </row>
    <row r="925" spans="5:23" ht="10.15" customHeight="1">
      <c r="E925" s="95"/>
      <c r="F925" s="95"/>
      <c r="G925" s="95"/>
      <c r="H925" s="95"/>
      <c r="I925" s="95"/>
      <c r="J925" s="95"/>
      <c r="K925" s="95"/>
      <c r="L925" s="95"/>
      <c r="M925" s="95"/>
      <c r="N925" s="95"/>
      <c r="O925" s="95"/>
      <c r="P925" s="95"/>
      <c r="Q925" s="95"/>
      <c r="R925" s="95"/>
      <c r="T925" s="81"/>
      <c r="U925" s="95"/>
      <c r="V925" s="95"/>
      <c r="W925" s="95"/>
    </row>
    <row r="926" spans="5:23" ht="10.15" customHeight="1">
      <c r="E926" s="95"/>
      <c r="F926" s="95"/>
      <c r="G926" s="95"/>
      <c r="H926" s="95"/>
      <c r="I926" s="95"/>
      <c r="J926" s="95"/>
      <c r="K926" s="95"/>
      <c r="L926" s="95"/>
      <c r="M926" s="95"/>
      <c r="N926" s="95"/>
      <c r="O926" s="95"/>
      <c r="P926" s="95"/>
      <c r="Q926" s="95"/>
      <c r="R926" s="95"/>
      <c r="T926" s="81"/>
      <c r="U926" s="95"/>
      <c r="V926" s="95"/>
      <c r="W926" s="95"/>
    </row>
    <row r="927" spans="5:23" ht="10.15" customHeight="1">
      <c r="E927" s="95"/>
      <c r="F927" s="95"/>
      <c r="G927" s="95"/>
      <c r="H927" s="95"/>
      <c r="I927" s="95"/>
      <c r="J927" s="95"/>
      <c r="K927" s="95"/>
      <c r="L927" s="95"/>
      <c r="M927" s="95"/>
      <c r="N927" s="95"/>
      <c r="O927" s="95"/>
      <c r="P927" s="95"/>
      <c r="Q927" s="95"/>
      <c r="R927" s="95"/>
      <c r="T927" s="81"/>
      <c r="U927" s="95"/>
      <c r="V927" s="95"/>
      <c r="W927" s="95"/>
    </row>
    <row r="928" spans="5:23" ht="10.15" customHeight="1">
      <c r="E928" s="95"/>
      <c r="F928" s="95"/>
      <c r="G928" s="95"/>
      <c r="H928" s="95"/>
      <c r="I928" s="95"/>
      <c r="J928" s="95"/>
      <c r="K928" s="95"/>
      <c r="L928" s="95"/>
      <c r="M928" s="95"/>
      <c r="N928" s="95"/>
      <c r="O928" s="95"/>
      <c r="P928" s="95"/>
      <c r="Q928" s="95"/>
      <c r="R928" s="95"/>
      <c r="T928" s="81"/>
      <c r="U928" s="95"/>
      <c r="V928" s="95"/>
      <c r="W928" s="95"/>
    </row>
    <row r="929" spans="5:23" ht="10.15" customHeight="1">
      <c r="E929" s="95"/>
      <c r="F929" s="95"/>
      <c r="G929" s="95"/>
      <c r="H929" s="95"/>
      <c r="I929" s="95"/>
      <c r="J929" s="95"/>
      <c r="K929" s="95"/>
      <c r="L929" s="95"/>
      <c r="M929" s="95"/>
      <c r="N929" s="95"/>
      <c r="O929" s="95"/>
      <c r="P929" s="95"/>
      <c r="Q929" s="95"/>
      <c r="R929" s="95"/>
      <c r="T929" s="81"/>
      <c r="U929" s="95"/>
      <c r="V929" s="95"/>
      <c r="W929" s="95"/>
    </row>
    <row r="930" spans="5:23" ht="10.15" customHeight="1">
      <c r="E930" s="95"/>
      <c r="F930" s="95"/>
      <c r="G930" s="95"/>
      <c r="H930" s="95"/>
      <c r="I930" s="95"/>
      <c r="J930" s="95"/>
      <c r="K930" s="95"/>
      <c r="L930" s="95"/>
      <c r="M930" s="95"/>
      <c r="N930" s="95"/>
      <c r="O930" s="95"/>
      <c r="P930" s="95"/>
      <c r="Q930" s="95"/>
      <c r="R930" s="95"/>
      <c r="T930" s="81"/>
      <c r="U930" s="95"/>
      <c r="V930" s="95"/>
      <c r="W930" s="95"/>
    </row>
    <row r="931" spans="5:23" ht="10.15" customHeight="1">
      <c r="E931" s="95"/>
      <c r="F931" s="95"/>
      <c r="G931" s="95"/>
      <c r="H931" s="95"/>
      <c r="I931" s="95"/>
      <c r="J931" s="95"/>
      <c r="K931" s="95"/>
      <c r="L931" s="95"/>
      <c r="M931" s="95"/>
      <c r="N931" s="95"/>
      <c r="O931" s="95"/>
      <c r="P931" s="95"/>
      <c r="Q931" s="95"/>
      <c r="R931" s="95"/>
      <c r="T931" s="81"/>
      <c r="U931" s="95"/>
      <c r="V931" s="95"/>
      <c r="W931" s="95"/>
    </row>
    <row r="932" spans="5:23" ht="10.15" customHeight="1">
      <c r="E932" s="95"/>
      <c r="F932" s="95"/>
      <c r="G932" s="95"/>
      <c r="H932" s="95"/>
      <c r="I932" s="95"/>
      <c r="J932" s="95"/>
      <c r="K932" s="95"/>
      <c r="L932" s="95"/>
      <c r="M932" s="95"/>
      <c r="N932" s="95"/>
      <c r="O932" s="95"/>
      <c r="P932" s="95"/>
      <c r="Q932" s="95"/>
      <c r="R932" s="95"/>
      <c r="T932" s="81"/>
      <c r="U932" s="95"/>
      <c r="V932" s="95"/>
      <c r="W932" s="95"/>
    </row>
    <row r="933" spans="5:23" ht="10.15" customHeight="1">
      <c r="E933" s="95"/>
      <c r="F933" s="95"/>
      <c r="G933" s="95"/>
      <c r="H933" s="95"/>
      <c r="I933" s="95"/>
      <c r="J933" s="95"/>
      <c r="K933" s="95"/>
      <c r="L933" s="95"/>
      <c r="M933" s="95"/>
      <c r="N933" s="95"/>
      <c r="O933" s="95"/>
      <c r="P933" s="95"/>
      <c r="Q933" s="95"/>
      <c r="R933" s="95"/>
      <c r="T933" s="81"/>
      <c r="U933" s="95"/>
      <c r="V933" s="95"/>
      <c r="W933" s="95"/>
    </row>
    <row r="934" spans="5:23" ht="10.15" customHeight="1">
      <c r="E934" s="95"/>
      <c r="F934" s="95"/>
      <c r="G934" s="95"/>
      <c r="H934" s="95"/>
      <c r="I934" s="95"/>
      <c r="J934" s="95"/>
      <c r="K934" s="95"/>
      <c r="L934" s="95"/>
      <c r="M934" s="95"/>
      <c r="N934" s="95"/>
      <c r="O934" s="95"/>
      <c r="P934" s="95"/>
      <c r="Q934" s="95"/>
      <c r="R934" s="95"/>
      <c r="T934" s="81"/>
      <c r="U934" s="95"/>
      <c r="V934" s="95"/>
      <c r="W934" s="95"/>
    </row>
    <row r="935" spans="5:23" ht="10.15" customHeight="1">
      <c r="E935" s="95"/>
      <c r="F935" s="95"/>
      <c r="G935" s="95"/>
      <c r="H935" s="95"/>
      <c r="I935" s="95"/>
      <c r="J935" s="95"/>
      <c r="K935" s="95"/>
      <c r="L935" s="95"/>
      <c r="M935" s="95"/>
      <c r="N935" s="95"/>
      <c r="O935" s="95"/>
      <c r="P935" s="95"/>
      <c r="Q935" s="95"/>
      <c r="R935" s="95"/>
      <c r="T935" s="81"/>
      <c r="U935" s="95"/>
      <c r="V935" s="95"/>
      <c r="W935" s="95"/>
    </row>
    <row r="936" spans="5:23" ht="10.15" customHeight="1">
      <c r="E936" s="95"/>
      <c r="F936" s="95"/>
      <c r="G936" s="95"/>
      <c r="H936" s="95"/>
      <c r="I936" s="95"/>
      <c r="J936" s="95"/>
      <c r="K936" s="95"/>
      <c r="L936" s="95"/>
      <c r="M936" s="95"/>
      <c r="N936" s="95"/>
      <c r="O936" s="95"/>
      <c r="P936" s="95"/>
      <c r="Q936" s="95"/>
      <c r="R936" s="95"/>
      <c r="T936" s="81"/>
      <c r="U936" s="95"/>
      <c r="V936" s="95"/>
      <c r="W936" s="95"/>
    </row>
    <row r="937" spans="5:23" ht="10.15" customHeight="1">
      <c r="E937" s="95"/>
      <c r="F937" s="95"/>
      <c r="G937" s="95"/>
      <c r="H937" s="95"/>
      <c r="I937" s="95"/>
      <c r="J937" s="95"/>
      <c r="K937" s="95"/>
      <c r="L937" s="95"/>
      <c r="M937" s="95"/>
      <c r="N937" s="95"/>
      <c r="O937" s="95"/>
      <c r="P937" s="95"/>
      <c r="Q937" s="95"/>
      <c r="R937" s="95"/>
      <c r="T937" s="81"/>
      <c r="U937" s="95"/>
      <c r="V937" s="95"/>
      <c r="W937" s="95"/>
    </row>
    <row r="938" spans="5:23" ht="10.15" customHeight="1">
      <c r="E938" s="95"/>
      <c r="F938" s="95"/>
      <c r="G938" s="95"/>
      <c r="H938" s="95"/>
      <c r="I938" s="95"/>
      <c r="J938" s="95"/>
      <c r="K938" s="95"/>
      <c r="L938" s="95"/>
      <c r="M938" s="95"/>
      <c r="N938" s="95"/>
      <c r="O938" s="95"/>
      <c r="P938" s="95"/>
      <c r="Q938" s="95"/>
      <c r="R938" s="95"/>
      <c r="T938" s="81"/>
      <c r="U938" s="95"/>
      <c r="V938" s="95"/>
      <c r="W938" s="95"/>
    </row>
    <row r="939" spans="5:23" ht="10.15" customHeight="1">
      <c r="E939" s="95"/>
      <c r="F939" s="95"/>
      <c r="G939" s="95"/>
      <c r="H939" s="95"/>
      <c r="I939" s="95"/>
      <c r="J939" s="95"/>
      <c r="K939" s="95"/>
      <c r="L939" s="95"/>
      <c r="M939" s="95"/>
      <c r="N939" s="95"/>
      <c r="O939" s="95"/>
      <c r="P939" s="95"/>
      <c r="Q939" s="95"/>
      <c r="R939" s="95"/>
      <c r="T939" s="81"/>
      <c r="U939" s="95"/>
      <c r="V939" s="95"/>
      <c r="W939" s="95"/>
    </row>
    <row r="940" spans="5:23" ht="10.15" customHeight="1">
      <c r="E940" s="95"/>
      <c r="F940" s="95"/>
      <c r="G940" s="95"/>
      <c r="H940" s="95"/>
      <c r="I940" s="95"/>
      <c r="J940" s="95"/>
      <c r="K940" s="95"/>
      <c r="L940" s="95"/>
      <c r="M940" s="95"/>
      <c r="N940" s="95"/>
      <c r="O940" s="95"/>
      <c r="P940" s="95"/>
      <c r="Q940" s="95"/>
      <c r="R940" s="95"/>
      <c r="T940" s="81"/>
      <c r="U940" s="95"/>
      <c r="V940" s="95"/>
      <c r="W940" s="95"/>
    </row>
    <row r="941" spans="5:23" ht="10.15" customHeight="1">
      <c r="E941" s="95"/>
      <c r="F941" s="95"/>
      <c r="G941" s="95"/>
      <c r="H941" s="95"/>
      <c r="I941" s="95"/>
      <c r="J941" s="95"/>
      <c r="K941" s="95"/>
      <c r="L941" s="95"/>
      <c r="M941" s="95"/>
      <c r="N941" s="95"/>
      <c r="O941" s="95"/>
      <c r="P941" s="95"/>
      <c r="Q941" s="95"/>
      <c r="R941" s="95"/>
      <c r="T941" s="81"/>
      <c r="U941" s="95"/>
      <c r="V941" s="95"/>
      <c r="W941" s="95"/>
    </row>
    <row r="942" spans="5:23" ht="10.15" customHeight="1">
      <c r="E942" s="95"/>
      <c r="F942" s="95"/>
      <c r="G942" s="95"/>
      <c r="H942" s="95"/>
      <c r="I942" s="95"/>
      <c r="J942" s="95"/>
      <c r="K942" s="95"/>
      <c r="L942" s="95"/>
      <c r="M942" s="95"/>
      <c r="N942" s="95"/>
      <c r="O942" s="95"/>
      <c r="P942" s="95"/>
      <c r="Q942" s="95"/>
      <c r="R942" s="95"/>
      <c r="T942" s="81"/>
      <c r="U942" s="95"/>
      <c r="V942" s="95"/>
      <c r="W942" s="95"/>
    </row>
    <row r="943" spans="5:23" ht="10.15" customHeight="1">
      <c r="E943" s="95"/>
      <c r="F943" s="95"/>
      <c r="G943" s="95"/>
      <c r="H943" s="95"/>
      <c r="I943" s="95"/>
      <c r="J943" s="95"/>
      <c r="K943" s="95"/>
      <c r="L943" s="95"/>
      <c r="M943" s="95"/>
      <c r="N943" s="95"/>
      <c r="O943" s="95"/>
      <c r="P943" s="95"/>
      <c r="Q943" s="95"/>
      <c r="R943" s="95"/>
      <c r="T943" s="81"/>
      <c r="U943" s="95"/>
      <c r="V943" s="95"/>
      <c r="W943" s="95"/>
    </row>
    <row r="944" spans="5:23" ht="10.15" customHeight="1">
      <c r="E944" s="95"/>
      <c r="F944" s="95"/>
      <c r="G944" s="95"/>
      <c r="H944" s="95"/>
      <c r="I944" s="95"/>
      <c r="J944" s="95"/>
      <c r="K944" s="95"/>
      <c r="L944" s="95"/>
      <c r="M944" s="95"/>
      <c r="N944" s="95"/>
      <c r="O944" s="95"/>
      <c r="P944" s="95"/>
      <c r="Q944" s="95"/>
      <c r="R944" s="95"/>
      <c r="T944" s="81"/>
      <c r="U944" s="95"/>
      <c r="V944" s="95"/>
      <c r="W944" s="95"/>
    </row>
    <row r="945" spans="5:23" ht="10.15" customHeight="1">
      <c r="E945" s="95"/>
      <c r="F945" s="95"/>
      <c r="G945" s="95"/>
      <c r="H945" s="95"/>
      <c r="I945" s="95"/>
      <c r="J945" s="95"/>
      <c r="K945" s="95"/>
      <c r="L945" s="95"/>
      <c r="M945" s="95"/>
      <c r="N945" s="95"/>
      <c r="O945" s="95"/>
      <c r="P945" s="95"/>
      <c r="Q945" s="95"/>
      <c r="R945" s="95"/>
      <c r="T945" s="81"/>
      <c r="U945" s="95"/>
      <c r="V945" s="95"/>
      <c r="W945" s="95"/>
    </row>
    <row r="946" spans="5:23" ht="10.15" customHeight="1">
      <c r="E946" s="95"/>
      <c r="F946" s="95"/>
      <c r="G946" s="95"/>
      <c r="H946" s="95"/>
      <c r="I946" s="95"/>
      <c r="J946" s="95"/>
      <c r="K946" s="95"/>
      <c r="L946" s="95"/>
      <c r="M946" s="95"/>
      <c r="N946" s="95"/>
      <c r="O946" s="95"/>
      <c r="P946" s="95"/>
      <c r="Q946" s="95"/>
      <c r="R946" s="95"/>
      <c r="T946" s="81"/>
      <c r="U946" s="95"/>
      <c r="V946" s="95"/>
      <c r="W946" s="95"/>
    </row>
    <row r="947" spans="5:23" ht="10.15" customHeight="1">
      <c r="E947" s="95"/>
      <c r="F947" s="95"/>
      <c r="G947" s="95"/>
      <c r="H947" s="95"/>
      <c r="I947" s="95"/>
      <c r="J947" s="95"/>
      <c r="K947" s="95"/>
      <c r="L947" s="95"/>
      <c r="M947" s="95"/>
      <c r="N947" s="95"/>
      <c r="O947" s="95"/>
      <c r="P947" s="95"/>
      <c r="Q947" s="95"/>
      <c r="R947" s="95"/>
      <c r="T947" s="81"/>
      <c r="U947" s="95"/>
      <c r="V947" s="95"/>
      <c r="W947" s="95"/>
    </row>
    <row r="948" spans="5:23" ht="10.15" customHeight="1">
      <c r="E948" s="95"/>
      <c r="F948" s="95"/>
      <c r="G948" s="95"/>
      <c r="H948" s="95"/>
      <c r="I948" s="95"/>
      <c r="J948" s="95"/>
      <c r="K948" s="95"/>
      <c r="L948" s="95"/>
      <c r="M948" s="95"/>
      <c r="N948" s="95"/>
      <c r="O948" s="95"/>
      <c r="P948" s="95"/>
      <c r="Q948" s="95"/>
      <c r="R948" s="95"/>
      <c r="T948" s="81"/>
      <c r="U948" s="95"/>
      <c r="V948" s="95"/>
      <c r="W948" s="95"/>
    </row>
    <row r="949" spans="5:23" ht="10.15" customHeight="1">
      <c r="E949" s="95"/>
      <c r="F949" s="95"/>
      <c r="G949" s="95"/>
      <c r="H949" s="95"/>
      <c r="I949" s="95"/>
      <c r="J949" s="95"/>
      <c r="K949" s="95"/>
      <c r="L949" s="95"/>
      <c r="M949" s="95"/>
      <c r="N949" s="95"/>
      <c r="O949" s="95"/>
      <c r="P949" s="95"/>
      <c r="Q949" s="95"/>
      <c r="R949" s="95"/>
      <c r="T949" s="81"/>
      <c r="U949" s="95"/>
      <c r="V949" s="95"/>
      <c r="W949" s="95"/>
    </row>
    <row r="950" spans="5:23" ht="10.15" customHeight="1">
      <c r="E950" s="95"/>
      <c r="F950" s="95"/>
      <c r="G950" s="95"/>
      <c r="H950" s="95"/>
      <c r="I950" s="95"/>
      <c r="J950" s="95"/>
      <c r="K950" s="95"/>
      <c r="L950" s="95"/>
      <c r="M950" s="95"/>
      <c r="N950" s="95"/>
      <c r="O950" s="95"/>
      <c r="P950" s="95"/>
      <c r="Q950" s="95"/>
      <c r="R950" s="95"/>
      <c r="T950" s="81"/>
      <c r="U950" s="95"/>
      <c r="V950" s="95"/>
      <c r="W950" s="95"/>
    </row>
    <row r="951" spans="5:23" ht="10.15" customHeight="1">
      <c r="E951" s="95"/>
      <c r="F951" s="95"/>
      <c r="G951" s="95"/>
      <c r="H951" s="95"/>
      <c r="I951" s="95"/>
      <c r="J951" s="95"/>
      <c r="K951" s="95"/>
      <c r="L951" s="95"/>
      <c r="M951" s="95"/>
      <c r="N951" s="95"/>
      <c r="O951" s="95"/>
      <c r="P951" s="95"/>
      <c r="Q951" s="95"/>
      <c r="R951" s="95"/>
      <c r="T951" s="81"/>
      <c r="U951" s="95"/>
      <c r="V951" s="95"/>
      <c r="W951" s="95"/>
    </row>
    <row r="952" spans="5:23" ht="10.15" customHeight="1">
      <c r="E952" s="95"/>
      <c r="F952" s="95"/>
      <c r="G952" s="95"/>
      <c r="H952" s="95"/>
      <c r="I952" s="95"/>
      <c r="J952" s="95"/>
      <c r="K952" s="95"/>
      <c r="L952" s="95"/>
      <c r="M952" s="95"/>
      <c r="N952" s="95"/>
      <c r="O952" s="95"/>
      <c r="P952" s="95"/>
      <c r="Q952" s="95"/>
      <c r="R952" s="95"/>
      <c r="T952" s="81"/>
      <c r="U952" s="95"/>
      <c r="V952" s="95"/>
      <c r="W952" s="95"/>
    </row>
    <row r="953" spans="5:23" ht="10.15" customHeight="1">
      <c r="E953" s="95"/>
      <c r="F953" s="95"/>
      <c r="G953" s="95"/>
      <c r="H953" s="95"/>
      <c r="I953" s="95"/>
      <c r="J953" s="95"/>
      <c r="K953" s="95"/>
      <c r="L953" s="95"/>
      <c r="M953" s="95"/>
      <c r="N953" s="95"/>
      <c r="O953" s="95"/>
      <c r="P953" s="95"/>
      <c r="Q953" s="95"/>
      <c r="R953" s="95"/>
      <c r="T953" s="81"/>
      <c r="U953" s="95"/>
      <c r="V953" s="95"/>
      <c r="W953" s="95"/>
    </row>
    <row r="954" spans="5:23" ht="10.15" customHeight="1">
      <c r="E954" s="95"/>
      <c r="F954" s="95"/>
      <c r="G954" s="95"/>
      <c r="H954" s="95"/>
      <c r="I954" s="95"/>
      <c r="J954" s="95"/>
      <c r="K954" s="95"/>
      <c r="L954" s="95"/>
      <c r="M954" s="95"/>
      <c r="N954" s="95"/>
      <c r="O954" s="95"/>
      <c r="P954" s="95"/>
      <c r="Q954" s="95"/>
      <c r="R954" s="95"/>
      <c r="T954" s="81"/>
      <c r="U954" s="95"/>
      <c r="V954" s="95"/>
      <c r="W954" s="95"/>
    </row>
    <row r="955" spans="5:23" ht="10.15" customHeight="1">
      <c r="E955" s="95"/>
      <c r="F955" s="95"/>
      <c r="G955" s="95"/>
      <c r="H955" s="95"/>
      <c r="I955" s="95"/>
      <c r="J955" s="95"/>
      <c r="K955" s="95"/>
      <c r="L955" s="95"/>
      <c r="M955" s="95"/>
      <c r="N955" s="95"/>
      <c r="O955" s="95"/>
      <c r="P955" s="95"/>
      <c r="Q955" s="95"/>
      <c r="R955" s="95"/>
      <c r="T955" s="81"/>
      <c r="U955" s="95"/>
      <c r="V955" s="95"/>
      <c r="W955" s="95"/>
    </row>
    <row r="956" spans="5:23" ht="10.15" customHeight="1">
      <c r="E956" s="95"/>
      <c r="F956" s="95"/>
      <c r="G956" s="95"/>
      <c r="H956" s="95"/>
      <c r="I956" s="95"/>
      <c r="J956" s="95"/>
      <c r="K956" s="95"/>
      <c r="L956" s="95"/>
      <c r="M956" s="95"/>
      <c r="N956" s="95"/>
      <c r="O956" s="95"/>
      <c r="P956" s="95"/>
      <c r="Q956" s="95"/>
      <c r="R956" s="95"/>
      <c r="T956" s="81"/>
      <c r="U956" s="95"/>
      <c r="V956" s="95"/>
      <c r="W956" s="95"/>
    </row>
    <row r="957" spans="5:23" ht="10.15" customHeight="1">
      <c r="E957" s="95"/>
      <c r="F957" s="95"/>
      <c r="G957" s="95"/>
      <c r="H957" s="95"/>
      <c r="I957" s="95"/>
      <c r="J957" s="95"/>
      <c r="K957" s="95"/>
      <c r="L957" s="95"/>
      <c r="M957" s="95"/>
      <c r="N957" s="95"/>
      <c r="O957" s="95"/>
      <c r="P957" s="95"/>
      <c r="Q957" s="95"/>
      <c r="R957" s="95"/>
      <c r="T957" s="81"/>
      <c r="U957" s="95"/>
      <c r="V957" s="95"/>
      <c r="W957" s="95"/>
    </row>
    <row r="958" spans="5:23" ht="10.15" customHeight="1">
      <c r="E958" s="95"/>
      <c r="F958" s="95"/>
      <c r="G958" s="95"/>
      <c r="H958" s="95"/>
      <c r="I958" s="95"/>
      <c r="J958" s="95"/>
      <c r="K958" s="95"/>
      <c r="L958" s="95"/>
      <c r="M958" s="95"/>
      <c r="N958" s="95"/>
      <c r="O958" s="95"/>
      <c r="P958" s="95"/>
      <c r="Q958" s="95"/>
      <c r="R958" s="95"/>
      <c r="T958" s="81"/>
      <c r="U958" s="95"/>
      <c r="V958" s="95"/>
      <c r="W958" s="95"/>
    </row>
    <row r="959" spans="5:23" ht="10.15" customHeight="1">
      <c r="E959" s="95"/>
      <c r="F959" s="95"/>
      <c r="G959" s="95"/>
      <c r="H959" s="95"/>
      <c r="I959" s="95"/>
      <c r="J959" s="95"/>
      <c r="K959" s="95"/>
      <c r="L959" s="95"/>
      <c r="M959" s="95"/>
      <c r="N959" s="95"/>
      <c r="O959" s="95"/>
      <c r="P959" s="95"/>
      <c r="Q959" s="95"/>
      <c r="R959" s="95"/>
      <c r="T959" s="81"/>
      <c r="U959" s="95"/>
      <c r="V959" s="95"/>
      <c r="W959" s="95"/>
    </row>
    <row r="960" spans="5:23" ht="10.15" customHeight="1">
      <c r="E960" s="95"/>
      <c r="F960" s="95"/>
      <c r="G960" s="95"/>
      <c r="H960" s="95"/>
      <c r="I960" s="95"/>
      <c r="J960" s="95"/>
      <c r="K960" s="95"/>
      <c r="L960" s="95"/>
      <c r="M960" s="95"/>
      <c r="N960" s="95"/>
      <c r="O960" s="95"/>
      <c r="P960" s="95"/>
      <c r="Q960" s="95"/>
      <c r="R960" s="95"/>
      <c r="T960" s="81"/>
      <c r="U960" s="95"/>
      <c r="V960" s="95"/>
      <c r="W960" s="95"/>
    </row>
    <row r="961" spans="5:23" ht="10.15" customHeight="1">
      <c r="E961" s="95"/>
      <c r="F961" s="95"/>
      <c r="G961" s="95"/>
      <c r="H961" s="95"/>
      <c r="I961" s="95"/>
      <c r="J961" s="95"/>
      <c r="K961" s="95"/>
      <c r="L961" s="95"/>
      <c r="M961" s="95"/>
      <c r="N961" s="95"/>
      <c r="O961" s="95"/>
      <c r="P961" s="95"/>
      <c r="Q961" s="95"/>
      <c r="R961" s="95"/>
      <c r="T961" s="81"/>
      <c r="U961" s="95"/>
      <c r="V961" s="95"/>
      <c r="W961" s="95"/>
    </row>
    <row r="962" spans="5:23" ht="10.15" customHeight="1">
      <c r="E962" s="95"/>
      <c r="F962" s="95"/>
      <c r="G962" s="95"/>
      <c r="H962" s="95"/>
      <c r="I962" s="95"/>
      <c r="J962" s="95"/>
      <c r="K962" s="95"/>
      <c r="L962" s="95"/>
      <c r="M962" s="95"/>
      <c r="N962" s="95"/>
      <c r="O962" s="95"/>
      <c r="P962" s="95"/>
      <c r="Q962" s="95"/>
      <c r="R962" s="95"/>
      <c r="T962" s="81"/>
      <c r="U962" s="95"/>
      <c r="V962" s="95"/>
      <c r="W962" s="95"/>
    </row>
    <row r="963" spans="5:23" ht="10.15" customHeight="1">
      <c r="E963" s="95"/>
      <c r="F963" s="95"/>
      <c r="G963" s="95"/>
      <c r="H963" s="95"/>
      <c r="I963" s="95"/>
      <c r="J963" s="95"/>
      <c r="K963" s="95"/>
      <c r="L963" s="95"/>
      <c r="M963" s="95"/>
      <c r="N963" s="95"/>
      <c r="O963" s="95"/>
      <c r="P963" s="95"/>
      <c r="Q963" s="95"/>
      <c r="R963" s="95"/>
      <c r="T963" s="81"/>
      <c r="U963" s="95"/>
      <c r="V963" s="95"/>
      <c r="W963" s="95"/>
    </row>
    <row r="964" spans="5:23" ht="10.15" customHeight="1">
      <c r="E964" s="95"/>
      <c r="F964" s="95"/>
      <c r="G964" s="95"/>
      <c r="H964" s="95"/>
      <c r="I964" s="95"/>
      <c r="J964" s="95"/>
      <c r="K964" s="95"/>
      <c r="L964" s="95"/>
      <c r="M964" s="95"/>
      <c r="N964" s="95"/>
      <c r="O964" s="95"/>
      <c r="P964" s="95"/>
      <c r="Q964" s="95"/>
      <c r="R964" s="95"/>
      <c r="T964" s="81"/>
      <c r="U964" s="95"/>
      <c r="V964" s="95"/>
      <c r="W964" s="95"/>
    </row>
    <row r="965" spans="5:23" ht="10.15" customHeight="1">
      <c r="E965" s="95"/>
      <c r="F965" s="95"/>
      <c r="G965" s="95"/>
      <c r="H965" s="95"/>
      <c r="I965" s="95"/>
      <c r="J965" s="95"/>
      <c r="K965" s="95"/>
      <c r="L965" s="95"/>
      <c r="M965" s="95"/>
      <c r="N965" s="95"/>
      <c r="O965" s="95"/>
      <c r="P965" s="95"/>
      <c r="Q965" s="95"/>
      <c r="R965" s="95"/>
      <c r="T965" s="81"/>
      <c r="U965" s="95"/>
      <c r="V965" s="95"/>
      <c r="W965" s="95"/>
    </row>
    <row r="966" spans="5:23" ht="10.15" customHeight="1">
      <c r="E966" s="95"/>
      <c r="F966" s="95"/>
      <c r="G966" s="95"/>
      <c r="H966" s="95"/>
      <c r="I966" s="95"/>
      <c r="J966" s="95"/>
      <c r="K966" s="95"/>
      <c r="L966" s="95"/>
      <c r="M966" s="95"/>
      <c r="N966" s="95"/>
      <c r="O966" s="95"/>
      <c r="P966" s="95"/>
      <c r="Q966" s="95"/>
      <c r="R966" s="95"/>
      <c r="T966" s="81"/>
      <c r="U966" s="95"/>
      <c r="V966" s="95"/>
      <c r="W966" s="95"/>
    </row>
    <row r="967" spans="5:23" ht="10.15" customHeight="1">
      <c r="E967" s="95"/>
      <c r="F967" s="95"/>
      <c r="G967" s="95"/>
      <c r="H967" s="95"/>
      <c r="I967" s="95"/>
      <c r="J967" s="95"/>
      <c r="K967" s="95"/>
      <c r="L967" s="95"/>
      <c r="M967" s="95"/>
      <c r="N967" s="95"/>
      <c r="O967" s="95"/>
      <c r="P967" s="95"/>
      <c r="Q967" s="95"/>
      <c r="R967" s="95"/>
      <c r="T967" s="81"/>
      <c r="U967" s="95"/>
      <c r="V967" s="95"/>
      <c r="W967" s="95"/>
    </row>
    <row r="968" spans="5:23" ht="10.15" customHeight="1">
      <c r="E968" s="95"/>
      <c r="F968" s="95"/>
      <c r="G968" s="95"/>
      <c r="H968" s="95"/>
      <c r="I968" s="95"/>
      <c r="J968" s="95"/>
      <c r="K968" s="95"/>
      <c r="L968" s="95"/>
      <c r="M968" s="95"/>
      <c r="N968" s="95"/>
      <c r="O968" s="95"/>
      <c r="P968" s="95"/>
      <c r="Q968" s="95"/>
      <c r="R968" s="95"/>
      <c r="T968" s="81"/>
      <c r="U968" s="95"/>
      <c r="V968" s="95"/>
      <c r="W968" s="95"/>
    </row>
    <row r="969" spans="5:23" ht="10.15" customHeight="1">
      <c r="E969" s="95"/>
      <c r="F969" s="95"/>
      <c r="G969" s="95"/>
      <c r="H969" s="95"/>
      <c r="I969" s="95"/>
      <c r="J969" s="95"/>
      <c r="K969" s="95"/>
      <c r="L969" s="95"/>
      <c r="M969" s="95"/>
      <c r="N969" s="95"/>
      <c r="O969" s="95"/>
      <c r="P969" s="95"/>
      <c r="Q969" s="95"/>
      <c r="R969" s="95"/>
      <c r="T969" s="81"/>
      <c r="U969" s="95"/>
      <c r="V969" s="95"/>
      <c r="W969" s="95"/>
    </row>
    <row r="970" spans="5:23" ht="10.15" customHeight="1">
      <c r="E970" s="95"/>
      <c r="F970" s="95"/>
      <c r="G970" s="95"/>
      <c r="H970" s="95"/>
      <c r="I970" s="95"/>
      <c r="J970" s="95"/>
      <c r="K970" s="95"/>
      <c r="L970" s="95"/>
      <c r="M970" s="95"/>
      <c r="N970" s="95"/>
      <c r="O970" s="95"/>
      <c r="P970" s="95"/>
      <c r="Q970" s="95"/>
      <c r="R970" s="95"/>
      <c r="T970" s="81"/>
      <c r="U970" s="95"/>
      <c r="V970" s="95"/>
      <c r="W970" s="95"/>
    </row>
    <row r="971" spans="5:23" ht="10.15" customHeight="1">
      <c r="E971" s="95"/>
      <c r="F971" s="95"/>
      <c r="G971" s="95"/>
      <c r="H971" s="95"/>
      <c r="I971" s="95"/>
      <c r="J971" s="95"/>
      <c r="K971" s="95"/>
      <c r="L971" s="95"/>
      <c r="M971" s="95"/>
      <c r="N971" s="95"/>
      <c r="O971" s="95"/>
      <c r="P971" s="95"/>
      <c r="Q971" s="95"/>
      <c r="R971" s="95"/>
      <c r="T971" s="81"/>
      <c r="U971" s="95"/>
      <c r="V971" s="95"/>
      <c r="W971" s="95"/>
    </row>
    <row r="972" spans="5:23" ht="10.15" customHeight="1">
      <c r="E972" s="95"/>
      <c r="F972" s="95"/>
      <c r="G972" s="95"/>
      <c r="H972" s="95"/>
      <c r="I972" s="95"/>
      <c r="J972" s="95"/>
      <c r="K972" s="95"/>
      <c r="L972" s="95"/>
      <c r="M972" s="95"/>
      <c r="N972" s="95"/>
      <c r="O972" s="95"/>
      <c r="P972" s="95"/>
      <c r="Q972" s="95"/>
      <c r="R972" s="95"/>
      <c r="T972" s="81"/>
      <c r="U972" s="95"/>
      <c r="V972" s="95"/>
      <c r="W972" s="95"/>
    </row>
    <row r="973" spans="5:23" ht="10.15" customHeight="1">
      <c r="E973" s="95"/>
      <c r="F973" s="95"/>
      <c r="G973" s="95"/>
      <c r="H973" s="95"/>
      <c r="I973" s="95"/>
      <c r="J973" s="95"/>
      <c r="K973" s="95"/>
      <c r="L973" s="95"/>
      <c r="M973" s="95"/>
      <c r="N973" s="95"/>
      <c r="O973" s="95"/>
      <c r="P973" s="95"/>
      <c r="Q973" s="95"/>
      <c r="R973" s="95"/>
      <c r="T973" s="81"/>
      <c r="U973" s="95"/>
      <c r="V973" s="95"/>
      <c r="W973" s="95"/>
    </row>
    <row r="974" spans="5:23" ht="10.15" customHeight="1">
      <c r="E974" s="95"/>
      <c r="F974" s="95"/>
      <c r="G974" s="95"/>
      <c r="H974" s="95"/>
      <c r="I974" s="95"/>
      <c r="J974" s="95"/>
      <c r="K974" s="95"/>
      <c r="L974" s="95"/>
      <c r="M974" s="95"/>
      <c r="N974" s="95"/>
      <c r="O974" s="95"/>
      <c r="P974" s="95"/>
      <c r="Q974" s="95"/>
      <c r="R974" s="95"/>
      <c r="T974" s="81"/>
      <c r="U974" s="95"/>
      <c r="V974" s="95"/>
      <c r="W974" s="95"/>
    </row>
    <row r="975" spans="5:23" ht="10.15" customHeight="1">
      <c r="E975" s="95"/>
      <c r="F975" s="95"/>
      <c r="G975" s="95"/>
      <c r="H975" s="95"/>
      <c r="I975" s="95"/>
      <c r="J975" s="95"/>
      <c r="K975" s="95"/>
      <c r="L975" s="95"/>
      <c r="M975" s="95"/>
      <c r="N975" s="95"/>
      <c r="O975" s="95"/>
      <c r="P975" s="95"/>
      <c r="Q975" s="95"/>
      <c r="R975" s="95"/>
      <c r="T975" s="81"/>
      <c r="U975" s="95"/>
      <c r="V975" s="95"/>
      <c r="W975" s="95"/>
    </row>
    <row r="976" spans="5:23" ht="10.15" customHeight="1">
      <c r="E976" s="95"/>
      <c r="F976" s="95"/>
      <c r="G976" s="95"/>
      <c r="H976" s="95"/>
      <c r="I976" s="95"/>
      <c r="J976" s="95"/>
      <c r="K976" s="95"/>
      <c r="L976" s="95"/>
      <c r="M976" s="95"/>
      <c r="N976" s="95"/>
      <c r="O976" s="95"/>
      <c r="P976" s="95"/>
      <c r="Q976" s="95"/>
      <c r="R976" s="95"/>
      <c r="T976" s="81"/>
      <c r="U976" s="95"/>
      <c r="V976" s="95"/>
      <c r="W976" s="95"/>
    </row>
    <row r="977" spans="5:23" ht="10.15" customHeight="1">
      <c r="E977" s="95"/>
      <c r="F977" s="95"/>
      <c r="G977" s="95"/>
      <c r="H977" s="95"/>
      <c r="I977" s="95"/>
      <c r="J977" s="95"/>
      <c r="K977" s="95"/>
      <c r="L977" s="95"/>
      <c r="M977" s="95"/>
      <c r="N977" s="95"/>
      <c r="O977" s="95"/>
      <c r="P977" s="95"/>
      <c r="Q977" s="95"/>
      <c r="R977" s="95"/>
      <c r="T977" s="81"/>
      <c r="U977" s="95"/>
      <c r="V977" s="95"/>
      <c r="W977" s="95"/>
    </row>
    <row r="978" spans="5:23" ht="10.15" customHeight="1">
      <c r="E978" s="95"/>
      <c r="F978" s="95"/>
      <c r="G978" s="95"/>
      <c r="H978" s="95"/>
      <c r="I978" s="95"/>
      <c r="J978" s="95"/>
      <c r="K978" s="95"/>
      <c r="L978" s="95"/>
      <c r="M978" s="95"/>
      <c r="N978" s="95"/>
      <c r="O978" s="95"/>
      <c r="P978" s="95"/>
      <c r="Q978" s="95"/>
      <c r="R978" s="95"/>
      <c r="T978" s="81"/>
      <c r="U978" s="95"/>
      <c r="V978" s="95"/>
      <c r="W978" s="95"/>
    </row>
    <row r="979" spans="5:23" ht="10.15" customHeight="1">
      <c r="E979" s="95"/>
      <c r="F979" s="95"/>
      <c r="G979" s="95"/>
      <c r="H979" s="95"/>
      <c r="I979" s="95"/>
      <c r="J979" s="95"/>
      <c r="K979" s="95"/>
      <c r="L979" s="95"/>
      <c r="M979" s="95"/>
      <c r="N979" s="95"/>
      <c r="O979" s="95"/>
      <c r="P979" s="95"/>
      <c r="Q979" s="95"/>
      <c r="R979" s="95"/>
      <c r="T979" s="81"/>
      <c r="U979" s="95"/>
      <c r="V979" s="95"/>
      <c r="W979" s="95"/>
    </row>
    <row r="980" spans="5:23" ht="10.15" customHeight="1">
      <c r="E980" s="95"/>
      <c r="F980" s="95"/>
      <c r="G980" s="95"/>
      <c r="H980" s="95"/>
      <c r="I980" s="95"/>
      <c r="J980" s="95"/>
      <c r="K980" s="95"/>
      <c r="L980" s="95"/>
      <c r="M980" s="95"/>
      <c r="N980" s="95"/>
      <c r="O980" s="95"/>
      <c r="P980" s="95"/>
      <c r="Q980" s="95"/>
      <c r="R980" s="95"/>
      <c r="T980" s="81"/>
      <c r="U980" s="95"/>
      <c r="V980" s="95"/>
      <c r="W980" s="95"/>
    </row>
    <row r="981" spans="5:23" ht="10.15" customHeight="1">
      <c r="E981" s="95"/>
      <c r="F981" s="95"/>
      <c r="G981" s="95"/>
      <c r="H981" s="95"/>
      <c r="I981" s="95"/>
      <c r="J981" s="95"/>
      <c r="K981" s="95"/>
      <c r="L981" s="95"/>
      <c r="M981" s="95"/>
      <c r="N981" s="95"/>
      <c r="O981" s="95"/>
      <c r="P981" s="95"/>
      <c r="Q981" s="95"/>
      <c r="R981" s="95"/>
      <c r="T981" s="81"/>
      <c r="U981" s="95"/>
      <c r="V981" s="95"/>
      <c r="W981" s="95"/>
    </row>
    <row r="982" spans="5:23" ht="10.15" customHeight="1">
      <c r="E982" s="95"/>
      <c r="F982" s="95"/>
      <c r="G982" s="95"/>
      <c r="H982" s="95"/>
      <c r="I982" s="95"/>
      <c r="J982" s="95"/>
      <c r="K982" s="95"/>
      <c r="L982" s="95"/>
      <c r="M982" s="95"/>
      <c r="N982" s="95"/>
      <c r="O982" s="95"/>
      <c r="P982" s="95"/>
      <c r="Q982" s="95"/>
      <c r="R982" s="95"/>
      <c r="T982" s="81"/>
      <c r="U982" s="95"/>
      <c r="V982" s="95"/>
      <c r="W982" s="95"/>
    </row>
    <row r="983" spans="5:23" ht="10.15" customHeight="1">
      <c r="E983" s="95"/>
      <c r="F983" s="95"/>
      <c r="G983" s="95"/>
      <c r="H983" s="95"/>
      <c r="I983" s="95"/>
      <c r="J983" s="95"/>
      <c r="K983" s="95"/>
      <c r="L983" s="95"/>
      <c r="M983" s="95"/>
      <c r="N983" s="95"/>
      <c r="O983" s="95"/>
      <c r="P983" s="95"/>
      <c r="Q983" s="95"/>
      <c r="R983" s="95"/>
      <c r="T983" s="81"/>
      <c r="U983" s="95"/>
      <c r="V983" s="95"/>
      <c r="W983" s="95"/>
    </row>
    <row r="984" spans="5:23" ht="10.15" customHeight="1">
      <c r="E984" s="95"/>
      <c r="F984" s="95"/>
      <c r="G984" s="95"/>
      <c r="H984" s="95"/>
      <c r="I984" s="95"/>
      <c r="J984" s="95"/>
      <c r="K984" s="95"/>
      <c r="L984" s="95"/>
      <c r="M984" s="95"/>
      <c r="N984" s="95"/>
      <c r="O984" s="95"/>
      <c r="P984" s="95"/>
      <c r="Q984" s="95"/>
      <c r="R984" s="95"/>
      <c r="T984" s="81"/>
      <c r="U984" s="95"/>
      <c r="V984" s="95"/>
      <c r="W984" s="95"/>
    </row>
    <row r="985" spans="5:23" ht="10.15" customHeight="1">
      <c r="E985" s="95"/>
      <c r="F985" s="95"/>
      <c r="G985" s="95"/>
      <c r="H985" s="95"/>
      <c r="I985" s="95"/>
      <c r="J985" s="95"/>
      <c r="K985" s="95"/>
      <c r="L985" s="95"/>
      <c r="M985" s="95"/>
      <c r="N985" s="95"/>
      <c r="O985" s="95"/>
      <c r="P985" s="95"/>
      <c r="Q985" s="95"/>
      <c r="R985" s="95"/>
      <c r="T985" s="81"/>
      <c r="U985" s="95"/>
      <c r="V985" s="95"/>
      <c r="W985" s="95"/>
    </row>
    <row r="986" spans="5:23" ht="10.15" customHeight="1">
      <c r="E986" s="95"/>
      <c r="F986" s="95"/>
      <c r="G986" s="95"/>
      <c r="H986" s="95"/>
      <c r="I986" s="95"/>
      <c r="J986" s="95"/>
      <c r="K986" s="95"/>
      <c r="L986" s="95"/>
      <c r="M986" s="95"/>
      <c r="N986" s="95"/>
      <c r="O986" s="95"/>
      <c r="P986" s="95"/>
      <c r="Q986" s="95"/>
      <c r="R986" s="95"/>
      <c r="T986" s="81"/>
      <c r="U986" s="95"/>
      <c r="V986" s="95"/>
      <c r="W986" s="95"/>
    </row>
    <row r="987" spans="5:23" ht="10.15" customHeight="1">
      <c r="E987" s="95"/>
      <c r="F987" s="95"/>
      <c r="G987" s="95"/>
      <c r="H987" s="95"/>
      <c r="I987" s="95"/>
      <c r="J987" s="95"/>
      <c r="K987" s="95"/>
      <c r="L987" s="95"/>
      <c r="M987" s="95"/>
      <c r="N987" s="95"/>
      <c r="O987" s="95"/>
      <c r="P987" s="95"/>
      <c r="Q987" s="95"/>
      <c r="R987" s="95"/>
      <c r="T987" s="81"/>
      <c r="U987" s="95"/>
      <c r="V987" s="95"/>
      <c r="W987" s="95"/>
    </row>
    <row r="988" spans="5:23" ht="10.15" customHeight="1">
      <c r="E988" s="95"/>
      <c r="F988" s="95"/>
      <c r="G988" s="95"/>
      <c r="H988" s="95"/>
      <c r="I988" s="95"/>
      <c r="J988" s="95"/>
      <c r="K988" s="95"/>
      <c r="L988" s="95"/>
      <c r="M988" s="95"/>
      <c r="N988" s="95"/>
      <c r="O988" s="95"/>
      <c r="P988" s="95"/>
      <c r="Q988" s="95"/>
      <c r="R988" s="95"/>
      <c r="T988" s="81"/>
      <c r="U988" s="95"/>
      <c r="V988" s="95"/>
      <c r="W988" s="95"/>
    </row>
    <row r="989" spans="5:23" ht="10.15" customHeight="1">
      <c r="E989" s="95"/>
      <c r="F989" s="95"/>
      <c r="G989" s="95"/>
      <c r="H989" s="95"/>
      <c r="I989" s="95"/>
      <c r="J989" s="95"/>
      <c r="K989" s="95"/>
      <c r="L989" s="95"/>
      <c r="M989" s="95"/>
      <c r="N989" s="95"/>
      <c r="O989" s="95"/>
      <c r="P989" s="95"/>
      <c r="Q989" s="95"/>
      <c r="R989" s="95"/>
      <c r="T989" s="81"/>
      <c r="U989" s="95"/>
      <c r="V989" s="95"/>
      <c r="W989" s="95"/>
    </row>
    <row r="990" spans="5:23" ht="10.15" customHeight="1">
      <c r="E990" s="95"/>
      <c r="F990" s="95"/>
      <c r="G990" s="95"/>
      <c r="H990" s="95"/>
      <c r="I990" s="95"/>
      <c r="J990" s="95"/>
      <c r="K990" s="95"/>
      <c r="L990" s="95"/>
      <c r="M990" s="95"/>
      <c r="N990" s="95"/>
      <c r="O990" s="95"/>
      <c r="P990" s="95"/>
      <c r="Q990" s="95"/>
      <c r="R990" s="95"/>
      <c r="T990" s="81"/>
      <c r="U990" s="95"/>
      <c r="V990" s="95"/>
      <c r="W990" s="95"/>
    </row>
    <row r="991" spans="5:23" ht="10.15" customHeight="1">
      <c r="E991" s="95"/>
      <c r="F991" s="95"/>
      <c r="G991" s="95"/>
      <c r="H991" s="95"/>
      <c r="I991" s="95"/>
      <c r="J991" s="95"/>
      <c r="K991" s="95"/>
      <c r="L991" s="95"/>
      <c r="M991" s="95"/>
      <c r="N991" s="95"/>
      <c r="O991" s="95"/>
      <c r="P991" s="95"/>
      <c r="Q991" s="95"/>
      <c r="R991" s="95"/>
      <c r="T991" s="81"/>
      <c r="U991" s="95"/>
      <c r="V991" s="95"/>
      <c r="W991" s="95"/>
    </row>
    <row r="992" spans="5:23" ht="10.15" customHeight="1">
      <c r="E992" s="95"/>
      <c r="F992" s="95"/>
      <c r="G992" s="95"/>
      <c r="H992" s="95"/>
      <c r="I992" s="95"/>
      <c r="J992" s="95"/>
      <c r="K992" s="95"/>
      <c r="L992" s="95"/>
      <c r="M992" s="95"/>
      <c r="N992" s="95"/>
      <c r="O992" s="95"/>
      <c r="P992" s="95"/>
      <c r="Q992" s="95"/>
      <c r="R992" s="95"/>
      <c r="T992" s="81"/>
      <c r="U992" s="95"/>
      <c r="V992" s="95"/>
      <c r="W992" s="95"/>
    </row>
    <row r="993" spans="5:23" ht="10.15" customHeight="1">
      <c r="E993" s="95"/>
      <c r="F993" s="95"/>
      <c r="G993" s="95"/>
      <c r="H993" s="95"/>
      <c r="I993" s="95"/>
      <c r="J993" s="95"/>
      <c r="K993" s="95"/>
      <c r="L993" s="95"/>
      <c r="M993" s="95"/>
      <c r="N993" s="95"/>
      <c r="O993" s="95"/>
      <c r="P993" s="95"/>
      <c r="Q993" s="95"/>
      <c r="R993" s="95"/>
      <c r="T993" s="81"/>
      <c r="U993" s="95"/>
      <c r="V993" s="95"/>
      <c r="W993" s="95"/>
    </row>
    <row r="994" spans="5:23" ht="10.15" customHeight="1">
      <c r="E994" s="95"/>
      <c r="F994" s="95"/>
      <c r="G994" s="95"/>
      <c r="H994" s="95"/>
      <c r="I994" s="95"/>
      <c r="J994" s="95"/>
      <c r="K994" s="95"/>
      <c r="L994" s="95"/>
      <c r="M994" s="95"/>
      <c r="N994" s="95"/>
      <c r="O994" s="95"/>
      <c r="P994" s="95"/>
      <c r="Q994" s="95"/>
      <c r="R994" s="95"/>
      <c r="T994" s="81"/>
      <c r="U994" s="95"/>
      <c r="V994" s="95"/>
      <c r="W994" s="95"/>
    </row>
    <row r="995" spans="5:23" ht="10.15" customHeight="1">
      <c r="E995" s="95"/>
      <c r="F995" s="95"/>
      <c r="G995" s="95"/>
      <c r="H995" s="95"/>
      <c r="I995" s="95"/>
      <c r="J995" s="95"/>
      <c r="K995" s="95"/>
      <c r="L995" s="95"/>
      <c r="M995" s="95"/>
      <c r="N995" s="95"/>
      <c r="O995" s="95"/>
      <c r="P995" s="95"/>
      <c r="Q995" s="95"/>
      <c r="R995" s="95"/>
      <c r="T995" s="81"/>
      <c r="U995" s="95"/>
      <c r="V995" s="95"/>
      <c r="W995" s="95"/>
    </row>
    <row r="996" spans="5:23" ht="10.15" customHeight="1">
      <c r="E996" s="95"/>
      <c r="F996" s="95"/>
      <c r="G996" s="95"/>
      <c r="H996" s="95"/>
      <c r="I996" s="95"/>
      <c r="J996" s="95"/>
      <c r="K996" s="95"/>
      <c r="L996" s="95"/>
      <c r="M996" s="95"/>
      <c r="N996" s="95"/>
      <c r="O996" s="95"/>
      <c r="P996" s="95"/>
      <c r="Q996" s="95"/>
      <c r="R996" s="95"/>
      <c r="T996" s="81"/>
      <c r="U996" s="95"/>
      <c r="V996" s="95"/>
      <c r="W996" s="95"/>
    </row>
    <row r="997" spans="5:23" ht="10.15" customHeight="1">
      <c r="E997" s="95"/>
      <c r="F997" s="95"/>
      <c r="G997" s="95"/>
      <c r="H997" s="95"/>
      <c r="I997" s="95"/>
      <c r="J997" s="95"/>
      <c r="K997" s="95"/>
      <c r="L997" s="95"/>
      <c r="M997" s="95"/>
      <c r="N997" s="95"/>
      <c r="O997" s="95"/>
      <c r="P997" s="95"/>
      <c r="Q997" s="95"/>
      <c r="R997" s="95"/>
      <c r="T997" s="81"/>
      <c r="U997" s="95"/>
      <c r="V997" s="95"/>
      <c r="W997" s="95"/>
    </row>
    <row r="998" spans="5:23" ht="10.15" customHeight="1">
      <c r="E998" s="95"/>
      <c r="F998" s="95"/>
      <c r="G998" s="95"/>
      <c r="H998" s="95"/>
      <c r="I998" s="95"/>
      <c r="J998" s="95"/>
      <c r="K998" s="95"/>
      <c r="L998" s="95"/>
      <c r="M998" s="95"/>
      <c r="N998" s="95"/>
      <c r="O998" s="95"/>
      <c r="P998" s="95"/>
      <c r="Q998" s="95"/>
      <c r="R998" s="95"/>
      <c r="T998" s="81"/>
      <c r="U998" s="95"/>
      <c r="V998" s="95"/>
      <c r="W998" s="95"/>
    </row>
    <row r="999" spans="5:23" ht="10.15" customHeight="1">
      <c r="E999" s="95"/>
      <c r="F999" s="95"/>
      <c r="G999" s="95"/>
      <c r="H999" s="95"/>
      <c r="I999" s="95"/>
      <c r="J999" s="95"/>
      <c r="K999" s="95"/>
      <c r="L999" s="95"/>
      <c r="M999" s="95"/>
      <c r="N999" s="95"/>
      <c r="O999" s="95"/>
      <c r="P999" s="95"/>
      <c r="Q999" s="95"/>
      <c r="R999" s="95"/>
      <c r="T999" s="81"/>
      <c r="U999" s="95"/>
      <c r="V999" s="95"/>
      <c r="W999" s="95"/>
    </row>
    <row r="1000" spans="5:23" ht="10.15" customHeight="1">
      <c r="E1000" s="95"/>
      <c r="F1000" s="95"/>
      <c r="G1000" s="95"/>
      <c r="H1000" s="95"/>
      <c r="I1000" s="95"/>
      <c r="J1000" s="95"/>
      <c r="K1000" s="95"/>
      <c r="L1000" s="95"/>
      <c r="M1000" s="95"/>
      <c r="N1000" s="95"/>
      <c r="O1000" s="95"/>
      <c r="P1000" s="95"/>
      <c r="Q1000" s="95"/>
      <c r="R1000" s="95"/>
      <c r="T1000" s="81"/>
      <c r="U1000" s="95"/>
      <c r="V1000" s="95"/>
      <c r="W1000" s="95"/>
    </row>
    <row r="1001" spans="5:23" ht="10.15" customHeight="1">
      <c r="E1001" s="95"/>
      <c r="F1001" s="95"/>
      <c r="G1001" s="95"/>
      <c r="H1001" s="95"/>
      <c r="I1001" s="95"/>
      <c r="J1001" s="95"/>
      <c r="K1001" s="95"/>
      <c r="L1001" s="95"/>
      <c r="M1001" s="95"/>
      <c r="N1001" s="95"/>
      <c r="O1001" s="95"/>
      <c r="P1001" s="95"/>
      <c r="Q1001" s="95"/>
      <c r="R1001" s="95"/>
      <c r="T1001" s="81"/>
      <c r="U1001" s="95"/>
      <c r="V1001" s="95"/>
      <c r="W1001" s="95"/>
    </row>
    <row r="1002" spans="5:23" ht="10.15" customHeight="1">
      <c r="E1002" s="95"/>
      <c r="F1002" s="95"/>
      <c r="G1002" s="95"/>
      <c r="H1002" s="95"/>
      <c r="I1002" s="95"/>
      <c r="J1002" s="95"/>
      <c r="K1002" s="95"/>
      <c r="L1002" s="95"/>
      <c r="M1002" s="95"/>
      <c r="N1002" s="95"/>
      <c r="O1002" s="95"/>
      <c r="P1002" s="95"/>
      <c r="Q1002" s="95"/>
      <c r="R1002" s="95"/>
      <c r="T1002" s="81"/>
      <c r="U1002" s="95"/>
      <c r="V1002" s="95"/>
      <c r="W1002" s="95"/>
    </row>
    <row r="1003" spans="5:23" ht="10.15" customHeight="1">
      <c r="E1003" s="95"/>
      <c r="F1003" s="95"/>
      <c r="G1003" s="95"/>
      <c r="H1003" s="95"/>
      <c r="I1003" s="95"/>
      <c r="J1003" s="95"/>
      <c r="K1003" s="95"/>
      <c r="L1003" s="95"/>
      <c r="M1003" s="95"/>
      <c r="N1003" s="95"/>
      <c r="O1003" s="95"/>
      <c r="P1003" s="95"/>
      <c r="Q1003" s="95"/>
      <c r="R1003" s="95"/>
      <c r="T1003" s="81"/>
      <c r="U1003" s="95"/>
      <c r="V1003" s="95"/>
      <c r="W1003" s="95"/>
    </row>
    <row r="1004" spans="5:23" ht="10.15" customHeight="1">
      <c r="E1004" s="95"/>
      <c r="F1004" s="95"/>
      <c r="G1004" s="95"/>
      <c r="H1004" s="95"/>
      <c r="I1004" s="95"/>
      <c r="J1004" s="95"/>
      <c r="K1004" s="95"/>
      <c r="L1004" s="95"/>
      <c r="M1004" s="95"/>
      <c r="N1004" s="95"/>
      <c r="O1004" s="95"/>
      <c r="P1004" s="95"/>
      <c r="Q1004" s="95"/>
      <c r="R1004" s="95"/>
      <c r="T1004" s="81"/>
      <c r="U1004" s="95"/>
      <c r="V1004" s="95"/>
      <c r="W1004" s="95"/>
    </row>
    <row r="1005" spans="5:23" ht="10.15" customHeight="1">
      <c r="E1005" s="95"/>
      <c r="F1005" s="95"/>
      <c r="G1005" s="95"/>
      <c r="H1005" s="95"/>
      <c r="I1005" s="95"/>
      <c r="J1005" s="95"/>
      <c r="K1005" s="95"/>
      <c r="L1005" s="95"/>
      <c r="M1005" s="95"/>
      <c r="N1005" s="95"/>
      <c r="O1005" s="95"/>
      <c r="P1005" s="95"/>
      <c r="Q1005" s="95"/>
      <c r="R1005" s="95"/>
      <c r="T1005" s="81"/>
      <c r="U1005" s="95"/>
      <c r="V1005" s="95"/>
      <c r="W1005" s="95"/>
    </row>
    <row r="1006" spans="5:23" ht="10.15" customHeight="1">
      <c r="E1006" s="95"/>
      <c r="F1006" s="95"/>
      <c r="G1006" s="95"/>
      <c r="H1006" s="95"/>
      <c r="I1006" s="95"/>
      <c r="J1006" s="95"/>
      <c r="K1006" s="95"/>
      <c r="L1006" s="95"/>
      <c r="M1006" s="95"/>
      <c r="N1006" s="95"/>
      <c r="O1006" s="95"/>
      <c r="P1006" s="95"/>
      <c r="Q1006" s="95"/>
      <c r="R1006" s="95"/>
      <c r="T1006" s="81"/>
      <c r="U1006" s="95"/>
      <c r="V1006" s="95"/>
      <c r="W1006" s="95"/>
    </row>
    <row r="1007" spans="5:23" ht="10.15" customHeight="1">
      <c r="E1007" s="95"/>
      <c r="F1007" s="95"/>
      <c r="G1007" s="95"/>
      <c r="H1007" s="95"/>
      <c r="I1007" s="95"/>
      <c r="J1007" s="95"/>
      <c r="K1007" s="95"/>
      <c r="L1007" s="95"/>
      <c r="M1007" s="95"/>
      <c r="N1007" s="95"/>
      <c r="O1007" s="95"/>
      <c r="P1007" s="95"/>
      <c r="Q1007" s="95"/>
      <c r="R1007" s="95"/>
      <c r="T1007" s="81"/>
      <c r="U1007" s="95"/>
      <c r="V1007" s="95"/>
      <c r="W1007" s="95"/>
    </row>
    <row r="1008" spans="5:23" ht="10.15" customHeight="1">
      <c r="E1008" s="95"/>
      <c r="F1008" s="95"/>
      <c r="G1008" s="95"/>
      <c r="H1008" s="95"/>
      <c r="I1008" s="95"/>
      <c r="J1008" s="95"/>
      <c r="K1008" s="95"/>
      <c r="L1008" s="95"/>
      <c r="M1008" s="95"/>
      <c r="N1008" s="95"/>
      <c r="O1008" s="95"/>
      <c r="P1008" s="95"/>
      <c r="Q1008" s="95"/>
      <c r="R1008" s="95"/>
      <c r="T1008" s="81"/>
      <c r="U1008" s="95"/>
      <c r="V1008" s="95"/>
      <c r="W1008" s="95"/>
    </row>
    <row r="1009" spans="5:23" ht="10.15" customHeight="1">
      <c r="E1009" s="95"/>
      <c r="F1009" s="95"/>
      <c r="G1009" s="95"/>
      <c r="H1009" s="95"/>
      <c r="I1009" s="95"/>
      <c r="J1009" s="95"/>
      <c r="K1009" s="95"/>
      <c r="L1009" s="95"/>
      <c r="M1009" s="95"/>
      <c r="N1009" s="95"/>
      <c r="O1009" s="95"/>
      <c r="P1009" s="95"/>
      <c r="Q1009" s="95"/>
      <c r="R1009" s="95"/>
      <c r="T1009" s="81"/>
      <c r="U1009" s="95"/>
      <c r="V1009" s="95"/>
      <c r="W1009" s="95"/>
    </row>
    <row r="1010" spans="5:23" ht="10.15" customHeight="1">
      <c r="E1010" s="95"/>
      <c r="F1010" s="95"/>
      <c r="G1010" s="95"/>
      <c r="H1010" s="95"/>
      <c r="I1010" s="95"/>
      <c r="J1010" s="95"/>
      <c r="K1010" s="95"/>
      <c r="L1010" s="95"/>
      <c r="M1010" s="95"/>
      <c r="N1010" s="95"/>
      <c r="O1010" s="95"/>
      <c r="P1010" s="95"/>
      <c r="Q1010" s="95"/>
      <c r="R1010" s="95"/>
      <c r="T1010" s="81"/>
      <c r="U1010" s="95"/>
      <c r="V1010" s="95"/>
      <c r="W1010" s="95"/>
    </row>
    <row r="1011" spans="5:23" ht="10.15" customHeight="1">
      <c r="E1011" s="95"/>
      <c r="F1011" s="95"/>
      <c r="G1011" s="95"/>
      <c r="H1011" s="95"/>
      <c r="I1011" s="95"/>
      <c r="J1011" s="95"/>
      <c r="K1011" s="95"/>
      <c r="L1011" s="95"/>
      <c r="M1011" s="95"/>
      <c r="N1011" s="95"/>
      <c r="O1011" s="95"/>
      <c r="P1011" s="95"/>
      <c r="Q1011" s="95"/>
      <c r="R1011" s="95"/>
      <c r="T1011" s="81"/>
      <c r="U1011" s="95"/>
      <c r="V1011" s="95"/>
      <c r="W1011" s="95"/>
    </row>
    <row r="1012" spans="5:23" ht="10.15" customHeight="1">
      <c r="E1012" s="95"/>
      <c r="F1012" s="95"/>
      <c r="G1012" s="95"/>
      <c r="H1012" s="95"/>
      <c r="I1012" s="95"/>
      <c r="J1012" s="95"/>
      <c r="K1012" s="95"/>
      <c r="L1012" s="95"/>
      <c r="M1012" s="95"/>
      <c r="N1012" s="95"/>
      <c r="O1012" s="95"/>
      <c r="P1012" s="95"/>
      <c r="Q1012" s="95"/>
      <c r="R1012" s="95"/>
      <c r="T1012" s="81"/>
      <c r="U1012" s="95"/>
      <c r="V1012" s="95"/>
      <c r="W1012" s="95"/>
    </row>
    <row r="1013" spans="5:23" ht="10.15" customHeight="1">
      <c r="E1013" s="95"/>
      <c r="F1013" s="95"/>
      <c r="G1013" s="95"/>
      <c r="H1013" s="95"/>
      <c r="I1013" s="95"/>
      <c r="J1013" s="95"/>
      <c r="K1013" s="95"/>
      <c r="L1013" s="95"/>
      <c r="M1013" s="95"/>
      <c r="N1013" s="95"/>
      <c r="O1013" s="95"/>
      <c r="P1013" s="95"/>
      <c r="Q1013" s="95"/>
      <c r="R1013" s="95"/>
      <c r="T1013" s="81"/>
      <c r="U1013" s="95"/>
      <c r="V1013" s="95"/>
      <c r="W1013" s="95"/>
    </row>
    <row r="1014" spans="5:23" ht="10.15" customHeight="1">
      <c r="E1014" s="95"/>
      <c r="F1014" s="95"/>
      <c r="G1014" s="95"/>
      <c r="H1014" s="95"/>
      <c r="I1014" s="95"/>
      <c r="J1014" s="95"/>
      <c r="K1014" s="95"/>
      <c r="L1014" s="95"/>
      <c r="M1014" s="95"/>
      <c r="N1014" s="95"/>
      <c r="O1014" s="95"/>
      <c r="P1014" s="95"/>
      <c r="Q1014" s="95"/>
      <c r="R1014" s="95"/>
      <c r="T1014" s="81"/>
      <c r="U1014" s="95"/>
      <c r="V1014" s="95"/>
      <c r="W1014" s="95"/>
    </row>
    <row r="1015" spans="5:23" ht="10.15" customHeight="1">
      <c r="E1015" s="95"/>
      <c r="F1015" s="95"/>
      <c r="G1015" s="95"/>
      <c r="H1015" s="95"/>
      <c r="I1015" s="95"/>
      <c r="J1015" s="95"/>
      <c r="K1015" s="95"/>
      <c r="L1015" s="95"/>
      <c r="M1015" s="95"/>
      <c r="N1015" s="95"/>
      <c r="O1015" s="95"/>
      <c r="P1015" s="95"/>
      <c r="Q1015" s="95"/>
      <c r="R1015" s="95"/>
      <c r="T1015" s="81"/>
      <c r="U1015" s="95"/>
      <c r="V1015" s="95"/>
      <c r="W1015" s="95"/>
    </row>
    <row r="1016" spans="5:23" ht="10.15" customHeight="1">
      <c r="E1016" s="95"/>
      <c r="F1016" s="95"/>
      <c r="G1016" s="95"/>
      <c r="H1016" s="95"/>
      <c r="I1016" s="95"/>
      <c r="J1016" s="95"/>
      <c r="K1016" s="95"/>
      <c r="L1016" s="95"/>
      <c r="M1016" s="95"/>
      <c r="N1016" s="95"/>
      <c r="O1016" s="95"/>
      <c r="P1016" s="95"/>
      <c r="Q1016" s="95"/>
      <c r="R1016" s="95"/>
      <c r="T1016" s="81"/>
      <c r="U1016" s="95"/>
      <c r="V1016" s="95"/>
      <c r="W1016" s="95"/>
    </row>
    <row r="1017" spans="5:23" ht="10.15" customHeight="1">
      <c r="E1017" s="95"/>
      <c r="F1017" s="95"/>
      <c r="G1017" s="95"/>
      <c r="H1017" s="95"/>
      <c r="I1017" s="95"/>
      <c r="J1017" s="95"/>
      <c r="K1017" s="95"/>
      <c r="L1017" s="95"/>
      <c r="M1017" s="95"/>
      <c r="N1017" s="95"/>
      <c r="O1017" s="95"/>
      <c r="P1017" s="95"/>
      <c r="Q1017" s="95"/>
      <c r="R1017" s="95"/>
      <c r="T1017" s="81"/>
      <c r="U1017" s="95"/>
      <c r="V1017" s="95"/>
      <c r="W1017" s="95"/>
    </row>
    <row r="1018" spans="5:23" ht="10.15" customHeight="1">
      <c r="E1018" s="95"/>
      <c r="F1018" s="95"/>
      <c r="G1018" s="95"/>
      <c r="H1018" s="95"/>
      <c r="I1018" s="95"/>
      <c r="J1018" s="95"/>
      <c r="K1018" s="95"/>
      <c r="L1018" s="95"/>
      <c r="M1018" s="95"/>
      <c r="N1018" s="95"/>
      <c r="O1018" s="95"/>
      <c r="P1018" s="95"/>
      <c r="Q1018" s="95"/>
      <c r="R1018" s="95"/>
      <c r="T1018" s="81"/>
      <c r="U1018" s="95"/>
      <c r="V1018" s="95"/>
      <c r="W1018" s="95"/>
    </row>
    <row r="1019" spans="5:23" ht="10.15" customHeight="1">
      <c r="E1019" s="95"/>
      <c r="F1019" s="95"/>
      <c r="G1019" s="95"/>
      <c r="H1019" s="95"/>
      <c r="I1019" s="95"/>
      <c r="J1019" s="95"/>
      <c r="K1019" s="95"/>
      <c r="L1019" s="95"/>
      <c r="M1019" s="95"/>
      <c r="N1019" s="95"/>
      <c r="O1019" s="95"/>
      <c r="P1019" s="95"/>
      <c r="Q1019" s="95"/>
      <c r="R1019" s="95"/>
      <c r="T1019" s="81"/>
      <c r="U1019" s="95"/>
      <c r="V1019" s="95"/>
      <c r="W1019" s="95"/>
    </row>
    <row r="1020" spans="5:23" ht="10.15" customHeight="1">
      <c r="E1020" s="95"/>
      <c r="F1020" s="95"/>
      <c r="G1020" s="95"/>
      <c r="H1020" s="95"/>
      <c r="I1020" s="95"/>
      <c r="J1020" s="95"/>
      <c r="K1020" s="95"/>
      <c r="L1020" s="95"/>
      <c r="M1020" s="95"/>
      <c r="N1020" s="95"/>
      <c r="O1020" s="95"/>
      <c r="P1020" s="95"/>
      <c r="Q1020" s="95"/>
      <c r="R1020" s="95"/>
      <c r="T1020" s="81"/>
      <c r="U1020" s="95"/>
      <c r="V1020" s="95"/>
      <c r="W1020" s="95"/>
    </row>
    <row r="1021" spans="5:23" ht="10.15" customHeight="1">
      <c r="E1021" s="95"/>
      <c r="F1021" s="95"/>
      <c r="G1021" s="95"/>
      <c r="H1021" s="95"/>
      <c r="I1021" s="95"/>
      <c r="J1021" s="95"/>
      <c r="K1021" s="95"/>
      <c r="L1021" s="95"/>
      <c r="M1021" s="95"/>
      <c r="N1021" s="95"/>
      <c r="O1021" s="95"/>
      <c r="P1021" s="95"/>
      <c r="Q1021" s="95"/>
      <c r="R1021" s="95"/>
      <c r="T1021" s="81"/>
      <c r="U1021" s="95"/>
      <c r="V1021" s="95"/>
      <c r="W1021" s="95"/>
    </row>
    <row r="1022" spans="5:23" ht="10.15" customHeight="1">
      <c r="E1022" s="95"/>
      <c r="F1022" s="95"/>
      <c r="G1022" s="95"/>
      <c r="H1022" s="95"/>
      <c r="I1022" s="95"/>
      <c r="J1022" s="95"/>
      <c r="K1022" s="95"/>
      <c r="L1022" s="95"/>
      <c r="M1022" s="95"/>
      <c r="N1022" s="95"/>
      <c r="O1022" s="95"/>
      <c r="P1022" s="95"/>
      <c r="Q1022" s="95"/>
      <c r="R1022" s="95"/>
      <c r="T1022" s="81"/>
      <c r="U1022" s="95"/>
      <c r="V1022" s="95"/>
      <c r="W1022" s="95"/>
    </row>
    <row r="1023" spans="5:23" ht="10.15" customHeight="1">
      <c r="E1023" s="95"/>
      <c r="F1023" s="95"/>
      <c r="G1023" s="95"/>
      <c r="H1023" s="95"/>
      <c r="I1023" s="95"/>
      <c r="J1023" s="95"/>
      <c r="K1023" s="95"/>
      <c r="L1023" s="95"/>
      <c r="M1023" s="95"/>
      <c r="N1023" s="95"/>
      <c r="O1023" s="95"/>
      <c r="P1023" s="95"/>
      <c r="Q1023" s="95"/>
      <c r="R1023" s="95"/>
      <c r="T1023" s="81"/>
      <c r="U1023" s="95"/>
      <c r="V1023" s="95"/>
      <c r="W1023" s="95"/>
    </row>
    <row r="1024" spans="5:23" ht="10.15" customHeight="1">
      <c r="E1024" s="95"/>
      <c r="F1024" s="95"/>
      <c r="G1024" s="95"/>
      <c r="H1024" s="95"/>
      <c r="I1024" s="95"/>
      <c r="J1024" s="95"/>
      <c r="K1024" s="95"/>
      <c r="L1024" s="95"/>
      <c r="M1024" s="95"/>
      <c r="N1024" s="95"/>
      <c r="O1024" s="95"/>
      <c r="P1024" s="95"/>
      <c r="Q1024" s="95"/>
      <c r="R1024" s="95"/>
      <c r="T1024" s="81"/>
      <c r="U1024" s="95"/>
      <c r="V1024" s="95"/>
      <c r="W1024" s="95"/>
    </row>
    <row r="1025" spans="5:23" ht="10.15" customHeight="1">
      <c r="E1025" s="95"/>
      <c r="F1025" s="95"/>
      <c r="G1025" s="95"/>
      <c r="H1025" s="95"/>
      <c r="I1025" s="95"/>
      <c r="J1025" s="95"/>
      <c r="K1025" s="95"/>
      <c r="L1025" s="95"/>
      <c r="M1025" s="95"/>
      <c r="N1025" s="95"/>
      <c r="O1025" s="95"/>
      <c r="P1025" s="95"/>
      <c r="Q1025" s="95"/>
      <c r="R1025" s="95"/>
      <c r="T1025" s="81"/>
      <c r="U1025" s="95"/>
      <c r="V1025" s="95"/>
      <c r="W1025" s="95"/>
    </row>
    <row r="1026" spans="5:23" ht="10.15" customHeight="1">
      <c r="E1026" s="95"/>
      <c r="F1026" s="95"/>
      <c r="G1026" s="95"/>
      <c r="H1026" s="95"/>
      <c r="I1026" s="95"/>
      <c r="J1026" s="95"/>
      <c r="K1026" s="95"/>
      <c r="L1026" s="95"/>
      <c r="M1026" s="95"/>
      <c r="N1026" s="95"/>
      <c r="O1026" s="95"/>
      <c r="P1026" s="95"/>
      <c r="Q1026" s="95"/>
      <c r="R1026" s="95"/>
      <c r="T1026" s="81"/>
      <c r="U1026" s="95"/>
      <c r="V1026" s="95"/>
      <c r="W1026" s="95"/>
    </row>
    <row r="1027" spans="5:23" ht="10.15" customHeight="1">
      <c r="E1027" s="95"/>
      <c r="F1027" s="95"/>
      <c r="G1027" s="95"/>
      <c r="H1027" s="95"/>
      <c r="I1027" s="95"/>
      <c r="J1027" s="95"/>
      <c r="K1027" s="95"/>
      <c r="L1027" s="95"/>
      <c r="M1027" s="95"/>
      <c r="N1027" s="95"/>
      <c r="O1027" s="95"/>
      <c r="P1027" s="95"/>
      <c r="Q1027" s="95"/>
      <c r="R1027" s="95"/>
      <c r="T1027" s="81"/>
      <c r="U1027" s="95"/>
      <c r="V1027" s="95"/>
      <c r="W1027" s="95"/>
    </row>
    <row r="1028" spans="5:23" ht="10.15" customHeight="1">
      <c r="E1028" s="95"/>
      <c r="F1028" s="95"/>
      <c r="G1028" s="95"/>
      <c r="H1028" s="95"/>
      <c r="I1028" s="95"/>
      <c r="J1028" s="95"/>
      <c r="K1028" s="95"/>
      <c r="L1028" s="95"/>
      <c r="M1028" s="95"/>
      <c r="N1028" s="95"/>
      <c r="O1028" s="95"/>
      <c r="P1028" s="95"/>
      <c r="Q1028" s="95"/>
      <c r="R1028" s="95"/>
      <c r="T1028" s="81"/>
      <c r="U1028" s="95"/>
      <c r="V1028" s="95"/>
      <c r="W1028" s="95"/>
    </row>
    <row r="1029" spans="5:23" ht="10.15" customHeight="1">
      <c r="E1029" s="95"/>
      <c r="F1029" s="95"/>
      <c r="G1029" s="95"/>
      <c r="H1029" s="95"/>
      <c r="I1029" s="95"/>
      <c r="J1029" s="95"/>
      <c r="K1029" s="95"/>
      <c r="L1029" s="95"/>
      <c r="M1029" s="95"/>
      <c r="N1029" s="95"/>
      <c r="O1029" s="95"/>
      <c r="P1029" s="95"/>
      <c r="Q1029" s="95"/>
      <c r="R1029" s="95"/>
      <c r="T1029" s="81"/>
      <c r="U1029" s="95"/>
      <c r="V1029" s="95"/>
      <c r="W1029" s="95"/>
    </row>
    <row r="1030" spans="5:23" ht="10.15" customHeight="1">
      <c r="E1030" s="95"/>
      <c r="F1030" s="95"/>
      <c r="G1030" s="95"/>
      <c r="H1030" s="95"/>
      <c r="I1030" s="95"/>
      <c r="J1030" s="95"/>
      <c r="K1030" s="95"/>
      <c r="L1030" s="95"/>
      <c r="M1030" s="95"/>
      <c r="N1030" s="95"/>
      <c r="O1030" s="95"/>
      <c r="P1030" s="95"/>
      <c r="Q1030" s="95"/>
      <c r="R1030" s="95"/>
      <c r="T1030" s="81"/>
      <c r="U1030" s="95"/>
      <c r="V1030" s="95"/>
      <c r="W1030" s="95"/>
    </row>
    <row r="1031" spans="5:23" ht="10.15" customHeight="1">
      <c r="E1031" s="95"/>
      <c r="F1031" s="95"/>
      <c r="G1031" s="95"/>
      <c r="H1031" s="95"/>
      <c r="I1031" s="95"/>
      <c r="J1031" s="95"/>
      <c r="K1031" s="95"/>
      <c r="L1031" s="95"/>
      <c r="M1031" s="95"/>
      <c r="N1031" s="95"/>
      <c r="O1031" s="95"/>
      <c r="P1031" s="95"/>
      <c r="Q1031" s="95"/>
      <c r="R1031" s="95"/>
      <c r="T1031" s="81"/>
      <c r="U1031" s="95"/>
      <c r="V1031" s="95"/>
      <c r="W1031" s="95"/>
    </row>
    <row r="1032" spans="5:23" ht="10.15" customHeight="1">
      <c r="E1032" s="95"/>
      <c r="F1032" s="95"/>
      <c r="G1032" s="95"/>
      <c r="H1032" s="95"/>
      <c r="I1032" s="95"/>
      <c r="J1032" s="95"/>
      <c r="K1032" s="95"/>
      <c r="L1032" s="95"/>
      <c r="M1032" s="95"/>
      <c r="N1032" s="95"/>
      <c r="O1032" s="95"/>
      <c r="P1032" s="95"/>
      <c r="Q1032" s="95"/>
      <c r="R1032" s="95"/>
      <c r="T1032" s="81"/>
      <c r="U1032" s="95"/>
      <c r="V1032" s="95"/>
      <c r="W1032" s="95"/>
    </row>
    <row r="1033" spans="5:23" ht="10.15" customHeight="1">
      <c r="E1033" s="95"/>
      <c r="F1033" s="95"/>
      <c r="G1033" s="95"/>
      <c r="H1033" s="95"/>
      <c r="I1033" s="95"/>
      <c r="J1033" s="95"/>
      <c r="K1033" s="95"/>
      <c r="L1033" s="95"/>
      <c r="M1033" s="95"/>
      <c r="N1033" s="95"/>
      <c r="O1033" s="95"/>
      <c r="P1033" s="95"/>
      <c r="Q1033" s="95"/>
      <c r="R1033" s="95"/>
      <c r="T1033" s="81"/>
      <c r="U1033" s="95"/>
      <c r="V1033" s="95"/>
      <c r="W1033" s="95"/>
    </row>
    <row r="1034" spans="5:23" ht="10.15" customHeight="1">
      <c r="E1034" s="95"/>
      <c r="F1034" s="95"/>
      <c r="G1034" s="95"/>
      <c r="H1034" s="95"/>
      <c r="I1034" s="95"/>
      <c r="J1034" s="95"/>
      <c r="K1034" s="95"/>
      <c r="L1034" s="95"/>
      <c r="M1034" s="95"/>
      <c r="N1034" s="95"/>
      <c r="O1034" s="95"/>
      <c r="P1034" s="95"/>
      <c r="Q1034" s="95"/>
      <c r="R1034" s="95"/>
      <c r="T1034" s="81"/>
      <c r="U1034" s="95"/>
      <c r="V1034" s="95"/>
      <c r="W1034" s="95"/>
    </row>
    <row r="1035" spans="5:23" ht="10.15" customHeight="1">
      <c r="E1035" s="95"/>
      <c r="F1035" s="95"/>
      <c r="G1035" s="95"/>
      <c r="H1035" s="95"/>
      <c r="I1035" s="95"/>
      <c r="J1035" s="95"/>
      <c r="K1035" s="95"/>
      <c r="L1035" s="95"/>
      <c r="M1035" s="95"/>
      <c r="N1035" s="95"/>
      <c r="O1035" s="95"/>
      <c r="P1035" s="95"/>
      <c r="Q1035" s="95"/>
      <c r="R1035" s="95"/>
      <c r="T1035" s="81"/>
      <c r="U1035" s="95"/>
      <c r="V1035" s="95"/>
      <c r="W1035" s="95"/>
    </row>
    <row r="1036" spans="5:23" ht="10.15" customHeight="1">
      <c r="E1036" s="95"/>
      <c r="F1036" s="95"/>
      <c r="G1036" s="95"/>
      <c r="H1036" s="95"/>
      <c r="I1036" s="95"/>
      <c r="J1036" s="95"/>
      <c r="K1036" s="95"/>
      <c r="L1036" s="95"/>
      <c r="M1036" s="95"/>
      <c r="N1036" s="95"/>
      <c r="O1036" s="95"/>
      <c r="P1036" s="95"/>
      <c r="Q1036" s="95"/>
      <c r="R1036" s="95"/>
      <c r="T1036" s="81"/>
      <c r="U1036" s="95"/>
      <c r="V1036" s="95"/>
      <c r="W1036" s="95"/>
    </row>
    <row r="1037" spans="5:23" ht="10.15" customHeight="1">
      <c r="E1037" s="95"/>
      <c r="F1037" s="95"/>
      <c r="G1037" s="95"/>
      <c r="H1037" s="95"/>
      <c r="I1037" s="95"/>
      <c r="J1037" s="95"/>
      <c r="K1037" s="95"/>
      <c r="L1037" s="95"/>
      <c r="M1037" s="95"/>
      <c r="N1037" s="95"/>
      <c r="O1037" s="95"/>
      <c r="P1037" s="95"/>
      <c r="Q1037" s="95"/>
      <c r="R1037" s="95"/>
      <c r="T1037" s="81"/>
      <c r="U1037" s="95"/>
      <c r="V1037" s="95"/>
      <c r="W1037" s="95"/>
    </row>
    <row r="1038" spans="5:23" ht="10.15" customHeight="1">
      <c r="E1038" s="95"/>
      <c r="F1038" s="95"/>
      <c r="G1038" s="95"/>
      <c r="H1038" s="95"/>
      <c r="I1038" s="95"/>
      <c r="J1038" s="95"/>
      <c r="K1038" s="95"/>
      <c r="L1038" s="95"/>
      <c r="M1038" s="95"/>
      <c r="N1038" s="95"/>
      <c r="O1038" s="95"/>
      <c r="P1038" s="95"/>
      <c r="Q1038" s="95"/>
      <c r="R1038" s="95"/>
      <c r="T1038" s="81"/>
      <c r="U1038" s="95"/>
      <c r="V1038" s="95"/>
      <c r="W1038" s="95"/>
    </row>
    <row r="1039" spans="5:23" ht="10.15" customHeight="1">
      <c r="E1039" s="95"/>
      <c r="F1039" s="95"/>
      <c r="G1039" s="95"/>
      <c r="H1039" s="95"/>
      <c r="I1039" s="95"/>
      <c r="J1039" s="95"/>
      <c r="K1039" s="95"/>
      <c r="L1039" s="95"/>
      <c r="M1039" s="95"/>
      <c r="N1039" s="95"/>
      <c r="O1039" s="95"/>
      <c r="P1039" s="95"/>
      <c r="Q1039" s="95"/>
      <c r="R1039" s="95"/>
      <c r="T1039" s="81"/>
      <c r="U1039" s="95"/>
      <c r="V1039" s="95"/>
      <c r="W1039" s="95"/>
    </row>
    <row r="1040" spans="5:23" ht="10.15" customHeight="1">
      <c r="E1040" s="95"/>
      <c r="F1040" s="95"/>
      <c r="G1040" s="95"/>
      <c r="H1040" s="95"/>
      <c r="I1040" s="95"/>
      <c r="J1040" s="95"/>
      <c r="K1040" s="95"/>
      <c r="L1040" s="95"/>
      <c r="M1040" s="95"/>
      <c r="N1040" s="95"/>
      <c r="O1040" s="95"/>
      <c r="P1040" s="95"/>
      <c r="Q1040" s="95"/>
      <c r="R1040" s="95"/>
      <c r="T1040" s="81"/>
      <c r="U1040" s="95"/>
      <c r="V1040" s="95"/>
      <c r="W1040" s="95"/>
    </row>
    <row r="1041" spans="5:23" ht="10.15" customHeight="1">
      <c r="E1041" s="95"/>
      <c r="F1041" s="95"/>
      <c r="G1041" s="95"/>
      <c r="H1041" s="95"/>
      <c r="I1041" s="95"/>
      <c r="J1041" s="95"/>
      <c r="K1041" s="95"/>
      <c r="L1041" s="95"/>
      <c r="M1041" s="95"/>
      <c r="N1041" s="95"/>
      <c r="O1041" s="95"/>
      <c r="P1041" s="95"/>
      <c r="Q1041" s="95"/>
      <c r="R1041" s="95"/>
      <c r="T1041" s="81"/>
      <c r="U1041" s="95"/>
      <c r="V1041" s="95"/>
      <c r="W1041" s="95"/>
    </row>
    <row r="1042" spans="5:23" ht="10.15" customHeight="1">
      <c r="E1042" s="95"/>
      <c r="F1042" s="95"/>
      <c r="G1042" s="95"/>
      <c r="H1042" s="95"/>
      <c r="I1042" s="95"/>
      <c r="J1042" s="95"/>
      <c r="K1042" s="95"/>
      <c r="L1042" s="95"/>
      <c r="M1042" s="95"/>
      <c r="N1042" s="95"/>
      <c r="O1042" s="95"/>
      <c r="P1042" s="95"/>
      <c r="Q1042" s="95"/>
      <c r="R1042" s="95"/>
      <c r="T1042" s="81"/>
      <c r="U1042" s="95"/>
      <c r="V1042" s="95"/>
      <c r="W1042" s="95"/>
    </row>
    <row r="1043" spans="5:23" ht="10.15" customHeight="1">
      <c r="E1043" s="95"/>
      <c r="F1043" s="95"/>
      <c r="G1043" s="95"/>
      <c r="H1043" s="95"/>
      <c r="I1043" s="95"/>
      <c r="J1043" s="95"/>
      <c r="K1043" s="95"/>
      <c r="L1043" s="95"/>
      <c r="M1043" s="95"/>
      <c r="N1043" s="95"/>
      <c r="O1043" s="95"/>
      <c r="P1043" s="95"/>
      <c r="Q1043" s="95"/>
      <c r="R1043" s="95"/>
      <c r="T1043" s="81"/>
      <c r="U1043" s="95"/>
      <c r="V1043" s="95"/>
      <c r="W1043" s="95"/>
    </row>
    <row r="1044" spans="5:23" ht="10.15" customHeight="1">
      <c r="E1044" s="95"/>
      <c r="F1044" s="95"/>
      <c r="G1044" s="95"/>
      <c r="H1044" s="95"/>
      <c r="I1044" s="95"/>
      <c r="J1044" s="95"/>
      <c r="K1044" s="95"/>
      <c r="L1044" s="95"/>
      <c r="M1044" s="95"/>
      <c r="N1044" s="95"/>
      <c r="O1044" s="95"/>
      <c r="P1044" s="95"/>
      <c r="Q1044" s="95"/>
      <c r="R1044" s="95"/>
      <c r="T1044" s="81"/>
      <c r="U1044" s="95"/>
      <c r="V1044" s="95"/>
      <c r="W1044" s="95"/>
    </row>
    <row r="1045" spans="5:23" ht="10.15" customHeight="1">
      <c r="E1045" s="95"/>
      <c r="F1045" s="95"/>
      <c r="G1045" s="95"/>
      <c r="H1045" s="95"/>
      <c r="I1045" s="95"/>
      <c r="J1045" s="95"/>
      <c r="K1045" s="95"/>
      <c r="L1045" s="95"/>
      <c r="M1045" s="95"/>
      <c r="N1045" s="95"/>
      <c r="O1045" s="95"/>
      <c r="P1045" s="95"/>
      <c r="Q1045" s="95"/>
      <c r="R1045" s="95"/>
      <c r="T1045" s="81"/>
      <c r="U1045" s="95"/>
      <c r="V1045" s="95"/>
      <c r="W1045" s="95"/>
    </row>
    <row r="1046" spans="5:23" ht="10.15" customHeight="1">
      <c r="E1046" s="95"/>
      <c r="F1046" s="95"/>
      <c r="G1046" s="95"/>
      <c r="H1046" s="95"/>
      <c r="I1046" s="95"/>
      <c r="J1046" s="95"/>
      <c r="K1046" s="95"/>
      <c r="L1046" s="95"/>
      <c r="M1046" s="95"/>
      <c r="N1046" s="95"/>
      <c r="O1046" s="95"/>
      <c r="P1046" s="95"/>
      <c r="Q1046" s="95"/>
      <c r="R1046" s="95"/>
      <c r="T1046" s="81"/>
      <c r="U1046" s="95"/>
      <c r="V1046" s="95"/>
      <c r="W1046" s="95"/>
    </row>
    <row r="1047" spans="5:23" ht="10.15" customHeight="1">
      <c r="E1047" s="95"/>
      <c r="F1047" s="95"/>
      <c r="G1047" s="95"/>
      <c r="H1047" s="95"/>
      <c r="I1047" s="95"/>
      <c r="J1047" s="95"/>
      <c r="K1047" s="95"/>
      <c r="L1047" s="95"/>
      <c r="M1047" s="95"/>
      <c r="N1047" s="95"/>
      <c r="O1047" s="95"/>
      <c r="P1047" s="95"/>
      <c r="Q1047" s="95"/>
      <c r="R1047" s="95"/>
      <c r="T1047" s="81"/>
      <c r="U1047" s="95"/>
      <c r="V1047" s="95"/>
      <c r="W1047" s="95"/>
    </row>
    <row r="1048" spans="5:23" ht="10.15" customHeight="1">
      <c r="E1048" s="95"/>
      <c r="F1048" s="95"/>
      <c r="G1048" s="95"/>
      <c r="H1048" s="95"/>
      <c r="I1048" s="95"/>
      <c r="J1048" s="95"/>
      <c r="K1048" s="95"/>
      <c r="L1048" s="95"/>
      <c r="M1048" s="95"/>
      <c r="N1048" s="95"/>
      <c r="O1048" s="95"/>
      <c r="P1048" s="95"/>
      <c r="Q1048" s="95"/>
      <c r="R1048" s="95"/>
      <c r="T1048" s="81"/>
      <c r="U1048" s="95"/>
      <c r="V1048" s="95"/>
      <c r="W1048" s="95"/>
    </row>
    <row r="1049" spans="5:23" ht="10.15" customHeight="1">
      <c r="E1049" s="95"/>
      <c r="F1049" s="95"/>
      <c r="G1049" s="95"/>
      <c r="H1049" s="95"/>
      <c r="I1049" s="95"/>
      <c r="J1049" s="95"/>
      <c r="K1049" s="95"/>
      <c r="L1049" s="95"/>
      <c r="M1049" s="95"/>
      <c r="N1049" s="95"/>
      <c r="O1049" s="95"/>
      <c r="P1049" s="95"/>
      <c r="Q1049" s="95"/>
      <c r="R1049" s="95"/>
      <c r="T1049" s="81"/>
      <c r="U1049" s="95"/>
      <c r="V1049" s="95"/>
      <c r="W1049" s="95"/>
    </row>
    <row r="1050" spans="5:23" ht="10.15" customHeight="1">
      <c r="E1050" s="95"/>
      <c r="F1050" s="95"/>
      <c r="G1050" s="95"/>
      <c r="H1050" s="95"/>
      <c r="I1050" s="95"/>
      <c r="J1050" s="95"/>
      <c r="K1050" s="95"/>
      <c r="L1050" s="95"/>
      <c r="M1050" s="95"/>
      <c r="N1050" s="95"/>
      <c r="O1050" s="95"/>
      <c r="P1050" s="95"/>
      <c r="Q1050" s="95"/>
      <c r="R1050" s="95"/>
      <c r="T1050" s="81"/>
      <c r="U1050" s="95"/>
      <c r="V1050" s="95"/>
      <c r="W1050" s="95"/>
    </row>
    <row r="1051" spans="5:23" ht="10.15" customHeight="1">
      <c r="E1051" s="95"/>
      <c r="F1051" s="95"/>
      <c r="G1051" s="95"/>
      <c r="H1051" s="95"/>
      <c r="I1051" s="95"/>
      <c r="J1051" s="95"/>
      <c r="K1051" s="95"/>
      <c r="L1051" s="95"/>
      <c r="M1051" s="95"/>
      <c r="N1051" s="95"/>
      <c r="O1051" s="95"/>
      <c r="P1051" s="95"/>
      <c r="Q1051" s="95"/>
      <c r="R1051" s="95"/>
      <c r="T1051" s="81"/>
      <c r="U1051" s="95"/>
      <c r="V1051" s="95"/>
      <c r="W1051" s="95"/>
    </row>
    <row r="1052" spans="5:23" ht="10.15" customHeight="1">
      <c r="E1052" s="95"/>
      <c r="F1052" s="95"/>
      <c r="G1052" s="95"/>
      <c r="H1052" s="95"/>
      <c r="I1052" s="95"/>
      <c r="J1052" s="95"/>
      <c r="K1052" s="95"/>
      <c r="L1052" s="95"/>
      <c r="M1052" s="95"/>
      <c r="N1052" s="95"/>
      <c r="O1052" s="95"/>
      <c r="P1052" s="95"/>
      <c r="Q1052" s="95"/>
      <c r="R1052" s="95"/>
      <c r="T1052" s="81"/>
      <c r="U1052" s="95"/>
      <c r="V1052" s="95"/>
      <c r="W1052" s="95"/>
    </row>
    <row r="1053" spans="5:23" ht="10.15" customHeight="1">
      <c r="E1053" s="95"/>
      <c r="F1053" s="95"/>
      <c r="G1053" s="95"/>
      <c r="H1053" s="95"/>
      <c r="I1053" s="95"/>
      <c r="J1053" s="95"/>
      <c r="K1053" s="95"/>
      <c r="L1053" s="95"/>
      <c r="M1053" s="95"/>
      <c r="N1053" s="95"/>
      <c r="O1053" s="95"/>
      <c r="P1053" s="95"/>
      <c r="Q1053" s="95"/>
      <c r="R1053" s="95"/>
      <c r="T1053" s="81"/>
      <c r="U1053" s="95"/>
      <c r="V1053" s="95"/>
      <c r="W1053" s="95"/>
    </row>
    <row r="1054" spans="5:23" ht="10.15" customHeight="1">
      <c r="E1054" s="95"/>
      <c r="F1054" s="95"/>
      <c r="G1054" s="95"/>
      <c r="H1054" s="95"/>
      <c r="I1054" s="95"/>
      <c r="J1054" s="95"/>
      <c r="K1054" s="95"/>
      <c r="L1054" s="95"/>
      <c r="M1054" s="95"/>
      <c r="N1054" s="95"/>
      <c r="O1054" s="95"/>
      <c r="P1054" s="95"/>
      <c r="Q1054" s="95"/>
      <c r="R1054" s="95"/>
      <c r="T1054" s="81"/>
      <c r="U1054" s="95"/>
      <c r="V1054" s="95"/>
      <c r="W1054" s="95"/>
    </row>
    <row r="1055" spans="5:23" ht="10.15" customHeight="1">
      <c r="E1055" s="95"/>
      <c r="F1055" s="95"/>
      <c r="G1055" s="95"/>
      <c r="H1055" s="95"/>
      <c r="I1055" s="95"/>
      <c r="J1055" s="95"/>
      <c r="K1055" s="95"/>
      <c r="L1055" s="95"/>
      <c r="M1055" s="95"/>
      <c r="N1055" s="95"/>
      <c r="O1055" s="95"/>
      <c r="P1055" s="95"/>
      <c r="Q1055" s="95"/>
      <c r="R1055" s="95"/>
      <c r="T1055" s="81"/>
      <c r="U1055" s="95"/>
      <c r="V1055" s="95"/>
      <c r="W1055" s="95"/>
    </row>
    <row r="1056" spans="5:23" ht="10.15" customHeight="1">
      <c r="E1056" s="95"/>
      <c r="F1056" s="95"/>
      <c r="G1056" s="95"/>
      <c r="H1056" s="95"/>
      <c r="I1056" s="95"/>
      <c r="J1056" s="95"/>
      <c r="K1056" s="95"/>
      <c r="L1056" s="95"/>
      <c r="M1056" s="95"/>
      <c r="N1056" s="95"/>
      <c r="O1056" s="95"/>
      <c r="P1056" s="95"/>
      <c r="Q1056" s="95"/>
      <c r="R1056" s="95"/>
      <c r="T1056" s="81"/>
      <c r="U1056" s="95"/>
      <c r="V1056" s="95"/>
      <c r="W1056" s="95"/>
    </row>
    <row r="1057" spans="5:23" ht="10.15" customHeight="1">
      <c r="E1057" s="95"/>
      <c r="F1057" s="95"/>
      <c r="G1057" s="95"/>
      <c r="H1057" s="95"/>
      <c r="I1057" s="95"/>
      <c r="J1057" s="95"/>
      <c r="K1057" s="95"/>
      <c r="L1057" s="95"/>
      <c r="M1057" s="95"/>
      <c r="N1057" s="95"/>
      <c r="O1057" s="95"/>
      <c r="P1057" s="95"/>
      <c r="Q1057" s="95"/>
      <c r="R1057" s="95"/>
      <c r="T1057" s="81"/>
      <c r="U1057" s="95"/>
      <c r="V1057" s="95"/>
      <c r="W1057" s="95"/>
    </row>
    <row r="1058" spans="5:23" ht="10.15" customHeight="1">
      <c r="E1058" s="95"/>
      <c r="F1058" s="95"/>
      <c r="G1058" s="95"/>
      <c r="H1058" s="95"/>
      <c r="I1058" s="95"/>
      <c r="J1058" s="95"/>
      <c r="K1058" s="95"/>
      <c r="L1058" s="95"/>
      <c r="M1058" s="95"/>
      <c r="N1058" s="95"/>
      <c r="O1058" s="95"/>
      <c r="P1058" s="95"/>
      <c r="Q1058" s="95"/>
      <c r="R1058" s="95"/>
      <c r="T1058" s="81"/>
      <c r="U1058" s="95"/>
      <c r="V1058" s="95"/>
      <c r="W1058" s="95"/>
    </row>
    <row r="1059" spans="5:23" ht="10.15" customHeight="1">
      <c r="E1059" s="95"/>
      <c r="F1059" s="95"/>
      <c r="G1059" s="95"/>
      <c r="H1059" s="95"/>
      <c r="I1059" s="95"/>
      <c r="J1059" s="95"/>
      <c r="K1059" s="95"/>
      <c r="L1059" s="95"/>
      <c r="M1059" s="95"/>
      <c r="N1059" s="95"/>
      <c r="O1059" s="95"/>
      <c r="P1059" s="95"/>
      <c r="Q1059" s="95"/>
      <c r="R1059" s="95"/>
      <c r="T1059" s="81"/>
      <c r="U1059" s="95"/>
      <c r="V1059" s="95"/>
      <c r="W1059" s="95"/>
    </row>
    <row r="1060" spans="5:23" ht="10.15" customHeight="1">
      <c r="E1060" s="95"/>
      <c r="F1060" s="95"/>
      <c r="G1060" s="95"/>
      <c r="H1060" s="95"/>
      <c r="I1060" s="95"/>
      <c r="J1060" s="95"/>
      <c r="K1060" s="95"/>
      <c r="L1060" s="95"/>
      <c r="M1060" s="95"/>
      <c r="N1060" s="95"/>
      <c r="O1060" s="95"/>
      <c r="P1060" s="95"/>
      <c r="Q1060" s="95"/>
      <c r="R1060" s="95"/>
      <c r="T1060" s="81"/>
      <c r="U1060" s="95"/>
      <c r="V1060" s="95"/>
      <c r="W1060" s="95"/>
    </row>
    <row r="1061" spans="5:23" ht="10.15" customHeight="1">
      <c r="E1061" s="95"/>
      <c r="F1061" s="95"/>
      <c r="G1061" s="95"/>
      <c r="H1061" s="95"/>
      <c r="I1061" s="95"/>
      <c r="J1061" s="95"/>
      <c r="K1061" s="95"/>
      <c r="L1061" s="95"/>
      <c r="M1061" s="95"/>
      <c r="N1061" s="95"/>
      <c r="O1061" s="95"/>
      <c r="P1061" s="95"/>
      <c r="Q1061" s="95"/>
      <c r="R1061" s="95"/>
      <c r="T1061" s="81"/>
      <c r="U1061" s="95"/>
      <c r="V1061" s="95"/>
      <c r="W1061" s="95"/>
    </row>
    <row r="1062" spans="5:23" ht="10.15" customHeight="1">
      <c r="E1062" s="95"/>
      <c r="F1062" s="95"/>
      <c r="G1062" s="95"/>
      <c r="H1062" s="95"/>
      <c r="I1062" s="95"/>
      <c r="J1062" s="95"/>
      <c r="K1062" s="95"/>
      <c r="L1062" s="95"/>
      <c r="M1062" s="95"/>
      <c r="N1062" s="95"/>
      <c r="O1062" s="95"/>
      <c r="P1062" s="95"/>
      <c r="Q1062" s="95"/>
      <c r="R1062" s="95"/>
      <c r="T1062" s="81"/>
      <c r="U1062" s="95"/>
      <c r="V1062" s="95"/>
      <c r="W1062" s="95"/>
    </row>
    <row r="1063" spans="5:23" ht="10.15" customHeight="1">
      <c r="E1063" s="95"/>
      <c r="F1063" s="95"/>
      <c r="G1063" s="95"/>
      <c r="H1063" s="95"/>
      <c r="I1063" s="95"/>
      <c r="J1063" s="95"/>
      <c r="K1063" s="95"/>
      <c r="L1063" s="95"/>
      <c r="M1063" s="95"/>
      <c r="N1063" s="95"/>
      <c r="O1063" s="95"/>
      <c r="P1063" s="95"/>
      <c r="Q1063" s="95"/>
      <c r="R1063" s="95"/>
      <c r="T1063" s="81"/>
      <c r="U1063" s="95"/>
      <c r="V1063" s="95"/>
      <c r="W1063" s="95"/>
    </row>
    <row r="1064" spans="5:23" ht="10.15" customHeight="1">
      <c r="E1064" s="95"/>
      <c r="F1064" s="95"/>
      <c r="G1064" s="95"/>
      <c r="H1064" s="95"/>
      <c r="I1064" s="95"/>
      <c r="J1064" s="95"/>
      <c r="K1064" s="95"/>
      <c r="L1064" s="95"/>
      <c r="M1064" s="95"/>
      <c r="N1064" s="95"/>
      <c r="O1064" s="95"/>
      <c r="P1064" s="95"/>
      <c r="Q1064" s="95"/>
      <c r="R1064" s="95"/>
      <c r="T1064" s="81"/>
      <c r="U1064" s="95"/>
      <c r="V1064" s="95"/>
      <c r="W1064" s="95"/>
    </row>
    <row r="1065" spans="5:23" ht="10.15" customHeight="1">
      <c r="E1065" s="95"/>
      <c r="F1065" s="95"/>
      <c r="G1065" s="95"/>
      <c r="H1065" s="95"/>
      <c r="I1065" s="95"/>
      <c r="J1065" s="95"/>
      <c r="K1065" s="95"/>
      <c r="L1065" s="95"/>
      <c r="M1065" s="95"/>
      <c r="N1065" s="95"/>
      <c r="O1065" s="95"/>
      <c r="P1065" s="95"/>
      <c r="Q1065" s="95"/>
      <c r="R1065" s="95"/>
      <c r="T1065" s="81"/>
      <c r="U1065" s="95"/>
      <c r="V1065" s="95"/>
      <c r="W1065" s="95"/>
    </row>
    <row r="1066" spans="5:23" ht="10.15" customHeight="1">
      <c r="E1066" s="95"/>
      <c r="F1066" s="95"/>
      <c r="G1066" s="95"/>
      <c r="H1066" s="95"/>
      <c r="I1066" s="95"/>
      <c r="J1066" s="95"/>
      <c r="K1066" s="95"/>
      <c r="L1066" s="95"/>
      <c r="M1066" s="95"/>
      <c r="N1066" s="95"/>
      <c r="O1066" s="95"/>
      <c r="P1066" s="95"/>
      <c r="Q1066" s="95"/>
      <c r="R1066" s="95"/>
      <c r="T1066" s="81"/>
      <c r="U1066" s="95"/>
      <c r="V1066" s="95"/>
      <c r="W1066" s="95"/>
    </row>
    <row r="1067" spans="5:23" ht="10.15" customHeight="1">
      <c r="E1067" s="95"/>
      <c r="F1067" s="95"/>
      <c r="G1067" s="95"/>
      <c r="H1067" s="95"/>
      <c r="I1067" s="95"/>
      <c r="J1067" s="95"/>
      <c r="K1067" s="95"/>
      <c r="L1067" s="95"/>
      <c r="M1067" s="95"/>
      <c r="N1067" s="95"/>
      <c r="O1067" s="95"/>
      <c r="P1067" s="95"/>
      <c r="Q1067" s="95"/>
      <c r="R1067" s="95"/>
      <c r="T1067" s="81"/>
      <c r="U1067" s="95"/>
      <c r="V1067" s="95"/>
      <c r="W1067" s="95"/>
    </row>
    <row r="1068" spans="5:23" ht="10.15" customHeight="1">
      <c r="E1068" s="95"/>
      <c r="F1068" s="95"/>
      <c r="G1068" s="95"/>
      <c r="H1068" s="95"/>
      <c r="I1068" s="95"/>
      <c r="J1068" s="95"/>
      <c r="K1068" s="95"/>
      <c r="L1068" s="95"/>
      <c r="M1068" s="95"/>
      <c r="N1068" s="95"/>
      <c r="O1068" s="95"/>
      <c r="P1068" s="95"/>
      <c r="Q1068" s="95"/>
      <c r="R1068" s="95"/>
      <c r="T1068" s="81"/>
      <c r="U1068" s="95"/>
      <c r="V1068" s="95"/>
      <c r="W1068" s="95"/>
    </row>
    <row r="1069" spans="5:23" ht="10.15" customHeight="1">
      <c r="E1069" s="95"/>
      <c r="F1069" s="95"/>
      <c r="G1069" s="95"/>
      <c r="H1069" s="95"/>
      <c r="I1069" s="95"/>
      <c r="J1069" s="95"/>
      <c r="K1069" s="95"/>
      <c r="L1069" s="95"/>
      <c r="M1069" s="95"/>
      <c r="N1069" s="95"/>
      <c r="O1069" s="95"/>
      <c r="P1069" s="95"/>
      <c r="Q1069" s="95"/>
      <c r="R1069" s="95"/>
      <c r="T1069" s="81"/>
      <c r="U1069" s="95"/>
      <c r="V1069" s="95"/>
      <c r="W1069" s="95"/>
    </row>
    <row r="1070" spans="5:23" ht="10.15" customHeight="1">
      <c r="E1070" s="95"/>
      <c r="F1070" s="95"/>
      <c r="G1070" s="95"/>
      <c r="H1070" s="95"/>
      <c r="I1070" s="95"/>
      <c r="J1070" s="95"/>
      <c r="K1070" s="95"/>
      <c r="L1070" s="95"/>
      <c r="M1070" s="95"/>
      <c r="N1070" s="95"/>
      <c r="O1070" s="95"/>
      <c r="P1070" s="95"/>
      <c r="Q1070" s="95"/>
      <c r="R1070" s="95"/>
      <c r="T1070" s="81"/>
      <c r="U1070" s="95"/>
      <c r="V1070" s="95"/>
      <c r="W1070" s="95"/>
    </row>
    <row r="1071" spans="5:23" ht="10.15" customHeight="1">
      <c r="E1071" s="95"/>
      <c r="F1071" s="95"/>
      <c r="G1071" s="95"/>
      <c r="H1071" s="95"/>
      <c r="I1071" s="95"/>
      <c r="J1071" s="95"/>
      <c r="K1071" s="95"/>
      <c r="L1071" s="95"/>
      <c r="M1071" s="95"/>
      <c r="N1071" s="95"/>
      <c r="O1071" s="95"/>
      <c r="P1071" s="95"/>
      <c r="Q1071" s="95"/>
      <c r="R1071" s="95"/>
      <c r="T1071" s="81"/>
      <c r="U1071" s="95"/>
      <c r="V1071" s="95"/>
      <c r="W1071" s="95"/>
    </row>
    <row r="1072" spans="5:23" ht="10.15" customHeight="1">
      <c r="E1072" s="95"/>
      <c r="F1072" s="95"/>
      <c r="G1072" s="95"/>
      <c r="H1072" s="95"/>
      <c r="I1072" s="95"/>
      <c r="J1072" s="95"/>
      <c r="K1072" s="95"/>
      <c r="L1072" s="95"/>
      <c r="M1072" s="95"/>
      <c r="N1072" s="95"/>
      <c r="O1072" s="95"/>
      <c r="P1072" s="95"/>
      <c r="Q1072" s="95"/>
      <c r="R1072" s="95"/>
      <c r="T1072" s="81"/>
      <c r="U1072" s="95"/>
      <c r="V1072" s="95"/>
      <c r="W1072" s="95"/>
    </row>
    <row r="1073" spans="5:23" ht="10.15" customHeight="1">
      <c r="E1073" s="95"/>
      <c r="F1073" s="95"/>
      <c r="G1073" s="95"/>
      <c r="H1073" s="95"/>
      <c r="I1073" s="95"/>
      <c r="J1073" s="95"/>
      <c r="K1073" s="95"/>
      <c r="L1073" s="95"/>
      <c r="M1073" s="95"/>
      <c r="N1073" s="95"/>
      <c r="O1073" s="95"/>
      <c r="P1073" s="95"/>
      <c r="Q1073" s="95"/>
      <c r="R1073" s="95"/>
      <c r="T1073" s="81"/>
      <c r="U1073" s="95"/>
      <c r="V1073" s="95"/>
      <c r="W1073" s="95"/>
    </row>
    <row r="1074" spans="5:23" ht="10.15" customHeight="1">
      <c r="E1074" s="95"/>
      <c r="F1074" s="95"/>
      <c r="G1074" s="95"/>
      <c r="H1074" s="95"/>
      <c r="I1074" s="95"/>
      <c r="J1074" s="95"/>
      <c r="K1074" s="95"/>
      <c r="L1074" s="95"/>
      <c r="M1074" s="95"/>
      <c r="N1074" s="95"/>
      <c r="O1074" s="95"/>
      <c r="P1074" s="95"/>
      <c r="Q1074" s="95"/>
      <c r="R1074" s="95"/>
      <c r="T1074" s="81"/>
      <c r="U1074" s="95"/>
      <c r="V1074" s="95"/>
      <c r="W1074" s="95"/>
    </row>
    <row r="1075" spans="5:23" ht="10.15" customHeight="1">
      <c r="E1075" s="95"/>
      <c r="F1075" s="95"/>
      <c r="G1075" s="95"/>
      <c r="H1075" s="95"/>
      <c r="I1075" s="95"/>
      <c r="J1075" s="95"/>
      <c r="K1075" s="95"/>
      <c r="L1075" s="95"/>
      <c r="M1075" s="95"/>
      <c r="N1075" s="95"/>
      <c r="O1075" s="95"/>
      <c r="P1075" s="95"/>
      <c r="Q1075" s="95"/>
      <c r="R1075" s="95"/>
      <c r="T1075" s="81"/>
      <c r="U1075" s="95"/>
      <c r="V1075" s="95"/>
      <c r="W1075" s="95"/>
    </row>
    <row r="1076" spans="5:23" ht="10.15" customHeight="1">
      <c r="E1076" s="95"/>
      <c r="F1076" s="95"/>
      <c r="G1076" s="95"/>
      <c r="H1076" s="95"/>
      <c r="I1076" s="95"/>
      <c r="J1076" s="95"/>
      <c r="K1076" s="95"/>
      <c r="L1076" s="95"/>
      <c r="M1076" s="95"/>
      <c r="N1076" s="95"/>
      <c r="O1076" s="95"/>
      <c r="P1076" s="95"/>
      <c r="Q1076" s="95"/>
      <c r="R1076" s="95"/>
      <c r="T1076" s="81"/>
      <c r="U1076" s="95"/>
      <c r="V1076" s="95"/>
      <c r="W1076" s="95"/>
    </row>
    <row r="1077" spans="5:23" ht="10.15" customHeight="1">
      <c r="E1077" s="95"/>
      <c r="F1077" s="95"/>
      <c r="G1077" s="95"/>
      <c r="H1077" s="95"/>
      <c r="I1077" s="95"/>
      <c r="J1077" s="95"/>
      <c r="K1077" s="95"/>
      <c r="L1077" s="95"/>
      <c r="M1077" s="95"/>
      <c r="N1077" s="95"/>
      <c r="O1077" s="95"/>
      <c r="P1077" s="95"/>
      <c r="Q1077" s="95"/>
      <c r="R1077" s="95"/>
      <c r="T1077" s="81"/>
      <c r="U1077" s="95"/>
      <c r="V1077" s="95"/>
      <c r="W1077" s="95"/>
    </row>
    <row r="1078" spans="5:23" ht="10.15" customHeight="1">
      <c r="E1078" s="95"/>
      <c r="F1078" s="95"/>
      <c r="G1078" s="95"/>
      <c r="H1078" s="95"/>
      <c r="I1078" s="95"/>
      <c r="J1078" s="95"/>
      <c r="K1078" s="95"/>
      <c r="L1078" s="95"/>
      <c r="M1078" s="95"/>
      <c r="N1078" s="95"/>
      <c r="O1078" s="95"/>
      <c r="P1078" s="95"/>
      <c r="Q1078" s="95"/>
      <c r="R1078" s="95"/>
      <c r="T1078" s="81"/>
      <c r="U1078" s="95"/>
      <c r="V1078" s="95"/>
      <c r="W1078" s="95"/>
    </row>
    <row r="1079" spans="5:23" ht="10.15" customHeight="1">
      <c r="E1079" s="95"/>
      <c r="F1079" s="95"/>
      <c r="G1079" s="95"/>
      <c r="H1079" s="95"/>
      <c r="I1079" s="95"/>
      <c r="J1079" s="95"/>
      <c r="K1079" s="95"/>
      <c r="L1079" s="95"/>
      <c r="M1079" s="95"/>
      <c r="N1079" s="95"/>
      <c r="O1079" s="95"/>
      <c r="P1079" s="95"/>
      <c r="Q1079" s="95"/>
      <c r="R1079" s="95"/>
      <c r="T1079" s="81"/>
      <c r="U1079" s="95"/>
      <c r="V1079" s="95"/>
      <c r="W1079" s="95"/>
    </row>
    <row r="1080" spans="5:23" ht="10.15" customHeight="1">
      <c r="E1080" s="95"/>
      <c r="F1080" s="95"/>
      <c r="G1080" s="95"/>
      <c r="H1080" s="95"/>
      <c r="I1080" s="95"/>
      <c r="J1080" s="95"/>
      <c r="K1080" s="95"/>
      <c r="L1080" s="95"/>
      <c r="M1080" s="95"/>
      <c r="N1080" s="95"/>
      <c r="O1080" s="95"/>
      <c r="P1080" s="95"/>
      <c r="Q1080" s="95"/>
      <c r="R1080" s="95"/>
      <c r="T1080" s="81"/>
      <c r="U1080" s="95"/>
      <c r="V1080" s="95"/>
      <c r="W1080" s="95"/>
    </row>
    <row r="1081" spans="5:23" ht="10.15" customHeight="1">
      <c r="E1081" s="95"/>
      <c r="F1081" s="95"/>
      <c r="G1081" s="95"/>
      <c r="H1081" s="95"/>
      <c r="I1081" s="95"/>
      <c r="J1081" s="95"/>
      <c r="K1081" s="95"/>
      <c r="L1081" s="95"/>
      <c r="M1081" s="95"/>
      <c r="N1081" s="95"/>
      <c r="O1081" s="95"/>
      <c r="P1081" s="95"/>
      <c r="Q1081" s="95"/>
      <c r="R1081" s="95"/>
      <c r="T1081" s="81"/>
      <c r="U1081" s="95"/>
      <c r="V1081" s="95"/>
      <c r="W1081" s="95"/>
    </row>
    <row r="1082" spans="5:23" ht="10.15" customHeight="1">
      <c r="E1082" s="95"/>
      <c r="F1082" s="95"/>
      <c r="G1082" s="95"/>
      <c r="H1082" s="95"/>
      <c r="I1082" s="95"/>
      <c r="J1082" s="95"/>
      <c r="K1082" s="95"/>
      <c r="L1082" s="95"/>
      <c r="M1082" s="95"/>
      <c r="N1082" s="95"/>
      <c r="O1082" s="95"/>
      <c r="P1082" s="95"/>
      <c r="Q1082" s="95"/>
      <c r="R1082" s="95"/>
      <c r="T1082" s="81"/>
      <c r="U1082" s="95"/>
      <c r="V1082" s="95"/>
      <c r="W1082" s="95"/>
    </row>
    <row r="1083" spans="5:23" ht="10.15" customHeight="1">
      <c r="E1083" s="95"/>
      <c r="F1083" s="95"/>
      <c r="G1083" s="95"/>
      <c r="H1083" s="95"/>
      <c r="I1083" s="95"/>
      <c r="J1083" s="95"/>
      <c r="K1083" s="95"/>
      <c r="L1083" s="95"/>
      <c r="M1083" s="95"/>
      <c r="N1083" s="95"/>
      <c r="O1083" s="95"/>
      <c r="P1083" s="95"/>
      <c r="Q1083" s="95"/>
      <c r="R1083" s="95"/>
      <c r="T1083" s="81"/>
      <c r="U1083" s="95"/>
      <c r="V1083" s="95"/>
      <c r="W1083" s="95"/>
    </row>
    <row r="1084" spans="5:23" ht="10.15" customHeight="1">
      <c r="E1084" s="95"/>
      <c r="F1084" s="95"/>
      <c r="G1084" s="95"/>
      <c r="H1084" s="95"/>
      <c r="I1084" s="95"/>
      <c r="J1084" s="95"/>
      <c r="K1084" s="95"/>
      <c r="L1084" s="95"/>
      <c r="M1084" s="95"/>
      <c r="N1084" s="95"/>
      <c r="O1084" s="95"/>
      <c r="P1084" s="95"/>
      <c r="Q1084" s="95"/>
      <c r="R1084" s="95"/>
      <c r="T1084" s="81"/>
      <c r="U1084" s="95"/>
      <c r="V1084" s="95"/>
      <c r="W1084" s="95"/>
    </row>
    <row r="1085" spans="5:23" ht="10.15" customHeight="1">
      <c r="E1085" s="95"/>
      <c r="F1085" s="95"/>
      <c r="G1085" s="95"/>
      <c r="H1085" s="95"/>
      <c r="I1085" s="95"/>
      <c r="J1085" s="95"/>
      <c r="K1085" s="95"/>
      <c r="L1085" s="95"/>
      <c r="M1085" s="95"/>
      <c r="N1085" s="95"/>
      <c r="O1085" s="95"/>
      <c r="P1085" s="95"/>
      <c r="Q1085" s="95"/>
      <c r="R1085" s="95"/>
      <c r="T1085" s="81"/>
      <c r="U1085" s="95"/>
      <c r="V1085" s="95"/>
      <c r="W1085" s="95"/>
    </row>
    <row r="1086" spans="5:23" ht="10.15" customHeight="1">
      <c r="E1086" s="95"/>
      <c r="F1086" s="95"/>
      <c r="G1086" s="95"/>
      <c r="H1086" s="95"/>
      <c r="I1086" s="95"/>
      <c r="J1086" s="95"/>
      <c r="K1086" s="95"/>
      <c r="L1086" s="95"/>
      <c r="M1086" s="95"/>
      <c r="N1086" s="95"/>
      <c r="O1086" s="95"/>
      <c r="P1086" s="95"/>
      <c r="Q1086" s="95"/>
      <c r="R1086" s="95"/>
      <c r="T1086" s="81"/>
      <c r="U1086" s="95"/>
      <c r="V1086" s="95"/>
      <c r="W1086" s="95"/>
    </row>
    <row r="1087" spans="5:23" ht="10.15" customHeight="1">
      <c r="E1087" s="95"/>
      <c r="F1087" s="95"/>
      <c r="G1087" s="95"/>
      <c r="H1087" s="95"/>
      <c r="I1087" s="95"/>
      <c r="J1087" s="95"/>
      <c r="K1087" s="95"/>
      <c r="L1087" s="95"/>
      <c r="M1087" s="95"/>
      <c r="N1087" s="95"/>
      <c r="O1087" s="95"/>
      <c r="P1087" s="95"/>
      <c r="Q1087" s="95"/>
      <c r="R1087" s="95"/>
      <c r="T1087" s="81"/>
      <c r="U1087" s="95"/>
      <c r="V1087" s="95"/>
      <c r="W1087" s="95"/>
    </row>
    <row r="1088" spans="5:23" ht="10.15" customHeight="1">
      <c r="E1088" s="95"/>
      <c r="F1088" s="95"/>
      <c r="G1088" s="95"/>
      <c r="H1088" s="95"/>
      <c r="I1088" s="95"/>
      <c r="J1088" s="95"/>
      <c r="K1088" s="95"/>
      <c r="L1088" s="95"/>
      <c r="M1088" s="95"/>
      <c r="N1088" s="95"/>
      <c r="O1088" s="95"/>
      <c r="P1088" s="95"/>
      <c r="Q1088" s="95"/>
      <c r="R1088" s="95"/>
      <c r="T1088" s="81"/>
      <c r="U1088" s="95"/>
      <c r="V1088" s="95"/>
      <c r="W1088" s="95"/>
    </row>
    <row r="1089" spans="5:23" ht="10.15" customHeight="1">
      <c r="E1089" s="95"/>
      <c r="F1089" s="95"/>
      <c r="G1089" s="95"/>
      <c r="H1089" s="95"/>
      <c r="I1089" s="95"/>
      <c r="J1089" s="95"/>
      <c r="K1089" s="95"/>
      <c r="L1089" s="95"/>
      <c r="M1089" s="95"/>
      <c r="N1089" s="95"/>
      <c r="O1089" s="95"/>
      <c r="P1089" s="95"/>
      <c r="Q1089" s="95"/>
      <c r="R1089" s="95"/>
      <c r="T1089" s="81"/>
      <c r="U1089" s="95"/>
      <c r="V1089" s="95"/>
      <c r="W1089" s="95"/>
    </row>
    <row r="1090" spans="5:23" ht="10.15" customHeight="1">
      <c r="E1090" s="95"/>
      <c r="F1090" s="95"/>
      <c r="G1090" s="95"/>
      <c r="H1090" s="95"/>
      <c r="I1090" s="95"/>
      <c r="J1090" s="95"/>
      <c r="K1090" s="95"/>
      <c r="L1090" s="95"/>
      <c r="M1090" s="95"/>
      <c r="N1090" s="95"/>
      <c r="O1090" s="95"/>
      <c r="P1090" s="95"/>
      <c r="Q1090" s="95"/>
      <c r="R1090" s="95"/>
      <c r="T1090" s="81"/>
      <c r="U1090" s="95"/>
      <c r="V1090" s="95"/>
      <c r="W1090" s="95"/>
    </row>
    <row r="1091" spans="5:23" ht="10.15" customHeight="1">
      <c r="E1091" s="95"/>
      <c r="F1091" s="95"/>
      <c r="G1091" s="95"/>
      <c r="H1091" s="95"/>
      <c r="I1091" s="95"/>
      <c r="J1091" s="95"/>
      <c r="K1091" s="95"/>
      <c r="L1091" s="95"/>
      <c r="M1091" s="95"/>
      <c r="N1091" s="95"/>
      <c r="O1091" s="95"/>
      <c r="P1091" s="95"/>
      <c r="Q1091" s="95"/>
      <c r="R1091" s="95"/>
      <c r="T1091" s="81"/>
      <c r="U1091" s="95"/>
      <c r="V1091" s="95"/>
      <c r="W1091" s="95"/>
    </row>
    <row r="1092" spans="5:23" ht="10.15" customHeight="1">
      <c r="E1092" s="95"/>
      <c r="F1092" s="95"/>
      <c r="G1092" s="95"/>
      <c r="H1092" s="95"/>
      <c r="I1092" s="95"/>
      <c r="J1092" s="95"/>
      <c r="K1092" s="95"/>
      <c r="L1092" s="95"/>
      <c r="M1092" s="95"/>
      <c r="N1092" s="95"/>
      <c r="O1092" s="95"/>
      <c r="P1092" s="95"/>
      <c r="Q1092" s="95"/>
      <c r="R1092" s="95"/>
      <c r="T1092" s="81"/>
      <c r="U1092" s="95"/>
      <c r="V1092" s="95"/>
      <c r="W1092" s="95"/>
    </row>
    <row r="1093" spans="5:23" ht="10.15" customHeight="1">
      <c r="E1093" s="95"/>
      <c r="F1093" s="95"/>
      <c r="G1093" s="95"/>
      <c r="H1093" s="95"/>
      <c r="I1093" s="95"/>
      <c r="J1093" s="95"/>
      <c r="K1093" s="95"/>
      <c r="L1093" s="95"/>
      <c r="M1093" s="95"/>
      <c r="N1093" s="95"/>
      <c r="O1093" s="95"/>
      <c r="P1093" s="95"/>
      <c r="Q1093" s="95"/>
      <c r="R1093" s="95"/>
      <c r="T1093" s="81"/>
      <c r="U1093" s="95"/>
      <c r="V1093" s="95"/>
      <c r="W1093" s="95"/>
    </row>
    <row r="1094" spans="5:23" ht="10.15" customHeight="1">
      <c r="E1094" s="95"/>
      <c r="F1094" s="95"/>
      <c r="G1094" s="95"/>
      <c r="H1094" s="95"/>
      <c r="I1094" s="95"/>
      <c r="J1094" s="95"/>
      <c r="K1094" s="95"/>
      <c r="L1094" s="95"/>
      <c r="M1094" s="95"/>
      <c r="N1094" s="95"/>
      <c r="O1094" s="95"/>
      <c r="P1094" s="95"/>
      <c r="Q1094" s="95"/>
      <c r="R1094" s="95"/>
      <c r="T1094" s="81"/>
      <c r="U1094" s="95"/>
      <c r="V1094" s="95"/>
      <c r="W1094" s="95"/>
    </row>
    <row r="1095" spans="5:23" ht="10.15" customHeight="1">
      <c r="E1095" s="95"/>
      <c r="F1095" s="95"/>
      <c r="G1095" s="95"/>
      <c r="H1095" s="95"/>
      <c r="I1095" s="95"/>
      <c r="J1095" s="95"/>
      <c r="K1095" s="95"/>
      <c r="L1095" s="95"/>
      <c r="M1095" s="95"/>
      <c r="N1095" s="95"/>
      <c r="O1095" s="95"/>
      <c r="P1095" s="95"/>
      <c r="Q1095" s="95"/>
      <c r="R1095" s="95"/>
      <c r="T1095" s="81"/>
      <c r="U1095" s="95"/>
      <c r="V1095" s="95"/>
      <c r="W1095" s="95"/>
    </row>
    <row r="1096" spans="5:23" ht="10.15" customHeight="1">
      <c r="E1096" s="95"/>
      <c r="F1096" s="95"/>
      <c r="G1096" s="95"/>
      <c r="H1096" s="95"/>
      <c r="I1096" s="95"/>
      <c r="J1096" s="95"/>
      <c r="K1096" s="95"/>
      <c r="L1096" s="95"/>
      <c r="M1096" s="95"/>
      <c r="N1096" s="95"/>
      <c r="O1096" s="95"/>
      <c r="P1096" s="95"/>
      <c r="Q1096" s="95"/>
      <c r="R1096" s="95"/>
      <c r="T1096" s="81"/>
      <c r="U1096" s="95"/>
      <c r="V1096" s="95"/>
      <c r="W1096" s="95"/>
    </row>
    <row r="1097" spans="5:23" ht="10.15" customHeight="1">
      <c r="E1097" s="95"/>
      <c r="F1097" s="95"/>
      <c r="G1097" s="95"/>
      <c r="H1097" s="95"/>
      <c r="I1097" s="95"/>
      <c r="J1097" s="95"/>
      <c r="K1097" s="95"/>
      <c r="L1097" s="95"/>
      <c r="M1097" s="95"/>
      <c r="N1097" s="95"/>
      <c r="O1097" s="95"/>
      <c r="P1097" s="95"/>
      <c r="Q1097" s="95"/>
      <c r="R1097" s="95"/>
      <c r="T1097" s="81"/>
      <c r="U1097" s="95"/>
      <c r="V1097" s="95"/>
      <c r="W1097" s="95"/>
    </row>
    <row r="1098" spans="5:23" ht="10.15" customHeight="1">
      <c r="E1098" s="95"/>
      <c r="F1098" s="95"/>
      <c r="G1098" s="95"/>
      <c r="H1098" s="95"/>
      <c r="I1098" s="95"/>
      <c r="J1098" s="95"/>
      <c r="K1098" s="95"/>
      <c r="L1098" s="95"/>
      <c r="M1098" s="95"/>
      <c r="N1098" s="95"/>
      <c r="O1098" s="95"/>
      <c r="P1098" s="95"/>
      <c r="Q1098" s="95"/>
      <c r="R1098" s="95"/>
      <c r="T1098" s="81"/>
      <c r="U1098" s="95"/>
      <c r="V1098" s="95"/>
      <c r="W1098" s="95"/>
    </row>
    <row r="1099" spans="5:23" ht="10.15" customHeight="1">
      <c r="E1099" s="95"/>
      <c r="F1099" s="95"/>
      <c r="G1099" s="95"/>
      <c r="H1099" s="95"/>
      <c r="I1099" s="95"/>
      <c r="J1099" s="95"/>
      <c r="K1099" s="95"/>
      <c r="L1099" s="95"/>
      <c r="M1099" s="95"/>
      <c r="N1099" s="95"/>
      <c r="O1099" s="95"/>
      <c r="P1099" s="95"/>
      <c r="Q1099" s="95"/>
      <c r="R1099" s="95"/>
      <c r="T1099" s="81"/>
      <c r="U1099" s="95"/>
      <c r="V1099" s="95"/>
      <c r="W1099" s="95"/>
    </row>
    <row r="1100" spans="5:23" ht="10.15" customHeight="1">
      <c r="E1100" s="95"/>
      <c r="F1100" s="95"/>
      <c r="G1100" s="95"/>
      <c r="H1100" s="95"/>
      <c r="I1100" s="95"/>
      <c r="J1100" s="95"/>
      <c r="K1100" s="95"/>
      <c r="L1100" s="95"/>
      <c r="M1100" s="95"/>
      <c r="N1100" s="95"/>
      <c r="O1100" s="95"/>
      <c r="P1100" s="95"/>
      <c r="Q1100" s="95"/>
      <c r="R1100" s="95"/>
      <c r="T1100" s="81"/>
      <c r="U1100" s="95"/>
      <c r="V1100" s="95"/>
      <c r="W1100" s="95"/>
    </row>
    <row r="1101" spans="5:23" ht="10.15" customHeight="1">
      <c r="E1101" s="95"/>
      <c r="F1101" s="95"/>
      <c r="G1101" s="95"/>
      <c r="H1101" s="95"/>
      <c r="I1101" s="95"/>
      <c r="J1101" s="95"/>
      <c r="K1101" s="95"/>
      <c r="L1101" s="95"/>
      <c r="M1101" s="95"/>
      <c r="N1101" s="95"/>
      <c r="O1101" s="95"/>
      <c r="P1101" s="95"/>
      <c r="Q1101" s="95"/>
      <c r="R1101" s="95"/>
      <c r="T1101" s="81"/>
      <c r="U1101" s="95"/>
      <c r="V1101" s="95"/>
      <c r="W1101" s="95"/>
    </row>
    <row r="1102" spans="5:23" ht="10.15" customHeight="1">
      <c r="E1102" s="95"/>
      <c r="F1102" s="95"/>
      <c r="G1102" s="95"/>
      <c r="H1102" s="95"/>
      <c r="I1102" s="95"/>
      <c r="J1102" s="95"/>
      <c r="K1102" s="95"/>
      <c r="L1102" s="95"/>
      <c r="M1102" s="95"/>
      <c r="N1102" s="95"/>
      <c r="O1102" s="95"/>
      <c r="P1102" s="95"/>
      <c r="Q1102" s="95"/>
      <c r="R1102" s="95"/>
      <c r="T1102" s="81"/>
      <c r="U1102" s="95"/>
      <c r="V1102" s="95"/>
      <c r="W1102" s="95"/>
    </row>
    <row r="1103" spans="5:23" ht="10.15" customHeight="1">
      <c r="E1103" s="95"/>
      <c r="F1103" s="95"/>
      <c r="G1103" s="95"/>
      <c r="H1103" s="95"/>
      <c r="I1103" s="95"/>
      <c r="J1103" s="95"/>
      <c r="K1103" s="95"/>
      <c r="L1103" s="95"/>
      <c r="M1103" s="95"/>
      <c r="N1103" s="95"/>
      <c r="O1103" s="95"/>
      <c r="P1103" s="95"/>
      <c r="Q1103" s="95"/>
      <c r="R1103" s="95"/>
      <c r="T1103" s="81"/>
      <c r="U1103" s="95"/>
      <c r="V1103" s="95"/>
      <c r="W1103" s="95"/>
    </row>
    <row r="1104" spans="5:23" ht="10.15" customHeight="1">
      <c r="E1104" s="95"/>
      <c r="F1104" s="95"/>
      <c r="G1104" s="95"/>
      <c r="H1104" s="95"/>
      <c r="I1104" s="95"/>
      <c r="J1104" s="95"/>
      <c r="K1104" s="95"/>
      <c r="L1104" s="95"/>
      <c r="M1104" s="95"/>
      <c r="N1104" s="95"/>
      <c r="O1104" s="95"/>
      <c r="P1104" s="95"/>
      <c r="Q1104" s="95"/>
      <c r="R1104" s="95"/>
      <c r="T1104" s="81"/>
      <c r="U1104" s="95"/>
      <c r="V1104" s="95"/>
      <c r="W1104" s="95"/>
    </row>
    <row r="1105" spans="5:23" ht="10.15" customHeight="1">
      <c r="E1105" s="95"/>
      <c r="F1105" s="95"/>
      <c r="G1105" s="95"/>
      <c r="H1105" s="95"/>
      <c r="I1105" s="95"/>
      <c r="J1105" s="95"/>
      <c r="K1105" s="95"/>
      <c r="L1105" s="95"/>
      <c r="M1105" s="95"/>
      <c r="N1105" s="95"/>
      <c r="O1105" s="95"/>
      <c r="P1105" s="95"/>
      <c r="Q1105" s="95"/>
      <c r="R1105" s="95"/>
      <c r="T1105" s="81"/>
      <c r="U1105" s="95"/>
      <c r="V1105" s="95"/>
      <c r="W1105" s="95"/>
    </row>
    <row r="1106" spans="5:23" ht="10.15" customHeight="1">
      <c r="E1106" s="95"/>
      <c r="F1106" s="95"/>
      <c r="G1106" s="95"/>
      <c r="H1106" s="95"/>
      <c r="I1106" s="95"/>
      <c r="J1106" s="95"/>
      <c r="K1106" s="95"/>
      <c r="L1106" s="95"/>
      <c r="M1106" s="95"/>
      <c r="N1106" s="95"/>
      <c r="O1106" s="95"/>
      <c r="P1106" s="95"/>
      <c r="Q1106" s="95"/>
      <c r="R1106" s="95"/>
      <c r="T1106" s="81"/>
      <c r="U1106" s="95"/>
      <c r="V1106" s="95"/>
      <c r="W1106" s="95"/>
    </row>
    <row r="1107" spans="5:23" ht="10.15" customHeight="1">
      <c r="E1107" s="95"/>
      <c r="F1107" s="95"/>
      <c r="G1107" s="95"/>
      <c r="H1107" s="95"/>
      <c r="I1107" s="95"/>
      <c r="J1107" s="95"/>
      <c r="K1107" s="95"/>
      <c r="L1107" s="95"/>
      <c r="M1107" s="95"/>
      <c r="N1107" s="95"/>
      <c r="O1107" s="95"/>
      <c r="P1107" s="95"/>
      <c r="Q1107" s="95"/>
      <c r="R1107" s="95"/>
      <c r="T1107" s="81"/>
      <c r="U1107" s="95"/>
      <c r="V1107" s="95"/>
      <c r="W1107" s="95"/>
    </row>
    <row r="1108" spans="5:23" ht="10.15" customHeight="1">
      <c r="E1108" s="95"/>
      <c r="F1108" s="95"/>
      <c r="G1108" s="95"/>
      <c r="H1108" s="95"/>
      <c r="I1108" s="95"/>
      <c r="J1108" s="95"/>
      <c r="K1108" s="95"/>
      <c r="L1108" s="95"/>
      <c r="M1108" s="95"/>
      <c r="N1108" s="95"/>
      <c r="O1108" s="95"/>
      <c r="P1108" s="95"/>
      <c r="Q1108" s="95"/>
      <c r="R1108" s="95"/>
      <c r="T1108" s="81"/>
      <c r="U1108" s="95"/>
      <c r="V1108" s="95"/>
      <c r="W1108" s="95"/>
    </row>
    <row r="1109" spans="5:23" ht="10.15" customHeight="1">
      <c r="E1109" s="95"/>
      <c r="F1109" s="95"/>
      <c r="G1109" s="95"/>
      <c r="H1109" s="95"/>
      <c r="I1109" s="95"/>
      <c r="J1109" s="95"/>
      <c r="K1109" s="95"/>
      <c r="L1109" s="95"/>
      <c r="M1109" s="95"/>
      <c r="N1109" s="95"/>
      <c r="O1109" s="95"/>
      <c r="P1109" s="95"/>
      <c r="Q1109" s="95"/>
      <c r="R1109" s="95"/>
      <c r="T1109" s="81"/>
      <c r="U1109" s="95"/>
      <c r="V1109" s="95"/>
      <c r="W1109" s="95"/>
    </row>
    <row r="1110" spans="5:23" ht="10.15" customHeight="1">
      <c r="E1110" s="95"/>
      <c r="F1110" s="95"/>
      <c r="G1110" s="95"/>
      <c r="H1110" s="95"/>
      <c r="I1110" s="95"/>
      <c r="J1110" s="95"/>
      <c r="K1110" s="95"/>
      <c r="L1110" s="95"/>
      <c r="M1110" s="95"/>
      <c r="N1110" s="95"/>
      <c r="O1110" s="95"/>
      <c r="P1110" s="95"/>
      <c r="Q1110" s="95"/>
      <c r="R1110" s="95"/>
      <c r="T1110" s="81"/>
      <c r="U1110" s="95"/>
      <c r="V1110" s="95"/>
      <c r="W1110" s="95"/>
    </row>
    <row r="1111" spans="5:23" ht="10.15" customHeight="1">
      <c r="E1111" s="95"/>
      <c r="F1111" s="95"/>
      <c r="G1111" s="95"/>
      <c r="H1111" s="95"/>
      <c r="I1111" s="95"/>
      <c r="J1111" s="95"/>
      <c r="K1111" s="95"/>
      <c r="L1111" s="95"/>
      <c r="M1111" s="95"/>
      <c r="N1111" s="95"/>
      <c r="O1111" s="95"/>
      <c r="P1111" s="95"/>
      <c r="Q1111" s="95"/>
      <c r="R1111" s="95"/>
      <c r="T1111" s="81"/>
      <c r="U1111" s="95"/>
      <c r="V1111" s="95"/>
      <c r="W1111" s="95"/>
    </row>
    <row r="1112" spans="5:23" ht="10.15" customHeight="1">
      <c r="E1112" s="95"/>
      <c r="F1112" s="95"/>
      <c r="G1112" s="95"/>
      <c r="H1112" s="95"/>
      <c r="I1112" s="95"/>
      <c r="J1112" s="95"/>
      <c r="K1112" s="95"/>
      <c r="L1112" s="95"/>
      <c r="M1112" s="95"/>
      <c r="N1112" s="95"/>
      <c r="O1112" s="95"/>
      <c r="P1112" s="95"/>
      <c r="Q1112" s="95"/>
      <c r="R1112" s="95"/>
      <c r="T1112" s="81"/>
      <c r="U1112" s="95"/>
      <c r="V1112" s="95"/>
      <c r="W1112" s="95"/>
    </row>
    <row r="1113" spans="5:23" ht="10.15" customHeight="1">
      <c r="E1113" s="95"/>
      <c r="F1113" s="95"/>
      <c r="G1113" s="95"/>
      <c r="H1113" s="95"/>
      <c r="I1113" s="95"/>
      <c r="J1113" s="95"/>
      <c r="K1113" s="95"/>
      <c r="L1113" s="95"/>
      <c r="M1113" s="95"/>
      <c r="N1113" s="95"/>
      <c r="O1113" s="95"/>
      <c r="P1113" s="95"/>
      <c r="Q1113" s="95"/>
      <c r="R1113" s="95"/>
      <c r="T1113" s="81"/>
      <c r="U1113" s="95"/>
      <c r="V1113" s="95"/>
      <c r="W1113" s="95"/>
    </row>
    <row r="1114" spans="5:23" ht="10.15" customHeight="1">
      <c r="E1114" s="95"/>
      <c r="F1114" s="95"/>
      <c r="G1114" s="95"/>
      <c r="H1114" s="95"/>
      <c r="I1114" s="95"/>
      <c r="J1114" s="95"/>
      <c r="K1114" s="95"/>
      <c r="L1114" s="95"/>
      <c r="M1114" s="95"/>
      <c r="N1114" s="95"/>
      <c r="O1114" s="95"/>
      <c r="P1114" s="95"/>
      <c r="Q1114" s="95"/>
      <c r="R1114" s="95"/>
      <c r="T1114" s="81"/>
      <c r="U1114" s="95"/>
      <c r="V1114" s="95"/>
      <c r="W1114" s="95"/>
    </row>
    <row r="1115" spans="5:23" ht="10.15" customHeight="1">
      <c r="E1115" s="95"/>
      <c r="F1115" s="95"/>
      <c r="G1115" s="95"/>
      <c r="H1115" s="95"/>
      <c r="I1115" s="95"/>
      <c r="J1115" s="95"/>
      <c r="K1115" s="95"/>
      <c r="L1115" s="95"/>
      <c r="M1115" s="95"/>
      <c r="N1115" s="95"/>
      <c r="O1115" s="95"/>
      <c r="P1115" s="95"/>
      <c r="Q1115" s="95"/>
      <c r="R1115" s="95"/>
      <c r="T1115" s="81"/>
      <c r="U1115" s="95"/>
      <c r="V1115" s="95"/>
      <c r="W1115" s="95"/>
    </row>
    <row r="1116" spans="5:23" ht="10.15" customHeight="1">
      <c r="E1116" s="95"/>
      <c r="F1116" s="95"/>
      <c r="G1116" s="95"/>
      <c r="H1116" s="95"/>
      <c r="I1116" s="95"/>
      <c r="J1116" s="95"/>
      <c r="K1116" s="95"/>
      <c r="L1116" s="95"/>
      <c r="M1116" s="95"/>
      <c r="N1116" s="95"/>
      <c r="O1116" s="95"/>
      <c r="P1116" s="95"/>
      <c r="Q1116" s="95"/>
      <c r="R1116" s="95"/>
      <c r="T1116" s="81"/>
      <c r="U1116" s="95"/>
      <c r="V1116" s="95"/>
      <c r="W1116" s="95"/>
    </row>
    <row r="1117" spans="5:23" ht="10.15" customHeight="1">
      <c r="E1117" s="95"/>
      <c r="F1117" s="95"/>
      <c r="G1117" s="95"/>
      <c r="H1117" s="95"/>
      <c r="I1117" s="95"/>
      <c r="J1117" s="95"/>
      <c r="K1117" s="95"/>
      <c r="L1117" s="95"/>
      <c r="M1117" s="95"/>
      <c r="N1117" s="95"/>
      <c r="O1117" s="95"/>
      <c r="P1117" s="95"/>
      <c r="Q1117" s="95"/>
      <c r="R1117" s="95"/>
      <c r="T1117" s="81"/>
      <c r="U1117" s="95"/>
      <c r="V1117" s="95"/>
      <c r="W1117" s="95"/>
    </row>
    <row r="1118" spans="5:23" ht="10.15" customHeight="1">
      <c r="E1118" s="95"/>
      <c r="F1118" s="95"/>
      <c r="G1118" s="95"/>
      <c r="H1118" s="95"/>
      <c r="I1118" s="95"/>
      <c r="J1118" s="95"/>
      <c r="K1118" s="95"/>
      <c r="L1118" s="95"/>
      <c r="M1118" s="95"/>
      <c r="N1118" s="95"/>
      <c r="O1118" s="95"/>
      <c r="P1118" s="95"/>
      <c r="Q1118" s="95"/>
      <c r="R1118" s="95"/>
      <c r="T1118" s="81"/>
      <c r="U1118" s="95"/>
      <c r="V1118" s="95"/>
      <c r="W1118" s="95"/>
    </row>
    <row r="1119" spans="5:23" ht="10.15" customHeight="1">
      <c r="E1119" s="95"/>
      <c r="F1119" s="95"/>
      <c r="G1119" s="95"/>
      <c r="H1119" s="95"/>
      <c r="I1119" s="95"/>
      <c r="J1119" s="95"/>
      <c r="K1119" s="95"/>
      <c r="L1119" s="95"/>
      <c r="M1119" s="95"/>
      <c r="N1119" s="95"/>
      <c r="O1119" s="95"/>
      <c r="P1119" s="95"/>
      <c r="Q1119" s="95"/>
      <c r="R1119" s="95"/>
      <c r="T1119" s="81"/>
      <c r="U1119" s="95"/>
      <c r="V1119" s="95"/>
      <c r="W1119" s="95"/>
    </row>
    <row r="1120" spans="5:23" ht="10.15" customHeight="1">
      <c r="E1120" s="95"/>
      <c r="F1120" s="95"/>
      <c r="G1120" s="95"/>
      <c r="H1120" s="95"/>
      <c r="I1120" s="95"/>
      <c r="J1120" s="95"/>
      <c r="K1120" s="95"/>
      <c r="L1120" s="95"/>
      <c r="M1120" s="95"/>
      <c r="N1120" s="95"/>
      <c r="O1120" s="95"/>
      <c r="P1120" s="95"/>
      <c r="Q1120" s="95"/>
      <c r="R1120" s="95"/>
      <c r="T1120" s="81"/>
      <c r="U1120" s="95"/>
      <c r="V1120" s="95"/>
      <c r="W1120" s="95"/>
    </row>
    <row r="1121" spans="5:23" ht="10.15" customHeight="1">
      <c r="E1121" s="95"/>
      <c r="F1121" s="95"/>
      <c r="G1121" s="95"/>
      <c r="H1121" s="95"/>
      <c r="I1121" s="95"/>
      <c r="J1121" s="95"/>
      <c r="K1121" s="95"/>
      <c r="L1121" s="95"/>
      <c r="M1121" s="95"/>
      <c r="N1121" s="95"/>
      <c r="O1121" s="95"/>
      <c r="P1121" s="95"/>
      <c r="Q1121" s="95"/>
      <c r="R1121" s="95"/>
      <c r="T1121" s="81"/>
      <c r="U1121" s="95"/>
      <c r="V1121" s="95"/>
      <c r="W1121" s="95"/>
    </row>
    <row r="1122" spans="5:23" ht="10.15" customHeight="1">
      <c r="E1122" s="95"/>
      <c r="F1122" s="95"/>
      <c r="G1122" s="95"/>
      <c r="H1122" s="95"/>
      <c r="I1122" s="95"/>
      <c r="J1122" s="95"/>
      <c r="K1122" s="95"/>
      <c r="L1122" s="95"/>
      <c r="M1122" s="95"/>
      <c r="N1122" s="95"/>
      <c r="O1122" s="95"/>
      <c r="P1122" s="95"/>
      <c r="Q1122" s="95"/>
      <c r="R1122" s="95"/>
      <c r="T1122" s="81"/>
      <c r="U1122" s="95"/>
      <c r="V1122" s="95"/>
      <c r="W1122" s="95"/>
    </row>
    <row r="1123" spans="5:23" ht="10.15" customHeight="1">
      <c r="E1123" s="95"/>
      <c r="F1123" s="95"/>
      <c r="G1123" s="95"/>
      <c r="H1123" s="95"/>
      <c r="I1123" s="95"/>
      <c r="J1123" s="95"/>
      <c r="K1123" s="95"/>
      <c r="L1123" s="95"/>
      <c r="M1123" s="95"/>
      <c r="N1123" s="95"/>
      <c r="O1123" s="95"/>
      <c r="P1123" s="95"/>
      <c r="Q1123" s="95"/>
      <c r="R1123" s="95"/>
      <c r="T1123" s="81"/>
      <c r="U1123" s="95"/>
      <c r="V1123" s="95"/>
      <c r="W1123" s="95"/>
    </row>
    <row r="1124" spans="5:23" ht="10.15" customHeight="1">
      <c r="E1124" s="95"/>
      <c r="F1124" s="95"/>
      <c r="G1124" s="95"/>
      <c r="H1124" s="95"/>
      <c r="I1124" s="95"/>
      <c r="J1124" s="95"/>
      <c r="K1124" s="95"/>
      <c r="L1124" s="95"/>
      <c r="M1124" s="95"/>
      <c r="N1124" s="95"/>
      <c r="O1124" s="95"/>
      <c r="P1124" s="95"/>
      <c r="Q1124" s="95"/>
      <c r="R1124" s="95"/>
      <c r="T1124" s="81"/>
      <c r="U1124" s="95"/>
      <c r="V1124" s="95"/>
      <c r="W1124" s="95"/>
    </row>
    <row r="1125" spans="5:23" ht="10.15" customHeight="1">
      <c r="E1125" s="95"/>
      <c r="F1125" s="95"/>
      <c r="G1125" s="95"/>
      <c r="H1125" s="95"/>
      <c r="I1125" s="95"/>
      <c r="J1125" s="95"/>
      <c r="K1125" s="95"/>
      <c r="L1125" s="95"/>
      <c r="M1125" s="95"/>
      <c r="N1125" s="95"/>
      <c r="O1125" s="95"/>
      <c r="P1125" s="95"/>
      <c r="Q1125" s="95"/>
      <c r="R1125" s="95"/>
      <c r="T1125" s="81"/>
      <c r="U1125" s="95"/>
      <c r="V1125" s="95"/>
      <c r="W1125" s="95"/>
    </row>
    <row r="1126" spans="5:23" ht="10.15" customHeight="1">
      <c r="E1126" s="95"/>
      <c r="F1126" s="95"/>
      <c r="G1126" s="95"/>
      <c r="H1126" s="95"/>
      <c r="I1126" s="95"/>
      <c r="J1126" s="95"/>
      <c r="K1126" s="95"/>
      <c r="L1126" s="95"/>
      <c r="M1126" s="95"/>
      <c r="N1126" s="95"/>
      <c r="O1126" s="95"/>
      <c r="P1126" s="95"/>
      <c r="Q1126" s="95"/>
      <c r="R1126" s="95"/>
      <c r="T1126" s="81"/>
      <c r="U1126" s="95"/>
      <c r="V1126" s="95"/>
      <c r="W1126" s="95"/>
    </row>
    <row r="1127" spans="5:23" ht="10.15" customHeight="1">
      <c r="E1127" s="95"/>
      <c r="F1127" s="95"/>
      <c r="G1127" s="95"/>
      <c r="H1127" s="95"/>
      <c r="I1127" s="95"/>
      <c r="J1127" s="95"/>
      <c r="K1127" s="95"/>
      <c r="L1127" s="95"/>
      <c r="M1127" s="95"/>
      <c r="N1127" s="95"/>
      <c r="O1127" s="95"/>
      <c r="P1127" s="95"/>
      <c r="Q1127" s="95"/>
      <c r="R1127" s="95"/>
      <c r="T1127" s="81"/>
      <c r="U1127" s="95"/>
      <c r="V1127" s="95"/>
      <c r="W1127" s="95"/>
    </row>
    <row r="1128" spans="5:23" ht="10.15" customHeight="1">
      <c r="E1128" s="95"/>
      <c r="F1128" s="95"/>
      <c r="G1128" s="95"/>
      <c r="H1128" s="95"/>
      <c r="I1128" s="95"/>
      <c r="J1128" s="95"/>
      <c r="K1128" s="95"/>
      <c r="L1128" s="95"/>
      <c r="M1128" s="95"/>
      <c r="N1128" s="95"/>
      <c r="O1128" s="95"/>
      <c r="P1128" s="95"/>
      <c r="Q1128" s="95"/>
      <c r="R1128" s="95"/>
      <c r="T1128" s="81"/>
      <c r="U1128" s="95"/>
      <c r="V1128" s="95"/>
      <c r="W1128" s="95"/>
    </row>
    <row r="1129" spans="5:23" ht="10.15" customHeight="1">
      <c r="E1129" s="95"/>
      <c r="F1129" s="95"/>
      <c r="G1129" s="95"/>
      <c r="H1129" s="95"/>
      <c r="I1129" s="95"/>
      <c r="J1129" s="95"/>
      <c r="K1129" s="95"/>
      <c r="L1129" s="95"/>
      <c r="M1129" s="95"/>
      <c r="N1129" s="95"/>
      <c r="O1129" s="95"/>
      <c r="P1129" s="95"/>
      <c r="Q1129" s="95"/>
      <c r="R1129" s="95"/>
      <c r="T1129" s="81"/>
      <c r="U1129" s="95"/>
      <c r="V1129" s="95"/>
      <c r="W1129" s="95"/>
    </row>
    <row r="1130" spans="5:23" ht="10.15" customHeight="1">
      <c r="E1130" s="95"/>
      <c r="F1130" s="95"/>
      <c r="G1130" s="95"/>
      <c r="H1130" s="95"/>
      <c r="I1130" s="95"/>
      <c r="J1130" s="95"/>
      <c r="K1130" s="95"/>
      <c r="L1130" s="95"/>
      <c r="M1130" s="95"/>
      <c r="N1130" s="95"/>
      <c r="O1130" s="95"/>
      <c r="P1130" s="95"/>
      <c r="Q1130" s="95"/>
      <c r="R1130" s="95"/>
      <c r="T1130" s="81"/>
      <c r="U1130" s="95"/>
      <c r="V1130" s="95"/>
      <c r="W1130" s="95"/>
    </row>
    <row r="1131" spans="5:23" ht="10.15" customHeight="1">
      <c r="E1131" s="95"/>
      <c r="F1131" s="95"/>
      <c r="G1131" s="95"/>
      <c r="H1131" s="95"/>
      <c r="I1131" s="95"/>
      <c r="J1131" s="95"/>
      <c r="K1131" s="95"/>
      <c r="L1131" s="95"/>
      <c r="M1131" s="95"/>
      <c r="N1131" s="95"/>
      <c r="O1131" s="95"/>
      <c r="P1131" s="95"/>
      <c r="Q1131" s="95"/>
      <c r="R1131" s="95"/>
      <c r="T1131" s="81"/>
      <c r="U1131" s="95"/>
      <c r="V1131" s="95"/>
      <c r="W1131" s="95"/>
    </row>
    <row r="1132" spans="5:23" ht="10.15" customHeight="1">
      <c r="E1132" s="95"/>
      <c r="F1132" s="95"/>
      <c r="G1132" s="95"/>
      <c r="H1132" s="95"/>
      <c r="I1132" s="95"/>
      <c r="J1132" s="95"/>
      <c r="K1132" s="95"/>
      <c r="L1132" s="95"/>
      <c r="M1132" s="95"/>
      <c r="N1132" s="95"/>
      <c r="O1132" s="95"/>
      <c r="P1132" s="95"/>
      <c r="Q1132" s="95"/>
      <c r="R1132" s="95"/>
      <c r="T1132" s="81"/>
      <c r="U1132" s="95"/>
      <c r="V1132" s="95"/>
      <c r="W1132" s="95"/>
    </row>
    <row r="1133" spans="5:23" ht="10.15" customHeight="1">
      <c r="E1133" s="95"/>
      <c r="F1133" s="95"/>
      <c r="G1133" s="95"/>
      <c r="H1133" s="95"/>
      <c r="I1133" s="95"/>
      <c r="J1133" s="95"/>
      <c r="K1133" s="95"/>
      <c r="L1133" s="95"/>
      <c r="M1133" s="95"/>
      <c r="N1133" s="95"/>
      <c r="O1133" s="95"/>
      <c r="P1133" s="95"/>
      <c r="Q1133" s="95"/>
      <c r="R1133" s="95"/>
      <c r="T1133" s="81"/>
      <c r="U1133" s="95"/>
      <c r="V1133" s="95"/>
      <c r="W1133" s="95"/>
    </row>
    <row r="1134" spans="5:23" ht="10.15" customHeight="1">
      <c r="E1134" s="95"/>
      <c r="F1134" s="95"/>
      <c r="G1134" s="95"/>
      <c r="H1134" s="95"/>
      <c r="I1134" s="95"/>
      <c r="J1134" s="95"/>
      <c r="K1134" s="95"/>
      <c r="L1134" s="95"/>
      <c r="M1134" s="95"/>
      <c r="N1134" s="95"/>
      <c r="O1134" s="95"/>
      <c r="P1134" s="95"/>
      <c r="Q1134" s="95"/>
      <c r="R1134" s="95"/>
      <c r="T1134" s="81"/>
      <c r="U1134" s="95"/>
      <c r="V1134" s="95"/>
      <c r="W1134" s="95"/>
    </row>
    <row r="1135" spans="5:23" ht="10.15" customHeight="1">
      <c r="E1135" s="95"/>
      <c r="F1135" s="95"/>
      <c r="G1135" s="95"/>
      <c r="H1135" s="95"/>
      <c r="I1135" s="95"/>
      <c r="J1135" s="95"/>
      <c r="K1135" s="95"/>
      <c r="L1135" s="95"/>
      <c r="M1135" s="95"/>
      <c r="N1135" s="95"/>
      <c r="O1135" s="95"/>
      <c r="P1135" s="95"/>
      <c r="Q1135" s="95"/>
      <c r="R1135" s="95"/>
      <c r="T1135" s="81"/>
      <c r="U1135" s="95"/>
      <c r="V1135" s="95"/>
      <c r="W1135" s="95"/>
    </row>
    <row r="1136" spans="5:23" ht="10.15" customHeight="1">
      <c r="E1136" s="95"/>
      <c r="F1136" s="95"/>
      <c r="G1136" s="95"/>
      <c r="H1136" s="95"/>
      <c r="I1136" s="95"/>
      <c r="J1136" s="95"/>
      <c r="K1136" s="95"/>
      <c r="L1136" s="95"/>
      <c r="M1136" s="95"/>
      <c r="N1136" s="95"/>
      <c r="O1136" s="95"/>
      <c r="P1136" s="95"/>
      <c r="Q1136" s="95"/>
      <c r="R1136" s="95"/>
      <c r="T1136" s="81"/>
      <c r="U1136" s="95"/>
      <c r="V1136" s="95"/>
      <c r="W1136" s="95"/>
    </row>
    <row r="1137" spans="5:23" ht="10.15" customHeight="1">
      <c r="E1137" s="95"/>
      <c r="F1137" s="95"/>
      <c r="G1137" s="95"/>
      <c r="H1137" s="95"/>
      <c r="I1137" s="95"/>
      <c r="J1137" s="95"/>
      <c r="K1137" s="95"/>
      <c r="L1137" s="95"/>
      <c r="M1137" s="95"/>
      <c r="N1137" s="95"/>
      <c r="O1137" s="95"/>
      <c r="P1137" s="95"/>
      <c r="Q1137" s="95"/>
      <c r="R1137" s="95"/>
      <c r="T1137" s="81"/>
      <c r="U1137" s="95"/>
      <c r="V1137" s="95"/>
      <c r="W1137" s="95"/>
    </row>
    <row r="1138" spans="5:23" ht="10.15" customHeight="1">
      <c r="E1138" s="95"/>
      <c r="F1138" s="95"/>
      <c r="G1138" s="95"/>
      <c r="H1138" s="95"/>
      <c r="I1138" s="95"/>
      <c r="J1138" s="95"/>
      <c r="K1138" s="95"/>
      <c r="L1138" s="95"/>
      <c r="M1138" s="95"/>
      <c r="N1138" s="95"/>
      <c r="O1138" s="95"/>
      <c r="P1138" s="95"/>
      <c r="Q1138" s="95"/>
      <c r="R1138" s="95"/>
      <c r="T1138" s="81"/>
      <c r="U1138" s="95"/>
      <c r="V1138" s="95"/>
      <c r="W1138" s="95"/>
    </row>
    <row r="1139" spans="5:23" ht="10.15" customHeight="1">
      <c r="E1139" s="95"/>
      <c r="F1139" s="95"/>
      <c r="G1139" s="95"/>
      <c r="H1139" s="95"/>
      <c r="I1139" s="95"/>
      <c r="J1139" s="95"/>
      <c r="K1139" s="95"/>
      <c r="L1139" s="95"/>
      <c r="M1139" s="95"/>
      <c r="N1139" s="95"/>
      <c r="O1139" s="95"/>
      <c r="P1139" s="95"/>
      <c r="Q1139" s="95"/>
      <c r="R1139" s="95"/>
      <c r="T1139" s="81"/>
      <c r="U1139" s="95"/>
      <c r="V1139" s="95"/>
      <c r="W1139" s="95"/>
    </row>
    <row r="1140" spans="5:23" ht="10.15" customHeight="1">
      <c r="E1140" s="95"/>
      <c r="F1140" s="95"/>
      <c r="G1140" s="95"/>
      <c r="H1140" s="95"/>
      <c r="I1140" s="95"/>
      <c r="J1140" s="95"/>
      <c r="K1140" s="95"/>
      <c r="L1140" s="95"/>
      <c r="M1140" s="95"/>
      <c r="N1140" s="95"/>
      <c r="O1140" s="95"/>
      <c r="P1140" s="95"/>
      <c r="Q1140" s="95"/>
      <c r="R1140" s="95"/>
      <c r="T1140" s="81"/>
      <c r="U1140" s="95"/>
      <c r="V1140" s="95"/>
      <c r="W1140" s="95"/>
    </row>
    <row r="1141" spans="5:23" ht="10.15" customHeight="1">
      <c r="E1141" s="95"/>
      <c r="F1141" s="95"/>
      <c r="G1141" s="95"/>
      <c r="H1141" s="95"/>
      <c r="I1141" s="95"/>
      <c r="J1141" s="95"/>
      <c r="K1141" s="95"/>
      <c r="L1141" s="95"/>
      <c r="M1141" s="95"/>
      <c r="N1141" s="95"/>
      <c r="O1141" s="95"/>
      <c r="P1141" s="95"/>
      <c r="Q1141" s="95"/>
      <c r="R1141" s="95"/>
      <c r="T1141" s="81"/>
      <c r="U1141" s="95"/>
      <c r="V1141" s="95"/>
      <c r="W1141" s="95"/>
    </row>
    <row r="1142" spans="5:23" ht="10.15" customHeight="1">
      <c r="E1142" s="95"/>
      <c r="F1142" s="95"/>
      <c r="G1142" s="95"/>
      <c r="H1142" s="95"/>
      <c r="I1142" s="95"/>
      <c r="J1142" s="95"/>
      <c r="K1142" s="95"/>
      <c r="L1142" s="95"/>
      <c r="M1142" s="95"/>
      <c r="N1142" s="95"/>
      <c r="O1142" s="95"/>
      <c r="P1142" s="95"/>
      <c r="Q1142" s="95"/>
      <c r="R1142" s="95"/>
      <c r="T1142" s="81"/>
      <c r="U1142" s="95"/>
      <c r="V1142" s="95"/>
      <c r="W1142" s="95"/>
    </row>
    <row r="1143" spans="5:23" ht="10.15" customHeight="1">
      <c r="E1143" s="95"/>
      <c r="F1143" s="95"/>
      <c r="G1143" s="95"/>
      <c r="H1143" s="95"/>
      <c r="I1143" s="95"/>
      <c r="J1143" s="95"/>
      <c r="K1143" s="95"/>
      <c r="L1143" s="95"/>
      <c r="M1143" s="95"/>
      <c r="N1143" s="95"/>
      <c r="O1143" s="95"/>
      <c r="P1143" s="95"/>
      <c r="Q1143" s="95"/>
      <c r="R1143" s="95"/>
      <c r="T1143" s="81"/>
      <c r="U1143" s="95"/>
      <c r="V1143" s="95"/>
      <c r="W1143" s="95"/>
    </row>
    <row r="1144" spans="5:23" ht="10.15" customHeight="1">
      <c r="E1144" s="95"/>
      <c r="F1144" s="95"/>
      <c r="G1144" s="95"/>
      <c r="H1144" s="95"/>
      <c r="I1144" s="95"/>
      <c r="J1144" s="95"/>
      <c r="K1144" s="95"/>
      <c r="L1144" s="95"/>
      <c r="M1144" s="95"/>
      <c r="N1144" s="95"/>
      <c r="O1144" s="95"/>
      <c r="P1144" s="95"/>
      <c r="Q1144" s="95"/>
      <c r="R1144" s="95"/>
      <c r="T1144" s="81"/>
      <c r="U1144" s="95"/>
      <c r="V1144" s="95"/>
      <c r="W1144" s="95"/>
    </row>
    <row r="1145" spans="5:23" ht="10.15" customHeight="1">
      <c r="E1145" s="95"/>
      <c r="F1145" s="95"/>
      <c r="G1145" s="95"/>
      <c r="H1145" s="95"/>
      <c r="I1145" s="95"/>
      <c r="J1145" s="95"/>
      <c r="K1145" s="95"/>
      <c r="L1145" s="95"/>
      <c r="M1145" s="95"/>
      <c r="N1145" s="95"/>
      <c r="O1145" s="95"/>
      <c r="P1145" s="95"/>
      <c r="Q1145" s="95"/>
      <c r="R1145" s="95"/>
      <c r="T1145" s="81"/>
      <c r="U1145" s="95"/>
      <c r="V1145" s="95"/>
      <c r="W1145" s="95"/>
    </row>
    <row r="1146" spans="5:23" ht="10.15" customHeight="1">
      <c r="E1146" s="95"/>
      <c r="F1146" s="95"/>
      <c r="G1146" s="95"/>
      <c r="H1146" s="95"/>
      <c r="I1146" s="95"/>
      <c r="J1146" s="95"/>
      <c r="K1146" s="95"/>
      <c r="L1146" s="95"/>
      <c r="M1146" s="95"/>
      <c r="N1146" s="95"/>
      <c r="O1146" s="95"/>
      <c r="P1146" s="95"/>
      <c r="Q1146" s="95"/>
      <c r="R1146" s="95"/>
      <c r="T1146" s="81"/>
      <c r="U1146" s="95"/>
      <c r="V1146" s="95"/>
      <c r="W1146" s="95"/>
    </row>
    <row r="1147" spans="5:23" ht="10.15" customHeight="1">
      <c r="E1147" s="95"/>
      <c r="F1147" s="95"/>
      <c r="G1147" s="95"/>
      <c r="H1147" s="95"/>
      <c r="I1147" s="95"/>
      <c r="J1147" s="95"/>
      <c r="K1147" s="95"/>
      <c r="L1147" s="95"/>
      <c r="M1147" s="95"/>
      <c r="N1147" s="95"/>
      <c r="O1147" s="95"/>
      <c r="P1147" s="95"/>
      <c r="Q1147" s="95"/>
      <c r="R1147" s="95"/>
      <c r="T1147" s="81"/>
      <c r="U1147" s="95"/>
      <c r="V1147" s="95"/>
      <c r="W1147" s="95"/>
    </row>
    <row r="1148" spans="5:23" ht="10.15" customHeight="1">
      <c r="E1148" s="95"/>
      <c r="F1148" s="95"/>
      <c r="G1148" s="95"/>
      <c r="H1148" s="95"/>
      <c r="I1148" s="95"/>
      <c r="J1148" s="95"/>
      <c r="K1148" s="95"/>
      <c r="L1148" s="95"/>
      <c r="M1148" s="95"/>
      <c r="N1148" s="95"/>
      <c r="O1148" s="95"/>
      <c r="P1148" s="95"/>
      <c r="Q1148" s="95"/>
      <c r="R1148" s="95"/>
      <c r="T1148" s="81"/>
      <c r="U1148" s="95"/>
      <c r="V1148" s="95"/>
      <c r="W1148" s="95"/>
    </row>
    <row r="1149" spans="5:23" ht="10.15" customHeight="1">
      <c r="E1149" s="95"/>
      <c r="F1149" s="95"/>
      <c r="G1149" s="95"/>
      <c r="H1149" s="95"/>
      <c r="I1149" s="95"/>
      <c r="J1149" s="95"/>
      <c r="K1149" s="95"/>
      <c r="L1149" s="95"/>
      <c r="M1149" s="95"/>
      <c r="N1149" s="95"/>
      <c r="O1149" s="95"/>
      <c r="P1149" s="95"/>
      <c r="Q1149" s="95"/>
      <c r="R1149" s="95"/>
      <c r="T1149" s="81"/>
      <c r="U1149" s="95"/>
      <c r="V1149" s="95"/>
      <c r="W1149" s="95"/>
    </row>
    <row r="1150" spans="5:23" ht="10.15" customHeight="1">
      <c r="E1150" s="95"/>
      <c r="F1150" s="95"/>
      <c r="G1150" s="95"/>
      <c r="H1150" s="95"/>
      <c r="I1150" s="95"/>
      <c r="J1150" s="95"/>
      <c r="K1150" s="95"/>
      <c r="L1150" s="95"/>
      <c r="M1150" s="95"/>
      <c r="N1150" s="95"/>
      <c r="O1150" s="95"/>
      <c r="P1150" s="95"/>
      <c r="Q1150" s="95"/>
      <c r="R1150" s="95"/>
      <c r="T1150" s="81"/>
      <c r="U1150" s="95"/>
      <c r="V1150" s="95"/>
      <c r="W1150" s="95"/>
    </row>
    <row r="1151" spans="5:23" ht="10.15" customHeight="1">
      <c r="E1151" s="95"/>
      <c r="F1151" s="95"/>
      <c r="G1151" s="95"/>
      <c r="H1151" s="95"/>
      <c r="I1151" s="95"/>
      <c r="J1151" s="95"/>
      <c r="K1151" s="95"/>
      <c r="L1151" s="95"/>
      <c r="M1151" s="95"/>
      <c r="N1151" s="95"/>
      <c r="O1151" s="95"/>
      <c r="P1151" s="95"/>
      <c r="Q1151" s="95"/>
      <c r="R1151" s="95"/>
      <c r="T1151" s="81"/>
      <c r="U1151" s="95"/>
      <c r="V1151" s="95"/>
      <c r="W1151" s="95"/>
    </row>
    <row r="1152" spans="5:23" ht="10.15" customHeight="1">
      <c r="E1152" s="95"/>
      <c r="F1152" s="95"/>
      <c r="G1152" s="95"/>
      <c r="H1152" s="95"/>
      <c r="I1152" s="95"/>
      <c r="J1152" s="95"/>
      <c r="K1152" s="95"/>
      <c r="L1152" s="95"/>
      <c r="M1152" s="95"/>
      <c r="N1152" s="95"/>
      <c r="O1152" s="95"/>
      <c r="P1152" s="95"/>
      <c r="Q1152" s="95"/>
      <c r="R1152" s="95"/>
      <c r="T1152" s="81"/>
      <c r="U1152" s="95"/>
      <c r="V1152" s="95"/>
      <c r="W1152" s="95"/>
    </row>
    <row r="1153" spans="5:23" ht="10.15" customHeight="1">
      <c r="E1153" s="95"/>
      <c r="F1153" s="95"/>
      <c r="G1153" s="95"/>
      <c r="H1153" s="95"/>
      <c r="I1153" s="95"/>
      <c r="J1153" s="95"/>
      <c r="K1153" s="95"/>
      <c r="L1153" s="95"/>
      <c r="M1153" s="95"/>
      <c r="N1153" s="95"/>
      <c r="O1153" s="95"/>
      <c r="P1153" s="95"/>
      <c r="Q1153" s="95"/>
      <c r="R1153" s="95"/>
      <c r="T1153" s="81"/>
      <c r="U1153" s="95"/>
      <c r="V1153" s="95"/>
      <c r="W1153" s="95"/>
    </row>
    <row r="1154" spans="5:23" ht="10.15" customHeight="1">
      <c r="E1154" s="95"/>
      <c r="F1154" s="95"/>
      <c r="G1154" s="95"/>
      <c r="H1154" s="95"/>
      <c r="I1154" s="95"/>
      <c r="J1154" s="95"/>
      <c r="K1154" s="95"/>
      <c r="L1154" s="95"/>
      <c r="M1154" s="95"/>
      <c r="N1154" s="95"/>
      <c r="O1154" s="95"/>
      <c r="P1154" s="95"/>
      <c r="Q1154" s="95"/>
      <c r="R1154" s="95"/>
      <c r="T1154" s="81"/>
      <c r="U1154" s="95"/>
      <c r="V1154" s="95"/>
      <c r="W1154" s="95"/>
    </row>
    <row r="1155" spans="5:23" ht="10.15" customHeight="1">
      <c r="E1155" s="95"/>
      <c r="F1155" s="95"/>
      <c r="G1155" s="95"/>
      <c r="H1155" s="95"/>
      <c r="I1155" s="95"/>
      <c r="J1155" s="95"/>
      <c r="K1155" s="95"/>
      <c r="L1155" s="95"/>
      <c r="M1155" s="95"/>
      <c r="N1155" s="95"/>
      <c r="O1155" s="95"/>
      <c r="P1155" s="95"/>
      <c r="Q1155" s="95"/>
      <c r="R1155" s="95"/>
      <c r="T1155" s="81"/>
      <c r="U1155" s="95"/>
      <c r="V1155" s="95"/>
      <c r="W1155" s="95"/>
    </row>
    <row r="1156" spans="5:23" ht="10.15" customHeight="1">
      <c r="E1156" s="95"/>
      <c r="F1156" s="95"/>
      <c r="G1156" s="95"/>
      <c r="H1156" s="95"/>
      <c r="I1156" s="95"/>
      <c r="J1156" s="95"/>
      <c r="K1156" s="95"/>
      <c r="L1156" s="95"/>
      <c r="M1156" s="95"/>
      <c r="N1156" s="95"/>
      <c r="O1156" s="95"/>
      <c r="P1156" s="95"/>
      <c r="Q1156" s="95"/>
      <c r="R1156" s="95"/>
      <c r="T1156" s="81"/>
      <c r="U1156" s="95"/>
      <c r="V1156" s="95"/>
      <c r="W1156" s="95"/>
    </row>
    <row r="1157" spans="5:23" ht="10.15" customHeight="1">
      <c r="E1157" s="95"/>
      <c r="F1157" s="95"/>
      <c r="G1157" s="95"/>
      <c r="H1157" s="95"/>
      <c r="I1157" s="95"/>
      <c r="J1157" s="95"/>
      <c r="K1157" s="95"/>
      <c r="L1157" s="95"/>
      <c r="M1157" s="95"/>
      <c r="N1157" s="95"/>
      <c r="O1157" s="95"/>
      <c r="P1157" s="95"/>
      <c r="Q1157" s="95"/>
      <c r="R1157" s="95"/>
      <c r="T1157" s="81"/>
      <c r="U1157" s="95"/>
      <c r="V1157" s="95"/>
      <c r="W1157" s="95"/>
    </row>
    <row r="1158" spans="5:23" ht="10.15" customHeight="1">
      <c r="E1158" s="95"/>
      <c r="F1158" s="95"/>
      <c r="G1158" s="95"/>
      <c r="H1158" s="95"/>
      <c r="I1158" s="95"/>
      <c r="J1158" s="95"/>
      <c r="K1158" s="95"/>
      <c r="L1158" s="95"/>
      <c r="M1158" s="95"/>
      <c r="N1158" s="95"/>
      <c r="O1158" s="95"/>
      <c r="P1158" s="95"/>
      <c r="Q1158" s="95"/>
      <c r="R1158" s="95"/>
      <c r="T1158" s="81"/>
      <c r="U1158" s="95"/>
      <c r="V1158" s="95"/>
      <c r="W1158" s="95"/>
    </row>
    <row r="1159" spans="5:23" ht="10.15" customHeight="1">
      <c r="E1159" s="95"/>
      <c r="F1159" s="95"/>
      <c r="G1159" s="95"/>
      <c r="H1159" s="95"/>
      <c r="I1159" s="95"/>
      <c r="J1159" s="95"/>
      <c r="K1159" s="95"/>
      <c r="L1159" s="95"/>
      <c r="M1159" s="95"/>
      <c r="N1159" s="95"/>
      <c r="O1159" s="95"/>
      <c r="P1159" s="95"/>
      <c r="Q1159" s="95"/>
      <c r="R1159" s="95"/>
      <c r="T1159" s="81"/>
      <c r="U1159" s="95"/>
      <c r="V1159" s="95"/>
      <c r="W1159" s="95"/>
    </row>
    <row r="1160" spans="5:23" ht="10.15" customHeight="1">
      <c r="E1160" s="95"/>
      <c r="F1160" s="95"/>
      <c r="G1160" s="95"/>
      <c r="H1160" s="95"/>
      <c r="I1160" s="95"/>
      <c r="J1160" s="95"/>
      <c r="K1160" s="95"/>
      <c r="L1160" s="95"/>
      <c r="M1160" s="95"/>
      <c r="N1160" s="95"/>
      <c r="O1160" s="95"/>
      <c r="P1160" s="95"/>
      <c r="Q1160" s="95"/>
      <c r="R1160" s="95"/>
      <c r="T1160" s="81"/>
      <c r="U1160" s="95"/>
      <c r="V1160" s="95"/>
      <c r="W1160" s="95"/>
    </row>
    <row r="1161" spans="5:23" ht="10.15" customHeight="1">
      <c r="E1161" s="95"/>
      <c r="F1161" s="95"/>
      <c r="G1161" s="95"/>
      <c r="H1161" s="95"/>
      <c r="I1161" s="95"/>
      <c r="J1161" s="95"/>
      <c r="K1161" s="95"/>
      <c r="L1161" s="95"/>
      <c r="M1161" s="95"/>
      <c r="N1161" s="95"/>
      <c r="O1161" s="95"/>
      <c r="P1161" s="95"/>
      <c r="Q1161" s="95"/>
      <c r="R1161" s="95"/>
      <c r="T1161" s="81"/>
      <c r="U1161" s="95"/>
      <c r="V1161" s="95"/>
      <c r="W1161" s="95"/>
    </row>
    <row r="1162" spans="5:23" ht="10.15" customHeight="1">
      <c r="E1162" s="95"/>
      <c r="F1162" s="95"/>
      <c r="G1162" s="95"/>
      <c r="H1162" s="95"/>
      <c r="I1162" s="95"/>
      <c r="J1162" s="95"/>
      <c r="K1162" s="95"/>
      <c r="L1162" s="95"/>
      <c r="M1162" s="95"/>
      <c r="N1162" s="95"/>
      <c r="O1162" s="95"/>
      <c r="P1162" s="95"/>
      <c r="Q1162" s="95"/>
      <c r="R1162" s="95"/>
      <c r="T1162" s="81"/>
      <c r="U1162" s="95"/>
      <c r="V1162" s="95"/>
      <c r="W1162" s="95"/>
    </row>
    <row r="1163" spans="5:23" ht="10.15" customHeight="1">
      <c r="E1163" s="95"/>
      <c r="F1163" s="95"/>
      <c r="G1163" s="95"/>
      <c r="H1163" s="95"/>
      <c r="I1163" s="95"/>
      <c r="J1163" s="95"/>
      <c r="K1163" s="95"/>
      <c r="L1163" s="95"/>
      <c r="M1163" s="95"/>
      <c r="N1163" s="95"/>
      <c r="O1163" s="95"/>
      <c r="P1163" s="95"/>
      <c r="Q1163" s="95"/>
      <c r="R1163" s="95"/>
      <c r="T1163" s="81"/>
      <c r="U1163" s="95"/>
      <c r="V1163" s="95"/>
      <c r="W1163" s="95"/>
    </row>
    <row r="1164" spans="5:23" ht="10.15" customHeight="1">
      <c r="E1164" s="95"/>
      <c r="F1164" s="95"/>
      <c r="G1164" s="95"/>
      <c r="H1164" s="95"/>
      <c r="I1164" s="95"/>
      <c r="J1164" s="95"/>
      <c r="K1164" s="95"/>
      <c r="L1164" s="95"/>
      <c r="M1164" s="95"/>
      <c r="N1164" s="95"/>
      <c r="O1164" s="95"/>
      <c r="P1164" s="95"/>
      <c r="Q1164" s="95"/>
      <c r="R1164" s="95"/>
      <c r="T1164" s="81"/>
      <c r="U1164" s="95"/>
      <c r="V1164" s="95"/>
      <c r="W1164" s="95"/>
    </row>
    <row r="1165" spans="5:23" ht="10.15" customHeight="1">
      <c r="E1165" s="95"/>
      <c r="F1165" s="95"/>
      <c r="G1165" s="95"/>
      <c r="H1165" s="95"/>
      <c r="I1165" s="95"/>
      <c r="J1165" s="95"/>
      <c r="K1165" s="95"/>
      <c r="L1165" s="95"/>
      <c r="M1165" s="95"/>
      <c r="N1165" s="95"/>
      <c r="O1165" s="95"/>
      <c r="P1165" s="95"/>
      <c r="Q1165" s="95"/>
      <c r="R1165" s="95"/>
      <c r="T1165" s="81"/>
      <c r="U1165" s="95"/>
      <c r="V1165" s="95"/>
      <c r="W1165" s="95"/>
    </row>
    <row r="1166" spans="5:23" ht="10.15" customHeight="1">
      <c r="E1166" s="95"/>
      <c r="F1166" s="95"/>
      <c r="G1166" s="95"/>
      <c r="H1166" s="95"/>
      <c r="I1166" s="95"/>
      <c r="J1166" s="95"/>
      <c r="K1166" s="95"/>
      <c r="L1166" s="95"/>
      <c r="M1166" s="95"/>
      <c r="N1166" s="95"/>
      <c r="O1166" s="95"/>
      <c r="P1166" s="95"/>
      <c r="Q1166" s="95"/>
      <c r="R1166" s="95"/>
      <c r="T1166" s="81"/>
      <c r="U1166" s="95"/>
      <c r="V1166" s="95"/>
      <c r="W1166" s="95"/>
    </row>
    <row r="1167" spans="5:23" ht="10.15" customHeight="1">
      <c r="E1167" s="95"/>
      <c r="F1167" s="95"/>
      <c r="G1167" s="95"/>
      <c r="H1167" s="95"/>
      <c r="I1167" s="95"/>
      <c r="J1167" s="95"/>
      <c r="K1167" s="95"/>
      <c r="L1167" s="95"/>
      <c r="M1167" s="95"/>
      <c r="N1167" s="95"/>
      <c r="O1167" s="95"/>
      <c r="P1167" s="95"/>
      <c r="Q1167" s="95"/>
      <c r="R1167" s="95"/>
      <c r="T1167" s="81"/>
      <c r="U1167" s="95"/>
      <c r="V1167" s="95"/>
      <c r="W1167" s="95"/>
    </row>
    <row r="1168" spans="5:23" ht="10.15" customHeight="1">
      <c r="E1168" s="95"/>
      <c r="F1168" s="95"/>
      <c r="G1168" s="95"/>
      <c r="H1168" s="95"/>
      <c r="I1168" s="95"/>
      <c r="J1168" s="95"/>
      <c r="K1168" s="95"/>
      <c r="L1168" s="95"/>
      <c r="M1168" s="95"/>
      <c r="N1168" s="95"/>
      <c r="O1168" s="95"/>
      <c r="P1168" s="95"/>
      <c r="Q1168" s="95"/>
      <c r="R1168" s="95"/>
      <c r="T1168" s="81"/>
      <c r="U1168" s="95"/>
      <c r="V1168" s="95"/>
      <c r="W1168" s="95"/>
    </row>
    <row r="1169" spans="5:23" ht="10.15" customHeight="1">
      <c r="E1169" s="95"/>
      <c r="F1169" s="95"/>
      <c r="G1169" s="95"/>
      <c r="H1169" s="95"/>
      <c r="I1169" s="95"/>
      <c r="J1169" s="95"/>
      <c r="K1169" s="95"/>
      <c r="L1169" s="95"/>
      <c r="M1169" s="95"/>
      <c r="N1169" s="95"/>
      <c r="O1169" s="95"/>
      <c r="P1169" s="95"/>
      <c r="Q1169" s="95"/>
      <c r="R1169" s="95"/>
      <c r="T1169" s="81"/>
      <c r="U1169" s="95"/>
      <c r="V1169" s="95"/>
      <c r="W1169" s="95"/>
    </row>
    <row r="1170" spans="5:23" ht="10.15" customHeight="1">
      <c r="E1170" s="95"/>
      <c r="F1170" s="95"/>
      <c r="G1170" s="95"/>
      <c r="H1170" s="95"/>
      <c r="I1170" s="95"/>
      <c r="J1170" s="95"/>
      <c r="K1170" s="95"/>
      <c r="L1170" s="95"/>
      <c r="M1170" s="95"/>
      <c r="N1170" s="95"/>
      <c r="O1170" s="95"/>
      <c r="P1170" s="95"/>
      <c r="Q1170" s="95"/>
      <c r="R1170" s="95"/>
      <c r="T1170" s="81"/>
      <c r="U1170" s="95"/>
      <c r="V1170" s="95"/>
      <c r="W1170" s="95"/>
    </row>
    <row r="1171" spans="5:23" ht="10.15" customHeight="1">
      <c r="E1171" s="95"/>
      <c r="F1171" s="95"/>
      <c r="G1171" s="95"/>
      <c r="H1171" s="95"/>
      <c r="I1171" s="95"/>
      <c r="J1171" s="95"/>
      <c r="K1171" s="95"/>
      <c r="L1171" s="95"/>
      <c r="M1171" s="95"/>
      <c r="N1171" s="95"/>
      <c r="O1171" s="95"/>
      <c r="P1171" s="95"/>
      <c r="Q1171" s="95"/>
      <c r="R1171" s="95"/>
      <c r="T1171" s="81"/>
      <c r="U1171" s="95"/>
      <c r="V1171" s="95"/>
      <c r="W1171" s="95"/>
    </row>
    <row r="1172" spans="5:23" ht="10.15" customHeight="1">
      <c r="E1172" s="95"/>
      <c r="F1172" s="95"/>
      <c r="G1172" s="95"/>
      <c r="H1172" s="95"/>
      <c r="I1172" s="95"/>
      <c r="J1172" s="95"/>
      <c r="K1172" s="95"/>
      <c r="L1172" s="95"/>
      <c r="M1172" s="95"/>
      <c r="N1172" s="95"/>
      <c r="O1172" s="95"/>
      <c r="P1172" s="95"/>
      <c r="Q1172" s="95"/>
      <c r="R1172" s="95"/>
      <c r="T1172" s="81"/>
      <c r="U1172" s="95"/>
      <c r="V1172" s="95"/>
      <c r="W1172" s="95"/>
    </row>
    <row r="1173" spans="5:23" ht="10.15" customHeight="1">
      <c r="E1173" s="95"/>
      <c r="F1173" s="95"/>
      <c r="G1173" s="95"/>
      <c r="H1173" s="95"/>
      <c r="I1173" s="95"/>
      <c r="J1173" s="95"/>
      <c r="K1173" s="95"/>
      <c r="L1173" s="95"/>
      <c r="M1173" s="95"/>
      <c r="N1173" s="95"/>
      <c r="O1173" s="95"/>
      <c r="P1173" s="95"/>
      <c r="Q1173" s="95"/>
      <c r="R1173" s="95"/>
      <c r="T1173" s="81"/>
      <c r="U1173" s="95"/>
      <c r="V1173" s="95"/>
      <c r="W1173" s="95"/>
    </row>
    <row r="1174" spans="5:23" ht="10.15" customHeight="1">
      <c r="E1174" s="95"/>
      <c r="F1174" s="95"/>
      <c r="G1174" s="95"/>
      <c r="H1174" s="95"/>
      <c r="I1174" s="95"/>
      <c r="J1174" s="95"/>
      <c r="K1174" s="95"/>
      <c r="L1174" s="95"/>
      <c r="M1174" s="95"/>
      <c r="N1174" s="95"/>
      <c r="O1174" s="95"/>
      <c r="P1174" s="95"/>
      <c r="Q1174" s="95"/>
      <c r="R1174" s="95"/>
      <c r="T1174" s="81"/>
      <c r="U1174" s="95"/>
      <c r="V1174" s="95"/>
      <c r="W1174" s="95"/>
    </row>
    <row r="1175" spans="5:23" ht="10.15" customHeight="1">
      <c r="E1175" s="95"/>
      <c r="F1175" s="95"/>
      <c r="G1175" s="95"/>
      <c r="H1175" s="95"/>
      <c r="I1175" s="95"/>
      <c r="J1175" s="95"/>
      <c r="K1175" s="95"/>
      <c r="L1175" s="95"/>
      <c r="M1175" s="95"/>
      <c r="N1175" s="95"/>
      <c r="O1175" s="95"/>
      <c r="P1175" s="95"/>
      <c r="Q1175" s="95"/>
      <c r="R1175" s="95"/>
      <c r="T1175" s="81"/>
      <c r="U1175" s="95"/>
      <c r="V1175" s="95"/>
      <c r="W1175" s="95"/>
    </row>
    <row r="1176" spans="5:23" ht="10.15" customHeight="1">
      <c r="E1176" s="95"/>
      <c r="F1176" s="95"/>
      <c r="G1176" s="95"/>
      <c r="H1176" s="95"/>
      <c r="I1176" s="95"/>
      <c r="J1176" s="95"/>
      <c r="K1176" s="95"/>
      <c r="L1176" s="95"/>
      <c r="M1176" s="95"/>
      <c r="N1176" s="95"/>
      <c r="O1176" s="95"/>
      <c r="P1176" s="95"/>
      <c r="Q1176" s="95"/>
      <c r="R1176" s="95"/>
      <c r="T1176" s="81"/>
      <c r="U1176" s="95"/>
      <c r="V1176" s="95"/>
      <c r="W1176" s="95"/>
    </row>
    <row r="1177" spans="5:23" ht="10.15" customHeight="1">
      <c r="E1177" s="95"/>
      <c r="F1177" s="95"/>
      <c r="G1177" s="95"/>
      <c r="H1177" s="95"/>
      <c r="I1177" s="95"/>
      <c r="J1177" s="95"/>
      <c r="K1177" s="95"/>
      <c r="L1177" s="95"/>
      <c r="M1177" s="95"/>
      <c r="N1177" s="95"/>
      <c r="O1177" s="95"/>
      <c r="P1177" s="95"/>
      <c r="Q1177" s="95"/>
      <c r="R1177" s="95"/>
      <c r="T1177" s="81"/>
      <c r="U1177" s="95"/>
      <c r="V1177" s="95"/>
      <c r="W1177" s="95"/>
    </row>
    <row r="1178" spans="5:23" ht="10.15" customHeight="1">
      <c r="E1178" s="95"/>
      <c r="F1178" s="95"/>
      <c r="G1178" s="95"/>
      <c r="H1178" s="95"/>
      <c r="I1178" s="95"/>
      <c r="J1178" s="95"/>
      <c r="K1178" s="95"/>
      <c r="L1178" s="95"/>
      <c r="M1178" s="95"/>
      <c r="N1178" s="95"/>
      <c r="O1178" s="95"/>
      <c r="P1178" s="95"/>
      <c r="Q1178" s="95"/>
      <c r="R1178" s="95"/>
      <c r="T1178" s="81"/>
      <c r="U1178" s="95"/>
      <c r="V1178" s="95"/>
      <c r="W1178" s="95"/>
    </row>
    <row r="1179" spans="5:23" ht="10.15" customHeight="1">
      <c r="E1179" s="95"/>
      <c r="F1179" s="95"/>
      <c r="G1179" s="95"/>
      <c r="H1179" s="95"/>
      <c r="I1179" s="95"/>
      <c r="J1179" s="95"/>
      <c r="K1179" s="95"/>
      <c r="L1179" s="95"/>
      <c r="M1179" s="95"/>
      <c r="N1179" s="95"/>
      <c r="O1179" s="95"/>
      <c r="P1179" s="95"/>
      <c r="Q1179" s="95"/>
      <c r="R1179" s="95"/>
      <c r="T1179" s="81"/>
      <c r="U1179" s="95"/>
      <c r="V1179" s="95"/>
      <c r="W1179" s="95"/>
    </row>
    <row r="1180" spans="5:23" ht="10.15" customHeight="1">
      <c r="E1180" s="95"/>
      <c r="F1180" s="95"/>
      <c r="G1180" s="95"/>
      <c r="H1180" s="95"/>
      <c r="I1180" s="95"/>
      <c r="J1180" s="95"/>
      <c r="K1180" s="95"/>
      <c r="L1180" s="95"/>
      <c r="M1180" s="95"/>
      <c r="N1180" s="95"/>
      <c r="O1180" s="95"/>
      <c r="P1180" s="95"/>
      <c r="Q1180" s="95"/>
      <c r="R1180" s="95"/>
      <c r="T1180" s="81"/>
      <c r="U1180" s="95"/>
      <c r="V1180" s="95"/>
      <c r="W1180" s="95"/>
    </row>
    <row r="1181" spans="5:23" ht="10.15" customHeight="1">
      <c r="E1181" s="95"/>
      <c r="F1181" s="95"/>
      <c r="G1181" s="95"/>
      <c r="H1181" s="95"/>
      <c r="I1181" s="95"/>
      <c r="J1181" s="95"/>
      <c r="K1181" s="95"/>
      <c r="L1181" s="95"/>
      <c r="M1181" s="95"/>
      <c r="N1181" s="95"/>
      <c r="O1181" s="95"/>
      <c r="P1181" s="95"/>
      <c r="Q1181" s="95"/>
      <c r="R1181" s="95"/>
      <c r="T1181" s="81"/>
      <c r="U1181" s="95"/>
      <c r="V1181" s="95"/>
      <c r="W1181" s="95"/>
    </row>
    <row r="1182" spans="5:23" ht="10.15" customHeight="1">
      <c r="E1182" s="95"/>
      <c r="F1182" s="95"/>
      <c r="G1182" s="95"/>
      <c r="H1182" s="95"/>
      <c r="I1182" s="95"/>
      <c r="J1182" s="95"/>
      <c r="K1182" s="95"/>
      <c r="L1182" s="95"/>
      <c r="M1182" s="95"/>
      <c r="N1182" s="95"/>
      <c r="O1182" s="95"/>
      <c r="P1182" s="95"/>
      <c r="Q1182" s="95"/>
      <c r="R1182" s="95"/>
      <c r="T1182" s="81"/>
      <c r="U1182" s="95"/>
      <c r="V1182" s="95"/>
      <c r="W1182" s="95"/>
    </row>
    <row r="1183" spans="5:23" ht="10.15" customHeight="1">
      <c r="E1183" s="95"/>
      <c r="F1183" s="95"/>
      <c r="G1183" s="95"/>
      <c r="H1183" s="95"/>
      <c r="I1183" s="95"/>
      <c r="J1183" s="95"/>
      <c r="K1183" s="95"/>
      <c r="L1183" s="95"/>
      <c r="M1183" s="95"/>
      <c r="N1183" s="95"/>
      <c r="O1183" s="95"/>
      <c r="P1183" s="95"/>
      <c r="Q1183" s="95"/>
      <c r="R1183" s="95"/>
      <c r="T1183" s="81"/>
      <c r="U1183" s="95"/>
      <c r="V1183" s="95"/>
      <c r="W1183" s="95"/>
    </row>
    <row r="1184" spans="5:23" ht="10.15" customHeight="1">
      <c r="E1184" s="95"/>
      <c r="F1184" s="95"/>
      <c r="G1184" s="95"/>
      <c r="H1184" s="95"/>
      <c r="I1184" s="95"/>
      <c r="J1184" s="95"/>
      <c r="K1184" s="95"/>
      <c r="L1184" s="95"/>
      <c r="M1184" s="95"/>
      <c r="N1184" s="95"/>
      <c r="O1184" s="95"/>
      <c r="P1184" s="95"/>
      <c r="Q1184" s="95"/>
      <c r="R1184" s="95"/>
      <c r="T1184" s="81"/>
      <c r="U1184" s="95"/>
      <c r="V1184" s="95"/>
      <c r="W1184" s="95"/>
    </row>
    <row r="1185" spans="5:23" ht="10.15" customHeight="1">
      <c r="E1185" s="95"/>
      <c r="F1185" s="95"/>
      <c r="G1185" s="95"/>
      <c r="H1185" s="95"/>
      <c r="I1185" s="95"/>
      <c r="J1185" s="95"/>
      <c r="K1185" s="95"/>
      <c r="L1185" s="95"/>
      <c r="M1185" s="95"/>
      <c r="N1185" s="95"/>
      <c r="O1185" s="95"/>
      <c r="P1185" s="95"/>
      <c r="Q1185" s="95"/>
      <c r="R1185" s="95"/>
      <c r="T1185" s="81"/>
      <c r="U1185" s="95"/>
      <c r="V1185" s="95"/>
      <c r="W1185" s="95"/>
    </row>
    <row r="1186" spans="5:23" ht="10.15" customHeight="1">
      <c r="E1186" s="95"/>
      <c r="F1186" s="95"/>
      <c r="G1186" s="95"/>
      <c r="H1186" s="95"/>
      <c r="I1186" s="95"/>
      <c r="J1186" s="95"/>
      <c r="K1186" s="95"/>
      <c r="L1186" s="95"/>
      <c r="M1186" s="95"/>
      <c r="N1186" s="95"/>
      <c r="O1186" s="95"/>
      <c r="P1186" s="95"/>
      <c r="Q1186" s="95"/>
      <c r="R1186" s="95"/>
      <c r="T1186" s="81"/>
      <c r="U1186" s="95"/>
      <c r="V1186" s="95"/>
      <c r="W1186" s="95"/>
    </row>
    <row r="1187" spans="5:23" ht="10.15" customHeight="1">
      <c r="E1187" s="95"/>
      <c r="F1187" s="95"/>
      <c r="G1187" s="95"/>
      <c r="H1187" s="95"/>
      <c r="I1187" s="95"/>
      <c r="J1187" s="95"/>
      <c r="K1187" s="95"/>
      <c r="L1187" s="95"/>
      <c r="M1187" s="95"/>
      <c r="N1187" s="95"/>
      <c r="O1187" s="95"/>
      <c r="P1187" s="95"/>
      <c r="Q1187" s="95"/>
      <c r="R1187" s="95"/>
      <c r="T1187" s="81"/>
      <c r="U1187" s="95"/>
      <c r="V1187" s="95"/>
      <c r="W1187" s="95"/>
    </row>
    <row r="1188" spans="5:23" ht="10.15" customHeight="1">
      <c r="E1188" s="95"/>
      <c r="F1188" s="95"/>
      <c r="G1188" s="95"/>
      <c r="H1188" s="95"/>
      <c r="I1188" s="95"/>
      <c r="J1188" s="95"/>
      <c r="K1188" s="95"/>
      <c r="L1188" s="95"/>
      <c r="M1188" s="95"/>
      <c r="N1188" s="95"/>
      <c r="O1188" s="95"/>
      <c r="P1188" s="95"/>
      <c r="Q1188" s="95"/>
      <c r="R1188" s="95"/>
      <c r="T1188" s="81"/>
      <c r="U1188" s="95"/>
      <c r="V1188" s="95"/>
      <c r="W1188" s="95"/>
    </row>
    <row r="1189" spans="5:23" ht="10.15" customHeight="1">
      <c r="E1189" s="95"/>
      <c r="F1189" s="95"/>
      <c r="G1189" s="95"/>
      <c r="H1189" s="95"/>
      <c r="I1189" s="95"/>
      <c r="J1189" s="95"/>
      <c r="K1189" s="95"/>
      <c r="L1189" s="95"/>
      <c r="M1189" s="95"/>
      <c r="N1189" s="95"/>
      <c r="O1189" s="95"/>
      <c r="P1189" s="95"/>
      <c r="Q1189" s="95"/>
      <c r="R1189" s="95"/>
      <c r="T1189" s="81"/>
      <c r="U1189" s="95"/>
      <c r="V1189" s="95"/>
      <c r="W1189" s="95"/>
    </row>
    <row r="1190" spans="5:23" ht="10.15" customHeight="1">
      <c r="E1190" s="95"/>
      <c r="F1190" s="95"/>
      <c r="G1190" s="95"/>
      <c r="H1190" s="95"/>
      <c r="I1190" s="95"/>
      <c r="J1190" s="95"/>
      <c r="K1190" s="95"/>
      <c r="L1190" s="95"/>
      <c r="M1190" s="95"/>
      <c r="N1190" s="95"/>
      <c r="O1190" s="95"/>
      <c r="P1190" s="95"/>
      <c r="Q1190" s="95"/>
      <c r="R1190" s="95"/>
      <c r="T1190" s="81"/>
      <c r="U1190" s="95"/>
      <c r="V1190" s="95"/>
      <c r="W1190" s="95"/>
    </row>
    <row r="1191" spans="5:23" ht="10.15" customHeight="1">
      <c r="E1191" s="95"/>
      <c r="F1191" s="95"/>
      <c r="G1191" s="95"/>
      <c r="H1191" s="95"/>
      <c r="I1191" s="95"/>
      <c r="J1191" s="95"/>
      <c r="K1191" s="95"/>
      <c r="L1191" s="95"/>
      <c r="M1191" s="95"/>
      <c r="N1191" s="95"/>
      <c r="O1191" s="95"/>
      <c r="P1191" s="95"/>
      <c r="Q1191" s="95"/>
      <c r="R1191" s="95"/>
      <c r="T1191" s="81"/>
      <c r="U1191" s="95"/>
      <c r="V1191" s="95"/>
      <c r="W1191" s="95"/>
    </row>
    <row r="1192" spans="5:23" ht="10.15" customHeight="1">
      <c r="E1192" s="95"/>
      <c r="F1192" s="95"/>
      <c r="G1192" s="95"/>
      <c r="H1192" s="95"/>
      <c r="I1192" s="95"/>
      <c r="J1192" s="95"/>
      <c r="K1192" s="95"/>
      <c r="L1192" s="95"/>
      <c r="M1192" s="95"/>
      <c r="N1192" s="95"/>
      <c r="O1192" s="95"/>
      <c r="P1192" s="95"/>
      <c r="Q1192" s="95"/>
      <c r="R1192" s="95"/>
      <c r="T1192" s="81"/>
      <c r="U1192" s="95"/>
      <c r="V1192" s="95"/>
      <c r="W1192" s="95"/>
    </row>
    <row r="1193" spans="5:23" ht="10.15" customHeight="1">
      <c r="E1193" s="95"/>
      <c r="F1193" s="95"/>
      <c r="G1193" s="95"/>
      <c r="H1193" s="95"/>
      <c r="I1193" s="95"/>
      <c r="J1193" s="95"/>
      <c r="K1193" s="95"/>
      <c r="L1193" s="95"/>
      <c r="M1193" s="95"/>
      <c r="N1193" s="95"/>
      <c r="O1193" s="95"/>
      <c r="P1193" s="95"/>
      <c r="Q1193" s="95"/>
      <c r="R1193" s="95"/>
      <c r="T1193" s="81"/>
      <c r="U1193" s="95"/>
      <c r="V1193" s="95"/>
      <c r="W1193" s="95"/>
    </row>
    <row r="1194" spans="5:23" ht="10.15" customHeight="1">
      <c r="E1194" s="95"/>
      <c r="F1194" s="95"/>
      <c r="G1194" s="95"/>
      <c r="H1194" s="95"/>
      <c r="I1194" s="95"/>
      <c r="J1194" s="95"/>
      <c r="K1194" s="95"/>
      <c r="L1194" s="95"/>
      <c r="M1194" s="95"/>
      <c r="N1194" s="95"/>
      <c r="O1194" s="95"/>
      <c r="P1194" s="95"/>
      <c r="Q1194" s="95"/>
      <c r="R1194" s="95"/>
      <c r="T1194" s="81"/>
      <c r="U1194" s="95"/>
      <c r="V1194" s="95"/>
      <c r="W1194" s="95"/>
    </row>
    <row r="1195" spans="5:23" ht="10.15" customHeight="1">
      <c r="E1195" s="95"/>
      <c r="F1195" s="95"/>
      <c r="G1195" s="95"/>
      <c r="H1195" s="95"/>
      <c r="I1195" s="95"/>
      <c r="J1195" s="95"/>
      <c r="K1195" s="95"/>
      <c r="L1195" s="95"/>
      <c r="M1195" s="95"/>
      <c r="N1195" s="95"/>
      <c r="O1195" s="95"/>
      <c r="P1195" s="95"/>
      <c r="Q1195" s="95"/>
      <c r="R1195" s="95"/>
      <c r="T1195" s="81"/>
      <c r="U1195" s="95"/>
      <c r="V1195" s="95"/>
      <c r="W1195" s="95"/>
    </row>
    <row r="1196" spans="5:23" ht="10.15" customHeight="1">
      <c r="E1196" s="95"/>
      <c r="F1196" s="95"/>
      <c r="G1196" s="95"/>
      <c r="H1196" s="95"/>
      <c r="I1196" s="95"/>
      <c r="J1196" s="95"/>
      <c r="K1196" s="95"/>
      <c r="L1196" s="95"/>
      <c r="M1196" s="95"/>
      <c r="N1196" s="95"/>
      <c r="O1196" s="95"/>
      <c r="P1196" s="95"/>
      <c r="Q1196" s="95"/>
      <c r="R1196" s="95"/>
      <c r="T1196" s="81"/>
      <c r="U1196" s="95"/>
      <c r="V1196" s="95"/>
      <c r="W1196" s="95"/>
    </row>
    <row r="1197" spans="5:23" ht="10.15" customHeight="1">
      <c r="E1197" s="95"/>
      <c r="F1197" s="95"/>
      <c r="G1197" s="95"/>
      <c r="H1197" s="95"/>
      <c r="I1197" s="95"/>
      <c r="J1197" s="95"/>
      <c r="K1197" s="95"/>
      <c r="L1197" s="95"/>
      <c r="M1197" s="95"/>
      <c r="N1197" s="95"/>
      <c r="O1197" s="95"/>
      <c r="P1197" s="95"/>
      <c r="Q1197" s="95"/>
      <c r="R1197" s="95"/>
      <c r="T1197" s="81"/>
      <c r="U1197" s="95"/>
      <c r="V1197" s="95"/>
      <c r="W1197" s="95"/>
    </row>
    <row r="1198" spans="5:23" ht="10.15" customHeight="1">
      <c r="E1198" s="95"/>
      <c r="F1198" s="95"/>
      <c r="G1198" s="95"/>
      <c r="H1198" s="95"/>
      <c r="I1198" s="95"/>
      <c r="J1198" s="95"/>
      <c r="K1198" s="95"/>
      <c r="L1198" s="95"/>
      <c r="M1198" s="95"/>
      <c r="N1198" s="95"/>
      <c r="O1198" s="95"/>
      <c r="P1198" s="95"/>
      <c r="Q1198" s="95"/>
      <c r="R1198" s="95"/>
      <c r="T1198" s="81"/>
      <c r="U1198" s="95"/>
      <c r="V1198" s="95"/>
      <c r="W1198" s="95"/>
    </row>
    <row r="1199" spans="5:23" ht="10.15" customHeight="1">
      <c r="E1199" s="95"/>
      <c r="F1199" s="95"/>
      <c r="G1199" s="95"/>
      <c r="H1199" s="95"/>
      <c r="I1199" s="95"/>
      <c r="J1199" s="95"/>
      <c r="K1199" s="95"/>
      <c r="L1199" s="95"/>
      <c r="M1199" s="95"/>
      <c r="N1199" s="95"/>
      <c r="O1199" s="95"/>
      <c r="P1199" s="95"/>
      <c r="Q1199" s="95"/>
      <c r="R1199" s="95"/>
      <c r="T1199" s="81"/>
      <c r="U1199" s="95"/>
      <c r="V1199" s="95"/>
      <c r="W1199" s="95"/>
    </row>
    <row r="1200" spans="5:23" ht="10.15" customHeight="1">
      <c r="E1200" s="95"/>
      <c r="F1200" s="95"/>
      <c r="G1200" s="95"/>
      <c r="H1200" s="95"/>
      <c r="I1200" s="95"/>
      <c r="J1200" s="95"/>
      <c r="K1200" s="95"/>
      <c r="L1200" s="95"/>
      <c r="M1200" s="95"/>
      <c r="N1200" s="95"/>
      <c r="O1200" s="95"/>
      <c r="P1200" s="95"/>
      <c r="Q1200" s="95"/>
      <c r="R1200" s="95"/>
      <c r="T1200" s="81"/>
      <c r="U1200" s="95"/>
      <c r="V1200" s="95"/>
      <c r="W1200" s="95"/>
    </row>
    <row r="1201" spans="5:23" ht="10.15" customHeight="1">
      <c r="E1201" s="95"/>
      <c r="F1201" s="95"/>
      <c r="G1201" s="95"/>
      <c r="H1201" s="95"/>
      <c r="I1201" s="95"/>
      <c r="J1201" s="95"/>
      <c r="K1201" s="95"/>
      <c r="L1201" s="95"/>
      <c r="M1201" s="95"/>
      <c r="N1201" s="95"/>
      <c r="O1201" s="95"/>
      <c r="P1201" s="95"/>
      <c r="Q1201" s="95"/>
      <c r="R1201" s="95"/>
      <c r="T1201" s="81"/>
      <c r="U1201" s="95"/>
      <c r="V1201" s="95"/>
      <c r="W1201" s="95"/>
    </row>
    <row r="1202" spans="5:23" ht="10.15" customHeight="1">
      <c r="E1202" s="95"/>
      <c r="F1202" s="95"/>
      <c r="G1202" s="95"/>
      <c r="H1202" s="95"/>
      <c r="I1202" s="95"/>
      <c r="J1202" s="95"/>
      <c r="K1202" s="95"/>
      <c r="L1202" s="95"/>
      <c r="M1202" s="95"/>
      <c r="N1202" s="95"/>
      <c r="O1202" s="95"/>
      <c r="P1202" s="95"/>
      <c r="Q1202" s="95"/>
      <c r="R1202" s="95"/>
      <c r="T1202" s="81"/>
      <c r="U1202" s="95"/>
      <c r="V1202" s="95"/>
      <c r="W1202" s="95"/>
    </row>
    <row r="1203" spans="5:23" ht="10.15" customHeight="1">
      <c r="E1203" s="95"/>
      <c r="F1203" s="95"/>
      <c r="G1203" s="95"/>
      <c r="H1203" s="95"/>
      <c r="I1203" s="95"/>
      <c r="J1203" s="95"/>
      <c r="K1203" s="95"/>
      <c r="L1203" s="95"/>
      <c r="M1203" s="95"/>
      <c r="N1203" s="95"/>
      <c r="O1203" s="95"/>
      <c r="P1203" s="95"/>
      <c r="Q1203" s="95"/>
      <c r="R1203" s="95"/>
      <c r="T1203" s="81"/>
      <c r="U1203" s="95"/>
      <c r="V1203" s="95"/>
      <c r="W1203" s="95"/>
    </row>
    <row r="1204" spans="5:23" ht="10.15" customHeight="1">
      <c r="E1204" s="95"/>
      <c r="F1204" s="95"/>
      <c r="G1204" s="95"/>
      <c r="H1204" s="95"/>
      <c r="I1204" s="95"/>
      <c r="J1204" s="95"/>
      <c r="K1204" s="95"/>
      <c r="L1204" s="95"/>
      <c r="M1204" s="95"/>
      <c r="N1204" s="95"/>
      <c r="O1204" s="95"/>
      <c r="P1204" s="95"/>
      <c r="Q1204" s="95"/>
      <c r="R1204" s="95"/>
      <c r="T1204" s="81"/>
      <c r="U1204" s="95"/>
      <c r="V1204" s="95"/>
      <c r="W1204" s="95"/>
    </row>
    <row r="1205" spans="5:23" ht="10.15" customHeight="1">
      <c r="E1205" s="95"/>
      <c r="F1205" s="95"/>
      <c r="G1205" s="95"/>
      <c r="H1205" s="95"/>
      <c r="I1205" s="95"/>
      <c r="J1205" s="95"/>
      <c r="K1205" s="95"/>
      <c r="L1205" s="95"/>
      <c r="M1205" s="95"/>
      <c r="N1205" s="95"/>
      <c r="O1205" s="95"/>
      <c r="P1205" s="95"/>
      <c r="Q1205" s="95"/>
      <c r="R1205" s="95"/>
      <c r="T1205" s="81"/>
      <c r="U1205" s="95"/>
      <c r="V1205" s="95"/>
      <c r="W1205" s="95"/>
    </row>
    <row r="1206" spans="5:23" ht="10.15" customHeight="1">
      <c r="E1206" s="95"/>
      <c r="F1206" s="95"/>
      <c r="G1206" s="95"/>
      <c r="H1206" s="95"/>
      <c r="I1206" s="95"/>
      <c r="J1206" s="95"/>
      <c r="K1206" s="95"/>
      <c r="L1206" s="95"/>
      <c r="M1206" s="95"/>
      <c r="N1206" s="95"/>
      <c r="O1206" s="95"/>
      <c r="P1206" s="95"/>
      <c r="Q1206" s="95"/>
      <c r="R1206" s="95"/>
      <c r="T1206" s="81"/>
      <c r="U1206" s="95"/>
      <c r="V1206" s="95"/>
      <c r="W1206" s="95"/>
    </row>
    <row r="1207" spans="5:23" ht="10.15" customHeight="1">
      <c r="E1207" s="95"/>
      <c r="F1207" s="95"/>
      <c r="G1207" s="95"/>
      <c r="H1207" s="95"/>
      <c r="I1207" s="95"/>
      <c r="J1207" s="95"/>
      <c r="K1207" s="95"/>
      <c r="L1207" s="95"/>
      <c r="M1207" s="95"/>
      <c r="N1207" s="95"/>
      <c r="O1207" s="95"/>
      <c r="P1207" s="95"/>
      <c r="Q1207" s="95"/>
      <c r="R1207" s="95"/>
      <c r="T1207" s="81"/>
      <c r="U1207" s="95"/>
      <c r="V1207" s="95"/>
      <c r="W1207" s="95"/>
    </row>
    <row r="1208" spans="5:23" ht="10.15" customHeight="1">
      <c r="E1208" s="95"/>
      <c r="F1208" s="95"/>
      <c r="G1208" s="95"/>
      <c r="H1208" s="95"/>
      <c r="I1208" s="95"/>
      <c r="J1208" s="95"/>
      <c r="K1208" s="95"/>
      <c r="L1208" s="95"/>
      <c r="M1208" s="95"/>
      <c r="N1208" s="95"/>
      <c r="O1208" s="95"/>
      <c r="P1208" s="95"/>
      <c r="Q1208" s="95"/>
      <c r="R1208" s="95"/>
      <c r="T1208" s="81"/>
      <c r="U1208" s="95"/>
      <c r="V1208" s="95"/>
      <c r="W1208" s="95"/>
    </row>
    <row r="1209" spans="5:23" ht="10.15" customHeight="1">
      <c r="E1209" s="95"/>
      <c r="F1209" s="95"/>
      <c r="G1209" s="95"/>
      <c r="H1209" s="95"/>
      <c r="I1209" s="95"/>
      <c r="J1209" s="95"/>
      <c r="K1209" s="95"/>
      <c r="L1209" s="95"/>
      <c r="M1209" s="95"/>
      <c r="N1209" s="95"/>
      <c r="O1209" s="95"/>
      <c r="P1209" s="95"/>
      <c r="Q1209" s="95"/>
      <c r="R1209" s="95"/>
      <c r="T1209" s="81"/>
      <c r="U1209" s="95"/>
      <c r="V1209" s="95"/>
      <c r="W1209" s="95"/>
    </row>
    <row r="1210" spans="5:23" ht="10.15" customHeight="1">
      <c r="E1210" s="95"/>
      <c r="F1210" s="95"/>
      <c r="G1210" s="95"/>
      <c r="H1210" s="95"/>
      <c r="I1210" s="95"/>
      <c r="J1210" s="95"/>
      <c r="K1210" s="95"/>
      <c r="L1210" s="95"/>
      <c r="M1210" s="95"/>
      <c r="N1210" s="95"/>
      <c r="O1210" s="95"/>
      <c r="P1210" s="95"/>
      <c r="Q1210" s="95"/>
      <c r="R1210" s="95"/>
      <c r="T1210" s="81"/>
      <c r="U1210" s="95"/>
      <c r="V1210" s="95"/>
      <c r="W1210" s="95"/>
    </row>
    <row r="1211" spans="5:23" ht="10.15" customHeight="1">
      <c r="E1211" s="95"/>
      <c r="F1211" s="95"/>
      <c r="G1211" s="95"/>
      <c r="H1211" s="95"/>
      <c r="I1211" s="95"/>
      <c r="J1211" s="95"/>
      <c r="K1211" s="95"/>
      <c r="L1211" s="95"/>
      <c r="M1211" s="95"/>
      <c r="N1211" s="95"/>
      <c r="O1211" s="95"/>
      <c r="P1211" s="95"/>
      <c r="Q1211" s="95"/>
      <c r="R1211" s="95"/>
      <c r="T1211" s="81"/>
      <c r="U1211" s="95"/>
      <c r="V1211" s="95"/>
      <c r="W1211" s="95"/>
    </row>
    <row r="1212" spans="5:23" ht="10.15" customHeight="1">
      <c r="E1212" s="95"/>
      <c r="F1212" s="95"/>
      <c r="G1212" s="95"/>
      <c r="H1212" s="95"/>
      <c r="I1212" s="95"/>
      <c r="J1212" s="95"/>
      <c r="K1212" s="95"/>
      <c r="L1212" s="95"/>
      <c r="M1212" s="95"/>
      <c r="N1212" s="95"/>
      <c r="O1212" s="95"/>
      <c r="P1212" s="95"/>
      <c r="Q1212" s="95"/>
      <c r="R1212" s="95"/>
      <c r="T1212" s="81"/>
      <c r="U1212" s="95"/>
      <c r="V1212" s="95"/>
      <c r="W1212" s="95"/>
    </row>
    <row r="1213" spans="5:23" ht="10.15" customHeight="1">
      <c r="E1213" s="95"/>
      <c r="F1213" s="95"/>
      <c r="G1213" s="95"/>
      <c r="H1213" s="95"/>
      <c r="I1213" s="95"/>
      <c r="J1213" s="95"/>
      <c r="K1213" s="95"/>
      <c r="L1213" s="95"/>
      <c r="M1213" s="95"/>
      <c r="N1213" s="95"/>
      <c r="O1213" s="95"/>
      <c r="P1213" s="95"/>
      <c r="Q1213" s="95"/>
      <c r="R1213" s="95"/>
      <c r="T1213" s="81"/>
      <c r="U1213" s="95"/>
      <c r="V1213" s="95"/>
      <c r="W1213" s="95"/>
    </row>
    <row r="1214" spans="5:23" ht="10.15" customHeight="1">
      <c r="E1214" s="95"/>
      <c r="F1214" s="95"/>
      <c r="G1214" s="95"/>
      <c r="H1214" s="95"/>
      <c r="I1214" s="95"/>
      <c r="J1214" s="95"/>
      <c r="K1214" s="95"/>
      <c r="L1214" s="95"/>
      <c r="M1214" s="95"/>
      <c r="N1214" s="95"/>
      <c r="O1214" s="95"/>
      <c r="P1214" s="95"/>
      <c r="Q1214" s="95"/>
      <c r="R1214" s="95"/>
      <c r="T1214" s="81"/>
      <c r="U1214" s="95"/>
      <c r="V1214" s="95"/>
      <c r="W1214" s="95"/>
    </row>
    <row r="1215" spans="5:23" ht="10.15" customHeight="1">
      <c r="E1215" s="95"/>
      <c r="F1215" s="95"/>
      <c r="G1215" s="95"/>
      <c r="H1215" s="95"/>
      <c r="I1215" s="95"/>
      <c r="J1215" s="95"/>
      <c r="K1215" s="95"/>
      <c r="L1215" s="95"/>
      <c r="M1215" s="95"/>
      <c r="N1215" s="95"/>
      <c r="O1215" s="95"/>
      <c r="P1215" s="95"/>
      <c r="Q1215" s="95"/>
      <c r="R1215" s="95"/>
      <c r="T1215" s="81"/>
      <c r="U1215" s="95"/>
      <c r="V1215" s="95"/>
      <c r="W1215" s="95"/>
    </row>
    <row r="1216" spans="5:23" ht="10.15" customHeight="1">
      <c r="E1216" s="95"/>
      <c r="F1216" s="95"/>
      <c r="G1216" s="95"/>
      <c r="H1216" s="95"/>
      <c r="I1216" s="95"/>
      <c r="J1216" s="95"/>
      <c r="K1216" s="95"/>
      <c r="L1216" s="95"/>
      <c r="M1216" s="95"/>
      <c r="N1216" s="95"/>
      <c r="O1216" s="95"/>
      <c r="P1216" s="95"/>
      <c r="Q1216" s="95"/>
      <c r="R1216" s="95"/>
      <c r="T1216" s="81"/>
      <c r="U1216" s="95"/>
      <c r="V1216" s="95"/>
      <c r="W1216" s="95"/>
    </row>
    <row r="1217" spans="5:23" ht="10.15" customHeight="1">
      <c r="E1217" s="95"/>
      <c r="F1217" s="95"/>
      <c r="G1217" s="95"/>
      <c r="H1217" s="95"/>
      <c r="I1217" s="95"/>
      <c r="J1217" s="95"/>
      <c r="K1217" s="95"/>
      <c r="L1217" s="95"/>
      <c r="M1217" s="95"/>
      <c r="N1217" s="95"/>
      <c r="O1217" s="95"/>
      <c r="P1217" s="95"/>
      <c r="Q1217" s="95"/>
      <c r="R1217" s="95"/>
      <c r="T1217" s="81"/>
      <c r="U1217" s="95"/>
      <c r="V1217" s="95"/>
      <c r="W1217" s="95"/>
    </row>
    <row r="1218" spans="5:23" ht="10.15" customHeight="1">
      <c r="E1218" s="95"/>
      <c r="F1218" s="95"/>
      <c r="G1218" s="95"/>
      <c r="H1218" s="95"/>
      <c r="I1218" s="95"/>
      <c r="J1218" s="95"/>
      <c r="K1218" s="95"/>
      <c r="L1218" s="95"/>
      <c r="M1218" s="95"/>
      <c r="N1218" s="95"/>
      <c r="O1218" s="95"/>
      <c r="P1218" s="95"/>
      <c r="Q1218" s="95"/>
      <c r="R1218" s="95"/>
      <c r="T1218" s="81"/>
      <c r="U1218" s="95"/>
      <c r="V1218" s="95"/>
      <c r="W1218" s="95"/>
    </row>
    <row r="1219" spans="5:23" ht="10.15" customHeight="1">
      <c r="E1219" s="95"/>
      <c r="F1219" s="95"/>
      <c r="G1219" s="95"/>
      <c r="H1219" s="95"/>
      <c r="I1219" s="95"/>
      <c r="J1219" s="95"/>
      <c r="K1219" s="95"/>
      <c r="L1219" s="95"/>
      <c r="M1219" s="95"/>
      <c r="N1219" s="95"/>
      <c r="O1219" s="95"/>
      <c r="P1219" s="95"/>
      <c r="Q1219" s="95"/>
      <c r="R1219" s="95"/>
      <c r="T1219" s="81"/>
      <c r="U1219" s="95"/>
      <c r="V1219" s="95"/>
      <c r="W1219" s="95"/>
    </row>
    <row r="1220" spans="5:23" ht="10.15" customHeight="1">
      <c r="E1220" s="95"/>
      <c r="F1220" s="95"/>
      <c r="G1220" s="95"/>
      <c r="H1220" s="95"/>
      <c r="I1220" s="95"/>
      <c r="J1220" s="95"/>
      <c r="K1220" s="95"/>
      <c r="L1220" s="95"/>
      <c r="M1220" s="95"/>
      <c r="N1220" s="95"/>
      <c r="O1220" s="95"/>
      <c r="P1220" s="95"/>
      <c r="Q1220" s="95"/>
      <c r="R1220" s="95"/>
      <c r="T1220" s="81"/>
      <c r="U1220" s="95"/>
      <c r="V1220" s="95"/>
      <c r="W1220" s="95"/>
    </row>
    <row r="1221" spans="5:23" ht="10.15" customHeight="1">
      <c r="E1221" s="95"/>
      <c r="F1221" s="95"/>
      <c r="G1221" s="95"/>
      <c r="H1221" s="95"/>
      <c r="I1221" s="95"/>
      <c r="J1221" s="95"/>
      <c r="K1221" s="95"/>
      <c r="L1221" s="95"/>
      <c r="M1221" s="95"/>
      <c r="N1221" s="95"/>
      <c r="O1221" s="95"/>
      <c r="P1221" s="95"/>
      <c r="Q1221" s="95"/>
      <c r="R1221" s="95"/>
      <c r="T1221" s="81"/>
      <c r="U1221" s="95"/>
      <c r="V1221" s="95"/>
      <c r="W1221" s="95"/>
    </row>
    <row r="1222" spans="5:23" ht="10.15" customHeight="1">
      <c r="E1222" s="95"/>
      <c r="F1222" s="95"/>
      <c r="G1222" s="95"/>
      <c r="H1222" s="95"/>
      <c r="I1222" s="95"/>
      <c r="J1222" s="95"/>
      <c r="K1222" s="95"/>
      <c r="L1222" s="95"/>
      <c r="M1222" s="95"/>
      <c r="N1222" s="95"/>
      <c r="O1222" s="95"/>
      <c r="P1222" s="95"/>
      <c r="Q1222" s="95"/>
      <c r="R1222" s="95"/>
      <c r="T1222" s="81"/>
      <c r="U1222" s="95"/>
      <c r="V1222" s="95"/>
      <c r="W1222" s="95"/>
    </row>
    <row r="1223" spans="5:23" ht="10.15" customHeight="1">
      <c r="E1223" s="95"/>
      <c r="F1223" s="95"/>
      <c r="G1223" s="95"/>
      <c r="H1223" s="95"/>
      <c r="I1223" s="95"/>
      <c r="J1223" s="95"/>
      <c r="K1223" s="95"/>
      <c r="L1223" s="95"/>
      <c r="M1223" s="95"/>
      <c r="N1223" s="95"/>
      <c r="O1223" s="95"/>
      <c r="P1223" s="95"/>
      <c r="Q1223" s="95"/>
      <c r="R1223" s="95"/>
      <c r="T1223" s="81"/>
      <c r="U1223" s="95"/>
      <c r="V1223" s="95"/>
      <c r="W1223" s="95"/>
    </row>
    <row r="1224" spans="5:23" ht="10.15" customHeight="1">
      <c r="E1224" s="95"/>
      <c r="F1224" s="95"/>
      <c r="G1224" s="95"/>
      <c r="H1224" s="95"/>
      <c r="I1224" s="95"/>
      <c r="J1224" s="95"/>
      <c r="K1224" s="95"/>
      <c r="L1224" s="95"/>
      <c r="M1224" s="95"/>
      <c r="N1224" s="95"/>
      <c r="O1224" s="95"/>
      <c r="P1224" s="95"/>
      <c r="Q1224" s="95"/>
      <c r="R1224" s="95"/>
      <c r="T1224" s="81"/>
      <c r="U1224" s="95"/>
      <c r="V1224" s="95"/>
      <c r="W1224" s="95"/>
    </row>
    <row r="1225" spans="5:23" ht="10.15" customHeight="1">
      <c r="E1225" s="95"/>
      <c r="F1225" s="95"/>
      <c r="G1225" s="95"/>
      <c r="H1225" s="95"/>
      <c r="I1225" s="95"/>
      <c r="J1225" s="95"/>
      <c r="K1225" s="95"/>
      <c r="L1225" s="95"/>
      <c r="M1225" s="95"/>
      <c r="N1225" s="95"/>
      <c r="O1225" s="95"/>
      <c r="P1225" s="95"/>
      <c r="Q1225" s="95"/>
      <c r="R1225" s="95"/>
      <c r="T1225" s="81"/>
      <c r="U1225" s="95"/>
      <c r="V1225" s="95"/>
      <c r="W1225" s="95"/>
    </row>
    <row r="1226" spans="5:23" ht="10.15" customHeight="1">
      <c r="E1226" s="95"/>
      <c r="F1226" s="95"/>
      <c r="G1226" s="95"/>
      <c r="H1226" s="95"/>
      <c r="I1226" s="95"/>
      <c r="J1226" s="95"/>
      <c r="K1226" s="95"/>
      <c r="L1226" s="95"/>
      <c r="M1226" s="95"/>
      <c r="N1226" s="95"/>
      <c r="O1226" s="95"/>
      <c r="P1226" s="95"/>
      <c r="Q1226" s="95"/>
      <c r="R1226" s="95"/>
      <c r="T1226" s="81"/>
      <c r="U1226" s="95"/>
      <c r="V1226" s="95"/>
      <c r="W1226" s="95"/>
    </row>
    <row r="1227" spans="5:23" ht="10.15" customHeight="1">
      <c r="E1227" s="95"/>
      <c r="F1227" s="95"/>
      <c r="G1227" s="95"/>
      <c r="H1227" s="95"/>
      <c r="I1227" s="95"/>
      <c r="J1227" s="95"/>
      <c r="K1227" s="95"/>
      <c r="L1227" s="95"/>
      <c r="M1227" s="95"/>
      <c r="N1227" s="95"/>
      <c r="O1227" s="95"/>
      <c r="P1227" s="95"/>
      <c r="Q1227" s="95"/>
      <c r="R1227" s="95"/>
      <c r="T1227" s="81"/>
      <c r="U1227" s="95"/>
      <c r="V1227" s="95"/>
      <c r="W1227" s="95"/>
    </row>
    <row r="1228" spans="5:23" ht="10.15" customHeight="1">
      <c r="E1228" s="95"/>
      <c r="F1228" s="95"/>
      <c r="G1228" s="95"/>
      <c r="H1228" s="95"/>
      <c r="I1228" s="95"/>
      <c r="J1228" s="95"/>
      <c r="K1228" s="95"/>
      <c r="L1228" s="95"/>
      <c r="M1228" s="95"/>
      <c r="N1228" s="95"/>
      <c r="O1228" s="95"/>
      <c r="P1228" s="95"/>
      <c r="Q1228" s="95"/>
      <c r="R1228" s="95"/>
      <c r="T1228" s="81"/>
      <c r="U1228" s="95"/>
      <c r="V1228" s="95"/>
      <c r="W1228" s="95"/>
    </row>
    <row r="1229" spans="5:23" ht="10.15" customHeight="1">
      <c r="E1229" s="95"/>
      <c r="F1229" s="95"/>
      <c r="G1229" s="95"/>
      <c r="H1229" s="95"/>
      <c r="I1229" s="95"/>
      <c r="J1229" s="95"/>
      <c r="K1229" s="95"/>
      <c r="L1229" s="95"/>
      <c r="M1229" s="95"/>
      <c r="N1229" s="95"/>
      <c r="O1229" s="95"/>
      <c r="P1229" s="95"/>
      <c r="Q1229" s="95"/>
      <c r="R1229" s="95"/>
      <c r="T1229" s="81"/>
      <c r="U1229" s="95"/>
      <c r="V1229" s="95"/>
      <c r="W1229" s="95"/>
    </row>
    <row r="1230" spans="5:23" ht="10.15" customHeight="1">
      <c r="E1230" s="95"/>
      <c r="F1230" s="95"/>
      <c r="G1230" s="95"/>
      <c r="H1230" s="95"/>
      <c r="I1230" s="95"/>
      <c r="J1230" s="95"/>
      <c r="K1230" s="95"/>
      <c r="L1230" s="95"/>
      <c r="M1230" s="95"/>
      <c r="N1230" s="95"/>
      <c r="O1230" s="95"/>
      <c r="P1230" s="95"/>
      <c r="Q1230" s="95"/>
      <c r="R1230" s="95"/>
      <c r="T1230" s="81"/>
      <c r="U1230" s="95"/>
      <c r="V1230" s="95"/>
      <c r="W1230" s="95"/>
    </row>
    <row r="1231" spans="5:23" ht="10.15" customHeight="1">
      <c r="E1231" s="95"/>
      <c r="F1231" s="95"/>
      <c r="G1231" s="95"/>
      <c r="H1231" s="95"/>
      <c r="I1231" s="95"/>
      <c r="J1231" s="95"/>
      <c r="K1231" s="95"/>
      <c r="L1231" s="95"/>
      <c r="M1231" s="95"/>
      <c r="N1231" s="95"/>
      <c r="O1231" s="95"/>
      <c r="P1231" s="95"/>
      <c r="Q1231" s="95"/>
      <c r="R1231" s="95"/>
      <c r="T1231" s="81"/>
      <c r="U1231" s="95"/>
      <c r="V1231" s="95"/>
      <c r="W1231" s="95"/>
    </row>
    <row r="1232" spans="5:23" ht="10.15" customHeight="1">
      <c r="E1232" s="95"/>
      <c r="F1232" s="95"/>
      <c r="G1232" s="95"/>
      <c r="H1232" s="95"/>
      <c r="I1232" s="95"/>
      <c r="J1232" s="95"/>
      <c r="K1232" s="95"/>
      <c r="L1232" s="95"/>
      <c r="M1232" s="95"/>
      <c r="N1232" s="95"/>
      <c r="O1232" s="95"/>
      <c r="P1232" s="95"/>
      <c r="Q1232" s="95"/>
      <c r="R1232" s="95"/>
      <c r="T1232" s="81"/>
      <c r="U1232" s="95"/>
      <c r="V1232" s="95"/>
      <c r="W1232" s="95"/>
    </row>
    <row r="1233" spans="5:23" ht="10.15" customHeight="1">
      <c r="E1233" s="95"/>
      <c r="F1233" s="95"/>
      <c r="G1233" s="95"/>
      <c r="H1233" s="95"/>
      <c r="I1233" s="95"/>
      <c r="J1233" s="95"/>
      <c r="K1233" s="95"/>
      <c r="L1233" s="95"/>
      <c r="M1233" s="95"/>
      <c r="N1233" s="95"/>
      <c r="O1233" s="95"/>
      <c r="P1233" s="95"/>
      <c r="Q1233" s="95"/>
      <c r="R1233" s="95"/>
      <c r="T1233" s="81"/>
      <c r="U1233" s="95"/>
      <c r="V1233" s="95"/>
      <c r="W1233" s="95"/>
    </row>
    <row r="1234" spans="5:23" ht="10.15" customHeight="1">
      <c r="E1234" s="95"/>
      <c r="F1234" s="95"/>
      <c r="G1234" s="95"/>
      <c r="H1234" s="95"/>
      <c r="I1234" s="95"/>
      <c r="J1234" s="95"/>
      <c r="K1234" s="95"/>
      <c r="L1234" s="95"/>
      <c r="M1234" s="95"/>
      <c r="N1234" s="95"/>
      <c r="O1234" s="95"/>
      <c r="P1234" s="95"/>
      <c r="Q1234" s="95"/>
      <c r="R1234" s="95"/>
      <c r="T1234" s="81"/>
      <c r="U1234" s="95"/>
      <c r="V1234" s="95"/>
      <c r="W1234" s="95"/>
    </row>
    <row r="1235" spans="5:23" ht="10.15" customHeight="1">
      <c r="E1235" s="95"/>
      <c r="F1235" s="95"/>
      <c r="G1235" s="95"/>
      <c r="H1235" s="95"/>
      <c r="I1235" s="95"/>
      <c r="J1235" s="95"/>
      <c r="K1235" s="95"/>
      <c r="L1235" s="95"/>
      <c r="M1235" s="95"/>
      <c r="N1235" s="95"/>
      <c r="O1235" s="95"/>
      <c r="P1235" s="95"/>
      <c r="Q1235" s="95"/>
      <c r="R1235" s="95"/>
      <c r="T1235" s="81"/>
      <c r="U1235" s="95"/>
      <c r="V1235" s="95"/>
      <c r="W1235" s="95"/>
    </row>
    <row r="1236" spans="5:23" ht="10.15" customHeight="1">
      <c r="E1236" s="95"/>
      <c r="F1236" s="95"/>
      <c r="G1236" s="95"/>
      <c r="H1236" s="95"/>
      <c r="I1236" s="95"/>
      <c r="J1236" s="95"/>
      <c r="K1236" s="95"/>
      <c r="L1236" s="95"/>
      <c r="M1236" s="95"/>
      <c r="N1236" s="95"/>
      <c r="O1236" s="95"/>
      <c r="P1236" s="95"/>
      <c r="Q1236" s="95"/>
      <c r="R1236" s="95"/>
      <c r="T1236" s="81"/>
      <c r="U1236" s="95"/>
      <c r="V1236" s="95"/>
      <c r="W1236" s="95"/>
    </row>
    <row r="1237" spans="5:23" ht="10.15" customHeight="1">
      <c r="E1237" s="95"/>
      <c r="F1237" s="95"/>
      <c r="G1237" s="95"/>
      <c r="H1237" s="95"/>
      <c r="I1237" s="95"/>
      <c r="J1237" s="95"/>
      <c r="K1237" s="95"/>
      <c r="L1237" s="95"/>
      <c r="M1237" s="95"/>
      <c r="N1237" s="95"/>
      <c r="O1237" s="95"/>
      <c r="P1237" s="95"/>
      <c r="Q1237" s="95"/>
      <c r="R1237" s="95"/>
      <c r="T1237" s="81"/>
      <c r="U1237" s="95"/>
      <c r="V1237" s="95"/>
      <c r="W1237" s="95"/>
    </row>
    <row r="1238" spans="5:23" ht="10.15" customHeight="1">
      <c r="E1238" s="95"/>
      <c r="F1238" s="95"/>
      <c r="G1238" s="95"/>
      <c r="H1238" s="95"/>
      <c r="I1238" s="95"/>
      <c r="J1238" s="95"/>
      <c r="K1238" s="95"/>
      <c r="L1238" s="95"/>
      <c r="M1238" s="95"/>
      <c r="N1238" s="95"/>
      <c r="O1238" s="95"/>
      <c r="P1238" s="95"/>
      <c r="Q1238" s="95"/>
      <c r="R1238" s="95"/>
      <c r="T1238" s="81"/>
      <c r="U1238" s="95"/>
      <c r="V1238" s="95"/>
      <c r="W1238" s="95"/>
    </row>
    <row r="1239" spans="5:23" ht="10.15" customHeight="1">
      <c r="E1239" s="95"/>
      <c r="F1239" s="95"/>
      <c r="G1239" s="95"/>
      <c r="H1239" s="95"/>
      <c r="I1239" s="95"/>
      <c r="J1239" s="95"/>
      <c r="K1239" s="95"/>
      <c r="L1239" s="95"/>
      <c r="M1239" s="95"/>
      <c r="N1239" s="95"/>
      <c r="O1239" s="95"/>
      <c r="P1239" s="95"/>
      <c r="Q1239" s="95"/>
      <c r="R1239" s="95"/>
      <c r="T1239" s="81"/>
      <c r="U1239" s="95"/>
      <c r="V1239" s="95"/>
      <c r="W1239" s="95"/>
    </row>
    <row r="1240" spans="5:23" ht="10.15" customHeight="1">
      <c r="E1240" s="95"/>
      <c r="F1240" s="95"/>
      <c r="G1240" s="95"/>
      <c r="H1240" s="95"/>
      <c r="I1240" s="95"/>
      <c r="J1240" s="95"/>
      <c r="K1240" s="95"/>
      <c r="L1240" s="95"/>
      <c r="M1240" s="95"/>
      <c r="N1240" s="95"/>
      <c r="O1240" s="95"/>
      <c r="P1240" s="95"/>
      <c r="Q1240" s="95"/>
      <c r="R1240" s="95"/>
      <c r="T1240" s="81"/>
      <c r="U1240" s="95"/>
      <c r="V1240" s="95"/>
      <c r="W1240" s="95"/>
    </row>
    <row r="1241" spans="5:23" ht="10.15" customHeight="1">
      <c r="E1241" s="95"/>
      <c r="F1241" s="95"/>
      <c r="G1241" s="95"/>
      <c r="H1241" s="95"/>
      <c r="I1241" s="95"/>
      <c r="J1241" s="95"/>
      <c r="K1241" s="95"/>
      <c r="L1241" s="95"/>
      <c r="M1241" s="95"/>
      <c r="N1241" s="95"/>
      <c r="O1241" s="95"/>
      <c r="P1241" s="95"/>
      <c r="Q1241" s="95"/>
      <c r="R1241" s="95"/>
      <c r="T1241" s="81"/>
      <c r="U1241" s="95"/>
      <c r="V1241" s="95"/>
      <c r="W1241" s="95"/>
    </row>
    <row r="1242" spans="5:23" ht="10.15" customHeight="1">
      <c r="E1242" s="95"/>
      <c r="F1242" s="95"/>
      <c r="G1242" s="95"/>
      <c r="H1242" s="95"/>
      <c r="I1242" s="95"/>
      <c r="J1242" s="95"/>
      <c r="K1242" s="95"/>
      <c r="L1242" s="95"/>
      <c r="M1242" s="95"/>
      <c r="N1242" s="95"/>
      <c r="O1242" s="95"/>
      <c r="P1242" s="95"/>
      <c r="Q1242" s="95"/>
      <c r="R1242" s="95"/>
      <c r="T1242" s="81"/>
      <c r="U1242" s="95"/>
      <c r="V1242" s="95"/>
      <c r="W1242" s="95"/>
    </row>
    <row r="1243" spans="5:23" ht="10.15" customHeight="1">
      <c r="E1243" s="95"/>
      <c r="F1243" s="95"/>
      <c r="G1243" s="95"/>
      <c r="H1243" s="95"/>
      <c r="I1243" s="95"/>
      <c r="J1243" s="95"/>
      <c r="K1243" s="95"/>
      <c r="L1243" s="95"/>
      <c r="M1243" s="95"/>
      <c r="N1243" s="95"/>
      <c r="O1243" s="95"/>
      <c r="P1243" s="95"/>
      <c r="Q1243" s="95"/>
      <c r="R1243" s="95"/>
      <c r="T1243" s="81"/>
      <c r="U1243" s="95"/>
      <c r="V1243" s="95"/>
      <c r="W1243" s="95"/>
    </row>
    <row r="1244" spans="5:23" ht="10.15" customHeight="1">
      <c r="E1244" s="95"/>
      <c r="F1244" s="95"/>
      <c r="G1244" s="95"/>
      <c r="H1244" s="95"/>
      <c r="I1244" s="95"/>
      <c r="J1244" s="95"/>
      <c r="K1244" s="95"/>
      <c r="L1244" s="95"/>
      <c r="M1244" s="95"/>
      <c r="N1244" s="95"/>
      <c r="O1244" s="95"/>
      <c r="P1244" s="95"/>
      <c r="Q1244" s="95"/>
      <c r="R1244" s="95"/>
      <c r="T1244" s="81"/>
      <c r="U1244" s="95"/>
      <c r="V1244" s="95"/>
      <c r="W1244" s="95"/>
    </row>
    <row r="1245" spans="5:23" ht="10.15" customHeight="1">
      <c r="E1245" s="95"/>
      <c r="F1245" s="95"/>
      <c r="G1245" s="95"/>
      <c r="H1245" s="95"/>
      <c r="I1245" s="95"/>
      <c r="J1245" s="95"/>
      <c r="K1245" s="95"/>
      <c r="L1245" s="95"/>
      <c r="M1245" s="95"/>
      <c r="N1245" s="95"/>
      <c r="O1245" s="95"/>
      <c r="P1245" s="95"/>
      <c r="Q1245" s="95"/>
      <c r="R1245" s="95"/>
      <c r="T1245" s="81"/>
      <c r="U1245" s="95"/>
      <c r="V1245" s="95"/>
      <c r="W1245" s="95"/>
    </row>
    <row r="1246" spans="5:23" ht="10.15" customHeight="1">
      <c r="E1246" s="95"/>
      <c r="F1246" s="95"/>
      <c r="G1246" s="95"/>
      <c r="H1246" s="95"/>
      <c r="I1246" s="95"/>
      <c r="J1246" s="95"/>
      <c r="K1246" s="95"/>
      <c r="L1246" s="95"/>
      <c r="M1246" s="95"/>
      <c r="N1246" s="95"/>
      <c r="O1246" s="95"/>
      <c r="P1246" s="95"/>
      <c r="Q1246" s="95"/>
      <c r="R1246" s="95"/>
      <c r="T1246" s="81"/>
      <c r="U1246" s="95"/>
      <c r="V1246" s="95"/>
      <c r="W1246" s="95"/>
    </row>
    <row r="1247" spans="5:23" ht="10.15" customHeight="1">
      <c r="E1247" s="95"/>
      <c r="F1247" s="95"/>
      <c r="G1247" s="95"/>
      <c r="H1247" s="95"/>
      <c r="I1247" s="95"/>
      <c r="J1247" s="95"/>
      <c r="K1247" s="95"/>
      <c r="L1247" s="95"/>
      <c r="M1247" s="95"/>
      <c r="N1247" s="95"/>
      <c r="O1247" s="95"/>
      <c r="P1247" s="95"/>
      <c r="Q1247" s="95"/>
      <c r="R1247" s="95"/>
      <c r="T1247" s="81"/>
      <c r="U1247" s="95"/>
      <c r="V1247" s="95"/>
      <c r="W1247" s="95"/>
    </row>
    <row r="1248" spans="5:23" ht="10.15" customHeight="1">
      <c r="E1248" s="95"/>
      <c r="F1248" s="95"/>
      <c r="G1248" s="95"/>
      <c r="H1248" s="95"/>
      <c r="I1248" s="95"/>
      <c r="J1248" s="95"/>
      <c r="K1248" s="95"/>
      <c r="L1248" s="95"/>
      <c r="M1248" s="95"/>
      <c r="N1248" s="95"/>
      <c r="O1248" s="95"/>
      <c r="P1248" s="95"/>
      <c r="Q1248" s="95"/>
      <c r="R1248" s="95"/>
      <c r="T1248" s="81"/>
      <c r="U1248" s="95"/>
      <c r="V1248" s="95"/>
      <c r="W1248" s="95"/>
    </row>
    <row r="1249" spans="5:23" ht="10.15" customHeight="1">
      <c r="E1249" s="95"/>
      <c r="F1249" s="95"/>
      <c r="G1249" s="95"/>
      <c r="H1249" s="95"/>
      <c r="I1249" s="95"/>
      <c r="J1249" s="95"/>
      <c r="K1249" s="95"/>
      <c r="L1249" s="95"/>
      <c r="M1249" s="95"/>
      <c r="N1249" s="95"/>
      <c r="O1249" s="95"/>
      <c r="P1249" s="95"/>
      <c r="Q1249" s="95"/>
      <c r="R1249" s="95"/>
      <c r="T1249" s="81"/>
      <c r="U1249" s="95"/>
      <c r="V1249" s="95"/>
      <c r="W1249" s="95"/>
    </row>
    <row r="1250" spans="5:23" ht="10.15" customHeight="1">
      <c r="E1250" s="95"/>
      <c r="F1250" s="95"/>
      <c r="G1250" s="95"/>
      <c r="H1250" s="95"/>
      <c r="I1250" s="95"/>
      <c r="J1250" s="95"/>
      <c r="K1250" s="95"/>
      <c r="L1250" s="95"/>
      <c r="M1250" s="95"/>
      <c r="N1250" s="95"/>
      <c r="O1250" s="95"/>
      <c r="P1250" s="95"/>
      <c r="Q1250" s="95"/>
      <c r="R1250" s="95"/>
      <c r="T1250" s="81"/>
      <c r="U1250" s="95"/>
      <c r="V1250" s="95"/>
      <c r="W1250" s="95"/>
    </row>
    <row r="1251" spans="5:23" ht="10.15" customHeight="1">
      <c r="E1251" s="95"/>
      <c r="F1251" s="95"/>
      <c r="G1251" s="95"/>
      <c r="H1251" s="95"/>
      <c r="I1251" s="95"/>
      <c r="J1251" s="95"/>
      <c r="K1251" s="95"/>
      <c r="L1251" s="95"/>
      <c r="M1251" s="95"/>
      <c r="N1251" s="95"/>
      <c r="O1251" s="95"/>
      <c r="P1251" s="95"/>
      <c r="Q1251" s="95"/>
      <c r="R1251" s="95"/>
      <c r="T1251" s="81"/>
      <c r="U1251" s="95"/>
      <c r="V1251" s="95"/>
      <c r="W1251" s="95"/>
    </row>
    <row r="1252" spans="5:23" ht="10.15" customHeight="1">
      <c r="E1252" s="95"/>
      <c r="F1252" s="95"/>
      <c r="G1252" s="95"/>
      <c r="H1252" s="95"/>
      <c r="I1252" s="95"/>
      <c r="J1252" s="95"/>
      <c r="K1252" s="95"/>
      <c r="L1252" s="95"/>
      <c r="M1252" s="95"/>
      <c r="N1252" s="95"/>
      <c r="O1252" s="95"/>
      <c r="P1252" s="95"/>
      <c r="Q1252" s="95"/>
      <c r="R1252" s="95"/>
      <c r="T1252" s="81"/>
      <c r="U1252" s="95"/>
      <c r="V1252" s="95"/>
      <c r="W1252" s="95"/>
    </row>
    <row r="1253" spans="5:23" ht="10.15" customHeight="1">
      <c r="E1253" s="95"/>
      <c r="F1253" s="95"/>
      <c r="G1253" s="95"/>
      <c r="H1253" s="95"/>
      <c r="I1253" s="95"/>
      <c r="J1253" s="95"/>
      <c r="K1253" s="95"/>
      <c r="L1253" s="95"/>
      <c r="M1253" s="95"/>
      <c r="N1253" s="95"/>
      <c r="O1253" s="95"/>
      <c r="P1253" s="95"/>
      <c r="Q1253" s="95"/>
      <c r="R1253" s="95"/>
      <c r="T1253" s="81"/>
      <c r="U1253" s="95"/>
      <c r="V1253" s="95"/>
      <c r="W1253" s="95"/>
    </row>
    <row r="1254" spans="5:23" ht="10.15" customHeight="1">
      <c r="E1254" s="95"/>
      <c r="F1254" s="95"/>
      <c r="G1254" s="95"/>
      <c r="H1254" s="95"/>
      <c r="I1254" s="95"/>
      <c r="J1254" s="95"/>
      <c r="K1254" s="95"/>
      <c r="L1254" s="95"/>
      <c r="M1254" s="95"/>
      <c r="N1254" s="95"/>
      <c r="O1254" s="95"/>
      <c r="P1254" s="95"/>
      <c r="Q1254" s="95"/>
      <c r="R1254" s="95"/>
      <c r="T1254" s="81"/>
      <c r="U1254" s="95"/>
      <c r="V1254" s="95"/>
      <c r="W1254" s="95"/>
    </row>
    <row r="1255" spans="5:23" ht="10.15" customHeight="1">
      <c r="E1255" s="95"/>
      <c r="F1255" s="95"/>
      <c r="G1255" s="95"/>
      <c r="H1255" s="95"/>
      <c r="I1255" s="95"/>
      <c r="J1255" s="95"/>
      <c r="K1255" s="95"/>
      <c r="L1255" s="95"/>
      <c r="M1255" s="95"/>
      <c r="N1255" s="95"/>
      <c r="O1255" s="95"/>
      <c r="P1255" s="95"/>
      <c r="Q1255" s="95"/>
      <c r="R1255" s="95"/>
      <c r="T1255" s="81"/>
      <c r="U1255" s="95"/>
      <c r="V1255" s="95"/>
      <c r="W1255" s="95"/>
    </row>
    <row r="1256" spans="5:23" ht="10.15" customHeight="1">
      <c r="E1256" s="95"/>
      <c r="F1256" s="95"/>
      <c r="G1256" s="95"/>
      <c r="H1256" s="95"/>
      <c r="I1256" s="95"/>
      <c r="J1256" s="95"/>
      <c r="K1256" s="95"/>
      <c r="L1256" s="95"/>
      <c r="M1256" s="95"/>
      <c r="N1256" s="95"/>
      <c r="O1256" s="95"/>
      <c r="P1256" s="95"/>
      <c r="Q1256" s="95"/>
      <c r="R1256" s="95"/>
      <c r="T1256" s="81"/>
      <c r="U1256" s="95"/>
      <c r="V1256" s="95"/>
      <c r="W1256" s="95"/>
    </row>
    <row r="1257" spans="5:23" ht="10.15" customHeight="1">
      <c r="E1257" s="95"/>
      <c r="F1257" s="95"/>
      <c r="G1257" s="95"/>
      <c r="H1257" s="95"/>
      <c r="I1257" s="95"/>
      <c r="J1257" s="95"/>
      <c r="K1257" s="95"/>
      <c r="L1257" s="95"/>
      <c r="M1257" s="95"/>
      <c r="N1257" s="95"/>
      <c r="O1257" s="95"/>
      <c r="P1257" s="95"/>
      <c r="Q1257" s="95"/>
      <c r="R1257" s="95"/>
      <c r="T1257" s="81"/>
      <c r="U1257" s="95"/>
      <c r="V1257" s="95"/>
      <c r="W1257" s="95"/>
    </row>
    <row r="1258" spans="5:23" ht="10.15" customHeight="1">
      <c r="E1258" s="95"/>
      <c r="F1258" s="95"/>
      <c r="G1258" s="95"/>
      <c r="H1258" s="95"/>
      <c r="I1258" s="95"/>
      <c r="J1258" s="95"/>
      <c r="K1258" s="95"/>
      <c r="L1258" s="95"/>
      <c r="M1258" s="95"/>
      <c r="N1258" s="95"/>
      <c r="O1258" s="95"/>
      <c r="P1258" s="95"/>
      <c r="Q1258" s="95"/>
      <c r="R1258" s="95"/>
      <c r="T1258" s="81"/>
      <c r="U1258" s="95"/>
      <c r="V1258" s="95"/>
      <c r="W1258" s="95"/>
    </row>
    <row r="1259" spans="5:23" ht="10.15" customHeight="1">
      <c r="E1259" s="95"/>
      <c r="F1259" s="95"/>
      <c r="G1259" s="95"/>
      <c r="H1259" s="95"/>
      <c r="I1259" s="95"/>
      <c r="J1259" s="95"/>
      <c r="K1259" s="95"/>
      <c r="L1259" s="95"/>
      <c r="M1259" s="95"/>
      <c r="N1259" s="95"/>
      <c r="O1259" s="95"/>
      <c r="P1259" s="95"/>
      <c r="Q1259" s="95"/>
      <c r="R1259" s="95"/>
      <c r="T1259" s="81"/>
      <c r="U1259" s="95"/>
      <c r="V1259" s="95"/>
      <c r="W1259" s="95"/>
    </row>
    <row r="1260" spans="5:23" ht="10.15" customHeight="1">
      <c r="E1260" s="95"/>
      <c r="F1260" s="95"/>
      <c r="G1260" s="95"/>
      <c r="H1260" s="95"/>
      <c r="I1260" s="95"/>
      <c r="J1260" s="95"/>
      <c r="K1260" s="95"/>
      <c r="L1260" s="95"/>
      <c r="M1260" s="95"/>
      <c r="N1260" s="95"/>
      <c r="O1260" s="95"/>
      <c r="P1260" s="95"/>
      <c r="Q1260" s="95"/>
      <c r="R1260" s="95"/>
      <c r="T1260" s="81"/>
      <c r="U1260" s="95"/>
      <c r="V1260" s="95"/>
      <c r="W1260" s="95"/>
    </row>
    <row r="1261" spans="5:23" ht="10.15" customHeight="1">
      <c r="E1261" s="95"/>
      <c r="F1261" s="95"/>
      <c r="G1261" s="95"/>
      <c r="H1261" s="95"/>
      <c r="I1261" s="95"/>
      <c r="J1261" s="95"/>
      <c r="K1261" s="95"/>
      <c r="L1261" s="95"/>
      <c r="M1261" s="95"/>
      <c r="N1261" s="95"/>
      <c r="O1261" s="95"/>
      <c r="P1261" s="95"/>
      <c r="Q1261" s="95"/>
      <c r="R1261" s="95"/>
      <c r="T1261" s="81"/>
      <c r="U1261" s="95"/>
      <c r="V1261" s="95"/>
      <c r="W1261" s="95"/>
    </row>
    <row r="1262" spans="5:23" ht="10.15" customHeight="1">
      <c r="E1262" s="95"/>
      <c r="F1262" s="95"/>
      <c r="G1262" s="95"/>
      <c r="H1262" s="95"/>
      <c r="I1262" s="95"/>
      <c r="J1262" s="95"/>
      <c r="K1262" s="95"/>
      <c r="L1262" s="95"/>
      <c r="M1262" s="95"/>
      <c r="N1262" s="95"/>
      <c r="O1262" s="95"/>
      <c r="P1262" s="95"/>
      <c r="Q1262" s="95"/>
      <c r="R1262" s="95"/>
      <c r="T1262" s="81"/>
      <c r="U1262" s="95"/>
      <c r="V1262" s="95"/>
      <c r="W1262" s="95"/>
    </row>
    <row r="1263" spans="5:23" ht="10.15" customHeight="1">
      <c r="E1263" s="95"/>
      <c r="F1263" s="95"/>
      <c r="G1263" s="95"/>
      <c r="H1263" s="95"/>
      <c r="I1263" s="95"/>
      <c r="J1263" s="95"/>
      <c r="K1263" s="95"/>
      <c r="L1263" s="95"/>
      <c r="M1263" s="95"/>
      <c r="N1263" s="95"/>
      <c r="O1263" s="95"/>
      <c r="P1263" s="95"/>
      <c r="Q1263" s="95"/>
      <c r="R1263" s="95"/>
      <c r="T1263" s="81"/>
      <c r="U1263" s="95"/>
      <c r="V1263" s="95"/>
      <c r="W1263" s="95"/>
    </row>
    <row r="1264" spans="5:23" ht="10.15" customHeight="1">
      <c r="E1264" s="95"/>
      <c r="F1264" s="95"/>
      <c r="G1264" s="95"/>
      <c r="H1264" s="95"/>
      <c r="I1264" s="95"/>
      <c r="J1264" s="95"/>
      <c r="K1264" s="95"/>
      <c r="L1264" s="95"/>
      <c r="M1264" s="95"/>
      <c r="N1264" s="95"/>
      <c r="O1264" s="95"/>
      <c r="P1264" s="95"/>
      <c r="Q1264" s="95"/>
      <c r="R1264" s="95"/>
      <c r="T1264" s="81"/>
      <c r="U1264" s="95"/>
      <c r="V1264" s="95"/>
      <c r="W1264" s="95"/>
    </row>
    <row r="1265" spans="5:23" ht="10.15" customHeight="1">
      <c r="E1265" s="95"/>
      <c r="F1265" s="95"/>
      <c r="G1265" s="95"/>
      <c r="H1265" s="95"/>
      <c r="I1265" s="95"/>
      <c r="J1265" s="95"/>
      <c r="K1265" s="95"/>
      <c r="L1265" s="95"/>
      <c r="M1265" s="95"/>
      <c r="N1265" s="95"/>
      <c r="O1265" s="95"/>
      <c r="P1265" s="95"/>
      <c r="Q1265" s="95"/>
      <c r="R1265" s="95"/>
      <c r="T1265" s="81"/>
      <c r="U1265" s="95"/>
      <c r="V1265" s="95"/>
      <c r="W1265" s="95"/>
    </row>
    <row r="1266" spans="5:23" ht="10.15" customHeight="1">
      <c r="E1266" s="95"/>
      <c r="F1266" s="95"/>
      <c r="G1266" s="95"/>
      <c r="H1266" s="95"/>
      <c r="I1266" s="95"/>
      <c r="J1266" s="95"/>
      <c r="K1266" s="95"/>
      <c r="L1266" s="95"/>
      <c r="M1266" s="95"/>
      <c r="N1266" s="95"/>
      <c r="O1266" s="95"/>
      <c r="P1266" s="95"/>
      <c r="Q1266" s="95"/>
      <c r="R1266" s="95"/>
      <c r="T1266" s="81"/>
      <c r="U1266" s="95"/>
      <c r="V1266" s="95"/>
      <c r="W1266" s="95"/>
    </row>
    <row r="1267" spans="5:23" ht="10.15" customHeight="1">
      <c r="E1267" s="95"/>
      <c r="F1267" s="95"/>
      <c r="G1267" s="95"/>
      <c r="H1267" s="95"/>
      <c r="I1267" s="95"/>
      <c r="J1267" s="95"/>
      <c r="K1267" s="95"/>
      <c r="L1267" s="95"/>
      <c r="M1267" s="95"/>
      <c r="N1267" s="95"/>
      <c r="O1267" s="95"/>
      <c r="P1267" s="95"/>
      <c r="Q1267" s="95"/>
      <c r="R1267" s="95"/>
      <c r="T1267" s="81"/>
      <c r="U1267" s="95"/>
      <c r="V1267" s="95"/>
      <c r="W1267" s="95"/>
    </row>
    <row r="1268" spans="5:23" ht="10.15" customHeight="1">
      <c r="E1268" s="95"/>
      <c r="F1268" s="95"/>
      <c r="G1268" s="95"/>
      <c r="H1268" s="95"/>
      <c r="I1268" s="95"/>
      <c r="J1268" s="95"/>
      <c r="K1268" s="95"/>
      <c r="L1268" s="95"/>
      <c r="M1268" s="95"/>
      <c r="N1268" s="95"/>
      <c r="O1268" s="95"/>
      <c r="P1268" s="95"/>
      <c r="Q1268" s="95"/>
      <c r="R1268" s="95"/>
      <c r="T1268" s="81"/>
      <c r="U1268" s="95"/>
      <c r="V1268" s="95"/>
      <c r="W1268" s="95"/>
    </row>
    <row r="1269" spans="5:23" ht="10.15" customHeight="1">
      <c r="E1269" s="95"/>
      <c r="F1269" s="95"/>
      <c r="G1269" s="95"/>
      <c r="H1269" s="95"/>
      <c r="I1269" s="95"/>
      <c r="J1269" s="95"/>
      <c r="K1269" s="95"/>
      <c r="L1269" s="95"/>
      <c r="M1269" s="95"/>
      <c r="N1269" s="95"/>
      <c r="O1269" s="95"/>
      <c r="P1269" s="95"/>
      <c r="Q1269" s="95"/>
      <c r="R1269" s="95"/>
      <c r="T1269" s="81"/>
      <c r="U1269" s="95"/>
      <c r="V1269" s="95"/>
      <c r="W1269" s="95"/>
    </row>
    <row r="1270" spans="5:23" ht="10.15" customHeight="1">
      <c r="E1270" s="95"/>
      <c r="F1270" s="95"/>
      <c r="G1270" s="95"/>
      <c r="H1270" s="95"/>
      <c r="I1270" s="95"/>
      <c r="J1270" s="95"/>
      <c r="K1270" s="95"/>
      <c r="L1270" s="95"/>
      <c r="M1270" s="95"/>
      <c r="N1270" s="95"/>
      <c r="O1270" s="95"/>
      <c r="P1270" s="95"/>
      <c r="Q1270" s="95"/>
      <c r="R1270" s="95"/>
      <c r="T1270" s="81"/>
      <c r="U1270" s="95"/>
      <c r="V1270" s="95"/>
      <c r="W1270" s="95"/>
    </row>
    <row r="1271" spans="5:23" ht="10.15" customHeight="1">
      <c r="E1271" s="95"/>
      <c r="F1271" s="95"/>
      <c r="G1271" s="95"/>
      <c r="H1271" s="95"/>
      <c r="I1271" s="95"/>
      <c r="J1271" s="95"/>
      <c r="K1271" s="95"/>
      <c r="L1271" s="95"/>
      <c r="M1271" s="95"/>
      <c r="N1271" s="95"/>
      <c r="O1271" s="95"/>
      <c r="P1271" s="95"/>
      <c r="Q1271" s="95"/>
      <c r="R1271" s="95"/>
      <c r="T1271" s="81"/>
      <c r="U1271" s="95"/>
      <c r="V1271" s="95"/>
      <c r="W1271" s="95"/>
    </row>
    <row r="1272" spans="5:23" ht="10.15" customHeight="1">
      <c r="E1272" s="95"/>
      <c r="F1272" s="95"/>
      <c r="G1272" s="95"/>
      <c r="H1272" s="95"/>
      <c r="I1272" s="95"/>
      <c r="J1272" s="95"/>
      <c r="K1272" s="95"/>
      <c r="L1272" s="95"/>
      <c r="M1272" s="95"/>
      <c r="N1272" s="95"/>
      <c r="O1272" s="95"/>
      <c r="P1272" s="95"/>
      <c r="Q1272" s="95"/>
      <c r="R1272" s="95"/>
      <c r="T1272" s="81"/>
      <c r="U1272" s="95"/>
      <c r="V1272" s="95"/>
      <c r="W1272" s="95"/>
    </row>
    <row r="1273" spans="5:23" ht="10.15" customHeight="1">
      <c r="E1273" s="95"/>
      <c r="F1273" s="95"/>
      <c r="G1273" s="95"/>
      <c r="H1273" s="95"/>
      <c r="I1273" s="95"/>
      <c r="J1273" s="95"/>
      <c r="K1273" s="95"/>
      <c r="L1273" s="95"/>
      <c r="M1273" s="95"/>
      <c r="N1273" s="95"/>
      <c r="O1273" s="95"/>
      <c r="P1273" s="95"/>
      <c r="Q1273" s="95"/>
      <c r="R1273" s="95"/>
      <c r="T1273" s="81"/>
      <c r="U1273" s="95"/>
      <c r="V1273" s="95"/>
      <c r="W1273" s="95"/>
    </row>
    <row r="1274" spans="5:23" ht="10.15" customHeight="1">
      <c r="E1274" s="95"/>
      <c r="F1274" s="95"/>
      <c r="G1274" s="95"/>
      <c r="H1274" s="95"/>
      <c r="I1274" s="95"/>
      <c r="J1274" s="95"/>
      <c r="K1274" s="95"/>
      <c r="L1274" s="95"/>
      <c r="M1274" s="95"/>
      <c r="N1274" s="95"/>
      <c r="O1274" s="95"/>
      <c r="P1274" s="95"/>
      <c r="Q1274" s="95"/>
      <c r="R1274" s="95"/>
      <c r="T1274" s="81"/>
      <c r="U1274" s="95"/>
      <c r="V1274" s="95"/>
      <c r="W1274" s="95"/>
    </row>
    <row r="1275" spans="5:23" ht="10.15" customHeight="1">
      <c r="E1275" s="95"/>
      <c r="F1275" s="95"/>
      <c r="G1275" s="95"/>
      <c r="H1275" s="95"/>
      <c r="I1275" s="95"/>
      <c r="J1275" s="95"/>
      <c r="K1275" s="95"/>
      <c r="L1275" s="95"/>
      <c r="M1275" s="95"/>
      <c r="N1275" s="95"/>
      <c r="O1275" s="95"/>
      <c r="P1275" s="95"/>
      <c r="Q1275" s="95"/>
      <c r="R1275" s="95"/>
      <c r="T1275" s="81"/>
      <c r="U1275" s="95"/>
      <c r="V1275" s="95"/>
      <c r="W1275" s="95"/>
    </row>
    <row r="1276" spans="5:23" ht="10.15" customHeight="1">
      <c r="E1276" s="95"/>
      <c r="F1276" s="95"/>
      <c r="G1276" s="95"/>
      <c r="H1276" s="95"/>
      <c r="I1276" s="95"/>
      <c r="J1276" s="95"/>
      <c r="K1276" s="95"/>
      <c r="L1276" s="95"/>
      <c r="M1276" s="95"/>
      <c r="N1276" s="95"/>
      <c r="O1276" s="95"/>
      <c r="P1276" s="95"/>
      <c r="Q1276" s="95"/>
      <c r="R1276" s="95"/>
      <c r="T1276" s="81"/>
      <c r="U1276" s="95"/>
      <c r="V1276" s="95"/>
      <c r="W1276" s="95"/>
    </row>
    <row r="1277" spans="5:23" ht="10.15" customHeight="1">
      <c r="E1277" s="95"/>
      <c r="F1277" s="95"/>
      <c r="G1277" s="95"/>
      <c r="H1277" s="95"/>
      <c r="I1277" s="95"/>
      <c r="J1277" s="95"/>
      <c r="K1277" s="95"/>
      <c r="L1277" s="95"/>
      <c r="M1277" s="95"/>
      <c r="N1277" s="95"/>
      <c r="O1277" s="95"/>
      <c r="P1277" s="95"/>
      <c r="Q1277" s="95"/>
      <c r="R1277" s="95"/>
      <c r="T1277" s="81"/>
      <c r="U1277" s="95"/>
      <c r="V1277" s="95"/>
      <c r="W1277" s="95"/>
    </row>
    <row r="1278" spans="5:23" ht="10.15" customHeight="1">
      <c r="E1278" s="95"/>
      <c r="F1278" s="95"/>
      <c r="G1278" s="95"/>
      <c r="H1278" s="95"/>
      <c r="I1278" s="95"/>
      <c r="J1278" s="95"/>
      <c r="K1278" s="95"/>
      <c r="L1278" s="95"/>
      <c r="M1278" s="95"/>
      <c r="N1278" s="95"/>
      <c r="O1278" s="95"/>
      <c r="P1278" s="95"/>
      <c r="Q1278" s="95"/>
      <c r="R1278" s="95"/>
      <c r="T1278" s="81"/>
      <c r="U1278" s="95"/>
      <c r="V1278" s="95"/>
      <c r="W1278" s="95"/>
    </row>
    <row r="1279" spans="5:23" ht="10.15" customHeight="1">
      <c r="E1279" s="95"/>
      <c r="F1279" s="95"/>
      <c r="G1279" s="95"/>
      <c r="H1279" s="95"/>
      <c r="I1279" s="95"/>
      <c r="J1279" s="95"/>
      <c r="K1279" s="95"/>
      <c r="L1279" s="95"/>
      <c r="M1279" s="95"/>
      <c r="N1279" s="95"/>
      <c r="O1279" s="95"/>
      <c r="P1279" s="95"/>
      <c r="Q1279" s="95"/>
      <c r="R1279" s="95"/>
      <c r="T1279" s="81"/>
      <c r="U1279" s="95"/>
      <c r="V1279" s="95"/>
      <c r="W1279" s="95"/>
    </row>
    <row r="1280" spans="5:23" ht="10.15" customHeight="1">
      <c r="E1280" s="95"/>
      <c r="F1280" s="95"/>
      <c r="G1280" s="95"/>
      <c r="H1280" s="95"/>
      <c r="I1280" s="95"/>
      <c r="J1280" s="95"/>
      <c r="K1280" s="95"/>
      <c r="L1280" s="95"/>
      <c r="M1280" s="95"/>
      <c r="N1280" s="95"/>
      <c r="O1280" s="95"/>
      <c r="P1280" s="95"/>
      <c r="Q1280" s="95"/>
      <c r="R1280" s="95"/>
      <c r="T1280" s="81"/>
      <c r="U1280" s="95"/>
      <c r="V1280" s="95"/>
      <c r="W1280" s="95"/>
    </row>
    <row r="1281" spans="5:23" ht="10.15" customHeight="1">
      <c r="E1281" s="95"/>
      <c r="F1281" s="95"/>
      <c r="G1281" s="95"/>
      <c r="H1281" s="95"/>
      <c r="I1281" s="95"/>
      <c r="J1281" s="95"/>
      <c r="K1281" s="95"/>
      <c r="L1281" s="95"/>
      <c r="M1281" s="95"/>
      <c r="N1281" s="95"/>
      <c r="O1281" s="95"/>
      <c r="P1281" s="95"/>
      <c r="Q1281" s="95"/>
      <c r="R1281" s="95"/>
      <c r="T1281" s="81"/>
      <c r="U1281" s="95"/>
      <c r="V1281" s="95"/>
      <c r="W1281" s="95"/>
    </row>
    <row r="1282" spans="5:23" ht="10.15" customHeight="1">
      <c r="E1282" s="95"/>
      <c r="F1282" s="95"/>
      <c r="G1282" s="95"/>
      <c r="H1282" s="95"/>
      <c r="I1282" s="95"/>
      <c r="J1282" s="95"/>
      <c r="K1282" s="95"/>
      <c r="L1282" s="95"/>
      <c r="M1282" s="95"/>
      <c r="N1282" s="95"/>
      <c r="O1282" s="95"/>
      <c r="P1282" s="95"/>
      <c r="Q1282" s="95"/>
      <c r="R1282" s="95"/>
      <c r="T1282" s="81"/>
      <c r="U1282" s="95"/>
      <c r="V1282" s="95"/>
      <c r="W1282" s="95"/>
    </row>
    <row r="1283" spans="5:23" ht="10.15" customHeight="1">
      <c r="E1283" s="95"/>
      <c r="F1283" s="95"/>
      <c r="G1283" s="95"/>
      <c r="H1283" s="95"/>
      <c r="I1283" s="95"/>
      <c r="J1283" s="95"/>
      <c r="K1283" s="95"/>
      <c r="L1283" s="95"/>
      <c r="M1283" s="95"/>
      <c r="N1283" s="95"/>
      <c r="O1283" s="95"/>
      <c r="P1283" s="95"/>
      <c r="Q1283" s="95"/>
      <c r="R1283" s="95"/>
      <c r="T1283" s="81"/>
      <c r="U1283" s="95"/>
      <c r="V1283" s="95"/>
      <c r="W1283" s="95"/>
    </row>
    <row r="1284" spans="5:23" ht="10.15" customHeight="1">
      <c r="E1284" s="95"/>
      <c r="F1284" s="95"/>
      <c r="G1284" s="95"/>
      <c r="H1284" s="95"/>
      <c r="I1284" s="95"/>
      <c r="J1284" s="95"/>
      <c r="K1284" s="95"/>
      <c r="L1284" s="95"/>
      <c r="M1284" s="95"/>
      <c r="N1284" s="95"/>
      <c r="O1284" s="95"/>
      <c r="P1284" s="95"/>
      <c r="Q1284" s="95"/>
      <c r="R1284" s="95"/>
      <c r="T1284" s="81"/>
      <c r="U1284" s="95"/>
      <c r="V1284" s="95"/>
      <c r="W1284" s="95"/>
    </row>
    <row r="1285" spans="5:23" ht="10.15" customHeight="1">
      <c r="E1285" s="95"/>
      <c r="F1285" s="95"/>
      <c r="G1285" s="95"/>
      <c r="H1285" s="95"/>
      <c r="I1285" s="95"/>
      <c r="J1285" s="95"/>
      <c r="K1285" s="95"/>
      <c r="L1285" s="95"/>
      <c r="M1285" s="95"/>
      <c r="N1285" s="95"/>
      <c r="O1285" s="95"/>
      <c r="P1285" s="95"/>
      <c r="Q1285" s="95"/>
      <c r="R1285" s="95"/>
      <c r="T1285" s="81"/>
      <c r="U1285" s="95"/>
      <c r="V1285" s="95"/>
      <c r="W1285" s="95"/>
    </row>
    <row r="1286" spans="5:23" ht="10.15" customHeight="1">
      <c r="E1286" s="95"/>
      <c r="F1286" s="95"/>
      <c r="G1286" s="95"/>
      <c r="H1286" s="95"/>
      <c r="I1286" s="95"/>
      <c r="J1286" s="95"/>
      <c r="K1286" s="95"/>
      <c r="L1286" s="95"/>
      <c r="M1286" s="95"/>
      <c r="N1286" s="95"/>
      <c r="O1286" s="95"/>
      <c r="P1286" s="95"/>
      <c r="Q1286" s="95"/>
      <c r="R1286" s="95"/>
      <c r="T1286" s="81"/>
      <c r="U1286" s="95"/>
      <c r="V1286" s="95"/>
      <c r="W1286" s="95"/>
    </row>
    <row r="1287" spans="5:23" ht="10.15" customHeight="1">
      <c r="E1287" s="95"/>
      <c r="F1287" s="95"/>
      <c r="G1287" s="95"/>
      <c r="H1287" s="95"/>
      <c r="I1287" s="95"/>
      <c r="J1287" s="95"/>
      <c r="K1287" s="95"/>
      <c r="L1287" s="95"/>
      <c r="M1287" s="95"/>
      <c r="N1287" s="95"/>
      <c r="O1287" s="95"/>
      <c r="P1287" s="95"/>
      <c r="Q1287" s="95"/>
      <c r="R1287" s="95"/>
      <c r="T1287" s="81"/>
      <c r="U1287" s="95"/>
      <c r="V1287" s="95"/>
      <c r="W1287" s="95"/>
    </row>
    <row r="1288" spans="5:23" ht="10.15" customHeight="1">
      <c r="E1288" s="95"/>
      <c r="F1288" s="95"/>
      <c r="G1288" s="95"/>
      <c r="H1288" s="95"/>
      <c r="I1288" s="95"/>
      <c r="J1288" s="95"/>
      <c r="K1288" s="95"/>
      <c r="L1288" s="95"/>
      <c r="M1288" s="95"/>
      <c r="N1288" s="95"/>
      <c r="O1288" s="95"/>
      <c r="P1288" s="95"/>
      <c r="Q1288" s="95"/>
      <c r="R1288" s="95"/>
      <c r="T1288" s="81"/>
      <c r="U1288" s="95"/>
      <c r="V1288" s="95"/>
      <c r="W1288" s="95"/>
    </row>
    <row r="1289" spans="5:23" ht="10.15" customHeight="1">
      <c r="E1289" s="95"/>
      <c r="F1289" s="95"/>
      <c r="G1289" s="95"/>
      <c r="H1289" s="95"/>
      <c r="I1289" s="95"/>
      <c r="J1289" s="95"/>
      <c r="K1289" s="95"/>
      <c r="L1289" s="95"/>
      <c r="M1289" s="95"/>
      <c r="N1289" s="95"/>
      <c r="O1289" s="95"/>
      <c r="P1289" s="95"/>
      <c r="Q1289" s="95"/>
      <c r="R1289" s="95"/>
      <c r="T1289" s="81"/>
      <c r="U1289" s="95"/>
      <c r="V1289" s="95"/>
      <c r="W1289" s="95"/>
    </row>
    <row r="1290" spans="5:23" ht="10.15" customHeight="1">
      <c r="E1290" s="95"/>
      <c r="F1290" s="95"/>
      <c r="G1290" s="95"/>
      <c r="H1290" s="95"/>
      <c r="I1290" s="95"/>
      <c r="J1290" s="95"/>
      <c r="K1290" s="95"/>
      <c r="L1290" s="95"/>
      <c r="M1290" s="95"/>
      <c r="N1290" s="95"/>
      <c r="O1290" s="95"/>
      <c r="P1290" s="95"/>
      <c r="Q1290" s="95"/>
      <c r="R1290" s="95"/>
      <c r="T1290" s="81"/>
      <c r="U1290" s="95"/>
      <c r="V1290" s="95"/>
      <c r="W1290" s="95"/>
    </row>
    <row r="1291" spans="5:23" ht="10.15" customHeight="1">
      <c r="E1291" s="95"/>
      <c r="F1291" s="95"/>
      <c r="G1291" s="95"/>
      <c r="H1291" s="95"/>
      <c r="I1291" s="95"/>
      <c r="J1291" s="95"/>
      <c r="K1291" s="95"/>
      <c r="L1291" s="95"/>
      <c r="M1291" s="95"/>
      <c r="N1291" s="95"/>
      <c r="O1291" s="95"/>
      <c r="P1291" s="95"/>
      <c r="Q1291" s="95"/>
      <c r="R1291" s="95"/>
      <c r="T1291" s="81"/>
      <c r="U1291" s="95"/>
      <c r="V1291" s="95"/>
      <c r="W1291" s="95"/>
    </row>
    <row r="1292" spans="5:23" ht="10.15" customHeight="1">
      <c r="E1292" s="95"/>
      <c r="F1292" s="95"/>
      <c r="G1292" s="95"/>
      <c r="H1292" s="95"/>
      <c r="I1292" s="95"/>
      <c r="J1292" s="95"/>
      <c r="K1292" s="95"/>
      <c r="L1292" s="95"/>
      <c r="M1292" s="95"/>
      <c r="N1292" s="95"/>
      <c r="O1292" s="95"/>
      <c r="P1292" s="95"/>
      <c r="Q1292" s="95"/>
      <c r="R1292" s="95"/>
      <c r="T1292" s="81"/>
      <c r="U1292" s="95"/>
      <c r="V1292" s="95"/>
      <c r="W1292" s="95"/>
    </row>
    <row r="1293" spans="5:23" ht="10.15" customHeight="1">
      <c r="E1293" s="95"/>
      <c r="F1293" s="95"/>
      <c r="G1293" s="95"/>
      <c r="H1293" s="95"/>
      <c r="I1293" s="95"/>
      <c r="J1293" s="95"/>
      <c r="K1293" s="95"/>
      <c r="L1293" s="95"/>
      <c r="M1293" s="95"/>
      <c r="N1293" s="95"/>
      <c r="O1293" s="95"/>
      <c r="P1293" s="95"/>
      <c r="Q1293" s="95"/>
      <c r="R1293" s="95"/>
      <c r="T1293" s="81"/>
      <c r="U1293" s="95"/>
      <c r="V1293" s="95"/>
      <c r="W1293" s="95"/>
    </row>
    <row r="1294" spans="5:23" ht="10.15" customHeight="1">
      <c r="E1294" s="95"/>
      <c r="F1294" s="95"/>
      <c r="G1294" s="95"/>
      <c r="H1294" s="95"/>
      <c r="I1294" s="95"/>
      <c r="J1294" s="95"/>
      <c r="K1294" s="95"/>
      <c r="L1294" s="95"/>
      <c r="M1294" s="95"/>
      <c r="N1294" s="95"/>
      <c r="O1294" s="95"/>
      <c r="P1294" s="95"/>
      <c r="Q1294" s="95"/>
      <c r="R1294" s="95"/>
      <c r="T1294" s="81"/>
      <c r="U1294" s="95"/>
      <c r="V1294" s="95"/>
      <c r="W1294" s="95"/>
    </row>
    <row r="1295" spans="5:23" ht="10.15" customHeight="1">
      <c r="E1295" s="95"/>
      <c r="F1295" s="95"/>
      <c r="G1295" s="95"/>
      <c r="H1295" s="95"/>
      <c r="I1295" s="95"/>
      <c r="J1295" s="95"/>
      <c r="K1295" s="95"/>
      <c r="L1295" s="95"/>
      <c r="M1295" s="95"/>
      <c r="N1295" s="95"/>
      <c r="O1295" s="95"/>
      <c r="P1295" s="95"/>
      <c r="Q1295" s="95"/>
      <c r="R1295" s="95"/>
      <c r="T1295" s="81"/>
      <c r="U1295" s="95"/>
      <c r="V1295" s="95"/>
      <c r="W1295" s="95"/>
    </row>
    <row r="1296" spans="5:23" ht="10.15" customHeight="1">
      <c r="E1296" s="95"/>
      <c r="F1296" s="95"/>
      <c r="G1296" s="95"/>
      <c r="H1296" s="95"/>
      <c r="I1296" s="95"/>
      <c r="J1296" s="95"/>
      <c r="K1296" s="95"/>
      <c r="L1296" s="95"/>
      <c r="M1296" s="95"/>
      <c r="N1296" s="95"/>
      <c r="O1296" s="95"/>
      <c r="P1296" s="95"/>
      <c r="Q1296" s="95"/>
      <c r="R1296" s="95"/>
      <c r="T1296" s="81"/>
      <c r="U1296" s="95"/>
      <c r="V1296" s="95"/>
      <c r="W1296" s="95"/>
    </row>
    <row r="1297" spans="5:23" ht="10.15" customHeight="1">
      <c r="E1297" s="95"/>
      <c r="F1297" s="95"/>
      <c r="G1297" s="95"/>
      <c r="H1297" s="95"/>
      <c r="I1297" s="95"/>
      <c r="J1297" s="95"/>
      <c r="K1297" s="95"/>
      <c r="L1297" s="95"/>
      <c r="M1297" s="95"/>
      <c r="N1297" s="95"/>
      <c r="O1297" s="95"/>
      <c r="P1297" s="95"/>
      <c r="Q1297" s="95"/>
      <c r="R1297" s="95"/>
      <c r="T1297" s="81"/>
      <c r="U1297" s="95"/>
      <c r="V1297" s="95"/>
      <c r="W1297" s="95"/>
    </row>
    <row r="1298" spans="5:23" ht="10.15" customHeight="1">
      <c r="E1298" s="95"/>
      <c r="F1298" s="95"/>
      <c r="G1298" s="95"/>
      <c r="H1298" s="95"/>
      <c r="I1298" s="95"/>
      <c r="J1298" s="95"/>
      <c r="K1298" s="95"/>
      <c r="L1298" s="95"/>
      <c r="M1298" s="95"/>
      <c r="N1298" s="95"/>
      <c r="O1298" s="95"/>
      <c r="P1298" s="95"/>
      <c r="Q1298" s="95"/>
      <c r="R1298" s="95"/>
      <c r="T1298" s="81"/>
      <c r="U1298" s="95"/>
      <c r="V1298" s="95"/>
      <c r="W1298" s="95"/>
    </row>
    <row r="1299" spans="5:23" ht="10.15" customHeight="1">
      <c r="E1299" s="95"/>
      <c r="F1299" s="95"/>
      <c r="G1299" s="95"/>
      <c r="H1299" s="95"/>
      <c r="I1299" s="95"/>
      <c r="J1299" s="95"/>
      <c r="K1299" s="95"/>
      <c r="L1299" s="95"/>
      <c r="M1299" s="95"/>
      <c r="N1299" s="95"/>
      <c r="O1299" s="95"/>
      <c r="P1299" s="95"/>
      <c r="Q1299" s="95"/>
      <c r="R1299" s="95"/>
      <c r="T1299" s="81"/>
      <c r="U1299" s="95"/>
      <c r="V1299" s="95"/>
      <c r="W1299" s="95"/>
    </row>
    <row r="1300" spans="5:23" ht="10.15" customHeight="1">
      <c r="E1300" s="95"/>
      <c r="F1300" s="95"/>
      <c r="G1300" s="95"/>
      <c r="H1300" s="95"/>
      <c r="I1300" s="95"/>
      <c r="J1300" s="95"/>
      <c r="K1300" s="95"/>
      <c r="L1300" s="95"/>
      <c r="M1300" s="95"/>
      <c r="N1300" s="95"/>
      <c r="O1300" s="95"/>
      <c r="P1300" s="95"/>
      <c r="Q1300" s="95"/>
      <c r="R1300" s="95"/>
      <c r="T1300" s="81"/>
      <c r="U1300" s="95"/>
      <c r="V1300" s="95"/>
      <c r="W1300" s="95"/>
    </row>
    <row r="1301" spans="5:23" ht="10.15" customHeight="1">
      <c r="E1301" s="95"/>
      <c r="F1301" s="95"/>
      <c r="G1301" s="95"/>
      <c r="H1301" s="95"/>
      <c r="I1301" s="95"/>
      <c r="J1301" s="95"/>
      <c r="K1301" s="95"/>
      <c r="L1301" s="95"/>
      <c r="M1301" s="95"/>
      <c r="N1301" s="95"/>
      <c r="O1301" s="95"/>
      <c r="P1301" s="95"/>
      <c r="Q1301" s="95"/>
      <c r="R1301" s="95"/>
      <c r="T1301" s="81"/>
      <c r="U1301" s="95"/>
      <c r="V1301" s="95"/>
      <c r="W1301" s="95"/>
    </row>
    <row r="1302" spans="5:23" ht="10.15" customHeight="1">
      <c r="E1302" s="95"/>
      <c r="F1302" s="95"/>
      <c r="G1302" s="95"/>
      <c r="H1302" s="95"/>
      <c r="I1302" s="95"/>
      <c r="J1302" s="95"/>
      <c r="K1302" s="95"/>
      <c r="L1302" s="95"/>
      <c r="M1302" s="95"/>
      <c r="N1302" s="95"/>
      <c r="O1302" s="95"/>
      <c r="P1302" s="95"/>
      <c r="Q1302" s="95"/>
      <c r="R1302" s="95"/>
      <c r="T1302" s="81"/>
      <c r="U1302" s="95"/>
      <c r="V1302" s="95"/>
      <c r="W1302" s="95"/>
    </row>
    <row r="1303" spans="5:23" ht="10.15" customHeight="1">
      <c r="E1303" s="95"/>
      <c r="F1303" s="95"/>
      <c r="G1303" s="95"/>
      <c r="H1303" s="95"/>
      <c r="I1303" s="95"/>
      <c r="J1303" s="95"/>
      <c r="K1303" s="95"/>
      <c r="L1303" s="95"/>
      <c r="M1303" s="95"/>
      <c r="N1303" s="95"/>
      <c r="O1303" s="95"/>
      <c r="P1303" s="95"/>
      <c r="Q1303" s="95"/>
      <c r="R1303" s="95"/>
      <c r="T1303" s="81"/>
      <c r="U1303" s="95"/>
      <c r="V1303" s="95"/>
      <c r="W1303" s="95"/>
    </row>
    <row r="1304" spans="5:23" ht="10.15" customHeight="1">
      <c r="E1304" s="95"/>
      <c r="F1304" s="95"/>
      <c r="G1304" s="95"/>
      <c r="H1304" s="95"/>
      <c r="I1304" s="95"/>
      <c r="J1304" s="95"/>
      <c r="K1304" s="95"/>
      <c r="L1304" s="95"/>
      <c r="M1304" s="95"/>
      <c r="N1304" s="95"/>
      <c r="O1304" s="95"/>
      <c r="P1304" s="95"/>
      <c r="Q1304" s="95"/>
      <c r="R1304" s="95"/>
      <c r="T1304" s="81"/>
      <c r="U1304" s="95"/>
      <c r="V1304" s="95"/>
      <c r="W1304" s="95"/>
    </row>
    <row r="1305" spans="5:23" ht="10.15" customHeight="1">
      <c r="E1305" s="95"/>
      <c r="F1305" s="95"/>
      <c r="G1305" s="95"/>
      <c r="H1305" s="95"/>
      <c r="I1305" s="95"/>
      <c r="J1305" s="95"/>
      <c r="K1305" s="95"/>
      <c r="L1305" s="95"/>
      <c r="M1305" s="95"/>
      <c r="N1305" s="95"/>
      <c r="O1305" s="95"/>
      <c r="P1305" s="95"/>
      <c r="Q1305" s="95"/>
      <c r="R1305" s="95"/>
      <c r="T1305" s="81"/>
      <c r="U1305" s="95"/>
      <c r="V1305" s="95"/>
      <c r="W1305" s="95"/>
    </row>
    <row r="1306" spans="5:23" ht="10.15" customHeight="1">
      <c r="E1306" s="95"/>
      <c r="F1306" s="95"/>
      <c r="G1306" s="95"/>
      <c r="H1306" s="95"/>
      <c r="I1306" s="95"/>
      <c r="J1306" s="95"/>
      <c r="K1306" s="95"/>
      <c r="L1306" s="95"/>
      <c r="M1306" s="95"/>
      <c r="N1306" s="95"/>
      <c r="O1306" s="95"/>
      <c r="P1306" s="95"/>
      <c r="Q1306" s="95"/>
      <c r="R1306" s="95"/>
      <c r="T1306" s="81"/>
      <c r="U1306" s="95"/>
      <c r="V1306" s="95"/>
      <c r="W1306" s="95"/>
    </row>
    <row r="1307" spans="5:23" ht="10.15" customHeight="1">
      <c r="E1307" s="95"/>
      <c r="F1307" s="95"/>
      <c r="G1307" s="95"/>
      <c r="H1307" s="95"/>
      <c r="I1307" s="95"/>
      <c r="J1307" s="95"/>
      <c r="K1307" s="95"/>
      <c r="L1307" s="95"/>
      <c r="M1307" s="95"/>
      <c r="N1307" s="95"/>
      <c r="O1307" s="95"/>
      <c r="P1307" s="95"/>
      <c r="Q1307" s="95"/>
      <c r="R1307" s="95"/>
      <c r="T1307" s="81"/>
      <c r="U1307" s="95"/>
      <c r="V1307" s="95"/>
      <c r="W1307" s="95"/>
    </row>
    <row r="1308" spans="5:23" ht="10.15" customHeight="1">
      <c r="E1308" s="95"/>
      <c r="F1308" s="95"/>
      <c r="G1308" s="95"/>
      <c r="H1308" s="95"/>
      <c r="I1308" s="95"/>
      <c r="J1308" s="95"/>
      <c r="K1308" s="95"/>
      <c r="L1308" s="95"/>
      <c r="M1308" s="95"/>
      <c r="N1308" s="95"/>
      <c r="O1308" s="95"/>
      <c r="P1308" s="95"/>
      <c r="Q1308" s="95"/>
      <c r="R1308" s="95"/>
      <c r="T1308" s="81"/>
      <c r="U1308" s="95"/>
      <c r="V1308" s="95"/>
      <c r="W1308" s="95"/>
    </row>
    <row r="1309" spans="5:23" ht="10.15" customHeight="1">
      <c r="E1309" s="95"/>
      <c r="F1309" s="95"/>
      <c r="G1309" s="95"/>
      <c r="H1309" s="95"/>
      <c r="I1309" s="95"/>
      <c r="J1309" s="95"/>
      <c r="K1309" s="95"/>
      <c r="L1309" s="95"/>
      <c r="M1309" s="95"/>
      <c r="N1309" s="95"/>
      <c r="O1309" s="95"/>
      <c r="P1309" s="95"/>
      <c r="Q1309" s="95"/>
      <c r="R1309" s="95"/>
      <c r="T1309" s="81"/>
      <c r="U1309" s="95"/>
      <c r="V1309" s="95"/>
      <c r="W1309" s="95"/>
    </row>
    <row r="1310" spans="5:23" ht="10.15" customHeight="1">
      <c r="E1310" s="95"/>
      <c r="F1310" s="95"/>
      <c r="G1310" s="95"/>
      <c r="H1310" s="95"/>
      <c r="I1310" s="95"/>
      <c r="J1310" s="95"/>
      <c r="K1310" s="95"/>
      <c r="L1310" s="95"/>
      <c r="M1310" s="95"/>
      <c r="N1310" s="95"/>
      <c r="O1310" s="95"/>
      <c r="P1310" s="95"/>
      <c r="Q1310" s="95"/>
      <c r="R1310" s="95"/>
      <c r="T1310" s="81"/>
      <c r="U1310" s="95"/>
      <c r="V1310" s="95"/>
      <c r="W1310" s="95"/>
    </row>
    <row r="1311" spans="5:23" ht="10.15" customHeight="1">
      <c r="E1311" s="95"/>
      <c r="F1311" s="95"/>
      <c r="G1311" s="95"/>
      <c r="H1311" s="95"/>
      <c r="I1311" s="95"/>
      <c r="J1311" s="95"/>
      <c r="K1311" s="95"/>
      <c r="L1311" s="95"/>
      <c r="M1311" s="95"/>
      <c r="N1311" s="95"/>
      <c r="O1311" s="95"/>
      <c r="P1311" s="95"/>
      <c r="Q1311" s="95"/>
      <c r="R1311" s="95"/>
      <c r="T1311" s="81"/>
      <c r="U1311" s="95"/>
      <c r="V1311" s="95"/>
      <c r="W1311" s="95"/>
    </row>
    <row r="1312" spans="5:23" ht="10.15" customHeight="1">
      <c r="E1312" s="95"/>
      <c r="F1312" s="95"/>
      <c r="G1312" s="95"/>
      <c r="H1312" s="95"/>
      <c r="I1312" s="95"/>
      <c r="J1312" s="95"/>
      <c r="K1312" s="95"/>
      <c r="L1312" s="95"/>
      <c r="M1312" s="95"/>
      <c r="N1312" s="95"/>
      <c r="O1312" s="95"/>
      <c r="P1312" s="95"/>
      <c r="Q1312" s="95"/>
      <c r="R1312" s="95"/>
      <c r="T1312" s="81"/>
      <c r="U1312" s="95"/>
      <c r="V1312" s="95"/>
      <c r="W1312" s="95"/>
    </row>
    <row r="1313" spans="5:23" ht="10.15" customHeight="1">
      <c r="E1313" s="95"/>
      <c r="F1313" s="95"/>
      <c r="G1313" s="95"/>
      <c r="H1313" s="95"/>
      <c r="I1313" s="95"/>
      <c r="J1313" s="95"/>
      <c r="K1313" s="95"/>
      <c r="L1313" s="95"/>
      <c r="M1313" s="95"/>
      <c r="N1313" s="95"/>
      <c r="O1313" s="95"/>
      <c r="P1313" s="95"/>
      <c r="Q1313" s="95"/>
      <c r="R1313" s="95"/>
      <c r="T1313" s="81"/>
      <c r="U1313" s="95"/>
      <c r="V1313" s="95"/>
      <c r="W1313" s="95"/>
    </row>
    <row r="1314" spans="5:23" ht="10.15" customHeight="1">
      <c r="E1314" s="95"/>
      <c r="F1314" s="95"/>
      <c r="G1314" s="95"/>
      <c r="H1314" s="95"/>
      <c r="I1314" s="95"/>
      <c r="J1314" s="95"/>
      <c r="K1314" s="95"/>
      <c r="L1314" s="95"/>
      <c r="M1314" s="95"/>
      <c r="N1314" s="95"/>
      <c r="O1314" s="95"/>
      <c r="P1314" s="95"/>
      <c r="Q1314" s="95"/>
      <c r="R1314" s="95"/>
      <c r="T1314" s="81"/>
      <c r="U1314" s="95"/>
      <c r="V1314" s="95"/>
      <c r="W1314" s="95"/>
    </row>
    <row r="1315" spans="5:23" ht="10.15" customHeight="1">
      <c r="E1315" s="95"/>
      <c r="F1315" s="95"/>
      <c r="G1315" s="95"/>
      <c r="H1315" s="95"/>
      <c r="I1315" s="95"/>
      <c r="J1315" s="95"/>
      <c r="K1315" s="95"/>
      <c r="L1315" s="95"/>
      <c r="M1315" s="95"/>
      <c r="N1315" s="95"/>
      <c r="O1315" s="95"/>
      <c r="P1315" s="95"/>
      <c r="Q1315" s="95"/>
      <c r="R1315" s="95"/>
      <c r="T1315" s="81"/>
      <c r="U1315" s="95"/>
      <c r="V1315" s="95"/>
      <c r="W1315" s="95"/>
    </row>
    <row r="1316" spans="5:23" ht="10.15" customHeight="1">
      <c r="E1316" s="95"/>
      <c r="F1316" s="95"/>
      <c r="G1316" s="95"/>
      <c r="H1316" s="95"/>
      <c r="I1316" s="95"/>
      <c r="J1316" s="95"/>
      <c r="K1316" s="95"/>
      <c r="L1316" s="95"/>
      <c r="M1316" s="95"/>
      <c r="N1316" s="95"/>
      <c r="O1316" s="95"/>
      <c r="P1316" s="95"/>
      <c r="Q1316" s="95"/>
      <c r="R1316" s="95"/>
      <c r="T1316" s="81"/>
      <c r="U1316" s="95"/>
      <c r="V1316" s="95"/>
      <c r="W1316" s="95"/>
    </row>
    <row r="1317" spans="5:23" ht="10.15" customHeight="1">
      <c r="E1317" s="95"/>
      <c r="F1317" s="95"/>
      <c r="G1317" s="95"/>
      <c r="H1317" s="95"/>
      <c r="I1317" s="95"/>
      <c r="J1317" s="95"/>
      <c r="K1317" s="95"/>
      <c r="L1317" s="95"/>
      <c r="M1317" s="95"/>
      <c r="N1317" s="95"/>
      <c r="O1317" s="95"/>
      <c r="P1317" s="95"/>
      <c r="Q1317" s="95"/>
      <c r="R1317" s="95"/>
      <c r="T1317" s="81"/>
      <c r="U1317" s="95"/>
      <c r="V1317" s="95"/>
      <c r="W1317" s="95"/>
    </row>
    <row r="1318" spans="5:23" ht="10.15" customHeight="1">
      <c r="E1318" s="95"/>
      <c r="F1318" s="95"/>
      <c r="G1318" s="95"/>
      <c r="H1318" s="95"/>
      <c r="I1318" s="95"/>
      <c r="J1318" s="95"/>
      <c r="K1318" s="95"/>
      <c r="L1318" s="95"/>
      <c r="M1318" s="95"/>
      <c r="N1318" s="95"/>
      <c r="O1318" s="95"/>
      <c r="P1318" s="95"/>
      <c r="Q1318" s="95"/>
      <c r="R1318" s="95"/>
      <c r="T1318" s="81"/>
      <c r="U1318" s="95"/>
      <c r="V1318" s="95"/>
      <c r="W1318" s="95"/>
    </row>
    <row r="1319" spans="5:23" ht="10.15" customHeight="1">
      <c r="E1319" s="95"/>
      <c r="F1319" s="95"/>
      <c r="G1319" s="95"/>
      <c r="H1319" s="95"/>
      <c r="I1319" s="95"/>
      <c r="J1319" s="95"/>
      <c r="K1319" s="95"/>
      <c r="L1319" s="95"/>
      <c r="M1319" s="95"/>
      <c r="N1319" s="95"/>
      <c r="O1319" s="95"/>
      <c r="P1319" s="95"/>
      <c r="Q1319" s="95"/>
      <c r="R1319" s="95"/>
      <c r="T1319" s="81"/>
      <c r="U1319" s="95"/>
      <c r="V1319" s="95"/>
      <c r="W1319" s="95"/>
    </row>
    <row r="1320" spans="5:23" ht="10.15" customHeight="1">
      <c r="E1320" s="95"/>
      <c r="F1320" s="95"/>
      <c r="G1320" s="95"/>
      <c r="H1320" s="95"/>
      <c r="I1320" s="95"/>
      <c r="J1320" s="95"/>
      <c r="K1320" s="95"/>
      <c r="L1320" s="95"/>
      <c r="M1320" s="95"/>
      <c r="N1320" s="95"/>
      <c r="O1320" s="95"/>
      <c r="P1320" s="95"/>
      <c r="Q1320" s="95"/>
      <c r="R1320" s="95"/>
      <c r="T1320" s="81"/>
      <c r="U1320" s="95"/>
      <c r="V1320" s="95"/>
      <c r="W1320" s="95"/>
    </row>
    <row r="1321" spans="5:23" ht="10.15" customHeight="1">
      <c r="E1321" s="95"/>
      <c r="F1321" s="95"/>
      <c r="G1321" s="95"/>
      <c r="H1321" s="95"/>
      <c r="I1321" s="95"/>
      <c r="J1321" s="95"/>
      <c r="K1321" s="95"/>
      <c r="L1321" s="95"/>
      <c r="M1321" s="95"/>
      <c r="N1321" s="95"/>
      <c r="O1321" s="95"/>
      <c r="P1321" s="95"/>
      <c r="Q1321" s="95"/>
      <c r="R1321" s="95"/>
      <c r="T1321" s="81"/>
      <c r="U1321" s="95"/>
      <c r="V1321" s="95"/>
      <c r="W1321" s="95"/>
    </row>
    <row r="1322" spans="5:23" ht="10.15" customHeight="1">
      <c r="E1322" s="95"/>
      <c r="F1322" s="95"/>
      <c r="G1322" s="95"/>
      <c r="H1322" s="95"/>
      <c r="I1322" s="95"/>
      <c r="J1322" s="95"/>
      <c r="K1322" s="95"/>
      <c r="L1322" s="95"/>
      <c r="M1322" s="95"/>
      <c r="N1322" s="95"/>
      <c r="O1322" s="95"/>
      <c r="P1322" s="95"/>
      <c r="Q1322" s="95"/>
      <c r="R1322" s="95"/>
      <c r="T1322" s="81"/>
      <c r="U1322" s="95"/>
      <c r="V1322" s="95"/>
      <c r="W1322" s="95"/>
    </row>
    <row r="1323" spans="5:23" ht="10.15" customHeight="1">
      <c r="E1323" s="95"/>
      <c r="F1323" s="95"/>
      <c r="G1323" s="95"/>
      <c r="H1323" s="95"/>
      <c r="I1323" s="95"/>
      <c r="J1323" s="95"/>
      <c r="K1323" s="95"/>
      <c r="L1323" s="95"/>
      <c r="M1323" s="95"/>
      <c r="N1323" s="95"/>
      <c r="O1323" s="95"/>
      <c r="P1323" s="95"/>
      <c r="Q1323" s="95"/>
      <c r="R1323" s="95"/>
      <c r="T1323" s="81"/>
      <c r="U1323" s="95"/>
      <c r="V1323" s="95"/>
      <c r="W1323" s="95"/>
    </row>
    <row r="1324" spans="5:23" ht="10.15" customHeight="1">
      <c r="E1324" s="95"/>
      <c r="F1324" s="95"/>
      <c r="G1324" s="95"/>
      <c r="H1324" s="95"/>
      <c r="I1324" s="95"/>
      <c r="J1324" s="95"/>
      <c r="K1324" s="95"/>
      <c r="L1324" s="95"/>
      <c r="M1324" s="95"/>
      <c r="N1324" s="95"/>
      <c r="O1324" s="95"/>
      <c r="P1324" s="95"/>
      <c r="Q1324" s="95"/>
      <c r="R1324" s="95"/>
      <c r="T1324" s="81"/>
      <c r="U1324" s="95"/>
      <c r="V1324" s="95"/>
      <c r="W1324" s="95"/>
    </row>
    <row r="1325" spans="5:23" ht="10.15" customHeight="1">
      <c r="E1325" s="95"/>
      <c r="F1325" s="95"/>
      <c r="G1325" s="95"/>
      <c r="H1325" s="95"/>
      <c r="I1325" s="95"/>
      <c r="J1325" s="95"/>
      <c r="K1325" s="95"/>
      <c r="L1325" s="95"/>
      <c r="M1325" s="95"/>
      <c r="N1325" s="95"/>
      <c r="O1325" s="95"/>
      <c r="P1325" s="95"/>
      <c r="Q1325" s="95"/>
      <c r="R1325" s="95"/>
      <c r="T1325" s="81"/>
      <c r="U1325" s="95"/>
      <c r="V1325" s="95"/>
      <c r="W1325" s="95"/>
    </row>
    <row r="1326" spans="5:23" ht="10.15" customHeight="1">
      <c r="E1326" s="95"/>
      <c r="F1326" s="95"/>
      <c r="G1326" s="95"/>
      <c r="H1326" s="95"/>
      <c r="I1326" s="95"/>
      <c r="J1326" s="95"/>
      <c r="K1326" s="95"/>
      <c r="L1326" s="95"/>
      <c r="M1326" s="95"/>
      <c r="N1326" s="95"/>
      <c r="O1326" s="95"/>
      <c r="P1326" s="95"/>
      <c r="Q1326" s="95"/>
      <c r="R1326" s="95"/>
      <c r="T1326" s="81"/>
      <c r="U1326" s="95"/>
      <c r="V1326" s="95"/>
      <c r="W1326" s="95"/>
    </row>
    <row r="1327" spans="5:23" ht="10.15" customHeight="1">
      <c r="E1327" s="95"/>
      <c r="F1327" s="95"/>
      <c r="G1327" s="95"/>
      <c r="H1327" s="95"/>
      <c r="I1327" s="95"/>
      <c r="J1327" s="95"/>
      <c r="K1327" s="95"/>
      <c r="L1327" s="95"/>
      <c r="M1327" s="95"/>
      <c r="N1327" s="95"/>
      <c r="O1327" s="95"/>
      <c r="P1327" s="95"/>
      <c r="Q1327" s="95"/>
      <c r="R1327" s="95"/>
      <c r="T1327" s="81"/>
      <c r="U1327" s="95"/>
      <c r="V1327" s="95"/>
      <c r="W1327" s="95"/>
    </row>
    <row r="1328" spans="5:23" ht="10.15" customHeight="1">
      <c r="E1328" s="95"/>
      <c r="F1328" s="95"/>
      <c r="G1328" s="95"/>
      <c r="H1328" s="95"/>
      <c r="I1328" s="95"/>
      <c r="J1328" s="95"/>
      <c r="K1328" s="95"/>
      <c r="L1328" s="95"/>
      <c r="M1328" s="95"/>
      <c r="N1328" s="95"/>
      <c r="O1328" s="95"/>
      <c r="P1328" s="95"/>
      <c r="Q1328" s="95"/>
      <c r="R1328" s="95"/>
      <c r="T1328" s="81"/>
      <c r="U1328" s="95"/>
      <c r="V1328" s="95"/>
      <c r="W1328" s="95"/>
    </row>
    <row r="1329" spans="5:23" ht="10.15" customHeight="1">
      <c r="E1329" s="95"/>
      <c r="F1329" s="95"/>
      <c r="G1329" s="95"/>
      <c r="H1329" s="95"/>
      <c r="I1329" s="95"/>
      <c r="J1329" s="95"/>
      <c r="K1329" s="95"/>
      <c r="L1329" s="95"/>
      <c r="M1329" s="95"/>
      <c r="N1329" s="95"/>
      <c r="O1329" s="95"/>
      <c r="P1329" s="95"/>
      <c r="Q1329" s="95"/>
      <c r="R1329" s="95"/>
      <c r="T1329" s="81"/>
      <c r="U1329" s="95"/>
      <c r="V1329" s="95"/>
      <c r="W1329" s="95"/>
    </row>
    <row r="1330" spans="5:23" ht="10.15" customHeight="1">
      <c r="E1330" s="95"/>
      <c r="F1330" s="95"/>
      <c r="G1330" s="95"/>
      <c r="H1330" s="95"/>
      <c r="I1330" s="95"/>
      <c r="J1330" s="95"/>
      <c r="K1330" s="95"/>
      <c r="L1330" s="95"/>
      <c r="M1330" s="95"/>
      <c r="N1330" s="95"/>
      <c r="O1330" s="95"/>
      <c r="P1330" s="95"/>
      <c r="Q1330" s="95"/>
      <c r="R1330" s="95"/>
      <c r="T1330" s="81"/>
      <c r="U1330" s="95"/>
      <c r="V1330" s="95"/>
      <c r="W1330" s="95"/>
    </row>
    <row r="1331" spans="5:23" ht="10.15" customHeight="1">
      <c r="E1331" s="95"/>
      <c r="F1331" s="95"/>
      <c r="G1331" s="95"/>
      <c r="H1331" s="95"/>
      <c r="I1331" s="95"/>
      <c r="J1331" s="95"/>
      <c r="K1331" s="95"/>
      <c r="L1331" s="95"/>
      <c r="M1331" s="95"/>
      <c r="N1331" s="95"/>
      <c r="O1331" s="95"/>
      <c r="P1331" s="95"/>
      <c r="Q1331" s="95"/>
      <c r="R1331" s="95"/>
      <c r="T1331" s="81"/>
      <c r="U1331" s="95"/>
      <c r="V1331" s="95"/>
      <c r="W1331" s="95"/>
    </row>
    <row r="1332" spans="5:23" ht="10.15" customHeight="1">
      <c r="E1332" s="95"/>
      <c r="F1332" s="95"/>
      <c r="G1332" s="95"/>
      <c r="H1332" s="95"/>
      <c r="I1332" s="95"/>
      <c r="J1332" s="95"/>
      <c r="K1332" s="95"/>
      <c r="L1332" s="95"/>
      <c r="M1332" s="95"/>
      <c r="N1332" s="95"/>
      <c r="O1332" s="95"/>
      <c r="P1332" s="95"/>
      <c r="Q1332" s="95"/>
      <c r="R1332" s="95"/>
      <c r="T1332" s="81"/>
      <c r="U1332" s="95"/>
      <c r="V1332" s="95"/>
      <c r="W1332" s="95"/>
    </row>
    <row r="1333" spans="5:23" ht="10.15" customHeight="1">
      <c r="E1333" s="95"/>
      <c r="F1333" s="95"/>
      <c r="G1333" s="95"/>
      <c r="H1333" s="95"/>
      <c r="I1333" s="95"/>
      <c r="J1333" s="95"/>
      <c r="K1333" s="95"/>
      <c r="L1333" s="95"/>
      <c r="M1333" s="95"/>
      <c r="N1333" s="95"/>
      <c r="O1333" s="95"/>
      <c r="P1333" s="95"/>
      <c r="Q1333" s="95"/>
      <c r="R1333" s="95"/>
      <c r="T1333" s="81"/>
      <c r="U1333" s="95"/>
      <c r="V1333" s="95"/>
      <c r="W1333" s="95"/>
    </row>
    <row r="1334" spans="5:23" ht="10.15" customHeight="1">
      <c r="E1334" s="95"/>
      <c r="F1334" s="95"/>
      <c r="G1334" s="95"/>
      <c r="H1334" s="95"/>
      <c r="I1334" s="95"/>
      <c r="J1334" s="95"/>
      <c r="K1334" s="95"/>
      <c r="L1334" s="95"/>
      <c r="M1334" s="95"/>
      <c r="N1334" s="95"/>
      <c r="O1334" s="95"/>
      <c r="P1334" s="95"/>
      <c r="Q1334" s="95"/>
      <c r="R1334" s="95"/>
      <c r="T1334" s="81"/>
      <c r="U1334" s="95"/>
      <c r="V1334" s="95"/>
      <c r="W1334" s="95"/>
    </row>
    <row r="1335" spans="5:23" ht="10.15" customHeight="1">
      <c r="E1335" s="95"/>
      <c r="F1335" s="95"/>
      <c r="G1335" s="95"/>
      <c r="H1335" s="95"/>
      <c r="I1335" s="95"/>
      <c r="J1335" s="95"/>
      <c r="K1335" s="95"/>
      <c r="L1335" s="95"/>
      <c r="M1335" s="95"/>
      <c r="N1335" s="95"/>
      <c r="O1335" s="95"/>
      <c r="P1335" s="95"/>
      <c r="Q1335" s="95"/>
      <c r="R1335" s="95"/>
      <c r="T1335" s="81"/>
      <c r="U1335" s="95"/>
      <c r="V1335" s="95"/>
      <c r="W1335" s="95"/>
    </row>
    <row r="1336" spans="5:23" ht="10.15" customHeight="1">
      <c r="E1336" s="95"/>
      <c r="F1336" s="95"/>
      <c r="G1336" s="95"/>
      <c r="H1336" s="95"/>
      <c r="I1336" s="95"/>
      <c r="J1336" s="95"/>
      <c r="K1336" s="95"/>
      <c r="L1336" s="95"/>
      <c r="M1336" s="95"/>
      <c r="N1336" s="95"/>
      <c r="O1336" s="95"/>
      <c r="P1336" s="95"/>
      <c r="Q1336" s="95"/>
      <c r="R1336" s="95"/>
      <c r="T1336" s="81"/>
      <c r="U1336" s="95"/>
      <c r="V1336" s="95"/>
      <c r="W1336" s="95"/>
    </row>
    <row r="1337" spans="5:23" ht="10.15" customHeight="1">
      <c r="E1337" s="95"/>
      <c r="F1337" s="95"/>
      <c r="G1337" s="95"/>
      <c r="H1337" s="95"/>
      <c r="I1337" s="95"/>
      <c r="J1337" s="95"/>
      <c r="K1337" s="95"/>
      <c r="L1337" s="95"/>
      <c r="M1337" s="95"/>
      <c r="N1337" s="95"/>
      <c r="O1337" s="95"/>
      <c r="P1337" s="95"/>
      <c r="Q1337" s="95"/>
      <c r="R1337" s="95"/>
      <c r="T1337" s="81"/>
      <c r="U1337" s="95"/>
      <c r="V1337" s="95"/>
      <c r="W1337" s="95"/>
    </row>
    <row r="1338" spans="5:23" ht="10.15" customHeight="1">
      <c r="E1338" s="95"/>
      <c r="F1338" s="95"/>
      <c r="G1338" s="95"/>
      <c r="H1338" s="95"/>
      <c r="I1338" s="95"/>
      <c r="J1338" s="95"/>
      <c r="K1338" s="95"/>
      <c r="L1338" s="95"/>
      <c r="M1338" s="95"/>
      <c r="N1338" s="95"/>
      <c r="O1338" s="95"/>
      <c r="P1338" s="95"/>
      <c r="Q1338" s="95"/>
      <c r="R1338" s="95"/>
      <c r="T1338" s="81"/>
      <c r="U1338" s="95"/>
      <c r="V1338" s="95"/>
      <c r="W1338" s="95"/>
    </row>
    <row r="1339" spans="5:23" ht="10.15" customHeight="1">
      <c r="E1339" s="95"/>
      <c r="F1339" s="95"/>
      <c r="G1339" s="95"/>
      <c r="H1339" s="95"/>
      <c r="I1339" s="95"/>
      <c r="J1339" s="95"/>
      <c r="K1339" s="95"/>
      <c r="L1339" s="95"/>
      <c r="M1339" s="95"/>
      <c r="N1339" s="95"/>
      <c r="O1339" s="95"/>
      <c r="P1339" s="95"/>
      <c r="Q1339" s="95"/>
      <c r="R1339" s="95"/>
      <c r="T1339" s="81"/>
      <c r="U1339" s="95"/>
      <c r="V1339" s="95"/>
      <c r="W1339" s="95"/>
    </row>
    <row r="1340" spans="5:23" ht="10.15" customHeight="1">
      <c r="E1340" s="95"/>
      <c r="F1340" s="95"/>
      <c r="G1340" s="95"/>
      <c r="H1340" s="95"/>
      <c r="I1340" s="95"/>
      <c r="J1340" s="95"/>
      <c r="K1340" s="95"/>
      <c r="L1340" s="95"/>
      <c r="M1340" s="95"/>
      <c r="N1340" s="95"/>
      <c r="O1340" s="95"/>
      <c r="P1340" s="95"/>
      <c r="Q1340" s="95"/>
      <c r="R1340" s="95"/>
      <c r="T1340" s="81"/>
      <c r="U1340" s="95"/>
      <c r="V1340" s="95"/>
      <c r="W1340" s="95"/>
    </row>
    <row r="1341" spans="5:23" ht="10.15" customHeight="1">
      <c r="E1341" s="95"/>
      <c r="F1341" s="95"/>
      <c r="G1341" s="95"/>
      <c r="H1341" s="95"/>
      <c r="I1341" s="95"/>
      <c r="J1341" s="95"/>
      <c r="K1341" s="95"/>
      <c r="L1341" s="95"/>
      <c r="M1341" s="95"/>
      <c r="N1341" s="95"/>
      <c r="O1341" s="95"/>
      <c r="P1341" s="95"/>
      <c r="Q1341" s="95"/>
      <c r="R1341" s="95"/>
      <c r="T1341" s="81"/>
      <c r="U1341" s="95"/>
      <c r="V1341" s="95"/>
      <c r="W1341" s="95"/>
    </row>
    <row r="1342" spans="5:23" ht="10.15" customHeight="1">
      <c r="E1342" s="95"/>
      <c r="F1342" s="95"/>
      <c r="G1342" s="95"/>
      <c r="H1342" s="95"/>
      <c r="I1342" s="95"/>
      <c r="J1342" s="95"/>
      <c r="K1342" s="95"/>
      <c r="L1342" s="95"/>
      <c r="M1342" s="95"/>
      <c r="N1342" s="95"/>
      <c r="O1342" s="95"/>
      <c r="P1342" s="95"/>
      <c r="Q1342" s="95"/>
      <c r="R1342" s="95"/>
      <c r="T1342" s="81"/>
      <c r="U1342" s="95"/>
      <c r="V1342" s="95"/>
      <c r="W1342" s="95"/>
    </row>
    <row r="1343" spans="5:23" ht="10.15" customHeight="1">
      <c r="E1343" s="95"/>
      <c r="F1343" s="95"/>
      <c r="G1343" s="95"/>
      <c r="H1343" s="95"/>
      <c r="I1343" s="95"/>
      <c r="J1343" s="95"/>
      <c r="K1343" s="95"/>
      <c r="L1343" s="95"/>
      <c r="M1343" s="95"/>
      <c r="N1343" s="95"/>
      <c r="O1343" s="95"/>
      <c r="P1343" s="95"/>
      <c r="Q1343" s="95"/>
      <c r="R1343" s="95"/>
      <c r="T1343" s="81"/>
      <c r="U1343" s="95"/>
      <c r="V1343" s="95"/>
      <c r="W1343" s="95"/>
    </row>
    <row r="1344" spans="5:23" ht="10.15" customHeight="1">
      <c r="E1344" s="95"/>
      <c r="F1344" s="95"/>
      <c r="G1344" s="95"/>
      <c r="H1344" s="95"/>
      <c r="I1344" s="95"/>
      <c r="J1344" s="95"/>
      <c r="K1344" s="95"/>
      <c r="L1344" s="95"/>
      <c r="M1344" s="95"/>
      <c r="N1344" s="95"/>
      <c r="O1344" s="95"/>
      <c r="P1344" s="95"/>
      <c r="Q1344" s="95"/>
      <c r="R1344" s="95"/>
      <c r="T1344" s="81"/>
      <c r="U1344" s="95"/>
      <c r="V1344" s="95"/>
      <c r="W1344" s="95"/>
    </row>
    <row r="1345" spans="5:23" ht="10.15" customHeight="1">
      <c r="E1345" s="95"/>
      <c r="F1345" s="95"/>
      <c r="G1345" s="95"/>
      <c r="H1345" s="95"/>
      <c r="I1345" s="95"/>
      <c r="J1345" s="95"/>
      <c r="K1345" s="95"/>
      <c r="L1345" s="95"/>
      <c r="M1345" s="95"/>
      <c r="N1345" s="95"/>
      <c r="O1345" s="95"/>
      <c r="P1345" s="95"/>
      <c r="Q1345" s="95"/>
      <c r="R1345" s="95"/>
      <c r="T1345" s="81"/>
      <c r="U1345" s="95"/>
      <c r="V1345" s="95"/>
      <c r="W1345" s="95"/>
    </row>
    <row r="1346" spans="5:23" ht="10.15" customHeight="1">
      <c r="E1346" s="95"/>
      <c r="F1346" s="95"/>
      <c r="G1346" s="95"/>
      <c r="H1346" s="95"/>
      <c r="I1346" s="95"/>
      <c r="J1346" s="95"/>
      <c r="K1346" s="95"/>
      <c r="L1346" s="95"/>
      <c r="M1346" s="95"/>
      <c r="N1346" s="95"/>
      <c r="O1346" s="95"/>
      <c r="P1346" s="95"/>
      <c r="Q1346" s="95"/>
      <c r="R1346" s="95"/>
      <c r="T1346" s="81"/>
      <c r="U1346" s="95"/>
      <c r="V1346" s="95"/>
      <c r="W1346" s="95"/>
    </row>
    <row r="1347" spans="5:23" ht="10.15" customHeight="1">
      <c r="E1347" s="95"/>
      <c r="F1347" s="95"/>
      <c r="G1347" s="95"/>
      <c r="H1347" s="95"/>
      <c r="I1347" s="95"/>
      <c r="J1347" s="95"/>
      <c r="K1347" s="95"/>
      <c r="L1347" s="95"/>
      <c r="M1347" s="95"/>
      <c r="N1347" s="95"/>
      <c r="O1347" s="95"/>
      <c r="P1347" s="95"/>
      <c r="Q1347" s="95"/>
      <c r="R1347" s="95"/>
      <c r="T1347" s="81"/>
      <c r="U1347" s="95"/>
      <c r="V1347" s="95"/>
      <c r="W1347" s="95"/>
    </row>
    <row r="1348" spans="5:23" ht="10.15" customHeight="1">
      <c r="E1348" s="95"/>
      <c r="F1348" s="95"/>
      <c r="G1348" s="95"/>
      <c r="H1348" s="95"/>
      <c r="I1348" s="95"/>
      <c r="J1348" s="95"/>
      <c r="K1348" s="95"/>
      <c r="L1348" s="95"/>
      <c r="M1348" s="95"/>
      <c r="N1348" s="95"/>
      <c r="O1348" s="95"/>
      <c r="P1348" s="95"/>
      <c r="Q1348" s="95"/>
      <c r="R1348" s="95"/>
      <c r="T1348" s="81"/>
      <c r="U1348" s="95"/>
      <c r="V1348" s="95"/>
      <c r="W1348" s="95"/>
    </row>
    <row r="1349" spans="5:23" ht="10.15" customHeight="1">
      <c r="E1349" s="95"/>
      <c r="F1349" s="95"/>
      <c r="G1349" s="95"/>
      <c r="H1349" s="95"/>
      <c r="I1349" s="95"/>
      <c r="J1349" s="95"/>
      <c r="K1349" s="95"/>
      <c r="L1349" s="95"/>
      <c r="M1349" s="95"/>
      <c r="N1349" s="95"/>
      <c r="O1349" s="95"/>
      <c r="P1349" s="95"/>
      <c r="Q1349" s="95"/>
      <c r="R1349" s="95"/>
      <c r="T1349" s="81"/>
      <c r="U1349" s="95"/>
      <c r="V1349" s="95"/>
      <c r="W1349" s="95"/>
    </row>
    <row r="1350" spans="5:23" ht="10.15" customHeight="1">
      <c r="E1350" s="95"/>
      <c r="F1350" s="95"/>
      <c r="G1350" s="95"/>
      <c r="H1350" s="95"/>
      <c r="I1350" s="95"/>
      <c r="J1350" s="95"/>
      <c r="K1350" s="95"/>
      <c r="L1350" s="95"/>
      <c r="M1350" s="95"/>
      <c r="N1350" s="95"/>
      <c r="O1350" s="95"/>
      <c r="P1350" s="95"/>
      <c r="Q1350" s="95"/>
      <c r="R1350" s="95"/>
      <c r="T1350" s="81"/>
      <c r="U1350" s="95"/>
      <c r="V1350" s="95"/>
      <c r="W1350" s="95"/>
    </row>
    <row r="1351" spans="5:23" ht="10.15" customHeight="1">
      <c r="E1351" s="95"/>
      <c r="F1351" s="95"/>
      <c r="G1351" s="95"/>
      <c r="H1351" s="95"/>
      <c r="I1351" s="95"/>
      <c r="J1351" s="95"/>
      <c r="K1351" s="95"/>
      <c r="L1351" s="95"/>
      <c r="M1351" s="95"/>
      <c r="N1351" s="95"/>
      <c r="O1351" s="95"/>
      <c r="P1351" s="95"/>
      <c r="Q1351" s="95"/>
      <c r="R1351" s="95"/>
      <c r="T1351" s="81"/>
      <c r="U1351" s="95"/>
      <c r="V1351" s="95"/>
      <c r="W1351" s="95"/>
    </row>
    <row r="1352" spans="5:23" ht="10.15" customHeight="1">
      <c r="E1352" s="95"/>
      <c r="F1352" s="95"/>
      <c r="G1352" s="95"/>
      <c r="H1352" s="95"/>
      <c r="I1352" s="95"/>
      <c r="J1352" s="95"/>
      <c r="K1352" s="95"/>
      <c r="L1352" s="95"/>
      <c r="M1352" s="95"/>
      <c r="N1352" s="95"/>
      <c r="O1352" s="95"/>
      <c r="P1352" s="95"/>
      <c r="Q1352" s="95"/>
      <c r="R1352" s="95"/>
      <c r="T1352" s="81"/>
      <c r="U1352" s="95"/>
      <c r="V1352" s="95"/>
      <c r="W1352" s="95"/>
    </row>
    <row r="1353" spans="5:23" ht="10.15" customHeight="1">
      <c r="E1353" s="95"/>
      <c r="F1353" s="95"/>
      <c r="G1353" s="95"/>
      <c r="H1353" s="95"/>
      <c r="I1353" s="95"/>
      <c r="J1353" s="95"/>
      <c r="K1353" s="95"/>
      <c r="L1353" s="95"/>
      <c r="M1353" s="95"/>
      <c r="N1353" s="95"/>
      <c r="O1353" s="95"/>
      <c r="P1353" s="95"/>
      <c r="Q1353" s="95"/>
      <c r="R1353" s="95"/>
      <c r="T1353" s="81"/>
      <c r="U1353" s="95"/>
      <c r="V1353" s="95"/>
      <c r="W1353" s="95"/>
    </row>
    <row r="1354" spans="5:23" ht="10.15" customHeight="1">
      <c r="E1354" s="95"/>
      <c r="F1354" s="95"/>
      <c r="G1354" s="95"/>
      <c r="H1354" s="95"/>
      <c r="I1354" s="95"/>
      <c r="J1354" s="95"/>
      <c r="K1354" s="95"/>
      <c r="L1354" s="95"/>
      <c r="M1354" s="95"/>
      <c r="N1354" s="95"/>
      <c r="O1354" s="95"/>
      <c r="P1354" s="95"/>
      <c r="Q1354" s="95"/>
      <c r="R1354" s="95"/>
      <c r="T1354" s="81"/>
      <c r="U1354" s="95"/>
      <c r="V1354" s="95"/>
      <c r="W1354" s="95"/>
    </row>
    <row r="1355" spans="5:23" ht="10.15" customHeight="1">
      <c r="E1355" s="95"/>
      <c r="F1355" s="95"/>
      <c r="G1355" s="95"/>
      <c r="H1355" s="95"/>
      <c r="I1355" s="95"/>
      <c r="J1355" s="95"/>
      <c r="K1355" s="95"/>
      <c r="L1355" s="95"/>
      <c r="M1355" s="95"/>
      <c r="N1355" s="95"/>
      <c r="O1355" s="95"/>
      <c r="P1355" s="95"/>
      <c r="Q1355" s="95"/>
      <c r="R1355" s="95"/>
      <c r="T1355" s="81"/>
      <c r="U1355" s="95"/>
      <c r="V1355" s="95"/>
      <c r="W1355" s="95"/>
    </row>
    <row r="1356" spans="5:23" ht="10.15" customHeight="1">
      <c r="E1356" s="95"/>
      <c r="F1356" s="95"/>
      <c r="G1356" s="95"/>
      <c r="H1356" s="95"/>
      <c r="I1356" s="95"/>
      <c r="J1356" s="95"/>
      <c r="K1356" s="95"/>
      <c r="L1356" s="95"/>
      <c r="M1356" s="95"/>
      <c r="N1356" s="95"/>
      <c r="O1356" s="95"/>
      <c r="P1356" s="95"/>
      <c r="Q1356" s="95"/>
      <c r="R1356" s="95"/>
      <c r="T1356" s="81"/>
      <c r="U1356" s="95"/>
      <c r="V1356" s="95"/>
      <c r="W1356" s="95"/>
    </row>
    <row r="1357" spans="5:23" ht="10.15" customHeight="1">
      <c r="E1357" s="95"/>
      <c r="F1357" s="95"/>
      <c r="G1357" s="95"/>
      <c r="H1357" s="95"/>
      <c r="I1357" s="95"/>
      <c r="J1357" s="95"/>
      <c r="K1357" s="95"/>
      <c r="L1357" s="95"/>
      <c r="M1357" s="95"/>
      <c r="N1357" s="95"/>
      <c r="O1357" s="95"/>
      <c r="P1357" s="95"/>
      <c r="Q1357" s="95"/>
      <c r="R1357" s="95"/>
      <c r="T1357" s="81"/>
      <c r="U1357" s="95"/>
      <c r="V1357" s="95"/>
      <c r="W1357" s="95"/>
    </row>
    <row r="1358" spans="5:23" ht="10.15" customHeight="1">
      <c r="E1358" s="95"/>
      <c r="F1358" s="95"/>
      <c r="G1358" s="95"/>
      <c r="H1358" s="95"/>
      <c r="I1358" s="95"/>
      <c r="J1358" s="95"/>
      <c r="K1358" s="95"/>
      <c r="L1358" s="95"/>
      <c r="M1358" s="95"/>
      <c r="N1358" s="95"/>
      <c r="O1358" s="95"/>
      <c r="P1358" s="95"/>
      <c r="Q1358" s="95"/>
      <c r="R1358" s="95"/>
      <c r="T1358" s="81"/>
      <c r="U1358" s="95"/>
      <c r="V1358" s="95"/>
      <c r="W1358" s="95"/>
    </row>
    <row r="1359" spans="5:23" ht="10.15" customHeight="1">
      <c r="E1359" s="95"/>
      <c r="F1359" s="95"/>
      <c r="G1359" s="95"/>
      <c r="H1359" s="95"/>
      <c r="I1359" s="95"/>
      <c r="J1359" s="95"/>
      <c r="K1359" s="95"/>
      <c r="L1359" s="95"/>
      <c r="M1359" s="95"/>
      <c r="N1359" s="95"/>
      <c r="O1359" s="95"/>
      <c r="P1359" s="95"/>
      <c r="Q1359" s="95"/>
      <c r="R1359" s="95"/>
      <c r="T1359" s="81"/>
      <c r="U1359" s="95"/>
      <c r="V1359" s="95"/>
      <c r="W1359" s="95"/>
    </row>
    <row r="1360" spans="5:23" ht="10.15" customHeight="1">
      <c r="E1360" s="95"/>
      <c r="F1360" s="95"/>
      <c r="G1360" s="95"/>
      <c r="H1360" s="95"/>
      <c r="I1360" s="95"/>
      <c r="J1360" s="95"/>
      <c r="K1360" s="95"/>
      <c r="L1360" s="95"/>
      <c r="M1360" s="95"/>
      <c r="N1360" s="95"/>
      <c r="O1360" s="95"/>
      <c r="P1360" s="95"/>
      <c r="Q1360" s="95"/>
      <c r="R1360" s="95"/>
      <c r="T1360" s="81"/>
      <c r="U1360" s="95"/>
      <c r="V1360" s="95"/>
      <c r="W1360" s="95"/>
    </row>
    <row r="1361" spans="5:23" ht="10.15" customHeight="1">
      <c r="E1361" s="95"/>
      <c r="F1361" s="95"/>
      <c r="G1361" s="95"/>
      <c r="H1361" s="95"/>
      <c r="I1361" s="95"/>
      <c r="J1361" s="95"/>
      <c r="K1361" s="95"/>
      <c r="L1361" s="95"/>
      <c r="M1361" s="95"/>
      <c r="N1361" s="95"/>
      <c r="O1361" s="95"/>
      <c r="P1361" s="95"/>
      <c r="Q1361" s="95"/>
      <c r="R1361" s="95"/>
      <c r="T1361" s="81"/>
      <c r="U1361" s="95"/>
      <c r="V1361" s="95"/>
      <c r="W1361" s="95"/>
    </row>
    <row r="1362" spans="5:23" ht="10.15" customHeight="1">
      <c r="E1362" s="95"/>
      <c r="F1362" s="95"/>
      <c r="G1362" s="95"/>
      <c r="H1362" s="95"/>
      <c r="I1362" s="95"/>
      <c r="J1362" s="95"/>
      <c r="K1362" s="95"/>
      <c r="L1362" s="95"/>
      <c r="M1362" s="95"/>
      <c r="N1362" s="95"/>
      <c r="O1362" s="95"/>
      <c r="P1362" s="95"/>
      <c r="Q1362" s="95"/>
      <c r="R1362" s="95"/>
      <c r="T1362" s="81"/>
      <c r="U1362" s="95"/>
      <c r="V1362" s="95"/>
      <c r="W1362" s="95"/>
    </row>
    <row r="1363" spans="5:23" ht="10.15" customHeight="1">
      <c r="E1363" s="95"/>
      <c r="F1363" s="95"/>
      <c r="G1363" s="95"/>
      <c r="H1363" s="95"/>
      <c r="I1363" s="95"/>
      <c r="J1363" s="95"/>
      <c r="K1363" s="95"/>
      <c r="L1363" s="95"/>
      <c r="M1363" s="95"/>
      <c r="N1363" s="95"/>
      <c r="O1363" s="95"/>
      <c r="P1363" s="95"/>
      <c r="Q1363" s="95"/>
      <c r="R1363" s="95"/>
      <c r="T1363" s="81"/>
      <c r="U1363" s="95"/>
      <c r="V1363" s="95"/>
      <c r="W1363" s="95"/>
    </row>
    <row r="1364" spans="5:23" ht="10.15" customHeight="1">
      <c r="E1364" s="95"/>
      <c r="F1364" s="95"/>
      <c r="G1364" s="95"/>
      <c r="H1364" s="95"/>
      <c r="I1364" s="95"/>
      <c r="J1364" s="95"/>
      <c r="K1364" s="95"/>
      <c r="L1364" s="95"/>
      <c r="M1364" s="95"/>
      <c r="N1364" s="95"/>
      <c r="O1364" s="95"/>
      <c r="P1364" s="95"/>
      <c r="Q1364" s="95"/>
      <c r="R1364" s="95"/>
      <c r="T1364" s="81"/>
      <c r="U1364" s="95"/>
      <c r="V1364" s="95"/>
      <c r="W1364" s="95"/>
    </row>
    <row r="1365" spans="5:23" ht="10.15" customHeight="1">
      <c r="E1365" s="95"/>
      <c r="F1365" s="95"/>
      <c r="G1365" s="95"/>
      <c r="H1365" s="95"/>
      <c r="I1365" s="95"/>
      <c r="J1365" s="95"/>
      <c r="K1365" s="95"/>
      <c r="L1365" s="95"/>
      <c r="M1365" s="95"/>
      <c r="N1365" s="95"/>
      <c r="O1365" s="95"/>
      <c r="P1365" s="95"/>
      <c r="Q1365" s="95"/>
      <c r="R1365" s="95"/>
      <c r="T1365" s="81"/>
      <c r="U1365" s="95"/>
      <c r="V1365" s="95"/>
      <c r="W1365" s="95"/>
    </row>
    <row r="1366" spans="5:23" ht="10.15" customHeight="1">
      <c r="E1366" s="95"/>
      <c r="F1366" s="95"/>
      <c r="G1366" s="95"/>
      <c r="H1366" s="95"/>
      <c r="I1366" s="95"/>
      <c r="J1366" s="95"/>
      <c r="K1366" s="95"/>
      <c r="L1366" s="95"/>
      <c r="M1366" s="95"/>
      <c r="N1366" s="95"/>
      <c r="O1366" s="95"/>
      <c r="P1366" s="95"/>
      <c r="Q1366" s="95"/>
      <c r="R1366" s="95"/>
      <c r="T1366" s="81"/>
      <c r="U1366" s="95"/>
      <c r="V1366" s="95"/>
      <c r="W1366" s="95"/>
    </row>
    <row r="1367" spans="5:23" ht="10.15" customHeight="1">
      <c r="E1367" s="95"/>
      <c r="F1367" s="95"/>
      <c r="G1367" s="95"/>
      <c r="H1367" s="95"/>
      <c r="I1367" s="95"/>
      <c r="J1367" s="95"/>
      <c r="K1367" s="95"/>
      <c r="L1367" s="95"/>
      <c r="M1367" s="95"/>
      <c r="N1367" s="95"/>
      <c r="O1367" s="95"/>
      <c r="P1367" s="95"/>
      <c r="Q1367" s="95"/>
      <c r="R1367" s="95"/>
      <c r="T1367" s="81"/>
      <c r="U1367" s="95"/>
      <c r="V1367" s="95"/>
      <c r="W1367" s="95"/>
    </row>
    <row r="1368" spans="5:23" ht="10.15" customHeight="1">
      <c r="E1368" s="95"/>
      <c r="F1368" s="95"/>
      <c r="G1368" s="95"/>
      <c r="H1368" s="95"/>
      <c r="I1368" s="95"/>
      <c r="J1368" s="95"/>
      <c r="K1368" s="95"/>
      <c r="L1368" s="95"/>
      <c r="M1368" s="95"/>
      <c r="N1368" s="95"/>
      <c r="O1368" s="95"/>
      <c r="P1368" s="95"/>
      <c r="Q1368" s="95"/>
      <c r="R1368" s="95"/>
      <c r="T1368" s="81"/>
      <c r="U1368" s="95"/>
      <c r="V1368" s="95"/>
      <c r="W1368" s="95"/>
    </row>
    <row r="1369" spans="5:23" ht="10.15" customHeight="1">
      <c r="E1369" s="95"/>
      <c r="F1369" s="95"/>
      <c r="G1369" s="95"/>
      <c r="H1369" s="95"/>
      <c r="I1369" s="95"/>
      <c r="J1369" s="95"/>
      <c r="K1369" s="95"/>
      <c r="L1369" s="95"/>
      <c r="M1369" s="95"/>
      <c r="N1369" s="95"/>
      <c r="O1369" s="95"/>
      <c r="P1369" s="95"/>
      <c r="Q1369" s="95"/>
      <c r="R1369" s="95"/>
      <c r="T1369" s="81"/>
      <c r="U1369" s="95"/>
      <c r="V1369" s="95"/>
      <c r="W1369" s="95"/>
    </row>
    <row r="1370" spans="5:23" ht="10.15" customHeight="1">
      <c r="E1370" s="95"/>
      <c r="F1370" s="95"/>
      <c r="G1370" s="95"/>
      <c r="H1370" s="95"/>
      <c r="I1370" s="95"/>
      <c r="J1370" s="95"/>
      <c r="K1370" s="95"/>
      <c r="L1370" s="95"/>
      <c r="M1370" s="95"/>
      <c r="N1370" s="95"/>
      <c r="O1370" s="95"/>
      <c r="P1370" s="95"/>
      <c r="Q1370" s="95"/>
      <c r="R1370" s="95"/>
      <c r="T1370" s="81"/>
      <c r="U1370" s="95"/>
      <c r="V1370" s="95"/>
      <c r="W1370" s="95"/>
    </row>
    <row r="1371" spans="5:23" ht="10.15" customHeight="1">
      <c r="E1371" s="95"/>
      <c r="F1371" s="95"/>
      <c r="G1371" s="95"/>
      <c r="H1371" s="95"/>
      <c r="I1371" s="95"/>
      <c r="J1371" s="95"/>
      <c r="K1371" s="95"/>
      <c r="L1371" s="95"/>
      <c r="M1371" s="95"/>
      <c r="N1371" s="95"/>
      <c r="O1371" s="95"/>
      <c r="P1371" s="95"/>
      <c r="Q1371" s="95"/>
      <c r="R1371" s="95"/>
      <c r="T1371" s="81"/>
      <c r="U1371" s="95"/>
      <c r="V1371" s="95"/>
      <c r="W1371" s="95"/>
    </row>
    <row r="1372" spans="5:23" ht="10.15" customHeight="1">
      <c r="E1372" s="95"/>
      <c r="F1372" s="95"/>
      <c r="G1372" s="95"/>
      <c r="H1372" s="95"/>
      <c r="I1372" s="95"/>
      <c r="J1372" s="95"/>
      <c r="K1372" s="95"/>
      <c r="L1372" s="95"/>
      <c r="M1372" s="95"/>
      <c r="N1372" s="95"/>
      <c r="O1372" s="95"/>
      <c r="P1372" s="95"/>
      <c r="Q1372" s="95"/>
      <c r="R1372" s="95"/>
      <c r="T1372" s="81"/>
      <c r="U1372" s="95"/>
      <c r="V1372" s="95"/>
      <c r="W1372" s="95"/>
    </row>
    <row r="1373" spans="5:23" ht="10.15" customHeight="1">
      <c r="E1373" s="95"/>
      <c r="F1373" s="95"/>
      <c r="G1373" s="95"/>
      <c r="H1373" s="95"/>
      <c r="I1373" s="95"/>
      <c r="J1373" s="95"/>
      <c r="K1373" s="95"/>
      <c r="L1373" s="95"/>
      <c r="M1373" s="95"/>
      <c r="N1373" s="95"/>
      <c r="O1373" s="95"/>
      <c r="P1373" s="95"/>
      <c r="Q1373" s="95"/>
      <c r="R1373" s="95"/>
      <c r="T1373" s="81"/>
      <c r="U1373" s="95"/>
      <c r="V1373" s="95"/>
      <c r="W1373" s="95"/>
    </row>
    <row r="1374" spans="5:23" ht="10.15" customHeight="1">
      <c r="E1374" s="95"/>
      <c r="F1374" s="95"/>
      <c r="G1374" s="95"/>
      <c r="H1374" s="95"/>
      <c r="I1374" s="95"/>
      <c r="J1374" s="95"/>
      <c r="K1374" s="95"/>
      <c r="L1374" s="95"/>
      <c r="M1374" s="95"/>
      <c r="N1374" s="95"/>
      <c r="O1374" s="95"/>
      <c r="P1374" s="95"/>
      <c r="Q1374" s="95"/>
      <c r="R1374" s="95"/>
      <c r="T1374" s="81"/>
      <c r="U1374" s="95"/>
      <c r="V1374" s="95"/>
      <c r="W1374" s="95"/>
    </row>
    <row r="1375" spans="5:23" ht="10.15" customHeight="1">
      <c r="E1375" s="95"/>
      <c r="F1375" s="95"/>
      <c r="G1375" s="95"/>
      <c r="H1375" s="95"/>
      <c r="I1375" s="95"/>
      <c r="J1375" s="95"/>
      <c r="K1375" s="95"/>
      <c r="L1375" s="95"/>
      <c r="M1375" s="95"/>
      <c r="N1375" s="95"/>
      <c r="O1375" s="95"/>
      <c r="P1375" s="95"/>
      <c r="Q1375" s="95"/>
      <c r="R1375" s="95"/>
      <c r="T1375" s="81"/>
      <c r="U1375" s="95"/>
      <c r="V1375" s="95"/>
      <c r="W1375" s="95"/>
    </row>
    <row r="1376" spans="5:23" ht="10.15" customHeight="1">
      <c r="E1376" s="95"/>
      <c r="F1376" s="95"/>
      <c r="G1376" s="95"/>
      <c r="H1376" s="95"/>
      <c r="I1376" s="95"/>
      <c r="J1376" s="95"/>
      <c r="K1376" s="95"/>
      <c r="L1376" s="95"/>
      <c r="M1376" s="95"/>
      <c r="N1376" s="95"/>
      <c r="O1376" s="95"/>
      <c r="P1376" s="95"/>
      <c r="Q1376" s="95"/>
      <c r="R1376" s="95"/>
      <c r="T1376" s="81"/>
      <c r="U1376" s="95"/>
      <c r="V1376" s="95"/>
      <c r="W1376" s="95"/>
    </row>
    <row r="1377" spans="5:23" ht="10.15" customHeight="1">
      <c r="E1377" s="95"/>
      <c r="F1377" s="95"/>
      <c r="G1377" s="95"/>
      <c r="H1377" s="95"/>
      <c r="I1377" s="95"/>
      <c r="J1377" s="95"/>
      <c r="K1377" s="95"/>
      <c r="L1377" s="95"/>
      <c r="M1377" s="95"/>
      <c r="N1377" s="95"/>
      <c r="O1377" s="95"/>
      <c r="P1377" s="95"/>
      <c r="Q1377" s="95"/>
      <c r="R1377" s="95"/>
      <c r="T1377" s="81"/>
      <c r="U1377" s="95"/>
      <c r="V1377" s="95"/>
      <c r="W1377" s="95"/>
    </row>
    <row r="1378" spans="5:23" ht="10.15" customHeight="1">
      <c r="E1378" s="95"/>
      <c r="F1378" s="95"/>
      <c r="G1378" s="95"/>
      <c r="H1378" s="95"/>
      <c r="I1378" s="95"/>
      <c r="J1378" s="95"/>
      <c r="K1378" s="95"/>
      <c r="L1378" s="95"/>
      <c r="M1378" s="95"/>
      <c r="N1378" s="95"/>
      <c r="O1378" s="95"/>
      <c r="P1378" s="95"/>
      <c r="Q1378" s="95"/>
      <c r="R1378" s="95"/>
      <c r="T1378" s="81"/>
      <c r="U1378" s="95"/>
      <c r="V1378" s="95"/>
      <c r="W1378" s="95"/>
    </row>
    <row r="1379" spans="5:23" ht="10.15" customHeight="1">
      <c r="E1379" s="95"/>
      <c r="F1379" s="95"/>
      <c r="G1379" s="95"/>
      <c r="H1379" s="95"/>
      <c r="I1379" s="95"/>
      <c r="J1379" s="95"/>
      <c r="K1379" s="95"/>
      <c r="L1379" s="95"/>
      <c r="M1379" s="95"/>
      <c r="N1379" s="95"/>
      <c r="O1379" s="95"/>
      <c r="P1379" s="95"/>
      <c r="Q1379" s="95"/>
      <c r="R1379" s="95"/>
      <c r="T1379" s="81"/>
      <c r="U1379" s="95"/>
      <c r="V1379" s="95"/>
      <c r="W1379" s="95"/>
    </row>
    <row r="1380" spans="5:23" ht="10.15" customHeight="1">
      <c r="E1380" s="95"/>
      <c r="F1380" s="95"/>
      <c r="G1380" s="95"/>
      <c r="H1380" s="95"/>
      <c r="I1380" s="95"/>
      <c r="J1380" s="95"/>
      <c r="K1380" s="95"/>
      <c r="L1380" s="95"/>
      <c r="M1380" s="95"/>
      <c r="N1380" s="95"/>
      <c r="O1380" s="95"/>
      <c r="P1380" s="95"/>
      <c r="Q1380" s="95"/>
      <c r="R1380" s="95"/>
      <c r="T1380" s="81"/>
      <c r="U1380" s="95"/>
      <c r="V1380" s="95"/>
      <c r="W1380" s="95"/>
    </row>
    <row r="1381" spans="5:23" ht="10.15" customHeight="1">
      <c r="E1381" s="95"/>
      <c r="F1381" s="95"/>
      <c r="G1381" s="95"/>
      <c r="H1381" s="95"/>
      <c r="I1381" s="95"/>
      <c r="J1381" s="95"/>
      <c r="K1381" s="95"/>
      <c r="L1381" s="95"/>
      <c r="M1381" s="95"/>
      <c r="N1381" s="95"/>
      <c r="O1381" s="95"/>
      <c r="P1381" s="95"/>
      <c r="Q1381" s="95"/>
      <c r="R1381" s="95"/>
      <c r="T1381" s="81"/>
      <c r="U1381" s="95"/>
      <c r="V1381" s="95"/>
      <c r="W1381" s="95"/>
    </row>
    <row r="1382" spans="5:23" ht="10.15" customHeight="1">
      <c r="E1382" s="95"/>
      <c r="F1382" s="95"/>
      <c r="G1382" s="95"/>
      <c r="H1382" s="95"/>
      <c r="I1382" s="95"/>
      <c r="J1382" s="95"/>
      <c r="K1382" s="95"/>
      <c r="L1382" s="95"/>
      <c r="M1382" s="95"/>
      <c r="N1382" s="95"/>
      <c r="O1382" s="95"/>
      <c r="P1382" s="95"/>
      <c r="Q1382" s="95"/>
      <c r="R1382" s="95"/>
      <c r="T1382" s="81"/>
      <c r="U1382" s="95"/>
      <c r="V1382" s="95"/>
      <c r="W1382" s="95"/>
    </row>
    <row r="1383" spans="5:23" ht="10.15" customHeight="1">
      <c r="E1383" s="95"/>
      <c r="F1383" s="95"/>
      <c r="G1383" s="95"/>
      <c r="H1383" s="95"/>
      <c r="I1383" s="95"/>
      <c r="J1383" s="95"/>
      <c r="K1383" s="95"/>
      <c r="L1383" s="95"/>
      <c r="M1383" s="95"/>
      <c r="N1383" s="95"/>
      <c r="O1383" s="95"/>
      <c r="P1383" s="95"/>
      <c r="Q1383" s="95"/>
      <c r="R1383" s="95"/>
      <c r="T1383" s="81"/>
      <c r="U1383" s="95"/>
      <c r="V1383" s="95"/>
      <c r="W1383" s="95"/>
    </row>
    <row r="1384" spans="5:23" ht="10.15" customHeight="1">
      <c r="E1384" s="95"/>
      <c r="F1384" s="95"/>
      <c r="G1384" s="95"/>
      <c r="H1384" s="95"/>
      <c r="I1384" s="95"/>
      <c r="J1384" s="95"/>
      <c r="K1384" s="95"/>
      <c r="L1384" s="95"/>
      <c r="M1384" s="95"/>
      <c r="N1384" s="95"/>
      <c r="O1384" s="95"/>
      <c r="P1384" s="95"/>
      <c r="Q1384" s="95"/>
      <c r="R1384" s="95"/>
      <c r="T1384" s="81"/>
      <c r="U1384" s="95"/>
      <c r="V1384" s="95"/>
      <c r="W1384" s="95"/>
    </row>
    <row r="1385" spans="5:23" ht="10.15" customHeight="1">
      <c r="E1385" s="95"/>
      <c r="F1385" s="95"/>
      <c r="G1385" s="95"/>
      <c r="H1385" s="95"/>
      <c r="I1385" s="95"/>
      <c r="J1385" s="95"/>
      <c r="K1385" s="95"/>
      <c r="L1385" s="95"/>
      <c r="M1385" s="95"/>
      <c r="N1385" s="95"/>
      <c r="O1385" s="95"/>
      <c r="P1385" s="95"/>
      <c r="Q1385" s="95"/>
      <c r="R1385" s="95"/>
      <c r="T1385" s="81"/>
      <c r="U1385" s="95"/>
      <c r="V1385" s="95"/>
      <c r="W1385" s="95"/>
    </row>
    <row r="1386" spans="5:23" ht="10.15" customHeight="1">
      <c r="E1386" s="95"/>
      <c r="F1386" s="95"/>
      <c r="G1386" s="95"/>
      <c r="H1386" s="95"/>
      <c r="I1386" s="95"/>
      <c r="J1386" s="95"/>
      <c r="K1386" s="95"/>
      <c r="L1386" s="95"/>
      <c r="M1386" s="95"/>
      <c r="N1386" s="95"/>
      <c r="O1386" s="95"/>
      <c r="P1386" s="95"/>
      <c r="Q1386" s="95"/>
      <c r="R1386" s="95"/>
      <c r="T1386" s="81"/>
      <c r="U1386" s="95"/>
      <c r="V1386" s="95"/>
      <c r="W1386" s="95"/>
    </row>
    <row r="1387" spans="5:23" ht="10.15" customHeight="1">
      <c r="E1387" s="95"/>
      <c r="F1387" s="95"/>
      <c r="G1387" s="95"/>
      <c r="H1387" s="95"/>
      <c r="I1387" s="95"/>
      <c r="J1387" s="95"/>
      <c r="K1387" s="95"/>
      <c r="L1387" s="95"/>
      <c r="M1387" s="95"/>
      <c r="N1387" s="95"/>
      <c r="O1387" s="95"/>
      <c r="P1387" s="95"/>
      <c r="Q1387" s="95"/>
      <c r="R1387" s="95"/>
      <c r="T1387" s="81"/>
      <c r="U1387" s="95"/>
      <c r="V1387" s="95"/>
      <c r="W1387" s="95"/>
    </row>
    <row r="1388" spans="5:23" ht="10.15" customHeight="1">
      <c r="E1388" s="95"/>
      <c r="F1388" s="95"/>
      <c r="G1388" s="95"/>
      <c r="H1388" s="95"/>
      <c r="I1388" s="95"/>
      <c r="J1388" s="95"/>
      <c r="K1388" s="95"/>
      <c r="L1388" s="95"/>
      <c r="M1388" s="95"/>
      <c r="N1388" s="95"/>
      <c r="O1388" s="95"/>
      <c r="P1388" s="95"/>
      <c r="Q1388" s="95"/>
      <c r="R1388" s="95"/>
      <c r="T1388" s="81"/>
      <c r="U1388" s="95"/>
      <c r="V1388" s="95"/>
      <c r="W1388" s="95"/>
    </row>
    <row r="1389" spans="5:23" ht="10.15" customHeight="1">
      <c r="E1389" s="95"/>
      <c r="F1389" s="95"/>
      <c r="G1389" s="95"/>
      <c r="H1389" s="95"/>
      <c r="I1389" s="95"/>
      <c r="J1389" s="95"/>
      <c r="K1389" s="95"/>
      <c r="L1389" s="95"/>
      <c r="M1389" s="95"/>
      <c r="N1389" s="95"/>
      <c r="O1389" s="95"/>
      <c r="P1389" s="95"/>
      <c r="Q1389" s="95"/>
      <c r="R1389" s="95"/>
      <c r="T1389" s="81"/>
      <c r="U1389" s="95"/>
      <c r="V1389" s="95"/>
      <c r="W1389" s="95"/>
    </row>
    <row r="1390" spans="5:23" ht="10.15" customHeight="1">
      <c r="E1390" s="95"/>
      <c r="F1390" s="95"/>
      <c r="G1390" s="95"/>
      <c r="H1390" s="95"/>
      <c r="I1390" s="95"/>
      <c r="J1390" s="95"/>
      <c r="K1390" s="95"/>
      <c r="L1390" s="95"/>
      <c r="M1390" s="95"/>
      <c r="N1390" s="95"/>
      <c r="O1390" s="95"/>
      <c r="P1390" s="95"/>
      <c r="Q1390" s="95"/>
      <c r="R1390" s="95"/>
      <c r="T1390" s="81"/>
      <c r="U1390" s="95"/>
      <c r="V1390" s="95"/>
      <c r="W1390" s="95"/>
    </row>
    <row r="1391" spans="5:23" ht="10.15" customHeight="1">
      <c r="E1391" s="95"/>
      <c r="F1391" s="95"/>
      <c r="G1391" s="95"/>
      <c r="H1391" s="95"/>
      <c r="I1391" s="95"/>
      <c r="J1391" s="95"/>
      <c r="K1391" s="95"/>
      <c r="L1391" s="95"/>
      <c r="M1391" s="95"/>
      <c r="N1391" s="95"/>
      <c r="O1391" s="95"/>
      <c r="P1391" s="95"/>
      <c r="Q1391" s="95"/>
      <c r="R1391" s="95"/>
      <c r="T1391" s="81"/>
      <c r="U1391" s="95"/>
      <c r="V1391" s="95"/>
      <c r="W1391" s="95"/>
    </row>
    <row r="1392" spans="5:23" ht="10.15" customHeight="1">
      <c r="E1392" s="95"/>
      <c r="F1392" s="95"/>
      <c r="G1392" s="95"/>
      <c r="H1392" s="95"/>
      <c r="I1392" s="95"/>
      <c r="J1392" s="95"/>
      <c r="K1392" s="95"/>
      <c r="L1392" s="95"/>
      <c r="M1392" s="95"/>
      <c r="N1392" s="95"/>
      <c r="O1392" s="95"/>
      <c r="P1392" s="95"/>
      <c r="Q1392" s="95"/>
      <c r="R1392" s="95"/>
      <c r="T1392" s="81"/>
      <c r="U1392" s="95"/>
      <c r="V1392" s="95"/>
      <c r="W1392" s="95"/>
    </row>
    <row r="1393" spans="5:23" ht="10.15" customHeight="1">
      <c r="E1393" s="95"/>
      <c r="F1393" s="95"/>
      <c r="G1393" s="95"/>
      <c r="H1393" s="95"/>
      <c r="I1393" s="95"/>
      <c r="J1393" s="95"/>
      <c r="K1393" s="95"/>
      <c r="L1393" s="95"/>
      <c r="M1393" s="95"/>
      <c r="N1393" s="95"/>
      <c r="O1393" s="95"/>
      <c r="P1393" s="95"/>
      <c r="Q1393" s="95"/>
      <c r="R1393" s="95"/>
      <c r="T1393" s="81"/>
      <c r="U1393" s="95"/>
      <c r="V1393" s="95"/>
      <c r="W1393" s="95"/>
    </row>
    <row r="1394" spans="5:23" ht="10.15" customHeight="1">
      <c r="E1394" s="95"/>
      <c r="F1394" s="95"/>
      <c r="G1394" s="95"/>
      <c r="H1394" s="95"/>
      <c r="I1394" s="95"/>
      <c r="J1394" s="95"/>
      <c r="K1394" s="95"/>
      <c r="L1394" s="95"/>
      <c r="M1394" s="95"/>
      <c r="N1394" s="95"/>
      <c r="O1394" s="95"/>
      <c r="P1394" s="95"/>
      <c r="Q1394" s="95"/>
      <c r="R1394" s="95"/>
      <c r="T1394" s="81"/>
      <c r="U1394" s="95"/>
      <c r="V1394" s="95"/>
      <c r="W1394" s="95"/>
    </row>
    <row r="1395" spans="5:23" ht="10.15" customHeight="1">
      <c r="E1395" s="95"/>
      <c r="F1395" s="95"/>
      <c r="G1395" s="95"/>
      <c r="H1395" s="95"/>
      <c r="I1395" s="95"/>
      <c r="J1395" s="95"/>
      <c r="K1395" s="95"/>
      <c r="L1395" s="95"/>
      <c r="M1395" s="95"/>
      <c r="N1395" s="95"/>
      <c r="O1395" s="95"/>
      <c r="P1395" s="95"/>
      <c r="Q1395" s="95"/>
      <c r="R1395" s="95"/>
      <c r="T1395" s="81"/>
      <c r="U1395" s="95"/>
      <c r="V1395" s="95"/>
      <c r="W1395" s="95"/>
    </row>
    <row r="1396" spans="5:23" ht="10.15" customHeight="1">
      <c r="E1396" s="95"/>
      <c r="F1396" s="95"/>
      <c r="G1396" s="95"/>
      <c r="H1396" s="95"/>
      <c r="I1396" s="95"/>
      <c r="J1396" s="95"/>
      <c r="K1396" s="95"/>
      <c r="L1396" s="95"/>
      <c r="M1396" s="95"/>
      <c r="N1396" s="95"/>
      <c r="O1396" s="95"/>
      <c r="P1396" s="95"/>
      <c r="Q1396" s="95"/>
      <c r="R1396" s="95"/>
      <c r="T1396" s="81"/>
      <c r="U1396" s="95"/>
      <c r="V1396" s="95"/>
      <c r="W1396" s="95"/>
    </row>
    <row r="1397" spans="5:23" ht="10.15" customHeight="1">
      <c r="E1397" s="95"/>
      <c r="F1397" s="95"/>
      <c r="G1397" s="95"/>
      <c r="H1397" s="95"/>
      <c r="I1397" s="95"/>
      <c r="J1397" s="95"/>
      <c r="K1397" s="95"/>
      <c r="L1397" s="95"/>
      <c r="M1397" s="95"/>
      <c r="N1397" s="95"/>
      <c r="O1397" s="95"/>
      <c r="P1397" s="95"/>
      <c r="Q1397" s="95"/>
      <c r="R1397" s="95"/>
      <c r="T1397" s="81"/>
      <c r="U1397" s="95"/>
      <c r="V1397" s="95"/>
      <c r="W1397" s="95"/>
    </row>
    <row r="1398" spans="5:23" ht="10.15" customHeight="1">
      <c r="E1398" s="95"/>
      <c r="F1398" s="95"/>
      <c r="G1398" s="95"/>
      <c r="H1398" s="95"/>
      <c r="I1398" s="95"/>
      <c r="J1398" s="95"/>
      <c r="K1398" s="95"/>
      <c r="L1398" s="95"/>
      <c r="M1398" s="95"/>
      <c r="N1398" s="95"/>
      <c r="O1398" s="95"/>
      <c r="P1398" s="95"/>
      <c r="Q1398" s="95"/>
      <c r="R1398" s="95"/>
      <c r="T1398" s="81"/>
      <c r="U1398" s="95"/>
      <c r="V1398" s="95"/>
      <c r="W1398" s="95"/>
    </row>
    <row r="1399" spans="5:23" ht="10.15" customHeight="1">
      <c r="E1399" s="95"/>
      <c r="F1399" s="95"/>
      <c r="G1399" s="95"/>
      <c r="H1399" s="95"/>
      <c r="I1399" s="95"/>
      <c r="J1399" s="95"/>
      <c r="K1399" s="95"/>
      <c r="L1399" s="95"/>
      <c r="M1399" s="95"/>
      <c r="N1399" s="95"/>
      <c r="O1399" s="95"/>
      <c r="P1399" s="95"/>
      <c r="Q1399" s="95"/>
      <c r="R1399" s="95"/>
      <c r="T1399" s="81"/>
      <c r="U1399" s="95"/>
      <c r="V1399" s="95"/>
      <c r="W1399" s="95"/>
    </row>
    <row r="1400" spans="5:23" ht="10.15" customHeight="1">
      <c r="E1400" s="95"/>
      <c r="F1400" s="95"/>
      <c r="G1400" s="95"/>
      <c r="H1400" s="95"/>
      <c r="I1400" s="95"/>
      <c r="J1400" s="95"/>
      <c r="K1400" s="95"/>
      <c r="L1400" s="95"/>
      <c r="M1400" s="95"/>
      <c r="N1400" s="95"/>
      <c r="O1400" s="95"/>
      <c r="P1400" s="95"/>
      <c r="Q1400" s="95"/>
      <c r="R1400" s="95"/>
      <c r="T1400" s="81"/>
      <c r="U1400" s="95"/>
      <c r="V1400" s="95"/>
      <c r="W1400" s="95"/>
    </row>
    <row r="1401" spans="5:23" ht="10.15" customHeight="1">
      <c r="E1401" s="95"/>
      <c r="F1401" s="95"/>
      <c r="G1401" s="95"/>
      <c r="H1401" s="95"/>
      <c r="I1401" s="95"/>
      <c r="J1401" s="95"/>
      <c r="K1401" s="95"/>
      <c r="L1401" s="95"/>
      <c r="M1401" s="95"/>
      <c r="N1401" s="95"/>
      <c r="O1401" s="95"/>
      <c r="P1401" s="95"/>
      <c r="Q1401" s="95"/>
      <c r="R1401" s="95"/>
      <c r="T1401" s="81"/>
      <c r="U1401" s="95"/>
      <c r="V1401" s="95"/>
      <c r="W1401" s="95"/>
    </row>
    <row r="1402" spans="5:23" ht="10.15" customHeight="1">
      <c r="E1402" s="95"/>
      <c r="F1402" s="95"/>
      <c r="G1402" s="95"/>
      <c r="H1402" s="95"/>
      <c r="I1402" s="95"/>
      <c r="J1402" s="95"/>
      <c r="K1402" s="95"/>
      <c r="L1402" s="95"/>
      <c r="M1402" s="95"/>
      <c r="N1402" s="95"/>
      <c r="O1402" s="95"/>
      <c r="P1402" s="95"/>
      <c r="Q1402" s="95"/>
      <c r="R1402" s="95"/>
      <c r="T1402" s="81"/>
      <c r="U1402" s="95"/>
      <c r="V1402" s="95"/>
      <c r="W1402" s="95"/>
    </row>
    <row r="1403" spans="5:23" ht="10.15" customHeight="1">
      <c r="E1403" s="95"/>
      <c r="F1403" s="95"/>
      <c r="G1403" s="95"/>
      <c r="H1403" s="95"/>
      <c r="I1403" s="95"/>
      <c r="J1403" s="95"/>
      <c r="K1403" s="95"/>
      <c r="L1403" s="95"/>
      <c r="M1403" s="95"/>
      <c r="N1403" s="95"/>
      <c r="O1403" s="95"/>
      <c r="P1403" s="95"/>
      <c r="Q1403" s="95"/>
      <c r="R1403" s="95"/>
      <c r="T1403" s="81"/>
      <c r="U1403" s="95"/>
      <c r="V1403" s="95"/>
      <c r="W1403" s="95"/>
    </row>
    <row r="1404" spans="5:23" ht="10.15" customHeight="1">
      <c r="E1404" s="95"/>
      <c r="F1404" s="95"/>
      <c r="G1404" s="95"/>
      <c r="H1404" s="95"/>
      <c r="I1404" s="95"/>
      <c r="J1404" s="95"/>
      <c r="K1404" s="95"/>
      <c r="L1404" s="95"/>
      <c r="M1404" s="95"/>
      <c r="N1404" s="95"/>
      <c r="O1404" s="95"/>
      <c r="P1404" s="95"/>
      <c r="Q1404" s="95"/>
      <c r="R1404" s="95"/>
      <c r="T1404" s="81"/>
      <c r="U1404" s="95"/>
      <c r="V1404" s="95"/>
      <c r="W1404" s="95"/>
    </row>
    <row r="1405" spans="5:23" ht="10.15" customHeight="1">
      <c r="E1405" s="95"/>
      <c r="F1405" s="95"/>
      <c r="G1405" s="95"/>
      <c r="H1405" s="95"/>
      <c r="I1405" s="95"/>
      <c r="J1405" s="95"/>
      <c r="K1405" s="95"/>
      <c r="L1405" s="95"/>
      <c r="M1405" s="95"/>
      <c r="N1405" s="95"/>
      <c r="O1405" s="95"/>
      <c r="P1405" s="95"/>
      <c r="Q1405" s="95"/>
      <c r="R1405" s="95"/>
      <c r="T1405" s="81"/>
      <c r="U1405" s="95"/>
      <c r="V1405" s="95"/>
      <c r="W1405" s="95"/>
    </row>
    <row r="1406" spans="5:23" ht="10.15" customHeight="1">
      <c r="E1406" s="95"/>
      <c r="F1406" s="95"/>
      <c r="G1406" s="95"/>
      <c r="H1406" s="95"/>
      <c r="I1406" s="95"/>
      <c r="J1406" s="95"/>
      <c r="K1406" s="95"/>
      <c r="L1406" s="95"/>
      <c r="M1406" s="95"/>
      <c r="N1406" s="95"/>
      <c r="O1406" s="95"/>
      <c r="P1406" s="95"/>
      <c r="Q1406" s="95"/>
      <c r="R1406" s="95"/>
      <c r="T1406" s="81"/>
      <c r="U1406" s="95"/>
      <c r="V1406" s="95"/>
      <c r="W1406" s="95"/>
    </row>
    <row r="1407" spans="5:23" ht="10.15" customHeight="1">
      <c r="E1407" s="95"/>
      <c r="F1407" s="95"/>
      <c r="G1407" s="95"/>
      <c r="H1407" s="95"/>
      <c r="I1407" s="95"/>
      <c r="J1407" s="95"/>
      <c r="K1407" s="95"/>
      <c r="L1407" s="95"/>
      <c r="M1407" s="95"/>
      <c r="N1407" s="95"/>
      <c r="O1407" s="95"/>
      <c r="P1407" s="95"/>
      <c r="Q1407" s="95"/>
      <c r="R1407" s="95"/>
      <c r="T1407" s="81"/>
      <c r="U1407" s="95"/>
      <c r="V1407" s="95"/>
      <c r="W1407" s="95"/>
    </row>
    <row r="1408" spans="5:23" ht="10.15" customHeight="1">
      <c r="E1408" s="95"/>
      <c r="F1408" s="95"/>
      <c r="G1408" s="95"/>
      <c r="H1408" s="95"/>
      <c r="I1408" s="95"/>
      <c r="J1408" s="95"/>
      <c r="K1408" s="95"/>
      <c r="L1408" s="95"/>
      <c r="M1408" s="95"/>
      <c r="N1408" s="95"/>
      <c r="O1408" s="95"/>
      <c r="P1408" s="95"/>
      <c r="Q1408" s="95"/>
      <c r="R1408" s="95"/>
      <c r="T1408" s="81"/>
      <c r="U1408" s="95"/>
      <c r="V1408" s="95"/>
      <c r="W1408" s="95"/>
    </row>
    <row r="1409" spans="5:23" ht="10.15" customHeight="1">
      <c r="E1409" s="95"/>
      <c r="F1409" s="95"/>
      <c r="G1409" s="95"/>
      <c r="H1409" s="95"/>
      <c r="I1409" s="95"/>
      <c r="J1409" s="95"/>
      <c r="K1409" s="95"/>
      <c r="L1409" s="95"/>
      <c r="M1409" s="95"/>
      <c r="N1409" s="95"/>
      <c r="O1409" s="95"/>
      <c r="P1409" s="95"/>
      <c r="Q1409" s="95"/>
      <c r="R1409" s="95"/>
      <c r="T1409" s="81"/>
      <c r="U1409" s="95"/>
      <c r="V1409" s="95"/>
      <c r="W1409" s="95"/>
    </row>
    <row r="1410" spans="5:23" ht="10.15" customHeight="1">
      <c r="E1410" s="95"/>
      <c r="F1410" s="95"/>
      <c r="G1410" s="95"/>
      <c r="H1410" s="95"/>
      <c r="I1410" s="95"/>
      <c r="J1410" s="95"/>
      <c r="K1410" s="95"/>
      <c r="L1410" s="95"/>
      <c r="M1410" s="95"/>
      <c r="N1410" s="95"/>
      <c r="O1410" s="95"/>
      <c r="P1410" s="95"/>
      <c r="Q1410" s="95"/>
      <c r="R1410" s="95"/>
      <c r="T1410" s="81"/>
      <c r="U1410" s="95"/>
      <c r="V1410" s="95"/>
      <c r="W1410" s="95"/>
    </row>
    <row r="1411" spans="5:23" ht="10.15" customHeight="1">
      <c r="E1411" s="95"/>
      <c r="F1411" s="95"/>
      <c r="G1411" s="95"/>
      <c r="H1411" s="95"/>
      <c r="I1411" s="95"/>
      <c r="J1411" s="95"/>
      <c r="K1411" s="95"/>
      <c r="L1411" s="95"/>
      <c r="M1411" s="95"/>
      <c r="N1411" s="95"/>
      <c r="O1411" s="95"/>
      <c r="P1411" s="95"/>
      <c r="Q1411" s="95"/>
      <c r="R1411" s="95"/>
      <c r="T1411" s="81"/>
      <c r="U1411" s="95"/>
      <c r="V1411" s="95"/>
      <c r="W1411" s="95"/>
    </row>
    <row r="1412" spans="5:23" ht="10.15" customHeight="1">
      <c r="E1412" s="95"/>
      <c r="F1412" s="95"/>
      <c r="G1412" s="95"/>
      <c r="H1412" s="95"/>
      <c r="I1412" s="95"/>
      <c r="J1412" s="95"/>
      <c r="K1412" s="95"/>
      <c r="L1412" s="95"/>
      <c r="M1412" s="95"/>
      <c r="N1412" s="95"/>
      <c r="O1412" s="95"/>
      <c r="P1412" s="95"/>
      <c r="Q1412" s="95"/>
      <c r="R1412" s="95"/>
      <c r="T1412" s="81"/>
      <c r="U1412" s="95"/>
      <c r="V1412" s="95"/>
      <c r="W1412" s="95"/>
    </row>
    <row r="1413" spans="5:23" ht="10.15" customHeight="1">
      <c r="E1413" s="95"/>
      <c r="F1413" s="95"/>
      <c r="G1413" s="95"/>
      <c r="H1413" s="95"/>
      <c r="I1413" s="95"/>
      <c r="J1413" s="95"/>
      <c r="K1413" s="95"/>
      <c r="L1413" s="95"/>
      <c r="M1413" s="95"/>
      <c r="N1413" s="95"/>
      <c r="O1413" s="95"/>
      <c r="P1413" s="95"/>
      <c r="Q1413" s="95"/>
      <c r="R1413" s="95"/>
      <c r="T1413" s="81"/>
      <c r="U1413" s="95"/>
      <c r="V1413" s="95"/>
      <c r="W1413" s="95"/>
    </row>
    <row r="1414" spans="5:23" ht="10.15" customHeight="1">
      <c r="E1414" s="95"/>
      <c r="F1414" s="95"/>
      <c r="G1414" s="95"/>
      <c r="H1414" s="95"/>
      <c r="I1414" s="95"/>
      <c r="J1414" s="95"/>
      <c r="K1414" s="95"/>
      <c r="L1414" s="95"/>
      <c r="M1414" s="95"/>
      <c r="N1414" s="95"/>
      <c r="O1414" s="95"/>
      <c r="P1414" s="95"/>
      <c r="Q1414" s="95"/>
      <c r="R1414" s="95"/>
      <c r="T1414" s="81"/>
      <c r="U1414" s="95"/>
      <c r="V1414" s="95"/>
      <c r="W1414" s="95"/>
    </row>
    <row r="1415" spans="5:23" ht="10.15" customHeight="1">
      <c r="E1415" s="95"/>
      <c r="F1415" s="95"/>
      <c r="G1415" s="95"/>
      <c r="H1415" s="95"/>
      <c r="I1415" s="95"/>
      <c r="J1415" s="95"/>
      <c r="K1415" s="95"/>
      <c r="L1415" s="95"/>
      <c r="M1415" s="95"/>
      <c r="N1415" s="95"/>
      <c r="O1415" s="95"/>
      <c r="P1415" s="95"/>
      <c r="Q1415" s="95"/>
      <c r="R1415" s="95"/>
      <c r="T1415" s="81"/>
      <c r="U1415" s="95"/>
      <c r="V1415" s="95"/>
      <c r="W1415" s="95"/>
    </row>
    <row r="1416" spans="5:23" ht="10.15" customHeight="1">
      <c r="E1416" s="95"/>
      <c r="F1416" s="95"/>
      <c r="G1416" s="95"/>
      <c r="H1416" s="95"/>
      <c r="I1416" s="95"/>
      <c r="J1416" s="95"/>
      <c r="K1416" s="95"/>
      <c r="L1416" s="95"/>
      <c r="M1416" s="95"/>
      <c r="N1416" s="95"/>
      <c r="O1416" s="95"/>
      <c r="P1416" s="95"/>
      <c r="Q1416" s="95"/>
      <c r="R1416" s="95"/>
      <c r="T1416" s="81"/>
      <c r="U1416" s="95"/>
      <c r="V1416" s="95"/>
      <c r="W1416" s="95"/>
    </row>
    <row r="1417" spans="5:23" ht="10.15" customHeight="1">
      <c r="E1417" s="95"/>
      <c r="F1417" s="95"/>
      <c r="G1417" s="95"/>
      <c r="H1417" s="95"/>
      <c r="I1417" s="95"/>
      <c r="J1417" s="95"/>
      <c r="K1417" s="95"/>
      <c r="L1417" s="95"/>
      <c r="M1417" s="95"/>
      <c r="N1417" s="95"/>
      <c r="O1417" s="95"/>
      <c r="P1417" s="95"/>
      <c r="Q1417" s="95"/>
      <c r="R1417" s="95"/>
      <c r="T1417" s="81"/>
      <c r="U1417" s="95"/>
      <c r="V1417" s="95"/>
      <c r="W1417" s="95"/>
    </row>
    <row r="1418" spans="5:23" ht="10.15" customHeight="1">
      <c r="E1418" s="95"/>
      <c r="F1418" s="95"/>
      <c r="G1418" s="95"/>
      <c r="H1418" s="95"/>
      <c r="I1418" s="95"/>
      <c r="J1418" s="95"/>
      <c r="K1418" s="95"/>
      <c r="L1418" s="95"/>
      <c r="M1418" s="95"/>
      <c r="N1418" s="95"/>
      <c r="O1418" s="95"/>
      <c r="P1418" s="95"/>
      <c r="Q1418" s="95"/>
      <c r="R1418" s="95"/>
      <c r="T1418" s="81"/>
      <c r="U1418" s="95"/>
      <c r="V1418" s="95"/>
      <c r="W1418" s="95"/>
    </row>
    <row r="1419" spans="5:23" ht="10.15" customHeight="1">
      <c r="E1419" s="95"/>
      <c r="F1419" s="95"/>
      <c r="G1419" s="95"/>
      <c r="H1419" s="95"/>
      <c r="I1419" s="95"/>
      <c r="J1419" s="95"/>
      <c r="K1419" s="95"/>
      <c r="L1419" s="95"/>
      <c r="M1419" s="95"/>
      <c r="N1419" s="95"/>
      <c r="O1419" s="95"/>
      <c r="P1419" s="95"/>
      <c r="Q1419" s="95"/>
      <c r="R1419" s="95"/>
      <c r="T1419" s="81"/>
      <c r="U1419" s="95"/>
      <c r="V1419" s="95"/>
      <c r="W1419" s="95"/>
    </row>
    <row r="1420" spans="5:23" ht="10.15" customHeight="1">
      <c r="E1420" s="95"/>
      <c r="F1420" s="95"/>
      <c r="G1420" s="95"/>
      <c r="H1420" s="95"/>
      <c r="I1420" s="95"/>
      <c r="J1420" s="95"/>
      <c r="K1420" s="95"/>
      <c r="L1420" s="95"/>
      <c r="M1420" s="95"/>
      <c r="N1420" s="95"/>
      <c r="O1420" s="95"/>
      <c r="P1420" s="95"/>
      <c r="Q1420" s="95"/>
      <c r="R1420" s="95"/>
      <c r="T1420" s="81"/>
      <c r="U1420" s="95"/>
      <c r="V1420" s="95"/>
      <c r="W1420" s="95"/>
    </row>
    <row r="1421" spans="5:23" ht="10.15" customHeight="1">
      <c r="E1421" s="95"/>
      <c r="F1421" s="95"/>
      <c r="G1421" s="95"/>
      <c r="H1421" s="95"/>
      <c r="I1421" s="95"/>
      <c r="J1421" s="95"/>
      <c r="K1421" s="95"/>
      <c r="L1421" s="95"/>
      <c r="M1421" s="95"/>
      <c r="N1421" s="95"/>
      <c r="O1421" s="95"/>
      <c r="P1421" s="95"/>
      <c r="Q1421" s="95"/>
      <c r="R1421" s="95"/>
      <c r="T1421" s="81"/>
      <c r="U1421" s="95"/>
      <c r="V1421" s="95"/>
      <c r="W1421" s="95"/>
    </row>
    <row r="1422" spans="5:23" ht="10.15" customHeight="1">
      <c r="E1422" s="95"/>
      <c r="F1422" s="95"/>
      <c r="G1422" s="95"/>
      <c r="H1422" s="95"/>
      <c r="I1422" s="95"/>
      <c r="J1422" s="95"/>
      <c r="K1422" s="95"/>
      <c r="L1422" s="95"/>
      <c r="M1422" s="95"/>
      <c r="N1422" s="95"/>
      <c r="O1422" s="95"/>
      <c r="P1422" s="95"/>
      <c r="Q1422" s="95"/>
      <c r="R1422" s="95"/>
      <c r="T1422" s="81"/>
      <c r="U1422" s="95"/>
      <c r="V1422" s="95"/>
      <c r="W1422" s="95"/>
    </row>
    <row r="1423" spans="5:23" ht="10.15" customHeight="1">
      <c r="E1423" s="95"/>
      <c r="F1423" s="95"/>
      <c r="G1423" s="95"/>
      <c r="H1423" s="95"/>
      <c r="I1423" s="95"/>
      <c r="J1423" s="95"/>
      <c r="K1423" s="95"/>
      <c r="L1423" s="95"/>
      <c r="M1423" s="95"/>
      <c r="N1423" s="95"/>
      <c r="O1423" s="95"/>
      <c r="P1423" s="95"/>
      <c r="Q1423" s="95"/>
      <c r="R1423" s="95"/>
      <c r="T1423" s="81"/>
      <c r="U1423" s="95"/>
      <c r="V1423" s="95"/>
      <c r="W1423" s="95"/>
    </row>
    <row r="1424" spans="5:23" ht="10.15" customHeight="1">
      <c r="E1424" s="95"/>
      <c r="F1424" s="95"/>
      <c r="G1424" s="95"/>
      <c r="H1424" s="95"/>
      <c r="I1424" s="95"/>
      <c r="J1424" s="95"/>
      <c r="K1424" s="95"/>
      <c r="L1424" s="95"/>
      <c r="M1424" s="95"/>
      <c r="N1424" s="95"/>
      <c r="O1424" s="95"/>
      <c r="P1424" s="95"/>
      <c r="Q1424" s="95"/>
      <c r="R1424" s="95"/>
      <c r="T1424" s="81"/>
      <c r="U1424" s="95"/>
      <c r="V1424" s="95"/>
      <c r="W1424" s="95"/>
    </row>
    <row r="1425" spans="5:23" ht="10.15" customHeight="1">
      <c r="E1425" s="95"/>
      <c r="F1425" s="95"/>
      <c r="G1425" s="95"/>
      <c r="H1425" s="95"/>
      <c r="I1425" s="95"/>
      <c r="J1425" s="95"/>
      <c r="K1425" s="95"/>
      <c r="L1425" s="95"/>
      <c r="M1425" s="95"/>
      <c r="N1425" s="95"/>
      <c r="O1425" s="95"/>
      <c r="P1425" s="95"/>
      <c r="Q1425" s="95"/>
      <c r="R1425" s="95"/>
      <c r="T1425" s="81"/>
      <c r="U1425" s="95"/>
      <c r="V1425" s="95"/>
      <c r="W1425" s="95"/>
    </row>
    <row r="1426" spans="5:23" ht="10.15" customHeight="1">
      <c r="E1426" s="95"/>
      <c r="F1426" s="95"/>
      <c r="G1426" s="95"/>
      <c r="H1426" s="95"/>
      <c r="I1426" s="95"/>
      <c r="J1426" s="95"/>
      <c r="K1426" s="95"/>
      <c r="L1426" s="95"/>
      <c r="M1426" s="95"/>
      <c r="N1426" s="95"/>
      <c r="O1426" s="95"/>
      <c r="P1426" s="95"/>
      <c r="Q1426" s="95"/>
      <c r="R1426" s="95"/>
      <c r="T1426" s="81"/>
      <c r="U1426" s="95"/>
      <c r="V1426" s="95"/>
      <c r="W1426" s="95"/>
    </row>
    <row r="1427" spans="5:23" ht="10.15" customHeight="1">
      <c r="E1427" s="95"/>
      <c r="F1427" s="95"/>
      <c r="G1427" s="95"/>
      <c r="H1427" s="95"/>
      <c r="I1427" s="95"/>
      <c r="J1427" s="95"/>
      <c r="K1427" s="95"/>
      <c r="L1427" s="95"/>
      <c r="M1427" s="95"/>
      <c r="N1427" s="95"/>
      <c r="O1427" s="95"/>
      <c r="P1427" s="95"/>
      <c r="Q1427" s="95"/>
      <c r="R1427" s="95"/>
      <c r="T1427" s="81"/>
      <c r="U1427" s="95"/>
      <c r="V1427" s="95"/>
      <c r="W1427" s="95"/>
    </row>
    <row r="1428" spans="5:23" ht="10.15" customHeight="1">
      <c r="E1428" s="95"/>
      <c r="F1428" s="95"/>
      <c r="G1428" s="95"/>
      <c r="H1428" s="95"/>
      <c r="I1428" s="95"/>
      <c r="J1428" s="95"/>
      <c r="K1428" s="95"/>
      <c r="L1428" s="95"/>
      <c r="M1428" s="95"/>
      <c r="N1428" s="95"/>
      <c r="O1428" s="95"/>
      <c r="P1428" s="95"/>
      <c r="Q1428" s="95"/>
      <c r="R1428" s="95"/>
      <c r="T1428" s="81"/>
      <c r="U1428" s="95"/>
      <c r="V1428" s="95"/>
      <c r="W1428" s="95"/>
    </row>
    <row r="1429" spans="5:23" ht="10.15" customHeight="1">
      <c r="E1429" s="95"/>
      <c r="F1429" s="95"/>
      <c r="G1429" s="95"/>
      <c r="H1429" s="95"/>
      <c r="I1429" s="95"/>
      <c r="J1429" s="95"/>
      <c r="K1429" s="95"/>
      <c r="L1429" s="95"/>
      <c r="M1429" s="95"/>
      <c r="N1429" s="95"/>
      <c r="O1429" s="95"/>
      <c r="P1429" s="95"/>
      <c r="Q1429" s="95"/>
      <c r="R1429" s="95"/>
      <c r="T1429" s="81"/>
      <c r="U1429" s="95"/>
      <c r="V1429" s="95"/>
      <c r="W1429" s="95"/>
    </row>
    <row r="1430" spans="5:23" ht="10.15" customHeight="1">
      <c r="E1430" s="95"/>
      <c r="F1430" s="95"/>
      <c r="G1430" s="95"/>
      <c r="H1430" s="95"/>
      <c r="I1430" s="95"/>
      <c r="J1430" s="95"/>
      <c r="K1430" s="95"/>
      <c r="L1430" s="95"/>
      <c r="M1430" s="95"/>
      <c r="N1430" s="95"/>
      <c r="O1430" s="95"/>
      <c r="P1430" s="95"/>
      <c r="Q1430" s="95"/>
      <c r="R1430" s="95"/>
      <c r="T1430" s="81"/>
      <c r="U1430" s="95"/>
      <c r="V1430" s="95"/>
      <c r="W1430" s="95"/>
    </row>
    <row r="1431" spans="5:23" ht="10.15" customHeight="1">
      <c r="E1431" s="95"/>
      <c r="F1431" s="95"/>
      <c r="G1431" s="95"/>
      <c r="H1431" s="95"/>
      <c r="I1431" s="95"/>
      <c r="J1431" s="95"/>
      <c r="K1431" s="95"/>
      <c r="L1431" s="95"/>
      <c r="M1431" s="95"/>
      <c r="N1431" s="95"/>
      <c r="O1431" s="95"/>
      <c r="P1431" s="95"/>
      <c r="Q1431" s="95"/>
      <c r="R1431" s="95"/>
      <c r="T1431" s="81"/>
      <c r="U1431" s="95"/>
      <c r="V1431" s="95"/>
      <c r="W1431" s="95"/>
    </row>
    <row r="1432" spans="5:23" ht="10.15" customHeight="1">
      <c r="E1432" s="95"/>
      <c r="F1432" s="95"/>
      <c r="G1432" s="95"/>
      <c r="H1432" s="95"/>
      <c r="I1432" s="95"/>
      <c r="J1432" s="95"/>
      <c r="K1432" s="95"/>
      <c r="L1432" s="95"/>
      <c r="M1432" s="95"/>
      <c r="N1432" s="95"/>
      <c r="O1432" s="95"/>
      <c r="P1432" s="95"/>
      <c r="Q1432" s="95"/>
      <c r="R1432" s="95"/>
      <c r="T1432" s="81"/>
      <c r="U1432" s="95"/>
      <c r="V1432" s="95"/>
      <c r="W1432" s="95"/>
    </row>
    <row r="1433" spans="5:23" ht="10.15" customHeight="1">
      <c r="E1433" s="95"/>
      <c r="F1433" s="95"/>
      <c r="G1433" s="95"/>
      <c r="H1433" s="95"/>
      <c r="I1433" s="95"/>
      <c r="J1433" s="95"/>
      <c r="K1433" s="95"/>
      <c r="L1433" s="95"/>
      <c r="M1433" s="95"/>
      <c r="N1433" s="95"/>
      <c r="O1433" s="95"/>
      <c r="P1433" s="95"/>
      <c r="Q1433" s="95"/>
      <c r="R1433" s="95"/>
      <c r="T1433" s="81"/>
      <c r="U1433" s="95"/>
      <c r="V1433" s="95"/>
      <c r="W1433" s="95"/>
    </row>
    <row r="1434" spans="5:23" ht="10.15" customHeight="1">
      <c r="E1434" s="95"/>
      <c r="F1434" s="95"/>
      <c r="G1434" s="95"/>
      <c r="H1434" s="95"/>
      <c r="I1434" s="95"/>
      <c r="J1434" s="95"/>
      <c r="K1434" s="95"/>
      <c r="L1434" s="95"/>
      <c r="M1434" s="95"/>
      <c r="N1434" s="95"/>
      <c r="O1434" s="95"/>
      <c r="P1434" s="95"/>
      <c r="Q1434" s="95"/>
      <c r="R1434" s="95"/>
      <c r="T1434" s="81"/>
      <c r="U1434" s="95"/>
      <c r="V1434" s="95"/>
      <c r="W1434" s="95"/>
    </row>
    <row r="1435" spans="5:23" ht="10.15" customHeight="1">
      <c r="E1435" s="95"/>
      <c r="F1435" s="95"/>
      <c r="G1435" s="95"/>
      <c r="H1435" s="95"/>
      <c r="I1435" s="95"/>
      <c r="J1435" s="95"/>
      <c r="K1435" s="95"/>
      <c r="L1435" s="95"/>
      <c r="M1435" s="95"/>
      <c r="N1435" s="95"/>
      <c r="O1435" s="95"/>
      <c r="P1435" s="95"/>
      <c r="Q1435" s="95"/>
      <c r="R1435" s="95"/>
      <c r="T1435" s="81"/>
      <c r="U1435" s="95"/>
      <c r="V1435" s="95"/>
      <c r="W1435" s="95"/>
    </row>
    <row r="1436" spans="5:23" ht="10.15" customHeight="1">
      <c r="E1436" s="95"/>
      <c r="F1436" s="95"/>
      <c r="G1436" s="95"/>
      <c r="H1436" s="95"/>
      <c r="I1436" s="95"/>
      <c r="J1436" s="95"/>
      <c r="K1436" s="95"/>
      <c r="L1436" s="95"/>
      <c r="M1436" s="95"/>
      <c r="N1436" s="95"/>
      <c r="O1436" s="95"/>
      <c r="P1436" s="95"/>
      <c r="Q1436" s="95"/>
      <c r="R1436" s="95"/>
      <c r="T1436" s="81"/>
      <c r="U1436" s="95"/>
      <c r="V1436" s="95"/>
      <c r="W1436" s="95"/>
    </row>
    <row r="1437" spans="5:23" ht="10.15" customHeight="1">
      <c r="E1437" s="95"/>
      <c r="F1437" s="95"/>
      <c r="G1437" s="95"/>
      <c r="H1437" s="95"/>
      <c r="I1437" s="95"/>
      <c r="J1437" s="95"/>
      <c r="K1437" s="95"/>
      <c r="L1437" s="95"/>
      <c r="M1437" s="95"/>
      <c r="N1437" s="95"/>
      <c r="O1437" s="95"/>
      <c r="P1437" s="95"/>
      <c r="Q1437" s="95"/>
      <c r="R1437" s="95"/>
      <c r="T1437" s="81"/>
      <c r="U1437" s="95"/>
      <c r="V1437" s="95"/>
      <c r="W1437" s="95"/>
    </row>
    <row r="1438" spans="5:23" ht="10.15" customHeight="1">
      <c r="E1438" s="95"/>
      <c r="F1438" s="95"/>
      <c r="G1438" s="95"/>
      <c r="H1438" s="95"/>
      <c r="I1438" s="95"/>
      <c r="J1438" s="95"/>
      <c r="K1438" s="95"/>
      <c r="L1438" s="95"/>
      <c r="M1438" s="95"/>
      <c r="N1438" s="95"/>
      <c r="O1438" s="95"/>
      <c r="P1438" s="95"/>
      <c r="Q1438" s="95"/>
      <c r="R1438" s="95"/>
      <c r="T1438" s="81"/>
      <c r="U1438" s="95"/>
      <c r="V1438" s="95"/>
      <c r="W1438" s="95"/>
    </row>
    <row r="1439" spans="5:23" ht="10.15" customHeight="1">
      <c r="E1439" s="95"/>
      <c r="F1439" s="95"/>
      <c r="G1439" s="95"/>
      <c r="H1439" s="95"/>
      <c r="I1439" s="95"/>
      <c r="J1439" s="95"/>
      <c r="K1439" s="95"/>
      <c r="L1439" s="95"/>
      <c r="M1439" s="95"/>
      <c r="N1439" s="95"/>
      <c r="O1439" s="95"/>
      <c r="P1439" s="95"/>
      <c r="Q1439" s="95"/>
      <c r="R1439" s="95"/>
      <c r="T1439" s="81"/>
      <c r="U1439" s="95"/>
      <c r="V1439" s="95"/>
      <c r="W1439" s="95"/>
    </row>
    <row r="1440" spans="5:23" ht="10.15" customHeight="1">
      <c r="E1440" s="95"/>
      <c r="F1440" s="95"/>
      <c r="G1440" s="95"/>
      <c r="H1440" s="95"/>
      <c r="I1440" s="95"/>
      <c r="J1440" s="95"/>
      <c r="K1440" s="95"/>
      <c r="L1440" s="95"/>
      <c r="M1440" s="95"/>
      <c r="N1440" s="95"/>
      <c r="O1440" s="95"/>
      <c r="P1440" s="95"/>
      <c r="Q1440" s="95"/>
      <c r="R1440" s="95"/>
      <c r="T1440" s="81"/>
      <c r="U1440" s="95"/>
      <c r="V1440" s="95"/>
      <c r="W1440" s="95"/>
    </row>
    <row r="1441" spans="5:23" ht="10.15" customHeight="1">
      <c r="E1441" s="95"/>
      <c r="F1441" s="95"/>
      <c r="G1441" s="95"/>
      <c r="H1441" s="95"/>
      <c r="I1441" s="95"/>
      <c r="J1441" s="95"/>
      <c r="K1441" s="95"/>
      <c r="L1441" s="95"/>
      <c r="M1441" s="95"/>
      <c r="N1441" s="95"/>
      <c r="O1441" s="95"/>
      <c r="P1441" s="95"/>
      <c r="Q1441" s="95"/>
      <c r="R1441" s="95"/>
      <c r="T1441" s="81"/>
      <c r="U1441" s="95"/>
      <c r="V1441" s="95"/>
      <c r="W1441" s="95"/>
    </row>
    <row r="1442" spans="5:23" ht="10.15" customHeight="1">
      <c r="E1442" s="95"/>
      <c r="F1442" s="95"/>
      <c r="G1442" s="95"/>
      <c r="H1442" s="95"/>
      <c r="I1442" s="95"/>
      <c r="J1442" s="95"/>
      <c r="K1442" s="95"/>
      <c r="L1442" s="95"/>
      <c r="M1442" s="95"/>
      <c r="N1442" s="95"/>
      <c r="O1442" s="95"/>
      <c r="P1442" s="95"/>
      <c r="Q1442" s="95"/>
      <c r="R1442" s="95"/>
      <c r="T1442" s="81"/>
      <c r="U1442" s="95"/>
      <c r="V1442" s="95"/>
      <c r="W1442" s="95"/>
    </row>
    <row r="1443" spans="5:23" ht="10.15" customHeight="1">
      <c r="E1443" s="95"/>
      <c r="F1443" s="95"/>
      <c r="G1443" s="95"/>
      <c r="H1443" s="95"/>
      <c r="I1443" s="95"/>
      <c r="J1443" s="95"/>
      <c r="K1443" s="95"/>
      <c r="L1443" s="95"/>
      <c r="M1443" s="95"/>
      <c r="N1443" s="95"/>
      <c r="O1443" s="95"/>
      <c r="P1443" s="95"/>
      <c r="Q1443" s="95"/>
      <c r="R1443" s="95"/>
      <c r="T1443" s="81"/>
      <c r="U1443" s="95"/>
      <c r="V1443" s="95"/>
      <c r="W1443" s="95"/>
    </row>
    <row r="1444" spans="5:23" ht="10.15" customHeight="1">
      <c r="E1444" s="95"/>
      <c r="F1444" s="95"/>
      <c r="G1444" s="95"/>
      <c r="H1444" s="95"/>
      <c r="I1444" s="95"/>
      <c r="J1444" s="95"/>
      <c r="K1444" s="95"/>
      <c r="L1444" s="95"/>
      <c r="M1444" s="95"/>
      <c r="N1444" s="95"/>
      <c r="O1444" s="95"/>
      <c r="P1444" s="95"/>
      <c r="Q1444" s="95"/>
      <c r="R1444" s="95"/>
      <c r="T1444" s="81"/>
      <c r="U1444" s="95"/>
      <c r="V1444" s="95"/>
      <c r="W1444" s="95"/>
    </row>
    <row r="1445" spans="5:23" ht="10.15" customHeight="1">
      <c r="E1445" s="95"/>
      <c r="F1445" s="95"/>
      <c r="G1445" s="95"/>
      <c r="H1445" s="95"/>
      <c r="I1445" s="95"/>
      <c r="J1445" s="95"/>
      <c r="K1445" s="95"/>
      <c r="L1445" s="95"/>
      <c r="M1445" s="95"/>
      <c r="N1445" s="95"/>
      <c r="O1445" s="95"/>
      <c r="P1445" s="95"/>
      <c r="Q1445" s="95"/>
      <c r="R1445" s="95"/>
      <c r="T1445" s="81"/>
      <c r="U1445" s="95"/>
      <c r="V1445" s="95"/>
      <c r="W1445" s="95"/>
    </row>
    <row r="1446" spans="5:23" ht="10.15" customHeight="1">
      <c r="E1446" s="95"/>
      <c r="F1446" s="95"/>
      <c r="G1446" s="95"/>
      <c r="H1446" s="95"/>
      <c r="I1446" s="95"/>
      <c r="J1446" s="95"/>
      <c r="K1446" s="95"/>
      <c r="L1446" s="95"/>
      <c r="M1446" s="95"/>
      <c r="N1446" s="95"/>
      <c r="O1446" s="95"/>
      <c r="P1446" s="95"/>
      <c r="Q1446" s="95"/>
      <c r="R1446" s="95"/>
      <c r="T1446" s="81"/>
      <c r="U1446" s="95"/>
      <c r="V1446" s="95"/>
      <c r="W1446" s="95"/>
    </row>
    <row r="1447" spans="5:23" ht="10.15" customHeight="1">
      <c r="E1447" s="95"/>
      <c r="F1447" s="95"/>
      <c r="G1447" s="95"/>
      <c r="H1447" s="95"/>
      <c r="I1447" s="95"/>
      <c r="J1447" s="95"/>
      <c r="K1447" s="95"/>
      <c r="L1447" s="95"/>
      <c r="M1447" s="95"/>
      <c r="N1447" s="95"/>
      <c r="O1447" s="95"/>
      <c r="P1447" s="95"/>
      <c r="Q1447" s="95"/>
      <c r="R1447" s="95"/>
      <c r="T1447" s="81"/>
      <c r="U1447" s="95"/>
      <c r="V1447" s="95"/>
      <c r="W1447" s="95"/>
    </row>
    <row r="1448" spans="5:23" ht="10.15" customHeight="1">
      <c r="E1448" s="95"/>
      <c r="F1448" s="95"/>
      <c r="G1448" s="95"/>
      <c r="H1448" s="95"/>
      <c r="I1448" s="95"/>
      <c r="J1448" s="95"/>
      <c r="K1448" s="95"/>
      <c r="L1448" s="95"/>
      <c r="M1448" s="95"/>
      <c r="N1448" s="95"/>
      <c r="O1448" s="95"/>
      <c r="P1448" s="95"/>
      <c r="Q1448" s="95"/>
      <c r="R1448" s="95"/>
      <c r="T1448" s="81"/>
      <c r="U1448" s="95"/>
      <c r="V1448" s="95"/>
      <c r="W1448" s="95"/>
    </row>
    <row r="1449" spans="5:23" ht="10.15" customHeight="1">
      <c r="E1449" s="95"/>
      <c r="F1449" s="95"/>
      <c r="G1449" s="95"/>
      <c r="H1449" s="95"/>
      <c r="I1449" s="95"/>
      <c r="J1449" s="95"/>
      <c r="K1449" s="95"/>
      <c r="L1449" s="95"/>
      <c r="M1449" s="95"/>
      <c r="N1449" s="95"/>
      <c r="O1449" s="95"/>
      <c r="P1449" s="95"/>
      <c r="Q1449" s="95"/>
      <c r="R1449" s="95"/>
      <c r="T1449" s="81"/>
      <c r="U1449" s="95"/>
      <c r="V1449" s="95"/>
      <c r="W1449" s="95"/>
    </row>
    <row r="1450" spans="5:23" ht="10.15" customHeight="1">
      <c r="E1450" s="95"/>
      <c r="F1450" s="95"/>
      <c r="G1450" s="95"/>
      <c r="H1450" s="95"/>
      <c r="I1450" s="95"/>
      <c r="J1450" s="95"/>
      <c r="K1450" s="95"/>
      <c r="L1450" s="95"/>
      <c r="M1450" s="95"/>
      <c r="N1450" s="95"/>
      <c r="O1450" s="95"/>
      <c r="P1450" s="95"/>
      <c r="Q1450" s="95"/>
      <c r="R1450" s="95"/>
      <c r="T1450" s="81"/>
      <c r="U1450" s="95"/>
      <c r="V1450" s="95"/>
      <c r="W1450" s="95"/>
    </row>
    <row r="1451" spans="5:23" ht="10.15" customHeight="1">
      <c r="E1451" s="95"/>
      <c r="F1451" s="95"/>
      <c r="G1451" s="95"/>
      <c r="H1451" s="95"/>
      <c r="I1451" s="95"/>
      <c r="J1451" s="95"/>
      <c r="K1451" s="95"/>
      <c r="L1451" s="95"/>
      <c r="M1451" s="95"/>
      <c r="N1451" s="95"/>
      <c r="O1451" s="95"/>
      <c r="P1451" s="95"/>
      <c r="Q1451" s="95"/>
      <c r="R1451" s="95"/>
      <c r="T1451" s="81"/>
      <c r="U1451" s="95"/>
      <c r="V1451" s="95"/>
      <c r="W1451" s="95"/>
    </row>
    <row r="1452" spans="5:23" ht="10.15" customHeight="1">
      <c r="E1452" s="95"/>
      <c r="F1452" s="95"/>
      <c r="G1452" s="95"/>
      <c r="H1452" s="95"/>
      <c r="I1452" s="95"/>
      <c r="J1452" s="95"/>
      <c r="K1452" s="95"/>
      <c r="L1452" s="95"/>
      <c r="M1452" s="95"/>
      <c r="N1452" s="95"/>
      <c r="O1452" s="95"/>
      <c r="P1452" s="95"/>
      <c r="Q1452" s="95"/>
      <c r="R1452" s="95"/>
      <c r="T1452" s="81"/>
      <c r="U1452" s="95"/>
      <c r="V1452" s="95"/>
      <c r="W1452" s="95"/>
    </row>
    <row r="1453" spans="5:23" ht="10.15" customHeight="1">
      <c r="E1453" s="95"/>
      <c r="F1453" s="95"/>
      <c r="G1453" s="95"/>
      <c r="H1453" s="95"/>
      <c r="I1453" s="95"/>
      <c r="J1453" s="95"/>
      <c r="K1453" s="95"/>
      <c r="L1453" s="95"/>
      <c r="M1453" s="95"/>
      <c r="N1453" s="95"/>
      <c r="O1453" s="95"/>
      <c r="P1453" s="95"/>
      <c r="Q1453" s="95"/>
      <c r="R1453" s="95"/>
      <c r="T1453" s="81"/>
      <c r="U1453" s="95"/>
      <c r="V1453" s="95"/>
      <c r="W1453" s="95"/>
    </row>
    <row r="1454" spans="5:23" ht="10.15" customHeight="1">
      <c r="E1454" s="95"/>
      <c r="F1454" s="95"/>
      <c r="G1454" s="95"/>
      <c r="H1454" s="95"/>
      <c r="I1454" s="95"/>
      <c r="J1454" s="95"/>
      <c r="K1454" s="95"/>
      <c r="L1454" s="95"/>
      <c r="M1454" s="95"/>
      <c r="N1454" s="95"/>
      <c r="O1454" s="95"/>
      <c r="P1454" s="95"/>
      <c r="Q1454" s="95"/>
      <c r="R1454" s="95"/>
      <c r="T1454" s="81"/>
      <c r="U1454" s="95"/>
      <c r="V1454" s="95"/>
      <c r="W1454" s="95"/>
    </row>
    <row r="1455" spans="5:23" ht="10.15" customHeight="1">
      <c r="E1455" s="95"/>
      <c r="F1455" s="95"/>
      <c r="G1455" s="95"/>
      <c r="H1455" s="95"/>
      <c r="I1455" s="95"/>
      <c r="J1455" s="95"/>
      <c r="K1455" s="95"/>
      <c r="L1455" s="95"/>
      <c r="M1455" s="95"/>
      <c r="N1455" s="95"/>
      <c r="O1455" s="95"/>
      <c r="P1455" s="95"/>
      <c r="Q1455" s="95"/>
      <c r="R1455" s="95"/>
      <c r="T1455" s="81"/>
      <c r="U1455" s="95"/>
      <c r="V1455" s="95"/>
      <c r="W1455" s="95"/>
    </row>
    <row r="1456" spans="5:23" ht="10.15" customHeight="1">
      <c r="E1456" s="95"/>
      <c r="F1456" s="95"/>
      <c r="G1456" s="95"/>
      <c r="H1456" s="95"/>
      <c r="I1456" s="95"/>
      <c r="J1456" s="95"/>
      <c r="K1456" s="95"/>
      <c r="L1456" s="95"/>
      <c r="M1456" s="95"/>
      <c r="N1456" s="95"/>
      <c r="O1456" s="95"/>
      <c r="P1456" s="95"/>
      <c r="Q1456" s="95"/>
      <c r="R1456" s="95"/>
      <c r="T1456" s="81"/>
      <c r="U1456" s="95"/>
      <c r="V1456" s="95"/>
      <c r="W1456" s="95"/>
    </row>
    <row r="1457" spans="5:23" ht="10.15" customHeight="1">
      <c r="E1457" s="95"/>
      <c r="F1457" s="95"/>
      <c r="G1457" s="95"/>
      <c r="H1457" s="95"/>
      <c r="I1457" s="95"/>
      <c r="J1457" s="95"/>
      <c r="K1457" s="95"/>
      <c r="L1457" s="95"/>
      <c r="M1457" s="95"/>
      <c r="N1457" s="95"/>
      <c r="O1457" s="95"/>
      <c r="P1457" s="95"/>
      <c r="Q1457" s="95"/>
      <c r="R1457" s="95"/>
      <c r="T1457" s="81"/>
      <c r="U1457" s="95"/>
      <c r="V1457" s="95"/>
      <c r="W1457" s="95"/>
    </row>
    <row r="1458" spans="5:23" ht="10.15" customHeight="1">
      <c r="E1458" s="95"/>
      <c r="F1458" s="95"/>
      <c r="G1458" s="95"/>
      <c r="H1458" s="95"/>
      <c r="I1458" s="95"/>
      <c r="J1458" s="95"/>
      <c r="K1458" s="95"/>
      <c r="L1458" s="95"/>
      <c r="M1458" s="95"/>
      <c r="N1458" s="95"/>
      <c r="O1458" s="95"/>
      <c r="P1458" s="95"/>
      <c r="Q1458" s="95"/>
      <c r="R1458" s="95"/>
      <c r="T1458" s="81"/>
      <c r="U1458" s="95"/>
      <c r="V1458" s="95"/>
      <c r="W1458" s="95"/>
    </row>
    <row r="1459" spans="5:23" ht="10.15" customHeight="1">
      <c r="E1459" s="95"/>
      <c r="F1459" s="95"/>
      <c r="G1459" s="95"/>
      <c r="H1459" s="95"/>
      <c r="I1459" s="95"/>
      <c r="J1459" s="95"/>
      <c r="K1459" s="95"/>
      <c r="L1459" s="95"/>
      <c r="M1459" s="95"/>
      <c r="N1459" s="95"/>
      <c r="O1459" s="95"/>
      <c r="P1459" s="95"/>
      <c r="Q1459" s="95"/>
      <c r="R1459" s="95"/>
      <c r="T1459" s="81"/>
      <c r="U1459" s="95"/>
      <c r="V1459" s="95"/>
      <c r="W1459" s="95"/>
    </row>
    <row r="1460" spans="5:23" ht="10.15" customHeight="1">
      <c r="E1460" s="95"/>
      <c r="F1460" s="95"/>
      <c r="G1460" s="95"/>
      <c r="H1460" s="95"/>
      <c r="I1460" s="95"/>
      <c r="J1460" s="95"/>
      <c r="K1460" s="95"/>
      <c r="L1460" s="95"/>
      <c r="M1460" s="95"/>
      <c r="N1460" s="95"/>
      <c r="O1460" s="95"/>
      <c r="P1460" s="95"/>
      <c r="Q1460" s="95"/>
      <c r="R1460" s="95"/>
      <c r="T1460" s="81"/>
      <c r="U1460" s="95"/>
      <c r="V1460" s="95"/>
      <c r="W1460" s="95"/>
    </row>
    <row r="1461" spans="5:23" ht="10.15" customHeight="1">
      <c r="E1461" s="95"/>
      <c r="F1461" s="95"/>
      <c r="G1461" s="95"/>
      <c r="H1461" s="95"/>
      <c r="I1461" s="95"/>
      <c r="J1461" s="95"/>
      <c r="K1461" s="95"/>
      <c r="L1461" s="95"/>
      <c r="M1461" s="95"/>
      <c r="N1461" s="95"/>
      <c r="O1461" s="95"/>
      <c r="P1461" s="95"/>
      <c r="Q1461" s="95"/>
      <c r="R1461" s="95"/>
      <c r="T1461" s="81"/>
      <c r="U1461" s="95"/>
      <c r="V1461" s="95"/>
      <c r="W1461" s="95"/>
    </row>
    <row r="1462" spans="5:23" ht="10.15" customHeight="1">
      <c r="E1462" s="95"/>
      <c r="F1462" s="95"/>
      <c r="G1462" s="95"/>
      <c r="H1462" s="95"/>
      <c r="I1462" s="95"/>
      <c r="J1462" s="95"/>
      <c r="K1462" s="95"/>
      <c r="L1462" s="95"/>
      <c r="M1462" s="95"/>
      <c r="N1462" s="95"/>
      <c r="O1462" s="95"/>
      <c r="P1462" s="95"/>
      <c r="Q1462" s="95"/>
      <c r="R1462" s="95"/>
      <c r="T1462" s="81"/>
      <c r="U1462" s="95"/>
      <c r="V1462" s="95"/>
      <c r="W1462" s="95"/>
    </row>
    <row r="1463" spans="5:23" ht="10.15" customHeight="1">
      <c r="E1463" s="95"/>
      <c r="F1463" s="95"/>
      <c r="G1463" s="95"/>
      <c r="H1463" s="95"/>
      <c r="I1463" s="95"/>
      <c r="J1463" s="95"/>
      <c r="K1463" s="95"/>
      <c r="L1463" s="95"/>
      <c r="M1463" s="95"/>
      <c r="N1463" s="95"/>
      <c r="O1463" s="95"/>
      <c r="P1463" s="95"/>
      <c r="Q1463" s="95"/>
      <c r="R1463" s="95"/>
      <c r="T1463" s="81"/>
      <c r="U1463" s="95"/>
      <c r="V1463" s="95"/>
      <c r="W1463" s="95"/>
    </row>
    <row r="1464" spans="5:23" ht="10.15" customHeight="1">
      <c r="E1464" s="95"/>
      <c r="F1464" s="95"/>
      <c r="G1464" s="95"/>
      <c r="H1464" s="95"/>
      <c r="I1464" s="95"/>
      <c r="J1464" s="95"/>
      <c r="K1464" s="95"/>
      <c r="L1464" s="95"/>
      <c r="M1464" s="95"/>
      <c r="N1464" s="95"/>
      <c r="O1464" s="95"/>
      <c r="P1464" s="95"/>
      <c r="Q1464" s="95"/>
      <c r="R1464" s="95"/>
      <c r="T1464" s="81"/>
      <c r="U1464" s="95"/>
      <c r="V1464" s="95"/>
      <c r="W1464" s="95"/>
    </row>
    <row r="1465" spans="5:23" ht="10.15" customHeight="1">
      <c r="E1465" s="95"/>
      <c r="F1465" s="95"/>
      <c r="G1465" s="95"/>
      <c r="H1465" s="95"/>
      <c r="I1465" s="95"/>
      <c r="J1465" s="95"/>
      <c r="K1465" s="95"/>
      <c r="L1465" s="95"/>
      <c r="M1465" s="95"/>
      <c r="N1465" s="95"/>
      <c r="O1465" s="95"/>
      <c r="P1465" s="95"/>
      <c r="Q1465" s="95"/>
      <c r="R1465" s="95"/>
      <c r="T1465" s="81"/>
      <c r="U1465" s="95"/>
      <c r="V1465" s="95"/>
      <c r="W1465" s="95"/>
    </row>
    <row r="1466" spans="5:23" ht="10.15" customHeight="1">
      <c r="E1466" s="95"/>
      <c r="F1466" s="95"/>
      <c r="G1466" s="95"/>
      <c r="H1466" s="95"/>
      <c r="I1466" s="95"/>
      <c r="J1466" s="95"/>
      <c r="K1466" s="95"/>
      <c r="L1466" s="95"/>
      <c r="M1466" s="95"/>
      <c r="N1466" s="95"/>
      <c r="O1466" s="95"/>
      <c r="P1466" s="95"/>
      <c r="Q1466" s="95"/>
      <c r="R1466" s="95"/>
      <c r="T1466" s="81"/>
      <c r="U1466" s="95"/>
      <c r="V1466" s="95"/>
      <c r="W1466" s="95"/>
    </row>
    <row r="1467" spans="5:23" ht="10.15" customHeight="1">
      <c r="E1467" s="95"/>
      <c r="F1467" s="95"/>
      <c r="G1467" s="95"/>
      <c r="H1467" s="95"/>
      <c r="I1467" s="95"/>
      <c r="J1467" s="95"/>
      <c r="K1467" s="95"/>
      <c r="L1467" s="95"/>
      <c r="M1467" s="95"/>
      <c r="N1467" s="95"/>
      <c r="O1467" s="95"/>
      <c r="P1467" s="95"/>
      <c r="Q1467" s="95"/>
      <c r="R1467" s="95"/>
      <c r="T1467" s="81"/>
      <c r="U1467" s="95"/>
      <c r="V1467" s="95"/>
      <c r="W1467" s="95"/>
    </row>
    <row r="1468" spans="5:23" ht="10.15" customHeight="1">
      <c r="E1468" s="95"/>
      <c r="F1468" s="95"/>
      <c r="G1468" s="95"/>
      <c r="H1468" s="95"/>
      <c r="I1468" s="95"/>
      <c r="J1468" s="95"/>
      <c r="K1468" s="95"/>
      <c r="L1468" s="95"/>
      <c r="M1468" s="95"/>
      <c r="N1468" s="95"/>
      <c r="O1468" s="95"/>
      <c r="P1468" s="95"/>
      <c r="Q1468" s="95"/>
      <c r="R1468" s="95"/>
      <c r="T1468" s="81"/>
      <c r="U1468" s="95"/>
      <c r="V1468" s="95"/>
      <c r="W1468" s="95"/>
    </row>
    <row r="1469" spans="5:23" ht="10.15" customHeight="1">
      <c r="E1469" s="95"/>
      <c r="F1469" s="95"/>
      <c r="G1469" s="95"/>
      <c r="H1469" s="95"/>
      <c r="I1469" s="95"/>
      <c r="J1469" s="95"/>
      <c r="K1469" s="95"/>
      <c r="L1469" s="95"/>
      <c r="M1469" s="95"/>
      <c r="N1469" s="95"/>
      <c r="O1469" s="95"/>
      <c r="P1469" s="95"/>
      <c r="Q1469" s="95"/>
      <c r="R1469" s="95"/>
      <c r="T1469" s="81"/>
      <c r="U1469" s="95"/>
      <c r="V1469" s="95"/>
      <c r="W1469" s="95"/>
    </row>
    <row r="1470" spans="5:23" ht="10.15" customHeight="1">
      <c r="E1470" s="95"/>
      <c r="F1470" s="95"/>
      <c r="G1470" s="95"/>
      <c r="H1470" s="95"/>
      <c r="I1470" s="95"/>
      <c r="J1470" s="95"/>
      <c r="K1470" s="95"/>
      <c r="L1470" s="95"/>
      <c r="M1470" s="95"/>
      <c r="N1470" s="95"/>
      <c r="O1470" s="95"/>
      <c r="P1470" s="95"/>
      <c r="Q1470" s="95"/>
      <c r="R1470" s="95"/>
      <c r="T1470" s="81"/>
      <c r="U1470" s="95"/>
      <c r="V1470" s="95"/>
      <c r="W1470" s="95"/>
    </row>
    <row r="1471" spans="5:23" ht="10.15" customHeight="1">
      <c r="E1471" s="95"/>
      <c r="F1471" s="95"/>
      <c r="G1471" s="95"/>
      <c r="H1471" s="95"/>
      <c r="I1471" s="95"/>
      <c r="J1471" s="95"/>
      <c r="K1471" s="95"/>
      <c r="L1471" s="95"/>
      <c r="M1471" s="95"/>
      <c r="N1471" s="95"/>
      <c r="O1471" s="95"/>
      <c r="P1471" s="95"/>
      <c r="Q1471" s="95"/>
      <c r="R1471" s="95"/>
      <c r="T1471" s="81"/>
      <c r="U1471" s="95"/>
      <c r="V1471" s="95"/>
      <c r="W1471" s="95"/>
    </row>
    <row r="1472" spans="5:23" ht="10.15" customHeight="1">
      <c r="E1472" s="95"/>
      <c r="F1472" s="95"/>
      <c r="G1472" s="95"/>
      <c r="H1472" s="95"/>
      <c r="I1472" s="95"/>
      <c r="J1472" s="95"/>
      <c r="K1472" s="95"/>
      <c r="L1472" s="95"/>
      <c r="M1472" s="95"/>
      <c r="N1472" s="95"/>
      <c r="O1472" s="95"/>
      <c r="P1472" s="95"/>
      <c r="Q1472" s="95"/>
      <c r="R1472" s="95"/>
      <c r="T1472" s="81"/>
      <c r="U1472" s="95"/>
      <c r="V1472" s="95"/>
      <c r="W1472" s="95"/>
    </row>
    <row r="1473" spans="5:23" ht="10.15" customHeight="1">
      <c r="E1473" s="95"/>
      <c r="F1473" s="95"/>
      <c r="G1473" s="95"/>
      <c r="H1473" s="95"/>
      <c r="I1473" s="95"/>
      <c r="J1473" s="95"/>
      <c r="K1473" s="95"/>
      <c r="L1473" s="95"/>
      <c r="M1473" s="95"/>
      <c r="N1473" s="95"/>
      <c r="O1473" s="95"/>
      <c r="P1473" s="95"/>
      <c r="Q1473" s="95"/>
      <c r="R1473" s="95"/>
      <c r="T1473" s="81"/>
      <c r="U1473" s="95"/>
      <c r="V1473" s="95"/>
      <c r="W1473" s="95"/>
    </row>
    <row r="1474" spans="5:23" ht="10.15" customHeight="1">
      <c r="E1474" s="95"/>
      <c r="F1474" s="95"/>
      <c r="G1474" s="95"/>
      <c r="H1474" s="95"/>
      <c r="I1474" s="95"/>
      <c r="J1474" s="95"/>
      <c r="K1474" s="95"/>
      <c r="L1474" s="95"/>
      <c r="M1474" s="95"/>
      <c r="N1474" s="95"/>
      <c r="O1474" s="95"/>
      <c r="P1474" s="95"/>
      <c r="Q1474" s="95"/>
      <c r="R1474" s="95"/>
      <c r="T1474" s="81"/>
      <c r="U1474" s="95"/>
      <c r="V1474" s="95"/>
      <c r="W1474" s="95"/>
    </row>
    <row r="1475" spans="5:23" ht="10.15" customHeight="1">
      <c r="E1475" s="95"/>
      <c r="F1475" s="95"/>
      <c r="G1475" s="95"/>
      <c r="H1475" s="95"/>
      <c r="I1475" s="95"/>
      <c r="J1475" s="95"/>
      <c r="K1475" s="95"/>
      <c r="L1475" s="95"/>
      <c r="M1475" s="95"/>
      <c r="N1475" s="95"/>
      <c r="O1475" s="95"/>
      <c r="P1475" s="95"/>
      <c r="Q1475" s="95"/>
      <c r="R1475" s="95"/>
      <c r="T1475" s="81"/>
      <c r="U1475" s="95"/>
      <c r="V1475" s="95"/>
      <c r="W1475" s="95"/>
    </row>
    <row r="1476" spans="5:23" ht="10.15" customHeight="1">
      <c r="E1476" s="95"/>
      <c r="F1476" s="95"/>
      <c r="G1476" s="95"/>
      <c r="H1476" s="95"/>
      <c r="I1476" s="95"/>
      <c r="J1476" s="95"/>
      <c r="K1476" s="95"/>
      <c r="L1476" s="95"/>
      <c r="M1476" s="95"/>
      <c r="N1476" s="95"/>
      <c r="O1476" s="95"/>
      <c r="P1476" s="95"/>
      <c r="Q1476" s="95"/>
      <c r="R1476" s="95"/>
      <c r="T1476" s="81"/>
      <c r="U1476" s="95"/>
      <c r="V1476" s="95"/>
      <c r="W1476" s="95"/>
    </row>
    <row r="1477" spans="5:23" ht="10.15" customHeight="1">
      <c r="E1477" s="95"/>
      <c r="F1477" s="95"/>
      <c r="G1477" s="95"/>
      <c r="H1477" s="95"/>
      <c r="I1477" s="95"/>
      <c r="J1477" s="95"/>
      <c r="K1477" s="95"/>
      <c r="L1477" s="95"/>
      <c r="M1477" s="95"/>
      <c r="N1477" s="95"/>
      <c r="O1477" s="95"/>
      <c r="P1477" s="95"/>
      <c r="Q1477" s="95"/>
      <c r="R1477" s="95"/>
      <c r="T1477" s="81"/>
      <c r="U1477" s="95"/>
      <c r="V1477" s="95"/>
      <c r="W1477" s="95"/>
    </row>
    <row r="1478" spans="5:23" ht="10.15" customHeight="1">
      <c r="E1478" s="95"/>
      <c r="F1478" s="95"/>
      <c r="G1478" s="95"/>
      <c r="H1478" s="95"/>
      <c r="I1478" s="95"/>
      <c r="J1478" s="95"/>
      <c r="K1478" s="95"/>
      <c r="L1478" s="95"/>
      <c r="M1478" s="95"/>
      <c r="N1478" s="95"/>
      <c r="O1478" s="95"/>
      <c r="P1478" s="95"/>
      <c r="Q1478" s="95"/>
      <c r="R1478" s="95"/>
      <c r="T1478" s="81"/>
      <c r="U1478" s="95"/>
      <c r="V1478" s="95"/>
      <c r="W1478" s="95"/>
    </row>
    <row r="1479" spans="5:23" ht="10.15" customHeight="1">
      <c r="E1479" s="95"/>
      <c r="F1479" s="95"/>
      <c r="G1479" s="95"/>
      <c r="H1479" s="95"/>
      <c r="I1479" s="95"/>
      <c r="J1479" s="95"/>
      <c r="K1479" s="95"/>
      <c r="L1479" s="95"/>
      <c r="M1479" s="95"/>
      <c r="N1479" s="95"/>
      <c r="O1479" s="95"/>
      <c r="P1479" s="95"/>
      <c r="Q1479" s="95"/>
      <c r="R1479" s="95"/>
      <c r="T1479" s="81"/>
      <c r="U1479" s="95"/>
      <c r="V1479" s="95"/>
      <c r="W1479" s="95"/>
    </row>
    <row r="1480" spans="5:23" ht="10.15" customHeight="1">
      <c r="E1480" s="95"/>
      <c r="F1480" s="95"/>
      <c r="G1480" s="95"/>
      <c r="H1480" s="95"/>
      <c r="I1480" s="95"/>
      <c r="J1480" s="95"/>
      <c r="K1480" s="95"/>
      <c r="L1480" s="95"/>
      <c r="M1480" s="95"/>
      <c r="N1480" s="95"/>
      <c r="O1480" s="95"/>
      <c r="P1480" s="95"/>
      <c r="Q1480" s="95"/>
      <c r="R1480" s="95"/>
      <c r="T1480" s="81"/>
      <c r="U1480" s="95"/>
      <c r="V1480" s="95"/>
      <c r="W1480" s="95"/>
    </row>
    <row r="1481" spans="5:23" ht="10.15" customHeight="1">
      <c r="E1481" s="95"/>
      <c r="F1481" s="95"/>
      <c r="G1481" s="95"/>
      <c r="H1481" s="95"/>
      <c r="I1481" s="95"/>
      <c r="J1481" s="95"/>
      <c r="K1481" s="95"/>
      <c r="L1481" s="95"/>
      <c r="M1481" s="95"/>
      <c r="N1481" s="95"/>
      <c r="O1481" s="95"/>
      <c r="P1481" s="95"/>
      <c r="Q1481" s="95"/>
      <c r="R1481" s="95"/>
      <c r="T1481" s="81"/>
      <c r="U1481" s="95"/>
      <c r="V1481" s="95"/>
      <c r="W1481" s="95"/>
    </row>
    <row r="1482" spans="5:23" ht="10.15" customHeight="1">
      <c r="E1482" s="95"/>
      <c r="F1482" s="95"/>
      <c r="G1482" s="95"/>
      <c r="H1482" s="95"/>
      <c r="I1482" s="95"/>
      <c r="J1482" s="95"/>
      <c r="K1482" s="95"/>
      <c r="L1482" s="95"/>
      <c r="M1482" s="95"/>
      <c r="N1482" s="95"/>
      <c r="O1482" s="95"/>
      <c r="P1482" s="95"/>
      <c r="Q1482" s="95"/>
      <c r="R1482" s="95"/>
      <c r="T1482" s="81"/>
      <c r="U1482" s="95"/>
      <c r="V1482" s="95"/>
      <c r="W1482" s="95"/>
    </row>
    <row r="1483" spans="5:23" ht="10.15" customHeight="1">
      <c r="E1483" s="95"/>
      <c r="F1483" s="95"/>
      <c r="G1483" s="95"/>
      <c r="H1483" s="95"/>
      <c r="I1483" s="95"/>
      <c r="J1483" s="95"/>
      <c r="K1483" s="95"/>
      <c r="L1483" s="95"/>
      <c r="M1483" s="95"/>
      <c r="N1483" s="95"/>
      <c r="O1483" s="95"/>
      <c r="P1483" s="95"/>
      <c r="Q1483" s="95"/>
      <c r="R1483" s="95"/>
      <c r="T1483" s="81"/>
      <c r="U1483" s="95"/>
      <c r="V1483" s="95"/>
      <c r="W1483" s="95"/>
    </row>
    <row r="1484" spans="5:23" ht="10.15" customHeight="1">
      <c r="E1484" s="95"/>
      <c r="F1484" s="95"/>
      <c r="G1484" s="95"/>
      <c r="H1484" s="95"/>
      <c r="I1484" s="95"/>
      <c r="J1484" s="95"/>
      <c r="K1484" s="95"/>
      <c r="L1484" s="95"/>
      <c r="M1484" s="95"/>
      <c r="N1484" s="95"/>
      <c r="O1484" s="95"/>
      <c r="P1484" s="95"/>
      <c r="Q1484" s="95"/>
      <c r="R1484" s="95"/>
      <c r="T1484" s="81"/>
      <c r="U1484" s="95"/>
      <c r="V1484" s="95"/>
      <c r="W1484" s="95"/>
    </row>
    <row r="1485" spans="5:23" ht="10.15" customHeight="1">
      <c r="E1485" s="95"/>
      <c r="F1485" s="95"/>
      <c r="G1485" s="95"/>
      <c r="H1485" s="95"/>
      <c r="I1485" s="95"/>
      <c r="J1485" s="95"/>
      <c r="K1485" s="95"/>
      <c r="L1485" s="95"/>
      <c r="M1485" s="95"/>
      <c r="N1485" s="95"/>
      <c r="O1485" s="95"/>
      <c r="P1485" s="95"/>
      <c r="Q1485" s="95"/>
      <c r="R1485" s="95"/>
      <c r="T1485" s="81"/>
      <c r="U1485" s="95"/>
      <c r="V1485" s="95"/>
      <c r="W1485" s="95"/>
    </row>
    <row r="1486" spans="5:23" ht="10.15" customHeight="1">
      <c r="E1486" s="95"/>
      <c r="F1486" s="95"/>
      <c r="G1486" s="95"/>
      <c r="H1486" s="95"/>
      <c r="I1486" s="95"/>
      <c r="J1486" s="95"/>
      <c r="K1486" s="95"/>
      <c r="L1486" s="95"/>
      <c r="M1486" s="95"/>
      <c r="N1486" s="95"/>
      <c r="O1486" s="95"/>
      <c r="P1486" s="95"/>
      <c r="Q1486" s="95"/>
      <c r="R1486" s="95"/>
      <c r="T1486" s="81"/>
      <c r="U1486" s="95"/>
      <c r="V1486" s="95"/>
      <c r="W1486" s="95"/>
    </row>
    <row r="1487" spans="5:23" ht="10.15" customHeight="1">
      <c r="E1487" s="95"/>
      <c r="F1487" s="95"/>
      <c r="G1487" s="95"/>
      <c r="H1487" s="95"/>
      <c r="I1487" s="95"/>
      <c r="J1487" s="95"/>
      <c r="K1487" s="95"/>
      <c r="L1487" s="95"/>
      <c r="M1487" s="95"/>
      <c r="N1487" s="95"/>
      <c r="O1487" s="95"/>
      <c r="P1487" s="95"/>
      <c r="Q1487" s="95"/>
      <c r="R1487" s="95"/>
      <c r="T1487" s="81"/>
      <c r="U1487" s="95"/>
      <c r="V1487" s="95"/>
      <c r="W1487" s="95"/>
    </row>
    <row r="1488" spans="5:23" ht="10.15" customHeight="1">
      <c r="E1488" s="95"/>
      <c r="F1488" s="95"/>
      <c r="G1488" s="95"/>
      <c r="H1488" s="95"/>
      <c r="I1488" s="95"/>
      <c r="J1488" s="95"/>
      <c r="K1488" s="95"/>
      <c r="L1488" s="95"/>
      <c r="M1488" s="95"/>
      <c r="N1488" s="95"/>
      <c r="O1488" s="95"/>
      <c r="P1488" s="95"/>
      <c r="Q1488" s="95"/>
      <c r="R1488" s="95"/>
      <c r="T1488" s="81"/>
      <c r="U1488" s="95"/>
      <c r="V1488" s="95"/>
      <c r="W1488" s="95"/>
    </row>
    <row r="1489" spans="5:23" ht="10.15" customHeight="1">
      <c r="E1489" s="95"/>
      <c r="F1489" s="95"/>
      <c r="G1489" s="95"/>
      <c r="H1489" s="95"/>
      <c r="I1489" s="95"/>
      <c r="J1489" s="95"/>
      <c r="K1489" s="95"/>
      <c r="L1489" s="95"/>
      <c r="M1489" s="95"/>
      <c r="N1489" s="95"/>
      <c r="O1489" s="95"/>
      <c r="P1489" s="95"/>
      <c r="Q1489" s="95"/>
      <c r="R1489" s="95"/>
      <c r="T1489" s="81"/>
      <c r="U1489" s="95"/>
      <c r="V1489" s="95"/>
      <c r="W1489" s="95"/>
    </row>
    <row r="1490" spans="5:23" ht="10.15" customHeight="1">
      <c r="E1490" s="95"/>
      <c r="F1490" s="95"/>
      <c r="G1490" s="95"/>
      <c r="H1490" s="95"/>
      <c r="I1490" s="95"/>
      <c r="J1490" s="95"/>
      <c r="K1490" s="95"/>
      <c r="L1490" s="95"/>
      <c r="M1490" s="95"/>
      <c r="N1490" s="95"/>
      <c r="O1490" s="95"/>
      <c r="P1490" s="95"/>
      <c r="Q1490" s="95"/>
      <c r="R1490" s="95"/>
      <c r="T1490" s="81"/>
      <c r="U1490" s="95"/>
      <c r="V1490" s="95"/>
      <c r="W1490" s="95"/>
    </row>
    <row r="1491" spans="5:23" ht="10.15" customHeight="1">
      <c r="E1491" s="95"/>
      <c r="F1491" s="95"/>
      <c r="G1491" s="95"/>
      <c r="H1491" s="95"/>
      <c r="I1491" s="95"/>
      <c r="J1491" s="95"/>
      <c r="K1491" s="95"/>
      <c r="L1491" s="95"/>
      <c r="M1491" s="95"/>
      <c r="N1491" s="95"/>
      <c r="O1491" s="95"/>
      <c r="P1491" s="95"/>
      <c r="Q1491" s="95"/>
      <c r="R1491" s="95"/>
      <c r="T1491" s="81"/>
      <c r="U1491" s="95"/>
      <c r="V1491" s="95"/>
      <c r="W1491" s="95"/>
    </row>
    <row r="1492" spans="5:23" ht="10.15" customHeight="1">
      <c r="E1492" s="95"/>
      <c r="F1492" s="95"/>
      <c r="G1492" s="95"/>
      <c r="H1492" s="95"/>
      <c r="I1492" s="95"/>
      <c r="J1492" s="95"/>
      <c r="K1492" s="95"/>
      <c r="L1492" s="95"/>
      <c r="M1492" s="95"/>
      <c r="N1492" s="95"/>
      <c r="O1492" s="95"/>
      <c r="P1492" s="95"/>
      <c r="Q1492" s="95"/>
      <c r="R1492" s="95"/>
      <c r="T1492" s="81"/>
      <c r="U1492" s="95"/>
      <c r="V1492" s="95"/>
      <c r="W1492" s="95"/>
    </row>
    <row r="1493" spans="5:23" ht="10.15" customHeight="1">
      <c r="E1493" s="95"/>
      <c r="F1493" s="95"/>
      <c r="G1493" s="95"/>
      <c r="H1493" s="95"/>
      <c r="I1493" s="95"/>
      <c r="J1493" s="95"/>
      <c r="K1493" s="95"/>
      <c r="L1493" s="95"/>
      <c r="M1493" s="95"/>
      <c r="N1493" s="95"/>
      <c r="O1493" s="95"/>
      <c r="P1493" s="95"/>
      <c r="Q1493" s="95"/>
      <c r="R1493" s="95"/>
      <c r="T1493" s="81"/>
      <c r="U1493" s="95"/>
      <c r="V1493" s="95"/>
      <c r="W1493" s="95"/>
    </row>
    <row r="1494" spans="5:23" ht="10.15" customHeight="1">
      <c r="E1494" s="95"/>
      <c r="F1494" s="95"/>
      <c r="G1494" s="95"/>
      <c r="H1494" s="95"/>
      <c r="I1494" s="95"/>
      <c r="J1494" s="95"/>
      <c r="K1494" s="95"/>
      <c r="L1494" s="95"/>
      <c r="M1494" s="95"/>
      <c r="N1494" s="95"/>
      <c r="O1494" s="95"/>
      <c r="P1494" s="95"/>
      <c r="Q1494" s="95"/>
      <c r="R1494" s="95"/>
      <c r="T1494" s="81"/>
      <c r="U1494" s="95"/>
      <c r="V1494" s="95"/>
      <c r="W1494" s="95"/>
    </row>
    <row r="1495" spans="5:23" ht="10.15" customHeight="1">
      <c r="E1495" s="95"/>
      <c r="F1495" s="95"/>
      <c r="G1495" s="95"/>
      <c r="H1495" s="95"/>
      <c r="I1495" s="95"/>
      <c r="J1495" s="95"/>
      <c r="K1495" s="95"/>
      <c r="L1495" s="95"/>
      <c r="M1495" s="95"/>
      <c r="N1495" s="95"/>
      <c r="O1495" s="95"/>
      <c r="P1495" s="95"/>
      <c r="Q1495" s="95"/>
      <c r="R1495" s="95"/>
      <c r="T1495" s="81"/>
      <c r="U1495" s="95"/>
      <c r="V1495" s="95"/>
      <c r="W1495" s="95"/>
    </row>
    <row r="1496" spans="5:23" ht="10.15" customHeight="1">
      <c r="E1496" s="95"/>
      <c r="F1496" s="95"/>
      <c r="G1496" s="95"/>
      <c r="H1496" s="95"/>
      <c r="I1496" s="95"/>
      <c r="J1496" s="95"/>
      <c r="K1496" s="95"/>
      <c r="L1496" s="95"/>
      <c r="M1496" s="95"/>
      <c r="N1496" s="95"/>
      <c r="O1496" s="95"/>
      <c r="P1496" s="95"/>
      <c r="Q1496" s="95"/>
      <c r="R1496" s="95"/>
      <c r="T1496" s="81"/>
      <c r="U1496" s="95"/>
      <c r="V1496" s="95"/>
      <c r="W1496" s="95"/>
    </row>
    <row r="1497" spans="5:23" ht="10.15" customHeight="1">
      <c r="E1497" s="95"/>
      <c r="F1497" s="95"/>
      <c r="G1497" s="95"/>
      <c r="H1497" s="95"/>
      <c r="I1497" s="95"/>
      <c r="J1497" s="95"/>
      <c r="K1497" s="95"/>
      <c r="L1497" s="95"/>
      <c r="M1497" s="95"/>
      <c r="N1497" s="95"/>
      <c r="O1497" s="95"/>
      <c r="P1497" s="95"/>
      <c r="Q1497" s="95"/>
      <c r="R1497" s="95"/>
      <c r="T1497" s="81"/>
      <c r="U1497" s="95"/>
      <c r="V1497" s="95"/>
      <c r="W1497" s="95"/>
    </row>
    <row r="1498" spans="5:23" ht="10.15" customHeight="1">
      <c r="E1498" s="95"/>
      <c r="F1498" s="95"/>
      <c r="G1498" s="95"/>
      <c r="H1498" s="95"/>
      <c r="I1498" s="95"/>
      <c r="J1498" s="95"/>
      <c r="K1498" s="95"/>
      <c r="L1498" s="95"/>
      <c r="M1498" s="95"/>
      <c r="N1498" s="95"/>
      <c r="O1498" s="95"/>
      <c r="P1498" s="95"/>
      <c r="Q1498" s="95"/>
      <c r="R1498" s="95"/>
      <c r="T1498" s="81"/>
      <c r="U1498" s="95"/>
      <c r="V1498" s="95"/>
      <c r="W1498" s="95"/>
    </row>
    <row r="1499" spans="5:23" ht="10.15" customHeight="1">
      <c r="E1499" s="95"/>
      <c r="F1499" s="95"/>
      <c r="G1499" s="95"/>
      <c r="H1499" s="95"/>
      <c r="I1499" s="95"/>
      <c r="J1499" s="95"/>
      <c r="K1499" s="95"/>
      <c r="L1499" s="95"/>
      <c r="M1499" s="95"/>
      <c r="N1499" s="95"/>
      <c r="O1499" s="95"/>
      <c r="P1499" s="95"/>
      <c r="Q1499" s="95"/>
      <c r="R1499" s="95"/>
      <c r="T1499" s="81"/>
      <c r="U1499" s="95"/>
      <c r="V1499" s="95"/>
      <c r="W1499" s="95"/>
    </row>
    <row r="1500" spans="5:23" ht="10.15" customHeight="1">
      <c r="E1500" s="95"/>
      <c r="F1500" s="95"/>
      <c r="G1500" s="95"/>
      <c r="H1500" s="95"/>
      <c r="I1500" s="95"/>
      <c r="J1500" s="95"/>
      <c r="K1500" s="95"/>
      <c r="L1500" s="95"/>
      <c r="M1500" s="95"/>
      <c r="N1500" s="95"/>
      <c r="O1500" s="95"/>
      <c r="P1500" s="95"/>
      <c r="Q1500" s="95"/>
      <c r="R1500" s="95"/>
      <c r="T1500" s="81"/>
      <c r="U1500" s="95"/>
      <c r="V1500" s="95"/>
      <c r="W1500" s="95"/>
    </row>
    <row r="1501" spans="5:23" ht="10.15" customHeight="1">
      <c r="E1501" s="95"/>
      <c r="F1501" s="95"/>
      <c r="G1501" s="95"/>
      <c r="H1501" s="95"/>
      <c r="I1501" s="95"/>
      <c r="J1501" s="95"/>
      <c r="K1501" s="95"/>
      <c r="L1501" s="95"/>
      <c r="M1501" s="95"/>
      <c r="N1501" s="95"/>
      <c r="O1501" s="95"/>
      <c r="P1501" s="95"/>
      <c r="Q1501" s="95"/>
      <c r="R1501" s="95"/>
      <c r="T1501" s="81"/>
      <c r="U1501" s="95"/>
      <c r="V1501" s="95"/>
      <c r="W1501" s="95"/>
    </row>
    <row r="1502" spans="5:23" ht="10.15" customHeight="1">
      <c r="E1502" s="95"/>
      <c r="F1502" s="95"/>
      <c r="G1502" s="95"/>
      <c r="H1502" s="95"/>
      <c r="I1502" s="95"/>
      <c r="J1502" s="95"/>
      <c r="K1502" s="95"/>
      <c r="L1502" s="95"/>
      <c r="M1502" s="95"/>
      <c r="N1502" s="95"/>
      <c r="O1502" s="95"/>
      <c r="P1502" s="95"/>
      <c r="Q1502" s="95"/>
      <c r="R1502" s="95"/>
      <c r="T1502" s="81"/>
      <c r="U1502" s="95"/>
      <c r="V1502" s="95"/>
      <c r="W1502" s="95"/>
    </row>
    <row r="1503" spans="5:23" ht="10.15" customHeight="1">
      <c r="E1503" s="95"/>
      <c r="F1503" s="95"/>
      <c r="G1503" s="95"/>
      <c r="H1503" s="95"/>
      <c r="I1503" s="95"/>
      <c r="J1503" s="95"/>
      <c r="K1503" s="95"/>
      <c r="L1503" s="95"/>
      <c r="M1503" s="95"/>
      <c r="N1503" s="95"/>
      <c r="O1503" s="95"/>
      <c r="P1503" s="95"/>
      <c r="Q1503" s="95"/>
      <c r="R1503" s="95"/>
      <c r="T1503" s="81"/>
      <c r="U1503" s="95"/>
      <c r="V1503" s="95"/>
      <c r="W1503" s="95"/>
    </row>
    <row r="1504" spans="5:23" ht="10.15" customHeight="1">
      <c r="E1504" s="95"/>
      <c r="F1504" s="95"/>
      <c r="G1504" s="95"/>
      <c r="H1504" s="95"/>
      <c r="I1504" s="95"/>
      <c r="J1504" s="95"/>
      <c r="K1504" s="95"/>
      <c r="L1504" s="95"/>
      <c r="M1504" s="95"/>
      <c r="N1504" s="95"/>
      <c r="O1504" s="95"/>
      <c r="P1504" s="95"/>
      <c r="Q1504" s="95"/>
      <c r="R1504" s="95"/>
      <c r="T1504" s="81"/>
      <c r="U1504" s="95"/>
      <c r="V1504" s="95"/>
      <c r="W1504" s="95"/>
    </row>
    <row r="1505" spans="5:23" ht="10.15" customHeight="1">
      <c r="E1505" s="95"/>
      <c r="F1505" s="95"/>
      <c r="G1505" s="95"/>
      <c r="H1505" s="95"/>
      <c r="I1505" s="95"/>
      <c r="J1505" s="95"/>
      <c r="K1505" s="95"/>
      <c r="L1505" s="95"/>
      <c r="M1505" s="95"/>
      <c r="N1505" s="95"/>
      <c r="O1505" s="95"/>
      <c r="P1505" s="95"/>
      <c r="Q1505" s="95"/>
      <c r="R1505" s="95"/>
      <c r="T1505" s="81"/>
      <c r="U1505" s="95"/>
      <c r="V1505" s="95"/>
      <c r="W1505" s="95"/>
    </row>
    <row r="1506" spans="5:23" ht="10.15" customHeight="1">
      <c r="E1506" s="95"/>
      <c r="F1506" s="95"/>
      <c r="G1506" s="95"/>
      <c r="H1506" s="95"/>
      <c r="I1506" s="95"/>
      <c r="J1506" s="95"/>
      <c r="K1506" s="95"/>
      <c r="L1506" s="95"/>
      <c r="M1506" s="95"/>
      <c r="N1506" s="95"/>
      <c r="O1506" s="95"/>
      <c r="P1506" s="95"/>
      <c r="Q1506" s="95"/>
      <c r="R1506" s="95"/>
      <c r="T1506" s="81"/>
      <c r="U1506" s="95"/>
      <c r="V1506" s="95"/>
      <c r="W1506" s="95"/>
    </row>
    <row r="1507" spans="5:23" ht="10.15" customHeight="1">
      <c r="E1507" s="95"/>
      <c r="F1507" s="95"/>
      <c r="G1507" s="95"/>
      <c r="H1507" s="95"/>
      <c r="I1507" s="95"/>
      <c r="J1507" s="95"/>
      <c r="K1507" s="95"/>
      <c r="L1507" s="95"/>
      <c r="M1507" s="95"/>
      <c r="N1507" s="95"/>
      <c r="O1507" s="95"/>
      <c r="P1507" s="95"/>
      <c r="Q1507" s="95"/>
      <c r="R1507" s="95"/>
      <c r="T1507" s="81"/>
      <c r="U1507" s="95"/>
      <c r="V1507" s="95"/>
      <c r="W1507" s="95"/>
    </row>
    <row r="1508" spans="5:23" ht="10.15" customHeight="1">
      <c r="E1508" s="95"/>
      <c r="F1508" s="95"/>
      <c r="G1508" s="95"/>
      <c r="H1508" s="95"/>
      <c r="I1508" s="95"/>
      <c r="J1508" s="95"/>
      <c r="K1508" s="95"/>
      <c r="L1508" s="95"/>
      <c r="M1508" s="95"/>
      <c r="N1508" s="95"/>
      <c r="O1508" s="95"/>
      <c r="P1508" s="95"/>
      <c r="Q1508" s="95"/>
      <c r="R1508" s="95"/>
      <c r="T1508" s="81"/>
      <c r="U1508" s="95"/>
      <c r="V1508" s="95"/>
      <c r="W1508" s="95"/>
    </row>
    <row r="1509" spans="5:23" ht="10.15" customHeight="1">
      <c r="E1509" s="95"/>
      <c r="F1509" s="95"/>
      <c r="G1509" s="95"/>
      <c r="H1509" s="95"/>
      <c r="I1509" s="95"/>
      <c r="J1509" s="95"/>
      <c r="K1509" s="95"/>
      <c r="L1509" s="95"/>
      <c r="M1509" s="95"/>
      <c r="N1509" s="95"/>
      <c r="O1509" s="95"/>
      <c r="P1509" s="95"/>
      <c r="Q1509" s="95"/>
      <c r="R1509" s="95"/>
      <c r="T1509" s="81"/>
      <c r="U1509" s="95"/>
      <c r="V1509" s="95"/>
      <c r="W1509" s="95"/>
    </row>
    <row r="1510" spans="5:23" ht="10.15" customHeight="1">
      <c r="E1510" s="95"/>
      <c r="F1510" s="95"/>
      <c r="G1510" s="95"/>
      <c r="H1510" s="95"/>
      <c r="I1510" s="95"/>
      <c r="J1510" s="95"/>
      <c r="K1510" s="95"/>
      <c r="L1510" s="95"/>
      <c r="M1510" s="95"/>
      <c r="N1510" s="95"/>
      <c r="O1510" s="95"/>
      <c r="P1510" s="95"/>
      <c r="Q1510" s="95"/>
      <c r="R1510" s="95"/>
      <c r="T1510" s="81"/>
      <c r="U1510" s="95"/>
      <c r="V1510" s="95"/>
      <c r="W1510" s="95"/>
    </row>
    <row r="1511" spans="5:23" ht="10.15" customHeight="1">
      <c r="E1511" s="95"/>
      <c r="F1511" s="95"/>
      <c r="G1511" s="95"/>
      <c r="H1511" s="95"/>
      <c r="I1511" s="95"/>
      <c r="J1511" s="95"/>
      <c r="K1511" s="95"/>
      <c r="L1511" s="95"/>
      <c r="M1511" s="95"/>
      <c r="N1511" s="95"/>
      <c r="O1511" s="95"/>
      <c r="P1511" s="95"/>
      <c r="Q1511" s="95"/>
      <c r="R1511" s="95"/>
      <c r="T1511" s="81"/>
      <c r="U1511" s="95"/>
      <c r="V1511" s="95"/>
      <c r="W1511" s="95"/>
    </row>
    <row r="1512" spans="5:23" ht="10.15" customHeight="1">
      <c r="E1512" s="95"/>
      <c r="F1512" s="95"/>
      <c r="G1512" s="95"/>
      <c r="H1512" s="95"/>
      <c r="I1512" s="95"/>
      <c r="J1512" s="95"/>
      <c r="K1512" s="95"/>
      <c r="L1512" s="95"/>
      <c r="M1512" s="95"/>
      <c r="N1512" s="95"/>
      <c r="O1512" s="95"/>
      <c r="P1512" s="95"/>
      <c r="Q1512" s="95"/>
      <c r="R1512" s="95"/>
      <c r="T1512" s="81"/>
      <c r="U1512" s="95"/>
      <c r="V1512" s="95"/>
      <c r="W1512" s="95"/>
    </row>
    <row r="1513" spans="5:23" ht="10.15" customHeight="1">
      <c r="E1513" s="95"/>
      <c r="F1513" s="95"/>
      <c r="G1513" s="95"/>
      <c r="H1513" s="95"/>
      <c r="I1513" s="95"/>
      <c r="J1513" s="95"/>
      <c r="K1513" s="95"/>
      <c r="L1513" s="95"/>
      <c r="M1513" s="95"/>
      <c r="N1513" s="95"/>
      <c r="O1513" s="95"/>
      <c r="P1513" s="95"/>
      <c r="Q1513" s="95"/>
      <c r="R1513" s="95"/>
      <c r="T1513" s="81"/>
      <c r="U1513" s="95"/>
      <c r="V1513" s="95"/>
      <c r="W1513" s="95"/>
    </row>
    <row r="1514" spans="5:23" ht="10.15" customHeight="1">
      <c r="E1514" s="95"/>
      <c r="F1514" s="95"/>
      <c r="G1514" s="95"/>
      <c r="H1514" s="95"/>
      <c r="I1514" s="95"/>
      <c r="J1514" s="95"/>
      <c r="K1514" s="95"/>
      <c r="L1514" s="95"/>
      <c r="M1514" s="95"/>
      <c r="N1514" s="95"/>
      <c r="O1514" s="95"/>
      <c r="P1514" s="95"/>
      <c r="Q1514" s="95"/>
      <c r="R1514" s="95"/>
      <c r="T1514" s="81"/>
      <c r="U1514" s="95"/>
      <c r="V1514" s="95"/>
      <c r="W1514" s="95"/>
    </row>
    <row r="1515" spans="5:23" ht="10.15" customHeight="1">
      <c r="E1515" s="95"/>
      <c r="F1515" s="95"/>
      <c r="G1515" s="95"/>
      <c r="H1515" s="95"/>
      <c r="I1515" s="95"/>
      <c r="J1515" s="95"/>
      <c r="K1515" s="95"/>
      <c r="L1515" s="95"/>
      <c r="M1515" s="95"/>
      <c r="N1515" s="95"/>
      <c r="O1515" s="95"/>
      <c r="P1515" s="95"/>
      <c r="Q1515" s="95"/>
      <c r="R1515" s="95"/>
      <c r="T1515" s="81"/>
      <c r="U1515" s="95"/>
      <c r="V1515" s="95"/>
      <c r="W1515" s="95"/>
    </row>
    <row r="1516" spans="5:23" ht="10.15" customHeight="1">
      <c r="E1516" s="95"/>
      <c r="F1516" s="95"/>
      <c r="G1516" s="95"/>
      <c r="H1516" s="95"/>
      <c r="I1516" s="95"/>
      <c r="J1516" s="95"/>
      <c r="K1516" s="95"/>
      <c r="L1516" s="95"/>
      <c r="M1516" s="95"/>
      <c r="N1516" s="95"/>
      <c r="O1516" s="95"/>
      <c r="P1516" s="95"/>
      <c r="Q1516" s="95"/>
      <c r="R1516" s="95"/>
      <c r="T1516" s="81"/>
      <c r="U1516" s="95"/>
      <c r="V1516" s="95"/>
      <c r="W1516" s="95"/>
    </row>
    <row r="1517" spans="5:23" ht="10.15" customHeight="1">
      <c r="E1517" s="95"/>
      <c r="F1517" s="95"/>
      <c r="G1517" s="95"/>
      <c r="H1517" s="95"/>
      <c r="I1517" s="95"/>
      <c r="J1517" s="95"/>
      <c r="K1517" s="95"/>
      <c r="L1517" s="95"/>
      <c r="M1517" s="95"/>
      <c r="N1517" s="95"/>
      <c r="O1517" s="95"/>
      <c r="P1517" s="95"/>
      <c r="Q1517" s="95"/>
      <c r="R1517" s="95"/>
      <c r="T1517" s="81"/>
      <c r="U1517" s="95"/>
      <c r="V1517" s="95"/>
      <c r="W1517" s="95"/>
    </row>
    <row r="1518" spans="5:23" ht="10.15" customHeight="1">
      <c r="E1518" s="95"/>
      <c r="F1518" s="95"/>
      <c r="G1518" s="95"/>
      <c r="H1518" s="95"/>
      <c r="I1518" s="95"/>
      <c r="J1518" s="95"/>
      <c r="K1518" s="95"/>
      <c r="L1518" s="95"/>
      <c r="M1518" s="95"/>
      <c r="N1518" s="95"/>
      <c r="O1518" s="95"/>
      <c r="P1518" s="95"/>
      <c r="Q1518" s="95"/>
      <c r="R1518" s="95"/>
      <c r="T1518" s="81"/>
      <c r="U1518" s="95"/>
      <c r="V1518" s="95"/>
      <c r="W1518" s="95"/>
    </row>
    <row r="1519" spans="5:23" ht="10.15" customHeight="1">
      <c r="E1519" s="95"/>
      <c r="F1519" s="95"/>
      <c r="G1519" s="95"/>
      <c r="H1519" s="95"/>
      <c r="I1519" s="95"/>
      <c r="J1519" s="95"/>
      <c r="K1519" s="95"/>
      <c r="L1519" s="95"/>
      <c r="M1519" s="95"/>
      <c r="N1519" s="95"/>
      <c r="O1519" s="95"/>
      <c r="P1519" s="95"/>
      <c r="Q1519" s="95"/>
      <c r="R1519" s="95"/>
      <c r="T1519" s="81"/>
      <c r="U1519" s="95"/>
      <c r="V1519" s="95"/>
      <c r="W1519" s="95"/>
    </row>
    <row r="1520" spans="5:23" ht="10.15" customHeight="1">
      <c r="E1520" s="95"/>
      <c r="F1520" s="95"/>
      <c r="G1520" s="95"/>
      <c r="H1520" s="95"/>
      <c r="I1520" s="95"/>
      <c r="J1520" s="95"/>
      <c r="K1520" s="95"/>
      <c r="L1520" s="95"/>
      <c r="M1520" s="95"/>
      <c r="N1520" s="95"/>
      <c r="O1520" s="95"/>
      <c r="P1520" s="95"/>
      <c r="Q1520" s="95"/>
      <c r="R1520" s="95"/>
      <c r="T1520" s="81"/>
      <c r="U1520" s="95"/>
      <c r="V1520" s="95"/>
      <c r="W1520" s="95"/>
    </row>
    <row r="1521" spans="5:23" ht="10.15" customHeight="1">
      <c r="E1521" s="95"/>
      <c r="F1521" s="95"/>
      <c r="G1521" s="95"/>
      <c r="H1521" s="95"/>
      <c r="I1521" s="95"/>
      <c r="J1521" s="95"/>
      <c r="K1521" s="95"/>
      <c r="L1521" s="95"/>
      <c r="M1521" s="95"/>
      <c r="N1521" s="95"/>
      <c r="O1521" s="95"/>
      <c r="P1521" s="95"/>
      <c r="Q1521" s="95"/>
      <c r="R1521" s="95"/>
      <c r="T1521" s="81"/>
      <c r="U1521" s="95"/>
      <c r="V1521" s="95"/>
      <c r="W1521" s="95"/>
    </row>
    <row r="1522" spans="5:23" ht="10.15" customHeight="1">
      <c r="E1522" s="95"/>
      <c r="F1522" s="95"/>
      <c r="G1522" s="95"/>
      <c r="H1522" s="95"/>
      <c r="I1522" s="95"/>
      <c r="J1522" s="95"/>
      <c r="K1522" s="95"/>
      <c r="L1522" s="95"/>
      <c r="M1522" s="95"/>
      <c r="N1522" s="95"/>
      <c r="O1522" s="95"/>
      <c r="P1522" s="95"/>
      <c r="Q1522" s="95"/>
      <c r="R1522" s="95"/>
      <c r="T1522" s="81"/>
      <c r="U1522" s="95"/>
      <c r="V1522" s="95"/>
      <c r="W1522" s="95"/>
    </row>
    <row r="1523" spans="5:23" ht="10.15" customHeight="1">
      <c r="E1523" s="95"/>
      <c r="F1523" s="95"/>
      <c r="G1523" s="95"/>
      <c r="H1523" s="95"/>
      <c r="I1523" s="95"/>
      <c r="J1523" s="95"/>
      <c r="K1523" s="95"/>
      <c r="L1523" s="95"/>
      <c r="M1523" s="95"/>
      <c r="N1523" s="95"/>
      <c r="O1523" s="95"/>
      <c r="P1523" s="95"/>
      <c r="Q1523" s="95"/>
      <c r="R1523" s="95"/>
      <c r="T1523" s="81"/>
      <c r="U1523" s="95"/>
      <c r="V1523" s="95"/>
      <c r="W1523" s="95"/>
    </row>
    <row r="1524" spans="5:23" ht="10.15" customHeight="1">
      <c r="E1524" s="95"/>
      <c r="F1524" s="95"/>
      <c r="G1524" s="95"/>
      <c r="H1524" s="95"/>
      <c r="I1524" s="95"/>
      <c r="J1524" s="95"/>
      <c r="K1524" s="95"/>
      <c r="L1524" s="95"/>
      <c r="M1524" s="95"/>
      <c r="N1524" s="95"/>
      <c r="O1524" s="95"/>
      <c r="P1524" s="95"/>
      <c r="Q1524" s="95"/>
      <c r="R1524" s="95"/>
      <c r="T1524" s="81"/>
      <c r="U1524" s="95"/>
      <c r="V1524" s="95"/>
      <c r="W1524" s="95"/>
    </row>
    <row r="1525" spans="5:23" ht="10.15" customHeight="1">
      <c r="E1525" s="95"/>
      <c r="F1525" s="95"/>
      <c r="G1525" s="95"/>
      <c r="H1525" s="95"/>
      <c r="I1525" s="95"/>
      <c r="J1525" s="95"/>
      <c r="K1525" s="95"/>
      <c r="L1525" s="95"/>
      <c r="M1525" s="95"/>
      <c r="N1525" s="95"/>
      <c r="O1525" s="95"/>
      <c r="P1525" s="95"/>
      <c r="Q1525" s="95"/>
      <c r="R1525" s="95"/>
      <c r="T1525" s="81"/>
      <c r="U1525" s="95"/>
      <c r="V1525" s="95"/>
      <c r="W1525" s="95"/>
    </row>
    <row r="1526" spans="5:23" ht="10.15" customHeight="1">
      <c r="E1526" s="95"/>
      <c r="F1526" s="95"/>
      <c r="G1526" s="95"/>
      <c r="H1526" s="95"/>
      <c r="I1526" s="95"/>
      <c r="J1526" s="95"/>
      <c r="K1526" s="95"/>
      <c r="L1526" s="95"/>
      <c r="M1526" s="95"/>
      <c r="N1526" s="95"/>
      <c r="O1526" s="95"/>
      <c r="P1526" s="95"/>
      <c r="Q1526" s="95"/>
      <c r="R1526" s="95"/>
      <c r="T1526" s="81"/>
      <c r="U1526" s="95"/>
      <c r="V1526" s="95"/>
      <c r="W1526" s="95"/>
    </row>
    <row r="1527" spans="5:23" ht="10.15" customHeight="1">
      <c r="E1527" s="95"/>
      <c r="F1527" s="95"/>
      <c r="G1527" s="95"/>
      <c r="H1527" s="95"/>
      <c r="I1527" s="95"/>
      <c r="J1527" s="95"/>
      <c r="K1527" s="95"/>
      <c r="L1527" s="95"/>
      <c r="M1527" s="95"/>
      <c r="N1527" s="95"/>
      <c r="O1527" s="95"/>
      <c r="P1527" s="95"/>
      <c r="Q1527" s="95"/>
      <c r="R1527" s="95"/>
      <c r="T1527" s="81"/>
      <c r="U1527" s="95"/>
      <c r="V1527" s="95"/>
      <c r="W1527" s="95"/>
    </row>
    <row r="1528" spans="5:23" ht="10.15" customHeight="1">
      <c r="E1528" s="95"/>
      <c r="F1528" s="95"/>
      <c r="G1528" s="95"/>
      <c r="H1528" s="95"/>
      <c r="I1528" s="95"/>
      <c r="J1528" s="95"/>
      <c r="K1528" s="95"/>
      <c r="L1528" s="95"/>
      <c r="M1528" s="95"/>
      <c r="N1528" s="95"/>
      <c r="O1528" s="95"/>
      <c r="P1528" s="95"/>
      <c r="Q1528" s="95"/>
      <c r="R1528" s="95"/>
      <c r="T1528" s="81"/>
      <c r="U1528" s="95"/>
      <c r="V1528" s="95"/>
      <c r="W1528" s="95"/>
    </row>
    <row r="1529" spans="5:23" ht="10.15" customHeight="1">
      <c r="E1529" s="95"/>
      <c r="F1529" s="95"/>
      <c r="G1529" s="95"/>
      <c r="H1529" s="95"/>
      <c r="I1529" s="95"/>
      <c r="J1529" s="95"/>
      <c r="K1529" s="95"/>
      <c r="L1529" s="95"/>
      <c r="M1529" s="95"/>
      <c r="N1529" s="95"/>
      <c r="O1529" s="95"/>
      <c r="P1529" s="95"/>
      <c r="Q1529" s="95"/>
      <c r="R1529" s="95"/>
      <c r="T1529" s="81"/>
      <c r="U1529" s="95"/>
      <c r="V1529" s="95"/>
      <c r="W1529" s="95"/>
    </row>
    <row r="1530" spans="5:23" ht="10.15" customHeight="1">
      <c r="E1530" s="95"/>
      <c r="F1530" s="95"/>
      <c r="G1530" s="95"/>
      <c r="H1530" s="95"/>
      <c r="I1530" s="95"/>
      <c r="J1530" s="95"/>
      <c r="K1530" s="95"/>
      <c r="L1530" s="95"/>
      <c r="M1530" s="95"/>
      <c r="N1530" s="95"/>
      <c r="O1530" s="95"/>
      <c r="P1530" s="95"/>
      <c r="Q1530" s="95"/>
      <c r="R1530" s="95"/>
      <c r="T1530" s="81"/>
      <c r="U1530" s="95"/>
      <c r="V1530" s="95"/>
      <c r="W1530" s="95"/>
    </row>
    <row r="1531" spans="5:23" ht="10.15" customHeight="1">
      <c r="E1531" s="95"/>
      <c r="F1531" s="95"/>
      <c r="G1531" s="95"/>
      <c r="H1531" s="95"/>
      <c r="I1531" s="95"/>
      <c r="J1531" s="95"/>
      <c r="K1531" s="95"/>
      <c r="L1531" s="95"/>
      <c r="M1531" s="95"/>
      <c r="N1531" s="95"/>
      <c r="O1531" s="95"/>
      <c r="P1531" s="95"/>
      <c r="Q1531" s="95"/>
      <c r="R1531" s="95"/>
      <c r="T1531" s="81"/>
      <c r="U1531" s="95"/>
      <c r="V1531" s="95"/>
      <c r="W1531" s="95"/>
    </row>
    <row r="1532" spans="5:23" ht="10.15" customHeight="1">
      <c r="E1532" s="95"/>
      <c r="F1532" s="95"/>
      <c r="G1532" s="95"/>
      <c r="H1532" s="95"/>
      <c r="I1532" s="95"/>
      <c r="J1532" s="95"/>
      <c r="K1532" s="95"/>
      <c r="L1532" s="95"/>
      <c r="M1532" s="95"/>
      <c r="N1532" s="95"/>
      <c r="O1532" s="95"/>
      <c r="P1532" s="95"/>
      <c r="Q1532" s="95"/>
      <c r="R1532" s="95"/>
      <c r="T1532" s="81"/>
      <c r="U1532" s="95"/>
      <c r="V1532" s="95"/>
      <c r="W1532" s="95"/>
    </row>
    <row r="1533" spans="5:23" ht="10.15" customHeight="1">
      <c r="E1533" s="95"/>
      <c r="F1533" s="95"/>
      <c r="G1533" s="95"/>
      <c r="H1533" s="95"/>
      <c r="I1533" s="95"/>
      <c r="J1533" s="95"/>
      <c r="K1533" s="95"/>
      <c r="L1533" s="95"/>
      <c r="M1533" s="95"/>
      <c r="N1533" s="95"/>
      <c r="O1533" s="95"/>
      <c r="P1533" s="95"/>
      <c r="Q1533" s="95"/>
      <c r="R1533" s="95"/>
      <c r="T1533" s="81"/>
      <c r="U1533" s="95"/>
      <c r="V1533" s="95"/>
      <c r="W1533" s="95"/>
    </row>
    <row r="1534" spans="5:23" ht="10.15" customHeight="1">
      <c r="E1534" s="95"/>
      <c r="F1534" s="95"/>
      <c r="G1534" s="95"/>
      <c r="H1534" s="95"/>
      <c r="I1534" s="95"/>
      <c r="J1534" s="95"/>
      <c r="K1534" s="95"/>
      <c r="L1534" s="95"/>
      <c r="M1534" s="95"/>
      <c r="N1534" s="95"/>
      <c r="O1534" s="95"/>
      <c r="P1534" s="95"/>
      <c r="Q1534" s="95"/>
      <c r="R1534" s="95"/>
      <c r="T1534" s="81"/>
      <c r="U1534" s="95"/>
      <c r="V1534" s="95"/>
      <c r="W1534" s="95"/>
    </row>
    <row r="1535" spans="5:23" ht="10.15" customHeight="1">
      <c r="E1535" s="95"/>
      <c r="F1535" s="95"/>
      <c r="G1535" s="95"/>
      <c r="H1535" s="95"/>
      <c r="I1535" s="95"/>
      <c r="J1535" s="95"/>
      <c r="K1535" s="95"/>
      <c r="L1535" s="95"/>
      <c r="M1535" s="95"/>
      <c r="N1535" s="95"/>
      <c r="O1535" s="95"/>
      <c r="P1535" s="95"/>
      <c r="Q1535" s="95"/>
      <c r="R1535" s="95"/>
      <c r="T1535" s="81"/>
      <c r="U1535" s="95"/>
      <c r="V1535" s="95"/>
      <c r="W1535" s="95"/>
    </row>
    <row r="1536" spans="5:23" ht="10.15" customHeight="1">
      <c r="E1536" s="95"/>
      <c r="F1536" s="95"/>
      <c r="G1536" s="95"/>
      <c r="H1536" s="95"/>
      <c r="I1536" s="95"/>
      <c r="J1536" s="95"/>
      <c r="K1536" s="95"/>
      <c r="L1536" s="95"/>
      <c r="M1536" s="95"/>
      <c r="N1536" s="95"/>
      <c r="O1536" s="95"/>
      <c r="P1536" s="95"/>
      <c r="Q1536" s="95"/>
      <c r="R1536" s="95"/>
      <c r="T1536" s="81"/>
      <c r="U1536" s="95"/>
      <c r="V1536" s="95"/>
      <c r="W1536" s="95"/>
    </row>
    <row r="1537" spans="5:23" ht="10.15" customHeight="1">
      <c r="E1537" s="95"/>
      <c r="F1537" s="95"/>
      <c r="G1537" s="95"/>
      <c r="H1537" s="95"/>
      <c r="I1537" s="95"/>
      <c r="J1537" s="95"/>
      <c r="K1537" s="95"/>
      <c r="L1537" s="95"/>
      <c r="M1537" s="95"/>
      <c r="N1537" s="95"/>
      <c r="O1537" s="95"/>
      <c r="P1537" s="95"/>
      <c r="Q1537" s="95"/>
      <c r="R1537" s="95"/>
      <c r="T1537" s="81"/>
      <c r="U1537" s="95"/>
      <c r="V1537" s="95"/>
      <c r="W1537" s="95"/>
    </row>
    <row r="1538" spans="5:23" ht="10.15" customHeight="1">
      <c r="E1538" s="95"/>
      <c r="F1538" s="95"/>
      <c r="G1538" s="95"/>
      <c r="H1538" s="95"/>
      <c r="I1538" s="95"/>
      <c r="J1538" s="95"/>
      <c r="K1538" s="95"/>
      <c r="L1538" s="95"/>
      <c r="M1538" s="95"/>
      <c r="N1538" s="95"/>
      <c r="O1538" s="95"/>
      <c r="P1538" s="95"/>
      <c r="Q1538" s="95"/>
      <c r="R1538" s="95"/>
      <c r="T1538" s="81"/>
      <c r="U1538" s="95"/>
      <c r="V1538" s="95"/>
      <c r="W1538" s="95"/>
    </row>
    <row r="1539" spans="5:23" ht="10.15" customHeight="1">
      <c r="E1539" s="95"/>
      <c r="F1539" s="95"/>
      <c r="G1539" s="95"/>
      <c r="H1539" s="95"/>
      <c r="I1539" s="95"/>
      <c r="J1539" s="95"/>
      <c r="K1539" s="95"/>
      <c r="L1539" s="95"/>
      <c r="M1539" s="95"/>
      <c r="N1539" s="95"/>
      <c r="O1539" s="95"/>
      <c r="P1539" s="95"/>
      <c r="Q1539" s="95"/>
      <c r="R1539" s="95"/>
      <c r="T1539" s="81"/>
      <c r="U1539" s="95"/>
      <c r="V1539" s="95"/>
      <c r="W1539" s="95"/>
    </row>
    <row r="1540" spans="5:23" ht="10.15" customHeight="1">
      <c r="E1540" s="95"/>
      <c r="F1540" s="95"/>
      <c r="G1540" s="95"/>
      <c r="H1540" s="95"/>
      <c r="I1540" s="95"/>
      <c r="J1540" s="95"/>
      <c r="K1540" s="95"/>
      <c r="L1540" s="95"/>
      <c r="M1540" s="95"/>
      <c r="N1540" s="95"/>
      <c r="O1540" s="95"/>
      <c r="P1540" s="95"/>
      <c r="Q1540" s="95"/>
      <c r="R1540" s="95"/>
      <c r="T1540" s="81"/>
      <c r="U1540" s="95"/>
      <c r="V1540" s="95"/>
      <c r="W1540" s="95"/>
    </row>
    <row r="1541" spans="5:23" ht="10.15" customHeight="1">
      <c r="E1541" s="95"/>
      <c r="F1541" s="95"/>
      <c r="G1541" s="95"/>
      <c r="H1541" s="95"/>
      <c r="I1541" s="95"/>
      <c r="J1541" s="95"/>
      <c r="K1541" s="95"/>
      <c r="L1541" s="95"/>
      <c r="M1541" s="95"/>
      <c r="N1541" s="95"/>
      <c r="O1541" s="95"/>
      <c r="P1541" s="95"/>
      <c r="Q1541" s="95"/>
      <c r="R1541" s="95"/>
      <c r="T1541" s="81"/>
      <c r="U1541" s="95"/>
      <c r="V1541" s="95"/>
      <c r="W1541" s="95"/>
    </row>
    <row r="1542" spans="5:23" ht="10.15" customHeight="1">
      <c r="E1542" s="95"/>
      <c r="F1542" s="95"/>
      <c r="G1542" s="95"/>
      <c r="H1542" s="95"/>
      <c r="I1542" s="95"/>
      <c r="J1542" s="95"/>
      <c r="K1542" s="95"/>
      <c r="L1542" s="95"/>
      <c r="M1542" s="95"/>
      <c r="N1542" s="95"/>
      <c r="O1542" s="95"/>
      <c r="P1542" s="95"/>
      <c r="Q1542" s="95"/>
      <c r="R1542" s="95"/>
      <c r="T1542" s="81"/>
      <c r="U1542" s="95"/>
      <c r="V1542" s="95"/>
      <c r="W1542" s="95"/>
    </row>
    <row r="1543" spans="5:23" ht="10.15" customHeight="1">
      <c r="E1543" s="95"/>
      <c r="F1543" s="95"/>
      <c r="G1543" s="95"/>
      <c r="H1543" s="95"/>
      <c r="I1543" s="95"/>
      <c r="J1543" s="95"/>
      <c r="K1543" s="95"/>
      <c r="L1543" s="95"/>
      <c r="M1543" s="95"/>
      <c r="N1543" s="95"/>
      <c r="O1543" s="95"/>
      <c r="P1543" s="95"/>
      <c r="Q1543" s="95"/>
      <c r="R1543" s="95"/>
      <c r="T1543" s="81"/>
      <c r="U1543" s="95"/>
      <c r="V1543" s="95"/>
      <c r="W1543" s="95"/>
    </row>
    <row r="1544" spans="5:23" ht="10.15" customHeight="1">
      <c r="E1544" s="95"/>
      <c r="F1544" s="95"/>
      <c r="G1544" s="95"/>
      <c r="H1544" s="95"/>
      <c r="I1544" s="95"/>
      <c r="J1544" s="95"/>
      <c r="K1544" s="95"/>
      <c r="L1544" s="95"/>
      <c r="M1544" s="95"/>
      <c r="N1544" s="95"/>
      <c r="O1544" s="95"/>
      <c r="P1544" s="95"/>
      <c r="Q1544" s="95"/>
      <c r="R1544" s="95"/>
      <c r="T1544" s="81"/>
      <c r="U1544" s="95"/>
      <c r="V1544" s="95"/>
      <c r="W1544" s="95"/>
    </row>
    <row r="1545" spans="5:23" ht="10.15" customHeight="1">
      <c r="E1545" s="95"/>
      <c r="F1545" s="95"/>
      <c r="G1545" s="95"/>
      <c r="H1545" s="95"/>
      <c r="I1545" s="95"/>
      <c r="J1545" s="95"/>
      <c r="K1545" s="95"/>
      <c r="L1545" s="95"/>
      <c r="M1545" s="95"/>
      <c r="N1545" s="95"/>
      <c r="O1545" s="95"/>
      <c r="P1545" s="95"/>
      <c r="Q1545" s="95"/>
      <c r="R1545" s="95"/>
      <c r="T1545" s="81"/>
      <c r="U1545" s="95"/>
      <c r="V1545" s="95"/>
      <c r="W1545" s="95"/>
    </row>
    <row r="1546" spans="5:23" ht="10.15" customHeight="1">
      <c r="E1546" s="95"/>
      <c r="F1546" s="95"/>
      <c r="G1546" s="95"/>
      <c r="H1546" s="95"/>
      <c r="I1546" s="95"/>
      <c r="J1546" s="95"/>
      <c r="K1546" s="95"/>
      <c r="L1546" s="95"/>
      <c r="M1546" s="95"/>
      <c r="N1546" s="95"/>
      <c r="O1546" s="95"/>
      <c r="P1546" s="95"/>
      <c r="Q1546" s="95"/>
      <c r="R1546" s="95"/>
      <c r="T1546" s="81"/>
      <c r="U1546" s="95"/>
      <c r="V1546" s="95"/>
      <c r="W1546" s="95"/>
    </row>
    <row r="1547" spans="5:23" ht="10.15" customHeight="1">
      <c r="E1547" s="95"/>
      <c r="F1547" s="95"/>
      <c r="G1547" s="95"/>
      <c r="H1547" s="95"/>
      <c r="I1547" s="95"/>
      <c r="J1547" s="95"/>
      <c r="K1547" s="95"/>
      <c r="L1547" s="95"/>
      <c r="M1547" s="95"/>
      <c r="N1547" s="95"/>
      <c r="O1547" s="95"/>
      <c r="P1547" s="95"/>
      <c r="Q1547" s="95"/>
      <c r="R1547" s="95"/>
      <c r="T1547" s="81"/>
      <c r="U1547" s="95"/>
      <c r="V1547" s="95"/>
      <c r="W1547" s="95"/>
    </row>
    <row r="1548" spans="5:23" ht="10.15" customHeight="1">
      <c r="E1548" s="95"/>
      <c r="F1548" s="95"/>
      <c r="G1548" s="95"/>
      <c r="H1548" s="95"/>
      <c r="I1548" s="95"/>
      <c r="J1548" s="95"/>
      <c r="K1548" s="95"/>
      <c r="L1548" s="95"/>
      <c r="M1548" s="95"/>
      <c r="N1548" s="95"/>
      <c r="O1548" s="95"/>
      <c r="P1548" s="95"/>
      <c r="Q1548" s="95"/>
      <c r="R1548" s="95"/>
      <c r="T1548" s="81"/>
      <c r="U1548" s="95"/>
      <c r="V1548" s="95"/>
      <c r="W1548" s="95"/>
    </row>
    <row r="1549" spans="5:23" ht="10.15" customHeight="1">
      <c r="E1549" s="95"/>
      <c r="F1549" s="95"/>
      <c r="G1549" s="95"/>
      <c r="H1549" s="95"/>
      <c r="I1549" s="95"/>
      <c r="J1549" s="95"/>
      <c r="K1549" s="95"/>
      <c r="L1549" s="95"/>
      <c r="M1549" s="95"/>
      <c r="N1549" s="95"/>
      <c r="O1549" s="95"/>
      <c r="P1549" s="95"/>
      <c r="Q1549" s="95"/>
      <c r="R1549" s="95"/>
      <c r="T1549" s="81"/>
      <c r="U1549" s="95"/>
      <c r="V1549" s="95"/>
      <c r="W1549" s="95"/>
    </row>
    <row r="1550" spans="5:23" ht="10.15" customHeight="1">
      <c r="E1550" s="95"/>
      <c r="F1550" s="95"/>
      <c r="G1550" s="95"/>
      <c r="H1550" s="95"/>
      <c r="I1550" s="95"/>
      <c r="J1550" s="95"/>
      <c r="K1550" s="95"/>
      <c r="L1550" s="95"/>
      <c r="M1550" s="95"/>
      <c r="N1550" s="95"/>
      <c r="O1550" s="95"/>
      <c r="P1550" s="95"/>
      <c r="Q1550" s="95"/>
      <c r="R1550" s="95"/>
      <c r="T1550" s="81"/>
      <c r="U1550" s="95"/>
      <c r="V1550" s="95"/>
      <c r="W1550" s="95"/>
    </row>
    <row r="1551" spans="5:23" ht="10.15" customHeight="1">
      <c r="E1551" s="95"/>
      <c r="F1551" s="95"/>
      <c r="G1551" s="95"/>
      <c r="H1551" s="95"/>
      <c r="I1551" s="95"/>
      <c r="J1551" s="95"/>
      <c r="K1551" s="95"/>
      <c r="L1551" s="95"/>
      <c r="M1551" s="95"/>
      <c r="N1551" s="95"/>
      <c r="O1551" s="95"/>
      <c r="P1551" s="95"/>
      <c r="Q1551" s="95"/>
      <c r="R1551" s="95"/>
      <c r="T1551" s="81"/>
      <c r="U1551" s="95"/>
      <c r="V1551" s="95"/>
      <c r="W1551" s="95"/>
    </row>
    <row r="1552" spans="5:23" ht="10.15" customHeight="1">
      <c r="E1552" s="95"/>
      <c r="F1552" s="95"/>
      <c r="G1552" s="95"/>
      <c r="H1552" s="95"/>
      <c r="I1552" s="95"/>
      <c r="J1552" s="95"/>
      <c r="K1552" s="95"/>
      <c r="L1552" s="95"/>
      <c r="M1552" s="95"/>
      <c r="N1552" s="95"/>
      <c r="O1552" s="95"/>
      <c r="P1552" s="95"/>
      <c r="Q1552" s="95"/>
      <c r="R1552" s="95"/>
      <c r="T1552" s="81"/>
      <c r="U1552" s="95"/>
      <c r="V1552" s="95"/>
      <c r="W1552" s="95"/>
    </row>
    <row r="1553" spans="5:23" ht="10.15" customHeight="1">
      <c r="E1553" s="95"/>
      <c r="F1553" s="95"/>
      <c r="G1553" s="95"/>
      <c r="H1553" s="95"/>
      <c r="I1553" s="95"/>
      <c r="J1553" s="95"/>
      <c r="K1553" s="95"/>
      <c r="L1553" s="95"/>
      <c r="M1553" s="95"/>
      <c r="N1553" s="95"/>
      <c r="O1553" s="95"/>
      <c r="P1553" s="95"/>
      <c r="Q1553" s="95"/>
      <c r="R1553" s="95"/>
      <c r="T1553" s="81"/>
      <c r="U1553" s="95"/>
      <c r="V1553" s="95"/>
      <c r="W1553" s="95"/>
    </row>
    <row r="1554" spans="5:23" ht="10.15" customHeight="1">
      <c r="E1554" s="95"/>
      <c r="F1554" s="95"/>
      <c r="G1554" s="95"/>
      <c r="H1554" s="95"/>
      <c r="I1554" s="95"/>
      <c r="J1554" s="95"/>
      <c r="K1554" s="95"/>
      <c r="L1554" s="95"/>
      <c r="M1554" s="95"/>
      <c r="N1554" s="95"/>
      <c r="O1554" s="95"/>
      <c r="P1554" s="95"/>
      <c r="Q1554" s="95"/>
      <c r="R1554" s="95"/>
      <c r="T1554" s="81"/>
      <c r="U1554" s="95"/>
      <c r="V1554" s="95"/>
      <c r="W1554" s="95"/>
    </row>
    <row r="1555" spans="5:23" ht="10.15" customHeight="1">
      <c r="E1555" s="95"/>
      <c r="F1555" s="95"/>
      <c r="G1555" s="95"/>
      <c r="H1555" s="95"/>
      <c r="I1555" s="95"/>
      <c r="J1555" s="95"/>
      <c r="K1555" s="95"/>
      <c r="L1555" s="95"/>
      <c r="M1555" s="95"/>
      <c r="N1555" s="95"/>
      <c r="O1555" s="95"/>
      <c r="P1555" s="95"/>
      <c r="Q1555" s="95"/>
      <c r="R1555" s="95"/>
      <c r="T1555" s="81"/>
      <c r="U1555" s="95"/>
      <c r="V1555" s="95"/>
      <c r="W1555" s="95"/>
    </row>
    <row r="1556" spans="5:23" ht="10.15" customHeight="1">
      <c r="E1556" s="95"/>
      <c r="F1556" s="95"/>
      <c r="G1556" s="95"/>
      <c r="H1556" s="95"/>
      <c r="I1556" s="95"/>
      <c r="J1556" s="95"/>
      <c r="K1556" s="95"/>
      <c r="L1556" s="95"/>
      <c r="M1556" s="95"/>
      <c r="N1556" s="95"/>
      <c r="O1556" s="95"/>
      <c r="P1556" s="95"/>
      <c r="Q1556" s="95"/>
      <c r="R1556" s="95"/>
      <c r="T1556" s="81"/>
      <c r="U1556" s="95"/>
      <c r="V1556" s="95"/>
      <c r="W1556" s="95"/>
    </row>
    <row r="1557" spans="5:23" ht="10.15" customHeight="1">
      <c r="E1557" s="95"/>
      <c r="F1557" s="95"/>
      <c r="G1557" s="95"/>
      <c r="H1557" s="95"/>
      <c r="I1557" s="95"/>
      <c r="J1557" s="95"/>
      <c r="K1557" s="95"/>
      <c r="L1557" s="95"/>
      <c r="M1557" s="95"/>
      <c r="N1557" s="95"/>
      <c r="O1557" s="95"/>
      <c r="P1557" s="95"/>
      <c r="Q1557" s="95"/>
      <c r="R1557" s="95"/>
      <c r="T1557" s="81"/>
      <c r="U1557" s="95"/>
      <c r="V1557" s="95"/>
      <c r="W1557" s="95"/>
    </row>
    <row r="1558" spans="5:23" ht="10.15" customHeight="1">
      <c r="E1558" s="95"/>
      <c r="F1558" s="95"/>
      <c r="G1558" s="95"/>
      <c r="H1558" s="95"/>
      <c r="I1558" s="95"/>
      <c r="J1558" s="95"/>
      <c r="K1558" s="95"/>
      <c r="L1558" s="95"/>
      <c r="M1558" s="95"/>
      <c r="N1558" s="95"/>
      <c r="O1558" s="95"/>
      <c r="P1558" s="95"/>
      <c r="Q1558" s="95"/>
      <c r="R1558" s="95"/>
      <c r="T1558" s="81"/>
      <c r="U1558" s="95"/>
      <c r="V1558" s="95"/>
      <c r="W1558" s="95"/>
    </row>
    <row r="1559" spans="5:23" ht="10.15" customHeight="1">
      <c r="E1559" s="95"/>
      <c r="F1559" s="95"/>
      <c r="G1559" s="95"/>
      <c r="H1559" s="95"/>
      <c r="I1559" s="95"/>
      <c r="J1559" s="95"/>
      <c r="K1559" s="95"/>
      <c r="L1559" s="95"/>
      <c r="M1559" s="95"/>
      <c r="N1559" s="95"/>
      <c r="O1559" s="95"/>
      <c r="P1559" s="95"/>
      <c r="Q1559" s="95"/>
      <c r="R1559" s="95"/>
      <c r="T1559" s="81"/>
      <c r="U1559" s="95"/>
      <c r="V1559" s="95"/>
      <c r="W1559" s="95"/>
    </row>
    <row r="1560" spans="5:23" ht="10.15" customHeight="1">
      <c r="E1560" s="95"/>
      <c r="F1560" s="95"/>
      <c r="G1560" s="95"/>
      <c r="H1560" s="95"/>
      <c r="I1560" s="95"/>
      <c r="J1560" s="95"/>
      <c r="K1560" s="95"/>
      <c r="L1560" s="95"/>
      <c r="M1560" s="95"/>
      <c r="N1560" s="95"/>
      <c r="O1560" s="95"/>
      <c r="P1560" s="95"/>
      <c r="Q1560" s="95"/>
      <c r="R1560" s="95"/>
      <c r="T1560" s="81"/>
      <c r="U1560" s="95"/>
      <c r="V1560" s="95"/>
      <c r="W1560" s="95"/>
    </row>
    <row r="1561" spans="5:23" ht="10.15" customHeight="1">
      <c r="E1561" s="95"/>
      <c r="F1561" s="95"/>
      <c r="G1561" s="95"/>
      <c r="H1561" s="95"/>
      <c r="I1561" s="95"/>
      <c r="J1561" s="95"/>
      <c r="K1561" s="95"/>
      <c r="L1561" s="95"/>
      <c r="M1561" s="95"/>
      <c r="N1561" s="95"/>
      <c r="O1561" s="95"/>
      <c r="P1561" s="95"/>
      <c r="Q1561" s="95"/>
      <c r="R1561" s="95"/>
      <c r="T1561" s="81"/>
      <c r="U1561" s="95"/>
      <c r="V1561" s="95"/>
      <c r="W1561" s="95"/>
    </row>
    <row r="1562" spans="5:23" ht="10.15" customHeight="1">
      <c r="E1562" s="95"/>
      <c r="F1562" s="95"/>
      <c r="G1562" s="95"/>
      <c r="H1562" s="95"/>
      <c r="I1562" s="95"/>
      <c r="J1562" s="95"/>
      <c r="K1562" s="95"/>
      <c r="L1562" s="95"/>
      <c r="M1562" s="95"/>
      <c r="N1562" s="95"/>
      <c r="O1562" s="95"/>
      <c r="P1562" s="95"/>
      <c r="Q1562" s="95"/>
      <c r="R1562" s="95"/>
      <c r="T1562" s="81"/>
      <c r="U1562" s="95"/>
      <c r="V1562" s="95"/>
      <c r="W1562" s="95"/>
    </row>
    <row r="1563" spans="5:23" ht="10.15" customHeight="1">
      <c r="E1563" s="95"/>
      <c r="F1563" s="95"/>
      <c r="G1563" s="95"/>
      <c r="H1563" s="95"/>
      <c r="I1563" s="95"/>
      <c r="J1563" s="95"/>
      <c r="K1563" s="95"/>
      <c r="L1563" s="95"/>
      <c r="M1563" s="95"/>
      <c r="N1563" s="95"/>
      <c r="O1563" s="95"/>
      <c r="P1563" s="95"/>
      <c r="Q1563" s="95"/>
      <c r="R1563" s="95"/>
      <c r="T1563" s="81"/>
      <c r="U1563" s="95"/>
      <c r="V1563" s="95"/>
      <c r="W1563" s="95"/>
    </row>
    <row r="1564" spans="5:23" ht="10.15" customHeight="1">
      <c r="E1564" s="95"/>
      <c r="F1564" s="95"/>
      <c r="G1564" s="95"/>
      <c r="H1564" s="95"/>
      <c r="I1564" s="95"/>
      <c r="J1564" s="95"/>
      <c r="K1564" s="95"/>
      <c r="L1564" s="95"/>
      <c r="M1564" s="95"/>
      <c r="N1564" s="95"/>
      <c r="O1564" s="95"/>
      <c r="P1564" s="95"/>
      <c r="Q1564" s="95"/>
      <c r="R1564" s="95"/>
      <c r="T1564" s="81"/>
      <c r="U1564" s="95"/>
      <c r="V1564" s="95"/>
      <c r="W1564" s="95"/>
    </row>
    <row r="1565" spans="5:23" ht="10.15" customHeight="1">
      <c r="E1565" s="95"/>
      <c r="F1565" s="95"/>
      <c r="G1565" s="95"/>
      <c r="H1565" s="95"/>
      <c r="I1565" s="95"/>
      <c r="J1565" s="95"/>
      <c r="K1565" s="95"/>
      <c r="L1565" s="95"/>
      <c r="M1565" s="95"/>
      <c r="N1565" s="95"/>
      <c r="O1565" s="95"/>
      <c r="P1565" s="95"/>
      <c r="Q1565" s="95"/>
      <c r="R1565" s="95"/>
      <c r="T1565" s="81"/>
      <c r="U1565" s="95"/>
      <c r="V1565" s="95"/>
      <c r="W1565" s="95"/>
    </row>
    <row r="1566" spans="5:23" ht="10.15" customHeight="1">
      <c r="E1566" s="95"/>
      <c r="F1566" s="95"/>
      <c r="G1566" s="95"/>
      <c r="H1566" s="95"/>
      <c r="I1566" s="95"/>
      <c r="J1566" s="95"/>
      <c r="K1566" s="95"/>
      <c r="L1566" s="95"/>
      <c r="M1566" s="95"/>
      <c r="N1566" s="95"/>
      <c r="O1566" s="95"/>
      <c r="P1566" s="95"/>
      <c r="Q1566" s="95"/>
      <c r="R1566" s="95"/>
      <c r="T1566" s="81"/>
      <c r="U1566" s="95"/>
      <c r="V1566" s="95"/>
      <c r="W1566" s="95"/>
    </row>
    <row r="1567" spans="5:23" ht="10.15" customHeight="1">
      <c r="E1567" s="95"/>
      <c r="F1567" s="95"/>
      <c r="G1567" s="95"/>
      <c r="H1567" s="95"/>
      <c r="I1567" s="95"/>
      <c r="J1567" s="95"/>
      <c r="K1567" s="95"/>
      <c r="L1567" s="95"/>
      <c r="M1567" s="95"/>
      <c r="N1567" s="95"/>
      <c r="O1567" s="95"/>
      <c r="P1567" s="95"/>
      <c r="Q1567" s="95"/>
      <c r="R1567" s="95"/>
      <c r="T1567" s="81"/>
      <c r="U1567" s="95"/>
      <c r="V1567" s="95"/>
      <c r="W1567" s="95"/>
    </row>
    <row r="1568" spans="5:23" ht="10.15" customHeight="1">
      <c r="E1568" s="95"/>
      <c r="F1568" s="95"/>
      <c r="G1568" s="95"/>
      <c r="H1568" s="95"/>
      <c r="I1568" s="95"/>
      <c r="J1568" s="95"/>
      <c r="K1568" s="95"/>
      <c r="L1568" s="95"/>
      <c r="M1568" s="95"/>
      <c r="N1568" s="95"/>
      <c r="O1568" s="95"/>
      <c r="P1568" s="95"/>
      <c r="Q1568" s="95"/>
      <c r="R1568" s="95"/>
      <c r="T1568" s="81"/>
      <c r="U1568" s="95"/>
      <c r="V1568" s="95"/>
      <c r="W1568" s="95"/>
    </row>
    <row r="1569" spans="5:23" ht="10.15" customHeight="1">
      <c r="E1569" s="95"/>
      <c r="F1569" s="95"/>
      <c r="G1569" s="95"/>
      <c r="H1569" s="95"/>
      <c r="I1569" s="95"/>
      <c r="J1569" s="95"/>
      <c r="K1569" s="95"/>
      <c r="L1569" s="95"/>
      <c r="M1569" s="95"/>
      <c r="N1569" s="95"/>
      <c r="O1569" s="95"/>
      <c r="P1569" s="95"/>
      <c r="Q1569" s="95"/>
      <c r="R1569" s="95"/>
      <c r="T1569" s="81"/>
      <c r="U1569" s="95"/>
      <c r="V1569" s="95"/>
      <c r="W1569" s="95"/>
    </row>
    <row r="1570" spans="5:23" ht="10.15" customHeight="1">
      <c r="E1570" s="95"/>
      <c r="F1570" s="95"/>
      <c r="G1570" s="95"/>
      <c r="H1570" s="95"/>
      <c r="I1570" s="95"/>
      <c r="J1570" s="95"/>
      <c r="K1570" s="95"/>
      <c r="L1570" s="95"/>
      <c r="M1570" s="95"/>
      <c r="N1570" s="95"/>
      <c r="O1570" s="95"/>
      <c r="P1570" s="95"/>
      <c r="Q1570" s="95"/>
      <c r="R1570" s="95"/>
      <c r="T1570" s="81"/>
      <c r="U1570" s="95"/>
      <c r="V1570" s="95"/>
      <c r="W1570" s="95"/>
    </row>
    <row r="1571" spans="5:23" ht="10.15" customHeight="1">
      <c r="E1571" s="95"/>
      <c r="F1571" s="95"/>
      <c r="G1571" s="95"/>
      <c r="H1571" s="95"/>
      <c r="I1571" s="95"/>
      <c r="J1571" s="95"/>
      <c r="K1571" s="95"/>
      <c r="L1571" s="95"/>
      <c r="M1571" s="95"/>
      <c r="N1571" s="95"/>
      <c r="O1571" s="95"/>
      <c r="P1571" s="95"/>
      <c r="Q1571" s="95"/>
      <c r="R1571" s="95"/>
      <c r="T1571" s="81"/>
      <c r="U1571" s="95"/>
      <c r="V1571" s="95"/>
      <c r="W1571" s="95"/>
    </row>
    <row r="1572" spans="5:23" ht="10.15" customHeight="1">
      <c r="E1572" s="95"/>
      <c r="F1572" s="95"/>
      <c r="G1572" s="95"/>
      <c r="H1572" s="95"/>
      <c r="I1572" s="95"/>
      <c r="J1572" s="95"/>
      <c r="K1572" s="95"/>
      <c r="L1572" s="95"/>
      <c r="M1572" s="95"/>
      <c r="N1572" s="95"/>
      <c r="O1572" s="95"/>
      <c r="P1572" s="95"/>
      <c r="Q1572" s="95"/>
      <c r="R1572" s="95"/>
      <c r="T1572" s="81"/>
      <c r="U1572" s="95"/>
      <c r="V1572" s="95"/>
      <c r="W1572" s="95"/>
    </row>
    <row r="1573" spans="5:23" ht="10.15" customHeight="1">
      <c r="E1573" s="95"/>
      <c r="F1573" s="95"/>
      <c r="G1573" s="95"/>
      <c r="H1573" s="95"/>
      <c r="I1573" s="95"/>
      <c r="J1573" s="95"/>
      <c r="K1573" s="95"/>
      <c r="L1573" s="95"/>
      <c r="M1573" s="95"/>
      <c r="N1573" s="95"/>
      <c r="O1573" s="95"/>
      <c r="P1573" s="95"/>
      <c r="Q1573" s="95"/>
      <c r="R1573" s="95"/>
      <c r="T1573" s="81"/>
      <c r="U1573" s="95"/>
      <c r="V1573" s="95"/>
      <c r="W1573" s="95"/>
    </row>
    <row r="1574" spans="5:23" ht="10.15" customHeight="1">
      <c r="E1574" s="95"/>
      <c r="F1574" s="95"/>
      <c r="G1574" s="95"/>
      <c r="H1574" s="95"/>
      <c r="I1574" s="95"/>
      <c r="J1574" s="95"/>
      <c r="K1574" s="95"/>
      <c r="L1574" s="95"/>
      <c r="M1574" s="95"/>
      <c r="N1574" s="95"/>
      <c r="O1574" s="95"/>
      <c r="P1574" s="95"/>
      <c r="Q1574" s="95"/>
      <c r="R1574" s="95"/>
      <c r="T1574" s="81"/>
      <c r="U1574" s="95"/>
      <c r="V1574" s="95"/>
      <c r="W1574" s="95"/>
    </row>
    <row r="1575" spans="5:23" ht="10.15" customHeight="1">
      <c r="E1575" s="95"/>
      <c r="F1575" s="95"/>
      <c r="G1575" s="95"/>
      <c r="H1575" s="95"/>
      <c r="I1575" s="95"/>
      <c r="J1575" s="95"/>
      <c r="K1575" s="95"/>
      <c r="L1575" s="95"/>
      <c r="M1575" s="95"/>
      <c r="N1575" s="95"/>
      <c r="O1575" s="95"/>
      <c r="P1575" s="95"/>
      <c r="Q1575" s="95"/>
      <c r="R1575" s="95"/>
      <c r="T1575" s="81"/>
      <c r="U1575" s="95"/>
      <c r="V1575" s="95"/>
      <c r="W1575" s="95"/>
    </row>
    <row r="1576" spans="5:23" ht="10.15" customHeight="1">
      <c r="E1576" s="95"/>
      <c r="F1576" s="95"/>
      <c r="G1576" s="95"/>
      <c r="H1576" s="95"/>
      <c r="I1576" s="95"/>
      <c r="J1576" s="95"/>
      <c r="K1576" s="95"/>
      <c r="L1576" s="95"/>
      <c r="M1576" s="95"/>
      <c r="N1576" s="95"/>
      <c r="O1576" s="95"/>
      <c r="P1576" s="95"/>
      <c r="Q1576" s="95"/>
      <c r="R1576" s="95"/>
      <c r="T1576" s="81"/>
      <c r="U1576" s="95"/>
      <c r="V1576" s="95"/>
      <c r="W1576" s="95"/>
    </row>
    <row r="1577" spans="5:23" ht="10.15" customHeight="1">
      <c r="E1577" s="95"/>
      <c r="F1577" s="95"/>
      <c r="G1577" s="95"/>
      <c r="H1577" s="95"/>
      <c r="I1577" s="95"/>
      <c r="J1577" s="95"/>
      <c r="K1577" s="95"/>
      <c r="L1577" s="95"/>
      <c r="M1577" s="95"/>
      <c r="N1577" s="95"/>
      <c r="O1577" s="95"/>
      <c r="P1577" s="95"/>
      <c r="Q1577" s="95"/>
      <c r="R1577" s="95"/>
      <c r="T1577" s="81"/>
      <c r="U1577" s="95"/>
      <c r="V1577" s="95"/>
      <c r="W1577" s="95"/>
    </row>
    <row r="1578" spans="5:23" ht="10.15" customHeight="1">
      <c r="E1578" s="95"/>
      <c r="F1578" s="95"/>
      <c r="G1578" s="95"/>
      <c r="H1578" s="95"/>
      <c r="I1578" s="95"/>
      <c r="J1578" s="95"/>
      <c r="K1578" s="95"/>
      <c r="L1578" s="95"/>
      <c r="M1578" s="95"/>
      <c r="N1578" s="95"/>
      <c r="O1578" s="95"/>
      <c r="P1578" s="95"/>
      <c r="Q1578" s="95"/>
      <c r="R1578" s="95"/>
      <c r="T1578" s="81"/>
      <c r="U1578" s="95"/>
      <c r="V1578" s="95"/>
      <c r="W1578" s="95"/>
    </row>
    <row r="1579" spans="5:23" ht="10.15" customHeight="1">
      <c r="E1579" s="95"/>
      <c r="F1579" s="95"/>
      <c r="G1579" s="95"/>
      <c r="H1579" s="95"/>
      <c r="I1579" s="95"/>
      <c r="J1579" s="95"/>
      <c r="K1579" s="95"/>
      <c r="L1579" s="95"/>
      <c r="M1579" s="95"/>
      <c r="N1579" s="95"/>
      <c r="O1579" s="95"/>
      <c r="P1579" s="95"/>
      <c r="Q1579" s="95"/>
      <c r="R1579" s="95"/>
      <c r="T1579" s="81"/>
      <c r="U1579" s="95"/>
      <c r="V1579" s="95"/>
      <c r="W1579" s="95"/>
    </row>
    <row r="1580" spans="5:23" ht="10.15" customHeight="1">
      <c r="E1580" s="95"/>
      <c r="F1580" s="95"/>
      <c r="G1580" s="95"/>
      <c r="H1580" s="95"/>
      <c r="I1580" s="95"/>
      <c r="J1580" s="95"/>
      <c r="K1580" s="95"/>
      <c r="L1580" s="95"/>
      <c r="M1580" s="95"/>
      <c r="N1580" s="95"/>
      <c r="O1580" s="95"/>
      <c r="P1580" s="95"/>
      <c r="Q1580" s="95"/>
      <c r="R1580" s="95"/>
      <c r="T1580" s="81"/>
      <c r="U1580" s="95"/>
      <c r="V1580" s="95"/>
      <c r="W1580" s="95"/>
    </row>
    <row r="1581" spans="5:23" ht="10.15" customHeight="1">
      <c r="E1581" s="95"/>
      <c r="F1581" s="95"/>
      <c r="G1581" s="95"/>
      <c r="H1581" s="95"/>
      <c r="I1581" s="95"/>
      <c r="J1581" s="95"/>
      <c r="K1581" s="95"/>
      <c r="L1581" s="95"/>
      <c r="M1581" s="95"/>
      <c r="N1581" s="95"/>
      <c r="O1581" s="95"/>
      <c r="P1581" s="95"/>
      <c r="Q1581" s="95"/>
      <c r="R1581" s="95"/>
      <c r="T1581" s="81"/>
      <c r="U1581" s="95"/>
      <c r="V1581" s="95"/>
      <c r="W1581" s="95"/>
    </row>
    <row r="1582" spans="5:23" ht="10.15" customHeight="1">
      <c r="E1582" s="95"/>
      <c r="F1582" s="95"/>
      <c r="G1582" s="95"/>
      <c r="H1582" s="95"/>
      <c r="I1582" s="95"/>
      <c r="J1582" s="95"/>
      <c r="K1582" s="95"/>
      <c r="L1582" s="95"/>
      <c r="M1582" s="95"/>
      <c r="N1582" s="95"/>
      <c r="O1582" s="95"/>
      <c r="P1582" s="95"/>
      <c r="Q1582" s="95"/>
      <c r="R1582" s="95"/>
      <c r="T1582" s="81"/>
      <c r="U1582" s="95"/>
      <c r="V1582" s="95"/>
      <c r="W1582" s="95"/>
    </row>
    <row r="1583" spans="5:23" ht="10.15" customHeight="1">
      <c r="E1583" s="95"/>
      <c r="F1583" s="95"/>
      <c r="G1583" s="95"/>
      <c r="H1583" s="95"/>
      <c r="I1583" s="95"/>
      <c r="J1583" s="95"/>
      <c r="K1583" s="95"/>
      <c r="L1583" s="95"/>
      <c r="M1583" s="95"/>
      <c r="N1583" s="95"/>
      <c r="O1583" s="95"/>
      <c r="P1583" s="95"/>
      <c r="Q1583" s="95"/>
      <c r="R1583" s="95"/>
      <c r="T1583" s="81"/>
      <c r="U1583" s="95"/>
      <c r="V1583" s="95"/>
      <c r="W1583" s="95"/>
    </row>
    <row r="1584" spans="5:23" ht="10.15" customHeight="1">
      <c r="E1584" s="95"/>
      <c r="F1584" s="95"/>
      <c r="G1584" s="95"/>
      <c r="H1584" s="95"/>
      <c r="I1584" s="95"/>
      <c r="J1584" s="95"/>
      <c r="K1584" s="95"/>
      <c r="L1584" s="95"/>
      <c r="M1584" s="95"/>
      <c r="N1584" s="95"/>
      <c r="O1584" s="95"/>
      <c r="P1584" s="95"/>
      <c r="Q1584" s="95"/>
      <c r="R1584" s="95"/>
      <c r="T1584" s="81"/>
      <c r="U1584" s="95"/>
      <c r="V1584" s="95"/>
      <c r="W1584" s="95"/>
    </row>
    <row r="1585" spans="5:23" ht="10.15" customHeight="1">
      <c r="E1585" s="95"/>
      <c r="F1585" s="95"/>
      <c r="G1585" s="95"/>
      <c r="H1585" s="95"/>
      <c r="I1585" s="95"/>
      <c r="J1585" s="95"/>
      <c r="K1585" s="95"/>
      <c r="L1585" s="95"/>
      <c r="M1585" s="95"/>
      <c r="N1585" s="95"/>
      <c r="O1585" s="95"/>
      <c r="P1585" s="95"/>
      <c r="Q1585" s="95"/>
      <c r="R1585" s="95"/>
      <c r="T1585" s="81"/>
      <c r="U1585" s="95"/>
      <c r="V1585" s="95"/>
      <c r="W1585" s="95"/>
    </row>
    <row r="1586" spans="5:23" ht="10.15" customHeight="1">
      <c r="E1586" s="95"/>
      <c r="F1586" s="95"/>
      <c r="G1586" s="95"/>
      <c r="H1586" s="95"/>
      <c r="I1586" s="95"/>
      <c r="J1586" s="95"/>
      <c r="K1586" s="95"/>
      <c r="L1586" s="95"/>
      <c r="M1586" s="95"/>
      <c r="N1586" s="95"/>
      <c r="O1586" s="95"/>
      <c r="P1586" s="95"/>
      <c r="Q1586" s="95"/>
      <c r="R1586" s="95"/>
      <c r="T1586" s="81"/>
      <c r="U1586" s="95"/>
      <c r="V1586" s="95"/>
      <c r="W1586" s="95"/>
    </row>
    <row r="1587" spans="5:23" ht="10.15" customHeight="1">
      <c r="E1587" s="95"/>
      <c r="F1587" s="95"/>
      <c r="G1587" s="95"/>
      <c r="H1587" s="95"/>
      <c r="I1587" s="95"/>
      <c r="J1587" s="95"/>
      <c r="K1587" s="95"/>
      <c r="L1587" s="95"/>
      <c r="M1587" s="95"/>
      <c r="N1587" s="95"/>
      <c r="O1587" s="95"/>
      <c r="P1587" s="95"/>
      <c r="Q1587" s="95"/>
      <c r="R1587" s="95"/>
      <c r="T1587" s="81"/>
      <c r="U1587" s="95"/>
      <c r="V1587" s="95"/>
      <c r="W1587" s="95"/>
    </row>
    <row r="1588" spans="5:23" ht="10.15" customHeight="1">
      <c r="E1588" s="95"/>
      <c r="F1588" s="95"/>
      <c r="G1588" s="95"/>
      <c r="H1588" s="95"/>
      <c r="I1588" s="95"/>
      <c r="J1588" s="95"/>
      <c r="K1588" s="95"/>
      <c r="L1588" s="95"/>
      <c r="M1588" s="95"/>
      <c r="N1588" s="95"/>
      <c r="O1588" s="95"/>
      <c r="P1588" s="95"/>
      <c r="Q1588" s="95"/>
      <c r="R1588" s="95"/>
      <c r="T1588" s="81"/>
      <c r="U1588" s="95"/>
      <c r="V1588" s="95"/>
      <c r="W1588" s="95"/>
    </row>
    <row r="1589" spans="5:23" ht="10.15" customHeight="1">
      <c r="E1589" s="95"/>
      <c r="F1589" s="95"/>
      <c r="G1589" s="95"/>
      <c r="H1589" s="95"/>
      <c r="I1589" s="95"/>
      <c r="J1589" s="95"/>
      <c r="K1589" s="95"/>
      <c r="L1589" s="95"/>
      <c r="M1589" s="95"/>
      <c r="N1589" s="95"/>
      <c r="O1589" s="95"/>
      <c r="P1589" s="95"/>
      <c r="Q1589" s="95"/>
      <c r="R1589" s="95"/>
      <c r="T1589" s="81"/>
      <c r="U1589" s="95"/>
      <c r="V1589" s="95"/>
      <c r="W1589" s="95"/>
    </row>
    <row r="1590" spans="5:23" ht="10.15" customHeight="1">
      <c r="E1590" s="95"/>
      <c r="F1590" s="95"/>
      <c r="G1590" s="95"/>
      <c r="H1590" s="95"/>
      <c r="I1590" s="95"/>
      <c r="J1590" s="95"/>
      <c r="K1590" s="95"/>
      <c r="L1590" s="95"/>
      <c r="M1590" s="95"/>
      <c r="N1590" s="95"/>
      <c r="O1590" s="95"/>
      <c r="P1590" s="95"/>
      <c r="Q1590" s="95"/>
      <c r="R1590" s="95"/>
      <c r="T1590" s="81"/>
      <c r="U1590" s="95"/>
      <c r="V1590" s="95"/>
      <c r="W1590" s="95"/>
    </row>
    <row r="1591" spans="5:23" ht="10.15" customHeight="1">
      <c r="E1591" s="95"/>
      <c r="F1591" s="95"/>
      <c r="G1591" s="95"/>
      <c r="H1591" s="95"/>
      <c r="I1591" s="95"/>
      <c r="J1591" s="95"/>
      <c r="K1591" s="95"/>
      <c r="L1591" s="95"/>
      <c r="M1591" s="95"/>
      <c r="N1591" s="95"/>
      <c r="O1591" s="95"/>
      <c r="P1591" s="95"/>
      <c r="Q1591" s="95"/>
      <c r="R1591" s="95"/>
      <c r="T1591" s="81"/>
      <c r="U1591" s="95"/>
      <c r="V1591" s="95"/>
      <c r="W1591" s="95"/>
    </row>
    <row r="1592" spans="5:23" ht="10.15" customHeight="1">
      <c r="E1592" s="95"/>
      <c r="F1592" s="95"/>
      <c r="G1592" s="95"/>
      <c r="H1592" s="95"/>
      <c r="I1592" s="95"/>
      <c r="J1592" s="95"/>
      <c r="K1592" s="95"/>
      <c r="L1592" s="95"/>
      <c r="M1592" s="95"/>
      <c r="N1592" s="95"/>
      <c r="O1592" s="95"/>
      <c r="P1592" s="95"/>
      <c r="Q1592" s="95"/>
      <c r="R1592" s="95"/>
      <c r="T1592" s="81"/>
      <c r="U1592" s="95"/>
      <c r="V1592" s="95"/>
      <c r="W1592" s="95"/>
    </row>
    <row r="1593" spans="5:23" ht="10.15" customHeight="1">
      <c r="E1593" s="95"/>
      <c r="F1593" s="95"/>
      <c r="G1593" s="95"/>
      <c r="H1593" s="95"/>
      <c r="I1593" s="95"/>
      <c r="J1593" s="95"/>
      <c r="K1593" s="95"/>
      <c r="L1593" s="95"/>
      <c r="M1593" s="95"/>
      <c r="N1593" s="95"/>
      <c r="O1593" s="95"/>
      <c r="P1593" s="95"/>
      <c r="Q1593" s="95"/>
      <c r="R1593" s="95"/>
      <c r="T1593" s="81"/>
      <c r="U1593" s="95"/>
      <c r="V1593" s="95"/>
      <c r="W1593" s="95"/>
    </row>
    <row r="1594" spans="5:23" ht="10.15" customHeight="1">
      <c r="E1594" s="95"/>
      <c r="F1594" s="95"/>
      <c r="G1594" s="95"/>
      <c r="H1594" s="95"/>
      <c r="I1594" s="95"/>
      <c r="J1594" s="95"/>
      <c r="K1594" s="95"/>
      <c r="L1594" s="95"/>
      <c r="M1594" s="95"/>
      <c r="N1594" s="95"/>
      <c r="O1594" s="95"/>
      <c r="P1594" s="95"/>
      <c r="Q1594" s="95"/>
      <c r="R1594" s="95"/>
      <c r="T1594" s="81"/>
      <c r="U1594" s="95"/>
      <c r="V1594" s="95"/>
      <c r="W1594" s="95"/>
    </row>
    <row r="1595" spans="5:23" ht="10.15" customHeight="1">
      <c r="E1595" s="95"/>
      <c r="F1595" s="95"/>
      <c r="G1595" s="95"/>
      <c r="H1595" s="95"/>
      <c r="I1595" s="95"/>
      <c r="J1595" s="95"/>
      <c r="K1595" s="95"/>
      <c r="L1595" s="95"/>
      <c r="M1595" s="95"/>
      <c r="N1595" s="95"/>
      <c r="O1595" s="95"/>
      <c r="P1595" s="95"/>
      <c r="Q1595" s="95"/>
      <c r="R1595" s="95"/>
      <c r="T1595" s="81"/>
      <c r="U1595" s="95"/>
      <c r="V1595" s="95"/>
      <c r="W1595" s="95"/>
    </row>
    <row r="1596" spans="5:23" ht="10.15" customHeight="1">
      <c r="E1596" s="95"/>
      <c r="F1596" s="95"/>
      <c r="G1596" s="95"/>
      <c r="H1596" s="95"/>
      <c r="I1596" s="95"/>
      <c r="J1596" s="95"/>
      <c r="K1596" s="95"/>
      <c r="L1596" s="95"/>
      <c r="M1596" s="95"/>
      <c r="N1596" s="95"/>
      <c r="O1596" s="95"/>
      <c r="P1596" s="95"/>
      <c r="Q1596" s="95"/>
      <c r="R1596" s="95"/>
      <c r="T1596" s="81"/>
      <c r="U1596" s="95"/>
      <c r="V1596" s="95"/>
      <c r="W1596" s="95"/>
    </row>
    <row r="1597" spans="5:23" ht="10.15" customHeight="1">
      <c r="E1597" s="95"/>
      <c r="F1597" s="95"/>
      <c r="G1597" s="95"/>
      <c r="H1597" s="95"/>
      <c r="I1597" s="95"/>
      <c r="J1597" s="95"/>
      <c r="K1597" s="95"/>
      <c r="L1597" s="95"/>
      <c r="M1597" s="95"/>
      <c r="N1597" s="95"/>
      <c r="O1597" s="95"/>
      <c r="P1597" s="95"/>
      <c r="Q1597" s="95"/>
      <c r="R1597" s="95"/>
      <c r="T1597" s="81"/>
      <c r="U1597" s="95"/>
      <c r="V1597" s="95"/>
      <c r="W1597" s="95"/>
    </row>
    <row r="1598" spans="5:23" ht="10.15" customHeight="1">
      <c r="E1598" s="95"/>
      <c r="F1598" s="95"/>
      <c r="G1598" s="95"/>
      <c r="H1598" s="95"/>
      <c r="I1598" s="95"/>
      <c r="J1598" s="95"/>
      <c r="K1598" s="95"/>
      <c r="L1598" s="95"/>
      <c r="M1598" s="95"/>
      <c r="N1598" s="95"/>
      <c r="O1598" s="95"/>
      <c r="P1598" s="95"/>
      <c r="Q1598" s="95"/>
      <c r="R1598" s="95"/>
      <c r="T1598" s="81"/>
      <c r="U1598" s="95"/>
      <c r="V1598" s="95"/>
      <c r="W1598" s="95"/>
    </row>
    <row r="1599" spans="5:23" ht="10.15" customHeight="1">
      <c r="E1599" s="95"/>
      <c r="F1599" s="95"/>
      <c r="G1599" s="95"/>
      <c r="H1599" s="95"/>
      <c r="I1599" s="95"/>
      <c r="J1599" s="95"/>
      <c r="K1599" s="95"/>
      <c r="L1599" s="95"/>
      <c r="M1599" s="95"/>
      <c r="N1599" s="95"/>
      <c r="O1599" s="95"/>
      <c r="P1599" s="95"/>
      <c r="Q1599" s="95"/>
      <c r="R1599" s="95"/>
      <c r="T1599" s="81"/>
      <c r="U1599" s="95"/>
      <c r="V1599" s="95"/>
      <c r="W1599" s="95"/>
    </row>
    <row r="1600" spans="5:23" ht="10.15" customHeight="1">
      <c r="E1600" s="95"/>
      <c r="F1600" s="95"/>
      <c r="G1600" s="95"/>
      <c r="H1600" s="95"/>
      <c r="I1600" s="95"/>
      <c r="J1600" s="95"/>
      <c r="K1600" s="95"/>
      <c r="L1600" s="95"/>
      <c r="M1600" s="95"/>
      <c r="N1600" s="95"/>
      <c r="O1600" s="95"/>
      <c r="P1600" s="95"/>
      <c r="Q1600" s="95"/>
      <c r="R1600" s="95"/>
      <c r="T1600" s="81"/>
      <c r="U1600" s="95"/>
      <c r="V1600" s="95"/>
      <c r="W1600" s="95"/>
    </row>
    <row r="1601" spans="5:23" ht="10.15" customHeight="1">
      <c r="E1601" s="95"/>
      <c r="F1601" s="95"/>
      <c r="G1601" s="95"/>
      <c r="H1601" s="95"/>
      <c r="I1601" s="95"/>
      <c r="J1601" s="95"/>
      <c r="K1601" s="95"/>
      <c r="L1601" s="95"/>
      <c r="M1601" s="95"/>
      <c r="N1601" s="95"/>
      <c r="O1601" s="95"/>
      <c r="P1601" s="95"/>
      <c r="Q1601" s="95"/>
      <c r="R1601" s="95"/>
      <c r="T1601" s="81"/>
      <c r="U1601" s="95"/>
      <c r="V1601" s="95"/>
      <c r="W1601" s="95"/>
    </row>
    <row r="1602" spans="5:23" ht="10.15" customHeight="1">
      <c r="E1602" s="95"/>
      <c r="F1602" s="95"/>
      <c r="G1602" s="95"/>
      <c r="H1602" s="95"/>
      <c r="I1602" s="95"/>
      <c r="J1602" s="95"/>
      <c r="K1602" s="95"/>
      <c r="L1602" s="95"/>
      <c r="M1602" s="95"/>
      <c r="N1602" s="95"/>
      <c r="O1602" s="95"/>
      <c r="P1602" s="95"/>
      <c r="Q1602" s="95"/>
      <c r="R1602" s="95"/>
      <c r="T1602" s="81"/>
      <c r="U1602" s="95"/>
      <c r="V1602" s="95"/>
      <c r="W1602" s="95"/>
    </row>
    <row r="1603" spans="5:23" ht="10.15" customHeight="1">
      <c r="E1603" s="95"/>
      <c r="F1603" s="95"/>
      <c r="G1603" s="95"/>
      <c r="H1603" s="95"/>
      <c r="I1603" s="95"/>
      <c r="J1603" s="95"/>
      <c r="K1603" s="95"/>
      <c r="L1603" s="95"/>
      <c r="M1603" s="95"/>
      <c r="N1603" s="95"/>
      <c r="O1603" s="95"/>
      <c r="P1603" s="95"/>
      <c r="Q1603" s="95"/>
      <c r="R1603" s="95"/>
      <c r="T1603" s="81"/>
      <c r="U1603" s="95"/>
      <c r="V1603" s="95"/>
      <c r="W1603" s="95"/>
    </row>
    <row r="1604" spans="5:23" ht="10.15" customHeight="1">
      <c r="E1604" s="95"/>
      <c r="F1604" s="95"/>
      <c r="G1604" s="95"/>
      <c r="H1604" s="95"/>
      <c r="I1604" s="95"/>
      <c r="J1604" s="95"/>
      <c r="K1604" s="95"/>
      <c r="L1604" s="95"/>
      <c r="M1604" s="95"/>
      <c r="N1604" s="95"/>
      <c r="O1604" s="95"/>
      <c r="P1604" s="95"/>
      <c r="Q1604" s="95"/>
      <c r="R1604" s="95"/>
      <c r="T1604" s="81"/>
      <c r="U1604" s="95"/>
      <c r="V1604" s="95"/>
      <c r="W1604" s="95"/>
    </row>
    <row r="1605" spans="5:23" ht="10.15" customHeight="1">
      <c r="E1605" s="95"/>
      <c r="F1605" s="95"/>
      <c r="G1605" s="95"/>
      <c r="H1605" s="95"/>
      <c r="I1605" s="95"/>
      <c r="J1605" s="95"/>
      <c r="K1605" s="95"/>
      <c r="L1605" s="95"/>
      <c r="M1605" s="95"/>
      <c r="N1605" s="95"/>
      <c r="O1605" s="95"/>
      <c r="P1605" s="95"/>
      <c r="Q1605" s="95"/>
      <c r="R1605" s="95"/>
      <c r="T1605" s="81"/>
      <c r="U1605" s="95"/>
      <c r="V1605" s="95"/>
      <c r="W1605" s="95"/>
    </row>
    <row r="1606" spans="5:23" ht="10.15" customHeight="1">
      <c r="E1606" s="95"/>
      <c r="F1606" s="95"/>
      <c r="G1606" s="95"/>
      <c r="H1606" s="95"/>
      <c r="I1606" s="95"/>
      <c r="J1606" s="95"/>
      <c r="K1606" s="95"/>
      <c r="L1606" s="95"/>
      <c r="M1606" s="95"/>
      <c r="N1606" s="95"/>
      <c r="O1606" s="95"/>
      <c r="P1606" s="95"/>
      <c r="Q1606" s="95"/>
      <c r="R1606" s="95"/>
      <c r="T1606" s="81"/>
      <c r="U1606" s="95"/>
      <c r="V1606" s="95"/>
      <c r="W1606" s="95"/>
    </row>
    <row r="1607" spans="5:23" ht="10.15" customHeight="1">
      <c r="E1607" s="95"/>
      <c r="F1607" s="95"/>
      <c r="G1607" s="95"/>
      <c r="H1607" s="95"/>
      <c r="I1607" s="95"/>
      <c r="J1607" s="95"/>
      <c r="K1607" s="95"/>
      <c r="L1607" s="95"/>
      <c r="M1607" s="95"/>
      <c r="N1607" s="95"/>
      <c r="O1607" s="95"/>
      <c r="P1607" s="95"/>
      <c r="Q1607" s="95"/>
      <c r="R1607" s="95"/>
      <c r="T1607" s="81"/>
      <c r="U1607" s="95"/>
      <c r="V1607" s="95"/>
      <c r="W1607" s="95"/>
    </row>
    <row r="1608" spans="5:23" ht="10.15" customHeight="1">
      <c r="E1608" s="95"/>
      <c r="F1608" s="95"/>
      <c r="G1608" s="95"/>
      <c r="H1608" s="95"/>
      <c r="I1608" s="95"/>
      <c r="J1608" s="95"/>
      <c r="K1608" s="95"/>
      <c r="L1608" s="95"/>
      <c r="M1608" s="95"/>
      <c r="N1608" s="95"/>
      <c r="O1608" s="95"/>
      <c r="P1608" s="95"/>
      <c r="Q1608" s="95"/>
      <c r="R1608" s="95"/>
      <c r="T1608" s="81"/>
      <c r="U1608" s="95"/>
      <c r="V1608" s="95"/>
      <c r="W1608" s="95"/>
    </row>
    <row r="1609" spans="5:23" ht="10.15" customHeight="1">
      <c r="E1609" s="95"/>
      <c r="F1609" s="95"/>
      <c r="G1609" s="95"/>
      <c r="H1609" s="95"/>
      <c r="I1609" s="95"/>
      <c r="J1609" s="95"/>
      <c r="K1609" s="95"/>
      <c r="L1609" s="95"/>
      <c r="M1609" s="95"/>
      <c r="N1609" s="95"/>
      <c r="O1609" s="95"/>
      <c r="P1609" s="95"/>
      <c r="Q1609" s="95"/>
      <c r="R1609" s="95"/>
      <c r="T1609" s="81"/>
      <c r="U1609" s="95"/>
      <c r="V1609" s="95"/>
      <c r="W1609" s="95"/>
    </row>
    <row r="1610" spans="5:23" ht="10.15" customHeight="1">
      <c r="E1610" s="95"/>
      <c r="F1610" s="95"/>
      <c r="G1610" s="95"/>
      <c r="H1610" s="95"/>
      <c r="I1610" s="95"/>
      <c r="J1610" s="95"/>
      <c r="K1610" s="95"/>
      <c r="L1610" s="95"/>
      <c r="M1610" s="95"/>
      <c r="N1610" s="95"/>
      <c r="O1610" s="95"/>
      <c r="P1610" s="95"/>
      <c r="Q1610" s="95"/>
      <c r="R1610" s="95"/>
      <c r="T1610" s="81"/>
      <c r="U1610" s="95"/>
      <c r="V1610" s="95"/>
      <c r="W1610" s="95"/>
    </row>
    <row r="1611" spans="5:23" ht="10.15" customHeight="1">
      <c r="E1611" s="95"/>
      <c r="F1611" s="95"/>
      <c r="G1611" s="95"/>
      <c r="H1611" s="95"/>
      <c r="I1611" s="95"/>
      <c r="J1611" s="95"/>
      <c r="K1611" s="95"/>
      <c r="L1611" s="95"/>
      <c r="M1611" s="95"/>
      <c r="N1611" s="95"/>
      <c r="O1611" s="95"/>
      <c r="P1611" s="95"/>
      <c r="Q1611" s="95"/>
      <c r="R1611" s="95"/>
      <c r="T1611" s="81"/>
      <c r="U1611" s="95"/>
      <c r="V1611" s="95"/>
      <c r="W1611" s="95"/>
    </row>
    <row r="1612" spans="5:23" ht="10.15" customHeight="1">
      <c r="E1612" s="95"/>
      <c r="F1612" s="95"/>
      <c r="G1612" s="95"/>
      <c r="H1612" s="95"/>
      <c r="I1612" s="95"/>
      <c r="J1612" s="95"/>
      <c r="K1612" s="95"/>
      <c r="L1612" s="95"/>
      <c r="M1612" s="95"/>
      <c r="N1612" s="95"/>
      <c r="O1612" s="95"/>
      <c r="P1612" s="95"/>
      <c r="Q1612" s="95"/>
      <c r="R1612" s="95"/>
      <c r="T1612" s="81"/>
      <c r="U1612" s="95"/>
      <c r="V1612" s="95"/>
      <c r="W1612" s="95"/>
    </row>
    <row r="1613" spans="5:23" ht="10.15" customHeight="1">
      <c r="E1613" s="95"/>
      <c r="F1613" s="95"/>
      <c r="G1613" s="95"/>
      <c r="H1613" s="95"/>
      <c r="I1613" s="95"/>
      <c r="J1613" s="95"/>
      <c r="K1613" s="95"/>
      <c r="L1613" s="95"/>
      <c r="M1613" s="95"/>
      <c r="N1613" s="95"/>
      <c r="O1613" s="95"/>
      <c r="P1613" s="95"/>
      <c r="Q1613" s="95"/>
      <c r="R1613" s="95"/>
      <c r="T1613" s="81"/>
      <c r="U1613" s="95"/>
      <c r="V1613" s="95"/>
      <c r="W1613" s="95"/>
    </row>
    <row r="1614" spans="5:23" ht="10.15" customHeight="1">
      <c r="E1614" s="95"/>
      <c r="F1614" s="95"/>
      <c r="G1614" s="95"/>
      <c r="H1614" s="95"/>
      <c r="I1614" s="95"/>
      <c r="J1614" s="95"/>
      <c r="K1614" s="95"/>
      <c r="L1614" s="95"/>
      <c r="M1614" s="95"/>
      <c r="N1614" s="95"/>
      <c r="O1614" s="95"/>
      <c r="P1614" s="95"/>
      <c r="Q1614" s="95"/>
      <c r="R1614" s="95"/>
      <c r="T1614" s="81"/>
      <c r="U1614" s="95"/>
      <c r="V1614" s="95"/>
      <c r="W1614" s="95"/>
    </row>
    <row r="1615" spans="5:23" ht="10.15" customHeight="1">
      <c r="E1615" s="95"/>
      <c r="F1615" s="95"/>
      <c r="G1615" s="95"/>
      <c r="H1615" s="95"/>
      <c r="I1615" s="95"/>
      <c r="J1615" s="95"/>
      <c r="K1615" s="95"/>
      <c r="L1615" s="95"/>
      <c r="M1615" s="95"/>
      <c r="N1615" s="95"/>
      <c r="O1615" s="95"/>
      <c r="P1615" s="95"/>
      <c r="Q1615" s="95"/>
      <c r="R1615" s="95"/>
      <c r="T1615" s="81"/>
      <c r="U1615" s="95"/>
      <c r="V1615" s="95"/>
      <c r="W1615" s="95"/>
    </row>
    <row r="1616" spans="5:23" ht="10.15" customHeight="1">
      <c r="E1616" s="95"/>
      <c r="F1616" s="95"/>
      <c r="G1616" s="95"/>
      <c r="H1616" s="95"/>
      <c r="I1616" s="95"/>
      <c r="J1616" s="95"/>
      <c r="K1616" s="95"/>
      <c r="L1616" s="95"/>
      <c r="M1616" s="95"/>
      <c r="N1616" s="95"/>
      <c r="O1616" s="95"/>
      <c r="P1616" s="95"/>
      <c r="Q1616" s="95"/>
      <c r="R1616" s="95"/>
      <c r="T1616" s="81"/>
      <c r="U1616" s="95"/>
      <c r="V1616" s="95"/>
      <c r="W1616" s="95"/>
    </row>
    <row r="1617" spans="5:23" ht="10.15" customHeight="1">
      <c r="E1617" s="95"/>
      <c r="F1617" s="95"/>
      <c r="G1617" s="95"/>
      <c r="H1617" s="95"/>
      <c r="I1617" s="95"/>
      <c r="J1617" s="95"/>
      <c r="K1617" s="95"/>
      <c r="L1617" s="95"/>
      <c r="M1617" s="95"/>
      <c r="N1617" s="95"/>
      <c r="O1617" s="95"/>
      <c r="P1617" s="95"/>
      <c r="Q1617" s="95"/>
      <c r="R1617" s="95"/>
      <c r="T1617" s="81"/>
      <c r="U1617" s="95"/>
      <c r="V1617" s="95"/>
      <c r="W1617" s="95"/>
    </row>
    <row r="1618" spans="5:23" ht="10.15" customHeight="1">
      <c r="E1618" s="95"/>
      <c r="F1618" s="95"/>
      <c r="G1618" s="95"/>
      <c r="H1618" s="95"/>
      <c r="I1618" s="95"/>
      <c r="J1618" s="95"/>
      <c r="K1618" s="95"/>
      <c r="L1618" s="95"/>
      <c r="M1618" s="95"/>
      <c r="N1618" s="95"/>
      <c r="O1618" s="95"/>
      <c r="P1618" s="95"/>
      <c r="Q1618" s="95"/>
      <c r="R1618" s="95"/>
      <c r="T1618" s="81"/>
      <c r="U1618" s="95"/>
      <c r="V1618" s="95"/>
      <c r="W1618" s="95"/>
    </row>
    <row r="1619" spans="5:23" ht="10.15" customHeight="1">
      <c r="E1619" s="95"/>
      <c r="F1619" s="95"/>
      <c r="G1619" s="95"/>
      <c r="H1619" s="95"/>
      <c r="I1619" s="95"/>
      <c r="J1619" s="95"/>
      <c r="K1619" s="95"/>
      <c r="L1619" s="95"/>
      <c r="M1619" s="95"/>
      <c r="N1619" s="95"/>
      <c r="O1619" s="95"/>
      <c r="P1619" s="95"/>
      <c r="Q1619" s="95"/>
      <c r="R1619" s="95"/>
      <c r="T1619" s="81"/>
      <c r="U1619" s="95"/>
      <c r="V1619" s="95"/>
      <c r="W1619" s="95"/>
    </row>
    <row r="1620" spans="5:23" ht="10.15" customHeight="1">
      <c r="E1620" s="95"/>
      <c r="F1620" s="95"/>
      <c r="G1620" s="95"/>
      <c r="H1620" s="95"/>
      <c r="I1620" s="95"/>
      <c r="J1620" s="95"/>
      <c r="K1620" s="95"/>
      <c r="L1620" s="95"/>
      <c r="M1620" s="95"/>
      <c r="N1620" s="95"/>
      <c r="O1620" s="95"/>
      <c r="P1620" s="95"/>
      <c r="Q1620" s="95"/>
      <c r="R1620" s="95"/>
      <c r="T1620" s="81"/>
      <c r="U1620" s="95"/>
      <c r="V1620" s="95"/>
      <c r="W1620" s="95"/>
    </row>
    <row r="1621" spans="5:23" ht="10.15" customHeight="1">
      <c r="E1621" s="95"/>
      <c r="F1621" s="95"/>
      <c r="G1621" s="95"/>
      <c r="H1621" s="95"/>
      <c r="I1621" s="95"/>
      <c r="J1621" s="95"/>
      <c r="K1621" s="95"/>
      <c r="L1621" s="95"/>
      <c r="M1621" s="95"/>
      <c r="N1621" s="95"/>
      <c r="O1621" s="95"/>
      <c r="P1621" s="95"/>
      <c r="Q1621" s="95"/>
      <c r="R1621" s="95"/>
      <c r="T1621" s="81"/>
      <c r="U1621" s="95"/>
      <c r="V1621" s="95"/>
      <c r="W1621" s="95"/>
    </row>
    <row r="1622" spans="5:23" ht="10.15" customHeight="1">
      <c r="E1622" s="95"/>
      <c r="F1622" s="95"/>
      <c r="G1622" s="95"/>
      <c r="H1622" s="95"/>
      <c r="I1622" s="95"/>
      <c r="J1622" s="95"/>
      <c r="K1622" s="95"/>
      <c r="L1622" s="95"/>
      <c r="M1622" s="95"/>
      <c r="N1622" s="95"/>
      <c r="O1622" s="95"/>
      <c r="P1622" s="95"/>
      <c r="Q1622" s="95"/>
      <c r="R1622" s="95"/>
      <c r="T1622" s="81"/>
      <c r="U1622" s="95"/>
      <c r="V1622" s="95"/>
      <c r="W1622" s="95"/>
    </row>
    <row r="1623" spans="5:23" ht="10.15" customHeight="1">
      <c r="E1623" s="95"/>
      <c r="F1623" s="95"/>
      <c r="G1623" s="95"/>
      <c r="H1623" s="95"/>
      <c r="I1623" s="95"/>
      <c r="J1623" s="95"/>
      <c r="K1623" s="95"/>
      <c r="L1623" s="95"/>
      <c r="M1623" s="95"/>
      <c r="N1623" s="95"/>
      <c r="O1623" s="95"/>
      <c r="P1623" s="95"/>
      <c r="Q1623" s="95"/>
      <c r="R1623" s="95"/>
      <c r="T1623" s="81"/>
      <c r="U1623" s="95"/>
      <c r="V1623" s="95"/>
      <c r="W1623" s="95"/>
    </row>
    <row r="1624" spans="5:23" ht="10.15" customHeight="1">
      <c r="E1624" s="95"/>
      <c r="F1624" s="95"/>
      <c r="G1624" s="95"/>
      <c r="H1624" s="95"/>
      <c r="I1624" s="95"/>
      <c r="J1624" s="95"/>
      <c r="K1624" s="95"/>
      <c r="L1624" s="95"/>
      <c r="M1624" s="95"/>
      <c r="N1624" s="95"/>
      <c r="O1624" s="95"/>
      <c r="P1624" s="95"/>
      <c r="Q1624" s="95"/>
      <c r="R1624" s="95"/>
      <c r="T1624" s="81"/>
      <c r="U1624" s="95"/>
      <c r="V1624" s="95"/>
      <c r="W1624" s="95"/>
    </row>
    <row r="1625" spans="5:23" ht="10.15" customHeight="1">
      <c r="E1625" s="95"/>
      <c r="F1625" s="95"/>
      <c r="G1625" s="95"/>
      <c r="H1625" s="95"/>
      <c r="I1625" s="95"/>
      <c r="J1625" s="95"/>
      <c r="K1625" s="95"/>
      <c r="L1625" s="95"/>
      <c r="M1625" s="95"/>
      <c r="N1625" s="95"/>
      <c r="O1625" s="95"/>
      <c r="P1625" s="95"/>
      <c r="Q1625" s="95"/>
      <c r="R1625" s="95"/>
      <c r="T1625" s="81"/>
      <c r="U1625" s="95"/>
      <c r="V1625" s="95"/>
      <c r="W1625" s="95"/>
    </row>
    <row r="1626" spans="5:23" ht="10.15" customHeight="1">
      <c r="E1626" s="95"/>
      <c r="F1626" s="95"/>
      <c r="G1626" s="95"/>
      <c r="H1626" s="95"/>
      <c r="I1626" s="95"/>
      <c r="J1626" s="95"/>
      <c r="K1626" s="95"/>
      <c r="L1626" s="95"/>
      <c r="M1626" s="95"/>
      <c r="N1626" s="95"/>
      <c r="O1626" s="95"/>
      <c r="P1626" s="95"/>
      <c r="Q1626" s="95"/>
      <c r="R1626" s="95"/>
      <c r="T1626" s="81"/>
      <c r="U1626" s="95"/>
      <c r="V1626" s="95"/>
      <c r="W1626" s="95"/>
    </row>
    <row r="1627" spans="5:23" ht="10.15" customHeight="1">
      <c r="E1627" s="95"/>
      <c r="F1627" s="95"/>
      <c r="G1627" s="95"/>
      <c r="H1627" s="95"/>
      <c r="I1627" s="95"/>
      <c r="J1627" s="95"/>
      <c r="K1627" s="95"/>
      <c r="L1627" s="95"/>
      <c r="M1627" s="95"/>
      <c r="N1627" s="95"/>
      <c r="O1627" s="95"/>
      <c r="P1627" s="95"/>
      <c r="Q1627" s="95"/>
      <c r="R1627" s="95"/>
      <c r="T1627" s="81"/>
      <c r="U1627" s="95"/>
      <c r="V1627" s="95"/>
      <c r="W1627" s="95"/>
    </row>
    <row r="1628" spans="5:23" ht="10.15" customHeight="1">
      <c r="E1628" s="95"/>
      <c r="F1628" s="95"/>
      <c r="G1628" s="95"/>
      <c r="H1628" s="95"/>
      <c r="I1628" s="95"/>
      <c r="J1628" s="95"/>
      <c r="K1628" s="95"/>
      <c r="L1628" s="95"/>
      <c r="M1628" s="95"/>
      <c r="N1628" s="95"/>
      <c r="O1628" s="95"/>
      <c r="P1628" s="95"/>
      <c r="Q1628" s="95"/>
      <c r="R1628" s="95"/>
      <c r="T1628" s="81"/>
      <c r="U1628" s="95"/>
      <c r="V1628" s="95"/>
      <c r="W1628" s="95"/>
    </row>
    <row r="1629" spans="5:23" ht="10.15" customHeight="1">
      <c r="E1629" s="95"/>
      <c r="F1629" s="95"/>
      <c r="G1629" s="95"/>
      <c r="H1629" s="95"/>
      <c r="I1629" s="95"/>
      <c r="J1629" s="95"/>
      <c r="K1629" s="95"/>
      <c r="L1629" s="95"/>
      <c r="M1629" s="95"/>
      <c r="N1629" s="95"/>
      <c r="O1629" s="95"/>
      <c r="P1629" s="95"/>
      <c r="Q1629" s="95"/>
      <c r="R1629" s="95"/>
      <c r="T1629" s="81"/>
      <c r="U1629" s="95"/>
      <c r="V1629" s="95"/>
      <c r="W1629" s="95"/>
    </row>
    <row r="1630" spans="5:23" ht="10.15" customHeight="1">
      <c r="E1630" s="95"/>
      <c r="F1630" s="95"/>
      <c r="G1630" s="95"/>
      <c r="H1630" s="95"/>
      <c r="I1630" s="95"/>
      <c r="J1630" s="95"/>
      <c r="K1630" s="95"/>
      <c r="L1630" s="95"/>
      <c r="M1630" s="95"/>
      <c r="N1630" s="95"/>
      <c r="O1630" s="95"/>
      <c r="P1630" s="95"/>
      <c r="Q1630" s="95"/>
      <c r="R1630" s="95"/>
      <c r="T1630" s="81"/>
      <c r="U1630" s="95"/>
      <c r="V1630" s="95"/>
      <c r="W1630" s="95"/>
    </row>
    <row r="1631" spans="5:23" ht="10.15" customHeight="1">
      <c r="E1631" s="95"/>
      <c r="F1631" s="95"/>
      <c r="G1631" s="95"/>
      <c r="H1631" s="95"/>
      <c r="I1631" s="95"/>
      <c r="J1631" s="95"/>
      <c r="K1631" s="95"/>
      <c r="L1631" s="95"/>
      <c r="M1631" s="95"/>
      <c r="N1631" s="95"/>
      <c r="O1631" s="95"/>
      <c r="P1631" s="95"/>
      <c r="Q1631" s="95"/>
      <c r="R1631" s="95"/>
      <c r="T1631" s="81"/>
      <c r="U1631" s="95"/>
      <c r="V1631" s="95"/>
      <c r="W1631" s="95"/>
    </row>
    <row r="1632" spans="5:23" ht="10.15" customHeight="1">
      <c r="E1632" s="95"/>
      <c r="F1632" s="95"/>
      <c r="G1632" s="95"/>
      <c r="H1632" s="95"/>
      <c r="I1632" s="95"/>
      <c r="J1632" s="95"/>
      <c r="K1632" s="95"/>
      <c r="L1632" s="95"/>
      <c r="M1632" s="95"/>
      <c r="N1632" s="95"/>
      <c r="O1632" s="95"/>
      <c r="P1632" s="95"/>
      <c r="Q1632" s="95"/>
      <c r="R1632" s="95"/>
      <c r="T1632" s="81"/>
      <c r="U1632" s="95"/>
      <c r="V1632" s="95"/>
      <c r="W1632" s="95"/>
    </row>
    <row r="1633" spans="5:23" ht="10.15" customHeight="1">
      <c r="E1633" s="95"/>
      <c r="F1633" s="95"/>
      <c r="G1633" s="95"/>
      <c r="H1633" s="95"/>
      <c r="I1633" s="95"/>
      <c r="J1633" s="95"/>
      <c r="K1633" s="95"/>
      <c r="L1633" s="95"/>
      <c r="M1633" s="95"/>
      <c r="N1633" s="95"/>
      <c r="O1633" s="95"/>
      <c r="P1633" s="95"/>
      <c r="Q1633" s="95"/>
      <c r="R1633" s="95"/>
      <c r="T1633" s="81"/>
      <c r="U1633" s="95"/>
      <c r="V1633" s="95"/>
      <c r="W1633" s="95"/>
    </row>
    <row r="1634" spans="5:23" ht="10.15" customHeight="1">
      <c r="E1634" s="95"/>
      <c r="F1634" s="95"/>
      <c r="G1634" s="95"/>
      <c r="H1634" s="95"/>
      <c r="I1634" s="95"/>
      <c r="J1634" s="95"/>
      <c r="K1634" s="95"/>
      <c r="L1634" s="95"/>
      <c r="M1634" s="95"/>
      <c r="N1634" s="95"/>
      <c r="O1634" s="95"/>
      <c r="P1634" s="95"/>
      <c r="Q1634" s="95"/>
      <c r="R1634" s="95"/>
      <c r="T1634" s="81"/>
      <c r="U1634" s="95"/>
      <c r="V1634" s="95"/>
      <c r="W1634" s="95"/>
    </row>
    <row r="1635" spans="5:23" ht="10.15" customHeight="1">
      <c r="E1635" s="95"/>
      <c r="F1635" s="95"/>
      <c r="G1635" s="95"/>
      <c r="H1635" s="95"/>
      <c r="I1635" s="95"/>
      <c r="J1635" s="95"/>
      <c r="K1635" s="95"/>
      <c r="L1635" s="95"/>
      <c r="M1635" s="95"/>
      <c r="N1635" s="95"/>
      <c r="O1635" s="95"/>
      <c r="P1635" s="95"/>
      <c r="Q1635" s="95"/>
      <c r="R1635" s="95"/>
      <c r="T1635" s="81"/>
      <c r="U1635" s="95"/>
      <c r="V1635" s="95"/>
      <c r="W1635" s="95"/>
    </row>
    <row r="1636" spans="5:23" ht="10.15" customHeight="1">
      <c r="E1636" s="95"/>
      <c r="F1636" s="95"/>
      <c r="G1636" s="95"/>
      <c r="H1636" s="95"/>
      <c r="I1636" s="95"/>
      <c r="J1636" s="95"/>
      <c r="K1636" s="95"/>
      <c r="L1636" s="95"/>
      <c r="M1636" s="95"/>
      <c r="N1636" s="95"/>
      <c r="O1636" s="95"/>
      <c r="P1636" s="95"/>
      <c r="Q1636" s="95"/>
      <c r="R1636" s="95"/>
      <c r="T1636" s="81"/>
      <c r="U1636" s="95"/>
      <c r="V1636" s="95"/>
      <c r="W1636" s="95"/>
    </row>
    <row r="1637" spans="5:23" ht="10.15" customHeight="1">
      <c r="E1637" s="95"/>
      <c r="F1637" s="95"/>
      <c r="G1637" s="95"/>
      <c r="H1637" s="95"/>
      <c r="I1637" s="95"/>
      <c r="J1637" s="95"/>
      <c r="K1637" s="95"/>
      <c r="L1637" s="95"/>
      <c r="M1637" s="95"/>
      <c r="N1637" s="95"/>
      <c r="O1637" s="95"/>
      <c r="P1637" s="95"/>
      <c r="Q1637" s="95"/>
      <c r="R1637" s="95"/>
      <c r="T1637" s="81"/>
      <c r="U1637" s="95"/>
      <c r="V1637" s="95"/>
      <c r="W1637" s="95"/>
    </row>
    <row r="1638" spans="5:23" ht="10.15" customHeight="1">
      <c r="E1638" s="95"/>
      <c r="F1638" s="95"/>
      <c r="G1638" s="95"/>
      <c r="H1638" s="95"/>
      <c r="I1638" s="95"/>
      <c r="J1638" s="95"/>
      <c r="K1638" s="95"/>
      <c r="L1638" s="95"/>
      <c r="M1638" s="95"/>
      <c r="N1638" s="95"/>
      <c r="O1638" s="95"/>
      <c r="P1638" s="95"/>
      <c r="Q1638" s="95"/>
      <c r="R1638" s="95"/>
      <c r="T1638" s="81"/>
      <c r="U1638" s="95"/>
      <c r="V1638" s="95"/>
      <c r="W1638" s="95"/>
    </row>
    <row r="1639" spans="5:23" ht="10.15" customHeight="1">
      <c r="E1639" s="95"/>
      <c r="F1639" s="95"/>
      <c r="G1639" s="95"/>
      <c r="H1639" s="95"/>
      <c r="I1639" s="95"/>
      <c r="J1639" s="95"/>
      <c r="K1639" s="95"/>
      <c r="L1639" s="95"/>
      <c r="M1639" s="95"/>
      <c r="N1639" s="95"/>
      <c r="O1639" s="95"/>
      <c r="P1639" s="95"/>
      <c r="Q1639" s="95"/>
      <c r="R1639" s="95"/>
      <c r="T1639" s="81"/>
      <c r="U1639" s="95"/>
      <c r="V1639" s="95"/>
      <c r="W1639" s="95"/>
    </row>
    <row r="1640" spans="5:23" ht="10.15" customHeight="1">
      <c r="E1640" s="95"/>
      <c r="F1640" s="95"/>
      <c r="G1640" s="95"/>
      <c r="H1640" s="95"/>
      <c r="I1640" s="95"/>
      <c r="J1640" s="95"/>
      <c r="K1640" s="95"/>
      <c r="L1640" s="95"/>
      <c r="M1640" s="95"/>
      <c r="N1640" s="95"/>
      <c r="O1640" s="95"/>
      <c r="P1640" s="95"/>
      <c r="Q1640" s="95"/>
      <c r="R1640" s="95"/>
      <c r="T1640" s="81"/>
      <c r="U1640" s="95"/>
      <c r="V1640" s="95"/>
      <c r="W1640" s="95"/>
    </row>
    <row r="1641" spans="5:23" ht="10.15" customHeight="1">
      <c r="E1641" s="95"/>
      <c r="F1641" s="95"/>
      <c r="G1641" s="95"/>
      <c r="H1641" s="95"/>
      <c r="I1641" s="95"/>
      <c r="J1641" s="95"/>
      <c r="K1641" s="95"/>
      <c r="L1641" s="95"/>
      <c r="M1641" s="95"/>
      <c r="N1641" s="95"/>
      <c r="O1641" s="95"/>
      <c r="P1641" s="95"/>
      <c r="Q1641" s="95"/>
      <c r="R1641" s="95"/>
      <c r="T1641" s="81"/>
      <c r="U1641" s="95"/>
      <c r="V1641" s="95"/>
      <c r="W1641" s="95"/>
    </row>
    <row r="1642" spans="5:23" ht="10.15" customHeight="1">
      <c r="E1642" s="95"/>
      <c r="F1642" s="95"/>
      <c r="G1642" s="95"/>
      <c r="H1642" s="95"/>
      <c r="I1642" s="95"/>
      <c r="J1642" s="95"/>
      <c r="K1642" s="95"/>
      <c r="L1642" s="95"/>
      <c r="M1642" s="95"/>
      <c r="N1642" s="95"/>
      <c r="O1642" s="95"/>
      <c r="P1642" s="95"/>
      <c r="Q1642" s="95"/>
      <c r="R1642" s="95"/>
      <c r="T1642" s="81"/>
      <c r="U1642" s="95"/>
      <c r="V1642" s="95"/>
      <c r="W1642" s="95"/>
    </row>
    <row r="1643" spans="5:23" ht="10.15" customHeight="1">
      <c r="E1643" s="95"/>
      <c r="F1643" s="95"/>
      <c r="G1643" s="95"/>
      <c r="H1643" s="95"/>
      <c r="I1643" s="95"/>
      <c r="J1643" s="95"/>
      <c r="K1643" s="95"/>
      <c r="L1643" s="95"/>
      <c r="M1643" s="95"/>
      <c r="N1643" s="95"/>
      <c r="O1643" s="95"/>
      <c r="P1643" s="95"/>
      <c r="Q1643" s="95"/>
      <c r="R1643" s="95"/>
      <c r="T1643" s="81"/>
      <c r="U1643" s="95"/>
      <c r="V1643" s="95"/>
      <c r="W1643" s="95"/>
    </row>
    <row r="1644" spans="5:23" ht="10.15" customHeight="1">
      <c r="E1644" s="95"/>
      <c r="F1644" s="95"/>
      <c r="G1644" s="95"/>
      <c r="H1644" s="95"/>
      <c r="I1644" s="95"/>
      <c r="J1644" s="95"/>
      <c r="K1644" s="95"/>
      <c r="L1644" s="95"/>
      <c r="M1644" s="95"/>
      <c r="N1644" s="95"/>
      <c r="O1644" s="95"/>
      <c r="P1644" s="95"/>
      <c r="Q1644" s="95"/>
      <c r="R1644" s="95"/>
      <c r="T1644" s="81"/>
      <c r="U1644" s="95"/>
      <c r="V1644" s="95"/>
      <c r="W1644" s="95"/>
    </row>
    <row r="1645" spans="5:23" ht="10.15" customHeight="1">
      <c r="E1645" s="95"/>
      <c r="F1645" s="95"/>
      <c r="G1645" s="95"/>
      <c r="H1645" s="95"/>
      <c r="I1645" s="95"/>
      <c r="J1645" s="95"/>
      <c r="K1645" s="95"/>
      <c r="L1645" s="95"/>
      <c r="M1645" s="95"/>
      <c r="N1645" s="95"/>
      <c r="O1645" s="95"/>
      <c r="P1645" s="95"/>
      <c r="Q1645" s="95"/>
      <c r="R1645" s="95"/>
      <c r="T1645" s="81"/>
      <c r="U1645" s="95"/>
      <c r="V1645" s="95"/>
      <c r="W1645" s="95"/>
    </row>
    <row r="1646" spans="5:23" ht="10.15" customHeight="1">
      <c r="E1646" s="95"/>
      <c r="F1646" s="95"/>
      <c r="G1646" s="95"/>
      <c r="H1646" s="95"/>
      <c r="I1646" s="95"/>
      <c r="J1646" s="95"/>
      <c r="K1646" s="95"/>
      <c r="L1646" s="95"/>
      <c r="M1646" s="95"/>
      <c r="N1646" s="95"/>
      <c r="O1646" s="95"/>
      <c r="P1646" s="95"/>
      <c r="Q1646" s="95"/>
      <c r="R1646" s="95"/>
      <c r="T1646" s="81"/>
      <c r="U1646" s="95"/>
      <c r="V1646" s="95"/>
      <c r="W1646" s="95"/>
    </row>
    <row r="1647" spans="5:23" ht="10.15" customHeight="1">
      <c r="E1647" s="95"/>
      <c r="F1647" s="95"/>
      <c r="G1647" s="95"/>
      <c r="H1647" s="95"/>
      <c r="I1647" s="95"/>
      <c r="J1647" s="95"/>
      <c r="K1647" s="95"/>
      <c r="L1647" s="95"/>
      <c r="M1647" s="95"/>
      <c r="N1647" s="95"/>
      <c r="O1647" s="95"/>
      <c r="P1647" s="95"/>
      <c r="Q1647" s="95"/>
      <c r="R1647" s="95"/>
      <c r="T1647" s="81"/>
      <c r="U1647" s="95"/>
      <c r="V1647" s="95"/>
      <c r="W1647" s="95"/>
    </row>
    <row r="1648" spans="5:23" ht="10.15" customHeight="1">
      <c r="E1648" s="95"/>
      <c r="F1648" s="95"/>
      <c r="G1648" s="95"/>
      <c r="H1648" s="95"/>
      <c r="I1648" s="95"/>
      <c r="J1648" s="95"/>
      <c r="K1648" s="95"/>
      <c r="L1648" s="95"/>
      <c r="M1648" s="95"/>
      <c r="N1648" s="95"/>
      <c r="O1648" s="95"/>
      <c r="P1648" s="95"/>
      <c r="Q1648" s="95"/>
      <c r="R1648" s="95"/>
      <c r="T1648" s="81"/>
      <c r="U1648" s="95"/>
      <c r="V1648" s="95"/>
      <c r="W1648" s="95"/>
    </row>
    <row r="1649" spans="5:23" ht="10.15" customHeight="1">
      <c r="E1649" s="95"/>
      <c r="F1649" s="95"/>
      <c r="G1649" s="95"/>
      <c r="H1649" s="95"/>
      <c r="I1649" s="95"/>
      <c r="J1649" s="95"/>
      <c r="K1649" s="95"/>
      <c r="L1649" s="95"/>
      <c r="M1649" s="95"/>
      <c r="N1649" s="95"/>
      <c r="O1649" s="95"/>
      <c r="P1649" s="95"/>
      <c r="Q1649" s="95"/>
      <c r="R1649" s="95"/>
      <c r="T1649" s="81"/>
      <c r="U1649" s="95"/>
      <c r="V1649" s="95"/>
      <c r="W1649" s="95"/>
    </row>
    <row r="1650" spans="5:23" ht="10.15" customHeight="1">
      <c r="E1650" s="95"/>
      <c r="F1650" s="95"/>
      <c r="G1650" s="95"/>
      <c r="H1650" s="95"/>
      <c r="I1650" s="95"/>
      <c r="J1650" s="95"/>
      <c r="K1650" s="95"/>
      <c r="L1650" s="95"/>
      <c r="M1650" s="95"/>
      <c r="N1650" s="95"/>
      <c r="O1650" s="95"/>
      <c r="P1650" s="95"/>
      <c r="Q1650" s="95"/>
      <c r="R1650" s="95"/>
      <c r="T1650" s="81"/>
      <c r="U1650" s="95"/>
      <c r="V1650" s="95"/>
      <c r="W1650" s="95"/>
    </row>
    <row r="1651" spans="5:23" ht="10.15" customHeight="1">
      <c r="E1651" s="95"/>
      <c r="F1651" s="95"/>
      <c r="G1651" s="95"/>
      <c r="H1651" s="95"/>
      <c r="I1651" s="95"/>
      <c r="J1651" s="95"/>
      <c r="K1651" s="95"/>
      <c r="L1651" s="95"/>
      <c r="M1651" s="95"/>
      <c r="N1651" s="95"/>
      <c r="O1651" s="95"/>
      <c r="P1651" s="95"/>
      <c r="Q1651" s="95"/>
      <c r="R1651" s="95"/>
      <c r="T1651" s="81"/>
      <c r="U1651" s="95"/>
      <c r="V1651" s="95"/>
      <c r="W1651" s="95"/>
    </row>
    <row r="1652" spans="5:23" ht="10.15" customHeight="1">
      <c r="E1652" s="95"/>
      <c r="F1652" s="95"/>
      <c r="G1652" s="95"/>
      <c r="H1652" s="95"/>
      <c r="I1652" s="95"/>
      <c r="J1652" s="95"/>
      <c r="K1652" s="95"/>
      <c r="L1652" s="95"/>
      <c r="M1652" s="95"/>
      <c r="N1652" s="95"/>
      <c r="O1652" s="95"/>
      <c r="P1652" s="95"/>
      <c r="Q1652" s="95"/>
      <c r="R1652" s="95"/>
      <c r="T1652" s="81"/>
      <c r="U1652" s="95"/>
      <c r="V1652" s="95"/>
      <c r="W1652" s="95"/>
    </row>
    <row r="1653" spans="5:23" ht="10.15" customHeight="1">
      <c r="E1653" s="95"/>
      <c r="F1653" s="95"/>
      <c r="G1653" s="95"/>
      <c r="H1653" s="95"/>
      <c r="I1653" s="95"/>
      <c r="J1653" s="95"/>
      <c r="K1653" s="95"/>
      <c r="L1653" s="95"/>
      <c r="M1653" s="95"/>
      <c r="N1653" s="95"/>
      <c r="O1653" s="95"/>
      <c r="P1653" s="95"/>
      <c r="Q1653" s="95"/>
      <c r="R1653" s="95"/>
      <c r="T1653" s="81"/>
      <c r="U1653" s="95"/>
      <c r="V1653" s="95"/>
      <c r="W1653" s="95"/>
    </row>
    <row r="1654" spans="5:23" ht="10.15" customHeight="1">
      <c r="E1654" s="95"/>
      <c r="F1654" s="95"/>
      <c r="G1654" s="95"/>
      <c r="H1654" s="95"/>
      <c r="I1654" s="95"/>
      <c r="J1654" s="95"/>
      <c r="K1654" s="95"/>
      <c r="L1654" s="95"/>
      <c r="M1654" s="95"/>
      <c r="N1654" s="95"/>
      <c r="O1654" s="95"/>
      <c r="P1654" s="95"/>
      <c r="Q1654" s="95"/>
      <c r="R1654" s="95"/>
      <c r="T1654" s="81"/>
      <c r="U1654" s="95"/>
      <c r="V1654" s="95"/>
      <c r="W1654" s="95"/>
    </row>
    <row r="1655" spans="5:23" ht="10.15" customHeight="1">
      <c r="E1655" s="95"/>
      <c r="F1655" s="95"/>
      <c r="G1655" s="95"/>
      <c r="H1655" s="95"/>
      <c r="I1655" s="95"/>
      <c r="J1655" s="95"/>
      <c r="K1655" s="95"/>
      <c r="L1655" s="95"/>
      <c r="M1655" s="95"/>
      <c r="N1655" s="95"/>
      <c r="O1655" s="95"/>
      <c r="P1655" s="95"/>
      <c r="Q1655" s="95"/>
      <c r="R1655" s="95"/>
      <c r="T1655" s="81"/>
      <c r="U1655" s="95"/>
      <c r="V1655" s="95"/>
      <c r="W1655" s="95"/>
    </row>
    <row r="1656" spans="5:23" ht="10.15" customHeight="1">
      <c r="E1656" s="95"/>
      <c r="F1656" s="95"/>
      <c r="G1656" s="95"/>
      <c r="H1656" s="95"/>
      <c r="I1656" s="95"/>
      <c r="J1656" s="95"/>
      <c r="K1656" s="95"/>
      <c r="L1656" s="95"/>
      <c r="M1656" s="95"/>
      <c r="N1656" s="95"/>
      <c r="O1656" s="95"/>
      <c r="P1656" s="95"/>
      <c r="Q1656" s="95"/>
      <c r="R1656" s="95"/>
      <c r="T1656" s="81"/>
      <c r="U1656" s="95"/>
      <c r="V1656" s="95"/>
      <c r="W1656" s="95"/>
    </row>
    <row r="1657" spans="5:23" ht="10.15" customHeight="1">
      <c r="E1657" s="95"/>
      <c r="F1657" s="95"/>
      <c r="G1657" s="95"/>
      <c r="H1657" s="95"/>
      <c r="I1657" s="95"/>
      <c r="J1657" s="95"/>
      <c r="K1657" s="95"/>
      <c r="L1657" s="95"/>
      <c r="M1657" s="95"/>
      <c r="N1657" s="95"/>
      <c r="O1657" s="95"/>
      <c r="P1657" s="95"/>
      <c r="Q1657" s="95"/>
      <c r="R1657" s="95"/>
      <c r="T1657" s="81"/>
      <c r="U1657" s="95"/>
      <c r="V1657" s="95"/>
      <c r="W1657" s="95"/>
    </row>
    <row r="1658" spans="5:23" ht="10.15" customHeight="1">
      <c r="E1658" s="95"/>
      <c r="F1658" s="95"/>
      <c r="G1658" s="95"/>
      <c r="H1658" s="95"/>
      <c r="I1658" s="95"/>
      <c r="J1658" s="95"/>
      <c r="K1658" s="95"/>
      <c r="L1658" s="95"/>
      <c r="M1658" s="95"/>
      <c r="N1658" s="95"/>
      <c r="O1658" s="95"/>
      <c r="P1658" s="95"/>
      <c r="Q1658" s="95"/>
      <c r="R1658" s="95"/>
      <c r="T1658" s="81"/>
      <c r="U1658" s="95"/>
      <c r="V1658" s="95"/>
      <c r="W1658" s="95"/>
    </row>
    <row r="1659" spans="5:23" ht="10.15" customHeight="1">
      <c r="E1659" s="95"/>
      <c r="F1659" s="95"/>
      <c r="G1659" s="95"/>
      <c r="H1659" s="95"/>
      <c r="I1659" s="95"/>
      <c r="J1659" s="95"/>
      <c r="K1659" s="95"/>
      <c r="L1659" s="95"/>
      <c r="M1659" s="95"/>
      <c r="N1659" s="95"/>
      <c r="O1659" s="95"/>
      <c r="P1659" s="95"/>
      <c r="Q1659" s="95"/>
      <c r="R1659" s="95"/>
      <c r="T1659" s="81"/>
      <c r="U1659" s="95"/>
      <c r="V1659" s="95"/>
      <c r="W1659" s="95"/>
    </row>
    <row r="1660" spans="5:23" ht="10.15" customHeight="1">
      <c r="E1660" s="95"/>
      <c r="F1660" s="95"/>
      <c r="G1660" s="95"/>
      <c r="H1660" s="95"/>
      <c r="I1660" s="95"/>
      <c r="J1660" s="95"/>
      <c r="K1660" s="95"/>
      <c r="L1660" s="95"/>
      <c r="M1660" s="95"/>
      <c r="N1660" s="95"/>
      <c r="O1660" s="95"/>
      <c r="P1660" s="95"/>
      <c r="Q1660" s="95"/>
      <c r="R1660" s="95"/>
      <c r="T1660" s="81"/>
      <c r="U1660" s="95"/>
      <c r="V1660" s="95"/>
      <c r="W1660" s="95"/>
    </row>
    <row r="1661" spans="5:23" ht="10.15" customHeight="1">
      <c r="E1661" s="95"/>
      <c r="F1661" s="95"/>
      <c r="G1661" s="95"/>
      <c r="H1661" s="95"/>
      <c r="I1661" s="95"/>
      <c r="J1661" s="95"/>
      <c r="K1661" s="95"/>
      <c r="L1661" s="95"/>
      <c r="M1661" s="95"/>
      <c r="N1661" s="95"/>
      <c r="O1661" s="95"/>
      <c r="P1661" s="95"/>
      <c r="Q1661" s="95"/>
      <c r="R1661" s="95"/>
      <c r="T1661" s="81"/>
      <c r="U1661" s="95"/>
      <c r="V1661" s="95"/>
      <c r="W1661" s="95"/>
    </row>
    <row r="1662" spans="5:23" ht="10.15" customHeight="1">
      <c r="E1662" s="95"/>
      <c r="F1662" s="95"/>
      <c r="G1662" s="95"/>
      <c r="H1662" s="95"/>
      <c r="I1662" s="95"/>
      <c r="J1662" s="95"/>
      <c r="K1662" s="95"/>
      <c r="L1662" s="95"/>
      <c r="M1662" s="95"/>
      <c r="N1662" s="95"/>
      <c r="O1662" s="95"/>
      <c r="P1662" s="95"/>
      <c r="Q1662" s="95"/>
      <c r="R1662" s="95"/>
      <c r="T1662" s="81"/>
      <c r="U1662" s="95"/>
      <c r="V1662" s="95"/>
      <c r="W1662" s="95"/>
    </row>
    <row r="1663" spans="5:23" ht="10.15" customHeight="1">
      <c r="E1663" s="95"/>
      <c r="F1663" s="95"/>
      <c r="G1663" s="95"/>
      <c r="H1663" s="95"/>
      <c r="I1663" s="95"/>
      <c r="J1663" s="95"/>
      <c r="K1663" s="95"/>
      <c r="L1663" s="95"/>
      <c r="M1663" s="95"/>
      <c r="N1663" s="95"/>
      <c r="O1663" s="95"/>
      <c r="P1663" s="95"/>
      <c r="Q1663" s="95"/>
      <c r="R1663" s="95"/>
      <c r="T1663" s="81"/>
      <c r="U1663" s="95"/>
      <c r="V1663" s="95"/>
      <c r="W1663" s="95"/>
    </row>
    <row r="1664" spans="5:23" ht="10.15" customHeight="1">
      <c r="E1664" s="95"/>
      <c r="F1664" s="95"/>
      <c r="G1664" s="95"/>
      <c r="H1664" s="95"/>
      <c r="I1664" s="95"/>
      <c r="J1664" s="95"/>
      <c r="K1664" s="95"/>
      <c r="L1664" s="95"/>
      <c r="M1664" s="95"/>
      <c r="N1664" s="95"/>
      <c r="O1664" s="95"/>
      <c r="P1664" s="95"/>
      <c r="Q1664" s="95"/>
      <c r="R1664" s="95"/>
      <c r="T1664" s="81"/>
      <c r="U1664" s="95"/>
      <c r="V1664" s="95"/>
      <c r="W1664" s="95"/>
    </row>
    <row r="1665" spans="5:23" ht="10.15" customHeight="1">
      <c r="E1665" s="95"/>
      <c r="F1665" s="95"/>
      <c r="G1665" s="95"/>
      <c r="H1665" s="95"/>
      <c r="I1665" s="95"/>
      <c r="J1665" s="95"/>
      <c r="K1665" s="95"/>
      <c r="L1665" s="95"/>
      <c r="M1665" s="95"/>
      <c r="N1665" s="95"/>
      <c r="O1665" s="95"/>
      <c r="P1665" s="95"/>
      <c r="Q1665" s="95"/>
      <c r="R1665" s="95"/>
      <c r="T1665" s="81"/>
      <c r="U1665" s="95"/>
      <c r="V1665" s="95"/>
      <c r="W1665" s="95"/>
    </row>
    <row r="1666" spans="5:23" ht="10.15" customHeight="1">
      <c r="E1666" s="95"/>
      <c r="F1666" s="95"/>
      <c r="G1666" s="95"/>
      <c r="H1666" s="95"/>
      <c r="I1666" s="95"/>
      <c r="J1666" s="95"/>
      <c r="K1666" s="95"/>
      <c r="L1666" s="95"/>
      <c r="M1666" s="95"/>
      <c r="N1666" s="95"/>
      <c r="O1666" s="95"/>
      <c r="P1666" s="95"/>
      <c r="Q1666" s="95"/>
      <c r="R1666" s="95"/>
      <c r="T1666" s="81"/>
      <c r="U1666" s="95"/>
      <c r="V1666" s="95"/>
      <c r="W1666" s="95"/>
    </row>
    <row r="1667" spans="5:23" ht="10.15" customHeight="1">
      <c r="E1667" s="95"/>
      <c r="F1667" s="95"/>
      <c r="G1667" s="95"/>
      <c r="H1667" s="95"/>
      <c r="I1667" s="95"/>
      <c r="J1667" s="95"/>
      <c r="K1667" s="95"/>
      <c r="L1667" s="95"/>
      <c r="M1667" s="95"/>
      <c r="N1667" s="95"/>
      <c r="O1667" s="95"/>
      <c r="P1667" s="95"/>
      <c r="Q1667" s="95"/>
      <c r="R1667" s="95"/>
      <c r="T1667" s="81"/>
      <c r="U1667" s="95"/>
      <c r="V1667" s="95"/>
      <c r="W1667" s="95"/>
    </row>
    <row r="1668" spans="5:23" ht="10.15" customHeight="1">
      <c r="E1668" s="95"/>
      <c r="F1668" s="95"/>
      <c r="G1668" s="95"/>
      <c r="H1668" s="95"/>
      <c r="I1668" s="95"/>
      <c r="J1668" s="95"/>
      <c r="K1668" s="95"/>
      <c r="L1668" s="95"/>
      <c r="M1668" s="95"/>
      <c r="N1668" s="95"/>
      <c r="O1668" s="95"/>
      <c r="P1668" s="95"/>
      <c r="Q1668" s="95"/>
      <c r="R1668" s="95"/>
      <c r="T1668" s="81"/>
      <c r="U1668" s="95"/>
      <c r="V1668" s="95"/>
      <c r="W1668" s="95"/>
    </row>
    <row r="1669" spans="5:23" ht="10.15" customHeight="1">
      <c r="E1669" s="95"/>
      <c r="F1669" s="95"/>
      <c r="G1669" s="95"/>
      <c r="H1669" s="95"/>
      <c r="I1669" s="95"/>
      <c r="J1669" s="95"/>
      <c r="K1669" s="95"/>
      <c r="L1669" s="95"/>
      <c r="M1669" s="95"/>
      <c r="N1669" s="95"/>
      <c r="O1669" s="95"/>
      <c r="P1669" s="95"/>
      <c r="Q1669" s="95"/>
      <c r="R1669" s="95"/>
      <c r="T1669" s="81"/>
      <c r="U1669" s="95"/>
      <c r="V1669" s="95"/>
      <c r="W1669" s="95"/>
    </row>
    <row r="1670" spans="5:23" ht="10.15" customHeight="1">
      <c r="E1670" s="95"/>
      <c r="F1670" s="95"/>
      <c r="G1670" s="95"/>
      <c r="H1670" s="95"/>
      <c r="I1670" s="95"/>
      <c r="J1670" s="95"/>
      <c r="K1670" s="95"/>
      <c r="L1670" s="95"/>
      <c r="M1670" s="95"/>
      <c r="N1670" s="95"/>
      <c r="O1670" s="95"/>
      <c r="P1670" s="95"/>
      <c r="Q1670" s="95"/>
      <c r="R1670" s="95"/>
      <c r="T1670" s="81"/>
      <c r="U1670" s="95"/>
      <c r="V1670" s="95"/>
      <c r="W1670" s="95"/>
    </row>
    <row r="1671" spans="5:23" ht="10.15" customHeight="1">
      <c r="E1671" s="95"/>
      <c r="F1671" s="95"/>
      <c r="G1671" s="95"/>
      <c r="H1671" s="95"/>
      <c r="I1671" s="95"/>
      <c r="J1671" s="95"/>
      <c r="K1671" s="95"/>
      <c r="L1671" s="95"/>
      <c r="M1671" s="95"/>
      <c r="N1671" s="95"/>
      <c r="O1671" s="95"/>
      <c r="P1671" s="95"/>
      <c r="Q1671" s="95"/>
      <c r="R1671" s="95"/>
      <c r="T1671" s="81"/>
      <c r="U1671" s="95"/>
      <c r="V1671" s="95"/>
      <c r="W1671" s="95"/>
    </row>
    <row r="1672" spans="5:23" ht="10.15" customHeight="1">
      <c r="E1672" s="95"/>
      <c r="F1672" s="95"/>
      <c r="G1672" s="95"/>
      <c r="H1672" s="95"/>
      <c r="I1672" s="95"/>
      <c r="J1672" s="95"/>
      <c r="K1672" s="95"/>
      <c r="L1672" s="95"/>
      <c r="M1672" s="95"/>
      <c r="N1672" s="95"/>
      <c r="O1672" s="95"/>
      <c r="P1672" s="95"/>
      <c r="Q1672" s="95"/>
      <c r="R1672" s="95"/>
      <c r="T1672" s="81"/>
      <c r="U1672" s="95"/>
      <c r="V1672" s="95"/>
      <c r="W1672" s="95"/>
    </row>
    <row r="1673" spans="5:23" ht="10.15" customHeight="1">
      <c r="E1673" s="95"/>
      <c r="F1673" s="95"/>
      <c r="G1673" s="95"/>
      <c r="H1673" s="95"/>
      <c r="I1673" s="95"/>
      <c r="J1673" s="95"/>
      <c r="K1673" s="95"/>
      <c r="L1673" s="95"/>
      <c r="M1673" s="95"/>
      <c r="N1673" s="95"/>
      <c r="O1673" s="95"/>
      <c r="P1673" s="95"/>
      <c r="Q1673" s="95"/>
      <c r="R1673" s="95"/>
      <c r="T1673" s="81"/>
      <c r="U1673" s="95"/>
      <c r="V1673" s="95"/>
      <c r="W1673" s="95"/>
    </row>
    <row r="1674" spans="5:23" ht="10.15" customHeight="1">
      <c r="E1674" s="95"/>
      <c r="F1674" s="95"/>
      <c r="G1674" s="95"/>
      <c r="H1674" s="95"/>
      <c r="I1674" s="95"/>
      <c r="J1674" s="95"/>
      <c r="K1674" s="95"/>
      <c r="L1674" s="95"/>
      <c r="M1674" s="95"/>
      <c r="N1674" s="95"/>
      <c r="O1674" s="95"/>
      <c r="P1674" s="95"/>
      <c r="Q1674" s="95"/>
      <c r="R1674" s="95"/>
      <c r="T1674" s="81"/>
      <c r="U1674" s="95"/>
      <c r="V1674" s="95"/>
      <c r="W1674" s="95"/>
    </row>
    <row r="1675" spans="5:23" ht="10.15" customHeight="1">
      <c r="E1675" s="95"/>
      <c r="F1675" s="95"/>
      <c r="G1675" s="95"/>
      <c r="H1675" s="95"/>
      <c r="I1675" s="95"/>
      <c r="J1675" s="95"/>
      <c r="K1675" s="95"/>
      <c r="L1675" s="95"/>
      <c r="M1675" s="95"/>
      <c r="N1675" s="95"/>
      <c r="O1675" s="95"/>
      <c r="P1675" s="95"/>
      <c r="Q1675" s="95"/>
      <c r="R1675" s="95"/>
      <c r="T1675" s="81"/>
      <c r="U1675" s="95"/>
      <c r="V1675" s="95"/>
      <c r="W1675" s="95"/>
    </row>
    <row r="1676" spans="5:23" ht="10.15" customHeight="1">
      <c r="E1676" s="95"/>
      <c r="F1676" s="95"/>
      <c r="G1676" s="95"/>
      <c r="H1676" s="95"/>
      <c r="I1676" s="95"/>
      <c r="J1676" s="95"/>
      <c r="K1676" s="95"/>
      <c r="L1676" s="95"/>
      <c r="M1676" s="95"/>
      <c r="N1676" s="95"/>
      <c r="O1676" s="95"/>
      <c r="P1676" s="95"/>
      <c r="Q1676" s="95"/>
      <c r="R1676" s="95"/>
      <c r="T1676" s="81"/>
      <c r="U1676" s="95"/>
      <c r="V1676" s="95"/>
      <c r="W1676" s="95"/>
    </row>
    <row r="1677" spans="5:23" ht="10.15" customHeight="1">
      <c r="E1677" s="95"/>
      <c r="F1677" s="95"/>
      <c r="G1677" s="95"/>
      <c r="H1677" s="95"/>
      <c r="I1677" s="95"/>
      <c r="J1677" s="95"/>
      <c r="K1677" s="95"/>
      <c r="L1677" s="95"/>
      <c r="M1677" s="95"/>
      <c r="N1677" s="95"/>
      <c r="O1677" s="95"/>
      <c r="P1677" s="95"/>
      <c r="Q1677" s="95"/>
      <c r="R1677" s="95"/>
      <c r="T1677" s="81"/>
      <c r="U1677" s="95"/>
      <c r="V1677" s="95"/>
      <c r="W1677" s="95"/>
    </row>
    <row r="1678" spans="5:23" ht="10.15" customHeight="1">
      <c r="E1678" s="95"/>
      <c r="F1678" s="95"/>
      <c r="G1678" s="95"/>
      <c r="H1678" s="95"/>
      <c r="I1678" s="95"/>
      <c r="J1678" s="95"/>
      <c r="K1678" s="95"/>
      <c r="L1678" s="95"/>
      <c r="M1678" s="95"/>
      <c r="N1678" s="95"/>
      <c r="O1678" s="95"/>
      <c r="P1678" s="95"/>
      <c r="Q1678" s="95"/>
      <c r="R1678" s="95"/>
      <c r="T1678" s="81"/>
      <c r="U1678" s="95"/>
      <c r="V1678" s="95"/>
      <c r="W1678" s="95"/>
    </row>
    <row r="1679" spans="5:23" ht="10.15" customHeight="1">
      <c r="E1679" s="95"/>
      <c r="F1679" s="95"/>
      <c r="G1679" s="95"/>
      <c r="H1679" s="95"/>
      <c r="I1679" s="95"/>
      <c r="J1679" s="95"/>
      <c r="K1679" s="95"/>
      <c r="L1679" s="95"/>
      <c r="M1679" s="95"/>
      <c r="N1679" s="95"/>
      <c r="O1679" s="95"/>
      <c r="P1679" s="95"/>
      <c r="Q1679" s="95"/>
      <c r="R1679" s="95"/>
      <c r="T1679" s="81"/>
      <c r="U1679" s="95"/>
      <c r="V1679" s="95"/>
      <c r="W1679" s="95"/>
    </row>
    <row r="1680" spans="5:23" ht="10.15" customHeight="1">
      <c r="E1680" s="95"/>
      <c r="F1680" s="95"/>
      <c r="G1680" s="95"/>
      <c r="H1680" s="95"/>
      <c r="I1680" s="95"/>
      <c r="J1680" s="95"/>
      <c r="K1680" s="95"/>
      <c r="L1680" s="95"/>
      <c r="M1680" s="95"/>
      <c r="N1680" s="95"/>
      <c r="O1680" s="95"/>
      <c r="P1680" s="95"/>
      <c r="Q1680" s="95"/>
      <c r="R1680" s="95"/>
      <c r="T1680" s="81"/>
      <c r="U1680" s="95"/>
      <c r="V1680" s="95"/>
      <c r="W1680" s="95"/>
    </row>
    <row r="1681" spans="5:23" ht="10.15" customHeight="1">
      <c r="E1681" s="95"/>
      <c r="F1681" s="95"/>
      <c r="G1681" s="95"/>
      <c r="H1681" s="95"/>
      <c r="I1681" s="95"/>
      <c r="J1681" s="95"/>
      <c r="K1681" s="95"/>
      <c r="L1681" s="95"/>
      <c r="M1681" s="95"/>
      <c r="N1681" s="95"/>
      <c r="O1681" s="95"/>
      <c r="P1681" s="95"/>
      <c r="Q1681" s="95"/>
      <c r="R1681" s="95"/>
      <c r="T1681" s="81"/>
      <c r="U1681" s="95"/>
      <c r="V1681" s="95"/>
      <c r="W1681" s="95"/>
    </row>
    <row r="1682" spans="5:23" ht="10.15" customHeight="1">
      <c r="E1682" s="95"/>
      <c r="F1682" s="95"/>
      <c r="G1682" s="95"/>
      <c r="H1682" s="95"/>
      <c r="I1682" s="95"/>
      <c r="J1682" s="95"/>
      <c r="K1682" s="95"/>
      <c r="L1682" s="95"/>
      <c r="M1682" s="95"/>
      <c r="N1682" s="95"/>
      <c r="O1682" s="95"/>
      <c r="P1682" s="95"/>
      <c r="Q1682" s="95"/>
      <c r="R1682" s="95"/>
      <c r="T1682" s="81"/>
      <c r="U1682" s="95"/>
      <c r="V1682" s="95"/>
      <c r="W1682" s="95"/>
    </row>
    <row r="1683" spans="5:23" ht="10.15" customHeight="1">
      <c r="E1683" s="95"/>
      <c r="F1683" s="95"/>
      <c r="G1683" s="95"/>
      <c r="H1683" s="95"/>
      <c r="I1683" s="95"/>
      <c r="J1683" s="95"/>
      <c r="K1683" s="95"/>
      <c r="L1683" s="95"/>
      <c r="M1683" s="95"/>
      <c r="N1683" s="95"/>
      <c r="O1683" s="95"/>
      <c r="P1683" s="95"/>
      <c r="Q1683" s="95"/>
      <c r="R1683" s="95"/>
      <c r="T1683" s="81"/>
      <c r="U1683" s="95"/>
      <c r="V1683" s="95"/>
      <c r="W1683" s="95"/>
    </row>
    <row r="1684" spans="5:23" ht="10.15" customHeight="1">
      <c r="E1684" s="95"/>
      <c r="F1684" s="95"/>
      <c r="G1684" s="95"/>
      <c r="H1684" s="95"/>
      <c r="I1684" s="95"/>
      <c r="J1684" s="95"/>
      <c r="K1684" s="95"/>
      <c r="L1684" s="95"/>
      <c r="M1684" s="95"/>
      <c r="N1684" s="95"/>
      <c r="O1684" s="95"/>
      <c r="P1684" s="95"/>
      <c r="Q1684" s="95"/>
      <c r="R1684" s="95"/>
      <c r="T1684" s="81"/>
      <c r="U1684" s="95"/>
      <c r="V1684" s="95"/>
      <c r="W1684" s="95"/>
    </row>
    <row r="1685" spans="5:23" ht="10.15" customHeight="1">
      <c r="E1685" s="95"/>
      <c r="F1685" s="95"/>
      <c r="G1685" s="95"/>
      <c r="H1685" s="95"/>
      <c r="I1685" s="95"/>
      <c r="J1685" s="95"/>
      <c r="K1685" s="95"/>
      <c r="L1685" s="95"/>
      <c r="M1685" s="95"/>
      <c r="N1685" s="95"/>
      <c r="O1685" s="95"/>
      <c r="P1685" s="95"/>
      <c r="Q1685" s="95"/>
      <c r="R1685" s="95"/>
      <c r="T1685" s="81"/>
      <c r="U1685" s="95"/>
      <c r="V1685" s="95"/>
      <c r="W1685" s="95"/>
    </row>
    <row r="1686" spans="5:23" ht="10.15" customHeight="1">
      <c r="E1686" s="95"/>
      <c r="F1686" s="95"/>
      <c r="G1686" s="95"/>
      <c r="H1686" s="95"/>
      <c r="I1686" s="95"/>
      <c r="J1686" s="95"/>
      <c r="K1686" s="95"/>
      <c r="L1686" s="95"/>
      <c r="M1686" s="95"/>
      <c r="N1686" s="95"/>
      <c r="O1686" s="95"/>
      <c r="P1686" s="95"/>
      <c r="Q1686" s="95"/>
      <c r="R1686" s="95"/>
      <c r="T1686" s="81"/>
      <c r="U1686" s="95"/>
      <c r="V1686" s="95"/>
      <c r="W1686" s="95"/>
    </row>
    <row r="1687" spans="5:23" ht="10.15" customHeight="1">
      <c r="E1687" s="95"/>
      <c r="F1687" s="95"/>
      <c r="G1687" s="95"/>
      <c r="H1687" s="95"/>
      <c r="I1687" s="95"/>
      <c r="J1687" s="95"/>
      <c r="K1687" s="95"/>
      <c r="L1687" s="95"/>
      <c r="M1687" s="95"/>
      <c r="N1687" s="95"/>
      <c r="O1687" s="95"/>
      <c r="P1687" s="95"/>
      <c r="Q1687" s="95"/>
      <c r="R1687" s="95"/>
      <c r="T1687" s="81"/>
      <c r="U1687" s="95"/>
      <c r="V1687" s="95"/>
      <c r="W1687" s="95"/>
    </row>
    <row r="1688" spans="5:23" ht="10.15" customHeight="1">
      <c r="E1688" s="95"/>
      <c r="F1688" s="95"/>
      <c r="G1688" s="95"/>
      <c r="H1688" s="95"/>
      <c r="I1688" s="95"/>
      <c r="J1688" s="95"/>
      <c r="K1688" s="95"/>
      <c r="L1688" s="95"/>
      <c r="M1688" s="95"/>
      <c r="N1688" s="95"/>
      <c r="O1688" s="95"/>
      <c r="P1688" s="95"/>
      <c r="Q1688" s="95"/>
      <c r="R1688" s="95"/>
      <c r="T1688" s="81"/>
      <c r="U1688" s="95"/>
      <c r="V1688" s="95"/>
      <c r="W1688" s="95"/>
    </row>
    <row r="1689" spans="5:23" ht="10.15" customHeight="1">
      <c r="E1689" s="95"/>
      <c r="F1689" s="95"/>
      <c r="G1689" s="95"/>
      <c r="H1689" s="95"/>
      <c r="I1689" s="95"/>
      <c r="J1689" s="95"/>
      <c r="K1689" s="95"/>
      <c r="L1689" s="95"/>
      <c r="M1689" s="95"/>
      <c r="N1689" s="95"/>
      <c r="O1689" s="95"/>
      <c r="P1689" s="95"/>
      <c r="Q1689" s="95"/>
      <c r="R1689" s="95"/>
      <c r="T1689" s="81"/>
      <c r="U1689" s="95"/>
      <c r="V1689" s="95"/>
      <c r="W1689" s="95"/>
    </row>
    <row r="1690" spans="5:23" ht="10.15" customHeight="1">
      <c r="E1690" s="95"/>
      <c r="F1690" s="95"/>
      <c r="G1690" s="95"/>
      <c r="H1690" s="95"/>
      <c r="I1690" s="95"/>
      <c r="J1690" s="95"/>
      <c r="K1690" s="95"/>
      <c r="L1690" s="95"/>
      <c r="M1690" s="95"/>
      <c r="N1690" s="95"/>
      <c r="O1690" s="95"/>
      <c r="P1690" s="95"/>
      <c r="Q1690" s="95"/>
      <c r="R1690" s="95"/>
      <c r="T1690" s="81"/>
      <c r="U1690" s="95"/>
      <c r="V1690" s="95"/>
      <c r="W1690" s="95"/>
    </row>
    <row r="1691" spans="5:23" ht="10.15" customHeight="1">
      <c r="E1691" s="95"/>
      <c r="F1691" s="95"/>
      <c r="G1691" s="95"/>
      <c r="H1691" s="95"/>
      <c r="I1691" s="95"/>
      <c r="J1691" s="95"/>
      <c r="K1691" s="95"/>
      <c r="L1691" s="95"/>
      <c r="M1691" s="95"/>
      <c r="N1691" s="95"/>
      <c r="O1691" s="95"/>
      <c r="P1691" s="95"/>
      <c r="Q1691" s="95"/>
      <c r="R1691" s="95"/>
      <c r="T1691" s="81"/>
      <c r="U1691" s="95"/>
      <c r="V1691" s="95"/>
      <c r="W1691" s="95"/>
    </row>
    <row r="1692" spans="5:23" ht="10.15" customHeight="1">
      <c r="E1692" s="95"/>
      <c r="F1692" s="95"/>
      <c r="G1692" s="95"/>
      <c r="H1692" s="95"/>
      <c r="I1692" s="95"/>
      <c r="J1692" s="95"/>
      <c r="K1692" s="95"/>
      <c r="L1692" s="95"/>
      <c r="M1692" s="95"/>
      <c r="N1692" s="95"/>
      <c r="O1692" s="95"/>
      <c r="P1692" s="95"/>
      <c r="Q1692" s="95"/>
      <c r="R1692" s="95"/>
      <c r="T1692" s="81"/>
      <c r="U1692" s="95"/>
      <c r="V1692" s="95"/>
      <c r="W1692" s="95"/>
    </row>
    <row r="1693" spans="5:23" ht="10.15" customHeight="1">
      <c r="E1693" s="95"/>
      <c r="F1693" s="95"/>
      <c r="G1693" s="95"/>
      <c r="H1693" s="95"/>
      <c r="I1693" s="95"/>
      <c r="J1693" s="95"/>
      <c r="K1693" s="95"/>
      <c r="L1693" s="95"/>
      <c r="M1693" s="95"/>
      <c r="N1693" s="95"/>
      <c r="O1693" s="95"/>
      <c r="P1693" s="95"/>
      <c r="Q1693" s="95"/>
      <c r="R1693" s="95"/>
      <c r="T1693" s="81"/>
      <c r="U1693" s="95"/>
      <c r="V1693" s="95"/>
      <c r="W1693" s="95"/>
    </row>
    <row r="1694" spans="5:23" ht="10.15" customHeight="1">
      <c r="E1694" s="95"/>
      <c r="F1694" s="95"/>
      <c r="G1694" s="95"/>
      <c r="H1694" s="95"/>
      <c r="I1694" s="95"/>
      <c r="J1694" s="95"/>
      <c r="K1694" s="95"/>
      <c r="L1694" s="95"/>
      <c r="M1694" s="95"/>
      <c r="N1694" s="95"/>
      <c r="O1694" s="95"/>
      <c r="P1694" s="95"/>
      <c r="Q1694" s="95"/>
      <c r="R1694" s="95"/>
      <c r="T1694" s="81"/>
      <c r="U1694" s="95"/>
      <c r="V1694" s="95"/>
      <c r="W1694" s="95"/>
    </row>
    <row r="1695" spans="5:23" ht="10.15" customHeight="1">
      <c r="E1695" s="95"/>
      <c r="F1695" s="95"/>
      <c r="G1695" s="95"/>
      <c r="H1695" s="95"/>
      <c r="I1695" s="95"/>
      <c r="J1695" s="95"/>
      <c r="K1695" s="95"/>
      <c r="L1695" s="95"/>
      <c r="M1695" s="95"/>
      <c r="N1695" s="95"/>
      <c r="O1695" s="95"/>
      <c r="P1695" s="95"/>
      <c r="Q1695" s="95"/>
      <c r="R1695" s="95"/>
      <c r="T1695" s="81"/>
      <c r="U1695" s="95"/>
      <c r="V1695" s="95"/>
      <c r="W1695" s="95"/>
    </row>
    <row r="1696" spans="5:23" ht="10.15" customHeight="1">
      <c r="E1696" s="95"/>
      <c r="F1696" s="95"/>
      <c r="G1696" s="95"/>
      <c r="H1696" s="95"/>
      <c r="I1696" s="95"/>
      <c r="J1696" s="95"/>
      <c r="K1696" s="95"/>
      <c r="L1696" s="95"/>
      <c r="M1696" s="95"/>
      <c r="N1696" s="95"/>
      <c r="O1696" s="95"/>
      <c r="P1696" s="95"/>
      <c r="Q1696" s="95"/>
      <c r="R1696" s="95"/>
      <c r="T1696" s="81"/>
      <c r="U1696" s="95"/>
      <c r="V1696" s="95"/>
      <c r="W1696" s="95"/>
    </row>
    <row r="1697" spans="5:23" ht="10.15" customHeight="1">
      <c r="E1697" s="95"/>
      <c r="F1697" s="95"/>
      <c r="G1697" s="95"/>
      <c r="H1697" s="95"/>
      <c r="I1697" s="95"/>
      <c r="J1697" s="95"/>
      <c r="K1697" s="95"/>
      <c r="L1697" s="95"/>
      <c r="M1697" s="95"/>
      <c r="N1697" s="95"/>
      <c r="O1697" s="95"/>
      <c r="P1697" s="95"/>
      <c r="Q1697" s="95"/>
      <c r="R1697" s="95"/>
      <c r="T1697" s="81"/>
      <c r="U1697" s="95"/>
      <c r="V1697" s="95"/>
      <c r="W1697" s="95"/>
    </row>
    <row r="1698" spans="5:23" ht="10.15" customHeight="1">
      <c r="E1698" s="95"/>
      <c r="F1698" s="95"/>
      <c r="G1698" s="95"/>
      <c r="H1698" s="95"/>
      <c r="I1698" s="95"/>
      <c r="J1698" s="95"/>
      <c r="K1698" s="95"/>
      <c r="L1698" s="95"/>
      <c r="M1698" s="95"/>
      <c r="N1698" s="95"/>
      <c r="O1698" s="95"/>
      <c r="P1698" s="95"/>
      <c r="Q1698" s="95"/>
      <c r="R1698" s="95"/>
      <c r="T1698" s="81"/>
      <c r="U1698" s="95"/>
      <c r="V1698" s="95"/>
      <c r="W1698" s="95"/>
    </row>
    <row r="1699" spans="5:23" ht="10.15" customHeight="1">
      <c r="E1699" s="95"/>
      <c r="F1699" s="95"/>
      <c r="G1699" s="95"/>
      <c r="H1699" s="95"/>
      <c r="I1699" s="95"/>
      <c r="J1699" s="95"/>
      <c r="K1699" s="95"/>
      <c r="L1699" s="95"/>
      <c r="M1699" s="95"/>
      <c r="N1699" s="95"/>
      <c r="O1699" s="95"/>
      <c r="P1699" s="95"/>
      <c r="Q1699" s="95"/>
      <c r="R1699" s="95"/>
      <c r="T1699" s="81"/>
      <c r="U1699" s="95"/>
      <c r="V1699" s="95"/>
      <c r="W1699" s="95"/>
    </row>
    <row r="1700" spans="5:23" ht="10.15" customHeight="1">
      <c r="E1700" s="95"/>
      <c r="F1700" s="95"/>
      <c r="G1700" s="95"/>
      <c r="H1700" s="95"/>
      <c r="I1700" s="95"/>
      <c r="J1700" s="95"/>
      <c r="K1700" s="95"/>
      <c r="L1700" s="95"/>
      <c r="M1700" s="95"/>
      <c r="N1700" s="95"/>
      <c r="O1700" s="95"/>
      <c r="P1700" s="95"/>
      <c r="Q1700" s="95"/>
      <c r="R1700" s="95"/>
      <c r="T1700" s="81"/>
      <c r="U1700" s="95"/>
      <c r="V1700" s="95"/>
      <c r="W1700" s="95"/>
    </row>
    <row r="1701" spans="5:23" ht="10.15" customHeight="1">
      <c r="E1701" s="95"/>
      <c r="F1701" s="95"/>
      <c r="G1701" s="95"/>
      <c r="H1701" s="95"/>
      <c r="I1701" s="95"/>
      <c r="J1701" s="95"/>
      <c r="K1701" s="95"/>
      <c r="L1701" s="95"/>
      <c r="M1701" s="95"/>
      <c r="N1701" s="95"/>
      <c r="O1701" s="95"/>
      <c r="P1701" s="95"/>
      <c r="Q1701" s="95"/>
      <c r="R1701" s="95"/>
      <c r="T1701" s="81"/>
      <c r="U1701" s="95"/>
      <c r="V1701" s="95"/>
      <c r="W1701" s="95"/>
    </row>
    <row r="1702" spans="5:23" ht="10.15" customHeight="1">
      <c r="E1702" s="95"/>
      <c r="F1702" s="95"/>
      <c r="G1702" s="95"/>
      <c r="H1702" s="95"/>
      <c r="I1702" s="95"/>
      <c r="J1702" s="95"/>
      <c r="K1702" s="95"/>
      <c r="L1702" s="95"/>
      <c r="M1702" s="95"/>
      <c r="N1702" s="95"/>
      <c r="O1702" s="95"/>
      <c r="P1702" s="95"/>
      <c r="Q1702" s="95"/>
      <c r="R1702" s="95"/>
      <c r="T1702" s="81"/>
      <c r="U1702" s="95"/>
      <c r="V1702" s="95"/>
      <c r="W1702" s="95"/>
    </row>
    <row r="1703" spans="5:23" ht="10.15" customHeight="1">
      <c r="E1703" s="95"/>
      <c r="F1703" s="95"/>
      <c r="G1703" s="95"/>
      <c r="H1703" s="95"/>
      <c r="I1703" s="95"/>
      <c r="J1703" s="95"/>
      <c r="K1703" s="95"/>
      <c r="L1703" s="95"/>
      <c r="M1703" s="95"/>
      <c r="N1703" s="95"/>
      <c r="O1703" s="95"/>
      <c r="P1703" s="95"/>
      <c r="Q1703" s="95"/>
      <c r="R1703" s="95"/>
      <c r="T1703" s="81"/>
      <c r="U1703" s="95"/>
      <c r="V1703" s="95"/>
      <c r="W1703" s="95"/>
    </row>
    <row r="1704" spans="5:23" ht="10.15" customHeight="1">
      <c r="E1704" s="95"/>
      <c r="F1704" s="95"/>
      <c r="G1704" s="95"/>
      <c r="H1704" s="95"/>
      <c r="I1704" s="95"/>
      <c r="J1704" s="95"/>
      <c r="K1704" s="95"/>
      <c r="L1704" s="95"/>
      <c r="M1704" s="95"/>
      <c r="N1704" s="95"/>
      <c r="O1704" s="95"/>
      <c r="P1704" s="95"/>
      <c r="Q1704" s="95"/>
      <c r="R1704" s="95"/>
      <c r="T1704" s="81"/>
      <c r="U1704" s="95"/>
      <c r="V1704" s="95"/>
      <c r="W1704" s="95"/>
    </row>
    <row r="1705" spans="5:23" ht="10.15" customHeight="1">
      <c r="E1705" s="95"/>
      <c r="F1705" s="95"/>
      <c r="G1705" s="95"/>
      <c r="H1705" s="95"/>
      <c r="I1705" s="95"/>
      <c r="J1705" s="95"/>
      <c r="K1705" s="95"/>
      <c r="L1705" s="95"/>
      <c r="M1705" s="95"/>
      <c r="N1705" s="95"/>
      <c r="O1705" s="95"/>
      <c r="P1705" s="95"/>
      <c r="Q1705" s="95"/>
      <c r="R1705" s="95"/>
      <c r="T1705" s="81"/>
      <c r="U1705" s="95"/>
      <c r="V1705" s="95"/>
      <c r="W1705" s="95"/>
    </row>
    <row r="1706" spans="5:23" ht="10.15" customHeight="1">
      <c r="E1706" s="95"/>
      <c r="F1706" s="95"/>
      <c r="G1706" s="95"/>
      <c r="H1706" s="95"/>
      <c r="I1706" s="95"/>
      <c r="J1706" s="95"/>
      <c r="K1706" s="95"/>
      <c r="L1706" s="95"/>
      <c r="M1706" s="95"/>
      <c r="N1706" s="95"/>
      <c r="O1706" s="95"/>
      <c r="P1706" s="95"/>
      <c r="Q1706" s="95"/>
      <c r="R1706" s="95"/>
      <c r="T1706" s="81"/>
      <c r="U1706" s="95"/>
      <c r="V1706" s="95"/>
      <c r="W1706" s="95"/>
    </row>
    <row r="1707" spans="5:23" ht="10.15" customHeight="1">
      <c r="E1707" s="95"/>
      <c r="F1707" s="95"/>
      <c r="G1707" s="95"/>
      <c r="H1707" s="95"/>
      <c r="I1707" s="95"/>
      <c r="J1707" s="95"/>
      <c r="K1707" s="95"/>
      <c r="L1707" s="95"/>
      <c r="M1707" s="95"/>
      <c r="N1707" s="95"/>
      <c r="O1707" s="95"/>
      <c r="P1707" s="95"/>
      <c r="Q1707" s="95"/>
      <c r="R1707" s="95"/>
      <c r="T1707" s="81"/>
      <c r="U1707" s="95"/>
      <c r="V1707" s="95"/>
      <c r="W1707" s="95"/>
    </row>
    <row r="1708" spans="5:23" ht="10.15" customHeight="1">
      <c r="E1708" s="95"/>
      <c r="F1708" s="95"/>
      <c r="G1708" s="95"/>
      <c r="H1708" s="95"/>
      <c r="I1708" s="95"/>
      <c r="J1708" s="95"/>
      <c r="K1708" s="95"/>
      <c r="L1708" s="95"/>
      <c r="M1708" s="95"/>
      <c r="N1708" s="95"/>
      <c r="O1708" s="95"/>
      <c r="P1708" s="95"/>
      <c r="Q1708" s="95"/>
      <c r="R1708" s="95"/>
      <c r="T1708" s="81"/>
      <c r="U1708" s="95"/>
      <c r="V1708" s="95"/>
      <c r="W1708" s="95"/>
    </row>
    <row r="1709" spans="5:23" ht="10.15" customHeight="1">
      <c r="E1709" s="95"/>
      <c r="F1709" s="95"/>
      <c r="G1709" s="95"/>
      <c r="H1709" s="95"/>
      <c r="I1709" s="95"/>
      <c r="J1709" s="95"/>
      <c r="K1709" s="95"/>
      <c r="L1709" s="95"/>
      <c r="M1709" s="95"/>
      <c r="N1709" s="95"/>
      <c r="O1709" s="95"/>
      <c r="P1709" s="95"/>
      <c r="Q1709" s="95"/>
      <c r="R1709" s="95"/>
      <c r="T1709" s="81"/>
      <c r="U1709" s="95"/>
      <c r="V1709" s="95"/>
      <c r="W1709" s="95"/>
    </row>
    <row r="1710" spans="5:23" ht="10.15" customHeight="1">
      <c r="E1710" s="95"/>
      <c r="F1710" s="95"/>
      <c r="G1710" s="95"/>
      <c r="H1710" s="95"/>
      <c r="I1710" s="95"/>
      <c r="J1710" s="95"/>
      <c r="K1710" s="95"/>
      <c r="L1710" s="95"/>
      <c r="M1710" s="95"/>
      <c r="N1710" s="95"/>
      <c r="O1710" s="95"/>
      <c r="P1710" s="95"/>
      <c r="Q1710" s="95"/>
      <c r="R1710" s="95"/>
      <c r="T1710" s="81"/>
      <c r="U1710" s="95"/>
      <c r="V1710" s="95"/>
      <c r="W1710" s="95"/>
    </row>
    <row r="1711" spans="5:23" ht="10.15" customHeight="1">
      <c r="E1711" s="95"/>
      <c r="F1711" s="95"/>
      <c r="G1711" s="95"/>
      <c r="H1711" s="95"/>
      <c r="I1711" s="95"/>
      <c r="J1711" s="95"/>
      <c r="K1711" s="95"/>
      <c r="L1711" s="95"/>
      <c r="M1711" s="95"/>
      <c r="N1711" s="95"/>
      <c r="O1711" s="95"/>
      <c r="P1711" s="95"/>
      <c r="Q1711" s="95"/>
      <c r="R1711" s="95"/>
      <c r="T1711" s="81"/>
      <c r="U1711" s="95"/>
      <c r="V1711" s="95"/>
      <c r="W1711" s="95"/>
    </row>
    <row r="1712" spans="5:23" ht="10.15" customHeight="1">
      <c r="E1712" s="95"/>
      <c r="F1712" s="95"/>
      <c r="G1712" s="95"/>
      <c r="H1712" s="95"/>
      <c r="I1712" s="95"/>
      <c r="J1712" s="95"/>
      <c r="K1712" s="95"/>
      <c r="L1712" s="95"/>
      <c r="M1712" s="95"/>
      <c r="N1712" s="95"/>
      <c r="O1712" s="95"/>
      <c r="P1712" s="95"/>
      <c r="Q1712" s="95"/>
      <c r="R1712" s="95"/>
      <c r="T1712" s="81"/>
      <c r="U1712" s="95"/>
      <c r="V1712" s="95"/>
      <c r="W1712" s="95"/>
    </row>
    <row r="1713" spans="5:23" ht="10.15" customHeight="1">
      <c r="E1713" s="95"/>
      <c r="F1713" s="95"/>
      <c r="G1713" s="95"/>
      <c r="H1713" s="95"/>
      <c r="I1713" s="95"/>
      <c r="J1713" s="95"/>
      <c r="K1713" s="95"/>
      <c r="L1713" s="95"/>
      <c r="M1713" s="95"/>
      <c r="N1713" s="95"/>
      <c r="O1713" s="95"/>
      <c r="P1713" s="95"/>
      <c r="Q1713" s="95"/>
      <c r="R1713" s="95"/>
      <c r="T1713" s="81"/>
      <c r="U1713" s="95"/>
      <c r="V1713" s="95"/>
      <c r="W1713" s="95"/>
    </row>
    <row r="1714" spans="5:23" ht="10.15" customHeight="1">
      <c r="E1714" s="95"/>
      <c r="F1714" s="95"/>
      <c r="G1714" s="95"/>
      <c r="H1714" s="95"/>
      <c r="I1714" s="95"/>
      <c r="J1714" s="95"/>
      <c r="K1714" s="95"/>
      <c r="L1714" s="95"/>
      <c r="M1714" s="95"/>
      <c r="N1714" s="95"/>
      <c r="O1714" s="95"/>
      <c r="P1714" s="95"/>
      <c r="Q1714" s="95"/>
      <c r="R1714" s="95"/>
      <c r="T1714" s="81"/>
      <c r="U1714" s="95"/>
      <c r="V1714" s="95"/>
      <c r="W1714" s="95"/>
    </row>
    <row r="1715" spans="5:23" ht="10.15" customHeight="1">
      <c r="E1715" s="95"/>
      <c r="F1715" s="95"/>
      <c r="G1715" s="95"/>
      <c r="H1715" s="95"/>
      <c r="I1715" s="95"/>
      <c r="J1715" s="95"/>
      <c r="K1715" s="95"/>
      <c r="L1715" s="95"/>
      <c r="M1715" s="95"/>
      <c r="N1715" s="95"/>
      <c r="O1715" s="95"/>
      <c r="P1715" s="95"/>
      <c r="Q1715" s="95"/>
      <c r="R1715" s="95"/>
      <c r="T1715" s="81"/>
      <c r="U1715" s="95"/>
      <c r="V1715" s="95"/>
      <c r="W1715" s="95"/>
    </row>
    <row r="1716" spans="5:23" ht="10.15" customHeight="1">
      <c r="E1716" s="95"/>
      <c r="F1716" s="95"/>
      <c r="G1716" s="95"/>
      <c r="H1716" s="95"/>
      <c r="I1716" s="95"/>
      <c r="J1716" s="95"/>
      <c r="K1716" s="95"/>
      <c r="L1716" s="95"/>
      <c r="M1716" s="95"/>
      <c r="N1716" s="95"/>
      <c r="O1716" s="95"/>
      <c r="P1716" s="95"/>
      <c r="Q1716" s="95"/>
      <c r="R1716" s="95"/>
      <c r="T1716" s="81"/>
      <c r="U1716" s="95"/>
      <c r="V1716" s="95"/>
      <c r="W1716" s="95"/>
    </row>
    <row r="1717" spans="5:23" ht="10.15" customHeight="1">
      <c r="E1717" s="95"/>
      <c r="F1717" s="95"/>
      <c r="G1717" s="95"/>
      <c r="H1717" s="95"/>
      <c r="I1717" s="95"/>
      <c r="J1717" s="95"/>
      <c r="K1717" s="95"/>
      <c r="L1717" s="95"/>
      <c r="M1717" s="95"/>
      <c r="N1717" s="95"/>
      <c r="O1717" s="95"/>
      <c r="P1717" s="95"/>
      <c r="Q1717" s="95"/>
      <c r="R1717" s="95"/>
      <c r="T1717" s="81"/>
      <c r="U1717" s="95"/>
      <c r="V1717" s="95"/>
      <c r="W1717" s="95"/>
    </row>
    <row r="1718" spans="5:23" ht="10.15" customHeight="1">
      <c r="E1718" s="95"/>
      <c r="F1718" s="95"/>
      <c r="G1718" s="95"/>
      <c r="H1718" s="95"/>
      <c r="I1718" s="95"/>
      <c r="J1718" s="95"/>
      <c r="K1718" s="95"/>
      <c r="L1718" s="95"/>
      <c r="M1718" s="95"/>
      <c r="N1718" s="95"/>
      <c r="O1718" s="95"/>
      <c r="P1718" s="95"/>
      <c r="Q1718" s="95"/>
      <c r="R1718" s="95"/>
      <c r="T1718" s="81"/>
      <c r="U1718" s="95"/>
      <c r="V1718" s="95"/>
      <c r="W1718" s="95"/>
    </row>
    <row r="1719" spans="5:23" ht="10.15" customHeight="1">
      <c r="E1719" s="95"/>
      <c r="F1719" s="95"/>
      <c r="G1719" s="95"/>
      <c r="H1719" s="95"/>
      <c r="I1719" s="95"/>
      <c r="J1719" s="95"/>
      <c r="K1719" s="95"/>
      <c r="L1719" s="95"/>
      <c r="M1719" s="95"/>
      <c r="N1719" s="95"/>
      <c r="O1719" s="95"/>
      <c r="P1719" s="95"/>
      <c r="Q1719" s="95"/>
      <c r="R1719" s="95"/>
      <c r="T1719" s="81"/>
      <c r="U1719" s="95"/>
      <c r="V1719" s="95"/>
      <c r="W1719" s="95"/>
    </row>
    <row r="1720" spans="5:23" ht="10.15" customHeight="1">
      <c r="E1720" s="95"/>
      <c r="F1720" s="95"/>
      <c r="G1720" s="95"/>
      <c r="H1720" s="95"/>
      <c r="I1720" s="95"/>
      <c r="J1720" s="95"/>
      <c r="K1720" s="95"/>
      <c r="L1720" s="95"/>
      <c r="M1720" s="95"/>
      <c r="N1720" s="95"/>
      <c r="O1720" s="95"/>
      <c r="P1720" s="95"/>
      <c r="Q1720" s="95"/>
      <c r="R1720" s="95"/>
      <c r="T1720" s="81"/>
      <c r="U1720" s="95"/>
      <c r="V1720" s="95"/>
      <c r="W1720" s="95"/>
    </row>
    <row r="1721" spans="5:23" ht="10.15" customHeight="1">
      <c r="E1721" s="95"/>
      <c r="F1721" s="95"/>
      <c r="G1721" s="95"/>
      <c r="H1721" s="95"/>
      <c r="I1721" s="95"/>
      <c r="J1721" s="95"/>
      <c r="K1721" s="95"/>
      <c r="L1721" s="95"/>
      <c r="M1721" s="95"/>
      <c r="N1721" s="95"/>
      <c r="O1721" s="95"/>
      <c r="P1721" s="95"/>
      <c r="Q1721" s="95"/>
      <c r="R1721" s="95"/>
      <c r="T1721" s="81"/>
      <c r="U1721" s="95"/>
      <c r="V1721" s="95"/>
      <c r="W1721" s="95"/>
    </row>
    <row r="1722" spans="5:23" ht="10.15" customHeight="1">
      <c r="E1722" s="95"/>
      <c r="F1722" s="95"/>
      <c r="G1722" s="95"/>
      <c r="H1722" s="95"/>
      <c r="I1722" s="95"/>
      <c r="J1722" s="95"/>
      <c r="K1722" s="95"/>
      <c r="L1722" s="95"/>
      <c r="M1722" s="95"/>
      <c r="N1722" s="95"/>
      <c r="O1722" s="95"/>
      <c r="P1722" s="95"/>
      <c r="Q1722" s="95"/>
      <c r="R1722" s="95"/>
      <c r="T1722" s="81"/>
      <c r="U1722" s="95"/>
      <c r="V1722" s="95"/>
      <c r="W1722" s="95"/>
    </row>
    <row r="1723" spans="5:23" ht="10.15" customHeight="1">
      <c r="E1723" s="95"/>
      <c r="F1723" s="95"/>
      <c r="G1723" s="95"/>
      <c r="H1723" s="95"/>
      <c r="I1723" s="95"/>
      <c r="J1723" s="95"/>
      <c r="K1723" s="95"/>
      <c r="L1723" s="95"/>
      <c r="M1723" s="95"/>
      <c r="N1723" s="95"/>
      <c r="O1723" s="95"/>
      <c r="P1723" s="95"/>
      <c r="Q1723" s="95"/>
      <c r="R1723" s="95"/>
      <c r="T1723" s="81"/>
      <c r="U1723" s="95"/>
      <c r="V1723" s="95"/>
      <c r="W1723" s="95"/>
    </row>
    <row r="1724" spans="5:23" ht="10.15" customHeight="1">
      <c r="E1724" s="95"/>
      <c r="F1724" s="95"/>
      <c r="G1724" s="95"/>
      <c r="H1724" s="95"/>
      <c r="I1724" s="95"/>
      <c r="J1724" s="95"/>
      <c r="K1724" s="95"/>
      <c r="L1724" s="95"/>
      <c r="M1724" s="95"/>
      <c r="N1724" s="95"/>
      <c r="O1724" s="95"/>
      <c r="P1724" s="95"/>
      <c r="Q1724" s="95"/>
      <c r="R1724" s="95"/>
      <c r="T1724" s="81"/>
      <c r="U1724" s="95"/>
      <c r="V1724" s="95"/>
      <c r="W1724" s="95"/>
    </row>
    <row r="1725" spans="5:23" ht="10.15" customHeight="1">
      <c r="E1725" s="95"/>
      <c r="F1725" s="95"/>
      <c r="G1725" s="95"/>
      <c r="H1725" s="95"/>
      <c r="I1725" s="95"/>
      <c r="J1725" s="95"/>
      <c r="K1725" s="95"/>
      <c r="L1725" s="95"/>
      <c r="M1725" s="95"/>
      <c r="N1725" s="95"/>
      <c r="O1725" s="95"/>
      <c r="P1725" s="95"/>
      <c r="Q1725" s="95"/>
      <c r="R1725" s="95"/>
      <c r="T1725" s="81"/>
      <c r="U1725" s="95"/>
      <c r="V1725" s="95"/>
      <c r="W1725" s="95"/>
    </row>
    <row r="1726" spans="5:23" ht="10.15" customHeight="1">
      <c r="E1726" s="95"/>
      <c r="F1726" s="95"/>
      <c r="G1726" s="95"/>
      <c r="H1726" s="95"/>
      <c r="I1726" s="95"/>
      <c r="J1726" s="95"/>
      <c r="K1726" s="95"/>
      <c r="L1726" s="95"/>
      <c r="M1726" s="95"/>
      <c r="N1726" s="95"/>
      <c r="O1726" s="95"/>
      <c r="P1726" s="95"/>
      <c r="Q1726" s="95"/>
      <c r="R1726" s="95"/>
      <c r="T1726" s="81"/>
      <c r="U1726" s="95"/>
      <c r="V1726" s="95"/>
      <c r="W1726" s="95"/>
    </row>
    <row r="1727" spans="5:23" ht="10.15" customHeight="1">
      <c r="E1727" s="95"/>
      <c r="F1727" s="95"/>
      <c r="G1727" s="95"/>
      <c r="H1727" s="95"/>
      <c r="I1727" s="95"/>
      <c r="J1727" s="95"/>
      <c r="K1727" s="95"/>
      <c r="L1727" s="95"/>
      <c r="M1727" s="95"/>
      <c r="N1727" s="95"/>
      <c r="O1727" s="95"/>
      <c r="P1727" s="95"/>
      <c r="Q1727" s="95"/>
      <c r="R1727" s="95"/>
      <c r="T1727" s="81"/>
      <c r="U1727" s="95"/>
      <c r="V1727" s="95"/>
      <c r="W1727" s="95"/>
    </row>
    <row r="1728" spans="5:23" ht="10.15" customHeight="1">
      <c r="E1728" s="95"/>
      <c r="F1728" s="95"/>
      <c r="G1728" s="95"/>
      <c r="H1728" s="95"/>
      <c r="I1728" s="95"/>
      <c r="J1728" s="95"/>
      <c r="K1728" s="95"/>
      <c r="L1728" s="95"/>
      <c r="M1728" s="95"/>
      <c r="N1728" s="95"/>
      <c r="O1728" s="95"/>
      <c r="P1728" s="95"/>
      <c r="Q1728" s="95"/>
      <c r="R1728" s="95"/>
      <c r="T1728" s="81"/>
      <c r="U1728" s="95"/>
      <c r="V1728" s="95"/>
      <c r="W1728" s="95"/>
    </row>
    <row r="1729" spans="5:23" ht="10.15" customHeight="1">
      <c r="E1729" s="95"/>
      <c r="F1729" s="95"/>
      <c r="G1729" s="95"/>
      <c r="H1729" s="95"/>
      <c r="I1729" s="95"/>
      <c r="J1729" s="95"/>
      <c r="K1729" s="95"/>
      <c r="L1729" s="95"/>
      <c r="M1729" s="95"/>
      <c r="N1729" s="95"/>
      <c r="O1729" s="95"/>
      <c r="P1729" s="95"/>
      <c r="Q1729" s="95"/>
      <c r="R1729" s="95"/>
      <c r="T1729" s="81"/>
      <c r="U1729" s="95"/>
      <c r="V1729" s="95"/>
      <c r="W1729" s="95"/>
    </row>
    <row r="1730" spans="5:23" ht="10.15" customHeight="1">
      <c r="E1730" s="95"/>
      <c r="F1730" s="95"/>
      <c r="G1730" s="95"/>
      <c r="H1730" s="95"/>
      <c r="I1730" s="95"/>
      <c r="J1730" s="95"/>
      <c r="K1730" s="95"/>
      <c r="L1730" s="95"/>
      <c r="M1730" s="95"/>
      <c r="N1730" s="95"/>
      <c r="O1730" s="95"/>
      <c r="P1730" s="95"/>
      <c r="Q1730" s="95"/>
      <c r="R1730" s="95"/>
      <c r="T1730" s="81"/>
      <c r="U1730" s="95"/>
      <c r="V1730" s="95"/>
      <c r="W1730" s="95"/>
    </row>
    <row r="1731" spans="5:23" ht="10.15" customHeight="1">
      <c r="E1731" s="95"/>
      <c r="F1731" s="95"/>
      <c r="G1731" s="95"/>
      <c r="H1731" s="95"/>
      <c r="I1731" s="95"/>
      <c r="J1731" s="95"/>
      <c r="K1731" s="95"/>
      <c r="L1731" s="95"/>
      <c r="M1731" s="95"/>
      <c r="N1731" s="95"/>
      <c r="O1731" s="95"/>
      <c r="P1731" s="95"/>
      <c r="Q1731" s="95"/>
      <c r="R1731" s="95"/>
      <c r="T1731" s="81"/>
      <c r="U1731" s="95"/>
      <c r="V1731" s="95"/>
      <c r="W1731" s="95"/>
    </row>
    <row r="1732" spans="5:23" ht="10.15" customHeight="1">
      <c r="E1732" s="95"/>
      <c r="F1732" s="95"/>
      <c r="G1732" s="95"/>
      <c r="H1732" s="95"/>
      <c r="I1732" s="95"/>
      <c r="J1732" s="95"/>
      <c r="K1732" s="95"/>
      <c r="L1732" s="95"/>
      <c r="M1732" s="95"/>
      <c r="N1732" s="95"/>
      <c r="O1732" s="95"/>
      <c r="P1732" s="95"/>
      <c r="Q1732" s="95"/>
      <c r="R1732" s="95"/>
      <c r="T1732" s="81"/>
      <c r="U1732" s="95"/>
      <c r="V1732" s="95"/>
      <c r="W1732" s="95"/>
    </row>
    <row r="1733" spans="5:23" ht="10.15" customHeight="1">
      <c r="E1733" s="95"/>
      <c r="F1733" s="95"/>
      <c r="G1733" s="95"/>
      <c r="H1733" s="95"/>
      <c r="I1733" s="95"/>
      <c r="J1733" s="95"/>
      <c r="K1733" s="95"/>
      <c r="L1733" s="95"/>
      <c r="M1733" s="95"/>
      <c r="N1733" s="95"/>
      <c r="O1733" s="95"/>
      <c r="P1733" s="95"/>
      <c r="Q1733" s="95"/>
      <c r="R1733" s="95"/>
      <c r="T1733" s="81"/>
      <c r="U1733" s="95"/>
      <c r="V1733" s="95"/>
      <c r="W1733" s="95"/>
    </row>
    <row r="1734" spans="5:23" ht="10.15" customHeight="1">
      <c r="E1734" s="95"/>
      <c r="F1734" s="95"/>
      <c r="G1734" s="95"/>
      <c r="H1734" s="95"/>
      <c r="I1734" s="95"/>
      <c r="J1734" s="95"/>
      <c r="K1734" s="95"/>
      <c r="L1734" s="95"/>
      <c r="M1734" s="95"/>
      <c r="N1734" s="95"/>
      <c r="O1734" s="95"/>
      <c r="P1734" s="95"/>
      <c r="Q1734" s="95"/>
      <c r="R1734" s="95"/>
      <c r="T1734" s="81"/>
      <c r="U1734" s="95"/>
      <c r="V1734" s="95"/>
      <c r="W1734" s="95"/>
    </row>
    <row r="1735" spans="5:23" ht="10.15" customHeight="1">
      <c r="E1735" s="95"/>
      <c r="F1735" s="95"/>
      <c r="G1735" s="95"/>
      <c r="H1735" s="95"/>
      <c r="I1735" s="95"/>
      <c r="J1735" s="95"/>
      <c r="K1735" s="95"/>
      <c r="L1735" s="95"/>
      <c r="M1735" s="95"/>
      <c r="N1735" s="95"/>
      <c r="O1735" s="95"/>
      <c r="P1735" s="95"/>
      <c r="Q1735" s="95"/>
      <c r="R1735" s="95"/>
      <c r="T1735" s="81"/>
      <c r="U1735" s="95"/>
      <c r="V1735" s="95"/>
      <c r="W1735" s="95"/>
    </row>
    <row r="1736" spans="5:23" ht="10.15" customHeight="1">
      <c r="E1736" s="95"/>
      <c r="F1736" s="95"/>
      <c r="G1736" s="95"/>
      <c r="H1736" s="95"/>
      <c r="I1736" s="95"/>
      <c r="J1736" s="95"/>
      <c r="K1736" s="95"/>
      <c r="L1736" s="95"/>
      <c r="M1736" s="95"/>
      <c r="N1736" s="95"/>
      <c r="O1736" s="95"/>
      <c r="P1736" s="95"/>
      <c r="Q1736" s="95"/>
      <c r="R1736" s="95"/>
      <c r="T1736" s="81"/>
      <c r="U1736" s="95"/>
      <c r="V1736" s="95"/>
      <c r="W1736" s="95"/>
    </row>
    <row r="1737" spans="5:23" ht="10.15" customHeight="1">
      <c r="E1737" s="95"/>
      <c r="F1737" s="95"/>
      <c r="G1737" s="95"/>
      <c r="H1737" s="95"/>
      <c r="I1737" s="95"/>
      <c r="J1737" s="95"/>
      <c r="K1737" s="95"/>
      <c r="L1737" s="95"/>
      <c r="M1737" s="95"/>
      <c r="N1737" s="95"/>
      <c r="O1737" s="95"/>
      <c r="P1737" s="95"/>
      <c r="Q1737" s="95"/>
      <c r="R1737" s="95"/>
      <c r="T1737" s="81"/>
      <c r="U1737" s="95"/>
      <c r="V1737" s="95"/>
      <c r="W1737" s="95"/>
    </row>
    <row r="1738" spans="5:23" ht="10.15" customHeight="1">
      <c r="E1738" s="95"/>
      <c r="F1738" s="95"/>
      <c r="G1738" s="95"/>
      <c r="H1738" s="95"/>
      <c r="I1738" s="95"/>
      <c r="J1738" s="95"/>
      <c r="K1738" s="95"/>
      <c r="L1738" s="95"/>
      <c r="M1738" s="95"/>
      <c r="N1738" s="95"/>
      <c r="O1738" s="95"/>
      <c r="P1738" s="95"/>
      <c r="Q1738" s="95"/>
      <c r="R1738" s="95"/>
      <c r="T1738" s="81"/>
      <c r="U1738" s="95"/>
      <c r="V1738" s="95"/>
      <c r="W1738" s="95"/>
    </row>
    <row r="1739" spans="5:23" ht="10.15" customHeight="1">
      <c r="E1739" s="95"/>
      <c r="F1739" s="95"/>
      <c r="G1739" s="95"/>
      <c r="H1739" s="95"/>
      <c r="I1739" s="95"/>
      <c r="J1739" s="95"/>
      <c r="K1739" s="95"/>
      <c r="L1739" s="95"/>
      <c r="M1739" s="95"/>
      <c r="N1739" s="95"/>
      <c r="O1739" s="95"/>
      <c r="P1739" s="95"/>
      <c r="Q1739" s="95"/>
      <c r="R1739" s="95"/>
      <c r="T1739" s="81"/>
      <c r="U1739" s="95"/>
      <c r="V1739" s="95"/>
      <c r="W1739" s="95"/>
    </row>
    <row r="1740" spans="5:23" ht="10.15" customHeight="1">
      <c r="E1740" s="95"/>
      <c r="F1740" s="95"/>
      <c r="G1740" s="95"/>
      <c r="H1740" s="95"/>
      <c r="I1740" s="95"/>
      <c r="J1740" s="95"/>
      <c r="K1740" s="95"/>
      <c r="L1740" s="95"/>
      <c r="M1740" s="95"/>
      <c r="N1740" s="95"/>
      <c r="O1740" s="95"/>
      <c r="P1740" s="95"/>
      <c r="Q1740" s="95"/>
      <c r="R1740" s="95"/>
      <c r="T1740" s="81"/>
      <c r="U1740" s="95"/>
      <c r="V1740" s="95"/>
      <c r="W1740" s="95"/>
    </row>
    <row r="1741" spans="5:23" ht="10.15" customHeight="1">
      <c r="E1741" s="95"/>
      <c r="F1741" s="95"/>
      <c r="G1741" s="95"/>
      <c r="H1741" s="95"/>
      <c r="I1741" s="95"/>
      <c r="J1741" s="95"/>
      <c r="K1741" s="95"/>
      <c r="L1741" s="95"/>
      <c r="M1741" s="95"/>
      <c r="N1741" s="95"/>
      <c r="O1741" s="95"/>
      <c r="P1741" s="95"/>
      <c r="Q1741" s="95"/>
      <c r="R1741" s="95"/>
      <c r="T1741" s="81"/>
      <c r="U1741" s="95"/>
      <c r="V1741" s="95"/>
      <c r="W1741" s="95"/>
    </row>
    <row r="1742" spans="5:23" ht="10.15" customHeight="1">
      <c r="E1742" s="95"/>
      <c r="F1742" s="95"/>
      <c r="G1742" s="95"/>
      <c r="H1742" s="95"/>
      <c r="I1742" s="95"/>
      <c r="J1742" s="95"/>
      <c r="K1742" s="95"/>
      <c r="L1742" s="95"/>
      <c r="M1742" s="95"/>
      <c r="N1742" s="95"/>
      <c r="O1742" s="95"/>
      <c r="P1742" s="95"/>
      <c r="Q1742" s="95"/>
      <c r="R1742" s="95"/>
      <c r="T1742" s="81"/>
      <c r="U1742" s="95"/>
      <c r="V1742" s="95"/>
      <c r="W1742" s="95"/>
    </row>
    <row r="1743" spans="5:23" ht="10.15" customHeight="1">
      <c r="E1743" s="95"/>
      <c r="F1743" s="95"/>
      <c r="G1743" s="95"/>
      <c r="H1743" s="95"/>
      <c r="I1743" s="95"/>
      <c r="J1743" s="95"/>
      <c r="K1743" s="95"/>
      <c r="L1743" s="95"/>
      <c r="M1743" s="95"/>
      <c r="N1743" s="95"/>
      <c r="O1743" s="95"/>
      <c r="P1743" s="95"/>
      <c r="Q1743" s="95"/>
      <c r="R1743" s="95"/>
      <c r="T1743" s="81"/>
      <c r="U1743" s="95"/>
      <c r="V1743" s="95"/>
      <c r="W1743" s="95"/>
    </row>
    <row r="1744" spans="5:23" ht="10.15" customHeight="1">
      <c r="E1744" s="95"/>
      <c r="F1744" s="95"/>
      <c r="G1744" s="95"/>
      <c r="H1744" s="95"/>
      <c r="I1744" s="95"/>
      <c r="J1744" s="95"/>
      <c r="K1744" s="95"/>
      <c r="L1744" s="95"/>
      <c r="M1744" s="95"/>
      <c r="N1744" s="95"/>
      <c r="O1744" s="95"/>
      <c r="P1744" s="95"/>
      <c r="Q1744" s="95"/>
      <c r="R1744" s="95"/>
      <c r="T1744" s="81"/>
      <c r="U1744" s="95"/>
      <c r="V1744" s="95"/>
      <c r="W1744" s="95"/>
    </row>
    <row r="1745" spans="5:23" ht="10.15" customHeight="1">
      <c r="E1745" s="95"/>
      <c r="F1745" s="95"/>
      <c r="G1745" s="95"/>
      <c r="H1745" s="95"/>
      <c r="I1745" s="95"/>
      <c r="J1745" s="95"/>
      <c r="K1745" s="95"/>
      <c r="L1745" s="95"/>
      <c r="M1745" s="95"/>
      <c r="N1745" s="95"/>
      <c r="O1745" s="95"/>
      <c r="P1745" s="95"/>
      <c r="Q1745" s="95"/>
      <c r="R1745" s="95"/>
      <c r="T1745" s="81"/>
      <c r="U1745" s="95"/>
      <c r="V1745" s="95"/>
      <c r="W1745" s="95"/>
    </row>
    <row r="1746" spans="5:23" ht="10.15" customHeight="1">
      <c r="E1746" s="95"/>
      <c r="F1746" s="95"/>
      <c r="G1746" s="95"/>
      <c r="H1746" s="95"/>
      <c r="I1746" s="95"/>
      <c r="J1746" s="95"/>
      <c r="K1746" s="95"/>
      <c r="L1746" s="95"/>
      <c r="M1746" s="95"/>
      <c r="N1746" s="95"/>
      <c r="O1746" s="95"/>
      <c r="P1746" s="95"/>
      <c r="Q1746" s="95"/>
      <c r="R1746" s="95"/>
      <c r="T1746" s="81"/>
      <c r="U1746" s="95"/>
      <c r="V1746" s="95"/>
      <c r="W1746" s="95"/>
    </row>
    <row r="1747" spans="5:23" ht="10.15" customHeight="1">
      <c r="E1747" s="95"/>
      <c r="F1747" s="95"/>
      <c r="G1747" s="95"/>
      <c r="H1747" s="95"/>
      <c r="I1747" s="95"/>
      <c r="J1747" s="95"/>
      <c r="K1747" s="95"/>
      <c r="L1747" s="95"/>
      <c r="M1747" s="95"/>
      <c r="N1747" s="95"/>
      <c r="O1747" s="95"/>
      <c r="P1747" s="95"/>
      <c r="Q1747" s="95"/>
      <c r="R1747" s="95"/>
      <c r="T1747" s="81"/>
      <c r="U1747" s="95"/>
      <c r="V1747" s="95"/>
      <c r="W1747" s="95"/>
    </row>
    <row r="1748" spans="5:23" ht="10.15" customHeight="1">
      <c r="E1748" s="95"/>
      <c r="F1748" s="95"/>
      <c r="G1748" s="95"/>
      <c r="H1748" s="95"/>
      <c r="I1748" s="95"/>
      <c r="J1748" s="95"/>
      <c r="K1748" s="95"/>
      <c r="L1748" s="95"/>
      <c r="M1748" s="95"/>
      <c r="N1748" s="95"/>
      <c r="O1748" s="95"/>
      <c r="P1748" s="95"/>
      <c r="Q1748" s="95"/>
      <c r="R1748" s="95"/>
      <c r="T1748" s="81"/>
      <c r="U1748" s="95"/>
      <c r="V1748" s="95"/>
      <c r="W1748" s="95"/>
    </row>
    <row r="1749" spans="5:23" ht="10.15" customHeight="1">
      <c r="E1749" s="95"/>
      <c r="F1749" s="95"/>
      <c r="G1749" s="95"/>
      <c r="H1749" s="95"/>
      <c r="I1749" s="95"/>
      <c r="J1749" s="95"/>
      <c r="K1749" s="95"/>
      <c r="L1749" s="95"/>
      <c r="M1749" s="95"/>
      <c r="N1749" s="95"/>
      <c r="O1749" s="95"/>
      <c r="P1749" s="95"/>
      <c r="Q1749" s="95"/>
      <c r="R1749" s="95"/>
      <c r="T1749" s="81"/>
      <c r="U1749" s="95"/>
      <c r="V1749" s="95"/>
      <c r="W1749" s="95"/>
    </row>
    <row r="1750" spans="5:23" ht="10.15" customHeight="1">
      <c r="E1750" s="95"/>
      <c r="F1750" s="95"/>
      <c r="G1750" s="95"/>
      <c r="H1750" s="95"/>
      <c r="I1750" s="95"/>
      <c r="J1750" s="95"/>
      <c r="K1750" s="95"/>
      <c r="L1750" s="95"/>
      <c r="M1750" s="95"/>
      <c r="N1750" s="95"/>
      <c r="O1750" s="95"/>
      <c r="P1750" s="95"/>
      <c r="Q1750" s="95"/>
      <c r="R1750" s="95"/>
      <c r="T1750" s="81"/>
      <c r="U1750" s="95"/>
      <c r="V1750" s="95"/>
      <c r="W1750" s="95"/>
    </row>
    <row r="1751" spans="5:23" ht="10.15" customHeight="1">
      <c r="E1751" s="95"/>
      <c r="F1751" s="95"/>
      <c r="G1751" s="95"/>
      <c r="H1751" s="95"/>
      <c r="I1751" s="95"/>
      <c r="J1751" s="95"/>
      <c r="K1751" s="95"/>
      <c r="L1751" s="95"/>
      <c r="M1751" s="95"/>
      <c r="N1751" s="95"/>
      <c r="O1751" s="95"/>
      <c r="P1751" s="95"/>
      <c r="Q1751" s="95"/>
      <c r="R1751" s="95"/>
      <c r="T1751" s="81"/>
      <c r="U1751" s="95"/>
      <c r="V1751" s="95"/>
      <c r="W1751" s="95"/>
    </row>
    <row r="1752" spans="5:23" ht="10.15" customHeight="1">
      <c r="E1752" s="95"/>
      <c r="F1752" s="95"/>
      <c r="G1752" s="95"/>
      <c r="H1752" s="95"/>
      <c r="I1752" s="95"/>
      <c r="J1752" s="95"/>
      <c r="K1752" s="95"/>
      <c r="L1752" s="95"/>
      <c r="M1752" s="95"/>
      <c r="N1752" s="95"/>
      <c r="O1752" s="95"/>
      <c r="P1752" s="95"/>
      <c r="Q1752" s="95"/>
      <c r="R1752" s="95"/>
      <c r="T1752" s="81"/>
      <c r="U1752" s="95"/>
      <c r="V1752" s="95"/>
      <c r="W1752" s="95"/>
    </row>
    <row r="1753" spans="5:23" ht="10.15" customHeight="1">
      <c r="E1753" s="95"/>
      <c r="F1753" s="95"/>
      <c r="G1753" s="95"/>
      <c r="H1753" s="95"/>
      <c r="I1753" s="95"/>
      <c r="J1753" s="95"/>
      <c r="K1753" s="95"/>
      <c r="L1753" s="95"/>
      <c r="M1753" s="95"/>
      <c r="N1753" s="95"/>
      <c r="O1753" s="95"/>
      <c r="P1753" s="95"/>
      <c r="Q1753" s="95"/>
      <c r="R1753" s="95"/>
      <c r="T1753" s="81"/>
      <c r="U1753" s="95"/>
      <c r="V1753" s="95"/>
      <c r="W1753" s="95"/>
    </row>
    <row r="1754" spans="5:23" ht="10.15" customHeight="1">
      <c r="E1754" s="95"/>
      <c r="F1754" s="95"/>
      <c r="G1754" s="95"/>
      <c r="H1754" s="95"/>
      <c r="I1754" s="95"/>
      <c r="J1754" s="95"/>
      <c r="K1754" s="95"/>
      <c r="L1754" s="95"/>
      <c r="M1754" s="95"/>
      <c r="N1754" s="95"/>
      <c r="O1754" s="95"/>
      <c r="P1754" s="95"/>
      <c r="Q1754" s="95"/>
      <c r="R1754" s="95"/>
      <c r="T1754" s="81"/>
      <c r="U1754" s="95"/>
      <c r="V1754" s="95"/>
      <c r="W1754" s="95"/>
    </row>
    <row r="1755" spans="5:23" ht="10.15" customHeight="1">
      <c r="E1755" s="95"/>
      <c r="F1755" s="95"/>
      <c r="G1755" s="95"/>
      <c r="H1755" s="95"/>
      <c r="I1755" s="95"/>
      <c r="J1755" s="95"/>
      <c r="K1755" s="95"/>
      <c r="L1755" s="95"/>
      <c r="M1755" s="95"/>
      <c r="N1755" s="95"/>
      <c r="O1755" s="95"/>
      <c r="P1755" s="95"/>
      <c r="Q1755" s="95"/>
      <c r="R1755" s="95"/>
      <c r="T1755" s="81"/>
      <c r="U1755" s="95"/>
      <c r="V1755" s="95"/>
      <c r="W1755" s="95"/>
    </row>
    <row r="1756" spans="5:23" ht="10.15" customHeight="1">
      <c r="E1756" s="95"/>
      <c r="F1756" s="95"/>
      <c r="G1756" s="95"/>
      <c r="H1756" s="95"/>
      <c r="I1756" s="95"/>
      <c r="J1756" s="95"/>
      <c r="K1756" s="95"/>
      <c r="L1756" s="95"/>
      <c r="M1756" s="95"/>
      <c r="N1756" s="95"/>
      <c r="O1756" s="95"/>
      <c r="P1756" s="95"/>
      <c r="Q1756" s="95"/>
      <c r="R1756" s="95"/>
      <c r="T1756" s="81"/>
      <c r="U1756" s="95"/>
      <c r="V1756" s="95"/>
      <c r="W1756" s="95"/>
    </row>
    <row r="1757" spans="5:23" ht="10.15" customHeight="1">
      <c r="E1757" s="95"/>
      <c r="F1757" s="95"/>
      <c r="G1757" s="95"/>
      <c r="H1757" s="95"/>
      <c r="I1757" s="95"/>
      <c r="J1757" s="95"/>
      <c r="K1757" s="95"/>
      <c r="L1757" s="95"/>
      <c r="M1757" s="95"/>
      <c r="N1757" s="95"/>
      <c r="O1757" s="95"/>
      <c r="P1757" s="95"/>
      <c r="Q1757" s="95"/>
      <c r="R1757" s="95"/>
      <c r="T1757" s="81"/>
      <c r="U1757" s="95"/>
      <c r="V1757" s="95"/>
      <c r="W1757" s="95"/>
    </row>
    <row r="1758" spans="5:23" ht="10.15" customHeight="1">
      <c r="E1758" s="95"/>
      <c r="F1758" s="95"/>
      <c r="G1758" s="95"/>
      <c r="H1758" s="95"/>
      <c r="I1758" s="95"/>
      <c r="J1758" s="95"/>
      <c r="K1758" s="95"/>
      <c r="L1758" s="95"/>
      <c r="M1758" s="95"/>
      <c r="N1758" s="95"/>
      <c r="O1758" s="95"/>
      <c r="P1758" s="95"/>
      <c r="Q1758" s="95"/>
      <c r="R1758" s="95"/>
      <c r="T1758" s="81"/>
      <c r="U1758" s="95"/>
      <c r="V1758" s="95"/>
      <c r="W1758" s="95"/>
    </row>
    <row r="1759" spans="5:23" ht="10.15" customHeight="1">
      <c r="E1759" s="95"/>
      <c r="F1759" s="95"/>
      <c r="G1759" s="95"/>
      <c r="H1759" s="95"/>
      <c r="I1759" s="95"/>
      <c r="J1759" s="95"/>
      <c r="K1759" s="95"/>
      <c r="L1759" s="95"/>
      <c r="M1759" s="95"/>
      <c r="N1759" s="95"/>
      <c r="O1759" s="95"/>
      <c r="P1759" s="95"/>
      <c r="Q1759" s="95"/>
      <c r="R1759" s="95"/>
      <c r="T1759" s="81"/>
      <c r="U1759" s="95"/>
      <c r="V1759" s="95"/>
      <c r="W1759" s="95"/>
    </row>
    <row r="1760" spans="5:23" ht="10.15" customHeight="1">
      <c r="E1760" s="95"/>
      <c r="F1760" s="95"/>
      <c r="G1760" s="95"/>
      <c r="H1760" s="95"/>
      <c r="I1760" s="95"/>
      <c r="J1760" s="95"/>
      <c r="K1760" s="95"/>
      <c r="L1760" s="95"/>
      <c r="M1760" s="95"/>
      <c r="N1760" s="95"/>
      <c r="O1760" s="95"/>
      <c r="P1760" s="95"/>
      <c r="Q1760" s="95"/>
      <c r="R1760" s="95"/>
      <c r="T1760" s="81"/>
      <c r="U1760" s="95"/>
      <c r="V1760" s="95"/>
      <c r="W1760" s="95"/>
    </row>
    <row r="1761" spans="5:23" ht="10.15" customHeight="1">
      <c r="E1761" s="95"/>
      <c r="F1761" s="95"/>
      <c r="G1761" s="95"/>
      <c r="H1761" s="95"/>
      <c r="I1761" s="95"/>
      <c r="J1761" s="95"/>
      <c r="K1761" s="95"/>
      <c r="L1761" s="95"/>
      <c r="M1761" s="95"/>
      <c r="N1761" s="95"/>
      <c r="O1761" s="95"/>
      <c r="P1761" s="95"/>
      <c r="Q1761" s="95"/>
      <c r="R1761" s="95"/>
      <c r="T1761" s="81"/>
      <c r="U1761" s="95"/>
      <c r="V1761" s="95"/>
      <c r="W1761" s="95"/>
    </row>
    <row r="1762" spans="5:23" ht="10.15" customHeight="1">
      <c r="E1762" s="95"/>
      <c r="F1762" s="95"/>
      <c r="G1762" s="95"/>
      <c r="H1762" s="95"/>
      <c r="I1762" s="95"/>
      <c r="J1762" s="95"/>
      <c r="K1762" s="95"/>
      <c r="L1762" s="95"/>
      <c r="M1762" s="95"/>
      <c r="N1762" s="95"/>
      <c r="O1762" s="95"/>
      <c r="P1762" s="95"/>
      <c r="Q1762" s="95"/>
      <c r="R1762" s="95"/>
      <c r="T1762" s="81"/>
      <c r="U1762" s="95"/>
      <c r="V1762" s="95"/>
      <c r="W1762" s="95"/>
    </row>
    <row r="1763" spans="5:23" ht="10.15" customHeight="1">
      <c r="E1763" s="95"/>
      <c r="F1763" s="95"/>
      <c r="G1763" s="95"/>
      <c r="H1763" s="95"/>
      <c r="I1763" s="95"/>
      <c r="J1763" s="95"/>
      <c r="K1763" s="95"/>
      <c r="L1763" s="95"/>
      <c r="M1763" s="95"/>
      <c r="N1763" s="95"/>
      <c r="O1763" s="95"/>
      <c r="P1763" s="95"/>
      <c r="Q1763" s="95"/>
      <c r="R1763" s="95"/>
      <c r="T1763" s="81"/>
      <c r="U1763" s="95"/>
      <c r="V1763" s="95"/>
      <c r="W1763" s="95"/>
    </row>
    <row r="1764" spans="5:23" ht="10.15" customHeight="1">
      <c r="E1764" s="95"/>
      <c r="F1764" s="95"/>
      <c r="G1764" s="95"/>
      <c r="H1764" s="95"/>
      <c r="I1764" s="95"/>
      <c r="J1764" s="95"/>
      <c r="K1764" s="95"/>
      <c r="L1764" s="95"/>
      <c r="M1764" s="95"/>
      <c r="N1764" s="95"/>
      <c r="O1764" s="95"/>
      <c r="P1764" s="95"/>
      <c r="Q1764" s="95"/>
      <c r="R1764" s="95"/>
      <c r="T1764" s="81"/>
      <c r="U1764" s="95"/>
      <c r="V1764" s="95"/>
      <c r="W1764" s="95"/>
    </row>
    <row r="1765" spans="5:23" ht="10.15" customHeight="1">
      <c r="E1765" s="95"/>
      <c r="F1765" s="95"/>
      <c r="G1765" s="95"/>
      <c r="H1765" s="95"/>
      <c r="I1765" s="95"/>
      <c r="J1765" s="95"/>
      <c r="K1765" s="95"/>
      <c r="L1765" s="95"/>
      <c r="M1765" s="95"/>
      <c r="N1765" s="95"/>
      <c r="O1765" s="95"/>
      <c r="P1765" s="95"/>
      <c r="Q1765" s="95"/>
      <c r="R1765" s="95"/>
      <c r="T1765" s="81"/>
      <c r="U1765" s="95"/>
      <c r="V1765" s="95"/>
      <c r="W1765" s="95"/>
    </row>
    <row r="1766" spans="5:23" ht="10.15" customHeight="1">
      <c r="E1766" s="95"/>
      <c r="F1766" s="95"/>
      <c r="G1766" s="95"/>
      <c r="H1766" s="95"/>
      <c r="I1766" s="95"/>
      <c r="J1766" s="95"/>
      <c r="K1766" s="95"/>
      <c r="L1766" s="95"/>
      <c r="M1766" s="95"/>
      <c r="N1766" s="95"/>
      <c r="O1766" s="95"/>
      <c r="P1766" s="95"/>
      <c r="Q1766" s="95"/>
      <c r="R1766" s="95"/>
      <c r="T1766" s="81"/>
      <c r="U1766" s="95"/>
      <c r="V1766" s="95"/>
      <c r="W1766" s="95"/>
    </row>
    <row r="1767" spans="5:23" ht="10.15" customHeight="1">
      <c r="E1767" s="95"/>
      <c r="F1767" s="95"/>
      <c r="G1767" s="95"/>
      <c r="H1767" s="95"/>
      <c r="I1767" s="95"/>
      <c r="J1767" s="95"/>
      <c r="K1767" s="95"/>
      <c r="L1767" s="95"/>
      <c r="M1767" s="95"/>
      <c r="N1767" s="95"/>
      <c r="O1767" s="95"/>
      <c r="P1767" s="95"/>
      <c r="Q1767" s="95"/>
      <c r="R1767" s="95"/>
      <c r="T1767" s="81"/>
      <c r="U1767" s="95"/>
      <c r="V1767" s="95"/>
      <c r="W1767" s="95"/>
    </row>
    <row r="1768" spans="5:23" ht="10.15" customHeight="1">
      <c r="E1768" s="95"/>
      <c r="F1768" s="95"/>
      <c r="G1768" s="95"/>
      <c r="H1768" s="95"/>
      <c r="I1768" s="95"/>
      <c r="J1768" s="95"/>
      <c r="K1768" s="95"/>
      <c r="L1768" s="95"/>
      <c r="M1768" s="95"/>
      <c r="N1768" s="95"/>
      <c r="O1768" s="95"/>
      <c r="P1768" s="95"/>
      <c r="Q1768" s="95"/>
      <c r="R1768" s="95"/>
      <c r="T1768" s="81"/>
      <c r="U1768" s="95"/>
      <c r="V1768" s="95"/>
      <c r="W1768" s="95"/>
    </row>
    <row r="1769" spans="5:23" ht="10.15" customHeight="1">
      <c r="E1769" s="95"/>
      <c r="F1769" s="95"/>
      <c r="G1769" s="95"/>
      <c r="H1769" s="95"/>
      <c r="I1769" s="95"/>
      <c r="J1769" s="95"/>
      <c r="K1769" s="95"/>
      <c r="L1769" s="95"/>
      <c r="M1769" s="95"/>
      <c r="N1769" s="95"/>
      <c r="O1769" s="95"/>
      <c r="P1769" s="95"/>
      <c r="Q1769" s="95"/>
      <c r="R1769" s="95"/>
      <c r="T1769" s="81"/>
      <c r="U1769" s="95"/>
      <c r="V1769" s="95"/>
      <c r="W1769" s="95"/>
    </row>
    <row r="1770" spans="5:23" ht="10.15" customHeight="1">
      <c r="E1770" s="95"/>
      <c r="F1770" s="95"/>
      <c r="G1770" s="95"/>
      <c r="H1770" s="95"/>
      <c r="I1770" s="95"/>
      <c r="J1770" s="95"/>
      <c r="K1770" s="95"/>
      <c r="L1770" s="95"/>
      <c r="M1770" s="95"/>
      <c r="N1770" s="95"/>
      <c r="O1770" s="95"/>
      <c r="P1770" s="95"/>
      <c r="Q1770" s="95"/>
      <c r="R1770" s="95"/>
      <c r="T1770" s="81"/>
      <c r="U1770" s="95"/>
      <c r="V1770" s="95"/>
      <c r="W1770" s="95"/>
    </row>
    <row r="1771" spans="5:23" ht="10.15" customHeight="1">
      <c r="E1771" s="95"/>
      <c r="F1771" s="95"/>
      <c r="G1771" s="95"/>
      <c r="H1771" s="95"/>
      <c r="I1771" s="95"/>
      <c r="J1771" s="95"/>
      <c r="K1771" s="95"/>
      <c r="L1771" s="95"/>
      <c r="M1771" s="95"/>
      <c r="N1771" s="95"/>
      <c r="O1771" s="95"/>
      <c r="P1771" s="95"/>
      <c r="Q1771" s="95"/>
      <c r="R1771" s="95"/>
      <c r="T1771" s="81"/>
      <c r="U1771" s="95"/>
      <c r="V1771" s="95"/>
      <c r="W1771" s="95"/>
    </row>
    <row r="1772" spans="5:23" ht="10.15" customHeight="1">
      <c r="E1772" s="95"/>
      <c r="F1772" s="95"/>
      <c r="G1772" s="95"/>
      <c r="H1772" s="95"/>
      <c r="I1772" s="95"/>
      <c r="J1772" s="95"/>
      <c r="K1772" s="95"/>
      <c r="L1772" s="95"/>
      <c r="M1772" s="95"/>
      <c r="N1772" s="95"/>
      <c r="O1772" s="95"/>
      <c r="P1772" s="95"/>
      <c r="Q1772" s="95"/>
      <c r="R1772" s="95"/>
      <c r="T1772" s="81"/>
      <c r="U1772" s="95"/>
      <c r="V1772" s="95"/>
      <c r="W1772" s="95"/>
    </row>
    <row r="1773" spans="5:23" ht="10.15" customHeight="1">
      <c r="E1773" s="95"/>
      <c r="F1773" s="95"/>
      <c r="G1773" s="95"/>
      <c r="H1773" s="95"/>
      <c r="I1773" s="95"/>
      <c r="J1773" s="95"/>
      <c r="K1773" s="95"/>
      <c r="L1773" s="95"/>
      <c r="M1773" s="95"/>
      <c r="N1773" s="95"/>
      <c r="O1773" s="95"/>
      <c r="P1773" s="95"/>
      <c r="Q1773" s="95"/>
      <c r="R1773" s="95"/>
      <c r="T1773" s="81"/>
      <c r="U1773" s="95"/>
      <c r="V1773" s="95"/>
      <c r="W1773" s="95"/>
    </row>
    <row r="1774" spans="5:23" ht="10.15" customHeight="1">
      <c r="E1774" s="95"/>
      <c r="F1774" s="95"/>
      <c r="G1774" s="95"/>
      <c r="H1774" s="95"/>
      <c r="I1774" s="95"/>
      <c r="J1774" s="95"/>
      <c r="K1774" s="95"/>
      <c r="L1774" s="95"/>
      <c r="M1774" s="95"/>
      <c r="N1774" s="95"/>
      <c r="O1774" s="95"/>
      <c r="P1774" s="95"/>
      <c r="Q1774" s="95"/>
      <c r="R1774" s="95"/>
      <c r="T1774" s="81"/>
      <c r="U1774" s="95"/>
      <c r="V1774" s="95"/>
      <c r="W1774" s="95"/>
    </row>
    <row r="1775" spans="5:23" ht="10.15" customHeight="1">
      <c r="E1775" s="95"/>
      <c r="F1775" s="95"/>
      <c r="G1775" s="95"/>
      <c r="H1775" s="95"/>
      <c r="I1775" s="95"/>
      <c r="J1775" s="95"/>
      <c r="K1775" s="95"/>
      <c r="L1775" s="95"/>
      <c r="M1775" s="95"/>
      <c r="N1775" s="95"/>
      <c r="O1775" s="95"/>
      <c r="P1775" s="95"/>
      <c r="Q1775" s="95"/>
      <c r="R1775" s="95"/>
      <c r="T1775" s="81"/>
      <c r="U1775" s="95"/>
      <c r="V1775" s="95"/>
      <c r="W1775" s="95"/>
    </row>
    <row r="1776" spans="5:23" ht="10.15" customHeight="1">
      <c r="E1776" s="95"/>
      <c r="F1776" s="95"/>
      <c r="G1776" s="95"/>
      <c r="H1776" s="95"/>
      <c r="I1776" s="95"/>
      <c r="J1776" s="95"/>
      <c r="K1776" s="95"/>
      <c r="L1776" s="95"/>
      <c r="M1776" s="95"/>
      <c r="N1776" s="95"/>
      <c r="O1776" s="95"/>
      <c r="P1776" s="95"/>
      <c r="Q1776" s="95"/>
      <c r="R1776" s="95"/>
      <c r="T1776" s="81"/>
      <c r="U1776" s="95"/>
      <c r="V1776" s="95"/>
      <c r="W1776" s="95"/>
    </row>
    <row r="1777" spans="5:23" ht="10.15" customHeight="1">
      <c r="E1777" s="95"/>
      <c r="F1777" s="95"/>
      <c r="G1777" s="95"/>
      <c r="H1777" s="95"/>
      <c r="I1777" s="95"/>
      <c r="J1777" s="95"/>
      <c r="K1777" s="95"/>
      <c r="L1777" s="95"/>
      <c r="M1777" s="95"/>
      <c r="N1777" s="95"/>
      <c r="O1777" s="95"/>
      <c r="P1777" s="95"/>
      <c r="Q1777" s="95"/>
      <c r="R1777" s="95"/>
      <c r="T1777" s="81"/>
      <c r="U1777" s="95"/>
      <c r="V1777" s="95"/>
      <c r="W1777" s="95"/>
    </row>
    <row r="1778" spans="5:23" ht="10.15" customHeight="1">
      <c r="E1778" s="95"/>
      <c r="F1778" s="95"/>
      <c r="G1778" s="95"/>
      <c r="H1778" s="95"/>
      <c r="I1778" s="95"/>
      <c r="J1778" s="95"/>
      <c r="K1778" s="95"/>
      <c r="L1778" s="95"/>
      <c r="M1778" s="95"/>
      <c r="N1778" s="95"/>
      <c r="O1778" s="95"/>
      <c r="P1778" s="95"/>
      <c r="Q1778" s="95"/>
      <c r="R1778" s="95"/>
      <c r="T1778" s="81"/>
      <c r="U1778" s="95"/>
      <c r="V1778" s="95"/>
      <c r="W1778" s="95"/>
    </row>
    <row r="1779" spans="5:23" ht="10.15" customHeight="1">
      <c r="E1779" s="95"/>
      <c r="F1779" s="95"/>
      <c r="G1779" s="95"/>
      <c r="H1779" s="95"/>
      <c r="I1779" s="95"/>
      <c r="J1779" s="95"/>
      <c r="K1779" s="95"/>
      <c r="L1779" s="95"/>
      <c r="M1779" s="95"/>
      <c r="N1779" s="95"/>
      <c r="O1779" s="95"/>
      <c r="P1779" s="95"/>
      <c r="Q1779" s="95"/>
      <c r="R1779" s="95"/>
      <c r="T1779" s="81"/>
      <c r="U1779" s="95"/>
      <c r="V1779" s="95"/>
      <c r="W1779" s="95"/>
    </row>
    <row r="1780" spans="5:23" ht="10.15" customHeight="1">
      <c r="E1780" s="95"/>
      <c r="F1780" s="95"/>
      <c r="G1780" s="95"/>
      <c r="H1780" s="95"/>
      <c r="I1780" s="95"/>
      <c r="J1780" s="95"/>
      <c r="K1780" s="95"/>
      <c r="L1780" s="95"/>
      <c r="M1780" s="95"/>
      <c r="N1780" s="95"/>
      <c r="O1780" s="95"/>
      <c r="P1780" s="95"/>
      <c r="Q1780" s="95"/>
      <c r="R1780" s="95"/>
      <c r="T1780" s="81"/>
      <c r="U1780" s="95"/>
      <c r="V1780" s="95"/>
      <c r="W1780" s="95"/>
    </row>
    <row r="1781" spans="5:23" ht="10.15" customHeight="1">
      <c r="E1781" s="95"/>
      <c r="F1781" s="95"/>
      <c r="G1781" s="95"/>
      <c r="H1781" s="95"/>
      <c r="I1781" s="95"/>
      <c r="J1781" s="95"/>
      <c r="K1781" s="95"/>
      <c r="L1781" s="95"/>
      <c r="M1781" s="95"/>
      <c r="N1781" s="95"/>
      <c r="O1781" s="95"/>
      <c r="P1781" s="95"/>
      <c r="Q1781" s="95"/>
      <c r="R1781" s="95"/>
      <c r="T1781" s="81"/>
      <c r="U1781" s="95"/>
      <c r="V1781" s="95"/>
      <c r="W1781" s="95"/>
    </row>
    <row r="1782" spans="5:23" ht="10.15" customHeight="1">
      <c r="E1782" s="95"/>
      <c r="F1782" s="95"/>
      <c r="G1782" s="95"/>
      <c r="H1782" s="95"/>
      <c r="I1782" s="95"/>
      <c r="J1782" s="95"/>
      <c r="K1782" s="95"/>
      <c r="L1782" s="95"/>
      <c r="M1782" s="95"/>
      <c r="N1782" s="95"/>
      <c r="O1782" s="95"/>
      <c r="P1782" s="95"/>
      <c r="Q1782" s="95"/>
      <c r="R1782" s="95"/>
      <c r="T1782" s="81"/>
      <c r="U1782" s="95"/>
      <c r="V1782" s="95"/>
      <c r="W1782" s="95"/>
    </row>
    <row r="1783" spans="5:23" ht="10.15" customHeight="1">
      <c r="E1783" s="95"/>
      <c r="F1783" s="95"/>
      <c r="G1783" s="95"/>
      <c r="H1783" s="95"/>
      <c r="I1783" s="95"/>
      <c r="J1783" s="95"/>
      <c r="K1783" s="95"/>
      <c r="L1783" s="95"/>
      <c r="M1783" s="95"/>
      <c r="N1783" s="95"/>
      <c r="O1783" s="95"/>
      <c r="P1783" s="95"/>
      <c r="Q1783" s="95"/>
      <c r="R1783" s="95"/>
      <c r="T1783" s="81"/>
      <c r="U1783" s="95"/>
      <c r="V1783" s="95"/>
      <c r="W1783" s="95"/>
    </row>
    <row r="1784" spans="5:23" ht="10.15" customHeight="1">
      <c r="E1784" s="95"/>
      <c r="F1784" s="95"/>
      <c r="G1784" s="95"/>
      <c r="H1784" s="95"/>
      <c r="I1784" s="95"/>
      <c r="J1784" s="95"/>
      <c r="K1784" s="95"/>
      <c r="L1784" s="95"/>
      <c r="M1784" s="95"/>
      <c r="N1784" s="95"/>
      <c r="O1784" s="95"/>
      <c r="P1784" s="95"/>
      <c r="Q1784" s="95"/>
      <c r="R1784" s="95"/>
      <c r="T1784" s="81"/>
      <c r="U1784" s="95"/>
      <c r="V1784" s="95"/>
      <c r="W1784" s="95"/>
    </row>
    <row r="1785" spans="5:23" ht="10.15" customHeight="1">
      <c r="E1785" s="95"/>
      <c r="F1785" s="95"/>
      <c r="G1785" s="95"/>
      <c r="H1785" s="95"/>
      <c r="I1785" s="95"/>
      <c r="J1785" s="95"/>
      <c r="K1785" s="95"/>
      <c r="L1785" s="95"/>
      <c r="M1785" s="95"/>
      <c r="N1785" s="95"/>
      <c r="O1785" s="95"/>
      <c r="P1785" s="95"/>
      <c r="Q1785" s="95"/>
      <c r="R1785" s="95"/>
      <c r="T1785" s="81"/>
      <c r="U1785" s="95"/>
      <c r="V1785" s="95"/>
      <c r="W1785" s="95"/>
    </row>
    <row r="1786" spans="5:23" ht="10.15" customHeight="1">
      <c r="E1786" s="95"/>
      <c r="F1786" s="95"/>
      <c r="G1786" s="95"/>
      <c r="H1786" s="95"/>
      <c r="I1786" s="95"/>
      <c r="J1786" s="95"/>
      <c r="K1786" s="95"/>
      <c r="L1786" s="95"/>
      <c r="M1786" s="95"/>
      <c r="N1786" s="95"/>
      <c r="O1786" s="95"/>
      <c r="P1786" s="95"/>
      <c r="Q1786" s="95"/>
      <c r="R1786" s="95"/>
      <c r="T1786" s="81"/>
      <c r="U1786" s="95"/>
      <c r="V1786" s="95"/>
      <c r="W1786" s="95"/>
    </row>
    <row r="1787" spans="5:23" ht="10.15" customHeight="1">
      <c r="E1787" s="95"/>
      <c r="F1787" s="95"/>
      <c r="G1787" s="95"/>
      <c r="H1787" s="95"/>
      <c r="I1787" s="95"/>
      <c r="J1787" s="95"/>
      <c r="K1787" s="95"/>
      <c r="L1787" s="95"/>
      <c r="M1787" s="95"/>
      <c r="N1787" s="95"/>
      <c r="O1787" s="95"/>
      <c r="P1787" s="95"/>
      <c r="Q1787" s="95"/>
      <c r="R1787" s="95"/>
      <c r="T1787" s="81"/>
      <c r="U1787" s="95"/>
      <c r="V1787" s="95"/>
      <c r="W1787" s="95"/>
    </row>
    <row r="1788" spans="5:23" ht="10.15" customHeight="1">
      <c r="E1788" s="95"/>
      <c r="F1788" s="95"/>
      <c r="G1788" s="95"/>
      <c r="H1788" s="95"/>
      <c r="I1788" s="95"/>
      <c r="J1788" s="95"/>
      <c r="K1788" s="95"/>
      <c r="L1788" s="95"/>
      <c r="M1788" s="95"/>
      <c r="N1788" s="95"/>
      <c r="O1788" s="95"/>
      <c r="P1788" s="95"/>
      <c r="Q1788" s="95"/>
      <c r="R1788" s="95"/>
      <c r="T1788" s="81"/>
      <c r="U1788" s="95"/>
      <c r="V1788" s="95"/>
      <c r="W1788" s="95"/>
    </row>
    <row r="1789" spans="5:23" ht="10.15" customHeight="1">
      <c r="E1789" s="95"/>
      <c r="F1789" s="95"/>
      <c r="G1789" s="95"/>
      <c r="H1789" s="95"/>
      <c r="I1789" s="95"/>
      <c r="J1789" s="95"/>
      <c r="K1789" s="95"/>
      <c r="L1789" s="95"/>
      <c r="M1789" s="95"/>
      <c r="N1789" s="95"/>
      <c r="O1789" s="95"/>
      <c r="P1789" s="95"/>
      <c r="Q1789" s="95"/>
      <c r="R1789" s="95"/>
      <c r="T1789" s="81"/>
      <c r="U1789" s="95"/>
      <c r="V1789" s="95"/>
      <c r="W1789" s="95"/>
    </row>
    <row r="1790" spans="5:23" ht="10.15" customHeight="1">
      <c r="E1790" s="95"/>
      <c r="F1790" s="95"/>
      <c r="G1790" s="95"/>
      <c r="H1790" s="95"/>
      <c r="I1790" s="95"/>
      <c r="J1790" s="95"/>
      <c r="K1790" s="95"/>
      <c r="L1790" s="95"/>
      <c r="M1790" s="95"/>
      <c r="N1790" s="95"/>
      <c r="O1790" s="95"/>
      <c r="P1790" s="95"/>
      <c r="Q1790" s="95"/>
      <c r="R1790" s="95"/>
      <c r="T1790" s="81"/>
      <c r="U1790" s="95"/>
      <c r="V1790" s="95"/>
      <c r="W1790" s="95"/>
    </row>
    <row r="1791" spans="5:23" ht="10.15" customHeight="1">
      <c r="E1791" s="95"/>
      <c r="F1791" s="95"/>
      <c r="G1791" s="95"/>
      <c r="H1791" s="95"/>
      <c r="I1791" s="95"/>
      <c r="J1791" s="95"/>
      <c r="K1791" s="95"/>
      <c r="L1791" s="95"/>
      <c r="M1791" s="95"/>
      <c r="N1791" s="95"/>
      <c r="O1791" s="95"/>
      <c r="P1791" s="95"/>
      <c r="Q1791" s="95"/>
      <c r="R1791" s="95"/>
      <c r="T1791" s="81"/>
      <c r="U1791" s="95"/>
      <c r="V1791" s="95"/>
      <c r="W1791" s="95"/>
    </row>
    <row r="1792" spans="5:23" ht="10.15" customHeight="1">
      <c r="E1792" s="95"/>
      <c r="F1792" s="95"/>
      <c r="G1792" s="95"/>
      <c r="H1792" s="95"/>
      <c r="I1792" s="95"/>
      <c r="J1792" s="95"/>
      <c r="K1792" s="95"/>
      <c r="L1792" s="95"/>
      <c r="M1792" s="95"/>
      <c r="N1792" s="95"/>
      <c r="O1792" s="95"/>
      <c r="P1792" s="95"/>
      <c r="Q1792" s="95"/>
      <c r="R1792" s="95"/>
      <c r="T1792" s="81"/>
      <c r="U1792" s="95"/>
      <c r="V1792" s="95"/>
      <c r="W1792" s="95"/>
    </row>
    <row r="1793" spans="5:23" ht="10.15" customHeight="1">
      <c r="E1793" s="95"/>
      <c r="F1793" s="95"/>
      <c r="G1793" s="95"/>
      <c r="H1793" s="95"/>
      <c r="I1793" s="95"/>
      <c r="J1793" s="95"/>
      <c r="K1793" s="95"/>
      <c r="L1793" s="95"/>
      <c r="M1793" s="95"/>
      <c r="N1793" s="95"/>
      <c r="O1793" s="95"/>
      <c r="P1793" s="95"/>
      <c r="Q1793" s="95"/>
      <c r="R1793" s="95"/>
      <c r="T1793" s="81"/>
      <c r="U1793" s="95"/>
      <c r="V1793" s="95"/>
      <c r="W1793" s="95"/>
    </row>
    <row r="1794" spans="5:23" ht="10.15" customHeight="1">
      <c r="E1794" s="95"/>
      <c r="F1794" s="95"/>
      <c r="G1794" s="95"/>
      <c r="H1794" s="95"/>
      <c r="I1794" s="95"/>
      <c r="J1794" s="95"/>
      <c r="K1794" s="95"/>
      <c r="L1794" s="95"/>
      <c r="M1794" s="95"/>
      <c r="N1794" s="95"/>
      <c r="O1794" s="95"/>
      <c r="P1794" s="95"/>
      <c r="Q1794" s="95"/>
      <c r="R1794" s="95"/>
      <c r="T1794" s="81"/>
      <c r="U1794" s="95"/>
      <c r="V1794" s="95"/>
      <c r="W1794" s="95"/>
    </row>
    <row r="1795" spans="5:23" ht="10.15" customHeight="1">
      <c r="E1795" s="95"/>
      <c r="F1795" s="95"/>
      <c r="G1795" s="95"/>
      <c r="H1795" s="95"/>
      <c r="I1795" s="95"/>
      <c r="J1795" s="95"/>
      <c r="K1795" s="95"/>
      <c r="L1795" s="95"/>
      <c r="M1795" s="95"/>
      <c r="N1795" s="95"/>
      <c r="O1795" s="95"/>
      <c r="P1795" s="95"/>
      <c r="Q1795" s="95"/>
      <c r="R1795" s="95"/>
      <c r="T1795" s="81"/>
      <c r="U1795" s="95"/>
      <c r="V1795" s="95"/>
      <c r="W1795" s="95"/>
    </row>
    <row r="1796" spans="5:23" ht="10.15" customHeight="1">
      <c r="E1796" s="95"/>
      <c r="F1796" s="95"/>
      <c r="G1796" s="95"/>
      <c r="H1796" s="95"/>
      <c r="I1796" s="95"/>
      <c r="J1796" s="95"/>
      <c r="K1796" s="95"/>
      <c r="L1796" s="95"/>
      <c r="M1796" s="95"/>
      <c r="N1796" s="95"/>
      <c r="O1796" s="95"/>
      <c r="P1796" s="95"/>
      <c r="Q1796" s="95"/>
      <c r="R1796" s="95"/>
      <c r="T1796" s="81"/>
      <c r="U1796" s="95"/>
      <c r="V1796" s="95"/>
      <c r="W1796" s="95"/>
    </row>
    <row r="1797" spans="5:23" ht="10.15" customHeight="1">
      <c r="E1797" s="95"/>
      <c r="F1797" s="95"/>
      <c r="G1797" s="95"/>
      <c r="H1797" s="95"/>
      <c r="I1797" s="95"/>
      <c r="J1797" s="95"/>
      <c r="K1797" s="95"/>
      <c r="L1797" s="95"/>
      <c r="M1797" s="95"/>
      <c r="N1797" s="95"/>
      <c r="O1797" s="95"/>
      <c r="P1797" s="95"/>
      <c r="Q1797" s="95"/>
      <c r="R1797" s="95"/>
      <c r="T1797" s="81"/>
      <c r="U1797" s="95"/>
      <c r="V1797" s="95"/>
      <c r="W1797" s="95"/>
    </row>
    <row r="1798" spans="5:23" ht="10.15" customHeight="1">
      <c r="E1798" s="95"/>
      <c r="F1798" s="95"/>
      <c r="G1798" s="95"/>
      <c r="H1798" s="95"/>
      <c r="I1798" s="95"/>
      <c r="J1798" s="95"/>
      <c r="K1798" s="95"/>
      <c r="L1798" s="95"/>
      <c r="M1798" s="95"/>
      <c r="N1798" s="95"/>
      <c r="O1798" s="95"/>
      <c r="P1798" s="95"/>
      <c r="Q1798" s="95"/>
      <c r="R1798" s="95"/>
      <c r="T1798" s="81"/>
      <c r="U1798" s="95"/>
      <c r="V1798" s="95"/>
      <c r="W1798" s="95"/>
    </row>
    <row r="1799" spans="5:23" ht="10.15" customHeight="1">
      <c r="E1799" s="95"/>
      <c r="F1799" s="95"/>
      <c r="G1799" s="95"/>
      <c r="H1799" s="95"/>
      <c r="I1799" s="95"/>
      <c r="J1799" s="95"/>
      <c r="K1799" s="95"/>
      <c r="L1799" s="95"/>
      <c r="M1799" s="95"/>
      <c r="N1799" s="95"/>
      <c r="O1799" s="95"/>
      <c r="P1799" s="95"/>
      <c r="Q1799" s="95"/>
      <c r="R1799" s="95"/>
      <c r="T1799" s="81"/>
      <c r="U1799" s="95"/>
      <c r="V1799" s="95"/>
      <c r="W1799" s="95"/>
    </row>
    <row r="1800" spans="5:23" ht="10.15" customHeight="1">
      <c r="E1800" s="95"/>
      <c r="F1800" s="95"/>
      <c r="G1800" s="95"/>
      <c r="H1800" s="95"/>
      <c r="I1800" s="95"/>
      <c r="J1800" s="95"/>
      <c r="K1800" s="95"/>
      <c r="L1800" s="95"/>
      <c r="M1800" s="95"/>
      <c r="N1800" s="95"/>
      <c r="O1800" s="95"/>
      <c r="P1800" s="95"/>
      <c r="Q1800" s="95"/>
      <c r="R1800" s="95"/>
      <c r="T1800" s="81"/>
      <c r="U1800" s="95"/>
      <c r="V1800" s="95"/>
      <c r="W1800" s="95"/>
    </row>
    <row r="1801" spans="5:23" ht="10.15" customHeight="1">
      <c r="E1801" s="95"/>
      <c r="F1801" s="95"/>
      <c r="G1801" s="95"/>
      <c r="H1801" s="95"/>
      <c r="I1801" s="95"/>
      <c r="J1801" s="95"/>
      <c r="K1801" s="95"/>
      <c r="L1801" s="95"/>
      <c r="M1801" s="95"/>
      <c r="N1801" s="95"/>
      <c r="O1801" s="95"/>
      <c r="P1801" s="95"/>
      <c r="Q1801" s="95"/>
      <c r="R1801" s="95"/>
      <c r="T1801" s="81"/>
      <c r="U1801" s="95"/>
      <c r="V1801" s="95"/>
      <c r="W1801" s="95"/>
    </row>
    <row r="1802" spans="5:23" ht="10.15" customHeight="1">
      <c r="E1802" s="95"/>
      <c r="F1802" s="95"/>
      <c r="G1802" s="95"/>
      <c r="H1802" s="95"/>
      <c r="I1802" s="95"/>
      <c r="J1802" s="95"/>
      <c r="K1802" s="95"/>
      <c r="L1802" s="95"/>
      <c r="M1802" s="95"/>
      <c r="N1802" s="95"/>
      <c r="O1802" s="95"/>
      <c r="P1802" s="95"/>
      <c r="Q1802" s="95"/>
      <c r="R1802" s="95"/>
      <c r="T1802" s="81"/>
      <c r="U1802" s="95"/>
      <c r="V1802" s="95"/>
      <c r="W1802" s="95"/>
    </row>
    <row r="1803" spans="5:23" ht="10.15" customHeight="1">
      <c r="E1803" s="95"/>
      <c r="F1803" s="95"/>
      <c r="G1803" s="95"/>
      <c r="H1803" s="95"/>
      <c r="I1803" s="95"/>
      <c r="J1803" s="95"/>
      <c r="K1803" s="95"/>
      <c r="L1803" s="95"/>
      <c r="M1803" s="95"/>
      <c r="N1803" s="95"/>
      <c r="O1803" s="95"/>
      <c r="P1803" s="95"/>
      <c r="Q1803" s="95"/>
      <c r="R1803" s="95"/>
      <c r="T1803" s="81"/>
      <c r="U1803" s="95"/>
      <c r="V1803" s="95"/>
      <c r="W1803" s="95"/>
    </row>
    <row r="1804" spans="5:23" ht="10.15" customHeight="1">
      <c r="E1804" s="95"/>
      <c r="F1804" s="95"/>
      <c r="G1804" s="95"/>
      <c r="H1804" s="95"/>
      <c r="I1804" s="95"/>
      <c r="J1804" s="95"/>
      <c r="K1804" s="95"/>
      <c r="L1804" s="95"/>
      <c r="M1804" s="95"/>
      <c r="N1804" s="95"/>
      <c r="O1804" s="95"/>
      <c r="P1804" s="95"/>
      <c r="Q1804" s="95"/>
      <c r="R1804" s="95"/>
      <c r="T1804" s="81"/>
      <c r="U1804" s="95"/>
      <c r="V1804" s="95"/>
      <c r="W1804" s="95"/>
    </row>
    <row r="1805" spans="5:23" ht="10.15" customHeight="1">
      <c r="E1805" s="95"/>
      <c r="F1805" s="95"/>
      <c r="G1805" s="95"/>
      <c r="H1805" s="95"/>
      <c r="I1805" s="95"/>
      <c r="J1805" s="95"/>
      <c r="K1805" s="95"/>
      <c r="L1805" s="95"/>
      <c r="M1805" s="95"/>
      <c r="N1805" s="95"/>
      <c r="O1805" s="95"/>
      <c r="P1805" s="95"/>
      <c r="Q1805" s="95"/>
      <c r="R1805" s="95"/>
      <c r="T1805" s="81"/>
      <c r="U1805" s="95"/>
      <c r="V1805" s="95"/>
      <c r="W1805" s="95"/>
    </row>
    <row r="1806" spans="5:23" ht="10.15" customHeight="1">
      <c r="E1806" s="95"/>
      <c r="F1806" s="95"/>
      <c r="G1806" s="95"/>
      <c r="H1806" s="95"/>
      <c r="I1806" s="95"/>
      <c r="J1806" s="95"/>
      <c r="K1806" s="95"/>
      <c r="L1806" s="95"/>
      <c r="M1806" s="95"/>
      <c r="N1806" s="95"/>
      <c r="O1806" s="95"/>
      <c r="P1806" s="95"/>
      <c r="Q1806" s="95"/>
      <c r="R1806" s="95"/>
      <c r="T1806" s="81"/>
      <c r="U1806" s="95"/>
      <c r="V1806" s="95"/>
      <c r="W1806" s="95"/>
    </row>
    <row r="1807" spans="5:23" ht="10.15" customHeight="1">
      <c r="E1807" s="95"/>
      <c r="F1807" s="95"/>
      <c r="G1807" s="95"/>
      <c r="H1807" s="95"/>
      <c r="I1807" s="95"/>
      <c r="J1807" s="95"/>
      <c r="K1807" s="95"/>
      <c r="L1807" s="95"/>
      <c r="M1807" s="95"/>
      <c r="N1807" s="95"/>
      <c r="O1807" s="95"/>
      <c r="P1807" s="95"/>
      <c r="Q1807" s="95"/>
      <c r="R1807" s="95"/>
      <c r="T1807" s="81"/>
      <c r="U1807" s="95"/>
      <c r="V1807" s="95"/>
      <c r="W1807" s="95"/>
    </row>
    <row r="1808" spans="5:23" ht="10.15" customHeight="1">
      <c r="E1808" s="95"/>
      <c r="F1808" s="95"/>
      <c r="G1808" s="95"/>
      <c r="H1808" s="95"/>
      <c r="I1808" s="95"/>
      <c r="J1808" s="95"/>
      <c r="K1808" s="95"/>
      <c r="L1808" s="95"/>
      <c r="M1808" s="95"/>
      <c r="N1808" s="95"/>
      <c r="O1808" s="95"/>
      <c r="P1808" s="95"/>
      <c r="Q1808" s="95"/>
      <c r="R1808" s="95"/>
      <c r="T1808" s="81"/>
      <c r="U1808" s="95"/>
      <c r="V1808" s="95"/>
      <c r="W1808" s="95"/>
    </row>
    <row r="1809" spans="5:23" ht="10.15" customHeight="1">
      <c r="E1809" s="95"/>
      <c r="F1809" s="95"/>
      <c r="G1809" s="95"/>
      <c r="H1809" s="95"/>
      <c r="I1809" s="95"/>
      <c r="J1809" s="95"/>
      <c r="K1809" s="95"/>
      <c r="L1809" s="95"/>
      <c r="M1809" s="95"/>
      <c r="N1809" s="95"/>
      <c r="O1809" s="95"/>
      <c r="P1809" s="95"/>
      <c r="Q1809" s="95"/>
      <c r="R1809" s="95"/>
      <c r="T1809" s="81"/>
      <c r="U1809" s="95"/>
      <c r="V1809" s="95"/>
      <c r="W1809" s="95"/>
    </row>
    <row r="1810" spans="5:23" ht="10.15" customHeight="1">
      <c r="E1810" s="95"/>
      <c r="F1810" s="95"/>
      <c r="G1810" s="95"/>
      <c r="H1810" s="95"/>
      <c r="I1810" s="95"/>
      <c r="J1810" s="95"/>
      <c r="K1810" s="95"/>
      <c r="L1810" s="95"/>
      <c r="M1810" s="95"/>
      <c r="N1810" s="95"/>
      <c r="O1810" s="95"/>
      <c r="P1810" s="95"/>
      <c r="Q1810" s="95"/>
      <c r="R1810" s="95"/>
      <c r="T1810" s="81"/>
      <c r="U1810" s="95"/>
      <c r="V1810" s="95"/>
      <c r="W1810" s="95"/>
    </row>
    <row r="1811" spans="5:23" ht="10.15" customHeight="1">
      <c r="E1811" s="95"/>
      <c r="F1811" s="95"/>
      <c r="G1811" s="95"/>
      <c r="H1811" s="95"/>
      <c r="I1811" s="95"/>
      <c r="J1811" s="95"/>
      <c r="K1811" s="95"/>
      <c r="L1811" s="95"/>
      <c r="M1811" s="95"/>
      <c r="N1811" s="95"/>
      <c r="O1811" s="95"/>
      <c r="P1811" s="95"/>
      <c r="Q1811" s="95"/>
      <c r="R1811" s="95"/>
      <c r="T1811" s="81"/>
      <c r="U1811" s="95"/>
      <c r="V1811" s="95"/>
      <c r="W1811" s="95"/>
    </row>
    <row r="1812" spans="5:23" ht="10.15" customHeight="1">
      <c r="E1812" s="95"/>
      <c r="F1812" s="95"/>
      <c r="G1812" s="95"/>
      <c r="H1812" s="95"/>
      <c r="I1812" s="95"/>
      <c r="J1812" s="95"/>
      <c r="K1812" s="95"/>
      <c r="L1812" s="95"/>
      <c r="M1812" s="95"/>
      <c r="N1812" s="95"/>
      <c r="O1812" s="95"/>
      <c r="P1812" s="95"/>
      <c r="Q1812" s="95"/>
      <c r="R1812" s="95"/>
      <c r="T1812" s="81"/>
      <c r="U1812" s="95"/>
      <c r="V1812" s="95"/>
      <c r="W1812" s="95"/>
    </row>
    <row r="1813" spans="5:23" ht="10.15" customHeight="1">
      <c r="E1813" s="95"/>
      <c r="F1813" s="95"/>
      <c r="G1813" s="95"/>
      <c r="H1813" s="95"/>
      <c r="I1813" s="95"/>
      <c r="J1813" s="95"/>
      <c r="K1813" s="95"/>
      <c r="L1813" s="95"/>
      <c r="M1813" s="95"/>
      <c r="N1813" s="95"/>
      <c r="O1813" s="95"/>
      <c r="P1813" s="95"/>
      <c r="Q1813" s="95"/>
      <c r="R1813" s="95"/>
      <c r="T1813" s="81"/>
      <c r="U1813" s="95"/>
      <c r="V1813" s="95"/>
      <c r="W1813" s="95"/>
    </row>
    <row r="1814" spans="5:23" ht="10.15" customHeight="1">
      <c r="E1814" s="95"/>
      <c r="F1814" s="95"/>
      <c r="G1814" s="95"/>
      <c r="H1814" s="95"/>
      <c r="I1814" s="95"/>
      <c r="J1814" s="95"/>
      <c r="K1814" s="95"/>
      <c r="L1814" s="95"/>
      <c r="M1814" s="95"/>
      <c r="N1814" s="95"/>
      <c r="O1814" s="95"/>
      <c r="P1814" s="95"/>
      <c r="Q1814" s="95"/>
      <c r="R1814" s="95"/>
      <c r="T1814" s="81"/>
      <c r="U1814" s="95"/>
      <c r="V1814" s="95"/>
      <c r="W1814" s="95"/>
    </row>
    <row r="1815" spans="5:23" ht="10.15" customHeight="1">
      <c r="E1815" s="95"/>
      <c r="F1815" s="95"/>
      <c r="G1815" s="95"/>
      <c r="H1815" s="95"/>
      <c r="I1815" s="95"/>
      <c r="J1815" s="95"/>
      <c r="K1815" s="95"/>
      <c r="L1815" s="95"/>
      <c r="M1815" s="95"/>
      <c r="N1815" s="95"/>
      <c r="O1815" s="95"/>
      <c r="P1815" s="95"/>
      <c r="Q1815" s="95"/>
      <c r="R1815" s="95"/>
      <c r="T1815" s="81"/>
      <c r="U1815" s="95"/>
      <c r="V1815" s="95"/>
      <c r="W1815" s="95"/>
    </row>
    <row r="1816" spans="5:23" ht="10.15" customHeight="1">
      <c r="E1816" s="95"/>
      <c r="F1816" s="95"/>
      <c r="G1816" s="95"/>
      <c r="H1816" s="95"/>
      <c r="I1816" s="95"/>
      <c r="J1816" s="95"/>
      <c r="K1816" s="95"/>
      <c r="L1816" s="95"/>
      <c r="M1816" s="95"/>
      <c r="N1816" s="95"/>
      <c r="O1816" s="95"/>
      <c r="P1816" s="95"/>
      <c r="Q1816" s="95"/>
      <c r="R1816" s="95"/>
      <c r="T1816" s="81"/>
      <c r="U1816" s="95"/>
      <c r="V1816" s="95"/>
      <c r="W1816" s="95"/>
    </row>
    <row r="1817" spans="5:23" ht="10.15" customHeight="1">
      <c r="E1817" s="95"/>
      <c r="F1817" s="95"/>
      <c r="G1817" s="95"/>
      <c r="H1817" s="95"/>
      <c r="I1817" s="95"/>
      <c r="J1817" s="95"/>
      <c r="K1817" s="95"/>
      <c r="L1817" s="95"/>
      <c r="M1817" s="95"/>
      <c r="N1817" s="95"/>
      <c r="O1817" s="95"/>
      <c r="P1817" s="95"/>
      <c r="Q1817" s="95"/>
      <c r="R1817" s="95"/>
      <c r="T1817" s="81"/>
      <c r="U1817" s="95"/>
      <c r="V1817" s="95"/>
      <c r="W1817" s="95"/>
    </row>
    <row r="1818" spans="5:23" ht="10.15" customHeight="1">
      <c r="E1818" s="95"/>
      <c r="F1818" s="95"/>
      <c r="G1818" s="95"/>
      <c r="H1818" s="95"/>
      <c r="I1818" s="95"/>
      <c r="J1818" s="95"/>
      <c r="K1818" s="95"/>
      <c r="L1818" s="95"/>
      <c r="M1818" s="95"/>
      <c r="N1818" s="95"/>
      <c r="O1818" s="95"/>
      <c r="P1818" s="95"/>
      <c r="Q1818" s="95"/>
      <c r="R1818" s="95"/>
      <c r="T1818" s="81"/>
      <c r="U1818" s="95"/>
      <c r="V1818" s="95"/>
      <c r="W1818" s="95"/>
    </row>
    <row r="1819" spans="5:23" ht="10.15" customHeight="1">
      <c r="E1819" s="95"/>
      <c r="F1819" s="95"/>
      <c r="G1819" s="95"/>
      <c r="H1819" s="95"/>
      <c r="I1819" s="95"/>
      <c r="J1819" s="95"/>
      <c r="K1819" s="95"/>
      <c r="L1819" s="95"/>
      <c r="M1819" s="95"/>
      <c r="N1819" s="95"/>
      <c r="O1819" s="95"/>
      <c r="P1819" s="95"/>
      <c r="Q1819" s="95"/>
      <c r="R1819" s="95"/>
      <c r="T1819" s="81"/>
      <c r="U1819" s="95"/>
      <c r="V1819" s="95"/>
      <c r="W1819" s="95"/>
    </row>
    <row r="1820" spans="5:23" ht="10.15" customHeight="1">
      <c r="E1820" s="95"/>
      <c r="F1820" s="95"/>
      <c r="G1820" s="95"/>
      <c r="H1820" s="95"/>
      <c r="I1820" s="95"/>
      <c r="J1820" s="95"/>
      <c r="K1820" s="95"/>
      <c r="L1820" s="95"/>
      <c r="M1820" s="95"/>
      <c r="N1820" s="95"/>
      <c r="O1820" s="95"/>
      <c r="P1820" s="95"/>
      <c r="Q1820" s="95"/>
      <c r="R1820" s="95"/>
      <c r="T1820" s="81"/>
      <c r="U1820" s="95"/>
      <c r="V1820" s="95"/>
      <c r="W1820" s="95"/>
    </row>
    <row r="1821" spans="5:23" ht="10.15" customHeight="1">
      <c r="E1821" s="95"/>
      <c r="F1821" s="95"/>
      <c r="G1821" s="95"/>
      <c r="H1821" s="95"/>
      <c r="I1821" s="95"/>
      <c r="J1821" s="95"/>
      <c r="K1821" s="95"/>
      <c r="L1821" s="95"/>
      <c r="M1821" s="95"/>
      <c r="N1821" s="95"/>
      <c r="O1821" s="95"/>
      <c r="P1821" s="95"/>
      <c r="Q1821" s="95"/>
      <c r="R1821" s="95"/>
      <c r="T1821" s="81"/>
      <c r="U1821" s="95"/>
      <c r="V1821" s="95"/>
      <c r="W1821" s="95"/>
    </row>
    <row r="1822" spans="5:23" ht="10.15" customHeight="1">
      <c r="E1822" s="95"/>
      <c r="F1822" s="95"/>
      <c r="G1822" s="95"/>
      <c r="H1822" s="95"/>
      <c r="I1822" s="95"/>
      <c r="J1822" s="95"/>
      <c r="K1822" s="95"/>
      <c r="L1822" s="95"/>
      <c r="M1822" s="95"/>
      <c r="N1822" s="95"/>
      <c r="O1822" s="95"/>
      <c r="P1822" s="95"/>
      <c r="Q1822" s="95"/>
      <c r="R1822" s="95"/>
      <c r="T1822" s="81"/>
      <c r="U1822" s="95"/>
      <c r="V1822" s="95"/>
      <c r="W1822" s="95"/>
    </row>
    <row r="1823" spans="5:23" ht="10.15" customHeight="1">
      <c r="E1823" s="95"/>
      <c r="F1823" s="95"/>
      <c r="G1823" s="95"/>
      <c r="H1823" s="95"/>
      <c r="I1823" s="95"/>
      <c r="J1823" s="95"/>
      <c r="K1823" s="95"/>
      <c r="L1823" s="95"/>
      <c r="M1823" s="95"/>
      <c r="N1823" s="95"/>
      <c r="O1823" s="95"/>
      <c r="P1823" s="95"/>
      <c r="Q1823" s="95"/>
      <c r="R1823" s="95"/>
      <c r="T1823" s="81"/>
      <c r="U1823" s="95"/>
      <c r="V1823" s="95"/>
      <c r="W1823" s="95"/>
    </row>
    <row r="1824" spans="5:23" ht="10.15" customHeight="1">
      <c r="E1824" s="95"/>
      <c r="F1824" s="95"/>
      <c r="G1824" s="95"/>
      <c r="H1824" s="95"/>
      <c r="I1824" s="95"/>
      <c r="J1824" s="95"/>
      <c r="K1824" s="95"/>
      <c r="L1824" s="95"/>
      <c r="M1824" s="95"/>
      <c r="N1824" s="95"/>
      <c r="O1824" s="95"/>
      <c r="P1824" s="95"/>
      <c r="Q1824" s="95"/>
      <c r="R1824" s="95"/>
      <c r="T1824" s="81"/>
      <c r="U1824" s="95"/>
      <c r="V1824" s="95"/>
      <c r="W1824" s="95"/>
    </row>
    <row r="1825" spans="5:23" ht="10.15" customHeight="1">
      <c r="E1825" s="95"/>
      <c r="F1825" s="95"/>
      <c r="G1825" s="95"/>
      <c r="H1825" s="95"/>
      <c r="I1825" s="95"/>
      <c r="J1825" s="95"/>
      <c r="K1825" s="95"/>
      <c r="L1825" s="95"/>
      <c r="M1825" s="95"/>
      <c r="N1825" s="95"/>
      <c r="O1825" s="95"/>
      <c r="P1825" s="95"/>
      <c r="Q1825" s="95"/>
      <c r="R1825" s="95"/>
      <c r="T1825" s="81"/>
      <c r="U1825" s="95"/>
      <c r="V1825" s="95"/>
      <c r="W1825" s="95"/>
    </row>
    <row r="1826" spans="5:23" ht="10.15" customHeight="1">
      <c r="E1826" s="95"/>
      <c r="F1826" s="95"/>
      <c r="G1826" s="95"/>
      <c r="H1826" s="95"/>
      <c r="I1826" s="95"/>
      <c r="J1826" s="95"/>
      <c r="K1826" s="95"/>
      <c r="L1826" s="95"/>
      <c r="M1826" s="95"/>
      <c r="N1826" s="95"/>
      <c r="O1826" s="95"/>
      <c r="P1826" s="95"/>
      <c r="Q1826" s="95"/>
      <c r="R1826" s="95"/>
      <c r="T1826" s="81"/>
      <c r="U1826" s="95"/>
      <c r="V1826" s="95"/>
      <c r="W1826" s="95"/>
    </row>
    <row r="1827" spans="5:23" ht="10.15" customHeight="1">
      <c r="E1827" s="95"/>
      <c r="F1827" s="95"/>
      <c r="G1827" s="95"/>
      <c r="H1827" s="95"/>
      <c r="I1827" s="95"/>
      <c r="J1827" s="95"/>
      <c r="K1827" s="95"/>
      <c r="L1827" s="95"/>
      <c r="M1827" s="95"/>
      <c r="N1827" s="95"/>
      <c r="O1827" s="95"/>
      <c r="P1827" s="95"/>
      <c r="Q1827" s="95"/>
      <c r="R1827" s="95"/>
      <c r="T1827" s="81"/>
      <c r="U1827" s="95"/>
      <c r="V1827" s="95"/>
      <c r="W1827" s="95"/>
    </row>
    <row r="1828" spans="5:23" ht="10.15" customHeight="1">
      <c r="E1828" s="95"/>
      <c r="F1828" s="95"/>
      <c r="G1828" s="95"/>
      <c r="H1828" s="95"/>
      <c r="I1828" s="95"/>
      <c r="J1828" s="95"/>
      <c r="K1828" s="95"/>
      <c r="L1828" s="95"/>
      <c r="M1828" s="95"/>
      <c r="N1828" s="95"/>
      <c r="O1828" s="95"/>
      <c r="P1828" s="95"/>
      <c r="Q1828" s="95"/>
      <c r="R1828" s="95"/>
      <c r="T1828" s="81"/>
      <c r="U1828" s="95"/>
      <c r="V1828" s="95"/>
      <c r="W1828" s="95"/>
    </row>
    <row r="1829" spans="5:23" ht="10.15" customHeight="1">
      <c r="E1829" s="95"/>
      <c r="F1829" s="95"/>
      <c r="G1829" s="95"/>
      <c r="H1829" s="95"/>
      <c r="I1829" s="95"/>
      <c r="J1829" s="95"/>
      <c r="K1829" s="95"/>
      <c r="L1829" s="95"/>
      <c r="M1829" s="95"/>
      <c r="N1829" s="95"/>
      <c r="O1829" s="95"/>
      <c r="P1829" s="95"/>
      <c r="Q1829" s="95"/>
      <c r="R1829" s="95"/>
      <c r="T1829" s="81"/>
      <c r="U1829" s="95"/>
      <c r="V1829" s="95"/>
      <c r="W1829" s="95"/>
    </row>
    <row r="1830" spans="5:23" ht="10.15" customHeight="1">
      <c r="E1830" s="95"/>
      <c r="F1830" s="95"/>
      <c r="G1830" s="95"/>
      <c r="H1830" s="95"/>
      <c r="I1830" s="95"/>
      <c r="J1830" s="95"/>
      <c r="K1830" s="95"/>
      <c r="L1830" s="95"/>
      <c r="M1830" s="95"/>
      <c r="N1830" s="95"/>
      <c r="O1830" s="95"/>
      <c r="P1830" s="95"/>
      <c r="Q1830" s="95"/>
      <c r="R1830" s="95"/>
      <c r="T1830" s="81"/>
      <c r="U1830" s="95"/>
      <c r="V1830" s="95"/>
      <c r="W1830" s="95"/>
    </row>
    <row r="1831" spans="5:23" ht="10.15" customHeight="1">
      <c r="E1831" s="95"/>
      <c r="F1831" s="95"/>
      <c r="G1831" s="95"/>
      <c r="H1831" s="95"/>
      <c r="I1831" s="95"/>
      <c r="J1831" s="95"/>
      <c r="K1831" s="95"/>
      <c r="L1831" s="95"/>
      <c r="M1831" s="95"/>
      <c r="N1831" s="95"/>
      <c r="O1831" s="95"/>
      <c r="P1831" s="95"/>
      <c r="Q1831" s="95"/>
      <c r="R1831" s="95"/>
      <c r="T1831" s="81"/>
      <c r="U1831" s="95"/>
      <c r="V1831" s="95"/>
      <c r="W1831" s="95"/>
    </row>
    <row r="1832" spans="5:23" ht="10.15" customHeight="1">
      <c r="E1832" s="95"/>
      <c r="F1832" s="95"/>
      <c r="G1832" s="95"/>
      <c r="H1832" s="95"/>
      <c r="I1832" s="95"/>
      <c r="J1832" s="95"/>
      <c r="K1832" s="95"/>
      <c r="L1832" s="95"/>
      <c r="M1832" s="95"/>
      <c r="N1832" s="95"/>
      <c r="O1832" s="95"/>
      <c r="P1832" s="95"/>
      <c r="Q1832" s="95"/>
      <c r="R1832" s="95"/>
      <c r="T1832" s="81"/>
      <c r="U1832" s="95"/>
      <c r="V1832" s="95"/>
      <c r="W1832" s="95"/>
    </row>
    <row r="1833" spans="5:23" ht="10.15" customHeight="1">
      <c r="E1833" s="95"/>
      <c r="F1833" s="95"/>
      <c r="G1833" s="95"/>
      <c r="H1833" s="95"/>
      <c r="I1833" s="95"/>
      <c r="J1833" s="95"/>
      <c r="K1833" s="95"/>
      <c r="L1833" s="95"/>
      <c r="M1833" s="95"/>
      <c r="N1833" s="95"/>
      <c r="O1833" s="95"/>
      <c r="P1833" s="95"/>
      <c r="Q1833" s="95"/>
      <c r="R1833" s="95"/>
      <c r="T1833" s="81"/>
      <c r="U1833" s="95"/>
      <c r="V1833" s="95"/>
      <c r="W1833" s="95"/>
    </row>
    <row r="1834" spans="5:23" ht="10.15" customHeight="1">
      <c r="E1834" s="95"/>
      <c r="F1834" s="95"/>
      <c r="G1834" s="95"/>
      <c r="H1834" s="95"/>
      <c r="I1834" s="95"/>
      <c r="J1834" s="95"/>
      <c r="K1834" s="95"/>
      <c r="L1834" s="95"/>
      <c r="M1834" s="95"/>
      <c r="N1834" s="95"/>
      <c r="O1834" s="95"/>
      <c r="P1834" s="95"/>
      <c r="Q1834" s="95"/>
      <c r="R1834" s="95"/>
      <c r="T1834" s="81"/>
      <c r="U1834" s="95"/>
      <c r="V1834" s="95"/>
      <c r="W1834" s="95"/>
    </row>
    <row r="1835" spans="5:23" ht="10.15" customHeight="1">
      <c r="E1835" s="95"/>
      <c r="F1835" s="95"/>
      <c r="G1835" s="95"/>
      <c r="H1835" s="95"/>
      <c r="I1835" s="95"/>
      <c r="J1835" s="95"/>
      <c r="K1835" s="95"/>
      <c r="L1835" s="95"/>
      <c r="M1835" s="95"/>
      <c r="N1835" s="95"/>
      <c r="O1835" s="95"/>
      <c r="P1835" s="95"/>
      <c r="Q1835" s="95"/>
      <c r="R1835" s="95"/>
      <c r="T1835" s="81"/>
      <c r="U1835" s="95"/>
      <c r="V1835" s="95"/>
      <c r="W1835" s="95"/>
    </row>
    <row r="1836" spans="5:23" ht="10.15" customHeight="1">
      <c r="E1836" s="95"/>
      <c r="F1836" s="95"/>
      <c r="G1836" s="95"/>
      <c r="H1836" s="95"/>
      <c r="I1836" s="95"/>
      <c r="J1836" s="95"/>
      <c r="K1836" s="95"/>
      <c r="L1836" s="95"/>
      <c r="M1836" s="95"/>
      <c r="N1836" s="95"/>
      <c r="O1836" s="95"/>
      <c r="P1836" s="95"/>
      <c r="Q1836" s="95"/>
      <c r="R1836" s="95"/>
      <c r="T1836" s="81"/>
      <c r="U1836" s="95"/>
      <c r="V1836" s="95"/>
      <c r="W1836" s="95"/>
    </row>
    <row r="1837" spans="5:23" ht="10.15" customHeight="1">
      <c r="E1837" s="95"/>
      <c r="F1837" s="95"/>
      <c r="G1837" s="95"/>
      <c r="H1837" s="95"/>
      <c r="I1837" s="95"/>
      <c r="J1837" s="95"/>
      <c r="K1837" s="95"/>
      <c r="L1837" s="95"/>
      <c r="M1837" s="95"/>
      <c r="N1837" s="95"/>
      <c r="O1837" s="95"/>
      <c r="P1837" s="95"/>
      <c r="Q1837" s="95"/>
      <c r="R1837" s="95"/>
      <c r="T1837" s="81"/>
      <c r="U1837" s="95"/>
      <c r="V1837" s="95"/>
      <c r="W1837" s="95"/>
    </row>
    <row r="1838" spans="5:23" ht="10.15" customHeight="1">
      <c r="E1838" s="95"/>
      <c r="F1838" s="95"/>
      <c r="G1838" s="95"/>
      <c r="H1838" s="95"/>
      <c r="I1838" s="95"/>
      <c r="J1838" s="95"/>
      <c r="K1838" s="95"/>
      <c r="L1838" s="95"/>
      <c r="M1838" s="95"/>
      <c r="N1838" s="95"/>
      <c r="O1838" s="95"/>
      <c r="P1838" s="95"/>
      <c r="Q1838" s="95"/>
      <c r="R1838" s="95"/>
      <c r="T1838" s="81"/>
      <c r="U1838" s="95"/>
      <c r="V1838" s="95"/>
      <c r="W1838" s="95"/>
    </row>
    <row r="1839" spans="5:23" ht="10.15" customHeight="1">
      <c r="E1839" s="95"/>
      <c r="F1839" s="95"/>
      <c r="G1839" s="95"/>
      <c r="H1839" s="95"/>
      <c r="I1839" s="95"/>
      <c r="J1839" s="95"/>
      <c r="K1839" s="95"/>
      <c r="L1839" s="95"/>
      <c r="M1839" s="95"/>
      <c r="N1839" s="95"/>
      <c r="O1839" s="95"/>
      <c r="P1839" s="95"/>
      <c r="Q1839" s="95"/>
      <c r="R1839" s="95"/>
      <c r="T1839" s="81"/>
      <c r="U1839" s="95"/>
      <c r="V1839" s="95"/>
      <c r="W1839" s="95"/>
    </row>
    <row r="1840" spans="5:23" ht="10.15" customHeight="1">
      <c r="E1840" s="95"/>
      <c r="F1840" s="95"/>
      <c r="G1840" s="95"/>
      <c r="H1840" s="95"/>
      <c r="I1840" s="95"/>
      <c r="J1840" s="95"/>
      <c r="K1840" s="95"/>
      <c r="L1840" s="95"/>
      <c r="M1840" s="95"/>
      <c r="N1840" s="95"/>
      <c r="O1840" s="95"/>
      <c r="P1840" s="95"/>
      <c r="Q1840" s="95"/>
      <c r="R1840" s="95"/>
      <c r="T1840" s="81"/>
      <c r="U1840" s="95"/>
      <c r="V1840" s="95"/>
      <c r="W1840" s="95"/>
    </row>
    <row r="1841" spans="5:23" ht="10.15" customHeight="1">
      <c r="E1841" s="95"/>
      <c r="F1841" s="95"/>
      <c r="G1841" s="95"/>
      <c r="H1841" s="95"/>
      <c r="I1841" s="95"/>
      <c r="J1841" s="95"/>
      <c r="K1841" s="95"/>
      <c r="L1841" s="95"/>
      <c r="M1841" s="95"/>
      <c r="N1841" s="95"/>
      <c r="O1841" s="95"/>
      <c r="P1841" s="95"/>
      <c r="Q1841" s="95"/>
      <c r="R1841" s="95"/>
      <c r="T1841" s="81"/>
      <c r="U1841" s="95"/>
      <c r="V1841" s="95"/>
      <c r="W1841" s="95"/>
    </row>
    <row r="1842" spans="5:23" ht="10.15" customHeight="1">
      <c r="E1842" s="95"/>
      <c r="F1842" s="95"/>
      <c r="G1842" s="95"/>
      <c r="H1842" s="95"/>
      <c r="I1842" s="95"/>
      <c r="J1842" s="95"/>
      <c r="K1842" s="95"/>
      <c r="L1842" s="95"/>
      <c r="M1842" s="95"/>
      <c r="N1842" s="95"/>
      <c r="O1842" s="95"/>
      <c r="P1842" s="95"/>
      <c r="Q1842" s="95"/>
      <c r="R1842" s="95"/>
      <c r="T1842" s="81"/>
      <c r="U1842" s="95"/>
      <c r="V1842" s="95"/>
      <c r="W1842" s="95"/>
    </row>
    <row r="1843" spans="5:23" ht="10.15" customHeight="1">
      <c r="E1843" s="95"/>
      <c r="F1843" s="95"/>
      <c r="G1843" s="95"/>
      <c r="H1843" s="95"/>
      <c r="I1843" s="95"/>
      <c r="J1843" s="95"/>
      <c r="K1843" s="95"/>
      <c r="L1843" s="95"/>
      <c r="M1843" s="95"/>
      <c r="N1843" s="95"/>
      <c r="O1843" s="95"/>
      <c r="P1843" s="95"/>
      <c r="Q1843" s="95"/>
      <c r="R1843" s="95"/>
      <c r="T1843" s="81"/>
      <c r="U1843" s="95"/>
      <c r="V1843" s="95"/>
      <c r="W1843" s="95"/>
    </row>
    <row r="1844" spans="5:23" ht="10.15" customHeight="1">
      <c r="E1844" s="95"/>
      <c r="F1844" s="95"/>
      <c r="G1844" s="95"/>
      <c r="H1844" s="95"/>
      <c r="I1844" s="95"/>
      <c r="J1844" s="95"/>
      <c r="K1844" s="95"/>
      <c r="L1844" s="95"/>
      <c r="M1844" s="95"/>
      <c r="N1844" s="95"/>
      <c r="O1844" s="95"/>
      <c r="P1844" s="95"/>
      <c r="Q1844" s="95"/>
      <c r="R1844" s="95"/>
      <c r="T1844" s="81"/>
      <c r="U1844" s="95"/>
      <c r="V1844" s="95"/>
      <c r="W1844" s="95"/>
    </row>
    <row r="1845" spans="5:23" ht="10.15" customHeight="1">
      <c r="E1845" s="95"/>
      <c r="F1845" s="95"/>
      <c r="G1845" s="95"/>
      <c r="H1845" s="95"/>
      <c r="I1845" s="95"/>
      <c r="J1845" s="95"/>
      <c r="K1845" s="95"/>
      <c r="L1845" s="95"/>
      <c r="M1845" s="95"/>
      <c r="N1845" s="95"/>
      <c r="O1845" s="95"/>
      <c r="P1845" s="95"/>
      <c r="Q1845" s="95"/>
      <c r="R1845" s="95"/>
      <c r="T1845" s="81"/>
      <c r="U1845" s="95"/>
      <c r="V1845" s="95"/>
      <c r="W1845" s="95"/>
    </row>
    <row r="1846" spans="5:23" ht="10.15" customHeight="1">
      <c r="E1846" s="95"/>
      <c r="F1846" s="95"/>
      <c r="G1846" s="95"/>
      <c r="H1846" s="95"/>
      <c r="I1846" s="95"/>
      <c r="J1846" s="95"/>
      <c r="K1846" s="95"/>
      <c r="L1846" s="95"/>
      <c r="M1846" s="95"/>
      <c r="N1846" s="95"/>
      <c r="O1846" s="95"/>
      <c r="P1846" s="95"/>
      <c r="Q1846" s="95"/>
      <c r="R1846" s="95"/>
      <c r="T1846" s="81"/>
      <c r="U1846" s="95"/>
      <c r="V1846" s="95"/>
      <c r="W1846" s="95"/>
    </row>
    <row r="1847" spans="5:23" ht="10.15" customHeight="1">
      <c r="E1847" s="95"/>
      <c r="F1847" s="95"/>
      <c r="G1847" s="95"/>
      <c r="H1847" s="95"/>
      <c r="I1847" s="95"/>
      <c r="J1847" s="95"/>
      <c r="K1847" s="95"/>
      <c r="L1847" s="95"/>
      <c r="M1847" s="95"/>
      <c r="N1847" s="95"/>
      <c r="O1847" s="95"/>
      <c r="P1847" s="95"/>
      <c r="Q1847" s="95"/>
      <c r="R1847" s="95"/>
      <c r="T1847" s="81"/>
      <c r="U1847" s="95"/>
      <c r="V1847" s="95"/>
      <c r="W1847" s="95"/>
    </row>
    <row r="1848" spans="5:23" ht="10.15" customHeight="1">
      <c r="E1848" s="95"/>
      <c r="F1848" s="95"/>
      <c r="G1848" s="95"/>
      <c r="H1848" s="95"/>
      <c r="I1848" s="95"/>
      <c r="J1848" s="95"/>
      <c r="K1848" s="95"/>
      <c r="L1848" s="95"/>
      <c r="M1848" s="95"/>
      <c r="N1848" s="95"/>
      <c r="O1848" s="95"/>
      <c r="P1848" s="95"/>
      <c r="Q1848" s="95"/>
      <c r="R1848" s="95"/>
      <c r="T1848" s="81"/>
      <c r="U1848" s="95"/>
      <c r="V1848" s="95"/>
      <c r="W1848" s="95"/>
    </row>
    <row r="1849" spans="5:23" ht="10.15" customHeight="1">
      <c r="E1849" s="95"/>
      <c r="F1849" s="95"/>
      <c r="G1849" s="95"/>
      <c r="H1849" s="95"/>
      <c r="I1849" s="95"/>
      <c r="J1849" s="95"/>
      <c r="K1849" s="95"/>
      <c r="L1849" s="95"/>
      <c r="M1849" s="95"/>
      <c r="N1849" s="95"/>
      <c r="O1849" s="95"/>
      <c r="P1849" s="95"/>
      <c r="Q1849" s="95"/>
      <c r="R1849" s="95"/>
      <c r="T1849" s="81"/>
      <c r="U1849" s="95"/>
      <c r="V1849" s="95"/>
      <c r="W1849" s="95"/>
    </row>
    <row r="1850" spans="5:23" ht="10.15" customHeight="1">
      <c r="E1850" s="95"/>
      <c r="F1850" s="95"/>
      <c r="G1850" s="95"/>
      <c r="H1850" s="95"/>
      <c r="I1850" s="95"/>
      <c r="J1850" s="95"/>
      <c r="K1850" s="95"/>
      <c r="L1850" s="95"/>
      <c r="M1850" s="95"/>
      <c r="N1850" s="95"/>
      <c r="O1850" s="95"/>
      <c r="P1850" s="95"/>
      <c r="Q1850" s="95"/>
      <c r="R1850" s="95"/>
      <c r="T1850" s="81"/>
      <c r="U1850" s="95"/>
      <c r="V1850" s="95"/>
      <c r="W1850" s="95"/>
    </row>
    <row r="1851" spans="5:23" ht="10.15" customHeight="1">
      <c r="E1851" s="95"/>
      <c r="F1851" s="95"/>
      <c r="G1851" s="95"/>
      <c r="H1851" s="95"/>
      <c r="I1851" s="95"/>
      <c r="J1851" s="95"/>
      <c r="K1851" s="95"/>
      <c r="L1851" s="95"/>
      <c r="M1851" s="95"/>
      <c r="N1851" s="95"/>
      <c r="O1851" s="95"/>
      <c r="P1851" s="95"/>
      <c r="Q1851" s="95"/>
      <c r="R1851" s="95"/>
      <c r="T1851" s="81"/>
      <c r="U1851" s="95"/>
      <c r="V1851" s="95"/>
      <c r="W1851" s="95"/>
    </row>
    <row r="1852" spans="5:23" ht="10.15" customHeight="1">
      <c r="E1852" s="95"/>
      <c r="F1852" s="95"/>
      <c r="G1852" s="95"/>
      <c r="H1852" s="95"/>
      <c r="I1852" s="95"/>
      <c r="J1852" s="95"/>
      <c r="K1852" s="95"/>
      <c r="L1852" s="95"/>
      <c r="M1852" s="95"/>
      <c r="N1852" s="95"/>
      <c r="O1852" s="95"/>
      <c r="P1852" s="95"/>
      <c r="Q1852" s="95"/>
      <c r="R1852" s="95"/>
      <c r="T1852" s="81"/>
      <c r="U1852" s="95"/>
      <c r="V1852" s="95"/>
      <c r="W1852" s="95"/>
    </row>
    <row r="1853" spans="5:23" ht="10.15" customHeight="1">
      <c r="E1853" s="95"/>
      <c r="F1853" s="95"/>
      <c r="G1853" s="95"/>
      <c r="H1853" s="95"/>
      <c r="I1853" s="95"/>
      <c r="J1853" s="95"/>
      <c r="K1853" s="95"/>
      <c r="L1853" s="95"/>
      <c r="M1853" s="95"/>
      <c r="N1853" s="95"/>
      <c r="O1853" s="95"/>
      <c r="P1853" s="95"/>
      <c r="Q1853" s="95"/>
      <c r="R1853" s="95"/>
      <c r="T1853" s="81"/>
      <c r="U1853" s="95"/>
      <c r="V1853" s="95"/>
      <c r="W1853" s="95"/>
    </row>
    <row r="1854" spans="5:23" ht="10.15" customHeight="1">
      <c r="E1854" s="95"/>
      <c r="F1854" s="95"/>
      <c r="G1854" s="95"/>
      <c r="H1854" s="95"/>
      <c r="I1854" s="95"/>
      <c r="J1854" s="95"/>
      <c r="K1854" s="95"/>
      <c r="L1854" s="95"/>
      <c r="M1854" s="95"/>
      <c r="N1854" s="95"/>
      <c r="O1854" s="95"/>
      <c r="P1854" s="95"/>
      <c r="Q1854" s="95"/>
      <c r="R1854" s="95"/>
      <c r="T1854" s="81"/>
      <c r="U1854" s="95"/>
      <c r="V1854" s="95"/>
      <c r="W1854" s="95"/>
    </row>
    <row r="1855" spans="5:23" ht="10.15" customHeight="1">
      <c r="E1855" s="95"/>
      <c r="F1855" s="95"/>
      <c r="G1855" s="95"/>
      <c r="H1855" s="95"/>
      <c r="I1855" s="95"/>
      <c r="J1855" s="95"/>
      <c r="K1855" s="95"/>
      <c r="L1855" s="95"/>
      <c r="M1855" s="95"/>
      <c r="N1855" s="95"/>
      <c r="O1855" s="95"/>
      <c r="P1855" s="95"/>
      <c r="Q1855" s="95"/>
      <c r="R1855" s="95"/>
      <c r="T1855" s="81"/>
      <c r="U1855" s="95"/>
      <c r="V1855" s="95"/>
      <c r="W1855" s="95"/>
    </row>
    <row r="1856" spans="5:23" ht="10.15" customHeight="1">
      <c r="E1856" s="95"/>
      <c r="F1856" s="95"/>
      <c r="G1856" s="95"/>
      <c r="H1856" s="95"/>
      <c r="I1856" s="95"/>
      <c r="J1856" s="95"/>
      <c r="K1856" s="95"/>
      <c r="L1856" s="95"/>
      <c r="M1856" s="95"/>
      <c r="N1856" s="95"/>
      <c r="O1856" s="95"/>
      <c r="P1856" s="95"/>
      <c r="Q1856" s="95"/>
      <c r="R1856" s="95"/>
      <c r="T1856" s="81"/>
      <c r="U1856" s="95"/>
      <c r="V1856" s="95"/>
      <c r="W1856" s="95"/>
    </row>
    <row r="1857" spans="5:23" ht="10.15" customHeight="1">
      <c r="E1857" s="95"/>
      <c r="F1857" s="95"/>
      <c r="G1857" s="95"/>
      <c r="H1857" s="95"/>
      <c r="I1857" s="95"/>
      <c r="J1857" s="95"/>
      <c r="K1857" s="95"/>
      <c r="L1857" s="95"/>
      <c r="M1857" s="95"/>
      <c r="N1857" s="95"/>
      <c r="O1857" s="95"/>
      <c r="P1857" s="95"/>
      <c r="Q1857" s="95"/>
      <c r="R1857" s="95"/>
      <c r="T1857" s="81"/>
      <c r="U1857" s="95"/>
      <c r="V1857" s="95"/>
      <c r="W1857" s="95"/>
    </row>
    <row r="1858" spans="5:23" ht="10.15" customHeight="1">
      <c r="E1858" s="95"/>
      <c r="F1858" s="95"/>
      <c r="G1858" s="95"/>
      <c r="H1858" s="95"/>
      <c r="I1858" s="95"/>
      <c r="J1858" s="95"/>
      <c r="K1858" s="95"/>
      <c r="L1858" s="95"/>
      <c r="M1858" s="95"/>
      <c r="N1858" s="95"/>
      <c r="O1858" s="95"/>
      <c r="P1858" s="95"/>
      <c r="Q1858" s="95"/>
      <c r="R1858" s="95"/>
      <c r="T1858" s="81"/>
      <c r="U1858" s="95"/>
      <c r="V1858" s="95"/>
      <c r="W1858" s="95"/>
    </row>
    <row r="1859" spans="5:23" ht="10.15" customHeight="1">
      <c r="E1859" s="95"/>
      <c r="F1859" s="95"/>
      <c r="G1859" s="95"/>
      <c r="H1859" s="95"/>
      <c r="I1859" s="95"/>
      <c r="J1859" s="95"/>
      <c r="K1859" s="95"/>
      <c r="L1859" s="95"/>
      <c r="M1859" s="95"/>
      <c r="N1859" s="95"/>
      <c r="O1859" s="95"/>
      <c r="P1859" s="95"/>
      <c r="Q1859" s="95"/>
      <c r="R1859" s="95"/>
      <c r="T1859" s="81"/>
      <c r="U1859" s="95"/>
      <c r="V1859" s="95"/>
      <c r="W1859" s="95"/>
    </row>
    <row r="1860" spans="5:23" ht="10.15" customHeight="1">
      <c r="E1860" s="95"/>
      <c r="F1860" s="95"/>
      <c r="G1860" s="95"/>
      <c r="H1860" s="95"/>
      <c r="I1860" s="95"/>
      <c r="J1860" s="95"/>
      <c r="K1860" s="95"/>
      <c r="L1860" s="95"/>
      <c r="M1860" s="95"/>
      <c r="N1860" s="95"/>
      <c r="O1860" s="95"/>
      <c r="P1860" s="95"/>
      <c r="Q1860" s="95"/>
      <c r="R1860" s="95"/>
      <c r="T1860" s="81"/>
      <c r="U1860" s="95"/>
      <c r="V1860" s="95"/>
      <c r="W1860" s="95"/>
    </row>
    <row r="1861" spans="5:23" ht="10.15" customHeight="1">
      <c r="E1861" s="95"/>
      <c r="F1861" s="95"/>
      <c r="G1861" s="95"/>
      <c r="H1861" s="95"/>
      <c r="I1861" s="95"/>
      <c r="J1861" s="95"/>
      <c r="K1861" s="95"/>
      <c r="L1861" s="95"/>
      <c r="M1861" s="95"/>
      <c r="N1861" s="95"/>
      <c r="O1861" s="95"/>
      <c r="P1861" s="95"/>
      <c r="Q1861" s="95"/>
      <c r="R1861" s="95"/>
      <c r="T1861" s="81"/>
      <c r="U1861" s="95"/>
      <c r="V1861" s="95"/>
      <c r="W1861" s="95"/>
    </row>
    <row r="1862" spans="5:23" ht="10.15" customHeight="1">
      <c r="E1862" s="95"/>
      <c r="F1862" s="95"/>
      <c r="G1862" s="95"/>
      <c r="H1862" s="95"/>
      <c r="I1862" s="95"/>
      <c r="J1862" s="95"/>
      <c r="K1862" s="95"/>
      <c r="L1862" s="95"/>
      <c r="M1862" s="95"/>
      <c r="N1862" s="95"/>
      <c r="O1862" s="95"/>
      <c r="P1862" s="95"/>
      <c r="Q1862" s="95"/>
      <c r="R1862" s="95"/>
      <c r="T1862" s="81"/>
      <c r="U1862" s="95"/>
      <c r="V1862" s="95"/>
      <c r="W1862" s="95"/>
    </row>
    <row r="1863" spans="5:23" ht="10.15" customHeight="1">
      <c r="E1863" s="95"/>
      <c r="F1863" s="95"/>
      <c r="G1863" s="95"/>
      <c r="H1863" s="95"/>
      <c r="I1863" s="95"/>
      <c r="J1863" s="95"/>
      <c r="K1863" s="95"/>
      <c r="L1863" s="95"/>
      <c r="M1863" s="95"/>
      <c r="N1863" s="95"/>
      <c r="O1863" s="95"/>
      <c r="P1863" s="95"/>
      <c r="Q1863" s="95"/>
      <c r="R1863" s="95"/>
      <c r="T1863" s="81"/>
      <c r="U1863" s="95"/>
      <c r="V1863" s="95"/>
      <c r="W1863" s="95"/>
    </row>
    <row r="1864" spans="5:23" ht="10.15" customHeight="1">
      <c r="E1864" s="95"/>
      <c r="F1864" s="95"/>
      <c r="G1864" s="95"/>
      <c r="H1864" s="95"/>
      <c r="I1864" s="95"/>
      <c r="J1864" s="95"/>
      <c r="K1864" s="95"/>
      <c r="L1864" s="95"/>
      <c r="M1864" s="95"/>
      <c r="N1864" s="95"/>
      <c r="O1864" s="95"/>
      <c r="P1864" s="95"/>
      <c r="Q1864" s="95"/>
      <c r="R1864" s="95"/>
      <c r="T1864" s="81"/>
      <c r="U1864" s="95"/>
      <c r="V1864" s="95"/>
      <c r="W1864" s="95"/>
    </row>
    <row r="1865" spans="5:23" ht="10.15" customHeight="1">
      <c r="E1865" s="95"/>
      <c r="F1865" s="95"/>
      <c r="G1865" s="95"/>
      <c r="H1865" s="95"/>
      <c r="I1865" s="95"/>
      <c r="J1865" s="95"/>
      <c r="K1865" s="95"/>
      <c r="L1865" s="95"/>
      <c r="M1865" s="95"/>
      <c r="N1865" s="95"/>
      <c r="O1865" s="95"/>
      <c r="P1865" s="95"/>
      <c r="Q1865" s="95"/>
      <c r="R1865" s="95"/>
      <c r="T1865" s="81"/>
      <c r="U1865" s="95"/>
      <c r="V1865" s="95"/>
      <c r="W1865" s="95"/>
    </row>
    <row r="1866" spans="5:23" ht="10.15" customHeight="1">
      <c r="E1866" s="95"/>
      <c r="F1866" s="95"/>
      <c r="G1866" s="95"/>
      <c r="H1866" s="95"/>
      <c r="I1866" s="95"/>
      <c r="J1866" s="95"/>
      <c r="K1866" s="95"/>
      <c r="L1866" s="95"/>
      <c r="M1866" s="95"/>
      <c r="N1866" s="95"/>
      <c r="O1866" s="95"/>
      <c r="P1866" s="95"/>
      <c r="Q1866" s="95"/>
      <c r="R1866" s="95"/>
      <c r="T1866" s="81"/>
      <c r="U1866" s="95"/>
      <c r="V1866" s="95"/>
      <c r="W1866" s="95"/>
    </row>
    <row r="1867" spans="5:23" ht="10.15" customHeight="1">
      <c r="E1867" s="95"/>
      <c r="F1867" s="95"/>
      <c r="G1867" s="95"/>
      <c r="H1867" s="95"/>
      <c r="I1867" s="95"/>
      <c r="J1867" s="95"/>
      <c r="K1867" s="95"/>
      <c r="L1867" s="95"/>
      <c r="M1867" s="95"/>
      <c r="N1867" s="95"/>
      <c r="O1867" s="95"/>
      <c r="P1867" s="95"/>
      <c r="Q1867" s="95"/>
      <c r="R1867" s="95"/>
      <c r="T1867" s="81"/>
      <c r="U1867" s="95"/>
      <c r="V1867" s="95"/>
      <c r="W1867" s="95"/>
    </row>
    <row r="1868" spans="5:23" ht="10.15" customHeight="1">
      <c r="E1868" s="95"/>
      <c r="F1868" s="95"/>
      <c r="G1868" s="95"/>
      <c r="H1868" s="95"/>
      <c r="I1868" s="95"/>
      <c r="J1868" s="95"/>
      <c r="K1868" s="95"/>
      <c r="L1868" s="95"/>
      <c r="M1868" s="95"/>
      <c r="N1868" s="95"/>
      <c r="O1868" s="95"/>
      <c r="P1868" s="95"/>
      <c r="Q1868" s="95"/>
      <c r="R1868" s="95"/>
      <c r="T1868" s="81"/>
      <c r="U1868" s="95"/>
      <c r="V1868" s="95"/>
      <c r="W1868" s="95"/>
    </row>
    <row r="1869" spans="5:23" ht="10.15" customHeight="1">
      <c r="E1869" s="95"/>
      <c r="F1869" s="95"/>
      <c r="G1869" s="95"/>
      <c r="H1869" s="95"/>
      <c r="I1869" s="95"/>
      <c r="J1869" s="95"/>
      <c r="K1869" s="95"/>
      <c r="L1869" s="95"/>
      <c r="M1869" s="95"/>
      <c r="N1869" s="95"/>
      <c r="O1869" s="95"/>
      <c r="P1869" s="95"/>
      <c r="Q1869" s="95"/>
      <c r="R1869" s="95"/>
      <c r="T1869" s="81"/>
      <c r="U1869" s="95"/>
      <c r="V1869" s="95"/>
      <c r="W1869" s="95"/>
    </row>
    <row r="1870" spans="5:23" ht="10.15" customHeight="1">
      <c r="E1870" s="95"/>
      <c r="F1870" s="95"/>
      <c r="G1870" s="95"/>
      <c r="H1870" s="95"/>
      <c r="I1870" s="95"/>
      <c r="J1870" s="95"/>
      <c r="K1870" s="95"/>
      <c r="L1870" s="95"/>
      <c r="M1870" s="95"/>
      <c r="N1870" s="95"/>
      <c r="O1870" s="95"/>
      <c r="P1870" s="95"/>
      <c r="Q1870" s="95"/>
      <c r="R1870" s="95"/>
      <c r="T1870" s="81"/>
      <c r="U1870" s="95"/>
      <c r="V1870" s="95"/>
      <c r="W1870" s="95"/>
    </row>
    <row r="1871" spans="5:23" ht="10.15" customHeight="1">
      <c r="E1871" s="95"/>
      <c r="F1871" s="95"/>
      <c r="G1871" s="95"/>
      <c r="H1871" s="95"/>
      <c r="I1871" s="95"/>
      <c r="J1871" s="95"/>
      <c r="K1871" s="95"/>
      <c r="L1871" s="95"/>
      <c r="M1871" s="95"/>
      <c r="N1871" s="95"/>
      <c r="O1871" s="95"/>
      <c r="P1871" s="95"/>
      <c r="Q1871" s="95"/>
      <c r="R1871" s="95"/>
      <c r="T1871" s="81"/>
      <c r="U1871" s="95"/>
      <c r="V1871" s="95"/>
      <c r="W1871" s="95"/>
    </row>
    <row r="1872" spans="5:23" ht="10.15" customHeight="1">
      <c r="E1872" s="95"/>
      <c r="F1872" s="95"/>
      <c r="G1872" s="95"/>
      <c r="H1872" s="95"/>
      <c r="I1872" s="95"/>
      <c r="J1872" s="95"/>
      <c r="K1872" s="95"/>
      <c r="L1872" s="95"/>
      <c r="M1872" s="95"/>
      <c r="N1872" s="95"/>
      <c r="O1872" s="95"/>
      <c r="P1872" s="95"/>
      <c r="Q1872" s="95"/>
      <c r="R1872" s="95"/>
      <c r="T1872" s="81"/>
      <c r="U1872" s="95"/>
      <c r="V1872" s="95"/>
      <c r="W1872" s="95"/>
    </row>
    <row r="1873" spans="5:23" ht="10.15" customHeight="1">
      <c r="E1873" s="95"/>
      <c r="F1873" s="95"/>
      <c r="G1873" s="95"/>
      <c r="H1873" s="95"/>
      <c r="I1873" s="95"/>
      <c r="J1873" s="95"/>
      <c r="K1873" s="95"/>
      <c r="L1873" s="95"/>
      <c r="M1873" s="95"/>
      <c r="N1873" s="95"/>
      <c r="O1873" s="95"/>
      <c r="P1873" s="95"/>
      <c r="Q1873" s="95"/>
      <c r="R1873" s="95"/>
      <c r="T1873" s="81"/>
      <c r="U1873" s="95"/>
      <c r="V1873" s="95"/>
      <c r="W1873" s="95"/>
    </row>
    <row r="1874" spans="5:23" ht="10.15" customHeight="1">
      <c r="E1874" s="95"/>
      <c r="F1874" s="95"/>
      <c r="G1874" s="95"/>
      <c r="H1874" s="95"/>
      <c r="I1874" s="95"/>
      <c r="J1874" s="95"/>
      <c r="K1874" s="95"/>
      <c r="L1874" s="95"/>
      <c r="M1874" s="95"/>
      <c r="N1874" s="95"/>
      <c r="O1874" s="95"/>
      <c r="P1874" s="95"/>
      <c r="Q1874" s="95"/>
      <c r="R1874" s="95"/>
      <c r="T1874" s="81"/>
      <c r="U1874" s="95"/>
      <c r="V1874" s="95"/>
      <c r="W1874" s="95"/>
    </row>
    <row r="1875" spans="5:23" ht="10.15" customHeight="1">
      <c r="E1875" s="95"/>
      <c r="F1875" s="95"/>
      <c r="G1875" s="95"/>
      <c r="H1875" s="95"/>
      <c r="I1875" s="95"/>
      <c r="J1875" s="95"/>
      <c r="K1875" s="95"/>
      <c r="L1875" s="95"/>
      <c r="M1875" s="95"/>
      <c r="N1875" s="95"/>
      <c r="O1875" s="95"/>
      <c r="P1875" s="95"/>
      <c r="Q1875" s="95"/>
      <c r="R1875" s="95"/>
      <c r="T1875" s="81"/>
      <c r="U1875" s="95"/>
      <c r="V1875" s="95"/>
      <c r="W1875" s="95"/>
    </row>
    <row r="1876" spans="5:23" ht="10.15" customHeight="1">
      <c r="E1876" s="95"/>
      <c r="F1876" s="95"/>
      <c r="G1876" s="95"/>
      <c r="H1876" s="95"/>
      <c r="I1876" s="95"/>
      <c r="J1876" s="95"/>
      <c r="K1876" s="95"/>
      <c r="L1876" s="95"/>
      <c r="M1876" s="95"/>
      <c r="N1876" s="95"/>
      <c r="O1876" s="95"/>
      <c r="P1876" s="95"/>
      <c r="Q1876" s="95"/>
      <c r="R1876" s="95"/>
      <c r="T1876" s="81"/>
      <c r="U1876" s="95"/>
      <c r="V1876" s="95"/>
      <c r="W1876" s="95"/>
    </row>
    <row r="1877" spans="5:23" ht="10.15" customHeight="1">
      <c r="E1877" s="95"/>
      <c r="F1877" s="95"/>
      <c r="G1877" s="95"/>
      <c r="H1877" s="95"/>
      <c r="I1877" s="95"/>
      <c r="J1877" s="95"/>
      <c r="K1877" s="95"/>
      <c r="L1877" s="95"/>
      <c r="M1877" s="95"/>
      <c r="N1877" s="95"/>
      <c r="O1877" s="95"/>
      <c r="P1877" s="95"/>
      <c r="Q1877" s="95"/>
      <c r="R1877" s="95"/>
      <c r="T1877" s="81"/>
      <c r="U1877" s="95"/>
      <c r="V1877" s="95"/>
      <c r="W1877" s="95"/>
    </row>
    <row r="1878" spans="5:23" ht="10.15" customHeight="1">
      <c r="E1878" s="95"/>
      <c r="F1878" s="95"/>
      <c r="G1878" s="95"/>
      <c r="H1878" s="95"/>
      <c r="I1878" s="95"/>
      <c r="J1878" s="95"/>
      <c r="K1878" s="95"/>
      <c r="L1878" s="95"/>
      <c r="M1878" s="95"/>
      <c r="N1878" s="95"/>
      <c r="O1878" s="95"/>
      <c r="P1878" s="95"/>
      <c r="Q1878" s="95"/>
      <c r="R1878" s="95"/>
      <c r="T1878" s="81"/>
      <c r="U1878" s="95"/>
      <c r="V1878" s="95"/>
      <c r="W1878" s="95"/>
    </row>
    <row r="1879" spans="5:23" ht="10.15" customHeight="1">
      <c r="E1879" s="95"/>
      <c r="F1879" s="95"/>
      <c r="G1879" s="95"/>
      <c r="H1879" s="95"/>
      <c r="I1879" s="95"/>
      <c r="J1879" s="95"/>
      <c r="K1879" s="95"/>
      <c r="L1879" s="95"/>
      <c r="M1879" s="95"/>
      <c r="N1879" s="95"/>
      <c r="O1879" s="95"/>
      <c r="P1879" s="95"/>
      <c r="Q1879" s="95"/>
      <c r="R1879" s="95"/>
      <c r="T1879" s="81"/>
      <c r="U1879" s="95"/>
      <c r="V1879" s="95"/>
      <c r="W1879" s="95"/>
    </row>
    <row r="1880" spans="5:23" ht="10.15" customHeight="1">
      <c r="E1880" s="95"/>
      <c r="F1880" s="95"/>
      <c r="G1880" s="95"/>
      <c r="H1880" s="95"/>
      <c r="I1880" s="95"/>
      <c r="J1880" s="95"/>
      <c r="K1880" s="95"/>
      <c r="L1880" s="95"/>
      <c r="M1880" s="95"/>
      <c r="N1880" s="95"/>
      <c r="O1880" s="95"/>
      <c r="P1880" s="95"/>
      <c r="Q1880" s="95"/>
      <c r="R1880" s="95"/>
      <c r="T1880" s="81"/>
      <c r="U1880" s="95"/>
      <c r="V1880" s="95"/>
      <c r="W1880" s="95"/>
    </row>
    <row r="1881" spans="5:23" ht="10.15" customHeight="1">
      <c r="E1881" s="95"/>
      <c r="F1881" s="95"/>
      <c r="G1881" s="95"/>
      <c r="H1881" s="95"/>
      <c r="I1881" s="95"/>
      <c r="J1881" s="95"/>
      <c r="K1881" s="95"/>
      <c r="L1881" s="95"/>
      <c r="M1881" s="95"/>
      <c r="N1881" s="95"/>
      <c r="O1881" s="95"/>
      <c r="P1881" s="95"/>
      <c r="Q1881" s="95"/>
      <c r="R1881" s="95"/>
      <c r="T1881" s="81"/>
      <c r="U1881" s="95"/>
      <c r="V1881" s="95"/>
      <c r="W1881" s="95"/>
    </row>
    <row r="1882" spans="5:23" ht="10.15" customHeight="1">
      <c r="E1882" s="95"/>
      <c r="F1882" s="95"/>
      <c r="G1882" s="95"/>
      <c r="H1882" s="95"/>
      <c r="I1882" s="95"/>
      <c r="J1882" s="95"/>
      <c r="K1882" s="95"/>
      <c r="L1882" s="95"/>
      <c r="M1882" s="95"/>
      <c r="N1882" s="95"/>
      <c r="O1882" s="95"/>
      <c r="P1882" s="95"/>
      <c r="Q1882" s="95"/>
      <c r="R1882" s="95"/>
      <c r="T1882" s="81"/>
      <c r="U1882" s="95"/>
      <c r="V1882" s="95"/>
      <c r="W1882" s="95"/>
    </row>
    <row r="1883" spans="5:23" ht="10.15" customHeight="1">
      <c r="E1883" s="95"/>
      <c r="F1883" s="95"/>
      <c r="G1883" s="95"/>
      <c r="H1883" s="95"/>
      <c r="I1883" s="95"/>
      <c r="J1883" s="95"/>
      <c r="K1883" s="95"/>
      <c r="L1883" s="95"/>
      <c r="M1883" s="95"/>
      <c r="N1883" s="95"/>
      <c r="O1883" s="95"/>
      <c r="P1883" s="95"/>
      <c r="Q1883" s="95"/>
      <c r="R1883" s="95"/>
      <c r="T1883" s="81"/>
      <c r="U1883" s="95"/>
      <c r="V1883" s="95"/>
      <c r="W1883" s="95"/>
    </row>
    <row r="1884" spans="5:23" ht="10.15" customHeight="1">
      <c r="E1884" s="95"/>
      <c r="F1884" s="95"/>
      <c r="G1884" s="95"/>
      <c r="H1884" s="95"/>
      <c r="I1884" s="95"/>
      <c r="J1884" s="95"/>
      <c r="K1884" s="95"/>
      <c r="L1884" s="95"/>
      <c r="M1884" s="95"/>
      <c r="N1884" s="95"/>
      <c r="O1884" s="95"/>
      <c r="P1884" s="95"/>
      <c r="Q1884" s="95"/>
      <c r="R1884" s="95"/>
      <c r="T1884" s="81"/>
      <c r="U1884" s="95"/>
      <c r="V1884" s="95"/>
      <c r="W1884" s="95"/>
    </row>
    <row r="1885" spans="5:23" ht="10.15" customHeight="1">
      <c r="E1885" s="95"/>
      <c r="F1885" s="95"/>
      <c r="G1885" s="95"/>
      <c r="H1885" s="95"/>
      <c r="I1885" s="95"/>
      <c r="J1885" s="95"/>
      <c r="K1885" s="95"/>
      <c r="L1885" s="95"/>
      <c r="M1885" s="95"/>
      <c r="N1885" s="95"/>
      <c r="O1885" s="95"/>
      <c r="P1885" s="95"/>
      <c r="Q1885" s="95"/>
      <c r="R1885" s="95"/>
      <c r="T1885" s="81"/>
      <c r="U1885" s="95"/>
      <c r="V1885" s="95"/>
      <c r="W1885" s="95"/>
    </row>
    <row r="1886" spans="5:23" ht="10.15" customHeight="1">
      <c r="E1886" s="95"/>
      <c r="F1886" s="95"/>
      <c r="G1886" s="95"/>
      <c r="H1886" s="95"/>
      <c r="I1886" s="95"/>
      <c r="J1886" s="95"/>
      <c r="K1886" s="95"/>
      <c r="L1886" s="95"/>
      <c r="M1886" s="95"/>
      <c r="N1886" s="95"/>
      <c r="O1886" s="95"/>
      <c r="P1886" s="95"/>
      <c r="Q1886" s="95"/>
      <c r="R1886" s="95"/>
      <c r="T1886" s="81"/>
      <c r="U1886" s="95"/>
      <c r="V1886" s="95"/>
      <c r="W1886" s="95"/>
    </row>
    <row r="1887" spans="5:23" ht="10.15" customHeight="1">
      <c r="E1887" s="95"/>
      <c r="F1887" s="95"/>
      <c r="G1887" s="95"/>
      <c r="H1887" s="95"/>
      <c r="I1887" s="95"/>
      <c r="J1887" s="95"/>
      <c r="K1887" s="95"/>
      <c r="L1887" s="95"/>
      <c r="M1887" s="95"/>
      <c r="N1887" s="95"/>
      <c r="O1887" s="95"/>
      <c r="P1887" s="95"/>
      <c r="Q1887" s="95"/>
      <c r="R1887" s="95"/>
      <c r="T1887" s="81"/>
      <c r="U1887" s="95"/>
      <c r="V1887" s="95"/>
      <c r="W1887" s="95"/>
    </row>
    <row r="1888" spans="5:23" ht="10.15" customHeight="1">
      <c r="E1888" s="95"/>
      <c r="F1888" s="95"/>
      <c r="G1888" s="95"/>
      <c r="H1888" s="95"/>
      <c r="I1888" s="95"/>
      <c r="J1888" s="95"/>
      <c r="K1888" s="95"/>
      <c r="L1888" s="95"/>
      <c r="M1888" s="95"/>
      <c r="N1888" s="95"/>
      <c r="O1888" s="95"/>
      <c r="P1888" s="95"/>
      <c r="Q1888" s="95"/>
      <c r="R1888" s="95"/>
      <c r="T1888" s="81"/>
      <c r="U1888" s="95"/>
      <c r="V1888" s="95"/>
      <c r="W1888" s="95"/>
    </row>
    <row r="1889" spans="5:23" ht="10.15" customHeight="1">
      <c r="E1889" s="95"/>
      <c r="F1889" s="95"/>
      <c r="G1889" s="95"/>
      <c r="H1889" s="95"/>
      <c r="I1889" s="95"/>
      <c r="J1889" s="95"/>
      <c r="K1889" s="95"/>
      <c r="L1889" s="95"/>
      <c r="M1889" s="95"/>
      <c r="N1889" s="95"/>
      <c r="O1889" s="95"/>
      <c r="P1889" s="95"/>
      <c r="Q1889" s="95"/>
      <c r="R1889" s="95"/>
      <c r="T1889" s="81"/>
      <c r="U1889" s="95"/>
      <c r="V1889" s="95"/>
      <c r="W1889" s="95"/>
    </row>
    <row r="1890" spans="5:23" ht="10.15" customHeight="1">
      <c r="E1890" s="95"/>
      <c r="F1890" s="95"/>
      <c r="G1890" s="95"/>
      <c r="H1890" s="95"/>
      <c r="I1890" s="95"/>
      <c r="J1890" s="95"/>
      <c r="K1890" s="95"/>
      <c r="L1890" s="95"/>
      <c r="M1890" s="95"/>
      <c r="N1890" s="95"/>
      <c r="O1890" s="95"/>
      <c r="P1890" s="95"/>
      <c r="Q1890" s="95"/>
      <c r="R1890" s="95"/>
      <c r="T1890" s="81"/>
      <c r="U1890" s="95"/>
      <c r="V1890" s="95"/>
      <c r="W1890" s="95"/>
    </row>
    <row r="1891" spans="5:23" ht="10.15" customHeight="1">
      <c r="E1891" s="95"/>
      <c r="F1891" s="95"/>
      <c r="G1891" s="95"/>
      <c r="H1891" s="95"/>
      <c r="I1891" s="95"/>
      <c r="J1891" s="95"/>
      <c r="K1891" s="95"/>
      <c r="L1891" s="95"/>
      <c r="M1891" s="95"/>
      <c r="N1891" s="95"/>
      <c r="O1891" s="95"/>
      <c r="P1891" s="95"/>
      <c r="Q1891" s="95"/>
      <c r="R1891" s="95"/>
      <c r="T1891" s="81"/>
      <c r="U1891" s="95"/>
      <c r="V1891" s="95"/>
      <c r="W1891" s="95"/>
    </row>
    <row r="1892" spans="5:23" ht="10.15" customHeight="1">
      <c r="E1892" s="95"/>
      <c r="F1892" s="95"/>
      <c r="G1892" s="95"/>
      <c r="H1892" s="95"/>
      <c r="I1892" s="95"/>
      <c r="J1892" s="95"/>
      <c r="K1892" s="95"/>
      <c r="L1892" s="95"/>
      <c r="M1892" s="95"/>
      <c r="N1892" s="95"/>
      <c r="O1892" s="95"/>
      <c r="P1892" s="95"/>
      <c r="Q1892" s="95"/>
      <c r="R1892" s="95"/>
      <c r="T1892" s="81"/>
      <c r="U1892" s="95"/>
      <c r="V1892" s="95"/>
      <c r="W1892" s="95"/>
    </row>
    <row r="1893" spans="5:23" ht="10.15" customHeight="1">
      <c r="E1893" s="95"/>
      <c r="F1893" s="95"/>
      <c r="G1893" s="95"/>
      <c r="H1893" s="95"/>
      <c r="I1893" s="95"/>
      <c r="J1893" s="95"/>
      <c r="K1893" s="95"/>
      <c r="L1893" s="95"/>
      <c r="M1893" s="95"/>
      <c r="N1893" s="95"/>
      <c r="O1893" s="95"/>
      <c r="P1893" s="95"/>
      <c r="Q1893" s="95"/>
      <c r="R1893" s="95"/>
      <c r="T1893" s="81"/>
      <c r="U1893" s="95"/>
      <c r="V1893" s="95"/>
      <c r="W1893" s="95"/>
    </row>
    <row r="1894" spans="5:23" ht="10.15" customHeight="1">
      <c r="E1894" s="95"/>
      <c r="F1894" s="95"/>
      <c r="G1894" s="95"/>
      <c r="H1894" s="95"/>
      <c r="I1894" s="95"/>
      <c r="J1894" s="95"/>
      <c r="K1894" s="95"/>
      <c r="L1894" s="95"/>
      <c r="M1894" s="95"/>
      <c r="N1894" s="95"/>
      <c r="O1894" s="95"/>
      <c r="P1894" s="95"/>
      <c r="Q1894" s="95"/>
      <c r="R1894" s="95"/>
      <c r="T1894" s="81"/>
      <c r="U1894" s="95"/>
      <c r="V1894" s="95"/>
      <c r="W1894" s="95"/>
    </row>
    <row r="1895" spans="5:23" ht="10.15" customHeight="1">
      <c r="E1895" s="95"/>
      <c r="F1895" s="95"/>
      <c r="G1895" s="95"/>
      <c r="H1895" s="95"/>
      <c r="I1895" s="95"/>
      <c r="J1895" s="95"/>
      <c r="K1895" s="95"/>
      <c r="L1895" s="95"/>
      <c r="M1895" s="95"/>
      <c r="N1895" s="95"/>
      <c r="O1895" s="95"/>
      <c r="P1895" s="95"/>
      <c r="Q1895" s="95"/>
      <c r="R1895" s="95"/>
      <c r="T1895" s="81"/>
      <c r="U1895" s="95"/>
      <c r="V1895" s="95"/>
      <c r="W1895" s="95"/>
    </row>
    <row r="1896" spans="5:23" ht="10.15" customHeight="1">
      <c r="E1896" s="95"/>
      <c r="F1896" s="95"/>
      <c r="G1896" s="95"/>
      <c r="H1896" s="95"/>
      <c r="I1896" s="95"/>
      <c r="J1896" s="95"/>
      <c r="K1896" s="95"/>
      <c r="L1896" s="95"/>
      <c r="M1896" s="95"/>
      <c r="N1896" s="95"/>
      <c r="O1896" s="95"/>
      <c r="P1896" s="95"/>
      <c r="Q1896" s="95"/>
      <c r="R1896" s="95"/>
      <c r="T1896" s="81"/>
      <c r="U1896" s="95"/>
      <c r="V1896" s="95"/>
      <c r="W1896" s="95"/>
    </row>
    <row r="1897" spans="5:23" ht="10.15" customHeight="1">
      <c r="E1897" s="95"/>
      <c r="F1897" s="95"/>
      <c r="G1897" s="95"/>
      <c r="H1897" s="95"/>
      <c r="I1897" s="95"/>
      <c r="J1897" s="95"/>
      <c r="K1897" s="95"/>
      <c r="L1897" s="95"/>
      <c r="M1897" s="95"/>
      <c r="N1897" s="95"/>
      <c r="O1897" s="95"/>
      <c r="P1897" s="95"/>
      <c r="Q1897" s="95"/>
      <c r="R1897" s="95"/>
      <c r="T1897" s="81"/>
      <c r="U1897" s="95"/>
      <c r="V1897" s="95"/>
      <c r="W1897" s="95"/>
    </row>
    <row r="1898" spans="5:23" ht="10.15" customHeight="1">
      <c r="E1898" s="95"/>
      <c r="F1898" s="95"/>
      <c r="G1898" s="95"/>
      <c r="H1898" s="95"/>
      <c r="I1898" s="95"/>
      <c r="J1898" s="95"/>
      <c r="K1898" s="95"/>
      <c r="L1898" s="95"/>
      <c r="M1898" s="95"/>
      <c r="N1898" s="95"/>
      <c r="O1898" s="95"/>
      <c r="P1898" s="95"/>
      <c r="Q1898" s="95"/>
      <c r="R1898" s="95"/>
      <c r="T1898" s="81"/>
      <c r="U1898" s="95"/>
      <c r="V1898" s="95"/>
      <c r="W1898" s="95"/>
    </row>
    <row r="1899" spans="5:23" ht="10.15" customHeight="1">
      <c r="E1899" s="95"/>
      <c r="F1899" s="95"/>
      <c r="G1899" s="95"/>
      <c r="H1899" s="95"/>
      <c r="I1899" s="95"/>
      <c r="J1899" s="95"/>
      <c r="K1899" s="95"/>
      <c r="L1899" s="95"/>
      <c r="M1899" s="95"/>
      <c r="N1899" s="95"/>
      <c r="O1899" s="95"/>
      <c r="P1899" s="95"/>
      <c r="Q1899" s="95"/>
      <c r="R1899" s="95"/>
      <c r="T1899" s="81"/>
      <c r="U1899" s="95"/>
      <c r="V1899" s="95"/>
      <c r="W1899" s="95"/>
    </row>
    <row r="1900" spans="5:23" ht="10.15" customHeight="1">
      <c r="E1900" s="95"/>
      <c r="F1900" s="95"/>
      <c r="G1900" s="95"/>
      <c r="H1900" s="95"/>
      <c r="I1900" s="95"/>
      <c r="J1900" s="95"/>
      <c r="K1900" s="95"/>
      <c r="L1900" s="95"/>
      <c r="M1900" s="95"/>
      <c r="N1900" s="95"/>
      <c r="O1900" s="95"/>
      <c r="P1900" s="95"/>
      <c r="Q1900" s="95"/>
      <c r="R1900" s="95"/>
      <c r="T1900" s="81"/>
      <c r="U1900" s="95"/>
      <c r="V1900" s="95"/>
      <c r="W1900" s="95"/>
    </row>
    <row r="1901" spans="5:23" ht="10.15" customHeight="1">
      <c r="E1901" s="95"/>
      <c r="F1901" s="95"/>
      <c r="G1901" s="95"/>
      <c r="H1901" s="95"/>
      <c r="I1901" s="95"/>
      <c r="J1901" s="95"/>
      <c r="K1901" s="95"/>
      <c r="L1901" s="95"/>
      <c r="M1901" s="95"/>
      <c r="N1901" s="95"/>
      <c r="O1901" s="95"/>
      <c r="P1901" s="95"/>
      <c r="Q1901" s="95"/>
      <c r="R1901" s="95"/>
      <c r="T1901" s="81"/>
      <c r="U1901" s="95"/>
      <c r="V1901" s="95"/>
      <c r="W1901" s="95"/>
    </row>
    <row r="1902" spans="5:23" ht="10.15" customHeight="1">
      <c r="E1902" s="95"/>
      <c r="F1902" s="95"/>
      <c r="G1902" s="95"/>
      <c r="H1902" s="95"/>
      <c r="I1902" s="95"/>
      <c r="J1902" s="95"/>
      <c r="K1902" s="95"/>
      <c r="L1902" s="95"/>
      <c r="M1902" s="95"/>
      <c r="N1902" s="95"/>
      <c r="O1902" s="95"/>
      <c r="P1902" s="95"/>
      <c r="Q1902" s="95"/>
      <c r="R1902" s="95"/>
      <c r="T1902" s="81"/>
      <c r="U1902" s="95"/>
      <c r="V1902" s="95"/>
      <c r="W1902" s="95"/>
    </row>
    <row r="1903" spans="5:23" ht="10.15" customHeight="1">
      <c r="E1903" s="95"/>
      <c r="F1903" s="95"/>
      <c r="G1903" s="95"/>
      <c r="H1903" s="95"/>
      <c r="I1903" s="95"/>
      <c r="J1903" s="95"/>
      <c r="K1903" s="95"/>
      <c r="L1903" s="95"/>
      <c r="M1903" s="95"/>
      <c r="N1903" s="95"/>
      <c r="O1903" s="95"/>
      <c r="P1903" s="95"/>
      <c r="Q1903" s="95"/>
      <c r="R1903" s="95"/>
      <c r="T1903" s="81"/>
      <c r="U1903" s="95"/>
      <c r="V1903" s="95"/>
      <c r="W1903" s="95"/>
    </row>
    <row r="1904" spans="5:23" ht="10.15" customHeight="1">
      <c r="E1904" s="95"/>
      <c r="F1904" s="95"/>
      <c r="G1904" s="95"/>
      <c r="H1904" s="95"/>
      <c r="I1904" s="95"/>
      <c r="J1904" s="95"/>
      <c r="K1904" s="95"/>
      <c r="L1904" s="95"/>
      <c r="M1904" s="95"/>
      <c r="N1904" s="95"/>
      <c r="O1904" s="95"/>
      <c r="P1904" s="95"/>
      <c r="Q1904" s="95"/>
      <c r="R1904" s="95"/>
      <c r="T1904" s="81"/>
      <c r="U1904" s="95"/>
      <c r="V1904" s="95"/>
      <c r="W1904" s="95"/>
    </row>
    <row r="1905" spans="5:23" ht="10.15" customHeight="1">
      <c r="E1905" s="95"/>
      <c r="F1905" s="95"/>
      <c r="G1905" s="95"/>
      <c r="H1905" s="95"/>
      <c r="I1905" s="95"/>
      <c r="J1905" s="95"/>
      <c r="K1905" s="95"/>
      <c r="L1905" s="95"/>
      <c r="M1905" s="95"/>
      <c r="N1905" s="95"/>
      <c r="O1905" s="95"/>
      <c r="P1905" s="95"/>
      <c r="Q1905" s="95"/>
      <c r="R1905" s="95"/>
      <c r="T1905" s="81"/>
      <c r="U1905" s="95"/>
      <c r="V1905" s="95"/>
      <c r="W1905" s="95"/>
    </row>
    <row r="1906" spans="5:23" ht="10.15" customHeight="1">
      <c r="E1906" s="95"/>
      <c r="F1906" s="95"/>
      <c r="G1906" s="95"/>
      <c r="H1906" s="95"/>
      <c r="I1906" s="95"/>
      <c r="J1906" s="95"/>
      <c r="K1906" s="95"/>
      <c r="L1906" s="95"/>
      <c r="M1906" s="95"/>
      <c r="N1906" s="95"/>
      <c r="O1906" s="95"/>
      <c r="P1906" s="95"/>
      <c r="Q1906" s="95"/>
      <c r="R1906" s="95"/>
      <c r="T1906" s="81"/>
      <c r="U1906" s="95"/>
      <c r="V1906" s="95"/>
      <c r="W1906" s="95"/>
    </row>
    <row r="1907" spans="5:23" ht="10.15" customHeight="1">
      <c r="E1907" s="95"/>
      <c r="F1907" s="95"/>
      <c r="G1907" s="95"/>
      <c r="H1907" s="95"/>
      <c r="I1907" s="95"/>
      <c r="J1907" s="95"/>
      <c r="K1907" s="95"/>
      <c r="L1907" s="95"/>
      <c r="M1907" s="95"/>
      <c r="N1907" s="95"/>
      <c r="O1907" s="95"/>
      <c r="P1907" s="95"/>
      <c r="Q1907" s="95"/>
      <c r="R1907" s="95"/>
      <c r="T1907" s="81"/>
      <c r="U1907" s="95"/>
      <c r="V1907" s="95"/>
      <c r="W1907" s="95"/>
    </row>
    <row r="1908" spans="5:23" ht="10.15" customHeight="1">
      <c r="E1908" s="95"/>
      <c r="F1908" s="95"/>
      <c r="G1908" s="95"/>
      <c r="H1908" s="95"/>
      <c r="I1908" s="95"/>
      <c r="J1908" s="95"/>
      <c r="K1908" s="95"/>
      <c r="L1908" s="95"/>
      <c r="M1908" s="95"/>
      <c r="N1908" s="95"/>
      <c r="O1908" s="95"/>
      <c r="P1908" s="95"/>
      <c r="Q1908" s="95"/>
      <c r="R1908" s="95"/>
      <c r="T1908" s="81"/>
      <c r="U1908" s="95"/>
      <c r="V1908" s="95"/>
      <c r="W1908" s="95"/>
    </row>
    <row r="1909" spans="5:23" ht="10.15" customHeight="1">
      <c r="E1909" s="95"/>
      <c r="F1909" s="95"/>
      <c r="G1909" s="95"/>
      <c r="H1909" s="95"/>
      <c r="I1909" s="95"/>
      <c r="J1909" s="95"/>
      <c r="K1909" s="95"/>
      <c r="L1909" s="95"/>
      <c r="M1909" s="95"/>
      <c r="N1909" s="95"/>
      <c r="O1909" s="95"/>
      <c r="P1909" s="95"/>
      <c r="Q1909" s="95"/>
      <c r="R1909" s="95"/>
      <c r="T1909" s="81"/>
      <c r="U1909" s="95"/>
      <c r="V1909" s="95"/>
      <c r="W1909" s="95"/>
    </row>
    <row r="1910" spans="5:23" ht="10.15" customHeight="1">
      <c r="E1910" s="95"/>
      <c r="F1910" s="95"/>
      <c r="G1910" s="95"/>
      <c r="H1910" s="95"/>
      <c r="I1910" s="95"/>
      <c r="J1910" s="95"/>
      <c r="K1910" s="95"/>
      <c r="L1910" s="95"/>
      <c r="M1910" s="95"/>
      <c r="N1910" s="95"/>
      <c r="O1910" s="95"/>
      <c r="P1910" s="95"/>
      <c r="Q1910" s="95"/>
      <c r="R1910" s="95"/>
      <c r="T1910" s="81"/>
      <c r="U1910" s="95"/>
      <c r="V1910" s="95"/>
      <c r="W1910" s="95"/>
    </row>
    <row r="1911" spans="5:23" ht="10.15" customHeight="1">
      <c r="E1911" s="95"/>
      <c r="F1911" s="95"/>
      <c r="G1911" s="95"/>
      <c r="H1911" s="95"/>
      <c r="I1911" s="95"/>
      <c r="J1911" s="95"/>
      <c r="K1911" s="95"/>
      <c r="L1911" s="95"/>
      <c r="M1911" s="95"/>
      <c r="N1911" s="95"/>
      <c r="O1911" s="95"/>
      <c r="P1911" s="95"/>
      <c r="Q1911" s="95"/>
      <c r="R1911" s="95"/>
      <c r="T1911" s="81"/>
      <c r="U1911" s="95"/>
      <c r="V1911" s="95"/>
      <c r="W1911" s="95"/>
    </row>
    <row r="1912" spans="5:23" ht="10.15" customHeight="1">
      <c r="E1912" s="95"/>
      <c r="F1912" s="95"/>
      <c r="G1912" s="95"/>
      <c r="H1912" s="95"/>
      <c r="I1912" s="95"/>
      <c r="J1912" s="95"/>
      <c r="K1912" s="95"/>
      <c r="L1912" s="95"/>
      <c r="M1912" s="95"/>
      <c r="N1912" s="95"/>
      <c r="O1912" s="95"/>
      <c r="P1912" s="95"/>
      <c r="Q1912" s="95"/>
      <c r="R1912" s="95"/>
      <c r="T1912" s="81"/>
      <c r="U1912" s="95"/>
      <c r="V1912" s="95"/>
      <c r="W1912" s="95"/>
    </row>
    <row r="1913" spans="5:23" ht="10.15" customHeight="1">
      <c r="E1913" s="95"/>
      <c r="F1913" s="95"/>
      <c r="G1913" s="95"/>
      <c r="H1913" s="95"/>
      <c r="I1913" s="95"/>
      <c r="J1913" s="95"/>
      <c r="K1913" s="95"/>
      <c r="L1913" s="95"/>
      <c r="M1913" s="95"/>
      <c r="N1913" s="95"/>
      <c r="O1913" s="95"/>
      <c r="P1913" s="95"/>
      <c r="Q1913" s="95"/>
      <c r="R1913" s="95"/>
      <c r="T1913" s="81"/>
      <c r="U1913" s="95"/>
      <c r="V1913" s="95"/>
      <c r="W1913" s="95"/>
    </row>
    <row r="1914" spans="5:23" ht="10.15" customHeight="1">
      <c r="E1914" s="95"/>
      <c r="F1914" s="95"/>
      <c r="G1914" s="95"/>
      <c r="H1914" s="95"/>
      <c r="I1914" s="95"/>
      <c r="J1914" s="95"/>
      <c r="K1914" s="95"/>
      <c r="L1914" s="95"/>
      <c r="M1914" s="95"/>
      <c r="N1914" s="95"/>
      <c r="O1914" s="95"/>
      <c r="P1914" s="95"/>
      <c r="Q1914" s="95"/>
      <c r="R1914" s="95"/>
      <c r="T1914" s="81"/>
      <c r="U1914" s="95"/>
      <c r="V1914" s="95"/>
      <c r="W1914" s="95"/>
    </row>
    <row r="1915" spans="5:23" ht="10.15" customHeight="1">
      <c r="E1915" s="95"/>
      <c r="F1915" s="95"/>
      <c r="G1915" s="95"/>
      <c r="H1915" s="95"/>
      <c r="I1915" s="95"/>
      <c r="J1915" s="95"/>
      <c r="K1915" s="95"/>
      <c r="L1915" s="95"/>
      <c r="M1915" s="95"/>
      <c r="N1915" s="95"/>
      <c r="O1915" s="95"/>
      <c r="P1915" s="95"/>
      <c r="Q1915" s="95"/>
      <c r="R1915" s="95"/>
      <c r="T1915" s="81"/>
      <c r="U1915" s="95"/>
      <c r="V1915" s="95"/>
      <c r="W1915" s="95"/>
    </row>
    <row r="1916" spans="5:23" ht="10.15" customHeight="1">
      <c r="E1916" s="95"/>
      <c r="F1916" s="95"/>
      <c r="G1916" s="95"/>
      <c r="H1916" s="95"/>
      <c r="I1916" s="95"/>
      <c r="J1916" s="95"/>
      <c r="K1916" s="95"/>
      <c r="L1916" s="95"/>
      <c r="M1916" s="95"/>
      <c r="N1916" s="95"/>
      <c r="O1916" s="95"/>
      <c r="P1916" s="95"/>
      <c r="Q1916" s="95"/>
      <c r="R1916" s="95"/>
      <c r="T1916" s="81"/>
      <c r="U1916" s="95"/>
      <c r="V1916" s="95"/>
      <c r="W1916" s="95"/>
    </row>
    <row r="1917" spans="5:23" ht="10.15" customHeight="1">
      <c r="E1917" s="95"/>
      <c r="F1917" s="95"/>
      <c r="G1917" s="95"/>
      <c r="H1917" s="95"/>
      <c r="I1917" s="95"/>
      <c r="J1917" s="95"/>
      <c r="K1917" s="95"/>
      <c r="L1917" s="95"/>
      <c r="M1917" s="95"/>
      <c r="N1917" s="95"/>
      <c r="O1917" s="95"/>
      <c r="P1917" s="95"/>
      <c r="Q1917" s="95"/>
      <c r="R1917" s="95"/>
      <c r="T1917" s="81"/>
      <c r="U1917" s="95"/>
      <c r="V1917" s="95"/>
      <c r="W1917" s="95"/>
    </row>
    <row r="1918" spans="5:23" ht="10.15" customHeight="1">
      <c r="E1918" s="95"/>
      <c r="F1918" s="95"/>
      <c r="G1918" s="95"/>
      <c r="H1918" s="95"/>
      <c r="I1918" s="95"/>
      <c r="J1918" s="95"/>
      <c r="K1918" s="95"/>
      <c r="L1918" s="95"/>
      <c r="M1918" s="95"/>
      <c r="N1918" s="95"/>
      <c r="O1918" s="95"/>
      <c r="P1918" s="95"/>
      <c r="Q1918" s="95"/>
      <c r="R1918" s="95"/>
      <c r="T1918" s="81"/>
      <c r="U1918" s="95"/>
      <c r="V1918" s="95"/>
      <c r="W1918" s="95"/>
    </row>
    <row r="1919" spans="5:23" ht="10.15" customHeight="1">
      <c r="E1919" s="95"/>
      <c r="F1919" s="95"/>
      <c r="G1919" s="95"/>
      <c r="H1919" s="95"/>
      <c r="I1919" s="95"/>
      <c r="J1919" s="95"/>
      <c r="K1919" s="95"/>
      <c r="L1919" s="95"/>
      <c r="M1919" s="95"/>
      <c r="N1919" s="95"/>
      <c r="O1919" s="95"/>
      <c r="P1919" s="95"/>
      <c r="Q1919" s="95"/>
      <c r="R1919" s="95"/>
      <c r="T1919" s="81"/>
      <c r="U1919" s="95"/>
      <c r="V1919" s="95"/>
      <c r="W1919" s="95"/>
    </row>
    <row r="1920" spans="5:23" ht="10.15" customHeight="1">
      <c r="E1920" s="95"/>
      <c r="F1920" s="95"/>
      <c r="G1920" s="95"/>
      <c r="H1920" s="95"/>
      <c r="I1920" s="95"/>
      <c r="J1920" s="95"/>
      <c r="K1920" s="95"/>
      <c r="L1920" s="95"/>
      <c r="M1920" s="95"/>
      <c r="N1920" s="95"/>
      <c r="O1920" s="95"/>
      <c r="P1920" s="95"/>
      <c r="Q1920" s="95"/>
      <c r="R1920" s="95"/>
      <c r="T1920" s="81"/>
      <c r="U1920" s="95"/>
      <c r="V1920" s="95"/>
      <c r="W1920" s="95"/>
    </row>
    <row r="1921" spans="5:23" ht="10.15" customHeight="1">
      <c r="E1921" s="95"/>
      <c r="F1921" s="95"/>
      <c r="G1921" s="95"/>
      <c r="H1921" s="95"/>
      <c r="I1921" s="95"/>
      <c r="J1921" s="95"/>
      <c r="K1921" s="95"/>
      <c r="L1921" s="95"/>
      <c r="M1921" s="95"/>
      <c r="N1921" s="95"/>
      <c r="O1921" s="95"/>
      <c r="P1921" s="95"/>
      <c r="Q1921" s="95"/>
      <c r="R1921" s="95"/>
      <c r="T1921" s="81"/>
      <c r="U1921" s="95"/>
      <c r="V1921" s="95"/>
      <c r="W1921" s="95"/>
    </row>
    <row r="1922" spans="5:23" ht="10.15" customHeight="1">
      <c r="E1922" s="95"/>
      <c r="F1922" s="95"/>
      <c r="G1922" s="95"/>
      <c r="H1922" s="95"/>
      <c r="I1922" s="95"/>
      <c r="J1922" s="95"/>
      <c r="K1922" s="95"/>
      <c r="L1922" s="95"/>
      <c r="M1922" s="95"/>
      <c r="N1922" s="95"/>
      <c r="O1922" s="95"/>
      <c r="P1922" s="95"/>
      <c r="Q1922" s="95"/>
      <c r="R1922" s="95"/>
      <c r="T1922" s="81"/>
      <c r="U1922" s="95"/>
      <c r="V1922" s="95"/>
      <c r="W1922" s="95"/>
    </row>
    <row r="1923" spans="5:23" ht="10.15" customHeight="1">
      <c r="E1923" s="95"/>
      <c r="F1923" s="95"/>
      <c r="G1923" s="95"/>
      <c r="H1923" s="95"/>
      <c r="I1923" s="95"/>
      <c r="J1923" s="95"/>
      <c r="K1923" s="95"/>
      <c r="L1923" s="95"/>
      <c r="M1923" s="95"/>
      <c r="N1923" s="95"/>
      <c r="O1923" s="95"/>
      <c r="P1923" s="95"/>
      <c r="Q1923" s="95"/>
      <c r="R1923" s="95"/>
      <c r="T1923" s="81"/>
      <c r="U1923" s="95"/>
      <c r="V1923" s="95"/>
      <c r="W1923" s="95"/>
    </row>
    <row r="1924" spans="5:23" ht="10.15" customHeight="1">
      <c r="E1924" s="95"/>
      <c r="F1924" s="95"/>
      <c r="G1924" s="95"/>
      <c r="H1924" s="95"/>
      <c r="I1924" s="95"/>
      <c r="J1924" s="95"/>
      <c r="K1924" s="95"/>
      <c r="L1924" s="95"/>
      <c r="M1924" s="95"/>
      <c r="N1924" s="95"/>
      <c r="O1924" s="95"/>
      <c r="P1924" s="95"/>
      <c r="Q1924" s="95"/>
      <c r="R1924" s="95"/>
      <c r="T1924" s="81"/>
      <c r="U1924" s="95"/>
      <c r="V1924" s="95"/>
      <c r="W1924" s="95"/>
    </row>
    <row r="1925" spans="5:23" ht="10.15" customHeight="1">
      <c r="E1925" s="95"/>
      <c r="F1925" s="95"/>
      <c r="G1925" s="95"/>
      <c r="H1925" s="95"/>
      <c r="I1925" s="95"/>
      <c r="J1925" s="95"/>
      <c r="K1925" s="95"/>
      <c r="L1925" s="95"/>
      <c r="M1925" s="95"/>
      <c r="N1925" s="95"/>
      <c r="O1925" s="95"/>
      <c r="P1925" s="95"/>
      <c r="Q1925" s="95"/>
      <c r="R1925" s="95"/>
      <c r="T1925" s="81"/>
      <c r="U1925" s="95"/>
      <c r="V1925" s="95"/>
      <c r="W1925" s="95"/>
    </row>
    <row r="1926" spans="5:23" ht="10.15" customHeight="1">
      <c r="E1926" s="95"/>
      <c r="F1926" s="95"/>
      <c r="G1926" s="95"/>
      <c r="H1926" s="95"/>
      <c r="I1926" s="95"/>
      <c r="J1926" s="95"/>
      <c r="K1926" s="95"/>
      <c r="L1926" s="95"/>
      <c r="M1926" s="95"/>
      <c r="N1926" s="95"/>
      <c r="O1926" s="95"/>
      <c r="P1926" s="95"/>
      <c r="Q1926" s="95"/>
      <c r="R1926" s="95"/>
      <c r="T1926" s="81"/>
      <c r="U1926" s="95"/>
      <c r="V1926" s="95"/>
      <c r="W1926" s="95"/>
    </row>
    <row r="1927" spans="5:23" ht="10.15" customHeight="1">
      <c r="E1927" s="95"/>
      <c r="F1927" s="95"/>
      <c r="G1927" s="95"/>
      <c r="H1927" s="95"/>
      <c r="I1927" s="95"/>
      <c r="J1927" s="95"/>
      <c r="K1927" s="95"/>
      <c r="L1927" s="95"/>
      <c r="M1927" s="95"/>
      <c r="N1927" s="95"/>
      <c r="O1927" s="95"/>
      <c r="P1927" s="95"/>
      <c r="Q1927" s="95"/>
      <c r="R1927" s="95"/>
      <c r="T1927" s="81"/>
      <c r="U1927" s="95"/>
      <c r="V1927" s="95"/>
      <c r="W1927" s="95"/>
    </row>
    <row r="1928" spans="5:23" ht="10.15" customHeight="1">
      <c r="E1928" s="95"/>
      <c r="F1928" s="95"/>
      <c r="G1928" s="95"/>
      <c r="H1928" s="95"/>
      <c r="I1928" s="95"/>
      <c r="J1928" s="95"/>
      <c r="K1928" s="95"/>
      <c r="L1928" s="95"/>
      <c r="M1928" s="95"/>
      <c r="N1928" s="95"/>
      <c r="O1928" s="95"/>
      <c r="P1928" s="95"/>
      <c r="Q1928" s="95"/>
      <c r="R1928" s="95"/>
      <c r="T1928" s="81"/>
      <c r="U1928" s="95"/>
      <c r="V1928" s="95"/>
      <c r="W1928" s="95"/>
    </row>
    <row r="1929" spans="5:23" ht="10.15" customHeight="1">
      <c r="E1929" s="95"/>
      <c r="F1929" s="95"/>
      <c r="G1929" s="95"/>
      <c r="H1929" s="95"/>
      <c r="I1929" s="95"/>
      <c r="J1929" s="95"/>
      <c r="K1929" s="95"/>
      <c r="L1929" s="95"/>
      <c r="M1929" s="95"/>
      <c r="N1929" s="95"/>
      <c r="O1929" s="95"/>
      <c r="P1929" s="95"/>
      <c r="Q1929" s="95"/>
      <c r="R1929" s="95"/>
      <c r="T1929" s="81"/>
      <c r="U1929" s="95"/>
      <c r="V1929" s="95"/>
      <c r="W1929" s="95"/>
    </row>
    <row r="1930" spans="5:23" ht="10.15" customHeight="1">
      <c r="E1930" s="95"/>
      <c r="F1930" s="95"/>
      <c r="G1930" s="95"/>
      <c r="H1930" s="95"/>
      <c r="I1930" s="95"/>
      <c r="J1930" s="95"/>
      <c r="K1930" s="95"/>
      <c r="L1930" s="95"/>
      <c r="M1930" s="95"/>
      <c r="N1930" s="95"/>
      <c r="O1930" s="95"/>
      <c r="P1930" s="95"/>
      <c r="Q1930" s="95"/>
      <c r="R1930" s="95"/>
      <c r="T1930" s="81"/>
      <c r="U1930" s="95"/>
      <c r="V1930" s="95"/>
      <c r="W1930" s="95"/>
    </row>
    <row r="1931" spans="5:23" ht="10.15" customHeight="1">
      <c r="E1931" s="95"/>
      <c r="F1931" s="95"/>
      <c r="G1931" s="95"/>
      <c r="H1931" s="95"/>
      <c r="I1931" s="95"/>
      <c r="J1931" s="95"/>
      <c r="K1931" s="95"/>
      <c r="L1931" s="95"/>
      <c r="M1931" s="95"/>
      <c r="N1931" s="95"/>
      <c r="O1931" s="95"/>
      <c r="P1931" s="95"/>
      <c r="Q1931" s="95"/>
      <c r="R1931" s="95"/>
      <c r="T1931" s="81"/>
      <c r="U1931" s="95"/>
      <c r="V1931" s="95"/>
      <c r="W1931" s="95"/>
    </row>
    <row r="1932" spans="5:23" ht="10.15" customHeight="1">
      <c r="E1932" s="95"/>
      <c r="F1932" s="95"/>
      <c r="G1932" s="95"/>
      <c r="H1932" s="95"/>
      <c r="I1932" s="95"/>
      <c r="J1932" s="95"/>
      <c r="K1932" s="95"/>
      <c r="L1932" s="95"/>
      <c r="M1932" s="95"/>
      <c r="N1932" s="95"/>
      <c r="O1932" s="95"/>
      <c r="P1932" s="95"/>
      <c r="Q1932" s="95"/>
      <c r="R1932" s="95"/>
      <c r="T1932" s="81"/>
      <c r="U1932" s="95"/>
      <c r="V1932" s="95"/>
      <c r="W1932" s="95"/>
    </row>
    <row r="1933" spans="5:23" ht="10.15" customHeight="1">
      <c r="E1933" s="95"/>
      <c r="F1933" s="95"/>
      <c r="G1933" s="95"/>
      <c r="H1933" s="95"/>
      <c r="I1933" s="95"/>
      <c r="J1933" s="95"/>
      <c r="K1933" s="95"/>
      <c r="L1933" s="95"/>
      <c r="M1933" s="95"/>
      <c r="N1933" s="95"/>
      <c r="O1933" s="95"/>
      <c r="P1933" s="95"/>
      <c r="Q1933" s="95"/>
      <c r="R1933" s="95"/>
      <c r="T1933" s="81"/>
      <c r="U1933" s="95"/>
      <c r="V1933" s="95"/>
      <c r="W1933" s="95"/>
    </row>
    <row r="1934" spans="5:23" ht="10.15" customHeight="1">
      <c r="E1934" s="95"/>
      <c r="F1934" s="95"/>
      <c r="G1934" s="95"/>
      <c r="H1934" s="95"/>
      <c r="I1934" s="95"/>
      <c r="J1934" s="95"/>
      <c r="K1934" s="95"/>
      <c r="L1934" s="95"/>
      <c r="M1934" s="95"/>
      <c r="N1934" s="95"/>
      <c r="O1934" s="95"/>
      <c r="P1934" s="95"/>
      <c r="Q1934" s="95"/>
      <c r="R1934" s="95"/>
      <c r="T1934" s="81"/>
      <c r="U1934" s="95"/>
      <c r="V1934" s="95"/>
      <c r="W1934" s="95"/>
    </row>
    <row r="1935" spans="5:23" ht="10.15" customHeight="1">
      <c r="E1935" s="95"/>
      <c r="F1935" s="95"/>
      <c r="G1935" s="95"/>
      <c r="H1935" s="95"/>
      <c r="I1935" s="95"/>
      <c r="J1935" s="95"/>
      <c r="K1935" s="95"/>
      <c r="L1935" s="95"/>
      <c r="M1935" s="95"/>
      <c r="N1935" s="95"/>
      <c r="O1935" s="95"/>
      <c r="P1935" s="95"/>
      <c r="Q1935" s="95"/>
      <c r="R1935" s="95"/>
      <c r="T1935" s="81"/>
      <c r="U1935" s="95"/>
      <c r="V1935" s="95"/>
      <c r="W1935" s="95"/>
    </row>
    <row r="1936" spans="5:23" ht="10.15" customHeight="1">
      <c r="E1936" s="95"/>
      <c r="F1936" s="95"/>
      <c r="G1936" s="95"/>
      <c r="H1936" s="95"/>
      <c r="I1936" s="95"/>
      <c r="J1936" s="95"/>
      <c r="K1936" s="95"/>
      <c r="L1936" s="95"/>
      <c r="M1936" s="95"/>
      <c r="N1936" s="95"/>
      <c r="O1936" s="95"/>
      <c r="P1936" s="95"/>
      <c r="Q1936" s="95"/>
      <c r="R1936" s="95"/>
      <c r="T1936" s="81"/>
      <c r="U1936" s="95"/>
      <c r="V1936" s="95"/>
      <c r="W1936" s="95"/>
    </row>
    <row r="1937" spans="5:23" ht="10.15" customHeight="1">
      <c r="E1937" s="95"/>
      <c r="F1937" s="95"/>
      <c r="G1937" s="95"/>
      <c r="H1937" s="95"/>
      <c r="I1937" s="95"/>
      <c r="J1937" s="95"/>
      <c r="K1937" s="95"/>
      <c r="L1937" s="95"/>
      <c r="M1937" s="95"/>
      <c r="N1937" s="95"/>
      <c r="O1937" s="95"/>
      <c r="P1937" s="95"/>
      <c r="Q1937" s="95"/>
      <c r="R1937" s="95"/>
      <c r="T1937" s="81"/>
      <c r="U1937" s="95"/>
      <c r="V1937" s="95"/>
      <c r="W1937" s="95"/>
    </row>
    <row r="1938" spans="5:23" ht="10.15" customHeight="1">
      <c r="E1938" s="95"/>
      <c r="F1938" s="95"/>
      <c r="G1938" s="95"/>
      <c r="H1938" s="95"/>
      <c r="I1938" s="95"/>
      <c r="J1938" s="95"/>
      <c r="K1938" s="95"/>
      <c r="L1938" s="95"/>
      <c r="M1938" s="95"/>
      <c r="N1938" s="95"/>
      <c r="O1938" s="95"/>
      <c r="P1938" s="95"/>
      <c r="Q1938" s="95"/>
      <c r="R1938" s="95"/>
      <c r="T1938" s="81"/>
      <c r="U1938" s="95"/>
      <c r="V1938" s="95"/>
      <c r="W1938" s="95"/>
    </row>
    <row r="1939" spans="5:23" ht="10.15" customHeight="1">
      <c r="E1939" s="95"/>
      <c r="F1939" s="95"/>
      <c r="G1939" s="95"/>
      <c r="H1939" s="95"/>
      <c r="I1939" s="95"/>
      <c r="J1939" s="95"/>
      <c r="K1939" s="95"/>
      <c r="L1939" s="95"/>
      <c r="M1939" s="95"/>
      <c r="N1939" s="95"/>
      <c r="O1939" s="95"/>
      <c r="P1939" s="95"/>
      <c r="Q1939" s="95"/>
      <c r="R1939" s="95"/>
      <c r="T1939" s="81"/>
      <c r="U1939" s="95"/>
      <c r="V1939" s="95"/>
      <c r="W1939" s="95"/>
    </row>
    <row r="1940" spans="5:23" ht="10.15" customHeight="1">
      <c r="E1940" s="95"/>
      <c r="F1940" s="95"/>
      <c r="G1940" s="95"/>
      <c r="H1940" s="95"/>
      <c r="I1940" s="95"/>
      <c r="J1940" s="95"/>
      <c r="K1940" s="95"/>
      <c r="L1940" s="95"/>
      <c r="M1940" s="95"/>
      <c r="N1940" s="95"/>
      <c r="O1940" s="95"/>
      <c r="P1940" s="95"/>
      <c r="Q1940" s="95"/>
      <c r="R1940" s="95"/>
      <c r="T1940" s="81"/>
      <c r="U1940" s="95"/>
      <c r="V1940" s="95"/>
      <c r="W1940" s="95"/>
    </row>
    <row r="1941" spans="5:23" ht="10.15" customHeight="1">
      <c r="E1941" s="95"/>
      <c r="F1941" s="95"/>
      <c r="G1941" s="95"/>
      <c r="H1941" s="95"/>
      <c r="I1941" s="95"/>
      <c r="J1941" s="95"/>
      <c r="K1941" s="95"/>
      <c r="L1941" s="95"/>
      <c r="M1941" s="95"/>
      <c r="N1941" s="95"/>
      <c r="O1941" s="95"/>
      <c r="P1941" s="95"/>
      <c r="Q1941" s="95"/>
      <c r="R1941" s="95"/>
      <c r="T1941" s="81"/>
      <c r="U1941" s="95"/>
      <c r="V1941" s="95"/>
      <c r="W1941" s="95"/>
    </row>
    <row r="1942" spans="5:23" ht="10.15" customHeight="1">
      <c r="E1942" s="95"/>
      <c r="F1942" s="95"/>
      <c r="G1942" s="95"/>
      <c r="H1942" s="95"/>
      <c r="I1942" s="95"/>
      <c r="J1942" s="95"/>
      <c r="K1942" s="95"/>
      <c r="L1942" s="95"/>
      <c r="M1942" s="95"/>
      <c r="N1942" s="95"/>
      <c r="O1942" s="95"/>
      <c r="P1942" s="95"/>
      <c r="Q1942" s="95"/>
      <c r="R1942" s="95"/>
      <c r="T1942" s="81"/>
      <c r="U1942" s="95"/>
      <c r="V1942" s="95"/>
      <c r="W1942" s="95"/>
    </row>
    <row r="1943" spans="5:23" ht="10.15" customHeight="1">
      <c r="E1943" s="95"/>
      <c r="F1943" s="95"/>
      <c r="G1943" s="95"/>
      <c r="H1943" s="95"/>
      <c r="I1943" s="95"/>
      <c r="J1943" s="95"/>
      <c r="K1943" s="95"/>
      <c r="L1943" s="95"/>
      <c r="M1943" s="95"/>
      <c r="N1943" s="95"/>
      <c r="O1943" s="95"/>
      <c r="P1943" s="95"/>
      <c r="Q1943" s="95"/>
      <c r="R1943" s="95"/>
      <c r="T1943" s="81"/>
      <c r="U1943" s="95"/>
      <c r="V1943" s="95"/>
      <c r="W1943" s="95"/>
    </row>
    <row r="1944" spans="5:23" ht="10.15" customHeight="1">
      <c r="E1944" s="95"/>
      <c r="F1944" s="95"/>
      <c r="G1944" s="95"/>
      <c r="H1944" s="95"/>
      <c r="I1944" s="95"/>
      <c r="J1944" s="95"/>
      <c r="K1944" s="95"/>
      <c r="L1944" s="95"/>
      <c r="M1944" s="95"/>
      <c r="N1944" s="95"/>
      <c r="O1944" s="95"/>
      <c r="P1944" s="95"/>
      <c r="Q1944" s="95"/>
      <c r="R1944" s="95"/>
      <c r="T1944" s="81"/>
      <c r="U1944" s="95"/>
      <c r="V1944" s="95"/>
      <c r="W1944" s="95"/>
    </row>
    <row r="1945" spans="5:23" ht="10.15" customHeight="1">
      <c r="E1945" s="95"/>
      <c r="F1945" s="95"/>
      <c r="G1945" s="95"/>
      <c r="H1945" s="95"/>
      <c r="I1945" s="95"/>
      <c r="J1945" s="95"/>
      <c r="K1945" s="95"/>
      <c r="L1945" s="95"/>
      <c r="M1945" s="95"/>
      <c r="N1945" s="95"/>
      <c r="O1945" s="95"/>
      <c r="P1945" s="95"/>
      <c r="Q1945" s="95"/>
      <c r="R1945" s="95"/>
      <c r="T1945" s="81"/>
      <c r="U1945" s="95"/>
      <c r="V1945" s="95"/>
      <c r="W1945" s="95"/>
    </row>
    <row r="1946" spans="5:23" ht="10.15" customHeight="1">
      <c r="E1946" s="95"/>
      <c r="F1946" s="95"/>
      <c r="G1946" s="95"/>
      <c r="H1946" s="95"/>
      <c r="I1946" s="95"/>
      <c r="J1946" s="95"/>
      <c r="K1946" s="95"/>
      <c r="L1946" s="95"/>
      <c r="M1946" s="95"/>
      <c r="N1946" s="95"/>
      <c r="O1946" s="95"/>
      <c r="P1946" s="95"/>
      <c r="Q1946" s="95"/>
      <c r="R1946" s="95"/>
      <c r="T1946" s="81"/>
      <c r="U1946" s="95"/>
      <c r="V1946" s="95"/>
      <c r="W1946" s="95"/>
    </row>
    <row r="1947" spans="5:23" ht="10.15" customHeight="1">
      <c r="E1947" s="95"/>
      <c r="F1947" s="95"/>
      <c r="G1947" s="95"/>
      <c r="H1947" s="95"/>
      <c r="I1947" s="95"/>
      <c r="J1947" s="95"/>
      <c r="K1947" s="95"/>
      <c r="L1947" s="95"/>
      <c r="M1947" s="95"/>
      <c r="N1947" s="95"/>
      <c r="O1947" s="95"/>
      <c r="P1947" s="95"/>
      <c r="Q1947" s="95"/>
      <c r="R1947" s="95"/>
      <c r="T1947" s="81"/>
      <c r="U1947" s="95"/>
      <c r="V1947" s="95"/>
      <c r="W1947" s="95"/>
    </row>
    <row r="1948" spans="5:23" ht="10.15" customHeight="1">
      <c r="E1948" s="95"/>
      <c r="F1948" s="95"/>
      <c r="G1948" s="95"/>
      <c r="H1948" s="95"/>
      <c r="I1948" s="95"/>
      <c r="J1948" s="95"/>
      <c r="K1948" s="95"/>
      <c r="L1948" s="95"/>
      <c r="M1948" s="95"/>
      <c r="N1948" s="95"/>
      <c r="O1948" s="95"/>
      <c r="P1948" s="95"/>
      <c r="Q1948" s="95"/>
      <c r="R1948" s="95"/>
      <c r="T1948" s="81"/>
      <c r="U1948" s="95"/>
      <c r="V1948" s="95"/>
      <c r="W1948" s="95"/>
    </row>
    <row r="1949" spans="5:23" ht="10.15" customHeight="1">
      <c r="E1949" s="95"/>
      <c r="F1949" s="95"/>
      <c r="G1949" s="95"/>
      <c r="H1949" s="95"/>
      <c r="I1949" s="95"/>
      <c r="J1949" s="95"/>
      <c r="K1949" s="95"/>
      <c r="L1949" s="95"/>
      <c r="M1949" s="95"/>
      <c r="N1949" s="95"/>
      <c r="O1949" s="95"/>
      <c r="P1949" s="95"/>
      <c r="Q1949" s="95"/>
      <c r="R1949" s="95"/>
      <c r="T1949" s="81"/>
      <c r="U1949" s="95"/>
      <c r="V1949" s="95"/>
      <c r="W1949" s="95"/>
    </row>
    <row r="1950" spans="5:23" ht="10.15" customHeight="1">
      <c r="E1950" s="95"/>
      <c r="F1950" s="95"/>
      <c r="G1950" s="95"/>
      <c r="H1950" s="95"/>
      <c r="I1950" s="95"/>
      <c r="J1950" s="95"/>
      <c r="K1950" s="95"/>
      <c r="L1950" s="95"/>
      <c r="M1950" s="95"/>
      <c r="N1950" s="95"/>
      <c r="O1950" s="95"/>
      <c r="P1950" s="95"/>
      <c r="Q1950" s="95"/>
      <c r="R1950" s="95"/>
      <c r="T1950" s="81"/>
      <c r="U1950" s="95"/>
      <c r="V1950" s="95"/>
      <c r="W1950" s="95"/>
    </row>
    <row r="1951" spans="5:23" ht="10.15" customHeight="1">
      <c r="E1951" s="95"/>
      <c r="F1951" s="95"/>
      <c r="G1951" s="95"/>
      <c r="H1951" s="95"/>
      <c r="I1951" s="95"/>
      <c r="J1951" s="95"/>
      <c r="K1951" s="95"/>
      <c r="L1951" s="95"/>
      <c r="M1951" s="95"/>
      <c r="N1951" s="95"/>
      <c r="O1951" s="95"/>
      <c r="P1951" s="95"/>
      <c r="Q1951" s="95"/>
      <c r="R1951" s="95"/>
      <c r="T1951" s="81"/>
      <c r="U1951" s="95"/>
      <c r="V1951" s="95"/>
      <c r="W1951" s="95"/>
    </row>
    <row r="1952" spans="5:23" ht="10.15" customHeight="1">
      <c r="E1952" s="95"/>
      <c r="F1952" s="95"/>
      <c r="G1952" s="95"/>
      <c r="H1952" s="95"/>
      <c r="I1952" s="95"/>
      <c r="J1952" s="95"/>
      <c r="K1952" s="95"/>
      <c r="L1952" s="95"/>
      <c r="M1952" s="95"/>
      <c r="N1952" s="95"/>
      <c r="O1952" s="95"/>
      <c r="P1952" s="95"/>
      <c r="Q1952" s="95"/>
      <c r="R1952" s="95"/>
      <c r="T1952" s="81"/>
      <c r="U1952" s="95"/>
      <c r="V1952" s="95"/>
      <c r="W1952" s="95"/>
    </row>
    <row r="1953" spans="5:23" ht="10.15" customHeight="1">
      <c r="E1953" s="95"/>
      <c r="F1953" s="95"/>
      <c r="G1953" s="95"/>
      <c r="H1953" s="95"/>
      <c r="I1953" s="95"/>
      <c r="J1953" s="95"/>
      <c r="K1953" s="95"/>
      <c r="L1953" s="95"/>
      <c r="M1953" s="95"/>
      <c r="N1953" s="95"/>
      <c r="O1953" s="95"/>
      <c r="P1953" s="95"/>
      <c r="Q1953" s="95"/>
      <c r="R1953" s="95"/>
      <c r="T1953" s="81"/>
      <c r="U1953" s="95"/>
      <c r="V1953" s="95"/>
      <c r="W1953" s="95"/>
    </row>
    <row r="1954" spans="5:23" ht="10.15" customHeight="1">
      <c r="E1954" s="95"/>
      <c r="F1954" s="95"/>
      <c r="G1954" s="95"/>
      <c r="H1954" s="95"/>
      <c r="I1954" s="95"/>
      <c r="J1954" s="95"/>
      <c r="K1954" s="95"/>
      <c r="L1954" s="95"/>
      <c r="M1954" s="95"/>
      <c r="N1954" s="95"/>
      <c r="O1954" s="95"/>
      <c r="P1954" s="95"/>
      <c r="Q1954" s="95"/>
      <c r="R1954" s="95"/>
      <c r="T1954" s="81"/>
      <c r="U1954" s="95"/>
      <c r="V1954" s="95"/>
      <c r="W1954" s="95"/>
    </row>
    <row r="1955" spans="5:23" ht="10.15" customHeight="1">
      <c r="E1955" s="95"/>
      <c r="F1955" s="95"/>
      <c r="G1955" s="95"/>
      <c r="H1955" s="95"/>
      <c r="I1955" s="95"/>
      <c r="J1955" s="95"/>
      <c r="K1955" s="95"/>
      <c r="L1955" s="95"/>
      <c r="M1955" s="95"/>
      <c r="N1955" s="95"/>
      <c r="O1955" s="95"/>
      <c r="P1955" s="95"/>
      <c r="Q1955" s="95"/>
      <c r="R1955" s="95"/>
      <c r="T1955" s="81"/>
      <c r="U1955" s="95"/>
      <c r="V1955" s="95"/>
      <c r="W1955" s="95"/>
    </row>
    <row r="1956" spans="5:23" ht="10.15" customHeight="1">
      <c r="E1956" s="95"/>
      <c r="F1956" s="95"/>
      <c r="G1956" s="95"/>
      <c r="H1956" s="95"/>
      <c r="I1956" s="95"/>
      <c r="J1956" s="95"/>
      <c r="K1956" s="95"/>
      <c r="L1956" s="95"/>
      <c r="M1956" s="95"/>
      <c r="N1956" s="95"/>
      <c r="O1956" s="95"/>
      <c r="P1956" s="95"/>
      <c r="Q1956" s="95"/>
      <c r="R1956" s="95"/>
      <c r="T1956" s="81"/>
      <c r="U1956" s="95"/>
      <c r="V1956" s="95"/>
      <c r="W1956" s="95"/>
    </row>
    <row r="1957" spans="5:23" ht="10.15" customHeight="1">
      <c r="E1957" s="95"/>
      <c r="F1957" s="95"/>
      <c r="G1957" s="95"/>
      <c r="H1957" s="95"/>
      <c r="I1957" s="95"/>
      <c r="J1957" s="95"/>
      <c r="K1957" s="95"/>
      <c r="L1957" s="95"/>
      <c r="M1957" s="95"/>
      <c r="N1957" s="95"/>
      <c r="O1957" s="95"/>
      <c r="P1957" s="95"/>
      <c r="Q1957" s="95"/>
      <c r="R1957" s="95"/>
      <c r="T1957" s="81"/>
      <c r="U1957" s="95"/>
      <c r="V1957" s="95"/>
      <c r="W1957" s="95"/>
    </row>
    <row r="1958" spans="5:23" ht="10.15" customHeight="1">
      <c r="E1958" s="95"/>
      <c r="F1958" s="95"/>
      <c r="G1958" s="95"/>
      <c r="H1958" s="95"/>
      <c r="I1958" s="95"/>
      <c r="J1958" s="95"/>
      <c r="K1958" s="95"/>
      <c r="L1958" s="95"/>
      <c r="M1958" s="95"/>
      <c r="N1958" s="95"/>
      <c r="O1958" s="95"/>
      <c r="P1958" s="95"/>
      <c r="Q1958" s="95"/>
      <c r="R1958" s="95"/>
      <c r="T1958" s="81"/>
      <c r="U1958" s="95"/>
      <c r="V1958" s="95"/>
      <c r="W1958" s="95"/>
    </row>
    <row r="1959" spans="5:23" ht="10.15" customHeight="1">
      <c r="E1959" s="95"/>
      <c r="F1959" s="95"/>
      <c r="G1959" s="95"/>
      <c r="H1959" s="95"/>
      <c r="I1959" s="95"/>
      <c r="J1959" s="95"/>
      <c r="K1959" s="95"/>
      <c r="L1959" s="95"/>
      <c r="M1959" s="95"/>
      <c r="N1959" s="95"/>
      <c r="O1959" s="95"/>
      <c r="P1959" s="95"/>
      <c r="Q1959" s="95"/>
      <c r="R1959" s="95"/>
      <c r="T1959" s="81"/>
      <c r="U1959" s="95"/>
      <c r="V1959" s="95"/>
      <c r="W1959" s="95"/>
    </row>
    <row r="1960" spans="5:23" ht="10.15" customHeight="1">
      <c r="E1960" s="95"/>
      <c r="F1960" s="95"/>
      <c r="G1960" s="95"/>
      <c r="H1960" s="95"/>
      <c r="I1960" s="95"/>
      <c r="J1960" s="95"/>
      <c r="K1960" s="95"/>
      <c r="L1960" s="95"/>
      <c r="M1960" s="95"/>
      <c r="N1960" s="95"/>
      <c r="O1960" s="95"/>
      <c r="P1960" s="95"/>
      <c r="Q1960" s="95"/>
      <c r="R1960" s="95"/>
      <c r="T1960" s="81"/>
      <c r="U1960" s="95"/>
      <c r="V1960" s="95"/>
      <c r="W1960" s="95"/>
    </row>
    <row r="1961" spans="5:23" ht="10.15" customHeight="1">
      <c r="E1961" s="95"/>
      <c r="F1961" s="95"/>
      <c r="G1961" s="95"/>
      <c r="H1961" s="95"/>
      <c r="I1961" s="95"/>
      <c r="J1961" s="95"/>
      <c r="K1961" s="95"/>
      <c r="L1961" s="95"/>
      <c r="M1961" s="95"/>
      <c r="N1961" s="95"/>
      <c r="O1961" s="95"/>
      <c r="P1961" s="95"/>
      <c r="Q1961" s="95"/>
      <c r="R1961" s="95"/>
      <c r="T1961" s="81"/>
      <c r="U1961" s="95"/>
      <c r="V1961" s="95"/>
      <c r="W1961" s="95"/>
    </row>
    <row r="1962" spans="5:23" ht="10.15" customHeight="1">
      <c r="E1962" s="95"/>
      <c r="F1962" s="95"/>
      <c r="G1962" s="95"/>
      <c r="H1962" s="95"/>
      <c r="I1962" s="95"/>
      <c r="J1962" s="95"/>
      <c r="K1962" s="95"/>
      <c r="L1962" s="95"/>
      <c r="M1962" s="95"/>
      <c r="N1962" s="95"/>
      <c r="O1962" s="95"/>
      <c r="P1962" s="95"/>
      <c r="Q1962" s="95"/>
      <c r="R1962" s="95"/>
      <c r="T1962" s="81"/>
      <c r="U1962" s="95"/>
      <c r="V1962" s="95"/>
      <c r="W1962" s="95"/>
    </row>
    <row r="1963" spans="5:23" ht="10.15" customHeight="1">
      <c r="E1963" s="95"/>
      <c r="F1963" s="95"/>
      <c r="G1963" s="95"/>
      <c r="H1963" s="95"/>
      <c r="I1963" s="95"/>
      <c r="J1963" s="95"/>
      <c r="K1963" s="95"/>
      <c r="L1963" s="95"/>
      <c r="M1963" s="95"/>
      <c r="N1963" s="95"/>
      <c r="O1963" s="95"/>
      <c r="P1963" s="95"/>
      <c r="Q1963" s="95"/>
      <c r="R1963" s="95"/>
      <c r="T1963" s="81"/>
      <c r="U1963" s="95"/>
      <c r="V1963" s="95"/>
      <c r="W1963" s="95"/>
    </row>
    <row r="1964" spans="5:23" ht="10.15" customHeight="1">
      <c r="E1964" s="95"/>
      <c r="F1964" s="95"/>
      <c r="G1964" s="95"/>
      <c r="H1964" s="95"/>
      <c r="I1964" s="95"/>
      <c r="J1964" s="95"/>
      <c r="K1964" s="95"/>
      <c r="L1964" s="95"/>
      <c r="M1964" s="95"/>
      <c r="N1964" s="95"/>
      <c r="O1964" s="95"/>
      <c r="P1964" s="95"/>
      <c r="Q1964" s="95"/>
      <c r="R1964" s="95"/>
      <c r="T1964" s="81"/>
      <c r="U1964" s="95"/>
      <c r="V1964" s="95"/>
      <c r="W1964" s="95"/>
    </row>
    <row r="1965" spans="5:23" ht="10.15" customHeight="1">
      <c r="E1965" s="95"/>
      <c r="F1965" s="95"/>
      <c r="G1965" s="95"/>
      <c r="H1965" s="95"/>
      <c r="I1965" s="95"/>
      <c r="J1965" s="95"/>
      <c r="K1965" s="95"/>
      <c r="L1965" s="95"/>
      <c r="M1965" s="95"/>
      <c r="N1965" s="95"/>
      <c r="O1965" s="95"/>
      <c r="P1965" s="95"/>
      <c r="Q1965" s="95"/>
      <c r="R1965" s="95"/>
      <c r="T1965" s="81"/>
      <c r="U1965" s="95"/>
      <c r="V1965" s="95"/>
      <c r="W1965" s="95"/>
    </row>
    <row r="1966" spans="5:23" ht="10.15" customHeight="1">
      <c r="E1966" s="95"/>
      <c r="F1966" s="95"/>
      <c r="G1966" s="95"/>
      <c r="H1966" s="95"/>
      <c r="I1966" s="95"/>
      <c r="J1966" s="95"/>
      <c r="K1966" s="95"/>
      <c r="L1966" s="95"/>
      <c r="M1966" s="95"/>
      <c r="N1966" s="95"/>
      <c r="O1966" s="95"/>
      <c r="P1966" s="95"/>
      <c r="Q1966" s="95"/>
      <c r="R1966" s="95"/>
      <c r="T1966" s="81"/>
      <c r="U1966" s="95"/>
      <c r="V1966" s="95"/>
      <c r="W1966" s="95"/>
    </row>
    <row r="1967" spans="5:23" ht="10.15" customHeight="1">
      <c r="E1967" s="95"/>
      <c r="F1967" s="95"/>
      <c r="G1967" s="95"/>
      <c r="H1967" s="95"/>
      <c r="I1967" s="95"/>
      <c r="J1967" s="95"/>
      <c r="K1967" s="95"/>
      <c r="L1967" s="95"/>
      <c r="M1967" s="95"/>
      <c r="N1967" s="95"/>
      <c r="O1967" s="95"/>
      <c r="P1967" s="95"/>
      <c r="Q1967" s="95"/>
      <c r="R1967" s="95"/>
      <c r="T1967" s="81"/>
      <c r="U1967" s="95"/>
      <c r="V1967" s="95"/>
      <c r="W1967" s="95"/>
    </row>
    <row r="1968" spans="5:23" ht="10.15" customHeight="1">
      <c r="E1968" s="95"/>
      <c r="F1968" s="95"/>
      <c r="G1968" s="95"/>
      <c r="H1968" s="95"/>
      <c r="I1968" s="95"/>
      <c r="J1968" s="95"/>
      <c r="K1968" s="95"/>
      <c r="L1968" s="95"/>
      <c r="M1968" s="95"/>
      <c r="N1968" s="95"/>
      <c r="O1968" s="95"/>
      <c r="P1968" s="95"/>
      <c r="Q1968" s="95"/>
      <c r="R1968" s="95"/>
      <c r="T1968" s="81"/>
      <c r="U1968" s="95"/>
      <c r="V1968" s="95"/>
      <c r="W1968" s="95"/>
    </row>
    <row r="1969" spans="5:23" ht="10.15" customHeight="1">
      <c r="E1969" s="95"/>
      <c r="F1969" s="95"/>
      <c r="G1969" s="95"/>
      <c r="H1969" s="95"/>
      <c r="I1969" s="95"/>
      <c r="J1969" s="95"/>
      <c r="K1969" s="95"/>
      <c r="L1969" s="95"/>
      <c r="M1969" s="95"/>
      <c r="N1969" s="95"/>
      <c r="O1969" s="95"/>
      <c r="P1969" s="95"/>
      <c r="Q1969" s="95"/>
      <c r="R1969" s="95"/>
      <c r="T1969" s="81"/>
      <c r="U1969" s="95"/>
      <c r="V1969" s="95"/>
      <c r="W1969" s="95"/>
    </row>
    <row r="1970" spans="5:23" ht="10.15" customHeight="1">
      <c r="E1970" s="95"/>
      <c r="F1970" s="95"/>
      <c r="G1970" s="95"/>
      <c r="H1970" s="95"/>
      <c r="I1970" s="95"/>
      <c r="J1970" s="95"/>
      <c r="K1970" s="95"/>
      <c r="L1970" s="95"/>
      <c r="M1970" s="95"/>
      <c r="N1970" s="95"/>
      <c r="O1970" s="95"/>
      <c r="P1970" s="95"/>
      <c r="Q1970" s="95"/>
      <c r="R1970" s="95"/>
      <c r="T1970" s="81"/>
      <c r="U1970" s="95"/>
      <c r="V1970" s="95"/>
      <c r="W1970" s="95"/>
    </row>
    <row r="1971" spans="5:23" ht="10.15" customHeight="1">
      <c r="E1971" s="95"/>
      <c r="F1971" s="95"/>
      <c r="G1971" s="95"/>
      <c r="H1971" s="95"/>
      <c r="I1971" s="95"/>
      <c r="J1971" s="95"/>
      <c r="K1971" s="95"/>
      <c r="L1971" s="95"/>
      <c r="M1971" s="95"/>
      <c r="N1971" s="95"/>
      <c r="O1971" s="95"/>
      <c r="P1971" s="95"/>
      <c r="Q1971" s="95"/>
      <c r="R1971" s="95"/>
      <c r="T1971" s="81"/>
      <c r="U1971" s="95"/>
      <c r="V1971" s="95"/>
      <c r="W1971" s="95"/>
    </row>
    <row r="1972" spans="5:23" ht="10.15" customHeight="1">
      <c r="E1972" s="95"/>
      <c r="F1972" s="95"/>
      <c r="G1972" s="95"/>
      <c r="H1972" s="95"/>
      <c r="I1972" s="95"/>
      <c r="J1972" s="95"/>
      <c r="K1972" s="95"/>
      <c r="L1972" s="95"/>
      <c r="M1972" s="95"/>
      <c r="N1972" s="95"/>
      <c r="O1972" s="95"/>
      <c r="P1972" s="95"/>
      <c r="Q1972" s="95"/>
      <c r="R1972" s="95"/>
      <c r="T1972" s="81"/>
      <c r="U1972" s="95"/>
      <c r="V1972" s="95"/>
      <c r="W1972" s="95"/>
    </row>
    <row r="1973" spans="5:23" ht="10.15" customHeight="1">
      <c r="E1973" s="95"/>
      <c r="F1973" s="95"/>
      <c r="G1973" s="95"/>
      <c r="H1973" s="95"/>
      <c r="I1973" s="95"/>
      <c r="J1973" s="95"/>
      <c r="K1973" s="95"/>
      <c r="L1973" s="95"/>
      <c r="M1973" s="95"/>
      <c r="N1973" s="95"/>
      <c r="O1973" s="95"/>
      <c r="P1973" s="95"/>
      <c r="Q1973" s="95"/>
      <c r="R1973" s="95"/>
      <c r="T1973" s="81"/>
      <c r="U1973" s="95"/>
      <c r="V1973" s="95"/>
      <c r="W1973" s="95"/>
    </row>
    <row r="1974" spans="5:23" ht="10.15" customHeight="1">
      <c r="E1974" s="95"/>
      <c r="F1974" s="95"/>
      <c r="G1974" s="95"/>
      <c r="H1974" s="95"/>
      <c r="I1974" s="95"/>
      <c r="J1974" s="95"/>
      <c r="K1974" s="95"/>
      <c r="L1974" s="95"/>
      <c r="M1974" s="95"/>
      <c r="N1974" s="95"/>
      <c r="O1974" s="95"/>
      <c r="P1974" s="95"/>
      <c r="Q1974" s="95"/>
      <c r="R1974" s="95"/>
      <c r="T1974" s="81"/>
      <c r="U1974" s="95"/>
      <c r="V1974" s="95"/>
      <c r="W1974" s="95"/>
    </row>
    <row r="1975" spans="5:23" ht="10.15" customHeight="1">
      <c r="E1975" s="95"/>
      <c r="F1975" s="95"/>
      <c r="G1975" s="95"/>
      <c r="H1975" s="95"/>
      <c r="I1975" s="95"/>
      <c r="J1975" s="95"/>
      <c r="K1975" s="95"/>
      <c r="L1975" s="95"/>
      <c r="M1975" s="95"/>
      <c r="N1975" s="95"/>
      <c r="O1975" s="95"/>
      <c r="P1975" s="95"/>
      <c r="Q1975" s="95"/>
      <c r="R1975" s="95"/>
      <c r="T1975" s="81"/>
      <c r="U1975" s="95"/>
      <c r="V1975" s="95"/>
      <c r="W1975" s="95"/>
    </row>
    <row r="1976" spans="5:23" ht="10.15" customHeight="1">
      <c r="E1976" s="95"/>
      <c r="F1976" s="95"/>
      <c r="G1976" s="95"/>
      <c r="H1976" s="95"/>
      <c r="I1976" s="95"/>
      <c r="J1976" s="95"/>
      <c r="K1976" s="95"/>
      <c r="L1976" s="95"/>
      <c r="M1976" s="95"/>
      <c r="N1976" s="95"/>
      <c r="O1976" s="95"/>
      <c r="P1976" s="95"/>
      <c r="Q1976" s="95"/>
      <c r="R1976" s="95"/>
      <c r="T1976" s="81"/>
      <c r="U1976" s="95"/>
      <c r="V1976" s="95"/>
      <c r="W1976" s="95"/>
    </row>
    <row r="1977" spans="5:23" ht="10.15" customHeight="1">
      <c r="E1977" s="95"/>
      <c r="F1977" s="95"/>
      <c r="G1977" s="95"/>
      <c r="H1977" s="95"/>
      <c r="I1977" s="95"/>
      <c r="J1977" s="95"/>
      <c r="K1977" s="95"/>
      <c r="L1977" s="95"/>
      <c r="M1977" s="95"/>
      <c r="N1977" s="95"/>
      <c r="O1977" s="95"/>
      <c r="P1977" s="95"/>
      <c r="Q1977" s="95"/>
      <c r="R1977" s="95"/>
      <c r="T1977" s="81"/>
      <c r="U1977" s="95"/>
      <c r="V1977" s="95"/>
      <c r="W1977" s="95"/>
    </row>
    <row r="1978" spans="5:23" ht="10.15" customHeight="1">
      <c r="E1978" s="95"/>
      <c r="F1978" s="95"/>
      <c r="G1978" s="95"/>
      <c r="H1978" s="95"/>
      <c r="I1978" s="95"/>
      <c r="J1978" s="95"/>
      <c r="K1978" s="95"/>
      <c r="L1978" s="95"/>
      <c r="M1978" s="95"/>
      <c r="N1978" s="95"/>
      <c r="O1978" s="95"/>
      <c r="P1978" s="95"/>
      <c r="Q1978" s="95"/>
      <c r="R1978" s="95"/>
      <c r="T1978" s="81"/>
      <c r="U1978" s="95"/>
      <c r="V1978" s="95"/>
      <c r="W1978" s="95"/>
    </row>
    <row r="1979" spans="5:23" ht="10.15" customHeight="1">
      <c r="E1979" s="95"/>
      <c r="F1979" s="95"/>
      <c r="G1979" s="95"/>
      <c r="H1979" s="95"/>
      <c r="I1979" s="95"/>
      <c r="J1979" s="95"/>
      <c r="K1979" s="95"/>
      <c r="L1979" s="95"/>
      <c r="M1979" s="95"/>
      <c r="N1979" s="95"/>
      <c r="O1979" s="95"/>
      <c r="P1979" s="95"/>
      <c r="Q1979" s="95"/>
      <c r="R1979" s="95"/>
      <c r="T1979" s="81"/>
      <c r="U1979" s="95"/>
      <c r="V1979" s="95"/>
      <c r="W1979" s="95"/>
    </row>
    <row r="1980" spans="5:23" ht="10.15" customHeight="1">
      <c r="E1980" s="95"/>
      <c r="F1980" s="95"/>
      <c r="G1980" s="95"/>
      <c r="H1980" s="95"/>
      <c r="I1980" s="95"/>
      <c r="J1980" s="95"/>
      <c r="K1980" s="95"/>
      <c r="L1980" s="95"/>
      <c r="M1980" s="95"/>
      <c r="N1980" s="95"/>
      <c r="O1980" s="95"/>
      <c r="P1980" s="95"/>
      <c r="Q1980" s="95"/>
      <c r="R1980" s="95"/>
      <c r="T1980" s="81"/>
      <c r="U1980" s="95"/>
      <c r="V1980" s="95"/>
      <c r="W1980" s="95"/>
    </row>
    <row r="1981" spans="5:23" ht="10.15" customHeight="1">
      <c r="E1981" s="95"/>
      <c r="F1981" s="95"/>
      <c r="G1981" s="95"/>
      <c r="H1981" s="95"/>
      <c r="I1981" s="95"/>
      <c r="J1981" s="95"/>
      <c r="K1981" s="95"/>
      <c r="L1981" s="95"/>
      <c r="M1981" s="95"/>
      <c r="N1981" s="95"/>
      <c r="O1981" s="95"/>
      <c r="P1981" s="95"/>
      <c r="Q1981" s="95"/>
      <c r="R1981" s="95"/>
      <c r="T1981" s="81"/>
      <c r="U1981" s="95"/>
      <c r="V1981" s="95"/>
      <c r="W1981" s="95"/>
    </row>
    <row r="1982" spans="5:23" ht="10.15" customHeight="1">
      <c r="E1982" s="95"/>
      <c r="F1982" s="95"/>
      <c r="G1982" s="95"/>
      <c r="H1982" s="95"/>
      <c r="I1982" s="95"/>
      <c r="J1982" s="95"/>
      <c r="K1982" s="95"/>
      <c r="L1982" s="95"/>
      <c r="M1982" s="95"/>
      <c r="N1982" s="95"/>
      <c r="O1982" s="95"/>
      <c r="P1982" s="95"/>
      <c r="Q1982" s="95"/>
      <c r="R1982" s="95"/>
      <c r="T1982" s="81"/>
      <c r="U1982" s="95"/>
      <c r="V1982" s="95"/>
      <c r="W1982" s="95"/>
    </row>
    <row r="1983" spans="5:23" ht="10.15" customHeight="1">
      <c r="E1983" s="95"/>
      <c r="F1983" s="95"/>
      <c r="G1983" s="95"/>
      <c r="H1983" s="95"/>
      <c r="I1983" s="95"/>
      <c r="J1983" s="95"/>
      <c r="K1983" s="95"/>
      <c r="L1983" s="95"/>
      <c r="M1983" s="95"/>
      <c r="N1983" s="95"/>
      <c r="O1983" s="95"/>
      <c r="P1983" s="95"/>
      <c r="Q1983" s="95"/>
      <c r="R1983" s="95"/>
      <c r="T1983" s="81"/>
      <c r="U1983" s="95"/>
      <c r="V1983" s="95"/>
      <c r="W1983" s="95"/>
    </row>
    <row r="1984" spans="5:23" ht="10.15" customHeight="1">
      <c r="E1984" s="95"/>
      <c r="F1984" s="95"/>
      <c r="G1984" s="95"/>
      <c r="H1984" s="95"/>
      <c r="I1984" s="95"/>
      <c r="J1984" s="95"/>
      <c r="K1984" s="95"/>
      <c r="L1984" s="95"/>
      <c r="M1984" s="95"/>
      <c r="N1984" s="95"/>
      <c r="O1984" s="95"/>
      <c r="P1984" s="95"/>
      <c r="Q1984" s="95"/>
      <c r="R1984" s="95"/>
      <c r="T1984" s="81"/>
      <c r="U1984" s="95"/>
      <c r="V1984" s="95"/>
      <c r="W1984" s="95"/>
    </row>
    <row r="1985" spans="5:23" ht="10.15" customHeight="1">
      <c r="E1985" s="95"/>
      <c r="F1985" s="95"/>
      <c r="G1985" s="95"/>
      <c r="H1985" s="95"/>
      <c r="I1985" s="95"/>
      <c r="J1985" s="95"/>
      <c r="K1985" s="95"/>
      <c r="L1985" s="95"/>
      <c r="M1985" s="95"/>
      <c r="N1985" s="95"/>
      <c r="O1985" s="95"/>
      <c r="P1985" s="95"/>
      <c r="Q1985" s="95"/>
      <c r="R1985" s="95"/>
      <c r="T1985" s="81"/>
      <c r="U1985" s="95"/>
      <c r="V1985" s="95"/>
      <c r="W1985" s="95"/>
    </row>
    <row r="1986" spans="5:23" ht="10.15" customHeight="1">
      <c r="E1986" s="95"/>
      <c r="F1986" s="95"/>
      <c r="G1986" s="95"/>
      <c r="H1986" s="95"/>
      <c r="I1986" s="95"/>
      <c r="J1986" s="95"/>
      <c r="K1986" s="95"/>
      <c r="L1986" s="95"/>
      <c r="M1986" s="95"/>
      <c r="N1986" s="95"/>
      <c r="O1986" s="95"/>
      <c r="P1986" s="95"/>
      <c r="Q1986" s="95"/>
      <c r="R1986" s="95"/>
      <c r="T1986" s="81"/>
      <c r="U1986" s="95"/>
      <c r="V1986" s="95"/>
      <c r="W1986" s="95"/>
    </row>
    <row r="1987" spans="5:23" ht="10.15" customHeight="1">
      <c r="E1987" s="95"/>
      <c r="F1987" s="95"/>
      <c r="G1987" s="95"/>
      <c r="H1987" s="95"/>
      <c r="I1987" s="95"/>
      <c r="J1987" s="95"/>
      <c r="K1987" s="95"/>
      <c r="L1987" s="95"/>
      <c r="M1987" s="95"/>
      <c r="N1987" s="95"/>
      <c r="O1987" s="95"/>
      <c r="P1987" s="95"/>
      <c r="Q1987" s="95"/>
      <c r="R1987" s="95"/>
      <c r="T1987" s="81"/>
      <c r="U1987" s="95"/>
      <c r="V1987" s="95"/>
      <c r="W1987" s="95"/>
    </row>
    <row r="1988" spans="5:23" ht="10.15" customHeight="1">
      <c r="E1988" s="95"/>
      <c r="F1988" s="95"/>
      <c r="G1988" s="95"/>
      <c r="H1988" s="95"/>
      <c r="I1988" s="95"/>
      <c r="J1988" s="95"/>
      <c r="K1988" s="95"/>
      <c r="L1988" s="95"/>
      <c r="M1988" s="95"/>
      <c r="N1988" s="95"/>
      <c r="O1988" s="95"/>
      <c r="P1988" s="95"/>
      <c r="Q1988" s="95"/>
      <c r="R1988" s="95"/>
      <c r="T1988" s="81"/>
      <c r="U1988" s="95"/>
      <c r="V1988" s="95"/>
      <c r="W1988" s="95"/>
    </row>
    <row r="1989" spans="5:23" ht="10.15" customHeight="1">
      <c r="E1989" s="95"/>
      <c r="F1989" s="95"/>
      <c r="G1989" s="95"/>
      <c r="H1989" s="95"/>
      <c r="I1989" s="95"/>
      <c r="J1989" s="95"/>
      <c r="K1989" s="95"/>
      <c r="L1989" s="95"/>
      <c r="M1989" s="95"/>
      <c r="N1989" s="95"/>
      <c r="O1989" s="95"/>
      <c r="P1989" s="95"/>
      <c r="Q1989" s="95"/>
      <c r="R1989" s="95"/>
      <c r="T1989" s="81"/>
      <c r="U1989" s="95"/>
      <c r="V1989" s="95"/>
      <c r="W1989" s="95"/>
    </row>
    <row r="1990" spans="5:23" ht="10.15" customHeight="1">
      <c r="E1990" s="95"/>
      <c r="F1990" s="95"/>
      <c r="G1990" s="95"/>
      <c r="H1990" s="95"/>
      <c r="I1990" s="95"/>
      <c r="J1990" s="95"/>
      <c r="K1990" s="95"/>
      <c r="L1990" s="95"/>
      <c r="M1990" s="95"/>
      <c r="N1990" s="95"/>
      <c r="O1990" s="95"/>
      <c r="P1990" s="95"/>
      <c r="Q1990" s="95"/>
      <c r="R1990" s="95"/>
      <c r="T1990" s="81"/>
      <c r="U1990" s="95"/>
      <c r="V1990" s="95"/>
      <c r="W1990" s="95"/>
    </row>
    <row r="1991" spans="5:23" ht="10.15" customHeight="1">
      <c r="E1991" s="95"/>
      <c r="F1991" s="95"/>
      <c r="G1991" s="95"/>
      <c r="H1991" s="95"/>
      <c r="I1991" s="95"/>
      <c r="J1991" s="95"/>
      <c r="K1991" s="95"/>
      <c r="L1991" s="95"/>
      <c r="M1991" s="95"/>
      <c r="N1991" s="95"/>
      <c r="O1991" s="95"/>
      <c r="P1991" s="95"/>
      <c r="Q1991" s="95"/>
      <c r="R1991" s="95"/>
      <c r="T1991" s="81"/>
      <c r="U1991" s="95"/>
      <c r="V1991" s="95"/>
      <c r="W1991" s="95"/>
    </row>
    <row r="1992" spans="5:23" ht="10.15" customHeight="1">
      <c r="E1992" s="95"/>
      <c r="F1992" s="95"/>
      <c r="G1992" s="95"/>
      <c r="H1992" s="95"/>
      <c r="I1992" s="95"/>
      <c r="J1992" s="95"/>
      <c r="K1992" s="95"/>
      <c r="L1992" s="95"/>
      <c r="M1992" s="95"/>
      <c r="N1992" s="95"/>
      <c r="O1992" s="95"/>
      <c r="P1992" s="95"/>
      <c r="Q1992" s="95"/>
      <c r="R1992" s="95"/>
      <c r="T1992" s="81"/>
      <c r="U1992" s="95"/>
      <c r="V1992" s="95"/>
      <c r="W1992" s="95"/>
    </row>
    <row r="1993" spans="5:23" ht="10.15" customHeight="1">
      <c r="E1993" s="95"/>
      <c r="F1993" s="95"/>
      <c r="G1993" s="95"/>
      <c r="H1993" s="95"/>
      <c r="I1993" s="95"/>
      <c r="J1993" s="95"/>
      <c r="K1993" s="95"/>
      <c r="L1993" s="95"/>
      <c r="M1993" s="95"/>
      <c r="N1993" s="95"/>
      <c r="O1993" s="95"/>
      <c r="P1993" s="95"/>
      <c r="Q1993" s="95"/>
      <c r="R1993" s="95"/>
      <c r="T1993" s="81"/>
      <c r="U1993" s="95"/>
      <c r="V1993" s="95"/>
      <c r="W1993" s="95"/>
    </row>
    <row r="1994" spans="5:23" ht="10.15" customHeight="1">
      <c r="E1994" s="95"/>
      <c r="F1994" s="95"/>
      <c r="G1994" s="95"/>
      <c r="H1994" s="95"/>
      <c r="I1994" s="95"/>
      <c r="J1994" s="95"/>
      <c r="K1994" s="95"/>
      <c r="L1994" s="95"/>
      <c r="M1994" s="95"/>
      <c r="N1994" s="95"/>
      <c r="O1994" s="95"/>
      <c r="P1994" s="95"/>
      <c r="Q1994" s="95"/>
      <c r="R1994" s="95"/>
      <c r="T1994" s="81"/>
      <c r="U1994" s="95"/>
      <c r="V1994" s="95"/>
      <c r="W1994" s="95"/>
    </row>
    <row r="1995" spans="5:23" ht="10.15" customHeight="1">
      <c r="E1995" s="95"/>
      <c r="F1995" s="95"/>
      <c r="G1995" s="95"/>
      <c r="H1995" s="95"/>
      <c r="I1995" s="95"/>
      <c r="J1995" s="95"/>
      <c r="K1995" s="95"/>
      <c r="L1995" s="95"/>
      <c r="M1995" s="95"/>
      <c r="N1995" s="95"/>
      <c r="O1995" s="95"/>
      <c r="P1995" s="95"/>
      <c r="Q1995" s="95"/>
      <c r="R1995" s="95"/>
      <c r="T1995" s="81"/>
      <c r="U1995" s="95"/>
      <c r="V1995" s="95"/>
      <c r="W1995" s="95"/>
    </row>
    <row r="1996" spans="5:23" ht="10.15" customHeight="1">
      <c r="E1996" s="95"/>
      <c r="F1996" s="95"/>
      <c r="G1996" s="95"/>
      <c r="H1996" s="95"/>
      <c r="I1996" s="95"/>
      <c r="J1996" s="95"/>
      <c r="K1996" s="95"/>
      <c r="L1996" s="95"/>
      <c r="M1996" s="95"/>
      <c r="N1996" s="95"/>
      <c r="O1996" s="95"/>
      <c r="P1996" s="95"/>
      <c r="Q1996" s="95"/>
      <c r="R1996" s="95"/>
      <c r="T1996" s="81"/>
      <c r="U1996" s="95"/>
      <c r="V1996" s="95"/>
      <c r="W1996" s="95"/>
    </row>
    <row r="1997" spans="5:23" ht="10.15" customHeight="1">
      <c r="E1997" s="95"/>
      <c r="F1997" s="95"/>
      <c r="G1997" s="95"/>
      <c r="H1997" s="95"/>
      <c r="I1997" s="95"/>
      <c r="J1997" s="95"/>
      <c r="K1997" s="95"/>
      <c r="L1997" s="95"/>
      <c r="M1997" s="95"/>
      <c r="N1997" s="95"/>
      <c r="O1997" s="95"/>
      <c r="P1997" s="95"/>
      <c r="Q1997" s="95"/>
      <c r="R1997" s="95"/>
      <c r="T1997" s="81"/>
      <c r="U1997" s="95"/>
      <c r="V1997" s="95"/>
      <c r="W1997" s="95"/>
    </row>
    <row r="1998" spans="5:23" ht="10.15" customHeight="1">
      <c r="E1998" s="95"/>
      <c r="F1998" s="95"/>
      <c r="G1998" s="95"/>
      <c r="H1998" s="95"/>
      <c r="I1998" s="95"/>
      <c r="J1998" s="95"/>
      <c r="K1998" s="95"/>
      <c r="L1998" s="95"/>
      <c r="M1998" s="95"/>
      <c r="N1998" s="95"/>
      <c r="O1998" s="95"/>
      <c r="P1998" s="95"/>
      <c r="Q1998" s="95"/>
      <c r="R1998" s="95"/>
      <c r="T1998" s="81"/>
      <c r="U1998" s="95"/>
      <c r="V1998" s="95"/>
      <c r="W1998" s="95"/>
    </row>
    <row r="1999" spans="5:23" ht="10.15" customHeight="1">
      <c r="E1999" s="95"/>
      <c r="F1999" s="95"/>
      <c r="G1999" s="95"/>
      <c r="H1999" s="95"/>
      <c r="I1999" s="95"/>
      <c r="J1999" s="95"/>
      <c r="K1999" s="95"/>
      <c r="L1999" s="95"/>
      <c r="M1999" s="95"/>
      <c r="N1999" s="95"/>
      <c r="O1999" s="95"/>
      <c r="P1999" s="95"/>
      <c r="Q1999" s="95"/>
      <c r="R1999" s="95"/>
      <c r="T1999" s="81"/>
      <c r="U1999" s="95"/>
      <c r="V1999" s="95"/>
      <c r="W1999" s="95"/>
    </row>
    <row r="2000" spans="5:23" ht="10.15" customHeight="1">
      <c r="E2000" s="95"/>
      <c r="F2000" s="95"/>
      <c r="G2000" s="95"/>
      <c r="H2000" s="95"/>
      <c r="I2000" s="95"/>
      <c r="J2000" s="95"/>
      <c r="K2000" s="95"/>
      <c r="L2000" s="95"/>
      <c r="M2000" s="95"/>
      <c r="N2000" s="95"/>
      <c r="O2000" s="95"/>
      <c r="P2000" s="95"/>
      <c r="Q2000" s="95"/>
      <c r="R2000" s="95"/>
      <c r="T2000" s="81"/>
      <c r="U2000" s="95"/>
      <c r="V2000" s="95"/>
      <c r="W2000" s="95"/>
    </row>
    <row r="2001" spans="5:23" ht="10.15" customHeight="1">
      <c r="E2001" s="95"/>
      <c r="F2001" s="95"/>
      <c r="G2001" s="95"/>
      <c r="H2001" s="95"/>
      <c r="I2001" s="95"/>
      <c r="J2001" s="95"/>
      <c r="K2001" s="95"/>
      <c r="L2001" s="95"/>
      <c r="M2001" s="95"/>
      <c r="N2001" s="95"/>
      <c r="O2001" s="95"/>
      <c r="P2001" s="95"/>
      <c r="Q2001" s="95"/>
      <c r="R2001" s="95"/>
      <c r="T2001" s="81"/>
      <c r="U2001" s="95"/>
      <c r="V2001" s="95"/>
      <c r="W2001" s="95"/>
    </row>
    <row r="2002" spans="5:23" ht="10.15" customHeight="1">
      <c r="E2002" s="95"/>
      <c r="F2002" s="95"/>
      <c r="G2002" s="95"/>
      <c r="H2002" s="95"/>
      <c r="I2002" s="95"/>
      <c r="J2002" s="95"/>
      <c r="K2002" s="95"/>
      <c r="L2002" s="95"/>
      <c r="M2002" s="95"/>
      <c r="N2002" s="95"/>
      <c r="O2002" s="95"/>
      <c r="P2002" s="95"/>
      <c r="Q2002" s="95"/>
      <c r="R2002" s="95"/>
      <c r="T2002" s="81"/>
      <c r="U2002" s="95"/>
      <c r="V2002" s="95"/>
      <c r="W2002" s="95"/>
    </row>
    <row r="2003" spans="5:23" ht="10.15" customHeight="1">
      <c r="E2003" s="95"/>
      <c r="F2003" s="95"/>
      <c r="G2003" s="95"/>
      <c r="H2003" s="95"/>
      <c r="I2003" s="95"/>
      <c r="J2003" s="95"/>
      <c r="K2003" s="95"/>
      <c r="L2003" s="95"/>
      <c r="M2003" s="95"/>
      <c r="N2003" s="95"/>
      <c r="O2003" s="95"/>
      <c r="P2003" s="95"/>
      <c r="Q2003" s="95"/>
      <c r="R2003" s="95"/>
      <c r="T2003" s="81"/>
      <c r="U2003" s="95"/>
      <c r="V2003" s="95"/>
      <c r="W2003" s="95"/>
    </row>
    <row r="2004" spans="5:23" ht="10.15" customHeight="1">
      <c r="E2004" s="95"/>
      <c r="F2004" s="95"/>
      <c r="G2004" s="95"/>
      <c r="H2004" s="95"/>
      <c r="I2004" s="95"/>
      <c r="J2004" s="95"/>
      <c r="K2004" s="95"/>
      <c r="L2004" s="95"/>
      <c r="M2004" s="95"/>
      <c r="N2004" s="95"/>
      <c r="O2004" s="95"/>
      <c r="P2004" s="95"/>
      <c r="Q2004" s="95"/>
      <c r="R2004" s="95"/>
      <c r="T2004" s="81"/>
      <c r="U2004" s="95"/>
      <c r="V2004" s="95"/>
      <c r="W2004" s="95"/>
    </row>
    <row r="2005" spans="5:23" ht="10.15" customHeight="1">
      <c r="E2005" s="95"/>
      <c r="F2005" s="95"/>
      <c r="G2005" s="95"/>
      <c r="H2005" s="95"/>
      <c r="I2005" s="95"/>
      <c r="J2005" s="95"/>
      <c r="K2005" s="95"/>
      <c r="L2005" s="95"/>
      <c r="M2005" s="95"/>
      <c r="N2005" s="95"/>
      <c r="O2005" s="95"/>
      <c r="P2005" s="95"/>
      <c r="Q2005" s="95"/>
      <c r="R2005" s="95"/>
      <c r="T2005" s="81"/>
      <c r="U2005" s="95"/>
      <c r="V2005" s="95"/>
      <c r="W2005" s="95"/>
    </row>
    <row r="2006" spans="5:23" ht="10.15" customHeight="1">
      <c r="E2006" s="95"/>
      <c r="F2006" s="95"/>
      <c r="G2006" s="95"/>
      <c r="H2006" s="95"/>
      <c r="I2006" s="95"/>
      <c r="J2006" s="95"/>
      <c r="K2006" s="95"/>
      <c r="L2006" s="95"/>
      <c r="M2006" s="95"/>
      <c r="N2006" s="95"/>
      <c r="O2006" s="95"/>
      <c r="P2006" s="95"/>
      <c r="Q2006" s="95"/>
      <c r="R2006" s="95"/>
      <c r="T2006" s="81"/>
      <c r="U2006" s="95"/>
      <c r="V2006" s="95"/>
      <c r="W2006" s="95"/>
    </row>
    <row r="2007" spans="5:23" ht="10.15" customHeight="1">
      <c r="E2007" s="95"/>
      <c r="F2007" s="95"/>
      <c r="G2007" s="95"/>
      <c r="H2007" s="95"/>
      <c r="I2007" s="95"/>
      <c r="J2007" s="95"/>
      <c r="K2007" s="95"/>
      <c r="L2007" s="95"/>
      <c r="M2007" s="95"/>
      <c r="N2007" s="95"/>
      <c r="O2007" s="95"/>
      <c r="P2007" s="95"/>
      <c r="Q2007" s="95"/>
      <c r="R2007" s="95"/>
      <c r="T2007" s="81"/>
      <c r="U2007" s="95"/>
      <c r="V2007" s="95"/>
      <c r="W2007" s="95"/>
    </row>
    <row r="2008" spans="5:23" ht="10.15" customHeight="1">
      <c r="E2008" s="95"/>
      <c r="F2008" s="95"/>
      <c r="G2008" s="95"/>
      <c r="H2008" s="95"/>
      <c r="I2008" s="95"/>
      <c r="J2008" s="95"/>
      <c r="K2008" s="95"/>
      <c r="L2008" s="95"/>
      <c r="M2008" s="95"/>
      <c r="N2008" s="95"/>
      <c r="O2008" s="95"/>
      <c r="P2008" s="95"/>
      <c r="Q2008" s="95"/>
      <c r="R2008" s="95"/>
      <c r="T2008" s="81"/>
      <c r="U2008" s="95"/>
      <c r="V2008" s="95"/>
      <c r="W2008" s="95"/>
    </row>
    <row r="2009" spans="5:23" ht="10.15" customHeight="1">
      <c r="E2009" s="95"/>
      <c r="F2009" s="95"/>
      <c r="G2009" s="95"/>
      <c r="H2009" s="95"/>
      <c r="I2009" s="95"/>
      <c r="J2009" s="95"/>
      <c r="K2009" s="95"/>
      <c r="L2009" s="95"/>
      <c r="M2009" s="95"/>
      <c r="N2009" s="95"/>
      <c r="O2009" s="95"/>
      <c r="P2009" s="95"/>
      <c r="Q2009" s="95"/>
      <c r="R2009" s="95"/>
      <c r="T2009" s="81"/>
      <c r="U2009" s="95"/>
      <c r="V2009" s="95"/>
      <c r="W2009" s="95"/>
    </row>
    <row r="2010" spans="5:23" ht="10.15" customHeight="1">
      <c r="E2010" s="95"/>
      <c r="F2010" s="95"/>
      <c r="G2010" s="95"/>
      <c r="H2010" s="95"/>
      <c r="I2010" s="95"/>
      <c r="J2010" s="95"/>
      <c r="K2010" s="95"/>
      <c r="L2010" s="95"/>
      <c r="M2010" s="95"/>
      <c r="N2010" s="95"/>
      <c r="O2010" s="95"/>
      <c r="P2010" s="95"/>
      <c r="Q2010" s="95"/>
      <c r="R2010" s="95"/>
      <c r="T2010" s="81"/>
      <c r="U2010" s="95"/>
      <c r="V2010" s="95"/>
      <c r="W2010" s="95"/>
    </row>
    <row r="2011" spans="5:23" ht="10.15" customHeight="1">
      <c r="E2011" s="95"/>
      <c r="F2011" s="95"/>
      <c r="G2011" s="95"/>
      <c r="H2011" s="95"/>
      <c r="I2011" s="95"/>
      <c r="J2011" s="95"/>
      <c r="K2011" s="95"/>
      <c r="L2011" s="95"/>
      <c r="M2011" s="95"/>
      <c r="N2011" s="95"/>
      <c r="O2011" s="95"/>
      <c r="P2011" s="95"/>
      <c r="Q2011" s="95"/>
      <c r="R2011" s="95"/>
      <c r="T2011" s="81"/>
      <c r="U2011" s="95"/>
      <c r="V2011" s="95"/>
      <c r="W2011" s="95"/>
    </row>
    <row r="2012" spans="5:23" ht="10.15" customHeight="1">
      <c r="E2012" s="95"/>
      <c r="F2012" s="95"/>
      <c r="G2012" s="95"/>
      <c r="H2012" s="95"/>
      <c r="I2012" s="95"/>
      <c r="J2012" s="95"/>
      <c r="K2012" s="95"/>
      <c r="L2012" s="95"/>
      <c r="M2012" s="95"/>
      <c r="N2012" s="95"/>
      <c r="O2012" s="95"/>
      <c r="P2012" s="95"/>
      <c r="Q2012" s="95"/>
      <c r="R2012" s="95"/>
      <c r="T2012" s="81"/>
      <c r="U2012" s="95"/>
      <c r="V2012" s="95"/>
      <c r="W2012" s="95"/>
    </row>
    <row r="2013" spans="5:23" ht="10.15" customHeight="1">
      <c r="E2013" s="95"/>
      <c r="F2013" s="95"/>
      <c r="G2013" s="95"/>
      <c r="H2013" s="95"/>
      <c r="I2013" s="95"/>
      <c r="J2013" s="95"/>
      <c r="K2013" s="95"/>
      <c r="L2013" s="95"/>
      <c r="M2013" s="95"/>
      <c r="N2013" s="95"/>
      <c r="O2013" s="95"/>
      <c r="P2013" s="95"/>
      <c r="Q2013" s="95"/>
      <c r="R2013" s="95"/>
      <c r="T2013" s="81"/>
      <c r="U2013" s="95"/>
      <c r="V2013" s="95"/>
      <c r="W2013" s="95"/>
    </row>
    <row r="2014" spans="5:23" ht="10.15" customHeight="1">
      <c r="E2014" s="95"/>
      <c r="F2014" s="95"/>
      <c r="G2014" s="95"/>
      <c r="H2014" s="95"/>
      <c r="I2014" s="95"/>
      <c r="J2014" s="95"/>
      <c r="K2014" s="95"/>
      <c r="L2014" s="95"/>
      <c r="M2014" s="95"/>
      <c r="N2014" s="95"/>
      <c r="O2014" s="95"/>
      <c r="P2014" s="95"/>
      <c r="Q2014" s="95"/>
      <c r="R2014" s="95"/>
      <c r="T2014" s="81"/>
      <c r="U2014" s="95"/>
      <c r="V2014" s="95"/>
      <c r="W2014" s="95"/>
    </row>
    <row r="2015" spans="5:23" ht="10.15" customHeight="1">
      <c r="E2015" s="95"/>
      <c r="F2015" s="95"/>
      <c r="G2015" s="95"/>
      <c r="H2015" s="95"/>
      <c r="I2015" s="95"/>
      <c r="J2015" s="95"/>
      <c r="K2015" s="95"/>
      <c r="L2015" s="95"/>
      <c r="M2015" s="95"/>
      <c r="N2015" s="95"/>
      <c r="O2015" s="95"/>
      <c r="P2015" s="95"/>
      <c r="Q2015" s="95"/>
      <c r="R2015" s="95"/>
      <c r="T2015" s="81"/>
      <c r="U2015" s="95"/>
      <c r="V2015" s="95"/>
      <c r="W2015" s="95"/>
    </row>
    <row r="2016" spans="5:23" ht="10.15" customHeight="1">
      <c r="E2016" s="95"/>
      <c r="F2016" s="95"/>
      <c r="G2016" s="95"/>
      <c r="H2016" s="95"/>
      <c r="I2016" s="95"/>
      <c r="J2016" s="95"/>
      <c r="K2016" s="95"/>
      <c r="L2016" s="95"/>
      <c r="M2016" s="95"/>
      <c r="N2016" s="95"/>
      <c r="O2016" s="95"/>
      <c r="P2016" s="95"/>
      <c r="Q2016" s="95"/>
      <c r="R2016" s="95"/>
      <c r="T2016" s="81"/>
      <c r="U2016" s="95"/>
      <c r="V2016" s="95"/>
      <c r="W2016" s="95"/>
    </row>
    <row r="2017" spans="5:23" ht="10.15" customHeight="1">
      <c r="E2017" s="95"/>
      <c r="F2017" s="95"/>
      <c r="G2017" s="95"/>
      <c r="H2017" s="95"/>
      <c r="I2017" s="95"/>
      <c r="J2017" s="95"/>
      <c r="K2017" s="95"/>
      <c r="L2017" s="95"/>
      <c r="M2017" s="95"/>
      <c r="N2017" s="95"/>
      <c r="O2017" s="95"/>
      <c r="P2017" s="95"/>
      <c r="Q2017" s="95"/>
      <c r="R2017" s="95"/>
      <c r="T2017" s="81"/>
      <c r="U2017" s="95"/>
      <c r="V2017" s="95"/>
      <c r="W2017" s="95"/>
    </row>
    <row r="2018" spans="5:23" ht="10.15" customHeight="1">
      <c r="E2018" s="95"/>
      <c r="F2018" s="95"/>
      <c r="G2018" s="95"/>
      <c r="H2018" s="95"/>
      <c r="I2018" s="95"/>
      <c r="J2018" s="95"/>
      <c r="K2018" s="95"/>
      <c r="L2018" s="95"/>
      <c r="M2018" s="95"/>
      <c r="N2018" s="95"/>
      <c r="O2018" s="95"/>
      <c r="P2018" s="95"/>
      <c r="Q2018" s="95"/>
      <c r="R2018" s="95"/>
      <c r="T2018" s="81"/>
      <c r="U2018" s="95"/>
      <c r="V2018" s="95"/>
      <c r="W2018" s="95"/>
    </row>
    <row r="2019" spans="5:23" ht="10.15" customHeight="1">
      <c r="E2019" s="95"/>
      <c r="F2019" s="95"/>
      <c r="G2019" s="95"/>
      <c r="H2019" s="95"/>
      <c r="I2019" s="95"/>
      <c r="J2019" s="95"/>
      <c r="K2019" s="95"/>
      <c r="L2019" s="95"/>
      <c r="M2019" s="95"/>
      <c r="N2019" s="95"/>
      <c r="O2019" s="95"/>
      <c r="P2019" s="95"/>
      <c r="Q2019" s="95"/>
      <c r="R2019" s="95"/>
      <c r="T2019" s="81"/>
      <c r="U2019" s="95"/>
      <c r="V2019" s="95"/>
      <c r="W2019" s="95"/>
    </row>
    <row r="2020" spans="5:23" ht="10.15" customHeight="1">
      <c r="E2020" s="95"/>
      <c r="F2020" s="95"/>
      <c r="G2020" s="95"/>
      <c r="H2020" s="95"/>
      <c r="I2020" s="95"/>
      <c r="J2020" s="95"/>
      <c r="K2020" s="95"/>
      <c r="L2020" s="95"/>
      <c r="M2020" s="95"/>
      <c r="N2020" s="95"/>
      <c r="O2020" s="95"/>
      <c r="P2020" s="95"/>
      <c r="Q2020" s="95"/>
      <c r="R2020" s="95"/>
      <c r="T2020" s="81"/>
      <c r="U2020" s="95"/>
      <c r="V2020" s="95"/>
      <c r="W2020" s="95"/>
    </row>
    <row r="2021" spans="5:23" ht="10.15" customHeight="1">
      <c r="E2021" s="95"/>
      <c r="F2021" s="95"/>
      <c r="G2021" s="95"/>
      <c r="H2021" s="95"/>
      <c r="I2021" s="95"/>
      <c r="J2021" s="95"/>
      <c r="K2021" s="95"/>
      <c r="L2021" s="95"/>
      <c r="M2021" s="95"/>
      <c r="N2021" s="95"/>
      <c r="O2021" s="95"/>
      <c r="P2021" s="95"/>
      <c r="Q2021" s="95"/>
      <c r="R2021" s="95"/>
      <c r="T2021" s="81"/>
      <c r="U2021" s="95"/>
      <c r="V2021" s="95"/>
      <c r="W2021" s="95"/>
    </row>
    <row r="2022" spans="5:23" ht="10.15" customHeight="1">
      <c r="E2022" s="95"/>
      <c r="F2022" s="95"/>
      <c r="G2022" s="95"/>
      <c r="H2022" s="95"/>
      <c r="I2022" s="95"/>
      <c r="J2022" s="95"/>
      <c r="K2022" s="95"/>
      <c r="L2022" s="95"/>
      <c r="M2022" s="95"/>
      <c r="N2022" s="95"/>
      <c r="O2022" s="95"/>
      <c r="P2022" s="95"/>
      <c r="Q2022" s="95"/>
      <c r="R2022" s="95"/>
      <c r="T2022" s="81"/>
      <c r="U2022" s="95"/>
      <c r="V2022" s="95"/>
      <c r="W2022" s="95"/>
    </row>
    <row r="2023" spans="5:23" ht="10.15" customHeight="1">
      <c r="E2023" s="95"/>
      <c r="F2023" s="95"/>
      <c r="G2023" s="95"/>
      <c r="H2023" s="95"/>
      <c r="I2023" s="95"/>
      <c r="J2023" s="95"/>
      <c r="K2023" s="95"/>
      <c r="L2023" s="95"/>
      <c r="M2023" s="95"/>
      <c r="N2023" s="95"/>
      <c r="O2023" s="95"/>
      <c r="P2023" s="95"/>
      <c r="Q2023" s="95"/>
      <c r="R2023" s="95"/>
      <c r="T2023" s="81"/>
      <c r="U2023" s="95"/>
      <c r="V2023" s="95"/>
      <c r="W2023" s="95"/>
    </row>
    <row r="2024" spans="5:23" ht="10.15" customHeight="1">
      <c r="E2024" s="95"/>
      <c r="F2024" s="95"/>
      <c r="G2024" s="95"/>
      <c r="H2024" s="95"/>
      <c r="I2024" s="95"/>
      <c r="J2024" s="95"/>
      <c r="K2024" s="95"/>
      <c r="L2024" s="95"/>
      <c r="M2024" s="95"/>
      <c r="N2024" s="95"/>
      <c r="O2024" s="95"/>
      <c r="P2024" s="95"/>
      <c r="Q2024" s="95"/>
      <c r="R2024" s="95"/>
      <c r="T2024" s="81"/>
      <c r="U2024" s="95"/>
      <c r="V2024" s="95"/>
      <c r="W2024" s="95"/>
    </row>
    <row r="2025" spans="5:23" ht="10.15" customHeight="1">
      <c r="E2025" s="95"/>
      <c r="F2025" s="95"/>
      <c r="G2025" s="95"/>
      <c r="H2025" s="95"/>
      <c r="I2025" s="95"/>
      <c r="J2025" s="95"/>
      <c r="K2025" s="95"/>
      <c r="L2025" s="95"/>
      <c r="M2025" s="95"/>
      <c r="N2025" s="95"/>
      <c r="O2025" s="95"/>
      <c r="P2025" s="95"/>
      <c r="Q2025" s="95"/>
      <c r="R2025" s="95"/>
      <c r="T2025" s="81"/>
      <c r="U2025" s="95"/>
      <c r="V2025" s="95"/>
      <c r="W2025" s="95"/>
    </row>
    <row r="2026" spans="5:23" ht="10.15" customHeight="1">
      <c r="E2026" s="95"/>
      <c r="F2026" s="95"/>
      <c r="G2026" s="95"/>
      <c r="H2026" s="95"/>
      <c r="I2026" s="95"/>
      <c r="J2026" s="95"/>
      <c r="K2026" s="95"/>
      <c r="L2026" s="95"/>
      <c r="M2026" s="95"/>
      <c r="N2026" s="95"/>
      <c r="O2026" s="95"/>
      <c r="P2026" s="95"/>
      <c r="Q2026" s="95"/>
      <c r="R2026" s="95"/>
      <c r="T2026" s="81"/>
      <c r="U2026" s="95"/>
      <c r="V2026" s="95"/>
      <c r="W2026" s="95"/>
    </row>
    <row r="2027" spans="5:23" ht="10.15" customHeight="1">
      <c r="E2027" s="95"/>
      <c r="F2027" s="95"/>
      <c r="G2027" s="95"/>
      <c r="H2027" s="95"/>
      <c r="I2027" s="95"/>
      <c r="J2027" s="95"/>
      <c r="K2027" s="95"/>
      <c r="L2027" s="95"/>
      <c r="M2027" s="95"/>
      <c r="N2027" s="95"/>
      <c r="O2027" s="95"/>
      <c r="P2027" s="95"/>
      <c r="Q2027" s="95"/>
      <c r="R2027" s="95"/>
      <c r="T2027" s="81"/>
      <c r="U2027" s="95"/>
      <c r="V2027" s="95"/>
      <c r="W2027" s="95"/>
    </row>
    <row r="2028" spans="5:23" ht="10.15" customHeight="1">
      <c r="E2028" s="95"/>
      <c r="F2028" s="95"/>
      <c r="G2028" s="95"/>
      <c r="H2028" s="95"/>
      <c r="I2028" s="95"/>
      <c r="J2028" s="95"/>
      <c r="K2028" s="95"/>
      <c r="L2028" s="95"/>
      <c r="M2028" s="95"/>
      <c r="N2028" s="95"/>
      <c r="O2028" s="95"/>
      <c r="P2028" s="95"/>
      <c r="Q2028" s="95"/>
      <c r="R2028" s="95"/>
      <c r="T2028" s="81"/>
      <c r="U2028" s="95"/>
      <c r="V2028" s="95"/>
      <c r="W2028" s="95"/>
    </row>
    <row r="2029" spans="5:23" ht="10.15" customHeight="1">
      <c r="E2029" s="95"/>
      <c r="F2029" s="95"/>
      <c r="G2029" s="95"/>
      <c r="H2029" s="95"/>
      <c r="I2029" s="95"/>
      <c r="J2029" s="95"/>
      <c r="K2029" s="95"/>
      <c r="L2029" s="95"/>
      <c r="M2029" s="95"/>
      <c r="N2029" s="95"/>
      <c r="O2029" s="95"/>
      <c r="P2029" s="95"/>
      <c r="Q2029" s="95"/>
      <c r="R2029" s="95"/>
      <c r="T2029" s="81"/>
      <c r="U2029" s="95"/>
      <c r="V2029" s="95"/>
      <c r="W2029" s="95"/>
    </row>
    <row r="2030" spans="5:23" ht="10.15" customHeight="1">
      <c r="E2030" s="95"/>
      <c r="F2030" s="95"/>
      <c r="G2030" s="95"/>
      <c r="H2030" s="95"/>
      <c r="I2030" s="95"/>
      <c r="J2030" s="95"/>
      <c r="K2030" s="95"/>
      <c r="L2030" s="95"/>
      <c r="M2030" s="95"/>
      <c r="N2030" s="95"/>
      <c r="O2030" s="95"/>
      <c r="P2030" s="95"/>
      <c r="Q2030" s="95"/>
      <c r="R2030" s="95"/>
      <c r="T2030" s="81"/>
      <c r="U2030" s="95"/>
      <c r="V2030" s="95"/>
      <c r="W2030" s="95"/>
    </row>
    <row r="2031" spans="5:23" ht="10.15" customHeight="1">
      <c r="E2031" s="95"/>
      <c r="F2031" s="95"/>
      <c r="G2031" s="95"/>
      <c r="H2031" s="95"/>
      <c r="I2031" s="95"/>
      <c r="J2031" s="95"/>
      <c r="K2031" s="95"/>
      <c r="L2031" s="95"/>
      <c r="M2031" s="95"/>
      <c r="N2031" s="95"/>
      <c r="O2031" s="95"/>
      <c r="P2031" s="95"/>
      <c r="Q2031" s="95"/>
      <c r="R2031" s="95"/>
      <c r="T2031" s="81"/>
      <c r="U2031" s="95"/>
      <c r="V2031" s="95"/>
      <c r="W2031" s="95"/>
    </row>
    <row r="2032" spans="5:23" ht="10.15" customHeight="1">
      <c r="E2032" s="95"/>
      <c r="F2032" s="95"/>
      <c r="G2032" s="95"/>
      <c r="H2032" s="95"/>
      <c r="I2032" s="95"/>
      <c r="J2032" s="95"/>
      <c r="K2032" s="95"/>
      <c r="L2032" s="95"/>
      <c r="M2032" s="95"/>
      <c r="N2032" s="95"/>
      <c r="O2032" s="95"/>
      <c r="P2032" s="95"/>
      <c r="Q2032" s="95"/>
      <c r="R2032" s="95"/>
      <c r="T2032" s="81"/>
      <c r="U2032" s="95"/>
      <c r="V2032" s="95"/>
      <c r="W2032" s="95"/>
    </row>
    <row r="2033" spans="5:23" ht="10.15" customHeight="1">
      <c r="E2033" s="95"/>
      <c r="F2033" s="95"/>
      <c r="G2033" s="95"/>
      <c r="H2033" s="95"/>
      <c r="I2033" s="95"/>
      <c r="J2033" s="95"/>
      <c r="K2033" s="95"/>
      <c r="L2033" s="95"/>
      <c r="M2033" s="95"/>
      <c r="N2033" s="95"/>
      <c r="O2033" s="95"/>
      <c r="P2033" s="95"/>
      <c r="Q2033" s="95"/>
      <c r="R2033" s="95"/>
      <c r="T2033" s="81"/>
      <c r="U2033" s="95"/>
      <c r="V2033" s="95"/>
      <c r="W2033" s="95"/>
    </row>
    <row r="2034" spans="5:23" ht="10.15" customHeight="1">
      <c r="E2034" s="95"/>
      <c r="F2034" s="95"/>
      <c r="G2034" s="95"/>
      <c r="H2034" s="95"/>
      <c r="I2034" s="95"/>
      <c r="J2034" s="95"/>
      <c r="K2034" s="95"/>
      <c r="L2034" s="95"/>
      <c r="M2034" s="95"/>
      <c r="N2034" s="95"/>
      <c r="O2034" s="95"/>
      <c r="P2034" s="95"/>
      <c r="Q2034" s="95"/>
      <c r="R2034" s="95"/>
      <c r="T2034" s="81"/>
      <c r="U2034" s="95"/>
      <c r="V2034" s="95"/>
      <c r="W2034" s="95"/>
    </row>
    <row r="2035" spans="5:23" ht="10.15" customHeight="1">
      <c r="E2035" s="95"/>
      <c r="F2035" s="95"/>
      <c r="G2035" s="95"/>
      <c r="H2035" s="95"/>
      <c r="I2035" s="95"/>
      <c r="J2035" s="95"/>
      <c r="K2035" s="95"/>
      <c r="L2035" s="95"/>
      <c r="M2035" s="95"/>
      <c r="N2035" s="95"/>
      <c r="O2035" s="95"/>
      <c r="P2035" s="95"/>
      <c r="Q2035" s="95"/>
      <c r="R2035" s="95"/>
      <c r="T2035" s="81"/>
      <c r="U2035" s="95"/>
      <c r="V2035" s="95"/>
      <c r="W2035" s="95"/>
    </row>
    <row r="2036" spans="5:23" ht="10.15" customHeight="1">
      <c r="E2036" s="95"/>
      <c r="F2036" s="95"/>
      <c r="G2036" s="95"/>
      <c r="H2036" s="95"/>
      <c r="I2036" s="95"/>
      <c r="J2036" s="95"/>
      <c r="K2036" s="95"/>
      <c r="L2036" s="95"/>
      <c r="M2036" s="95"/>
      <c r="N2036" s="95"/>
      <c r="O2036" s="95"/>
      <c r="P2036" s="95"/>
      <c r="Q2036" s="95"/>
      <c r="R2036" s="95"/>
      <c r="T2036" s="81"/>
      <c r="U2036" s="95"/>
      <c r="V2036" s="95"/>
      <c r="W2036" s="95"/>
    </row>
    <row r="2037" spans="5:23" ht="10.15" customHeight="1">
      <c r="E2037" s="95"/>
      <c r="F2037" s="95"/>
      <c r="G2037" s="95"/>
      <c r="H2037" s="95"/>
      <c r="I2037" s="95"/>
      <c r="J2037" s="95"/>
      <c r="K2037" s="95"/>
      <c r="L2037" s="95"/>
      <c r="M2037" s="95"/>
      <c r="N2037" s="95"/>
      <c r="O2037" s="95"/>
      <c r="P2037" s="95"/>
      <c r="Q2037" s="95"/>
      <c r="R2037" s="95"/>
      <c r="T2037" s="81"/>
      <c r="U2037" s="95"/>
      <c r="V2037" s="95"/>
      <c r="W2037" s="95"/>
    </row>
    <row r="2038" spans="5:23" ht="10.15" customHeight="1">
      <c r="E2038" s="95"/>
      <c r="F2038" s="95"/>
      <c r="G2038" s="95"/>
      <c r="H2038" s="95"/>
      <c r="I2038" s="95"/>
      <c r="J2038" s="95"/>
      <c r="K2038" s="95"/>
      <c r="L2038" s="95"/>
      <c r="M2038" s="95"/>
      <c r="N2038" s="95"/>
      <c r="O2038" s="95"/>
      <c r="P2038" s="95"/>
      <c r="Q2038" s="95"/>
      <c r="R2038" s="95"/>
      <c r="T2038" s="81"/>
      <c r="U2038" s="95"/>
      <c r="V2038" s="95"/>
      <c r="W2038" s="95"/>
    </row>
    <row r="2039" spans="5:23" ht="10.15" customHeight="1">
      <c r="E2039" s="95"/>
      <c r="F2039" s="95"/>
      <c r="G2039" s="95"/>
      <c r="H2039" s="95"/>
      <c r="I2039" s="95"/>
      <c r="J2039" s="95"/>
      <c r="K2039" s="95"/>
      <c r="L2039" s="95"/>
      <c r="M2039" s="95"/>
      <c r="N2039" s="95"/>
      <c r="O2039" s="95"/>
      <c r="P2039" s="95"/>
      <c r="Q2039" s="95"/>
      <c r="R2039" s="95"/>
      <c r="T2039" s="81"/>
      <c r="U2039" s="95"/>
      <c r="V2039" s="95"/>
      <c r="W2039" s="95"/>
    </row>
    <row r="2040" spans="5:23" ht="10.15" customHeight="1">
      <c r="E2040" s="95"/>
      <c r="F2040" s="95"/>
      <c r="G2040" s="95"/>
      <c r="H2040" s="95"/>
      <c r="I2040" s="95"/>
      <c r="J2040" s="95"/>
      <c r="K2040" s="95"/>
      <c r="L2040" s="95"/>
      <c r="M2040" s="95"/>
      <c r="N2040" s="95"/>
      <c r="O2040" s="95"/>
      <c r="P2040" s="95"/>
      <c r="Q2040" s="95"/>
      <c r="R2040" s="95"/>
      <c r="T2040" s="81"/>
      <c r="U2040" s="95"/>
      <c r="V2040" s="95"/>
      <c r="W2040" s="95"/>
    </row>
    <row r="2041" spans="5:23" ht="10.15" customHeight="1">
      <c r="E2041" s="95"/>
      <c r="F2041" s="95"/>
      <c r="G2041" s="95"/>
      <c r="H2041" s="95"/>
      <c r="I2041" s="95"/>
      <c r="J2041" s="95"/>
      <c r="K2041" s="95"/>
      <c r="L2041" s="95"/>
      <c r="M2041" s="95"/>
      <c r="N2041" s="95"/>
      <c r="O2041" s="95"/>
      <c r="P2041" s="95"/>
      <c r="Q2041" s="95"/>
      <c r="R2041" s="95"/>
      <c r="T2041" s="81"/>
      <c r="U2041" s="95"/>
      <c r="V2041" s="95"/>
      <c r="W2041" s="95"/>
    </row>
    <row r="2042" spans="5:23" ht="10.15" customHeight="1">
      <c r="E2042" s="95"/>
      <c r="F2042" s="95"/>
      <c r="G2042" s="95"/>
      <c r="H2042" s="95"/>
      <c r="I2042" s="95"/>
      <c r="J2042" s="95"/>
      <c r="K2042" s="95"/>
      <c r="L2042" s="95"/>
      <c r="M2042" s="95"/>
      <c r="N2042" s="95"/>
      <c r="O2042" s="95"/>
      <c r="P2042" s="95"/>
      <c r="Q2042" s="95"/>
      <c r="R2042" s="95"/>
      <c r="T2042" s="81"/>
      <c r="U2042" s="95"/>
      <c r="V2042" s="95"/>
      <c r="W2042" s="95"/>
    </row>
    <row r="2043" spans="5:23" ht="10.15" customHeight="1">
      <c r="E2043" s="95"/>
      <c r="F2043" s="95"/>
      <c r="G2043" s="95"/>
      <c r="H2043" s="95"/>
      <c r="I2043" s="95"/>
      <c r="J2043" s="95"/>
      <c r="K2043" s="95"/>
      <c r="L2043" s="95"/>
      <c r="M2043" s="95"/>
      <c r="N2043" s="95"/>
      <c r="O2043" s="95"/>
      <c r="P2043" s="95"/>
      <c r="Q2043" s="95"/>
      <c r="R2043" s="95"/>
      <c r="T2043" s="81"/>
      <c r="U2043" s="95"/>
      <c r="V2043" s="95"/>
      <c r="W2043" s="95"/>
    </row>
    <row r="2044" spans="5:23" ht="10.15" customHeight="1">
      <c r="E2044" s="95"/>
      <c r="F2044" s="95"/>
      <c r="G2044" s="95"/>
      <c r="H2044" s="95"/>
      <c r="I2044" s="95"/>
      <c r="J2044" s="95"/>
      <c r="K2044" s="95"/>
      <c r="L2044" s="95"/>
      <c r="M2044" s="95"/>
      <c r="N2044" s="95"/>
      <c r="O2044" s="95"/>
      <c r="P2044" s="95"/>
      <c r="Q2044" s="95"/>
      <c r="R2044" s="95"/>
      <c r="T2044" s="81"/>
      <c r="U2044" s="95"/>
      <c r="V2044" s="95"/>
      <c r="W2044" s="95"/>
    </row>
    <row r="2045" spans="5:23" ht="10.15" customHeight="1">
      <c r="E2045" s="95"/>
      <c r="F2045" s="95"/>
      <c r="G2045" s="95"/>
      <c r="H2045" s="95"/>
      <c r="I2045" s="95"/>
      <c r="J2045" s="95"/>
      <c r="K2045" s="95"/>
      <c r="L2045" s="95"/>
      <c r="M2045" s="95"/>
      <c r="N2045" s="95"/>
      <c r="O2045" s="95"/>
      <c r="P2045" s="95"/>
      <c r="Q2045" s="95"/>
      <c r="R2045" s="95"/>
      <c r="T2045" s="81"/>
      <c r="U2045" s="95"/>
      <c r="V2045" s="95"/>
      <c r="W2045" s="95"/>
    </row>
    <row r="2046" spans="5:23" ht="10.15" customHeight="1">
      <c r="E2046" s="95"/>
      <c r="F2046" s="95"/>
      <c r="G2046" s="95"/>
      <c r="H2046" s="95"/>
      <c r="I2046" s="95"/>
      <c r="J2046" s="95"/>
      <c r="K2046" s="95"/>
      <c r="L2046" s="95"/>
      <c r="M2046" s="95"/>
      <c r="N2046" s="95"/>
      <c r="O2046" s="95"/>
      <c r="P2046" s="95"/>
      <c r="Q2046" s="95"/>
      <c r="R2046" s="95"/>
      <c r="T2046" s="81"/>
      <c r="U2046" s="95"/>
      <c r="V2046" s="95"/>
      <c r="W2046" s="95"/>
    </row>
    <row r="2047" spans="5:23" ht="10.15" customHeight="1">
      <c r="E2047" s="95"/>
      <c r="F2047" s="95"/>
      <c r="G2047" s="95"/>
      <c r="H2047" s="95"/>
      <c r="I2047" s="95"/>
      <c r="J2047" s="95"/>
      <c r="K2047" s="95"/>
      <c r="L2047" s="95"/>
      <c r="M2047" s="95"/>
      <c r="N2047" s="95"/>
      <c r="O2047" s="95"/>
      <c r="P2047" s="95"/>
      <c r="Q2047" s="95"/>
      <c r="R2047" s="95"/>
      <c r="T2047" s="81"/>
      <c r="U2047" s="95"/>
      <c r="V2047" s="95"/>
      <c r="W2047" s="95"/>
    </row>
    <row r="2048" spans="5:23" ht="10.15" customHeight="1">
      <c r="E2048" s="95"/>
      <c r="F2048" s="95"/>
      <c r="G2048" s="95"/>
      <c r="H2048" s="95"/>
      <c r="I2048" s="95"/>
      <c r="J2048" s="95"/>
      <c r="K2048" s="95"/>
      <c r="L2048" s="95"/>
      <c r="M2048" s="95"/>
      <c r="N2048" s="95"/>
      <c r="O2048" s="95"/>
      <c r="P2048" s="95"/>
      <c r="Q2048" s="95"/>
      <c r="R2048" s="95"/>
      <c r="T2048" s="81"/>
      <c r="U2048" s="95"/>
      <c r="V2048" s="95"/>
      <c r="W2048" s="95"/>
    </row>
    <row r="2049" spans="5:23" ht="10.15" customHeight="1">
      <c r="E2049" s="95"/>
      <c r="F2049" s="95"/>
      <c r="G2049" s="95"/>
      <c r="H2049" s="95"/>
      <c r="I2049" s="95"/>
      <c r="J2049" s="95"/>
      <c r="K2049" s="95"/>
      <c r="L2049" s="95"/>
      <c r="M2049" s="95"/>
      <c r="N2049" s="95"/>
      <c r="O2049" s="95"/>
      <c r="P2049" s="95"/>
      <c r="Q2049" s="95"/>
      <c r="R2049" s="95"/>
      <c r="T2049" s="81"/>
      <c r="U2049" s="95"/>
      <c r="V2049" s="95"/>
      <c r="W2049" s="95"/>
    </row>
    <row r="2050" spans="5:23" ht="10.15" customHeight="1">
      <c r="E2050" s="95"/>
      <c r="F2050" s="95"/>
      <c r="G2050" s="95"/>
      <c r="H2050" s="95"/>
      <c r="I2050" s="95"/>
      <c r="J2050" s="95"/>
      <c r="K2050" s="95"/>
      <c r="L2050" s="95"/>
      <c r="M2050" s="95"/>
      <c r="N2050" s="95"/>
      <c r="O2050" s="95"/>
      <c r="P2050" s="95"/>
      <c r="Q2050" s="95"/>
      <c r="R2050" s="95"/>
      <c r="T2050" s="81"/>
      <c r="U2050" s="95"/>
      <c r="V2050" s="95"/>
      <c r="W2050" s="95"/>
    </row>
    <row r="2051" spans="5:23" ht="10.15" customHeight="1">
      <c r="E2051" s="95"/>
      <c r="F2051" s="95"/>
      <c r="G2051" s="95"/>
      <c r="H2051" s="95"/>
      <c r="I2051" s="95"/>
      <c r="J2051" s="95"/>
      <c r="K2051" s="95"/>
      <c r="L2051" s="95"/>
      <c r="M2051" s="95"/>
      <c r="N2051" s="95"/>
      <c r="O2051" s="95"/>
      <c r="P2051" s="95"/>
      <c r="Q2051" s="95"/>
      <c r="R2051" s="95"/>
      <c r="T2051" s="81"/>
      <c r="U2051" s="95"/>
      <c r="V2051" s="95"/>
      <c r="W2051" s="95"/>
    </row>
    <row r="2052" spans="5:23" ht="10.15" customHeight="1">
      <c r="E2052" s="95"/>
      <c r="F2052" s="95"/>
      <c r="G2052" s="95"/>
      <c r="H2052" s="95"/>
      <c r="I2052" s="95"/>
      <c r="J2052" s="95"/>
      <c r="K2052" s="95"/>
      <c r="L2052" s="95"/>
      <c r="M2052" s="95"/>
      <c r="N2052" s="95"/>
      <c r="O2052" s="95"/>
      <c r="P2052" s="95"/>
      <c r="Q2052" s="95"/>
      <c r="R2052" s="95"/>
      <c r="T2052" s="81"/>
      <c r="U2052" s="95"/>
      <c r="V2052" s="95"/>
      <c r="W2052" s="95"/>
    </row>
    <row r="2053" spans="5:23" ht="10.15" customHeight="1">
      <c r="E2053" s="95"/>
      <c r="F2053" s="95"/>
      <c r="G2053" s="95"/>
      <c r="H2053" s="95"/>
      <c r="I2053" s="95"/>
      <c r="J2053" s="95"/>
      <c r="K2053" s="95"/>
      <c r="L2053" s="95"/>
      <c r="M2053" s="95"/>
      <c r="N2053" s="95"/>
      <c r="O2053" s="95"/>
      <c r="P2053" s="95"/>
      <c r="Q2053" s="95"/>
      <c r="R2053" s="95"/>
      <c r="T2053" s="81"/>
      <c r="U2053" s="95"/>
      <c r="V2053" s="95"/>
      <c r="W2053" s="95"/>
    </row>
    <row r="2054" spans="5:23" ht="10.15" customHeight="1">
      <c r="E2054" s="95"/>
      <c r="F2054" s="95"/>
      <c r="G2054" s="95"/>
      <c r="H2054" s="95"/>
      <c r="I2054" s="95"/>
      <c r="J2054" s="95"/>
      <c r="K2054" s="95"/>
      <c r="L2054" s="95"/>
      <c r="M2054" s="95"/>
      <c r="N2054" s="95"/>
      <c r="O2054" s="95"/>
      <c r="P2054" s="95"/>
      <c r="Q2054" s="95"/>
      <c r="R2054" s="95"/>
      <c r="T2054" s="81"/>
      <c r="U2054" s="95"/>
      <c r="V2054" s="95"/>
      <c r="W2054" s="95"/>
    </row>
    <row r="2055" spans="5:23" ht="10.15" customHeight="1">
      <c r="E2055" s="95"/>
      <c r="F2055" s="95"/>
      <c r="G2055" s="95"/>
      <c r="H2055" s="95"/>
      <c r="I2055" s="95"/>
      <c r="J2055" s="95"/>
      <c r="K2055" s="95"/>
      <c r="L2055" s="95"/>
      <c r="M2055" s="95"/>
      <c r="N2055" s="95"/>
      <c r="O2055" s="95"/>
      <c r="P2055" s="95"/>
      <c r="Q2055" s="95"/>
      <c r="R2055" s="95"/>
      <c r="T2055" s="81"/>
      <c r="U2055" s="95"/>
      <c r="V2055" s="95"/>
      <c r="W2055" s="95"/>
    </row>
    <row r="2056" spans="5:23" ht="10.15" customHeight="1">
      <c r="E2056" s="95"/>
      <c r="F2056" s="95"/>
      <c r="G2056" s="95"/>
      <c r="H2056" s="95"/>
      <c r="I2056" s="95"/>
      <c r="J2056" s="95"/>
      <c r="K2056" s="95"/>
      <c r="L2056" s="95"/>
      <c r="M2056" s="95"/>
      <c r="N2056" s="95"/>
      <c r="O2056" s="95"/>
      <c r="P2056" s="95"/>
      <c r="Q2056" s="95"/>
      <c r="R2056" s="95"/>
      <c r="T2056" s="81"/>
      <c r="U2056" s="95"/>
      <c r="V2056" s="95"/>
      <c r="W2056" s="95"/>
    </row>
    <row r="2057" spans="5:23" ht="10.15" customHeight="1">
      <c r="E2057" s="95"/>
      <c r="F2057" s="95"/>
      <c r="G2057" s="95"/>
      <c r="H2057" s="95"/>
      <c r="I2057" s="95"/>
      <c r="J2057" s="95"/>
      <c r="K2057" s="95"/>
      <c r="L2057" s="95"/>
      <c r="M2057" s="95"/>
      <c r="N2057" s="95"/>
      <c r="O2057" s="95"/>
      <c r="P2057" s="95"/>
      <c r="Q2057" s="95"/>
      <c r="R2057" s="95"/>
      <c r="T2057" s="81"/>
      <c r="U2057" s="95"/>
      <c r="V2057" s="95"/>
      <c r="W2057" s="95"/>
    </row>
    <row r="2058" spans="5:23" ht="10.15" customHeight="1">
      <c r="E2058" s="95"/>
      <c r="F2058" s="95"/>
      <c r="G2058" s="95"/>
      <c r="H2058" s="95"/>
      <c r="I2058" s="95"/>
      <c r="J2058" s="95"/>
      <c r="K2058" s="95"/>
      <c r="L2058" s="95"/>
      <c r="M2058" s="95"/>
      <c r="N2058" s="95"/>
      <c r="O2058" s="95"/>
      <c r="P2058" s="95"/>
      <c r="Q2058" s="95"/>
      <c r="R2058" s="95"/>
      <c r="T2058" s="81"/>
      <c r="U2058" s="95"/>
      <c r="V2058" s="95"/>
      <c r="W2058" s="95"/>
    </row>
    <row r="2059" spans="5:23" ht="10.15" customHeight="1">
      <c r="E2059" s="95"/>
      <c r="F2059" s="95"/>
      <c r="G2059" s="95"/>
      <c r="H2059" s="95"/>
      <c r="I2059" s="95"/>
      <c r="J2059" s="95"/>
      <c r="K2059" s="95"/>
      <c r="L2059" s="95"/>
      <c r="M2059" s="95"/>
      <c r="N2059" s="95"/>
      <c r="O2059" s="95"/>
      <c r="P2059" s="95"/>
      <c r="Q2059" s="95"/>
      <c r="R2059" s="95"/>
      <c r="T2059" s="81"/>
      <c r="U2059" s="95"/>
      <c r="V2059" s="95"/>
      <c r="W2059" s="95"/>
    </row>
    <row r="2060" spans="5:23" ht="10.15" customHeight="1">
      <c r="E2060" s="95"/>
      <c r="F2060" s="95"/>
      <c r="G2060" s="95"/>
      <c r="H2060" s="95"/>
      <c r="I2060" s="95"/>
      <c r="J2060" s="95"/>
      <c r="K2060" s="95"/>
      <c r="L2060" s="95"/>
      <c r="M2060" s="95"/>
      <c r="N2060" s="95"/>
      <c r="O2060" s="95"/>
      <c r="P2060" s="95"/>
      <c r="Q2060" s="95"/>
      <c r="R2060" s="95"/>
      <c r="T2060" s="81"/>
      <c r="U2060" s="95"/>
      <c r="V2060" s="95"/>
      <c r="W2060" s="95"/>
    </row>
    <row r="2061" spans="5:23" ht="10.15" customHeight="1">
      <c r="E2061" s="95"/>
      <c r="F2061" s="95"/>
      <c r="G2061" s="95"/>
      <c r="H2061" s="95"/>
      <c r="I2061" s="95"/>
      <c r="J2061" s="95"/>
      <c r="K2061" s="95"/>
      <c r="L2061" s="95"/>
      <c r="M2061" s="95"/>
      <c r="N2061" s="95"/>
      <c r="O2061" s="95"/>
      <c r="P2061" s="95"/>
      <c r="Q2061" s="95"/>
      <c r="R2061" s="95"/>
      <c r="T2061" s="81"/>
      <c r="U2061" s="95"/>
      <c r="V2061" s="95"/>
      <c r="W2061" s="95"/>
    </row>
    <row r="2062" spans="5:23" ht="10.15" customHeight="1">
      <c r="E2062" s="95"/>
      <c r="F2062" s="95"/>
      <c r="G2062" s="95"/>
      <c r="H2062" s="95"/>
      <c r="I2062" s="95"/>
      <c r="J2062" s="95"/>
      <c r="K2062" s="95"/>
      <c r="L2062" s="95"/>
      <c r="M2062" s="95"/>
      <c r="N2062" s="95"/>
      <c r="O2062" s="95"/>
      <c r="P2062" s="95"/>
      <c r="Q2062" s="95"/>
      <c r="R2062" s="95"/>
      <c r="T2062" s="81"/>
      <c r="U2062" s="95"/>
      <c r="V2062" s="95"/>
      <c r="W2062" s="95"/>
    </row>
    <row r="2063" spans="5:23" ht="10.15" customHeight="1">
      <c r="E2063" s="95"/>
      <c r="F2063" s="95"/>
      <c r="G2063" s="95"/>
      <c r="H2063" s="95"/>
      <c r="I2063" s="95"/>
      <c r="J2063" s="95"/>
      <c r="K2063" s="95"/>
      <c r="L2063" s="95"/>
      <c r="M2063" s="95"/>
      <c r="N2063" s="95"/>
      <c r="O2063" s="95"/>
      <c r="P2063" s="95"/>
      <c r="Q2063" s="95"/>
      <c r="R2063" s="95"/>
      <c r="T2063" s="81"/>
      <c r="U2063" s="95"/>
      <c r="V2063" s="95"/>
      <c r="W2063" s="95"/>
    </row>
    <row r="2064" spans="5:23" ht="10.15" customHeight="1">
      <c r="E2064" s="95"/>
      <c r="F2064" s="95"/>
      <c r="G2064" s="95"/>
      <c r="H2064" s="95"/>
      <c r="I2064" s="95"/>
      <c r="J2064" s="95"/>
      <c r="K2064" s="95"/>
      <c r="L2064" s="95"/>
      <c r="M2064" s="95"/>
      <c r="N2064" s="95"/>
      <c r="O2064" s="95"/>
      <c r="P2064" s="95"/>
      <c r="Q2064" s="95"/>
      <c r="R2064" s="95"/>
      <c r="T2064" s="81"/>
      <c r="U2064" s="95"/>
      <c r="V2064" s="95"/>
      <c r="W2064" s="95"/>
    </row>
    <row r="2065" spans="5:23" ht="10.15" customHeight="1">
      <c r="E2065" s="95"/>
      <c r="F2065" s="95"/>
      <c r="G2065" s="95"/>
      <c r="H2065" s="95"/>
      <c r="I2065" s="95"/>
      <c r="J2065" s="95"/>
      <c r="K2065" s="95"/>
      <c r="L2065" s="95"/>
      <c r="M2065" s="95"/>
      <c r="N2065" s="95"/>
      <c r="O2065" s="95"/>
      <c r="P2065" s="95"/>
      <c r="Q2065" s="95"/>
      <c r="R2065" s="95"/>
      <c r="T2065" s="81"/>
      <c r="U2065" s="95"/>
      <c r="V2065" s="95"/>
      <c r="W2065" s="95"/>
    </row>
    <row r="2066" spans="5:23" ht="10.15" customHeight="1">
      <c r="E2066" s="95"/>
      <c r="F2066" s="95"/>
      <c r="G2066" s="95"/>
      <c r="H2066" s="95"/>
      <c r="I2066" s="95"/>
      <c r="J2066" s="95"/>
      <c r="K2066" s="95"/>
      <c r="L2066" s="95"/>
      <c r="M2066" s="95"/>
      <c r="N2066" s="95"/>
      <c r="O2066" s="95"/>
      <c r="P2066" s="95"/>
      <c r="Q2066" s="95"/>
      <c r="R2066" s="95"/>
      <c r="T2066" s="81"/>
      <c r="U2066" s="95"/>
      <c r="V2066" s="95"/>
      <c r="W2066" s="95"/>
    </row>
    <row r="2067" spans="5:23" ht="10.15" customHeight="1">
      <c r="E2067" s="95"/>
      <c r="F2067" s="95"/>
      <c r="G2067" s="95"/>
      <c r="H2067" s="95"/>
      <c r="I2067" s="95"/>
      <c r="J2067" s="95"/>
      <c r="K2067" s="95"/>
      <c r="L2067" s="95"/>
      <c r="M2067" s="95"/>
      <c r="N2067" s="95"/>
      <c r="O2067" s="95"/>
      <c r="P2067" s="95"/>
      <c r="Q2067" s="95"/>
      <c r="R2067" s="95"/>
      <c r="T2067" s="81"/>
      <c r="U2067" s="95"/>
      <c r="V2067" s="95"/>
      <c r="W2067" s="95"/>
    </row>
    <row r="2068" spans="5:23" ht="10.15" customHeight="1">
      <c r="E2068" s="95"/>
      <c r="F2068" s="95"/>
      <c r="G2068" s="95"/>
      <c r="H2068" s="95"/>
      <c r="I2068" s="95"/>
      <c r="J2068" s="95"/>
      <c r="K2068" s="95"/>
      <c r="L2068" s="95"/>
      <c r="M2068" s="95"/>
      <c r="N2068" s="95"/>
      <c r="O2068" s="95"/>
      <c r="P2068" s="95"/>
      <c r="Q2068" s="95"/>
      <c r="R2068" s="95"/>
      <c r="T2068" s="81"/>
      <c r="U2068" s="95"/>
      <c r="V2068" s="95"/>
      <c r="W2068" s="95"/>
    </row>
    <row r="2069" spans="5:23" ht="10.15" customHeight="1">
      <c r="E2069" s="95"/>
      <c r="F2069" s="95"/>
      <c r="G2069" s="95"/>
      <c r="H2069" s="95"/>
      <c r="I2069" s="95"/>
      <c r="J2069" s="95"/>
      <c r="K2069" s="95"/>
      <c r="L2069" s="95"/>
      <c r="M2069" s="95"/>
      <c r="N2069" s="95"/>
      <c r="O2069" s="95"/>
      <c r="P2069" s="95"/>
      <c r="Q2069" s="95"/>
      <c r="R2069" s="95"/>
      <c r="T2069" s="81"/>
      <c r="U2069" s="95"/>
      <c r="V2069" s="95"/>
      <c r="W2069" s="95"/>
    </row>
    <row r="2070" spans="5:23" ht="10.15" customHeight="1">
      <c r="E2070" s="95"/>
      <c r="F2070" s="95"/>
      <c r="G2070" s="95"/>
      <c r="H2070" s="95"/>
      <c r="I2070" s="95"/>
      <c r="J2070" s="95"/>
      <c r="K2070" s="95"/>
      <c r="L2070" s="95"/>
      <c r="M2070" s="95"/>
      <c r="N2070" s="95"/>
      <c r="O2070" s="95"/>
      <c r="P2070" s="95"/>
      <c r="Q2070" s="95"/>
      <c r="R2070" s="95"/>
      <c r="T2070" s="81"/>
      <c r="U2070" s="95"/>
      <c r="V2070" s="95"/>
      <c r="W2070" s="95"/>
    </row>
    <row r="2071" spans="5:23" ht="10.15" customHeight="1">
      <c r="E2071" s="95"/>
      <c r="F2071" s="95"/>
      <c r="G2071" s="95"/>
      <c r="H2071" s="95"/>
      <c r="I2071" s="95"/>
      <c r="J2071" s="95"/>
      <c r="K2071" s="95"/>
      <c r="L2071" s="95"/>
      <c r="M2071" s="95"/>
      <c r="N2071" s="95"/>
      <c r="O2071" s="95"/>
      <c r="P2071" s="95"/>
      <c r="Q2071" s="95"/>
      <c r="R2071" s="95"/>
      <c r="T2071" s="81"/>
      <c r="U2071" s="95"/>
      <c r="V2071" s="95"/>
      <c r="W2071" s="95"/>
    </row>
    <row r="2072" spans="5:23" ht="10.15" customHeight="1">
      <c r="E2072" s="95"/>
      <c r="F2072" s="95"/>
      <c r="G2072" s="95"/>
      <c r="H2072" s="95"/>
      <c r="I2072" s="95"/>
      <c r="J2072" s="95"/>
      <c r="K2072" s="95"/>
      <c r="L2072" s="95"/>
      <c r="M2072" s="95"/>
      <c r="N2072" s="95"/>
      <c r="O2072" s="95"/>
      <c r="P2072" s="95"/>
      <c r="Q2072" s="95"/>
      <c r="R2072" s="95"/>
      <c r="T2072" s="81"/>
      <c r="U2072" s="95"/>
      <c r="V2072" s="95"/>
      <c r="W2072" s="95"/>
    </row>
    <row r="2073" spans="5:23" ht="10.15" customHeight="1">
      <c r="E2073" s="95"/>
      <c r="F2073" s="95"/>
      <c r="G2073" s="95"/>
      <c r="H2073" s="95"/>
      <c r="I2073" s="95"/>
      <c r="J2073" s="95"/>
      <c r="K2073" s="95"/>
      <c r="L2073" s="95"/>
      <c r="M2073" s="95"/>
      <c r="N2073" s="95"/>
      <c r="O2073" s="95"/>
      <c r="P2073" s="95"/>
      <c r="Q2073" s="95"/>
      <c r="R2073" s="95"/>
      <c r="T2073" s="81"/>
      <c r="U2073" s="95"/>
      <c r="V2073" s="95"/>
      <c r="W2073" s="95"/>
    </row>
    <row r="2074" spans="5:23" ht="10.15" customHeight="1">
      <c r="E2074" s="95"/>
      <c r="F2074" s="95"/>
      <c r="G2074" s="95"/>
      <c r="H2074" s="95"/>
      <c r="I2074" s="95"/>
      <c r="J2074" s="95"/>
      <c r="K2074" s="95"/>
      <c r="L2074" s="95"/>
      <c r="M2074" s="95"/>
      <c r="N2074" s="95"/>
      <c r="O2074" s="95"/>
      <c r="P2074" s="95"/>
      <c r="Q2074" s="95"/>
      <c r="R2074" s="95"/>
      <c r="T2074" s="81"/>
      <c r="U2074" s="95"/>
      <c r="V2074" s="95"/>
      <c r="W2074" s="95"/>
    </row>
    <row r="2075" spans="5:23" ht="10.15" customHeight="1">
      <c r="E2075" s="95"/>
      <c r="F2075" s="95"/>
      <c r="G2075" s="95"/>
      <c r="H2075" s="95"/>
      <c r="I2075" s="95"/>
      <c r="J2075" s="95"/>
      <c r="K2075" s="95"/>
      <c r="L2075" s="95"/>
      <c r="M2075" s="95"/>
      <c r="N2075" s="95"/>
      <c r="O2075" s="95"/>
      <c r="P2075" s="95"/>
      <c r="Q2075" s="95"/>
      <c r="R2075" s="95"/>
      <c r="T2075" s="81"/>
      <c r="U2075" s="95"/>
      <c r="V2075" s="95"/>
      <c r="W2075" s="95"/>
    </row>
    <row r="2076" spans="5:23" ht="10.15" customHeight="1">
      <c r="E2076" s="95"/>
      <c r="F2076" s="95"/>
      <c r="G2076" s="95"/>
      <c r="H2076" s="95"/>
      <c r="I2076" s="95"/>
      <c r="J2076" s="95"/>
      <c r="K2076" s="95"/>
      <c r="L2076" s="95"/>
      <c r="M2076" s="95"/>
      <c r="N2076" s="95"/>
      <c r="O2076" s="95"/>
      <c r="P2076" s="95"/>
      <c r="Q2076" s="95"/>
      <c r="R2076" s="95"/>
      <c r="T2076" s="81"/>
      <c r="U2076" s="95"/>
      <c r="V2076" s="95"/>
      <c r="W2076" s="95"/>
    </row>
    <row r="2077" spans="5:23" ht="10.15" customHeight="1">
      <c r="E2077" s="95"/>
      <c r="F2077" s="95"/>
      <c r="G2077" s="95"/>
      <c r="H2077" s="95"/>
      <c r="I2077" s="95"/>
      <c r="J2077" s="95"/>
      <c r="K2077" s="95"/>
      <c r="L2077" s="95"/>
      <c r="M2077" s="95"/>
      <c r="N2077" s="95"/>
      <c r="O2077" s="95"/>
      <c r="P2077" s="95"/>
      <c r="Q2077" s="95"/>
      <c r="R2077" s="95"/>
      <c r="T2077" s="81"/>
      <c r="U2077" s="95"/>
      <c r="V2077" s="95"/>
      <c r="W2077" s="95"/>
    </row>
    <row r="2078" spans="5:23" ht="10.15" customHeight="1">
      <c r="E2078" s="95"/>
      <c r="F2078" s="95"/>
      <c r="G2078" s="95"/>
      <c r="H2078" s="95"/>
      <c r="I2078" s="95"/>
      <c r="J2078" s="95"/>
      <c r="K2078" s="95"/>
      <c r="L2078" s="95"/>
      <c r="M2078" s="95"/>
      <c r="N2078" s="95"/>
      <c r="O2078" s="95"/>
      <c r="P2078" s="95"/>
      <c r="Q2078" s="95"/>
      <c r="R2078" s="95"/>
      <c r="T2078" s="81"/>
      <c r="U2078" s="95"/>
      <c r="V2078" s="95"/>
      <c r="W2078" s="95"/>
    </row>
    <row r="2079" spans="5:23" ht="10.15" customHeight="1">
      <c r="E2079" s="95"/>
      <c r="F2079" s="95"/>
      <c r="G2079" s="95"/>
      <c r="H2079" s="95"/>
      <c r="I2079" s="95"/>
      <c r="J2079" s="95"/>
      <c r="K2079" s="95"/>
      <c r="L2079" s="95"/>
      <c r="M2079" s="95"/>
      <c r="N2079" s="95"/>
      <c r="O2079" s="95"/>
      <c r="P2079" s="95"/>
      <c r="Q2079" s="95"/>
      <c r="R2079" s="95"/>
      <c r="T2079" s="81"/>
      <c r="U2079" s="95"/>
      <c r="V2079" s="95"/>
      <c r="W2079" s="95"/>
    </row>
    <row r="2080" spans="5:23" ht="10.15" customHeight="1">
      <c r="E2080" s="95"/>
      <c r="F2080" s="95"/>
      <c r="G2080" s="95"/>
      <c r="H2080" s="95"/>
      <c r="I2080" s="95"/>
      <c r="J2080" s="95"/>
      <c r="K2080" s="95"/>
      <c r="L2080" s="95"/>
      <c r="M2080" s="95"/>
      <c r="N2080" s="95"/>
      <c r="O2080" s="95"/>
      <c r="P2080" s="95"/>
      <c r="Q2080" s="95"/>
      <c r="R2080" s="95"/>
      <c r="T2080" s="81"/>
      <c r="U2080" s="95"/>
      <c r="V2080" s="95"/>
      <c r="W2080" s="95"/>
    </row>
    <row r="2081" spans="5:23" ht="10.15" customHeight="1">
      <c r="E2081" s="95"/>
      <c r="F2081" s="95"/>
      <c r="G2081" s="95"/>
      <c r="H2081" s="95"/>
      <c r="I2081" s="95"/>
      <c r="J2081" s="95"/>
      <c r="K2081" s="95"/>
      <c r="L2081" s="95"/>
      <c r="M2081" s="95"/>
      <c r="N2081" s="95"/>
      <c r="O2081" s="95"/>
      <c r="P2081" s="95"/>
      <c r="Q2081" s="95"/>
      <c r="R2081" s="95"/>
      <c r="T2081" s="81"/>
      <c r="U2081" s="95"/>
      <c r="V2081" s="95"/>
      <c r="W2081" s="95"/>
    </row>
    <row r="2082" spans="5:23" ht="10.15" customHeight="1">
      <c r="E2082" s="95"/>
      <c r="F2082" s="95"/>
      <c r="G2082" s="95"/>
      <c r="H2082" s="95"/>
      <c r="I2082" s="95"/>
      <c r="J2082" s="95"/>
      <c r="K2082" s="95"/>
      <c r="L2082" s="95"/>
      <c r="M2082" s="95"/>
      <c r="N2082" s="95"/>
      <c r="O2082" s="95"/>
      <c r="P2082" s="95"/>
      <c r="Q2082" s="95"/>
      <c r="R2082" s="95"/>
      <c r="T2082" s="81"/>
      <c r="U2082" s="95"/>
      <c r="V2082" s="95"/>
      <c r="W2082" s="95"/>
    </row>
    <row r="2083" spans="5:23" ht="10.15" customHeight="1">
      <c r="E2083" s="95"/>
      <c r="F2083" s="95"/>
      <c r="G2083" s="95"/>
      <c r="H2083" s="95"/>
      <c r="I2083" s="95"/>
      <c r="J2083" s="95"/>
      <c r="K2083" s="95"/>
      <c r="L2083" s="95"/>
      <c r="M2083" s="95"/>
      <c r="N2083" s="95"/>
      <c r="O2083" s="95"/>
      <c r="P2083" s="95"/>
      <c r="Q2083" s="95"/>
      <c r="R2083" s="95"/>
      <c r="T2083" s="81"/>
      <c r="U2083" s="95"/>
      <c r="V2083" s="95"/>
      <c r="W2083" s="95"/>
    </row>
    <row r="2084" spans="5:23" ht="10.15" customHeight="1">
      <c r="E2084" s="95"/>
      <c r="F2084" s="95"/>
      <c r="G2084" s="95"/>
      <c r="H2084" s="95"/>
      <c r="I2084" s="95"/>
      <c r="J2084" s="95"/>
      <c r="K2084" s="95"/>
      <c r="L2084" s="95"/>
      <c r="M2084" s="95"/>
      <c r="N2084" s="95"/>
      <c r="O2084" s="95"/>
      <c r="P2084" s="95"/>
      <c r="Q2084" s="95"/>
      <c r="R2084" s="95"/>
      <c r="T2084" s="81"/>
      <c r="U2084" s="95"/>
      <c r="V2084" s="95"/>
      <c r="W2084" s="95"/>
    </row>
    <row r="2085" spans="5:23" ht="10.15" customHeight="1">
      <c r="E2085" s="95"/>
      <c r="F2085" s="95"/>
      <c r="G2085" s="95"/>
      <c r="H2085" s="95"/>
      <c r="I2085" s="95"/>
      <c r="J2085" s="95"/>
      <c r="K2085" s="95"/>
      <c r="L2085" s="95"/>
      <c r="M2085" s="95"/>
      <c r="N2085" s="95"/>
      <c r="O2085" s="95"/>
      <c r="P2085" s="95"/>
      <c r="Q2085" s="95"/>
      <c r="R2085" s="95"/>
      <c r="T2085" s="81"/>
      <c r="U2085" s="95"/>
      <c r="V2085" s="95"/>
      <c r="W2085" s="95"/>
    </row>
    <row r="2086" spans="5:23" ht="10.15" customHeight="1">
      <c r="E2086" s="95"/>
      <c r="F2086" s="95"/>
      <c r="G2086" s="95"/>
      <c r="H2086" s="95"/>
      <c r="I2086" s="95"/>
      <c r="J2086" s="95"/>
      <c r="K2086" s="95"/>
      <c r="L2086" s="95"/>
      <c r="M2086" s="95"/>
      <c r="N2086" s="95"/>
      <c r="O2086" s="95"/>
      <c r="P2086" s="95"/>
      <c r="Q2086" s="95"/>
      <c r="R2086" s="95"/>
      <c r="T2086" s="81"/>
      <c r="U2086" s="95"/>
      <c r="V2086" s="95"/>
      <c r="W2086" s="95"/>
    </row>
    <row r="2087" spans="5:23" ht="10.15" customHeight="1">
      <c r="E2087" s="95"/>
      <c r="F2087" s="95"/>
      <c r="G2087" s="95"/>
      <c r="H2087" s="95"/>
      <c r="I2087" s="95"/>
      <c r="J2087" s="95"/>
      <c r="K2087" s="95"/>
      <c r="L2087" s="95"/>
      <c r="M2087" s="95"/>
      <c r="N2087" s="95"/>
      <c r="O2087" s="95"/>
      <c r="P2087" s="95"/>
      <c r="Q2087" s="95"/>
      <c r="R2087" s="95"/>
      <c r="T2087" s="81"/>
      <c r="U2087" s="95"/>
      <c r="V2087" s="95"/>
      <c r="W2087" s="95"/>
    </row>
    <row r="2088" spans="5:23" ht="10.15" customHeight="1">
      <c r="E2088" s="95"/>
      <c r="F2088" s="95"/>
      <c r="G2088" s="95"/>
      <c r="H2088" s="95"/>
      <c r="I2088" s="95"/>
      <c r="J2088" s="95"/>
      <c r="K2088" s="95"/>
      <c r="L2088" s="95"/>
      <c r="M2088" s="95"/>
      <c r="N2088" s="95"/>
      <c r="O2088" s="95"/>
      <c r="P2088" s="95"/>
      <c r="Q2088" s="95"/>
      <c r="R2088" s="95"/>
      <c r="T2088" s="81"/>
      <c r="U2088" s="95"/>
      <c r="V2088" s="95"/>
      <c r="W2088" s="95"/>
    </row>
    <row r="2089" spans="5:23" ht="10.15" customHeight="1">
      <c r="E2089" s="95"/>
      <c r="F2089" s="95"/>
      <c r="G2089" s="95"/>
      <c r="H2089" s="95"/>
      <c r="I2089" s="95"/>
      <c r="J2089" s="95"/>
      <c r="K2089" s="95"/>
      <c r="L2089" s="95"/>
      <c r="M2089" s="95"/>
      <c r="N2089" s="95"/>
      <c r="O2089" s="95"/>
      <c r="P2089" s="95"/>
      <c r="Q2089" s="95"/>
      <c r="R2089" s="95"/>
      <c r="T2089" s="81"/>
      <c r="U2089" s="95"/>
      <c r="V2089" s="95"/>
      <c r="W2089" s="95"/>
    </row>
    <row r="2090" spans="5:23" ht="10.15" customHeight="1">
      <c r="E2090" s="95"/>
      <c r="F2090" s="95"/>
      <c r="G2090" s="95"/>
      <c r="H2090" s="95"/>
      <c r="I2090" s="95"/>
      <c r="J2090" s="95"/>
      <c r="K2090" s="95"/>
      <c r="L2090" s="95"/>
      <c r="M2090" s="95"/>
      <c r="N2090" s="95"/>
      <c r="O2090" s="95"/>
      <c r="P2090" s="95"/>
      <c r="Q2090" s="95"/>
      <c r="R2090" s="95"/>
      <c r="T2090" s="81"/>
      <c r="U2090" s="95"/>
      <c r="V2090" s="95"/>
      <c r="W2090" s="95"/>
    </row>
    <row r="2091" spans="5:23" ht="10.15" customHeight="1">
      <c r="E2091" s="95"/>
      <c r="F2091" s="95"/>
      <c r="G2091" s="95"/>
      <c r="H2091" s="95"/>
      <c r="I2091" s="95"/>
      <c r="J2091" s="95"/>
      <c r="K2091" s="95"/>
      <c r="L2091" s="95"/>
      <c r="M2091" s="95"/>
      <c r="N2091" s="95"/>
      <c r="O2091" s="95"/>
      <c r="P2091" s="95"/>
      <c r="Q2091" s="95"/>
      <c r="R2091" s="95"/>
      <c r="T2091" s="81"/>
      <c r="U2091" s="95"/>
      <c r="V2091" s="95"/>
      <c r="W2091" s="95"/>
    </row>
    <row r="2092" spans="5:23" ht="10.15" customHeight="1">
      <c r="E2092" s="95"/>
      <c r="F2092" s="95"/>
      <c r="G2092" s="95"/>
      <c r="H2092" s="95"/>
      <c r="I2092" s="95"/>
      <c r="J2092" s="95"/>
      <c r="K2092" s="95"/>
      <c r="L2092" s="95"/>
      <c r="M2092" s="95"/>
      <c r="N2092" s="95"/>
      <c r="O2092" s="95"/>
      <c r="P2092" s="95"/>
      <c r="Q2092" s="95"/>
      <c r="R2092" s="95"/>
      <c r="T2092" s="81"/>
      <c r="U2092" s="95"/>
      <c r="V2092" s="95"/>
      <c r="W2092" s="95"/>
    </row>
    <row r="2093" spans="5:23" ht="10.15" customHeight="1">
      <c r="E2093" s="95"/>
      <c r="F2093" s="95"/>
      <c r="G2093" s="95"/>
      <c r="H2093" s="95"/>
      <c r="I2093" s="95"/>
      <c r="J2093" s="95"/>
      <c r="K2093" s="95"/>
      <c r="L2093" s="95"/>
      <c r="M2093" s="95"/>
      <c r="N2093" s="95"/>
      <c r="O2093" s="95"/>
      <c r="P2093" s="95"/>
      <c r="Q2093" s="95"/>
      <c r="R2093" s="95"/>
      <c r="T2093" s="81"/>
      <c r="U2093" s="95"/>
      <c r="V2093" s="95"/>
      <c r="W2093" s="95"/>
    </row>
    <row r="2094" spans="5:23" ht="10.15" customHeight="1">
      <c r="E2094" s="95"/>
      <c r="F2094" s="95"/>
      <c r="G2094" s="95"/>
      <c r="H2094" s="95"/>
      <c r="I2094" s="95"/>
      <c r="J2094" s="95"/>
      <c r="K2094" s="95"/>
      <c r="L2094" s="95"/>
      <c r="M2094" s="95"/>
      <c r="N2094" s="95"/>
      <c r="O2094" s="95"/>
      <c r="P2094" s="95"/>
      <c r="Q2094" s="95"/>
      <c r="R2094" s="95"/>
      <c r="T2094" s="81"/>
      <c r="U2094" s="95"/>
      <c r="V2094" s="95"/>
      <c r="W2094" s="95"/>
    </row>
    <row r="2095" spans="5:23" ht="10.15" customHeight="1">
      <c r="E2095" s="95"/>
      <c r="F2095" s="95"/>
      <c r="G2095" s="95"/>
      <c r="H2095" s="95"/>
      <c r="I2095" s="95"/>
      <c r="J2095" s="95"/>
      <c r="K2095" s="95"/>
      <c r="L2095" s="95"/>
      <c r="M2095" s="95"/>
      <c r="N2095" s="95"/>
      <c r="O2095" s="95"/>
      <c r="P2095" s="95"/>
      <c r="Q2095" s="95"/>
      <c r="R2095" s="95"/>
      <c r="T2095" s="81"/>
      <c r="U2095" s="95"/>
      <c r="V2095" s="95"/>
      <c r="W2095" s="95"/>
    </row>
    <row r="2096" spans="5:23" ht="10.15" customHeight="1">
      <c r="E2096" s="95"/>
      <c r="F2096" s="95"/>
      <c r="G2096" s="95"/>
      <c r="H2096" s="95"/>
      <c r="I2096" s="95"/>
      <c r="J2096" s="95"/>
      <c r="K2096" s="95"/>
      <c r="L2096" s="95"/>
      <c r="M2096" s="95"/>
      <c r="N2096" s="95"/>
      <c r="O2096" s="95"/>
      <c r="P2096" s="95"/>
      <c r="Q2096" s="95"/>
      <c r="R2096" s="95"/>
      <c r="T2096" s="81"/>
      <c r="U2096" s="95"/>
      <c r="V2096" s="95"/>
      <c r="W2096" s="95"/>
    </row>
    <row r="2097" spans="5:23" ht="10.15" customHeight="1">
      <c r="E2097" s="95"/>
      <c r="F2097" s="95"/>
      <c r="G2097" s="95"/>
      <c r="H2097" s="95"/>
      <c r="I2097" s="95"/>
      <c r="J2097" s="95"/>
      <c r="K2097" s="95"/>
      <c r="L2097" s="95"/>
      <c r="M2097" s="95"/>
      <c r="N2097" s="95"/>
      <c r="O2097" s="95"/>
      <c r="P2097" s="95"/>
      <c r="Q2097" s="95"/>
      <c r="R2097" s="95"/>
      <c r="T2097" s="81"/>
      <c r="U2097" s="95"/>
      <c r="V2097" s="95"/>
      <c r="W2097" s="95"/>
    </row>
    <row r="2098" spans="5:23" ht="10.15" customHeight="1">
      <c r="E2098" s="95"/>
      <c r="F2098" s="95"/>
      <c r="G2098" s="95"/>
      <c r="H2098" s="95"/>
      <c r="I2098" s="95"/>
      <c r="J2098" s="95"/>
      <c r="K2098" s="95"/>
      <c r="L2098" s="95"/>
      <c r="M2098" s="95"/>
      <c r="N2098" s="95"/>
      <c r="O2098" s="95"/>
      <c r="P2098" s="95"/>
      <c r="Q2098" s="95"/>
      <c r="R2098" s="95"/>
      <c r="T2098" s="81"/>
      <c r="U2098" s="95"/>
      <c r="V2098" s="95"/>
      <c r="W2098" s="95"/>
    </row>
    <row r="2099" spans="5:23" ht="10.15" customHeight="1">
      <c r="E2099" s="95"/>
      <c r="F2099" s="95"/>
      <c r="G2099" s="95"/>
      <c r="H2099" s="95"/>
      <c r="I2099" s="95"/>
      <c r="J2099" s="95"/>
      <c r="K2099" s="95"/>
      <c r="L2099" s="95"/>
      <c r="M2099" s="95"/>
      <c r="N2099" s="95"/>
      <c r="O2099" s="95"/>
      <c r="P2099" s="95"/>
      <c r="Q2099" s="95"/>
      <c r="R2099" s="95"/>
      <c r="T2099" s="81"/>
      <c r="U2099" s="95"/>
      <c r="V2099" s="95"/>
      <c r="W2099" s="95"/>
    </row>
    <row r="2100" spans="5:23" ht="10.15" customHeight="1">
      <c r="E2100" s="95"/>
      <c r="F2100" s="95"/>
      <c r="G2100" s="95"/>
      <c r="H2100" s="95"/>
      <c r="I2100" s="95"/>
      <c r="J2100" s="95"/>
      <c r="K2100" s="95"/>
      <c r="L2100" s="95"/>
      <c r="M2100" s="95"/>
      <c r="N2100" s="95"/>
      <c r="O2100" s="95"/>
      <c r="P2100" s="95"/>
      <c r="Q2100" s="95"/>
      <c r="R2100" s="95"/>
      <c r="T2100" s="81"/>
      <c r="U2100" s="95"/>
      <c r="V2100" s="95"/>
      <c r="W2100" s="95"/>
    </row>
    <row r="2101" spans="5:23" ht="10.15" customHeight="1">
      <c r="E2101" s="95"/>
      <c r="F2101" s="95"/>
      <c r="G2101" s="95"/>
      <c r="H2101" s="95"/>
      <c r="I2101" s="95"/>
      <c r="J2101" s="95"/>
      <c r="K2101" s="95"/>
      <c r="L2101" s="95"/>
      <c r="M2101" s="95"/>
      <c r="N2101" s="95"/>
      <c r="O2101" s="95"/>
      <c r="P2101" s="95"/>
      <c r="Q2101" s="95"/>
      <c r="R2101" s="95"/>
      <c r="T2101" s="81"/>
      <c r="U2101" s="95"/>
      <c r="V2101" s="95"/>
      <c r="W2101" s="95"/>
    </row>
    <row r="2102" spans="5:23" ht="10.15" customHeight="1">
      <c r="E2102" s="95"/>
      <c r="F2102" s="95"/>
      <c r="G2102" s="95"/>
      <c r="H2102" s="95"/>
      <c r="I2102" s="95"/>
      <c r="J2102" s="95"/>
      <c r="K2102" s="95"/>
      <c r="L2102" s="95"/>
      <c r="M2102" s="95"/>
      <c r="N2102" s="95"/>
      <c r="O2102" s="95"/>
      <c r="P2102" s="95"/>
      <c r="Q2102" s="95"/>
      <c r="R2102" s="95"/>
      <c r="T2102" s="81"/>
      <c r="U2102" s="95"/>
      <c r="V2102" s="95"/>
      <c r="W2102" s="95"/>
    </row>
    <row r="2103" spans="5:23" ht="10.15" customHeight="1">
      <c r="E2103" s="95"/>
      <c r="F2103" s="95"/>
      <c r="G2103" s="95"/>
      <c r="H2103" s="95"/>
      <c r="I2103" s="95"/>
      <c r="J2103" s="95"/>
      <c r="K2103" s="95"/>
      <c r="L2103" s="95"/>
      <c r="M2103" s="95"/>
      <c r="N2103" s="95"/>
      <c r="O2103" s="95"/>
      <c r="P2103" s="95"/>
      <c r="Q2103" s="95"/>
      <c r="R2103" s="95"/>
      <c r="T2103" s="81"/>
      <c r="U2103" s="95"/>
      <c r="V2103" s="95"/>
      <c r="W2103" s="95"/>
    </row>
    <row r="2104" spans="5:23" ht="10.15" customHeight="1">
      <c r="E2104" s="95"/>
      <c r="F2104" s="95"/>
      <c r="G2104" s="95"/>
      <c r="H2104" s="95"/>
      <c r="I2104" s="95"/>
      <c r="J2104" s="95"/>
      <c r="K2104" s="95"/>
      <c r="L2104" s="95"/>
      <c r="M2104" s="95"/>
      <c r="N2104" s="95"/>
      <c r="O2104" s="95"/>
      <c r="P2104" s="95"/>
      <c r="Q2104" s="95"/>
      <c r="R2104" s="95"/>
      <c r="T2104" s="81"/>
      <c r="U2104" s="95"/>
      <c r="V2104" s="95"/>
      <c r="W2104" s="95"/>
    </row>
    <row r="2105" spans="5:23" ht="10.15" customHeight="1">
      <c r="E2105" s="95"/>
      <c r="F2105" s="95"/>
      <c r="G2105" s="95"/>
      <c r="H2105" s="95"/>
      <c r="I2105" s="95"/>
      <c r="J2105" s="95"/>
      <c r="K2105" s="95"/>
      <c r="L2105" s="95"/>
      <c r="M2105" s="95"/>
      <c r="N2105" s="95"/>
      <c r="O2105" s="95"/>
      <c r="P2105" s="95"/>
      <c r="Q2105" s="95"/>
      <c r="R2105" s="95"/>
      <c r="T2105" s="81"/>
      <c r="U2105" s="95"/>
      <c r="V2105" s="95"/>
      <c r="W2105" s="95"/>
    </row>
    <row r="2106" spans="5:23" ht="10.15" customHeight="1">
      <c r="E2106" s="95"/>
      <c r="F2106" s="95"/>
      <c r="G2106" s="95"/>
      <c r="H2106" s="95"/>
      <c r="I2106" s="95"/>
      <c r="J2106" s="95"/>
      <c r="K2106" s="95"/>
      <c r="L2106" s="95"/>
      <c r="M2106" s="95"/>
      <c r="N2106" s="95"/>
      <c r="O2106" s="95"/>
      <c r="P2106" s="95"/>
      <c r="Q2106" s="95"/>
      <c r="R2106" s="95"/>
      <c r="T2106" s="81"/>
      <c r="U2106" s="95"/>
      <c r="V2106" s="95"/>
      <c r="W2106" s="95"/>
    </row>
    <row r="2107" spans="5:23" ht="10.15" customHeight="1">
      <c r="E2107" s="95"/>
      <c r="F2107" s="95"/>
      <c r="G2107" s="95"/>
      <c r="H2107" s="95"/>
      <c r="I2107" s="95"/>
      <c r="J2107" s="95"/>
      <c r="K2107" s="95"/>
      <c r="L2107" s="95"/>
      <c r="M2107" s="95"/>
      <c r="N2107" s="95"/>
      <c r="O2107" s="95"/>
      <c r="P2107" s="95"/>
      <c r="Q2107" s="95"/>
      <c r="R2107" s="95"/>
      <c r="T2107" s="81"/>
      <c r="U2107" s="95"/>
      <c r="V2107" s="95"/>
      <c r="W2107" s="95"/>
    </row>
    <row r="2108" spans="5:23" ht="10.15" customHeight="1">
      <c r="E2108" s="95"/>
      <c r="F2108" s="95"/>
      <c r="G2108" s="95"/>
      <c r="H2108" s="95"/>
      <c r="I2108" s="95"/>
      <c r="J2108" s="95"/>
      <c r="K2108" s="95"/>
      <c r="L2108" s="95"/>
      <c r="M2108" s="95"/>
      <c r="N2108" s="95"/>
      <c r="O2108" s="95"/>
      <c r="P2108" s="95"/>
      <c r="Q2108" s="95"/>
      <c r="R2108" s="95"/>
      <c r="T2108" s="81"/>
      <c r="U2108" s="95"/>
      <c r="V2108" s="95"/>
      <c r="W2108" s="95"/>
    </row>
    <row r="2109" spans="5:23" ht="10.15" customHeight="1">
      <c r="E2109" s="95"/>
      <c r="F2109" s="95"/>
      <c r="G2109" s="95"/>
      <c r="H2109" s="95"/>
      <c r="I2109" s="95"/>
      <c r="J2109" s="95"/>
      <c r="K2109" s="95"/>
      <c r="L2109" s="95"/>
      <c r="M2109" s="95"/>
      <c r="N2109" s="95"/>
      <c r="O2109" s="95"/>
      <c r="P2109" s="95"/>
      <c r="Q2109" s="95"/>
      <c r="R2109" s="95"/>
      <c r="T2109" s="81"/>
      <c r="U2109" s="95"/>
      <c r="V2109" s="95"/>
      <c r="W2109" s="95"/>
    </row>
    <row r="2110" spans="5:23" ht="10.15" customHeight="1">
      <c r="E2110" s="95"/>
      <c r="F2110" s="95"/>
      <c r="G2110" s="95"/>
      <c r="H2110" s="95"/>
      <c r="I2110" s="95"/>
      <c r="J2110" s="95"/>
      <c r="K2110" s="95"/>
      <c r="L2110" s="95"/>
      <c r="M2110" s="95"/>
      <c r="N2110" s="95"/>
      <c r="O2110" s="95"/>
      <c r="P2110" s="95"/>
      <c r="Q2110" s="95"/>
      <c r="R2110" s="95"/>
      <c r="T2110" s="81"/>
      <c r="U2110" s="95"/>
      <c r="V2110" s="95"/>
      <c r="W2110" s="95"/>
    </row>
    <row r="2111" spans="5:23" ht="10.15" customHeight="1">
      <c r="E2111" s="95"/>
      <c r="F2111" s="95"/>
      <c r="G2111" s="95"/>
      <c r="H2111" s="95"/>
      <c r="I2111" s="95"/>
      <c r="J2111" s="95"/>
      <c r="K2111" s="95"/>
      <c r="L2111" s="95"/>
      <c r="M2111" s="95"/>
      <c r="N2111" s="95"/>
      <c r="O2111" s="95"/>
      <c r="P2111" s="95"/>
      <c r="Q2111" s="95"/>
      <c r="R2111" s="95"/>
      <c r="T2111" s="81"/>
      <c r="U2111" s="95"/>
      <c r="V2111" s="95"/>
      <c r="W2111" s="95"/>
    </row>
    <row r="2112" spans="5:23" ht="10.15" customHeight="1">
      <c r="E2112" s="95"/>
      <c r="F2112" s="95"/>
      <c r="G2112" s="95"/>
      <c r="H2112" s="95"/>
      <c r="I2112" s="95"/>
      <c r="J2112" s="95"/>
      <c r="K2112" s="95"/>
      <c r="L2112" s="95"/>
      <c r="M2112" s="95"/>
      <c r="N2112" s="95"/>
      <c r="O2112" s="95"/>
      <c r="P2112" s="95"/>
      <c r="Q2112" s="95"/>
      <c r="R2112" s="95"/>
      <c r="T2112" s="81"/>
      <c r="U2112" s="95"/>
      <c r="V2112" s="95"/>
      <c r="W2112" s="95"/>
    </row>
    <row r="2113" spans="5:23" ht="10.15" customHeight="1">
      <c r="E2113" s="95"/>
      <c r="F2113" s="95"/>
      <c r="G2113" s="95"/>
      <c r="H2113" s="95"/>
      <c r="I2113" s="95"/>
      <c r="J2113" s="95"/>
      <c r="K2113" s="95"/>
      <c r="L2113" s="95"/>
      <c r="M2113" s="95"/>
      <c r="N2113" s="95"/>
      <c r="O2113" s="95"/>
      <c r="P2113" s="95"/>
      <c r="Q2113" s="95"/>
      <c r="R2113" s="95"/>
      <c r="T2113" s="81"/>
      <c r="U2113" s="95"/>
      <c r="V2113" s="95"/>
      <c r="W2113" s="95"/>
    </row>
    <row r="2114" spans="5:23" ht="10.15" customHeight="1">
      <c r="E2114" s="95"/>
      <c r="F2114" s="95"/>
      <c r="G2114" s="95"/>
      <c r="H2114" s="95"/>
      <c r="I2114" s="95"/>
      <c r="J2114" s="95"/>
      <c r="K2114" s="95"/>
      <c r="L2114" s="95"/>
      <c r="M2114" s="95"/>
      <c r="N2114" s="95"/>
      <c r="O2114" s="95"/>
      <c r="P2114" s="95"/>
      <c r="Q2114" s="95"/>
      <c r="R2114" s="95"/>
      <c r="T2114" s="81"/>
      <c r="U2114" s="95"/>
      <c r="V2114" s="95"/>
      <c r="W2114" s="95"/>
    </row>
    <row r="2115" spans="5:23" ht="10.15" customHeight="1">
      <c r="E2115" s="95"/>
      <c r="F2115" s="95"/>
      <c r="G2115" s="95"/>
      <c r="H2115" s="95"/>
      <c r="I2115" s="95"/>
      <c r="J2115" s="95"/>
      <c r="K2115" s="95"/>
      <c r="L2115" s="95"/>
      <c r="M2115" s="95"/>
      <c r="N2115" s="95"/>
      <c r="O2115" s="95"/>
      <c r="P2115" s="95"/>
      <c r="Q2115" s="95"/>
      <c r="R2115" s="95"/>
      <c r="T2115" s="81"/>
      <c r="U2115" s="95"/>
      <c r="V2115" s="95"/>
      <c r="W2115" s="95"/>
    </row>
    <row r="2116" spans="5:23" ht="10.15" customHeight="1">
      <c r="E2116" s="95"/>
      <c r="F2116" s="95"/>
      <c r="G2116" s="95"/>
      <c r="H2116" s="95"/>
      <c r="I2116" s="95"/>
      <c r="J2116" s="95"/>
      <c r="K2116" s="95"/>
      <c r="L2116" s="95"/>
      <c r="M2116" s="95"/>
      <c r="N2116" s="95"/>
      <c r="O2116" s="95"/>
      <c r="P2116" s="95"/>
      <c r="Q2116" s="95"/>
      <c r="R2116" s="95"/>
      <c r="T2116" s="81"/>
      <c r="U2116" s="95"/>
      <c r="V2116" s="95"/>
      <c r="W2116" s="95"/>
    </row>
    <row r="2117" spans="5:23" ht="10.15" customHeight="1">
      <c r="E2117" s="95"/>
      <c r="F2117" s="95"/>
      <c r="G2117" s="95"/>
      <c r="H2117" s="95"/>
      <c r="I2117" s="95"/>
      <c r="J2117" s="95"/>
      <c r="K2117" s="95"/>
      <c r="L2117" s="95"/>
      <c r="M2117" s="95"/>
      <c r="N2117" s="95"/>
      <c r="O2117" s="95"/>
      <c r="P2117" s="95"/>
      <c r="Q2117" s="95"/>
      <c r="R2117" s="95"/>
      <c r="T2117" s="81"/>
      <c r="U2117" s="95"/>
      <c r="V2117" s="95"/>
      <c r="W2117" s="95"/>
    </row>
    <row r="2118" spans="5:23" ht="10.15" customHeight="1">
      <c r="E2118" s="95"/>
      <c r="F2118" s="95"/>
      <c r="G2118" s="95"/>
      <c r="H2118" s="95"/>
      <c r="I2118" s="95"/>
      <c r="J2118" s="95"/>
      <c r="K2118" s="95"/>
      <c r="L2118" s="95"/>
      <c r="M2118" s="95"/>
      <c r="N2118" s="95"/>
      <c r="O2118" s="95"/>
      <c r="P2118" s="95"/>
      <c r="Q2118" s="95"/>
      <c r="R2118" s="95"/>
      <c r="T2118" s="81"/>
      <c r="U2118" s="95"/>
      <c r="V2118" s="95"/>
      <c r="W2118" s="95"/>
    </row>
    <row r="2119" spans="5:23" ht="10.15" customHeight="1">
      <c r="E2119" s="95"/>
      <c r="F2119" s="95"/>
      <c r="G2119" s="95"/>
      <c r="H2119" s="95"/>
      <c r="I2119" s="95"/>
      <c r="J2119" s="95"/>
      <c r="K2119" s="95"/>
      <c r="L2119" s="95"/>
      <c r="M2119" s="95"/>
      <c r="N2119" s="95"/>
      <c r="O2119" s="95"/>
      <c r="P2119" s="95"/>
      <c r="Q2119" s="95"/>
      <c r="R2119" s="95"/>
      <c r="T2119" s="81"/>
      <c r="U2119" s="95"/>
      <c r="V2119" s="95"/>
      <c r="W2119" s="95"/>
    </row>
    <row r="2120" spans="5:23" ht="10.15" customHeight="1">
      <c r="E2120" s="95"/>
      <c r="F2120" s="95"/>
      <c r="G2120" s="95"/>
      <c r="H2120" s="95"/>
      <c r="I2120" s="95"/>
      <c r="J2120" s="95"/>
      <c r="K2120" s="95"/>
      <c r="L2120" s="95"/>
      <c r="M2120" s="95"/>
      <c r="N2120" s="95"/>
      <c r="O2120" s="95"/>
      <c r="P2120" s="95"/>
      <c r="Q2120" s="95"/>
      <c r="R2120" s="95"/>
      <c r="T2120" s="81"/>
      <c r="U2120" s="95"/>
      <c r="V2120" s="95"/>
      <c r="W2120" s="95"/>
    </row>
    <row r="2121" spans="5:23" ht="10.15" customHeight="1">
      <c r="E2121" s="95"/>
      <c r="F2121" s="95"/>
      <c r="G2121" s="95"/>
      <c r="H2121" s="95"/>
      <c r="I2121" s="95"/>
      <c r="J2121" s="95"/>
      <c r="K2121" s="95"/>
      <c r="L2121" s="95"/>
      <c r="M2121" s="95"/>
      <c r="N2121" s="95"/>
      <c r="O2121" s="95"/>
      <c r="P2121" s="95"/>
      <c r="Q2121" s="95"/>
      <c r="R2121" s="95"/>
      <c r="T2121" s="81"/>
      <c r="U2121" s="95"/>
      <c r="V2121" s="95"/>
      <c r="W2121" s="95"/>
    </row>
    <row r="2122" spans="5:23" ht="10.15" customHeight="1">
      <c r="E2122" s="95"/>
      <c r="F2122" s="95"/>
      <c r="G2122" s="95"/>
      <c r="H2122" s="95"/>
      <c r="I2122" s="95"/>
      <c r="J2122" s="95"/>
      <c r="K2122" s="95"/>
      <c r="L2122" s="95"/>
      <c r="M2122" s="95"/>
      <c r="N2122" s="95"/>
      <c r="O2122" s="95"/>
      <c r="P2122" s="95"/>
      <c r="Q2122" s="95"/>
      <c r="R2122" s="95"/>
      <c r="T2122" s="81"/>
      <c r="U2122" s="95"/>
      <c r="V2122" s="95"/>
      <c r="W2122" s="95"/>
    </row>
    <row r="2123" spans="5:23" ht="10.15" customHeight="1">
      <c r="E2123" s="95"/>
      <c r="F2123" s="95"/>
      <c r="G2123" s="95"/>
      <c r="H2123" s="95"/>
      <c r="I2123" s="95"/>
      <c r="J2123" s="95"/>
      <c r="K2123" s="95"/>
      <c r="L2123" s="95"/>
      <c r="M2123" s="95"/>
      <c r="N2123" s="95"/>
      <c r="O2123" s="95"/>
      <c r="P2123" s="95"/>
      <c r="Q2123" s="95"/>
      <c r="R2123" s="95"/>
      <c r="T2123" s="81"/>
      <c r="U2123" s="95"/>
      <c r="V2123" s="95"/>
      <c r="W2123" s="95"/>
    </row>
    <row r="2124" spans="5:23" ht="10.15" customHeight="1">
      <c r="E2124" s="95"/>
      <c r="F2124" s="95"/>
      <c r="G2124" s="95"/>
      <c r="H2124" s="95"/>
      <c r="I2124" s="95"/>
      <c r="J2124" s="95"/>
      <c r="K2124" s="95"/>
      <c r="L2124" s="95"/>
      <c r="M2124" s="95"/>
      <c r="N2124" s="95"/>
      <c r="O2124" s="95"/>
      <c r="P2124" s="95"/>
      <c r="Q2124" s="95"/>
      <c r="R2124" s="95"/>
      <c r="T2124" s="81"/>
      <c r="U2124" s="95"/>
      <c r="V2124" s="95"/>
      <c r="W2124" s="95"/>
    </row>
    <row r="2125" spans="5:23" ht="10.15" customHeight="1">
      <c r="E2125" s="95"/>
      <c r="F2125" s="95"/>
      <c r="G2125" s="95"/>
      <c r="H2125" s="95"/>
      <c r="I2125" s="95"/>
      <c r="J2125" s="95"/>
      <c r="K2125" s="95"/>
      <c r="L2125" s="95"/>
      <c r="M2125" s="95"/>
      <c r="N2125" s="95"/>
      <c r="O2125" s="95"/>
      <c r="P2125" s="95"/>
      <c r="Q2125" s="95"/>
      <c r="R2125" s="95"/>
      <c r="T2125" s="81"/>
      <c r="U2125" s="95"/>
      <c r="V2125" s="95"/>
      <c r="W2125" s="95"/>
    </row>
    <row r="2126" spans="5:23" ht="10.15" customHeight="1">
      <c r="E2126" s="95"/>
      <c r="F2126" s="95"/>
      <c r="G2126" s="95"/>
      <c r="H2126" s="95"/>
      <c r="I2126" s="95"/>
      <c r="J2126" s="95"/>
      <c r="K2126" s="95"/>
      <c r="L2126" s="95"/>
      <c r="M2126" s="95"/>
      <c r="N2126" s="95"/>
      <c r="O2126" s="95"/>
      <c r="P2126" s="95"/>
      <c r="Q2126" s="95"/>
      <c r="R2126" s="95"/>
      <c r="T2126" s="81"/>
      <c r="U2126" s="95"/>
      <c r="V2126" s="95"/>
      <c r="W2126" s="95"/>
    </row>
    <row r="2127" spans="5:23" ht="10.15" customHeight="1">
      <c r="E2127" s="95"/>
      <c r="F2127" s="95"/>
      <c r="G2127" s="95"/>
      <c r="H2127" s="95"/>
      <c r="I2127" s="95"/>
      <c r="J2127" s="95"/>
      <c r="K2127" s="95"/>
      <c r="L2127" s="95"/>
      <c r="M2127" s="95"/>
      <c r="N2127" s="95"/>
      <c r="O2127" s="95"/>
      <c r="P2127" s="95"/>
      <c r="Q2127" s="95"/>
      <c r="R2127" s="95"/>
      <c r="T2127" s="81"/>
      <c r="U2127" s="95"/>
      <c r="V2127" s="95"/>
      <c r="W2127" s="95"/>
    </row>
    <row r="2128" spans="5:23" ht="10.15" customHeight="1">
      <c r="E2128" s="95"/>
      <c r="F2128" s="95"/>
      <c r="G2128" s="95"/>
      <c r="H2128" s="95"/>
      <c r="I2128" s="95"/>
      <c r="J2128" s="95"/>
      <c r="K2128" s="95"/>
      <c r="L2128" s="95"/>
      <c r="M2128" s="95"/>
      <c r="N2128" s="95"/>
      <c r="O2128" s="95"/>
      <c r="P2128" s="95"/>
      <c r="Q2128" s="95"/>
      <c r="R2128" s="95"/>
      <c r="T2128" s="81"/>
      <c r="U2128" s="95"/>
      <c r="V2128" s="95"/>
      <c r="W2128" s="95"/>
    </row>
    <row r="2129" spans="5:23" ht="10.15" customHeight="1">
      <c r="E2129" s="95"/>
      <c r="F2129" s="95"/>
      <c r="G2129" s="95"/>
      <c r="H2129" s="95"/>
      <c r="I2129" s="95"/>
      <c r="J2129" s="95"/>
      <c r="K2129" s="95"/>
      <c r="L2129" s="95"/>
      <c r="M2129" s="95"/>
      <c r="N2129" s="95"/>
      <c r="O2129" s="95"/>
      <c r="P2129" s="95"/>
      <c r="Q2129" s="95"/>
      <c r="R2129" s="95"/>
      <c r="T2129" s="81"/>
      <c r="U2129" s="95"/>
      <c r="V2129" s="95"/>
      <c r="W2129" s="95"/>
    </row>
    <row r="2130" spans="5:23" ht="10.15" customHeight="1">
      <c r="E2130" s="95"/>
      <c r="F2130" s="95"/>
      <c r="G2130" s="95"/>
      <c r="H2130" s="95"/>
      <c r="I2130" s="95"/>
      <c r="J2130" s="95"/>
      <c r="K2130" s="95"/>
      <c r="L2130" s="95"/>
      <c r="M2130" s="95"/>
      <c r="N2130" s="95"/>
      <c r="O2130" s="95"/>
      <c r="P2130" s="95"/>
      <c r="Q2130" s="95"/>
      <c r="R2130" s="95"/>
      <c r="T2130" s="81"/>
      <c r="U2130" s="95"/>
      <c r="V2130" s="95"/>
      <c r="W2130" s="95"/>
    </row>
    <row r="2131" spans="5:23" ht="10.15" customHeight="1">
      <c r="E2131" s="95"/>
      <c r="F2131" s="95"/>
      <c r="G2131" s="95"/>
      <c r="H2131" s="95"/>
      <c r="I2131" s="95"/>
      <c r="J2131" s="95"/>
      <c r="K2131" s="95"/>
      <c r="L2131" s="95"/>
      <c r="M2131" s="95"/>
      <c r="N2131" s="95"/>
      <c r="O2131" s="95"/>
      <c r="P2131" s="95"/>
      <c r="Q2131" s="95"/>
      <c r="R2131" s="95"/>
      <c r="T2131" s="81"/>
      <c r="U2131" s="95"/>
      <c r="V2131" s="95"/>
      <c r="W2131" s="95"/>
    </row>
    <row r="2132" spans="5:23" ht="10.15" customHeight="1">
      <c r="E2132" s="95"/>
      <c r="F2132" s="95"/>
      <c r="G2132" s="95"/>
      <c r="H2132" s="95"/>
      <c r="I2132" s="95"/>
      <c r="J2132" s="95"/>
      <c r="K2132" s="95"/>
      <c r="L2132" s="95"/>
      <c r="M2132" s="95"/>
      <c r="N2132" s="95"/>
      <c r="O2132" s="95"/>
      <c r="P2132" s="95"/>
      <c r="Q2132" s="95"/>
      <c r="R2132" s="95"/>
      <c r="T2132" s="81"/>
      <c r="U2132" s="95"/>
      <c r="V2132" s="95"/>
      <c r="W2132" s="95"/>
    </row>
    <row r="2133" spans="5:23" ht="10.15" customHeight="1">
      <c r="E2133" s="95"/>
      <c r="F2133" s="95"/>
      <c r="G2133" s="95"/>
      <c r="H2133" s="95"/>
      <c r="I2133" s="95"/>
      <c r="J2133" s="95"/>
      <c r="K2133" s="95"/>
      <c r="L2133" s="95"/>
      <c r="M2133" s="95"/>
      <c r="N2133" s="95"/>
      <c r="O2133" s="95"/>
      <c r="P2133" s="95"/>
      <c r="Q2133" s="95"/>
      <c r="R2133" s="95"/>
      <c r="T2133" s="81"/>
      <c r="U2133" s="95"/>
      <c r="V2133" s="95"/>
      <c r="W2133" s="95"/>
    </row>
    <row r="2134" spans="5:23" ht="10.15" customHeight="1">
      <c r="E2134" s="95"/>
      <c r="F2134" s="95"/>
      <c r="G2134" s="95"/>
      <c r="H2134" s="95"/>
      <c r="I2134" s="95"/>
      <c r="J2134" s="95"/>
      <c r="K2134" s="95"/>
      <c r="L2134" s="95"/>
      <c r="M2134" s="95"/>
      <c r="N2134" s="95"/>
      <c r="O2134" s="95"/>
      <c r="P2134" s="95"/>
      <c r="Q2134" s="95"/>
      <c r="R2134" s="95"/>
      <c r="T2134" s="81"/>
      <c r="U2134" s="95"/>
      <c r="V2134" s="95"/>
      <c r="W2134" s="95"/>
    </row>
    <row r="2135" spans="5:23" ht="10.15" customHeight="1">
      <c r="E2135" s="95"/>
      <c r="F2135" s="95"/>
      <c r="G2135" s="95"/>
      <c r="H2135" s="95"/>
      <c r="I2135" s="95"/>
      <c r="J2135" s="95"/>
      <c r="K2135" s="95"/>
      <c r="L2135" s="95"/>
      <c r="M2135" s="95"/>
      <c r="N2135" s="95"/>
      <c r="O2135" s="95"/>
      <c r="P2135" s="95"/>
      <c r="Q2135" s="95"/>
      <c r="R2135" s="95"/>
      <c r="T2135" s="81"/>
      <c r="U2135" s="95"/>
      <c r="V2135" s="95"/>
      <c r="W2135" s="95"/>
    </row>
    <row r="2136" spans="5:23" ht="10.15" customHeight="1">
      <c r="E2136" s="95"/>
      <c r="F2136" s="95"/>
      <c r="G2136" s="95"/>
      <c r="H2136" s="95"/>
      <c r="I2136" s="95"/>
      <c r="J2136" s="95"/>
      <c r="K2136" s="95"/>
      <c r="L2136" s="95"/>
      <c r="M2136" s="95"/>
      <c r="N2136" s="95"/>
      <c r="O2136" s="95"/>
      <c r="P2136" s="95"/>
      <c r="Q2136" s="95"/>
      <c r="R2136" s="95"/>
      <c r="T2136" s="81"/>
      <c r="U2136" s="95"/>
      <c r="V2136" s="95"/>
      <c r="W2136" s="95"/>
    </row>
    <row r="2137" spans="5:23" ht="10.15" customHeight="1">
      <c r="E2137" s="95"/>
      <c r="F2137" s="95"/>
      <c r="G2137" s="95"/>
      <c r="H2137" s="95"/>
      <c r="I2137" s="95"/>
      <c r="J2137" s="95"/>
      <c r="K2137" s="95"/>
      <c r="L2137" s="95"/>
      <c r="M2137" s="95"/>
      <c r="N2137" s="95"/>
      <c r="O2137" s="95"/>
      <c r="P2137" s="95"/>
      <c r="Q2137" s="95"/>
      <c r="R2137" s="95"/>
      <c r="T2137" s="81"/>
      <c r="U2137" s="95"/>
      <c r="V2137" s="95"/>
      <c r="W2137" s="95"/>
    </row>
    <row r="2138" spans="5:23" ht="10.15" customHeight="1">
      <c r="E2138" s="95"/>
      <c r="F2138" s="95"/>
      <c r="G2138" s="95"/>
      <c r="H2138" s="95"/>
      <c r="I2138" s="95"/>
      <c r="J2138" s="95"/>
      <c r="K2138" s="95"/>
      <c r="L2138" s="95"/>
      <c r="M2138" s="95"/>
      <c r="N2138" s="95"/>
      <c r="O2138" s="95"/>
      <c r="P2138" s="95"/>
      <c r="Q2138" s="95"/>
      <c r="R2138" s="95"/>
      <c r="T2138" s="81"/>
      <c r="U2138" s="95"/>
      <c r="V2138" s="95"/>
      <c r="W2138" s="95"/>
    </row>
    <row r="2139" spans="5:23" ht="10.15" customHeight="1">
      <c r="E2139" s="95"/>
      <c r="F2139" s="95"/>
      <c r="G2139" s="95"/>
      <c r="H2139" s="95"/>
      <c r="I2139" s="95"/>
      <c r="J2139" s="95"/>
      <c r="K2139" s="95"/>
      <c r="L2139" s="95"/>
      <c r="M2139" s="95"/>
      <c r="N2139" s="95"/>
      <c r="O2139" s="95"/>
      <c r="P2139" s="95"/>
      <c r="Q2139" s="95"/>
      <c r="R2139" s="95"/>
      <c r="T2139" s="81"/>
      <c r="U2139" s="95"/>
      <c r="V2139" s="95"/>
      <c r="W2139" s="95"/>
    </row>
    <row r="2140" spans="5:23" ht="10.15" customHeight="1">
      <c r="E2140" s="95"/>
      <c r="F2140" s="95"/>
      <c r="G2140" s="95"/>
      <c r="H2140" s="95"/>
      <c r="I2140" s="95"/>
      <c r="J2140" s="95"/>
      <c r="K2140" s="95"/>
      <c r="L2140" s="95"/>
      <c r="M2140" s="95"/>
      <c r="N2140" s="95"/>
      <c r="O2140" s="95"/>
      <c r="P2140" s="95"/>
      <c r="Q2140" s="95"/>
      <c r="R2140" s="95"/>
      <c r="T2140" s="81"/>
      <c r="U2140" s="95"/>
      <c r="V2140" s="95"/>
      <c r="W2140" s="95"/>
    </row>
    <row r="2141" spans="5:23" ht="10.15" customHeight="1">
      <c r="E2141" s="95"/>
      <c r="F2141" s="95"/>
      <c r="G2141" s="95"/>
      <c r="H2141" s="95"/>
      <c r="I2141" s="95"/>
      <c r="J2141" s="95"/>
      <c r="K2141" s="95"/>
      <c r="L2141" s="95"/>
      <c r="M2141" s="95"/>
      <c r="N2141" s="95"/>
      <c r="O2141" s="95"/>
      <c r="P2141" s="95"/>
      <c r="Q2141" s="95"/>
      <c r="R2141" s="95"/>
      <c r="T2141" s="81"/>
      <c r="U2141" s="95"/>
      <c r="V2141" s="95"/>
      <c r="W2141" s="95"/>
    </row>
    <row r="2142" spans="5:23" ht="10.15" customHeight="1">
      <c r="E2142" s="95"/>
      <c r="F2142" s="95"/>
      <c r="G2142" s="95"/>
      <c r="H2142" s="95"/>
      <c r="I2142" s="95"/>
      <c r="J2142" s="95"/>
      <c r="K2142" s="95"/>
      <c r="L2142" s="95"/>
      <c r="M2142" s="95"/>
      <c r="N2142" s="95"/>
      <c r="O2142" s="95"/>
      <c r="P2142" s="95"/>
      <c r="Q2142" s="95"/>
      <c r="R2142" s="95"/>
      <c r="T2142" s="81"/>
      <c r="U2142" s="95"/>
      <c r="V2142" s="95"/>
      <c r="W2142" s="95"/>
    </row>
    <row r="2143" spans="5:23" ht="10.15" customHeight="1">
      <c r="E2143" s="95"/>
      <c r="F2143" s="95"/>
      <c r="G2143" s="95"/>
      <c r="H2143" s="95"/>
      <c r="I2143" s="95"/>
      <c r="J2143" s="95"/>
      <c r="K2143" s="95"/>
      <c r="L2143" s="95"/>
      <c r="M2143" s="95"/>
      <c r="N2143" s="95"/>
      <c r="O2143" s="95"/>
      <c r="P2143" s="95"/>
      <c r="Q2143" s="95"/>
      <c r="R2143" s="95"/>
      <c r="T2143" s="81"/>
      <c r="U2143" s="95"/>
      <c r="V2143" s="95"/>
      <c r="W2143" s="95"/>
    </row>
    <row r="2144" spans="5:23" ht="10.15" customHeight="1">
      <c r="E2144" s="95"/>
      <c r="F2144" s="95"/>
      <c r="G2144" s="95"/>
      <c r="H2144" s="95"/>
      <c r="I2144" s="95"/>
      <c r="J2144" s="95"/>
      <c r="K2144" s="95"/>
      <c r="L2144" s="95"/>
      <c r="M2144" s="95"/>
      <c r="N2144" s="95"/>
      <c r="O2144" s="95"/>
      <c r="P2144" s="95"/>
      <c r="Q2144" s="95"/>
      <c r="R2144" s="95"/>
      <c r="T2144" s="81"/>
      <c r="U2144" s="95"/>
      <c r="V2144" s="95"/>
      <c r="W2144" s="95"/>
    </row>
    <row r="2145" spans="5:23" ht="10.15" customHeight="1">
      <c r="E2145" s="95"/>
      <c r="F2145" s="95"/>
      <c r="G2145" s="95"/>
      <c r="H2145" s="95"/>
      <c r="I2145" s="95"/>
      <c r="J2145" s="95"/>
      <c r="K2145" s="95"/>
      <c r="L2145" s="95"/>
      <c r="M2145" s="95"/>
      <c r="N2145" s="95"/>
      <c r="O2145" s="95"/>
      <c r="P2145" s="95"/>
      <c r="Q2145" s="95"/>
      <c r="R2145" s="95"/>
      <c r="T2145" s="81"/>
      <c r="U2145" s="95"/>
      <c r="V2145" s="95"/>
      <c r="W2145" s="95"/>
    </row>
    <row r="2146" spans="5:23" ht="10.15" customHeight="1">
      <c r="E2146" s="95"/>
      <c r="F2146" s="95"/>
      <c r="G2146" s="95"/>
      <c r="H2146" s="95"/>
      <c r="I2146" s="95"/>
      <c r="J2146" s="95"/>
      <c r="K2146" s="95"/>
      <c r="L2146" s="95"/>
      <c r="M2146" s="95"/>
      <c r="N2146" s="95"/>
      <c r="O2146" s="95"/>
      <c r="P2146" s="95"/>
      <c r="Q2146" s="95"/>
      <c r="R2146" s="95"/>
      <c r="T2146" s="81"/>
      <c r="U2146" s="95"/>
      <c r="V2146" s="95"/>
      <c r="W2146" s="95"/>
    </row>
    <row r="2147" spans="5:23" ht="10.15" customHeight="1">
      <c r="E2147" s="95"/>
      <c r="F2147" s="95"/>
      <c r="G2147" s="95"/>
      <c r="H2147" s="95"/>
      <c r="I2147" s="95"/>
      <c r="J2147" s="95"/>
      <c r="K2147" s="95"/>
      <c r="L2147" s="95"/>
      <c r="M2147" s="95"/>
      <c r="N2147" s="95"/>
      <c r="O2147" s="95"/>
      <c r="P2147" s="95"/>
      <c r="Q2147" s="95"/>
      <c r="R2147" s="95"/>
      <c r="T2147" s="81"/>
      <c r="U2147" s="95"/>
      <c r="V2147" s="95"/>
      <c r="W2147" s="95"/>
    </row>
    <row r="2148" spans="5:23" ht="10.15" customHeight="1">
      <c r="E2148" s="95"/>
      <c r="F2148" s="95"/>
      <c r="G2148" s="95"/>
      <c r="H2148" s="95"/>
      <c r="I2148" s="95"/>
      <c r="J2148" s="95"/>
      <c r="K2148" s="95"/>
      <c r="L2148" s="95"/>
      <c r="M2148" s="95"/>
      <c r="N2148" s="95"/>
      <c r="O2148" s="95"/>
      <c r="P2148" s="95"/>
      <c r="Q2148" s="95"/>
      <c r="R2148" s="95"/>
      <c r="T2148" s="81"/>
      <c r="U2148" s="95"/>
      <c r="V2148" s="95"/>
      <c r="W2148" s="95"/>
    </row>
    <row r="2149" spans="5:23" ht="10.15" customHeight="1">
      <c r="E2149" s="95"/>
      <c r="F2149" s="95"/>
      <c r="G2149" s="95"/>
      <c r="H2149" s="95"/>
      <c r="I2149" s="95"/>
      <c r="J2149" s="95"/>
      <c r="K2149" s="95"/>
      <c r="L2149" s="95"/>
      <c r="M2149" s="95"/>
      <c r="N2149" s="95"/>
      <c r="O2149" s="95"/>
      <c r="P2149" s="95"/>
      <c r="Q2149" s="95"/>
      <c r="R2149" s="95"/>
      <c r="T2149" s="81"/>
      <c r="U2149" s="95"/>
      <c r="V2149" s="95"/>
      <c r="W2149" s="95"/>
    </row>
    <row r="2150" spans="5:23" ht="10.15" customHeight="1">
      <c r="E2150" s="95"/>
      <c r="F2150" s="95"/>
      <c r="G2150" s="95"/>
      <c r="H2150" s="95"/>
      <c r="I2150" s="95"/>
      <c r="J2150" s="95"/>
      <c r="K2150" s="95"/>
      <c r="L2150" s="95"/>
      <c r="M2150" s="95"/>
      <c r="N2150" s="95"/>
      <c r="O2150" s="95"/>
      <c r="P2150" s="95"/>
      <c r="Q2150" s="95"/>
      <c r="R2150" s="95"/>
      <c r="T2150" s="81"/>
      <c r="U2150" s="95"/>
      <c r="V2150" s="95"/>
      <c r="W2150" s="95"/>
    </row>
    <row r="2151" spans="5:23" ht="10.15" customHeight="1">
      <c r="E2151" s="95"/>
      <c r="F2151" s="95"/>
      <c r="G2151" s="95"/>
      <c r="H2151" s="95"/>
      <c r="I2151" s="95"/>
      <c r="J2151" s="95"/>
      <c r="K2151" s="95"/>
      <c r="L2151" s="95"/>
      <c r="M2151" s="95"/>
      <c r="N2151" s="95"/>
      <c r="O2151" s="95"/>
      <c r="P2151" s="95"/>
      <c r="Q2151" s="95"/>
      <c r="R2151" s="95"/>
      <c r="T2151" s="81"/>
      <c r="U2151" s="95"/>
      <c r="V2151" s="95"/>
      <c r="W2151" s="95"/>
    </row>
    <row r="2152" spans="5:23" ht="10.15" customHeight="1">
      <c r="E2152" s="95"/>
      <c r="F2152" s="95"/>
      <c r="G2152" s="95"/>
      <c r="H2152" s="95"/>
      <c r="I2152" s="95"/>
      <c r="J2152" s="95"/>
      <c r="K2152" s="95"/>
      <c r="L2152" s="95"/>
      <c r="M2152" s="95"/>
      <c r="N2152" s="95"/>
      <c r="O2152" s="95"/>
      <c r="P2152" s="95"/>
      <c r="Q2152" s="95"/>
      <c r="R2152" s="95"/>
      <c r="T2152" s="81"/>
      <c r="U2152" s="95"/>
      <c r="V2152" s="95"/>
      <c r="W2152" s="95"/>
    </row>
    <row r="2153" spans="5:23" ht="10.15" customHeight="1">
      <c r="E2153" s="95"/>
      <c r="F2153" s="95"/>
      <c r="G2153" s="95"/>
      <c r="H2153" s="95"/>
      <c r="I2153" s="95"/>
      <c r="J2153" s="95"/>
      <c r="K2153" s="95"/>
      <c r="L2153" s="95"/>
      <c r="M2153" s="95"/>
      <c r="N2153" s="95"/>
      <c r="O2153" s="95"/>
      <c r="P2153" s="95"/>
      <c r="Q2153" s="95"/>
      <c r="R2153" s="95"/>
      <c r="T2153" s="81"/>
      <c r="U2153" s="95"/>
      <c r="V2153" s="95"/>
      <c r="W2153" s="95"/>
    </row>
    <row r="2154" spans="5:23" ht="10.15" customHeight="1">
      <c r="E2154" s="95"/>
      <c r="F2154" s="95"/>
      <c r="G2154" s="95"/>
      <c r="H2154" s="95"/>
      <c r="I2154" s="95"/>
      <c r="J2154" s="95"/>
      <c r="K2154" s="95"/>
      <c r="L2154" s="95"/>
      <c r="M2154" s="95"/>
      <c r="N2154" s="95"/>
      <c r="O2154" s="95"/>
      <c r="P2154" s="95"/>
      <c r="Q2154" s="95"/>
      <c r="R2154" s="95"/>
      <c r="T2154" s="81"/>
      <c r="U2154" s="95"/>
      <c r="V2154" s="95"/>
      <c r="W2154" s="95"/>
    </row>
    <row r="2155" spans="5:23" ht="10.15" customHeight="1">
      <c r="E2155" s="95"/>
      <c r="F2155" s="95"/>
      <c r="G2155" s="95"/>
      <c r="H2155" s="95"/>
      <c r="I2155" s="95"/>
      <c r="J2155" s="95"/>
      <c r="K2155" s="95"/>
      <c r="L2155" s="95"/>
      <c r="M2155" s="95"/>
      <c r="N2155" s="95"/>
      <c r="O2155" s="95"/>
      <c r="P2155" s="95"/>
      <c r="Q2155" s="95"/>
      <c r="R2155" s="95"/>
      <c r="T2155" s="81"/>
      <c r="U2155" s="95"/>
      <c r="V2155" s="95"/>
      <c r="W2155" s="95"/>
    </row>
    <row r="2156" spans="5:23" ht="10.15" customHeight="1">
      <c r="E2156" s="95"/>
      <c r="F2156" s="95"/>
      <c r="G2156" s="95"/>
      <c r="H2156" s="95"/>
      <c r="I2156" s="95"/>
      <c r="J2156" s="95"/>
      <c r="K2156" s="95"/>
      <c r="L2156" s="95"/>
      <c r="M2156" s="95"/>
      <c r="N2156" s="95"/>
      <c r="O2156" s="95"/>
      <c r="P2156" s="95"/>
      <c r="Q2156" s="95"/>
      <c r="R2156" s="95"/>
      <c r="T2156" s="81"/>
      <c r="U2156" s="95"/>
      <c r="V2156" s="95"/>
      <c r="W2156" s="95"/>
    </row>
    <row r="2157" spans="5:23" ht="10.15" customHeight="1">
      <c r="E2157" s="95"/>
      <c r="F2157" s="95"/>
      <c r="G2157" s="95"/>
      <c r="H2157" s="95"/>
      <c r="I2157" s="95"/>
      <c r="J2157" s="95"/>
      <c r="K2157" s="95"/>
      <c r="L2157" s="95"/>
      <c r="M2157" s="95"/>
      <c r="N2157" s="95"/>
      <c r="O2157" s="95"/>
      <c r="P2157" s="95"/>
      <c r="Q2157" s="95"/>
      <c r="R2157" s="95"/>
      <c r="T2157" s="81"/>
      <c r="U2157" s="95"/>
      <c r="V2157" s="95"/>
      <c r="W2157" s="95"/>
    </row>
    <row r="2158" spans="5:23" ht="10.15" customHeight="1">
      <c r="E2158" s="95"/>
      <c r="F2158" s="95"/>
      <c r="G2158" s="95"/>
      <c r="H2158" s="95"/>
      <c r="I2158" s="95"/>
      <c r="J2158" s="95"/>
      <c r="K2158" s="95"/>
      <c r="L2158" s="95"/>
      <c r="M2158" s="95"/>
      <c r="N2158" s="95"/>
      <c r="O2158" s="95"/>
      <c r="P2158" s="95"/>
      <c r="Q2158" s="95"/>
      <c r="R2158" s="95"/>
      <c r="T2158" s="81"/>
      <c r="U2158" s="95"/>
      <c r="V2158" s="95"/>
      <c r="W2158" s="95"/>
    </row>
    <row r="2159" spans="5:23" ht="10.15" customHeight="1">
      <c r="E2159" s="95"/>
      <c r="F2159" s="95"/>
      <c r="G2159" s="95"/>
      <c r="H2159" s="95"/>
      <c r="I2159" s="95"/>
      <c r="J2159" s="95"/>
      <c r="K2159" s="95"/>
      <c r="L2159" s="95"/>
      <c r="M2159" s="95"/>
      <c r="N2159" s="95"/>
      <c r="O2159" s="95"/>
      <c r="P2159" s="95"/>
      <c r="Q2159" s="95"/>
      <c r="R2159" s="95"/>
      <c r="T2159" s="81"/>
      <c r="U2159" s="95"/>
      <c r="V2159" s="95"/>
      <c r="W2159" s="95"/>
    </row>
    <row r="2160" spans="5:23" ht="10.15" customHeight="1">
      <c r="E2160" s="95"/>
      <c r="F2160" s="95"/>
      <c r="G2160" s="95"/>
      <c r="H2160" s="95"/>
      <c r="I2160" s="95"/>
      <c r="J2160" s="95"/>
      <c r="K2160" s="95"/>
      <c r="L2160" s="95"/>
      <c r="M2160" s="95"/>
      <c r="N2160" s="95"/>
      <c r="O2160" s="95"/>
      <c r="P2160" s="95"/>
      <c r="Q2160" s="95"/>
      <c r="R2160" s="95"/>
      <c r="T2160" s="81"/>
      <c r="U2160" s="95"/>
      <c r="V2160" s="95"/>
      <c r="W2160" s="95"/>
    </row>
    <row r="2161" spans="5:23" ht="10.15" customHeight="1">
      <c r="E2161" s="95"/>
      <c r="F2161" s="95"/>
      <c r="G2161" s="95"/>
      <c r="H2161" s="95"/>
      <c r="I2161" s="95"/>
      <c r="J2161" s="95"/>
      <c r="K2161" s="95"/>
      <c r="L2161" s="95"/>
      <c r="M2161" s="95"/>
      <c r="N2161" s="95"/>
      <c r="O2161" s="95"/>
      <c r="P2161" s="95"/>
      <c r="Q2161" s="95"/>
      <c r="R2161" s="95"/>
      <c r="T2161" s="81"/>
      <c r="U2161" s="95"/>
      <c r="V2161" s="95"/>
      <c r="W2161" s="95"/>
    </row>
    <row r="2162" spans="5:23" ht="10.15" customHeight="1">
      <c r="E2162" s="95"/>
      <c r="F2162" s="95"/>
      <c r="G2162" s="95"/>
      <c r="H2162" s="95"/>
      <c r="I2162" s="95"/>
      <c r="J2162" s="95"/>
      <c r="K2162" s="95"/>
      <c r="L2162" s="95"/>
      <c r="M2162" s="95"/>
      <c r="N2162" s="95"/>
      <c r="O2162" s="95"/>
      <c r="P2162" s="95"/>
      <c r="Q2162" s="95"/>
      <c r="R2162" s="95"/>
      <c r="T2162" s="81"/>
      <c r="U2162" s="95"/>
      <c r="V2162" s="95"/>
      <c r="W2162" s="95"/>
    </row>
    <row r="2163" spans="5:23" ht="10.15" customHeight="1">
      <c r="E2163" s="95"/>
      <c r="F2163" s="95"/>
      <c r="G2163" s="95"/>
      <c r="H2163" s="95"/>
      <c r="I2163" s="95"/>
      <c r="J2163" s="95"/>
      <c r="K2163" s="95"/>
      <c r="L2163" s="95"/>
      <c r="M2163" s="95"/>
      <c r="N2163" s="95"/>
      <c r="O2163" s="95"/>
      <c r="P2163" s="95"/>
      <c r="Q2163" s="95"/>
      <c r="R2163" s="95"/>
      <c r="T2163" s="81"/>
      <c r="U2163" s="95"/>
      <c r="V2163" s="95"/>
      <c r="W2163" s="95"/>
    </row>
    <row r="2164" spans="5:23" ht="10.15" customHeight="1">
      <c r="E2164" s="95"/>
      <c r="F2164" s="95"/>
      <c r="G2164" s="95"/>
      <c r="H2164" s="95"/>
      <c r="I2164" s="95"/>
      <c r="J2164" s="95"/>
      <c r="K2164" s="95"/>
      <c r="L2164" s="95"/>
      <c r="M2164" s="95"/>
      <c r="N2164" s="95"/>
      <c r="O2164" s="95"/>
      <c r="P2164" s="95"/>
      <c r="Q2164" s="95"/>
      <c r="R2164" s="95"/>
      <c r="T2164" s="81"/>
      <c r="U2164" s="95"/>
      <c r="V2164" s="95"/>
      <c r="W2164" s="95"/>
    </row>
    <row r="2165" spans="5:23" ht="10.15" customHeight="1">
      <c r="E2165" s="95"/>
      <c r="F2165" s="95"/>
      <c r="G2165" s="95"/>
      <c r="H2165" s="95"/>
      <c r="I2165" s="95"/>
      <c r="J2165" s="95"/>
      <c r="K2165" s="95"/>
      <c r="L2165" s="95"/>
      <c r="M2165" s="95"/>
      <c r="N2165" s="95"/>
      <c r="O2165" s="95"/>
      <c r="P2165" s="95"/>
      <c r="Q2165" s="95"/>
      <c r="R2165" s="95"/>
      <c r="T2165" s="81"/>
      <c r="U2165" s="95"/>
      <c r="V2165" s="95"/>
      <c r="W2165" s="95"/>
    </row>
    <row r="2166" spans="5:23" ht="10.15" customHeight="1">
      <c r="E2166" s="95"/>
      <c r="F2166" s="95"/>
      <c r="G2166" s="95"/>
      <c r="H2166" s="95"/>
      <c r="I2166" s="95"/>
      <c r="J2166" s="95"/>
      <c r="K2166" s="95"/>
      <c r="L2166" s="95"/>
      <c r="M2166" s="95"/>
      <c r="N2166" s="95"/>
      <c r="O2166" s="95"/>
      <c r="P2166" s="95"/>
      <c r="Q2166" s="95"/>
      <c r="R2166" s="95"/>
      <c r="T2166" s="81"/>
      <c r="U2166" s="95"/>
      <c r="V2166" s="95"/>
      <c r="W2166" s="95"/>
    </row>
    <row r="2167" spans="5:23" ht="10.15" customHeight="1">
      <c r="E2167" s="95"/>
      <c r="F2167" s="95"/>
      <c r="G2167" s="95"/>
      <c r="H2167" s="95"/>
      <c r="I2167" s="95"/>
      <c r="J2167" s="95"/>
      <c r="K2167" s="95"/>
      <c r="L2167" s="95"/>
      <c r="M2167" s="95"/>
      <c r="N2167" s="95"/>
      <c r="O2167" s="95"/>
      <c r="P2167" s="95"/>
      <c r="Q2167" s="95"/>
      <c r="R2167" s="95"/>
      <c r="T2167" s="81"/>
      <c r="U2167" s="95"/>
      <c r="V2167" s="95"/>
      <c r="W2167" s="95"/>
    </row>
    <row r="2168" spans="5:23" ht="10.15" customHeight="1"/>
    <row r="2169" spans="5:23" ht="10.15" customHeight="1"/>
    <row r="2170" spans="5:23" ht="10.15" customHeight="1"/>
    <row r="2171" spans="5:23" ht="10.15" customHeight="1"/>
    <row r="2172" spans="5:23" ht="10.15" customHeight="1"/>
    <row r="2173" spans="5:23" ht="10.15" customHeight="1"/>
    <row r="2174" spans="5:23" ht="10.15" customHeight="1"/>
    <row r="2175" spans="5:23" ht="10.15" customHeight="1"/>
    <row r="2176" spans="5:23" ht="10.15" customHeight="1"/>
    <row r="2177" ht="10.15" customHeight="1"/>
    <row r="2178" ht="10.15" customHeight="1"/>
    <row r="2179" ht="10.15" customHeight="1"/>
    <row r="2180" ht="10.15" customHeight="1"/>
    <row r="2181" ht="10.15" customHeight="1"/>
    <row r="2182" ht="10.15" customHeight="1"/>
    <row r="2183" ht="10.15" customHeight="1"/>
    <row r="2184" ht="10.15" customHeight="1"/>
    <row r="2185" ht="10.15" customHeight="1"/>
    <row r="2186" ht="10.15" customHeight="1"/>
    <row r="2187" ht="10.15" customHeight="1"/>
    <row r="2188" ht="10.15" customHeight="1"/>
    <row r="2189" ht="10.15" customHeight="1"/>
    <row r="2190" ht="10.15" customHeight="1"/>
    <row r="2191" ht="10.15" customHeight="1"/>
    <row r="2192" ht="10.15" customHeight="1"/>
    <row r="2193" ht="10.15" customHeight="1"/>
    <row r="2194" ht="10.15" customHeight="1"/>
    <row r="2195" ht="10.15" customHeight="1"/>
    <row r="2196" ht="10.15" customHeight="1"/>
    <row r="2197" ht="10.15" customHeight="1"/>
    <row r="2198" ht="10.15" customHeight="1"/>
    <row r="2199" ht="10.15" customHeight="1"/>
    <row r="2200" ht="10.15" customHeight="1"/>
    <row r="2201" ht="10.15" customHeight="1"/>
    <row r="2202" ht="10.15" customHeight="1"/>
    <row r="2203" ht="10.15" customHeight="1"/>
    <row r="2204" ht="10.15" customHeight="1"/>
    <row r="2205" ht="10.15" customHeight="1"/>
    <row r="2206" ht="10.15" customHeight="1"/>
    <row r="2207" ht="10.15" customHeight="1"/>
    <row r="2208" ht="10.15" customHeight="1"/>
    <row r="2209" ht="10.15" customHeight="1"/>
    <row r="2210" ht="10.15" customHeight="1"/>
    <row r="2211" ht="10.15" customHeight="1"/>
    <row r="2212" ht="10.15" customHeight="1"/>
    <row r="2213" ht="10.15" customHeight="1"/>
    <row r="2214" ht="10.15" customHeight="1"/>
    <row r="2215" ht="10.15" customHeight="1"/>
    <row r="2216" ht="10.15" customHeight="1"/>
    <row r="2217" ht="10.15" customHeight="1"/>
    <row r="2218" ht="10.15" customHeight="1"/>
    <row r="2219" ht="10.15" customHeight="1"/>
    <row r="2220" ht="10.15" customHeight="1"/>
    <row r="2221" ht="10.15" customHeight="1"/>
    <row r="2222" ht="10.15" customHeight="1"/>
    <row r="2223" ht="10.15" customHeight="1"/>
    <row r="2224" ht="10.15" customHeight="1"/>
    <row r="2225" ht="10.15" customHeight="1"/>
    <row r="2226" ht="10.15" customHeight="1"/>
    <row r="2227" ht="10.15" customHeight="1"/>
    <row r="2228" ht="10.15" customHeight="1"/>
    <row r="2229" ht="10.15" customHeight="1"/>
    <row r="2230" ht="10.15" customHeight="1"/>
    <row r="2231" ht="10.15" customHeight="1"/>
    <row r="2232" ht="10.15" customHeight="1"/>
    <row r="2233" ht="10.15" customHeight="1"/>
    <row r="2234" ht="10.15" customHeight="1"/>
    <row r="2235" ht="10.15" customHeight="1"/>
    <row r="2236" ht="10.15" customHeight="1"/>
    <row r="2237" ht="10.15" customHeight="1"/>
    <row r="2238" ht="10.15" customHeight="1"/>
    <row r="2239" ht="10.15" customHeight="1"/>
    <row r="2240" ht="10.15" customHeight="1"/>
    <row r="2241" ht="10.15" customHeight="1"/>
    <row r="2242" ht="10.15" customHeight="1"/>
    <row r="2243" ht="10.15" customHeight="1"/>
    <row r="2244" ht="10.15" customHeight="1"/>
    <row r="2245" ht="10.15" customHeight="1"/>
    <row r="2246" ht="10.15" customHeight="1"/>
    <row r="2247" ht="10.15" customHeight="1"/>
    <row r="2248" ht="10.15" customHeight="1"/>
    <row r="2249" ht="10.15" customHeight="1"/>
    <row r="2250" ht="10.15" customHeight="1"/>
    <row r="2251" ht="10.15" customHeight="1"/>
    <row r="2252" ht="10.15" customHeight="1"/>
    <row r="2253" ht="10.15" customHeight="1"/>
    <row r="2254" ht="10.15" customHeight="1"/>
    <row r="2255" ht="10.15" customHeight="1"/>
    <row r="2256" ht="10.15" customHeight="1"/>
    <row r="2257" ht="10.15" customHeight="1"/>
    <row r="2258" ht="10.15" customHeight="1"/>
    <row r="2259" ht="10.15" customHeight="1"/>
    <row r="2260" ht="10.15" customHeight="1"/>
    <row r="2261" ht="10.15" customHeight="1"/>
    <row r="2262" ht="10.15" customHeight="1"/>
    <row r="2263" ht="10.15" customHeight="1"/>
    <row r="2264" ht="10.15" customHeight="1"/>
    <row r="2265" ht="10.15" customHeight="1"/>
    <row r="2266" ht="10.15" customHeight="1"/>
    <row r="2267" ht="10.15" customHeight="1"/>
    <row r="2268" ht="10.15" customHeight="1"/>
    <row r="2269" ht="10.15" customHeight="1"/>
    <row r="2270" ht="10.15" customHeight="1"/>
    <row r="2271" ht="10.15" customHeight="1"/>
    <row r="2272" ht="10.15" customHeight="1"/>
    <row r="2273" ht="10.15" customHeight="1"/>
    <row r="2274" ht="10.15" customHeight="1"/>
    <row r="2275" ht="10.15" customHeight="1"/>
    <row r="2276" ht="10.15" customHeight="1"/>
    <row r="2277" ht="10.15" customHeight="1"/>
    <row r="2278" ht="10.15" customHeight="1"/>
    <row r="2279" ht="10.15" customHeight="1"/>
    <row r="2280" ht="10.15" customHeight="1"/>
    <row r="2281" ht="10.15" customHeight="1"/>
    <row r="2282" ht="10.15" customHeight="1"/>
    <row r="2283" ht="10.15" customHeight="1"/>
    <row r="2284" ht="10.15" customHeight="1"/>
    <row r="2285" ht="10.15" customHeight="1"/>
    <row r="2286" ht="10.15" customHeight="1"/>
    <row r="2287" ht="10.15" customHeight="1"/>
    <row r="2288" ht="10.15" customHeight="1"/>
    <row r="2289" ht="10.15" customHeight="1"/>
    <row r="2290" ht="10.15" customHeight="1"/>
    <row r="2291" ht="10.15" customHeight="1"/>
    <row r="2292" ht="10.15" customHeight="1"/>
    <row r="2293" ht="10.15" customHeight="1"/>
    <row r="2294" ht="10.15" customHeight="1"/>
    <row r="2295" ht="10.15" customHeight="1"/>
    <row r="2296" ht="10.15" customHeight="1"/>
    <row r="2297" ht="10.15" customHeight="1"/>
    <row r="2298" ht="10.15" customHeight="1"/>
    <row r="2299" ht="10.15" customHeight="1"/>
    <row r="2300" ht="10.15" customHeight="1"/>
    <row r="2301" ht="10.15" customHeight="1"/>
    <row r="2302" ht="10.15" customHeight="1"/>
    <row r="2303" ht="10.15" customHeight="1"/>
    <row r="2304" ht="10.15" customHeight="1"/>
    <row r="2305" ht="10.15" customHeight="1"/>
    <row r="2306" ht="10.15" customHeight="1"/>
    <row r="2307" ht="10.15" customHeight="1"/>
    <row r="2308" ht="10.15" customHeight="1"/>
    <row r="2309" ht="10.15" customHeight="1"/>
    <row r="2310" ht="10.15" customHeight="1"/>
    <row r="2311" ht="10.15" customHeight="1"/>
    <row r="2312" ht="10.15" customHeight="1"/>
    <row r="2313" ht="10.15" customHeight="1"/>
    <row r="2314" ht="10.15" customHeight="1"/>
    <row r="2315" ht="10.15" customHeight="1"/>
    <row r="2316" ht="10.15" customHeight="1"/>
    <row r="2317" ht="10.15" customHeight="1"/>
    <row r="2318" ht="10.15" customHeight="1"/>
    <row r="2319" ht="10.15" customHeight="1"/>
    <row r="2320" ht="10.15" customHeight="1"/>
    <row r="2321" ht="10.15" customHeight="1"/>
    <row r="2322" ht="10.15" customHeight="1"/>
    <row r="2323" ht="10.15" customHeight="1"/>
    <row r="2324" ht="10.15" customHeight="1"/>
    <row r="2325" ht="10.15" customHeight="1"/>
    <row r="2326" ht="10.15" customHeight="1"/>
    <row r="2327" ht="10.15" customHeight="1"/>
    <row r="2328" ht="10.15" customHeight="1"/>
    <row r="2329" ht="10.15" customHeight="1"/>
    <row r="2330" ht="10.15" customHeight="1"/>
    <row r="2331" ht="10.15" customHeight="1"/>
    <row r="2332" ht="10.15" customHeight="1"/>
    <row r="2333" ht="10.15" customHeight="1"/>
    <row r="2334" ht="10.15" customHeight="1"/>
    <row r="2335" ht="10.15" customHeight="1"/>
    <row r="2336" ht="10.15" customHeight="1"/>
    <row r="2337" ht="10.15" customHeight="1"/>
    <row r="2338" ht="10.15" customHeight="1"/>
    <row r="2339" ht="10.15" customHeight="1"/>
    <row r="2340" ht="10.15" customHeight="1"/>
    <row r="2341" ht="10.15" customHeight="1"/>
    <row r="2342" ht="10.15" customHeight="1"/>
    <row r="2343" ht="10.15" customHeight="1"/>
    <row r="2344" ht="10.15" customHeight="1"/>
    <row r="2345" ht="10.15" customHeight="1"/>
    <row r="2346" ht="10.15" customHeight="1"/>
    <row r="2347" ht="10.15" customHeight="1"/>
    <row r="2348" ht="10.15" customHeight="1"/>
    <row r="2349" ht="10.15" customHeight="1"/>
    <row r="2350" ht="10.15" customHeight="1"/>
    <row r="2351" ht="10.15" customHeight="1"/>
    <row r="2352" ht="10.15" customHeight="1"/>
    <row r="2353" ht="10.15" customHeight="1"/>
    <row r="2354" ht="10.15" customHeight="1"/>
    <row r="2355" ht="10.15" customHeight="1"/>
    <row r="2356" ht="10.15" customHeight="1"/>
    <row r="2357" ht="10.15" customHeight="1"/>
    <row r="2358" ht="10.15" customHeight="1"/>
    <row r="2359" ht="10.15" customHeight="1"/>
    <row r="2360" ht="10.15" customHeight="1"/>
    <row r="2361" ht="10.15" customHeight="1"/>
    <row r="2362" ht="10.15" customHeight="1"/>
    <row r="2363" ht="10.15" customHeight="1"/>
    <row r="2364" ht="10.15" customHeight="1"/>
    <row r="2365" ht="10.15" customHeight="1"/>
    <row r="2366" ht="10.15" customHeight="1"/>
    <row r="2367" ht="10.15" customHeight="1"/>
    <row r="2368" ht="10.15" customHeight="1"/>
    <row r="2369" ht="10.15" customHeight="1"/>
    <row r="2370" ht="10.15" customHeight="1"/>
    <row r="2371" ht="10.15" customHeight="1"/>
    <row r="2372" ht="10.15" customHeight="1"/>
    <row r="2373" ht="10.15" customHeight="1"/>
    <row r="2374" ht="10.15" customHeight="1"/>
    <row r="2375" ht="10.15" customHeight="1"/>
    <row r="2376" ht="10.15" customHeight="1"/>
    <row r="2377" ht="10.15" customHeight="1"/>
    <row r="2378" ht="10.15" customHeight="1"/>
    <row r="2379" ht="10.15" customHeight="1"/>
    <row r="2380" ht="10.15" customHeight="1"/>
    <row r="2381" ht="10.15" customHeight="1"/>
    <row r="2382" ht="10.15" customHeight="1"/>
    <row r="2383" ht="10.15" customHeight="1"/>
    <row r="2384" ht="10.15" customHeight="1"/>
    <row r="2385" ht="10.15" customHeight="1"/>
    <row r="2386" ht="10.15" customHeight="1"/>
    <row r="2387" ht="10.15" customHeight="1"/>
    <row r="2388" ht="10.15" customHeight="1"/>
    <row r="2389" ht="10.15" customHeight="1"/>
    <row r="2390" ht="10.15" customHeight="1"/>
    <row r="2391" ht="10.15" customHeight="1"/>
    <row r="2392" ht="10.15" customHeight="1"/>
    <row r="2393" ht="10.15" customHeight="1"/>
    <row r="2394" ht="10.15" customHeight="1"/>
    <row r="2395" ht="10.15" customHeight="1"/>
    <row r="2396" ht="10.15" customHeight="1"/>
    <row r="2397" ht="10.15" customHeight="1"/>
    <row r="2398" ht="10.15" customHeight="1"/>
    <row r="2399" ht="10.15" customHeight="1"/>
    <row r="2400" ht="10.15" customHeight="1"/>
    <row r="2401" ht="10.15" customHeight="1"/>
    <row r="2402" ht="10.15" customHeight="1"/>
    <row r="2403" ht="10.15" customHeight="1"/>
    <row r="2404" ht="10.15" customHeight="1"/>
    <row r="2405" ht="10.15" customHeight="1"/>
    <row r="2406" ht="10.15" customHeight="1"/>
    <row r="2407" ht="10.15" customHeight="1"/>
    <row r="2408" ht="10.15" customHeight="1"/>
    <row r="2409" ht="10.15" customHeight="1"/>
    <row r="2410" ht="10.15" customHeight="1"/>
    <row r="2411" ht="10.15" customHeight="1"/>
    <row r="2412" ht="10.15" customHeight="1"/>
    <row r="2413" ht="10.15" customHeight="1"/>
    <row r="2414" ht="10.15" customHeight="1"/>
    <row r="2415" ht="10.15" customHeight="1"/>
    <row r="2416" ht="10.15" customHeight="1"/>
    <row r="2417" ht="10.15" customHeight="1"/>
    <row r="2418" ht="10.15" customHeight="1"/>
    <row r="2419" ht="10.15" customHeight="1"/>
    <row r="2420" ht="10.15" customHeight="1"/>
    <row r="2421" ht="10.15" customHeight="1"/>
    <row r="2422" ht="10.15" customHeight="1"/>
    <row r="2423" ht="10.15" customHeight="1"/>
    <row r="2424" ht="10.15" customHeight="1"/>
    <row r="2425" ht="10.15" customHeight="1"/>
    <row r="2426" ht="10.15" customHeight="1"/>
    <row r="2427" ht="10.15" customHeight="1"/>
    <row r="2428" ht="10.15" customHeight="1"/>
    <row r="2429" ht="10.15" customHeight="1"/>
    <row r="2430" ht="10.15" customHeight="1"/>
    <row r="2431" ht="10.15" customHeight="1"/>
    <row r="2432" ht="10.15" customHeight="1"/>
    <row r="2433" ht="10.15" customHeight="1"/>
    <row r="2434" ht="10.15" customHeight="1"/>
    <row r="2435" ht="10.15" customHeight="1"/>
    <row r="2436" ht="10.15" customHeight="1"/>
    <row r="2437" ht="10.15" customHeight="1"/>
    <row r="2438" ht="10.15" customHeight="1"/>
    <row r="2439" ht="10.15" customHeight="1"/>
    <row r="2440" ht="10.15" customHeight="1"/>
    <row r="2441" ht="10.15" customHeight="1"/>
    <row r="2442" ht="10.15" customHeight="1"/>
    <row r="2443" ht="10.15" customHeight="1"/>
    <row r="2444" ht="10.15" customHeight="1"/>
    <row r="2445" ht="10.15" customHeight="1"/>
    <row r="2446" ht="10.15" customHeight="1"/>
    <row r="2447" ht="10.15" customHeight="1"/>
    <row r="2448" ht="10.15" customHeight="1"/>
    <row r="2449" ht="10.15" customHeight="1"/>
    <row r="2450" ht="10.15" customHeight="1"/>
    <row r="2451" ht="10.15" customHeight="1"/>
    <row r="2452" ht="10.15" customHeight="1"/>
    <row r="2453" ht="10.15" customHeight="1"/>
    <row r="2454" ht="10.15" customHeight="1"/>
    <row r="2455" ht="10.15" customHeight="1"/>
    <row r="2456" ht="10.15" customHeight="1"/>
    <row r="2457" ht="10.15" customHeight="1"/>
    <row r="2458" ht="10.15" customHeight="1"/>
    <row r="2459" ht="10.15" customHeight="1"/>
    <row r="2460" ht="10.15" customHeight="1"/>
    <row r="2461" ht="10.15" customHeight="1"/>
    <row r="2462" ht="10.15" customHeight="1"/>
    <row r="2463" ht="10.15" customHeight="1"/>
    <row r="2464" ht="10.15" customHeight="1"/>
    <row r="2465" ht="10.15" customHeight="1"/>
    <row r="2466" ht="10.15" customHeight="1"/>
    <row r="2467" ht="10.15" customHeight="1"/>
    <row r="2468" ht="10.15" customHeight="1"/>
    <row r="2469" ht="10.15" customHeight="1"/>
    <row r="2470" ht="10.15" customHeight="1"/>
    <row r="2471" ht="10.15" customHeight="1"/>
    <row r="2472" ht="10.15" customHeight="1"/>
    <row r="2473" ht="10.15" customHeight="1"/>
    <row r="2474" ht="10.15" customHeight="1"/>
    <row r="2475" ht="10.15" customHeight="1"/>
    <row r="2476" ht="10.15" customHeight="1"/>
    <row r="2477" ht="10.15" customHeight="1"/>
    <row r="2478" ht="10.15" customHeight="1"/>
    <row r="2479" ht="10.15" customHeight="1"/>
    <row r="2480" ht="10.15" customHeight="1"/>
    <row r="2481" ht="10.15" customHeight="1"/>
    <row r="2482" ht="10.15" customHeight="1"/>
    <row r="2483" ht="10.15" customHeight="1"/>
    <row r="2484" ht="10.15" customHeight="1"/>
    <row r="2485" ht="10.15" customHeight="1"/>
    <row r="2486" ht="10.15" customHeight="1"/>
    <row r="2487" ht="10.15" customHeight="1"/>
    <row r="2488" ht="10.15" customHeight="1"/>
    <row r="2489" ht="10.15" customHeight="1"/>
    <row r="2490" ht="10.15" customHeight="1"/>
    <row r="2491" ht="10.15" customHeight="1"/>
    <row r="2492" ht="10.15" customHeight="1"/>
    <row r="2493" ht="10.15" customHeight="1"/>
    <row r="2494" ht="10.15" customHeight="1"/>
    <row r="2495" ht="10.15" customHeight="1"/>
    <row r="2496" ht="10.15" customHeight="1"/>
    <row r="2497" ht="10.15" customHeight="1"/>
    <row r="2498" ht="10.15" customHeight="1"/>
    <row r="2499" ht="10.15" customHeight="1"/>
    <row r="2500" ht="10.15" customHeight="1"/>
    <row r="2501" ht="10.15" customHeight="1"/>
    <row r="2502" ht="10.15" customHeight="1"/>
    <row r="2503" ht="10.15" customHeight="1"/>
    <row r="2504" ht="10.15" customHeight="1"/>
    <row r="2505" ht="10.15" customHeight="1"/>
    <row r="2506" ht="10.15" customHeight="1"/>
    <row r="2507" ht="10.15" customHeight="1"/>
    <row r="2508" ht="10.15" customHeight="1"/>
    <row r="2509" ht="10.15" customHeight="1"/>
    <row r="2510" ht="10.15" customHeight="1"/>
    <row r="2511" ht="10.15" customHeight="1"/>
    <row r="2512" ht="10.15" customHeight="1"/>
    <row r="2513" ht="10.15" customHeight="1"/>
    <row r="2514" ht="10.15" customHeight="1"/>
    <row r="2515" ht="10.15" customHeight="1"/>
    <row r="2516" ht="10.15" customHeight="1"/>
    <row r="2517" ht="10.15" customHeight="1"/>
    <row r="2518" ht="10.15" customHeight="1"/>
    <row r="2519" ht="10.15" customHeight="1"/>
    <row r="2520" ht="10.15" customHeight="1"/>
    <row r="2521" ht="10.15" customHeight="1"/>
    <row r="2522" ht="10.15" customHeight="1"/>
    <row r="2523" ht="10.15" customHeight="1"/>
    <row r="2524" ht="10.15" customHeight="1"/>
    <row r="2525" ht="10.15" customHeight="1"/>
    <row r="2526" ht="10.15" customHeight="1"/>
    <row r="2527" ht="10.15" customHeight="1"/>
    <row r="2528" ht="10.15" customHeight="1"/>
    <row r="2529" ht="10.15" customHeight="1"/>
    <row r="2530" ht="10.15" customHeight="1"/>
    <row r="2531" ht="10.15" customHeight="1"/>
    <row r="2532" ht="10.15" customHeight="1"/>
    <row r="2533" ht="10.15" customHeight="1"/>
    <row r="2534" ht="10.15" customHeight="1"/>
    <row r="2535" ht="10.15" customHeight="1"/>
    <row r="2536" ht="10.15" customHeight="1"/>
    <row r="2537" ht="10.15" customHeight="1"/>
    <row r="2538" ht="10.15" customHeight="1"/>
    <row r="2539" ht="10.15" customHeight="1"/>
    <row r="2540" ht="10.15" customHeight="1"/>
    <row r="2541" ht="10.15" customHeight="1"/>
    <row r="2542" ht="10.15" customHeight="1"/>
    <row r="2543" ht="10.15" customHeight="1"/>
    <row r="2544" ht="10.15" customHeight="1"/>
    <row r="2545" ht="10.15" customHeight="1"/>
    <row r="2546" ht="10.15" customHeight="1"/>
    <row r="2547" ht="10.15" customHeight="1"/>
    <row r="2548" ht="10.15" customHeight="1"/>
    <row r="2549" ht="10.15" customHeight="1"/>
    <row r="2550" ht="10.15" customHeight="1"/>
    <row r="2551" ht="10.15" customHeight="1"/>
    <row r="2552" ht="10.15" customHeight="1"/>
    <row r="2553" ht="10.15" customHeight="1"/>
    <row r="2554" ht="10.15" customHeight="1"/>
    <row r="2555" ht="10.15" customHeight="1"/>
    <row r="2556" ht="10.15" customHeight="1"/>
    <row r="2557" ht="10.15" customHeight="1"/>
    <row r="2558" ht="10.15" customHeight="1"/>
    <row r="2559" ht="10.15" customHeight="1"/>
    <row r="2560" ht="10.15" customHeight="1"/>
    <row r="2561" ht="10.15" customHeight="1"/>
    <row r="2562" ht="10.15" customHeight="1"/>
    <row r="2563" ht="10.15" customHeight="1"/>
    <row r="2564" ht="10.15" customHeight="1"/>
    <row r="2565" ht="10.15" customHeight="1"/>
    <row r="2566" ht="10.15" customHeight="1"/>
    <row r="2567" ht="10.15" customHeight="1"/>
    <row r="2568" ht="10.15" customHeight="1"/>
    <row r="2569" ht="10.15" customHeight="1"/>
    <row r="2570" ht="10.15" customHeight="1"/>
    <row r="2571" ht="10.15" customHeight="1"/>
    <row r="2572" ht="10.15" customHeight="1"/>
    <row r="2573" ht="10.15" customHeight="1"/>
    <row r="2574" ht="10.15" customHeight="1"/>
    <row r="2575" ht="10.15" customHeight="1"/>
    <row r="2576" ht="10.15" customHeight="1"/>
    <row r="2577" ht="10.15" customHeight="1"/>
    <row r="2578" ht="10.15" customHeight="1"/>
    <row r="2579" ht="10.15" customHeight="1"/>
    <row r="2580" ht="10.15" customHeight="1"/>
    <row r="2581" ht="10.15" customHeight="1"/>
    <row r="2582" ht="10.15" customHeight="1"/>
    <row r="2583" ht="10.15" customHeight="1"/>
    <row r="2584" ht="10.15" customHeight="1"/>
    <row r="2585" ht="10.15" customHeight="1"/>
    <row r="2586" ht="10.15" customHeight="1"/>
    <row r="2587" ht="10.15" customHeight="1"/>
    <row r="2588" ht="10.15" customHeight="1"/>
    <row r="2589" ht="10.15" customHeight="1"/>
    <row r="2590" ht="10.15" customHeight="1"/>
    <row r="2591" ht="10.15" customHeight="1"/>
    <row r="2592" ht="10.15" customHeight="1"/>
    <row r="2593" ht="10.15" customHeight="1"/>
    <row r="2594" ht="10.15" customHeight="1"/>
    <row r="2595" ht="10.15" customHeight="1"/>
    <row r="2596" ht="10.15" customHeight="1"/>
    <row r="2597" ht="10.15" customHeight="1"/>
    <row r="2598" ht="10.15" customHeight="1"/>
    <row r="2599" ht="10.15" customHeight="1"/>
    <row r="2600" ht="10.15" customHeight="1"/>
    <row r="2601" ht="10.15" customHeight="1"/>
    <row r="2602" ht="10.15" customHeight="1"/>
    <row r="2603" ht="10.15" customHeight="1"/>
    <row r="2604" ht="10.15" customHeight="1"/>
    <row r="2605" ht="10.15" customHeight="1"/>
    <row r="2606" ht="10.15" customHeight="1"/>
    <row r="2607" ht="10.15" customHeight="1"/>
    <row r="2608" ht="10.15" customHeight="1"/>
    <row r="2609" ht="10.15" customHeight="1"/>
    <row r="2610" ht="10.15" customHeight="1"/>
    <row r="2611" ht="10.15" customHeight="1"/>
    <row r="2612" ht="10.15" customHeight="1"/>
    <row r="2613" ht="10.15" customHeight="1"/>
    <row r="2614" ht="10.15" customHeight="1"/>
    <row r="2615" ht="10.15" customHeight="1"/>
    <row r="2616" ht="10.15" customHeight="1"/>
    <row r="2617" ht="10.15" customHeight="1"/>
    <row r="2618" ht="10.15" customHeight="1"/>
    <row r="2619" ht="10.15" customHeight="1"/>
    <row r="2620" ht="10.15" customHeight="1"/>
    <row r="2621" ht="10.15" customHeight="1"/>
    <row r="2622" ht="10.15" customHeight="1"/>
    <row r="2623" ht="10.15" customHeight="1"/>
    <row r="2624" ht="10.15" customHeight="1"/>
    <row r="2625" ht="10.15" customHeight="1"/>
    <row r="2626" ht="10.15" customHeight="1"/>
    <row r="2627" ht="10.15" customHeight="1"/>
    <row r="2628" ht="10.15" customHeight="1"/>
    <row r="2629" ht="10.15" customHeight="1"/>
    <row r="2630" ht="10.15" customHeight="1"/>
    <row r="2631" ht="10.15" customHeight="1"/>
    <row r="2632" ht="10.15" customHeight="1"/>
    <row r="2633" ht="10.15" customHeight="1"/>
    <row r="2634" ht="10.15" customHeight="1"/>
    <row r="2635" ht="10.15" customHeight="1"/>
    <row r="2636" ht="10.15" customHeight="1"/>
    <row r="2637" ht="10.15" customHeight="1"/>
    <row r="2638" ht="10.15" customHeight="1"/>
    <row r="2639" ht="10.15" customHeight="1"/>
    <row r="2640" ht="10.15" customHeight="1"/>
    <row r="2641" ht="10.15" customHeight="1"/>
    <row r="2642" ht="10.15" customHeight="1"/>
    <row r="2643" ht="10.15" customHeight="1"/>
    <row r="2644" ht="10.15" customHeight="1"/>
    <row r="2645" ht="10.15" customHeight="1"/>
    <row r="2646" ht="10.15" customHeight="1"/>
    <row r="2647" ht="10.15" customHeight="1"/>
    <row r="2648" ht="10.15" customHeight="1"/>
    <row r="2649" ht="10.15" customHeight="1"/>
    <row r="2650" ht="10.15" customHeight="1"/>
    <row r="2651" ht="10.15" customHeight="1"/>
    <row r="2652" ht="10.15" customHeight="1"/>
    <row r="2653" ht="10.15" customHeight="1"/>
    <row r="2654" ht="10.15" customHeight="1"/>
    <row r="2655" ht="10.15" customHeight="1"/>
    <row r="2656" ht="10.15" customHeight="1"/>
    <row r="2657" ht="10.15" customHeight="1"/>
    <row r="2658" ht="10.15" customHeight="1"/>
    <row r="2659" ht="10.15" customHeight="1"/>
    <row r="2660" ht="10.15" customHeight="1"/>
    <row r="2661" ht="10.15" customHeight="1"/>
    <row r="2662" ht="10.15" customHeight="1"/>
    <row r="2663" ht="10.15" customHeight="1"/>
    <row r="2664" ht="10.15" customHeight="1"/>
    <row r="2665" ht="10.15" customHeight="1"/>
    <row r="2666" ht="10.15" customHeight="1"/>
    <row r="2667" ht="10.15" customHeight="1"/>
    <row r="2668" ht="10.15" customHeight="1"/>
    <row r="2669" ht="10.15" customHeight="1"/>
    <row r="2670" ht="10.15" customHeight="1"/>
    <row r="2671" ht="10.15" customHeight="1"/>
    <row r="2672" ht="10.15" customHeight="1"/>
    <row r="2673" ht="10.15" customHeight="1"/>
    <row r="2674" ht="10.15" customHeight="1"/>
    <row r="2675" ht="10.15" customHeight="1"/>
    <row r="2676" ht="10.15" customHeight="1"/>
    <row r="2677" ht="10.15" customHeight="1"/>
    <row r="2678" ht="10.15" customHeight="1"/>
    <row r="2679" ht="10.15" customHeight="1"/>
    <row r="2680" ht="10.15" customHeight="1"/>
    <row r="2681" ht="10.15" customHeight="1"/>
    <row r="2682" ht="10.15" customHeight="1"/>
    <row r="2683" ht="10.15" customHeight="1"/>
    <row r="2684" ht="10.15" customHeight="1"/>
    <row r="2685" ht="10.15" customHeight="1"/>
    <row r="2686" ht="10.15" customHeight="1"/>
    <row r="2687" ht="10.15" customHeight="1"/>
    <row r="2688" ht="10.15" customHeight="1"/>
    <row r="2689" ht="10.15" customHeight="1"/>
    <row r="2690" ht="10.15" customHeight="1"/>
    <row r="2691" ht="10.15" customHeight="1"/>
    <row r="2692" ht="10.15" customHeight="1"/>
    <row r="2693" ht="10.15" customHeight="1"/>
    <row r="2694" ht="10.15" customHeight="1"/>
    <row r="2695" ht="10.15" customHeight="1"/>
    <row r="2696" ht="10.15" customHeight="1"/>
    <row r="2697" ht="10.15" customHeight="1"/>
    <row r="2698" ht="10.15" customHeight="1"/>
    <row r="2699" ht="10.15" customHeight="1"/>
    <row r="2700" ht="10.15" customHeight="1"/>
    <row r="2701" ht="10.15" customHeight="1"/>
    <row r="2702" ht="10.15" customHeight="1"/>
    <row r="2703" ht="10.15" customHeight="1"/>
    <row r="2704" ht="10.15" customHeight="1"/>
    <row r="2705" ht="10.15" customHeight="1"/>
    <row r="2706" ht="10.15" customHeight="1"/>
    <row r="2707" ht="10.15" customHeight="1"/>
    <row r="2708" ht="10.15" customHeight="1"/>
    <row r="2709" ht="10.15" customHeight="1"/>
    <row r="2710" ht="10.15" customHeight="1"/>
    <row r="2711" ht="10.15" customHeight="1"/>
    <row r="2712" ht="10.15" customHeight="1"/>
    <row r="2713" ht="10.15" customHeight="1"/>
    <row r="2714" ht="10.15" customHeight="1"/>
    <row r="2715" ht="10.15" customHeight="1"/>
    <row r="2716" ht="10.15" customHeight="1"/>
    <row r="2717" ht="10.15" customHeight="1"/>
    <row r="2718" ht="10.15" customHeight="1"/>
    <row r="2719" ht="10.15" customHeight="1"/>
    <row r="2720" ht="10.15" customHeight="1"/>
    <row r="2721" ht="10.15" customHeight="1"/>
    <row r="2722" ht="10.15" customHeight="1"/>
    <row r="2723" ht="10.15" customHeight="1"/>
    <row r="2724" ht="10.15" customHeight="1"/>
    <row r="2725" ht="10.15" customHeight="1"/>
    <row r="2726" ht="10.15" customHeight="1"/>
    <row r="2727" ht="10.15" customHeight="1"/>
    <row r="2728" ht="10.15" customHeight="1"/>
    <row r="2729" ht="10.15" customHeight="1"/>
    <row r="2730" ht="10.15" customHeight="1"/>
    <row r="2731" ht="10.15" customHeight="1"/>
    <row r="2732" ht="10.15" customHeight="1"/>
    <row r="2733" ht="10.15" customHeight="1"/>
    <row r="2734" ht="10.15" customHeight="1"/>
    <row r="2735" ht="10.15" customHeight="1"/>
    <row r="2736" ht="10.15" customHeight="1"/>
    <row r="2737" ht="10.15" customHeight="1"/>
    <row r="2738" ht="10.15" customHeight="1"/>
    <row r="2739" ht="10.15" customHeight="1"/>
    <row r="2740" ht="10.15" customHeight="1"/>
    <row r="2741" ht="10.15" customHeight="1"/>
    <row r="2742" ht="10.15" customHeight="1"/>
    <row r="2743" ht="10.15" customHeight="1"/>
    <row r="2744" ht="10.15" customHeight="1"/>
    <row r="2745" ht="10.15" customHeight="1"/>
    <row r="2746" ht="10.15" customHeight="1"/>
    <row r="2747" ht="10.15" customHeight="1"/>
    <row r="2748" ht="10.15" customHeight="1"/>
    <row r="2749" ht="10.15" customHeight="1"/>
    <row r="2750" ht="10.15" customHeight="1"/>
    <row r="2751" ht="10.15" customHeight="1"/>
    <row r="2752" ht="10.15" customHeight="1"/>
    <row r="2753" ht="10.15" customHeight="1"/>
    <row r="2754" ht="10.15" customHeight="1"/>
    <row r="2755" ht="10.15" customHeight="1"/>
    <row r="2756" ht="10.15" customHeight="1"/>
    <row r="2757" ht="10.15" customHeight="1"/>
    <row r="2758" ht="10.15" customHeight="1"/>
    <row r="2759" ht="10.15" customHeight="1"/>
    <row r="2760" ht="10.15" customHeight="1"/>
    <row r="2761" ht="10.15" customHeight="1"/>
    <row r="2762" ht="10.15" customHeight="1"/>
    <row r="2763" ht="10.15" customHeight="1"/>
    <row r="2764" ht="10.15" customHeight="1"/>
    <row r="2765" ht="10.15" customHeight="1"/>
    <row r="2766" ht="10.15" customHeight="1"/>
    <row r="2767" ht="10.15" customHeight="1"/>
    <row r="2768" ht="10.15" customHeight="1"/>
    <row r="2769" ht="10.15" customHeight="1"/>
    <row r="2770" ht="10.15" customHeight="1"/>
    <row r="2771" ht="10.15" customHeight="1"/>
    <row r="2772" ht="10.15" customHeight="1"/>
    <row r="2773" ht="10.15" customHeight="1"/>
    <row r="2774" ht="10.15" customHeight="1"/>
    <row r="2775" ht="10.15" customHeight="1"/>
    <row r="2776" ht="10.15" customHeight="1"/>
    <row r="2777" ht="10.15" customHeight="1"/>
    <row r="2778" ht="10.15" customHeight="1"/>
    <row r="2779" ht="10.15" customHeight="1"/>
    <row r="2780" ht="10.15" customHeight="1"/>
    <row r="2781" ht="10.15" customHeight="1"/>
    <row r="2782" ht="10.15" customHeight="1"/>
    <row r="2783" ht="10.15" customHeight="1"/>
    <row r="2784" ht="10.15" customHeight="1"/>
    <row r="2785" ht="10.15" customHeight="1"/>
    <row r="2786" ht="10.15" customHeight="1"/>
    <row r="2787" ht="10.15" customHeight="1"/>
    <row r="2788" ht="10.15" customHeight="1"/>
    <row r="2789" ht="10.15" customHeight="1"/>
    <row r="2790" ht="10.15" customHeight="1"/>
    <row r="2791" ht="10.15" customHeight="1"/>
    <row r="2792" ht="10.15" customHeight="1"/>
    <row r="2793" ht="10.15" customHeight="1"/>
    <row r="2794" ht="10.15" customHeight="1"/>
    <row r="2795" ht="10.15" customHeight="1"/>
    <row r="2796" ht="10.15" customHeight="1"/>
    <row r="2797" ht="10.15" customHeight="1"/>
    <row r="2798" ht="10.15" customHeight="1"/>
    <row r="2799" ht="10.15" customHeight="1"/>
    <row r="2800" ht="10.15" customHeight="1"/>
    <row r="2801" ht="10.15" customHeight="1"/>
    <row r="2802" ht="10.15" customHeight="1"/>
    <row r="2803" ht="10.15" customHeight="1"/>
    <row r="2804" ht="10.15" customHeight="1"/>
    <row r="2805" ht="10.15" customHeight="1"/>
    <row r="2806" ht="10.15" customHeight="1"/>
    <row r="2807" ht="10.15" customHeight="1"/>
    <row r="2808" ht="10.15" customHeight="1"/>
    <row r="2809" ht="10.15" customHeight="1"/>
    <row r="2810" ht="10.15" customHeight="1"/>
    <row r="2811" ht="10.15" customHeight="1"/>
    <row r="2812" ht="10.15" customHeight="1"/>
    <row r="2813" ht="10.15" customHeight="1"/>
    <row r="2814" ht="10.15" customHeight="1"/>
    <row r="2815" ht="10.15" customHeight="1"/>
    <row r="2816" ht="10.15" customHeight="1"/>
    <row r="2817" ht="10.15" customHeight="1"/>
    <row r="2818" ht="10.15" customHeight="1"/>
    <row r="2819" ht="10.15" customHeight="1"/>
    <row r="2820" ht="10.15" customHeight="1"/>
    <row r="2821" ht="10.15" customHeight="1"/>
    <row r="2822" ht="10.15" customHeight="1"/>
    <row r="2823" ht="10.15" customHeight="1"/>
    <row r="2824" ht="10.15" customHeight="1"/>
    <row r="2825" ht="10.15" customHeight="1"/>
    <row r="2826" ht="10.15" customHeight="1"/>
    <row r="2827" ht="10.15" customHeight="1"/>
    <row r="2828" ht="10.15" customHeight="1"/>
    <row r="2829" ht="10.15" customHeight="1"/>
    <row r="2830" ht="10.15" customHeight="1"/>
    <row r="2831" ht="10.15" customHeight="1"/>
    <row r="2832" ht="10.15" customHeight="1"/>
    <row r="2833" ht="10.15" customHeight="1"/>
    <row r="2834" ht="10.15" customHeight="1"/>
    <row r="2835" ht="10.15" customHeight="1"/>
    <row r="2836" ht="10.15" customHeight="1"/>
    <row r="2837" ht="10.15" customHeight="1"/>
    <row r="2838" ht="10.15" customHeight="1"/>
    <row r="2839" ht="10.15" customHeight="1"/>
    <row r="2840" ht="10.15" customHeight="1"/>
    <row r="2841" ht="10.15" customHeight="1"/>
    <row r="2842" ht="10.15" customHeight="1"/>
    <row r="2843" ht="10.15" customHeight="1"/>
    <row r="2844" ht="10.15" customHeight="1"/>
    <row r="2845" ht="10.15" customHeight="1"/>
    <row r="2846" ht="10.15" customHeight="1"/>
    <row r="2847" ht="10.15" customHeight="1"/>
    <row r="2848" ht="10.15" customHeight="1"/>
    <row r="2849" ht="10.15" customHeight="1"/>
    <row r="2850" ht="10.15" customHeight="1"/>
    <row r="2851" ht="10.15" customHeight="1"/>
    <row r="2852" ht="10.15" customHeight="1"/>
    <row r="2853" ht="10.15" customHeight="1"/>
    <row r="2854" ht="10.15" customHeight="1"/>
    <row r="2855" ht="10.15" customHeight="1"/>
    <row r="2856" ht="10.15" customHeight="1"/>
    <row r="2857" ht="10.15" customHeight="1"/>
    <row r="2858" ht="10.15" customHeight="1"/>
    <row r="2859" ht="10.15" customHeight="1"/>
    <row r="2860" ht="10.15" customHeight="1"/>
    <row r="2861" ht="10.15" customHeight="1"/>
    <row r="2862" ht="10.15" customHeight="1"/>
    <row r="2863" ht="10.15" customHeight="1"/>
    <row r="2864" ht="10.15" customHeight="1"/>
    <row r="2865" ht="10.15" customHeight="1"/>
    <row r="2866" ht="10.15" customHeight="1"/>
    <row r="2867" ht="10.15" customHeight="1"/>
    <row r="2868" ht="10.15" customHeight="1"/>
    <row r="2869" ht="10.15" customHeight="1"/>
    <row r="2870" ht="10.15" customHeight="1"/>
    <row r="2871" ht="10.15" customHeight="1"/>
    <row r="2872" ht="10.15" customHeight="1"/>
    <row r="2873" ht="10.15" customHeight="1"/>
    <row r="2874" ht="10.15" customHeight="1"/>
    <row r="2875" ht="10.15" customHeight="1"/>
    <row r="2876" ht="10.15" customHeight="1"/>
    <row r="2877" ht="10.15" customHeight="1"/>
    <row r="2878" ht="10.15" customHeight="1"/>
    <row r="2879" ht="10.15" customHeight="1"/>
    <row r="2880" ht="10.15" customHeight="1"/>
    <row r="2881" ht="10.15" customHeight="1"/>
    <row r="2882" ht="10.15" customHeight="1"/>
    <row r="2883" ht="10.15" customHeight="1"/>
    <row r="2884" ht="10.15" customHeight="1"/>
    <row r="2885" ht="10.15" customHeight="1"/>
    <row r="2886" ht="10.15" customHeight="1"/>
    <row r="2887" ht="10.15" customHeight="1"/>
    <row r="2888" ht="10.15" customHeight="1"/>
    <row r="2889" ht="10.15" customHeight="1"/>
    <row r="2890" ht="10.15" customHeight="1"/>
    <row r="2891" ht="10.15" customHeight="1"/>
    <row r="2892" ht="10.15" customHeight="1"/>
    <row r="2893" ht="10.15" customHeight="1"/>
    <row r="2894" ht="10.15" customHeight="1"/>
    <row r="2895" ht="10.15" customHeight="1"/>
    <row r="2896" ht="10.15" customHeight="1"/>
    <row r="2897" ht="10.15" customHeight="1"/>
    <row r="2898" ht="10.15" customHeight="1"/>
    <row r="2899" ht="10.15" customHeight="1"/>
    <row r="2900" ht="10.15" customHeight="1"/>
    <row r="2901" ht="10.15" customHeight="1"/>
    <row r="2902" ht="10.15" customHeight="1"/>
    <row r="2903" ht="10.15" customHeight="1"/>
    <row r="2904" ht="10.15" customHeight="1"/>
    <row r="2905" ht="10.15" customHeight="1"/>
    <row r="2906" ht="10.15" customHeight="1"/>
    <row r="2907" ht="10.15" customHeight="1"/>
    <row r="2908" ht="10.15" customHeight="1"/>
    <row r="2909" ht="10.15" customHeight="1"/>
    <row r="2910" ht="10.15" customHeight="1"/>
    <row r="2911" ht="10.15" customHeight="1"/>
    <row r="2912" ht="10.15" customHeight="1"/>
    <row r="2913" ht="10.15" customHeight="1"/>
    <row r="2914" ht="10.15" customHeight="1"/>
    <row r="2915" ht="10.15" customHeight="1"/>
    <row r="2916" ht="10.15" customHeight="1"/>
    <row r="2917" ht="10.15" customHeight="1"/>
    <row r="2918" ht="10.15" customHeight="1"/>
    <row r="2919" ht="10.15" customHeight="1"/>
    <row r="2920" ht="10.15" customHeight="1"/>
    <row r="2921" ht="10.15" customHeight="1"/>
    <row r="2922" ht="10.15" customHeight="1"/>
    <row r="2923" ht="10.15" customHeight="1"/>
    <row r="2924" ht="10.15" customHeight="1"/>
    <row r="2925" ht="10.15" customHeight="1"/>
    <row r="2926" ht="10.15" customHeight="1"/>
    <row r="2927" ht="10.15" customHeight="1"/>
    <row r="2928" ht="10.15" customHeight="1"/>
    <row r="2929" ht="10.15" customHeight="1"/>
    <row r="2930" ht="10.15" customHeight="1"/>
    <row r="2931" ht="10.15" customHeight="1"/>
    <row r="2932" ht="10.15" customHeight="1"/>
    <row r="2933" ht="10.15" customHeight="1"/>
    <row r="2934" ht="10.15" customHeight="1"/>
    <row r="2935" ht="10.15" customHeight="1"/>
    <row r="2936" ht="10.15" customHeight="1"/>
    <row r="2937" ht="10.15" customHeight="1"/>
    <row r="2938" ht="10.15" customHeight="1"/>
    <row r="2939" ht="10.15" customHeight="1"/>
    <row r="2940" ht="10.15" customHeight="1"/>
    <row r="2941" ht="10.15" customHeight="1"/>
    <row r="2942" ht="10.15" customHeight="1"/>
    <row r="2943" ht="10.15" customHeight="1"/>
    <row r="2944" ht="10.15" customHeight="1"/>
    <row r="2945" ht="10.15" customHeight="1"/>
    <row r="2946" ht="10.15" customHeight="1"/>
    <row r="2947" ht="10.15" customHeight="1"/>
    <row r="2948" ht="10.15" customHeight="1"/>
    <row r="2949" ht="10.15" customHeight="1"/>
    <row r="2950" ht="10.15" customHeight="1"/>
    <row r="2951" ht="10.15" customHeight="1"/>
    <row r="2952" ht="10.15" customHeight="1"/>
    <row r="2953" ht="10.15" customHeight="1"/>
    <row r="2954" ht="10.15" customHeight="1"/>
    <row r="2955" ht="10.15" customHeight="1"/>
    <row r="2956" ht="10.15" customHeight="1"/>
    <row r="2957" ht="10.15" customHeight="1"/>
    <row r="2958" ht="10.15" customHeight="1"/>
    <row r="2959" ht="10.15" customHeight="1"/>
    <row r="2960" ht="10.15" customHeight="1"/>
    <row r="2961" ht="10.15" customHeight="1"/>
    <row r="2962" ht="10.15" customHeight="1"/>
    <row r="2963" ht="10.15" customHeight="1"/>
    <row r="2964" ht="10.15" customHeight="1"/>
    <row r="2965" ht="10.15" customHeight="1"/>
    <row r="2966" ht="10.15" customHeight="1"/>
    <row r="2967" ht="10.15" customHeight="1"/>
    <row r="2968" ht="10.15" customHeight="1"/>
    <row r="2969" ht="10.15" customHeight="1"/>
    <row r="2970" ht="10.15" customHeight="1"/>
    <row r="2971" ht="10.15" customHeight="1"/>
    <row r="2972" ht="10.15" customHeight="1"/>
    <row r="2973" ht="10.15" customHeight="1"/>
    <row r="2974" ht="10.15" customHeight="1"/>
    <row r="2975" ht="10.15" customHeight="1"/>
    <row r="2976" ht="10.15" customHeight="1"/>
    <row r="2977" ht="10.15" customHeight="1"/>
    <row r="2978" ht="10.15" customHeight="1"/>
    <row r="2979" ht="10.15" customHeight="1"/>
    <row r="2980" ht="10.15" customHeight="1"/>
    <row r="2981" ht="10.15" customHeight="1"/>
    <row r="2982" ht="10.15" customHeight="1"/>
    <row r="2983" ht="10.15" customHeight="1"/>
    <row r="2984" ht="10.15" customHeight="1"/>
    <row r="2985" ht="10.15" customHeight="1"/>
    <row r="2986" ht="10.15" customHeight="1"/>
    <row r="2987" ht="10.15" customHeight="1"/>
    <row r="2988" ht="10.15" customHeight="1"/>
    <row r="2989" ht="10.15" customHeight="1"/>
    <row r="2990" ht="10.15" customHeight="1"/>
    <row r="2991" ht="10.15" customHeight="1"/>
    <row r="2992" ht="10.15" customHeight="1"/>
    <row r="2993" ht="10.15" customHeight="1"/>
    <row r="2994" ht="10.15" customHeight="1"/>
    <row r="2995" ht="10.15" customHeight="1"/>
    <row r="2996" ht="10.15" customHeight="1"/>
    <row r="2997" ht="10.15" customHeight="1"/>
    <row r="2998" ht="10.15" customHeight="1"/>
    <row r="2999" ht="10.15" customHeight="1"/>
    <row r="3000" ht="10.15" customHeight="1"/>
    <row r="3001" ht="10.15" customHeight="1"/>
    <row r="3002" ht="10.15" customHeight="1"/>
    <row r="3003" ht="10.15" customHeight="1"/>
    <row r="3004" ht="10.15" customHeight="1"/>
    <row r="3005" ht="10.15" customHeight="1"/>
    <row r="3006" ht="10.15" customHeight="1"/>
    <row r="3007" ht="10.15" customHeight="1"/>
    <row r="3008" ht="10.15" customHeight="1"/>
    <row r="3009" ht="10.15" customHeight="1"/>
    <row r="3010" ht="10.15" customHeight="1"/>
    <row r="3011" ht="10.15" customHeight="1"/>
    <row r="3012" ht="10.15" customHeight="1"/>
    <row r="3013" ht="10.15" customHeight="1"/>
    <row r="3014" ht="10.15" customHeight="1"/>
    <row r="3015" ht="10.15" customHeight="1"/>
    <row r="3016" ht="10.15" customHeight="1"/>
    <row r="3017" ht="10.15" customHeight="1"/>
    <row r="3018" ht="10.15" customHeight="1"/>
    <row r="3019" ht="10.15" customHeight="1"/>
    <row r="3020" ht="10.15" customHeight="1"/>
    <row r="3021" ht="10.15" customHeight="1"/>
    <row r="3022" ht="10.15" customHeight="1"/>
    <row r="3023" ht="10.15" customHeight="1"/>
    <row r="3024" ht="10.15" customHeight="1"/>
    <row r="3025" ht="10.15" customHeight="1"/>
    <row r="3026" ht="10.15" customHeight="1"/>
    <row r="3027" ht="10.15" customHeight="1"/>
    <row r="3028" ht="10.15" customHeight="1"/>
    <row r="3029" ht="10.15" customHeight="1"/>
    <row r="3030" ht="10.15" customHeight="1"/>
    <row r="3031" ht="10.15" customHeight="1"/>
    <row r="3032" ht="10.15" customHeight="1"/>
    <row r="3033" ht="10.15" customHeight="1"/>
    <row r="3034" ht="10.15" customHeight="1"/>
    <row r="3035" ht="10.15" customHeight="1"/>
    <row r="3036" ht="10.15" customHeight="1"/>
    <row r="3037" ht="10.15" customHeight="1"/>
    <row r="3038" ht="10.15" customHeight="1"/>
    <row r="3039" ht="10.15" customHeight="1"/>
    <row r="3040" ht="10.15" customHeight="1"/>
    <row r="3041" ht="10.15" customHeight="1"/>
    <row r="3042" ht="10.15" customHeight="1"/>
    <row r="3043" ht="10.15" customHeight="1"/>
    <row r="3044" ht="10.15" customHeight="1"/>
    <row r="3045" ht="10.15" customHeight="1"/>
    <row r="3046" ht="10.15" customHeight="1"/>
    <row r="3047" ht="10.15" customHeight="1"/>
    <row r="3048" ht="10.15" customHeight="1"/>
    <row r="3049" ht="10.15" customHeight="1"/>
    <row r="3050" ht="10.15" customHeight="1"/>
    <row r="3051" ht="10.15" customHeight="1"/>
    <row r="3052" ht="10.15" customHeight="1"/>
    <row r="3053" ht="10.15" customHeight="1"/>
    <row r="3054" ht="10.15" customHeight="1"/>
    <row r="3055" ht="10.15" customHeight="1"/>
    <row r="3056" ht="10.15" customHeight="1"/>
    <row r="3057" ht="10.15" customHeight="1"/>
    <row r="3058" ht="10.15" customHeight="1"/>
    <row r="3059" ht="10.15" customHeight="1"/>
    <row r="3060" ht="10.15" customHeight="1"/>
    <row r="3061" ht="10.15" customHeight="1"/>
    <row r="3062" ht="10.15" customHeight="1"/>
    <row r="3063" ht="10.15" customHeight="1"/>
    <row r="3064" ht="10.15" customHeight="1"/>
    <row r="3065" ht="10.15" customHeight="1"/>
    <row r="3066" ht="10.15" customHeight="1"/>
    <row r="3067" ht="10.15" customHeight="1"/>
    <row r="3068" ht="10.15" customHeight="1"/>
    <row r="3069" ht="10.15" customHeight="1"/>
    <row r="3070" ht="10.15" customHeight="1"/>
    <row r="3071" ht="10.15" customHeight="1"/>
    <row r="3072" ht="10.15" customHeight="1"/>
    <row r="3073" ht="10.15" customHeight="1"/>
    <row r="3074" ht="10.15" customHeight="1"/>
    <row r="3075" ht="10.15" customHeight="1"/>
    <row r="3076" ht="10.15" customHeight="1"/>
    <row r="3077" ht="10.15" customHeight="1"/>
    <row r="3078" ht="10.15" customHeight="1"/>
    <row r="3079" ht="10.15" customHeight="1"/>
    <row r="3080" ht="10.15" customHeight="1"/>
    <row r="3081" ht="10.15" customHeight="1"/>
    <row r="3082" ht="10.15" customHeight="1"/>
    <row r="3083" ht="10.15" customHeight="1"/>
    <row r="3084" ht="10.15" customHeight="1"/>
    <row r="3085" ht="10.15" customHeight="1"/>
    <row r="3086" ht="10.15" customHeight="1"/>
    <row r="3087" ht="10.15" customHeight="1"/>
    <row r="3088" ht="10.15" customHeight="1"/>
    <row r="3089" ht="10.15" customHeight="1"/>
    <row r="3090" ht="10.15" customHeight="1"/>
    <row r="3091" ht="10.15" customHeight="1"/>
    <row r="3092" ht="10.15" customHeight="1"/>
    <row r="3093" ht="10.15" customHeight="1"/>
    <row r="3094" ht="10.15" customHeight="1"/>
    <row r="3095" ht="10.15" customHeight="1"/>
    <row r="3096" ht="10.15" customHeight="1"/>
    <row r="3097" ht="10.15" customHeight="1"/>
    <row r="3098" ht="10.15" customHeight="1"/>
    <row r="3099" ht="10.15" customHeight="1"/>
    <row r="3100" ht="10.15" customHeight="1"/>
    <row r="3101" ht="10.15" customHeight="1"/>
    <row r="3102" ht="10.15" customHeight="1"/>
    <row r="3103" ht="10.15" customHeight="1"/>
    <row r="3104" ht="10.15" customHeight="1"/>
    <row r="3105" ht="10.15" customHeight="1"/>
    <row r="3106" ht="10.15" customHeight="1"/>
    <row r="3107" ht="10.15" customHeight="1"/>
    <row r="3108" ht="10.15" customHeight="1"/>
    <row r="3109" ht="10.15" customHeight="1"/>
    <row r="3110" ht="10.15" customHeight="1"/>
    <row r="3111" ht="10.15" customHeight="1"/>
    <row r="3112" ht="10.15" customHeight="1"/>
    <row r="3113" ht="10.15" customHeight="1"/>
    <row r="3114" ht="10.15" customHeight="1"/>
    <row r="3115" ht="10.15" customHeight="1"/>
    <row r="3116" ht="10.15" customHeight="1"/>
    <row r="3117" ht="10.15" customHeight="1"/>
    <row r="3118" ht="10.15" customHeight="1"/>
    <row r="3119" ht="10.15" customHeight="1"/>
    <row r="3120" ht="10.15" customHeight="1"/>
    <row r="3121" ht="10.15" customHeight="1"/>
    <row r="3122" ht="10.15" customHeight="1"/>
    <row r="3123" ht="10.15" customHeight="1"/>
    <row r="3124" ht="10.15" customHeight="1"/>
    <row r="3125" ht="10.15" customHeight="1"/>
    <row r="3126" ht="10.15" customHeight="1"/>
    <row r="3127" ht="10.15" customHeight="1"/>
    <row r="3128" ht="10.15" customHeight="1"/>
    <row r="3129" ht="10.15" customHeight="1"/>
    <row r="3130" ht="10.15" customHeight="1"/>
    <row r="3131" ht="10.15" customHeight="1"/>
    <row r="3132" ht="10.15" customHeight="1"/>
    <row r="3133" ht="10.15" customHeight="1"/>
    <row r="3134" ht="10.15" customHeight="1"/>
    <row r="3135" ht="10.15" customHeight="1"/>
    <row r="3136" ht="10.15" customHeight="1"/>
    <row r="3137" ht="10.15" customHeight="1"/>
    <row r="3138" ht="10.15" customHeight="1"/>
    <row r="3139" ht="10.15" customHeight="1"/>
    <row r="3140" ht="10.15" customHeight="1"/>
    <row r="3141" ht="10.15" customHeight="1"/>
    <row r="3142" ht="10.15" customHeight="1"/>
    <row r="3143" ht="10.15" customHeight="1"/>
    <row r="3144" ht="10.15" customHeight="1"/>
    <row r="3145" ht="10.15" customHeight="1"/>
    <row r="3146" ht="10.15" customHeight="1"/>
    <row r="3147" ht="10.15" customHeight="1"/>
    <row r="3148" ht="10.15" customHeight="1"/>
    <row r="3149" ht="10.15" customHeight="1"/>
    <row r="3150" ht="10.15" customHeight="1"/>
    <row r="3151" ht="10.15" customHeight="1"/>
    <row r="3152" ht="10.15" customHeight="1"/>
    <row r="3153" ht="10.15" customHeight="1"/>
    <row r="3154" ht="10.15" customHeight="1"/>
    <row r="3155" ht="10.15" customHeight="1"/>
    <row r="3156" ht="10.15" customHeight="1"/>
    <row r="3157" ht="10.15" customHeight="1"/>
    <row r="3158" ht="10.15" customHeight="1"/>
    <row r="3159" ht="10.15" customHeight="1"/>
    <row r="3160" ht="10.15" customHeight="1"/>
    <row r="3161" ht="10.15" customHeight="1"/>
    <row r="3162" ht="10.15" customHeight="1"/>
    <row r="3163" ht="10.15" customHeight="1"/>
    <row r="3164" ht="10.15" customHeight="1"/>
    <row r="3165" ht="10.15" customHeight="1"/>
    <row r="3166" ht="10.15" customHeight="1"/>
    <row r="3167" ht="10.15" customHeight="1"/>
    <row r="3168" ht="10.15" customHeight="1"/>
    <row r="3169" ht="10.15" customHeight="1"/>
    <row r="3170" ht="10.15" customHeight="1"/>
    <row r="3171" ht="10.15" customHeight="1"/>
    <row r="3172" ht="10.15" customHeight="1"/>
    <row r="3173" ht="10.15" customHeight="1"/>
    <row r="3174" ht="10.15" customHeight="1"/>
    <row r="3175" ht="10.15" customHeight="1"/>
    <row r="3176" ht="10.15" customHeight="1"/>
    <row r="3177" ht="10.15" customHeight="1"/>
    <row r="3178" ht="10.15" customHeight="1"/>
    <row r="3179" ht="10.15" customHeight="1"/>
    <row r="3180" ht="10.15" customHeight="1"/>
    <row r="3181" ht="10.15" customHeight="1"/>
    <row r="3182" ht="10.15" customHeight="1"/>
    <row r="3183" ht="10.15" customHeight="1"/>
    <row r="3184" ht="10.15" customHeight="1"/>
    <row r="3185" ht="10.15" customHeight="1"/>
    <row r="3186" ht="10.15" customHeight="1"/>
    <row r="3187" ht="10.15" customHeight="1"/>
    <row r="3188" ht="10.15" customHeight="1"/>
    <row r="3189" ht="10.15" customHeight="1"/>
    <row r="3190" ht="10.15" customHeight="1"/>
    <row r="3191" ht="10.15" customHeight="1"/>
    <row r="3192" ht="10.15" customHeight="1"/>
    <row r="3193" ht="10.15" customHeight="1"/>
    <row r="3194" ht="10.15" customHeight="1"/>
    <row r="3195" ht="10.15" customHeight="1"/>
    <row r="3196" ht="10.15" customHeight="1"/>
    <row r="3197" ht="10.15" customHeight="1"/>
    <row r="3198" ht="10.15" customHeight="1"/>
    <row r="3199" ht="10.15" customHeight="1"/>
    <row r="3200" ht="10.15" customHeight="1"/>
    <row r="3201" ht="10.15" customHeight="1"/>
    <row r="3202" ht="10.15" customHeight="1"/>
    <row r="3203" ht="10.15" customHeight="1"/>
    <row r="3204" ht="10.15" customHeight="1"/>
    <row r="3205" ht="10.15" customHeight="1"/>
    <row r="3206" ht="10.15" customHeight="1"/>
    <row r="3207" ht="10.15" customHeight="1"/>
    <row r="3208" ht="10.15" customHeight="1"/>
    <row r="3209" ht="10.15" customHeight="1"/>
    <row r="3210" ht="10.15" customHeight="1"/>
    <row r="3211" ht="10.15" customHeight="1"/>
    <row r="3212" ht="10.15" customHeight="1"/>
    <row r="3213" ht="10.15" customHeight="1"/>
    <row r="3214" ht="10.15" customHeight="1"/>
    <row r="3215" ht="10.15" customHeight="1"/>
    <row r="3216" ht="10.15" customHeight="1"/>
    <row r="3217" ht="10.15" customHeight="1"/>
    <row r="3218" ht="10.15" customHeight="1"/>
    <row r="3219" ht="10.15" customHeight="1"/>
    <row r="3220" ht="10.15" customHeight="1"/>
    <row r="3221" ht="10.15" customHeight="1"/>
    <row r="3222" ht="10.15" customHeight="1"/>
    <row r="3223" ht="10.15" customHeight="1"/>
    <row r="3224" ht="10.15" customHeight="1"/>
    <row r="3225" ht="10.15" customHeight="1"/>
    <row r="3226" ht="10.15" customHeight="1"/>
    <row r="3227" ht="10.15" customHeight="1"/>
    <row r="3228" ht="10.15" customHeight="1"/>
    <row r="3229" ht="10.15" customHeight="1"/>
    <row r="3230" ht="10.15" customHeight="1"/>
    <row r="3231" ht="10.15" customHeight="1"/>
    <row r="3232" ht="10.15" customHeight="1"/>
    <row r="3233" ht="10.15" customHeight="1"/>
    <row r="3234" ht="10.15" customHeight="1"/>
    <row r="3235" ht="10.15" customHeight="1"/>
    <row r="3236" ht="10.15" customHeight="1"/>
    <row r="3237" ht="10.15" customHeight="1"/>
    <row r="3238" ht="10.15" customHeight="1"/>
    <row r="3239" ht="10.15" customHeight="1"/>
    <row r="3240" ht="10.15" customHeight="1"/>
    <row r="3241" ht="10.15" customHeight="1"/>
    <row r="3242" ht="10.15" customHeight="1"/>
    <row r="3243" ht="10.15" customHeight="1"/>
    <row r="3244" ht="10.15" customHeight="1"/>
    <row r="3245" ht="10.15" customHeight="1"/>
    <row r="3246" ht="10.15" customHeight="1"/>
    <row r="3247" ht="10.15" customHeight="1"/>
    <row r="3248" ht="10.15" customHeight="1"/>
    <row r="3249" ht="10.15" customHeight="1"/>
    <row r="3250" ht="10.15" customHeight="1"/>
    <row r="3251" ht="10.15" customHeight="1"/>
    <row r="3252" ht="10.15" customHeight="1"/>
    <row r="3253" ht="10.15" customHeight="1"/>
    <row r="3254" ht="10.15" customHeight="1"/>
    <row r="3255" ht="10.15" customHeight="1"/>
    <row r="3256" ht="10.15" customHeight="1"/>
    <row r="3257" ht="10.15" customHeight="1"/>
    <row r="3258" ht="10.15" customHeight="1"/>
    <row r="3259" ht="10.15" customHeight="1"/>
    <row r="3260" ht="10.15" customHeight="1"/>
    <row r="3261" ht="10.15" customHeight="1"/>
    <row r="3262" ht="10.15" customHeight="1"/>
    <row r="3263" ht="10.15" customHeight="1"/>
    <row r="3264" ht="10.15" customHeight="1"/>
    <row r="3265" ht="10.15" customHeight="1"/>
    <row r="3266" ht="10.15" customHeight="1"/>
    <row r="3267" ht="10.15" customHeight="1"/>
    <row r="3268" ht="10.15" customHeight="1"/>
    <row r="3269" ht="10.15" customHeight="1"/>
    <row r="3270" ht="10.15" customHeight="1"/>
    <row r="3271" ht="10.15" customHeight="1"/>
    <row r="3272" ht="10.15" customHeight="1"/>
    <row r="3273" ht="10.15" customHeight="1"/>
    <row r="3274" ht="10.15" customHeight="1"/>
    <row r="3275" ht="10.15" customHeight="1"/>
    <row r="3276" ht="10.15" customHeight="1"/>
    <row r="3277" ht="10.15" customHeight="1"/>
    <row r="3278" ht="10.15" customHeight="1"/>
    <row r="3279" ht="10.15" customHeight="1"/>
    <row r="3280" ht="10.15" customHeight="1"/>
    <row r="3281" ht="10.15" customHeight="1"/>
    <row r="3282" ht="10.15" customHeight="1"/>
    <row r="3283" ht="10.15" customHeight="1"/>
    <row r="3284" ht="10.15" customHeight="1"/>
    <row r="3285" ht="10.15" customHeight="1"/>
    <row r="3286" ht="10.15" customHeight="1"/>
    <row r="3287" ht="10.15" customHeight="1"/>
    <row r="3288" ht="10.15" customHeight="1"/>
    <row r="3289" ht="10.15" customHeight="1"/>
    <row r="3290" ht="10.15" customHeight="1"/>
    <row r="3291" ht="10.15" customHeight="1"/>
    <row r="3292" ht="10.15" customHeight="1"/>
    <row r="3293" ht="10.15" customHeight="1"/>
    <row r="3294" ht="10.15" customHeight="1"/>
    <row r="3295" ht="10.15" customHeight="1"/>
    <row r="3296" ht="10.15" customHeight="1"/>
    <row r="3297" ht="10.15" customHeight="1"/>
    <row r="3298" ht="10.15" customHeight="1"/>
    <row r="3299" ht="10.15" customHeight="1"/>
    <row r="3300" ht="10.15" customHeight="1"/>
    <row r="3301" ht="10.15" customHeight="1"/>
    <row r="3302" ht="10.15" customHeight="1"/>
    <row r="3303" ht="10.15" customHeight="1"/>
    <row r="3304" ht="10.15" customHeight="1"/>
    <row r="3305" ht="10.15" customHeight="1"/>
    <row r="3306" ht="10.15" customHeight="1"/>
    <row r="3307" ht="10.15" customHeight="1"/>
    <row r="3308" ht="10.15" customHeight="1"/>
    <row r="3309" ht="10.15" customHeight="1"/>
    <row r="3310" ht="10.15" customHeight="1"/>
    <row r="3311" ht="10.15" customHeight="1"/>
    <row r="3312" ht="10.15" customHeight="1"/>
    <row r="3313" ht="10.15" customHeight="1"/>
    <row r="3314" ht="10.15" customHeight="1"/>
    <row r="3315" ht="10.15" customHeight="1"/>
    <row r="3316" ht="10.15" customHeight="1"/>
    <row r="3317" ht="10.15" customHeight="1"/>
    <row r="3318" ht="10.15" customHeight="1"/>
    <row r="3319" ht="10.15" customHeight="1"/>
    <row r="3320" ht="10.15" customHeight="1"/>
    <row r="3321" ht="10.15" customHeight="1"/>
    <row r="3322" ht="10.15" customHeight="1"/>
    <row r="3323" ht="10.15" customHeight="1"/>
    <row r="3324" ht="10.15" customHeight="1"/>
    <row r="3325" ht="10.15" customHeight="1"/>
    <row r="3326" ht="10.15" customHeight="1"/>
    <row r="3327" ht="10.15" customHeight="1"/>
    <row r="3328" ht="10.15" customHeight="1"/>
    <row r="3329" ht="10.15" customHeight="1"/>
    <row r="3330" ht="10.15" customHeight="1"/>
    <row r="3331" ht="10.15" customHeight="1"/>
    <row r="3332" ht="10.15" customHeight="1"/>
    <row r="3333" ht="10.15" customHeight="1"/>
    <row r="3334" ht="10.15" customHeight="1"/>
    <row r="3335" ht="10.15" customHeight="1"/>
    <row r="3336" ht="10.15" customHeight="1"/>
    <row r="3337" ht="10.15" customHeight="1"/>
    <row r="3338" ht="10.15" customHeight="1"/>
    <row r="3339" ht="10.15" customHeight="1"/>
    <row r="3340" ht="10.15" customHeight="1"/>
    <row r="3341" ht="10.15" customHeight="1"/>
    <row r="3342" ht="10.15" customHeight="1"/>
    <row r="3343" ht="10.15" customHeight="1"/>
    <row r="3344" ht="10.15" customHeight="1"/>
    <row r="3345" ht="10.15" customHeight="1"/>
    <row r="3346" ht="10.15" customHeight="1"/>
    <row r="3347" ht="10.15" customHeight="1"/>
    <row r="3348" ht="10.15" customHeight="1"/>
    <row r="3349" ht="10.15" customHeight="1"/>
    <row r="3350" ht="10.15" customHeight="1"/>
    <row r="3351" ht="10.15" customHeight="1"/>
    <row r="3352" ht="10.15" customHeight="1"/>
    <row r="3353" ht="10.15" customHeight="1"/>
    <row r="3354" ht="10.15" customHeight="1"/>
    <row r="3355" ht="10.15" customHeight="1"/>
    <row r="3356" ht="10.15" customHeight="1"/>
    <row r="3357" ht="10.15" customHeight="1"/>
    <row r="3358" ht="10.15" customHeight="1"/>
    <row r="3359" ht="10.15" customHeight="1"/>
    <row r="3360" ht="10.15" customHeight="1"/>
    <row r="3361" ht="10.15" customHeight="1"/>
    <row r="3362" ht="10.15" customHeight="1"/>
    <row r="3363" ht="10.15" customHeight="1"/>
    <row r="3364" ht="10.15" customHeight="1"/>
    <row r="3365" ht="10.15" customHeight="1"/>
    <row r="3366" ht="10.15" customHeight="1"/>
    <row r="3367" ht="10.15" customHeight="1"/>
    <row r="3368" ht="10.15" customHeight="1"/>
    <row r="3369" ht="10.15" customHeight="1"/>
    <row r="3370" ht="10.15" customHeight="1"/>
    <row r="3371" ht="10.15" customHeight="1"/>
    <row r="3372" ht="10.15" customHeight="1"/>
    <row r="3373" ht="10.15" customHeight="1"/>
    <row r="3374" ht="10.15" customHeight="1"/>
    <row r="3375" ht="10.15" customHeight="1"/>
    <row r="3376" ht="10.15" customHeight="1"/>
    <row r="3377" ht="10.15" customHeight="1"/>
    <row r="3378" ht="10.15" customHeight="1"/>
    <row r="3379" ht="10.15" customHeight="1"/>
    <row r="3380" ht="10.15" customHeight="1"/>
    <row r="3381" ht="10.15" customHeight="1"/>
    <row r="3382" ht="10.15" customHeight="1"/>
    <row r="3383" ht="10.15" customHeight="1"/>
    <row r="3384" ht="10.15" customHeight="1"/>
    <row r="3385" ht="10.15" customHeight="1"/>
    <row r="3386" ht="10.15" customHeight="1"/>
    <row r="3387" ht="10.15" customHeight="1"/>
    <row r="3388" ht="10.15" customHeight="1"/>
    <row r="3389" ht="10.15" customHeight="1"/>
    <row r="3390" ht="10.15" customHeight="1"/>
    <row r="3391" ht="10.15" customHeight="1"/>
    <row r="3392" ht="10.15" customHeight="1"/>
    <row r="3393" ht="10.15" customHeight="1"/>
    <row r="3394" ht="10.15" customHeight="1"/>
    <row r="3395" ht="10.15" customHeight="1"/>
    <row r="3396" ht="10.15" customHeight="1"/>
    <row r="3397" ht="10.15" customHeight="1"/>
    <row r="3398" ht="10.15" customHeight="1"/>
    <row r="3399" ht="10.15" customHeight="1"/>
    <row r="3400" ht="10.15" customHeight="1"/>
    <row r="3401" ht="10.15" customHeight="1"/>
    <row r="3402" ht="10.15" customHeight="1"/>
    <row r="3403" ht="10.15" customHeight="1"/>
    <row r="3404" ht="10.15" customHeight="1"/>
    <row r="3405" ht="10.15" customHeight="1"/>
    <row r="3406" ht="10.15" customHeight="1"/>
    <row r="3407" ht="10.15" customHeight="1"/>
    <row r="3408" ht="10.15" customHeight="1"/>
    <row r="3409" ht="10.15" customHeight="1"/>
    <row r="3410" ht="10.15" customHeight="1"/>
    <row r="3411" ht="10.15" customHeight="1"/>
    <row r="3412" ht="10.15" customHeight="1"/>
    <row r="3413" ht="10.15" customHeight="1"/>
    <row r="3414" ht="10.15" customHeight="1"/>
    <row r="3415" ht="10.15" customHeight="1"/>
    <row r="3416" ht="10.15" customHeight="1"/>
    <row r="3417" ht="10.15" customHeight="1"/>
    <row r="3418" ht="10.15" customHeight="1"/>
    <row r="3419" ht="10.15" customHeight="1"/>
    <row r="3420" ht="10.15" customHeight="1"/>
    <row r="3421" ht="10.15" customHeight="1"/>
    <row r="3422" ht="10.15" customHeight="1"/>
    <row r="3423" ht="10.15" customHeight="1"/>
    <row r="3424" ht="10.15" customHeight="1"/>
    <row r="3425" ht="10.15" customHeight="1"/>
    <row r="3426" ht="10.15" customHeight="1"/>
    <row r="3427" ht="10.15" customHeight="1"/>
    <row r="3428" ht="10.15" customHeight="1"/>
    <row r="3429" ht="10.15" customHeight="1"/>
    <row r="3430" ht="10.15" customHeight="1"/>
    <row r="3431" ht="10.15" customHeight="1"/>
    <row r="3432" ht="10.15" customHeight="1"/>
    <row r="3433" ht="10.15" customHeight="1"/>
    <row r="3434" ht="10.15" customHeight="1"/>
    <row r="3435" ht="10.15" customHeight="1"/>
    <row r="3436" ht="10.15" customHeight="1"/>
    <row r="3437" ht="10.15" customHeight="1"/>
    <row r="3438" ht="10.15" customHeight="1"/>
    <row r="3439" ht="10.15" customHeight="1"/>
    <row r="3440" ht="10.15" customHeight="1"/>
    <row r="3441" ht="10.15" customHeight="1"/>
    <row r="3442" ht="10.15" customHeight="1"/>
    <row r="3443" ht="10.15" customHeight="1"/>
    <row r="3444" ht="10.15" customHeight="1"/>
    <row r="3445" ht="10.15" customHeight="1"/>
    <row r="3446" ht="10.15" customHeight="1"/>
    <row r="3447" ht="10.15" customHeight="1"/>
    <row r="3448" ht="10.15" customHeight="1"/>
    <row r="3449" ht="10.15" customHeight="1"/>
    <row r="3450" ht="10.15" customHeight="1"/>
    <row r="3451" ht="10.15" customHeight="1"/>
    <row r="3452" ht="10.15" customHeight="1"/>
    <row r="3453" ht="10.15" customHeight="1"/>
    <row r="3454" ht="10.15" customHeight="1"/>
    <row r="3455" ht="10.15" customHeight="1"/>
    <row r="3456" ht="10.15" customHeight="1"/>
    <row r="3457" ht="10.15" customHeight="1"/>
    <row r="3458" ht="10.15" customHeight="1"/>
    <row r="3459" ht="10.15" customHeight="1"/>
    <row r="3460" ht="10.15" customHeight="1"/>
    <row r="3461" ht="10.15" customHeight="1"/>
    <row r="3462" ht="10.15" customHeight="1"/>
    <row r="3463" ht="10.15" customHeight="1"/>
    <row r="3464" ht="10.15" customHeight="1"/>
    <row r="3465" ht="10.15" customHeight="1"/>
    <row r="3466" ht="10.15" customHeight="1"/>
    <row r="3467" ht="10.15" customHeight="1"/>
    <row r="3468" ht="10.15" customHeight="1"/>
    <row r="3469" ht="10.15" customHeight="1"/>
    <row r="3470" ht="10.15" customHeight="1"/>
    <row r="3471" ht="10.15" customHeight="1"/>
    <row r="3472" ht="10.15" customHeight="1"/>
    <row r="3473" ht="10.15" customHeight="1"/>
    <row r="3474" ht="10.15" customHeight="1"/>
    <row r="3475" ht="10.15" customHeight="1"/>
    <row r="3476" ht="10.15" customHeight="1"/>
    <row r="3477" ht="10.15" customHeight="1"/>
    <row r="3478" ht="10.15" customHeight="1"/>
    <row r="3479" ht="10.15" customHeight="1"/>
    <row r="3480" ht="10.15" customHeight="1"/>
    <row r="3481" ht="10.15" customHeight="1"/>
    <row r="3482" ht="10.15" customHeight="1"/>
    <row r="3483" ht="10.15" customHeight="1"/>
    <row r="3484" ht="10.15" customHeight="1"/>
    <row r="3485" ht="10.15" customHeight="1"/>
    <row r="3486" ht="10.15" customHeight="1"/>
    <row r="3487" ht="10.15" customHeight="1"/>
    <row r="3488" ht="10.15" customHeight="1"/>
    <row r="3489" ht="10.15" customHeight="1"/>
    <row r="3490" ht="10.15" customHeight="1"/>
    <row r="3491" ht="10.15" customHeight="1"/>
    <row r="3492" ht="10.15" customHeight="1"/>
    <row r="3493" ht="10.15" customHeight="1"/>
    <row r="3494" ht="10.15" customHeight="1"/>
    <row r="3495" ht="10.15" customHeight="1"/>
    <row r="3496" ht="10.15" customHeight="1"/>
    <row r="3497" ht="10.15" customHeight="1"/>
    <row r="3498" ht="10.15" customHeight="1"/>
    <row r="3499" ht="10.15" customHeight="1"/>
    <row r="3500" ht="10.15" customHeight="1"/>
    <row r="3501" ht="10.15" customHeight="1"/>
    <row r="3502" ht="10.15" customHeight="1"/>
    <row r="3503" ht="10.15" customHeight="1"/>
    <row r="3504" ht="10.15" customHeight="1"/>
    <row r="3505" ht="10.15" customHeight="1"/>
    <row r="3506" ht="10.15" customHeight="1"/>
    <row r="3507" ht="10.15" customHeight="1"/>
    <row r="3508" ht="10.15" customHeight="1"/>
    <row r="3509" ht="10.15" customHeight="1"/>
    <row r="3510" ht="10.15" customHeight="1"/>
    <row r="3511" ht="10.15" customHeight="1"/>
    <row r="3512" ht="10.15" customHeight="1"/>
    <row r="3513" ht="10.15" customHeight="1"/>
    <row r="3514" ht="10.15" customHeight="1"/>
    <row r="3515" ht="10.15" customHeight="1"/>
    <row r="3516" ht="10.15" customHeight="1"/>
    <row r="3517" ht="10.15" customHeight="1"/>
    <row r="3518" ht="10.15" customHeight="1"/>
    <row r="3519" ht="10.15" customHeight="1"/>
    <row r="3520" ht="10.15" customHeight="1"/>
    <row r="3521" ht="10.15" customHeight="1"/>
    <row r="3522" ht="10.15" customHeight="1"/>
    <row r="3523" ht="10.15" customHeight="1"/>
    <row r="3524" ht="10.15" customHeight="1"/>
    <row r="3525" ht="10.15" customHeight="1"/>
    <row r="3526" ht="10.15" customHeight="1"/>
    <row r="3527" ht="10.15" customHeight="1"/>
    <row r="3528" ht="10.15" customHeight="1"/>
    <row r="3529" ht="10.15" customHeight="1"/>
    <row r="3530" ht="10.15" customHeight="1"/>
    <row r="3531" ht="10.15" customHeight="1"/>
    <row r="3532" ht="10.15" customHeight="1"/>
    <row r="3533" ht="10.15" customHeight="1"/>
    <row r="3534" ht="10.15" customHeight="1"/>
    <row r="3535" ht="10.15" customHeight="1"/>
    <row r="3536" ht="10.15" customHeight="1"/>
    <row r="3537" ht="10.15" customHeight="1"/>
    <row r="3538" ht="10.15" customHeight="1"/>
    <row r="3539" ht="10.15" customHeight="1"/>
    <row r="3540" ht="10.15" customHeight="1"/>
    <row r="3541" ht="10.15" customHeight="1"/>
    <row r="3542" ht="10.15" customHeight="1"/>
    <row r="3543" ht="10.15" customHeight="1"/>
    <row r="3544" ht="10.15" customHeight="1"/>
    <row r="3545" ht="10.15" customHeight="1"/>
    <row r="3546" ht="10.15" customHeight="1"/>
    <row r="3547" ht="10.15" customHeight="1"/>
    <row r="3548" ht="10.15" customHeight="1"/>
    <row r="3549" ht="10.15" customHeight="1"/>
    <row r="3550" ht="10.15" customHeight="1"/>
    <row r="3551" ht="10.15" customHeight="1"/>
    <row r="3552" ht="10.15" customHeight="1"/>
    <row r="3553" ht="10.15" customHeight="1"/>
    <row r="3554" ht="10.15" customHeight="1"/>
    <row r="3555" ht="10.15" customHeight="1"/>
    <row r="3556" ht="10.15" customHeight="1"/>
    <row r="3557" ht="10.15" customHeight="1"/>
    <row r="3558" ht="10.15" customHeight="1"/>
    <row r="3559" ht="10.15" customHeight="1"/>
    <row r="3560" ht="10.15" customHeight="1"/>
    <row r="3561" ht="10.15" customHeight="1"/>
    <row r="3562" ht="10.15" customHeight="1"/>
    <row r="3563" ht="10.15" customHeight="1"/>
    <row r="3564" ht="10.15" customHeight="1"/>
    <row r="3565" ht="10.15" customHeight="1"/>
    <row r="3566" ht="10.15" customHeight="1"/>
    <row r="3567" ht="10.15" customHeight="1"/>
    <row r="3568" ht="10.15" customHeight="1"/>
    <row r="3569" ht="10.15" customHeight="1"/>
    <row r="3570" ht="10.15" customHeight="1"/>
    <row r="3571" ht="10.15" customHeight="1"/>
    <row r="3572" ht="10.15" customHeight="1"/>
    <row r="3573" ht="10.15" customHeight="1"/>
    <row r="3574" ht="10.15" customHeight="1"/>
    <row r="3575" ht="10.15" customHeight="1"/>
    <row r="3576" ht="10.15" customHeight="1"/>
    <row r="3577" ht="10.15" customHeight="1"/>
    <row r="3578" ht="10.15" customHeight="1"/>
    <row r="3579" ht="10.15" customHeight="1"/>
    <row r="3580" ht="10.15" customHeight="1"/>
    <row r="3581" ht="10.15" customHeight="1"/>
    <row r="3582" ht="10.15" customHeight="1"/>
    <row r="3583" ht="10.15" customHeight="1"/>
    <row r="3584" ht="10.15" customHeight="1"/>
    <row r="3585" ht="10.15" customHeight="1"/>
    <row r="3586" ht="10.15" customHeight="1"/>
    <row r="3587" ht="10.15" customHeight="1"/>
    <row r="3588" ht="10.15" customHeight="1"/>
    <row r="3589" ht="10.15" customHeight="1"/>
    <row r="3590" ht="10.15" customHeight="1"/>
    <row r="3591" ht="10.15" customHeight="1"/>
    <row r="3592" ht="10.15" customHeight="1"/>
    <row r="3593" ht="10.15" customHeight="1"/>
    <row r="3594" ht="10.15" customHeight="1"/>
    <row r="3595" ht="10.15" customHeight="1"/>
    <row r="3596" ht="10.15" customHeight="1"/>
    <row r="3597" ht="10.15" customHeight="1"/>
    <row r="3598" ht="10.15" customHeight="1"/>
    <row r="3599" ht="10.15" customHeight="1"/>
    <row r="3600" ht="10.15" customHeight="1"/>
    <row r="3601" ht="10.15" customHeight="1"/>
    <row r="3602" ht="10.15" customHeight="1"/>
    <row r="3603" ht="10.15" customHeight="1"/>
    <row r="3604" ht="10.15" customHeight="1"/>
    <row r="3605" ht="10.15" customHeight="1"/>
    <row r="3606" ht="10.15" customHeight="1"/>
    <row r="3607" ht="10.15" customHeight="1"/>
    <row r="3608" ht="10.15" customHeight="1"/>
    <row r="3609" ht="10.15" customHeight="1"/>
    <row r="3610" ht="10.15" customHeight="1"/>
    <row r="3611" ht="10.15" customHeight="1"/>
    <row r="3612" ht="10.15" customHeight="1"/>
    <row r="3613" ht="10.15" customHeight="1"/>
    <row r="3614" ht="10.15" customHeight="1"/>
    <row r="3615" ht="10.15" customHeight="1"/>
    <row r="3616" ht="10.15" customHeight="1"/>
    <row r="3617" ht="10.15" customHeight="1"/>
    <row r="3618" ht="10.15" customHeight="1"/>
    <row r="3619" ht="10.15" customHeight="1"/>
    <row r="3620" ht="10.15" customHeight="1"/>
    <row r="3621" ht="10.15" customHeight="1"/>
    <row r="3622" ht="10.15" customHeight="1"/>
    <row r="3623" ht="10.15" customHeight="1"/>
    <row r="3624" ht="10.15" customHeight="1"/>
    <row r="3625" ht="10.15" customHeight="1"/>
    <row r="3626" ht="10.15" customHeight="1"/>
    <row r="3627" ht="10.15" customHeight="1"/>
    <row r="3628" ht="10.15" customHeight="1"/>
    <row r="3629" ht="10.15" customHeight="1"/>
    <row r="3630" ht="10.15" customHeight="1"/>
    <row r="3631" ht="10.15" customHeight="1"/>
    <row r="3632" ht="10.15" customHeight="1"/>
    <row r="3633" ht="10.15" customHeight="1"/>
    <row r="3634" ht="10.15" customHeight="1"/>
    <row r="3635" ht="10.15" customHeight="1"/>
    <row r="3636" ht="10.15" customHeight="1"/>
    <row r="3637" ht="10.15" customHeight="1"/>
    <row r="3638" ht="10.15" customHeight="1"/>
    <row r="3639" ht="10.15" customHeight="1"/>
    <row r="3640" ht="10.15" customHeight="1"/>
    <row r="3641" ht="10.15" customHeight="1"/>
    <row r="3642" ht="10.15" customHeight="1"/>
    <row r="3643" ht="10.15" customHeight="1"/>
    <row r="3644" ht="10.15" customHeight="1"/>
    <row r="3645" ht="10.15" customHeight="1"/>
    <row r="3646" ht="10.15" customHeight="1"/>
    <row r="3647" ht="10.15" customHeight="1"/>
    <row r="3648" ht="10.15" customHeight="1"/>
    <row r="3649" ht="10.15" customHeight="1"/>
    <row r="3650" ht="10.15" customHeight="1"/>
    <row r="3651" ht="10.15" customHeight="1"/>
    <row r="3652" ht="10.15" customHeight="1"/>
    <row r="3653" ht="10.15" customHeight="1"/>
    <row r="3654" ht="10.15" customHeight="1"/>
    <row r="3655" ht="10.15" customHeight="1"/>
    <row r="3656" ht="10.15" customHeight="1"/>
    <row r="3657" ht="10.15" customHeight="1"/>
    <row r="3658" ht="10.15" customHeight="1"/>
    <row r="3659" ht="10.15" customHeight="1"/>
    <row r="3660" ht="10.15" customHeight="1"/>
    <row r="3661" ht="10.15" customHeight="1"/>
    <row r="3662" ht="10.15" customHeight="1"/>
    <row r="3663" ht="10.15" customHeight="1"/>
    <row r="3664" ht="10.15" customHeight="1"/>
    <row r="3665" ht="10.15" customHeight="1"/>
    <row r="3666" ht="10.15" customHeight="1"/>
    <row r="3667" ht="10.15" customHeight="1"/>
    <row r="3668" ht="10.15" customHeight="1"/>
    <row r="3669" ht="10.15" customHeight="1"/>
    <row r="3670" ht="10.15" customHeight="1"/>
    <row r="3671" ht="10.15" customHeight="1"/>
    <row r="3672" ht="10.15" customHeight="1"/>
    <row r="3673" ht="10.15" customHeight="1"/>
    <row r="3674" ht="10.15" customHeight="1"/>
    <row r="3675" ht="10.15" customHeight="1"/>
    <row r="3676" ht="10.15" customHeight="1"/>
    <row r="3677" ht="10.15" customHeight="1"/>
    <row r="3678" ht="10.15" customHeight="1"/>
    <row r="3679" ht="10.15" customHeight="1"/>
    <row r="3680" ht="10.15" customHeight="1"/>
    <row r="3681" ht="10.15" customHeight="1"/>
    <row r="3682" ht="10.15" customHeight="1"/>
    <row r="3683" ht="10.15" customHeight="1"/>
    <row r="3684" ht="10.15" customHeight="1"/>
    <row r="3685" ht="10.15" customHeight="1"/>
    <row r="3686" ht="10.15" customHeight="1"/>
    <row r="3687" ht="10.15" customHeight="1"/>
    <row r="3688" ht="10.15" customHeight="1"/>
    <row r="3689" ht="10.15" customHeight="1"/>
    <row r="3690" ht="10.15" customHeight="1"/>
    <row r="3691" ht="10.15" customHeight="1"/>
    <row r="3692" ht="10.15" customHeight="1"/>
    <row r="3693" ht="10.15" customHeight="1"/>
    <row r="3694" ht="10.15" customHeight="1"/>
    <row r="3695" ht="10.15" customHeight="1"/>
    <row r="3696" ht="10.15" customHeight="1"/>
    <row r="3697" ht="10.15" customHeight="1"/>
    <row r="3698" ht="10.15" customHeight="1"/>
    <row r="3699" ht="10.15" customHeight="1"/>
    <row r="3700" ht="10.15" customHeight="1"/>
    <row r="3701" ht="10.15" customHeight="1"/>
    <row r="3702" ht="10.15" customHeight="1"/>
    <row r="3703" ht="10.15" customHeight="1"/>
    <row r="3704" ht="10.15" customHeight="1"/>
    <row r="3705" ht="10.15" customHeight="1"/>
    <row r="3706" ht="10.15" customHeight="1"/>
    <row r="3707" ht="10.15" customHeight="1"/>
    <row r="3708" ht="10.15" customHeight="1"/>
    <row r="3709" ht="10.15" customHeight="1"/>
    <row r="3710" ht="10.15" customHeight="1"/>
    <row r="3711" ht="10.15" customHeight="1"/>
    <row r="3712" ht="10.15" customHeight="1"/>
    <row r="3713" ht="10.15" customHeight="1"/>
    <row r="3714" ht="10.15" customHeight="1"/>
    <row r="3715" ht="10.15" customHeight="1"/>
    <row r="3716" ht="10.15" customHeight="1"/>
    <row r="3717" ht="10.15" customHeight="1"/>
    <row r="3718" ht="10.15" customHeight="1"/>
    <row r="3719" ht="10.15" customHeight="1"/>
    <row r="3720" ht="10.15" customHeight="1"/>
    <row r="3721" ht="10.15" customHeight="1"/>
    <row r="3722" ht="10.15" customHeight="1"/>
    <row r="3723" ht="10.15" customHeight="1"/>
    <row r="3724" ht="10.15" customHeight="1"/>
    <row r="3725" ht="10.15" customHeight="1"/>
    <row r="3726" ht="10.15" customHeight="1"/>
    <row r="3727" ht="10.15" customHeight="1"/>
    <row r="3728" ht="10.15" customHeight="1"/>
    <row r="3729" ht="10.15" customHeight="1"/>
    <row r="3730" ht="10.15" customHeight="1"/>
    <row r="3731" ht="10.15" customHeight="1"/>
    <row r="3732" ht="10.15" customHeight="1"/>
    <row r="3733" ht="10.15" customHeight="1"/>
    <row r="3734" ht="10.15" customHeight="1"/>
    <row r="3735" ht="10.15" customHeight="1"/>
    <row r="3736" ht="10.15" customHeight="1"/>
    <row r="3737" ht="10.15" customHeight="1"/>
    <row r="3738" ht="10.15" customHeight="1"/>
    <row r="3739" ht="10.15" customHeight="1"/>
    <row r="3740" ht="10.15" customHeight="1"/>
    <row r="3741" ht="10.15" customHeight="1"/>
    <row r="3742" ht="10.15" customHeight="1"/>
    <row r="3743" ht="10.15" customHeight="1"/>
    <row r="3744" ht="10.15" customHeight="1"/>
    <row r="3745" ht="10.15" customHeight="1"/>
    <row r="3746" ht="10.15" customHeight="1"/>
    <row r="3747" ht="10.15" customHeight="1"/>
    <row r="3748" ht="10.15" customHeight="1"/>
    <row r="3749" ht="10.15" customHeight="1"/>
    <row r="3750" ht="10.15" customHeight="1"/>
    <row r="3751" ht="10.15" customHeight="1"/>
    <row r="3752" ht="10.15" customHeight="1"/>
    <row r="3753" ht="10.15" customHeight="1"/>
    <row r="3754" ht="10.15" customHeight="1"/>
    <row r="3755" ht="10.15" customHeight="1"/>
    <row r="3756" ht="10.15" customHeight="1"/>
    <row r="3757" ht="10.15" customHeight="1"/>
    <row r="3758" ht="10.15" customHeight="1"/>
    <row r="3759" ht="10.15" customHeight="1"/>
    <row r="3760" ht="10.15" customHeight="1"/>
    <row r="3761" ht="10.15" customHeight="1"/>
    <row r="3762" ht="10.15" customHeight="1"/>
    <row r="3763" ht="10.15" customHeight="1"/>
    <row r="3764" ht="10.15" customHeight="1"/>
    <row r="3765" ht="10.15" customHeight="1"/>
    <row r="3766" ht="10.15" customHeight="1"/>
    <row r="3767" ht="10.15" customHeight="1"/>
    <row r="3768" ht="10.15" customHeight="1"/>
    <row r="3769" ht="10.15" customHeight="1"/>
    <row r="3770" ht="10.15" customHeight="1"/>
    <row r="3771" ht="10.15" customHeight="1"/>
    <row r="3772" ht="10.15" customHeight="1"/>
    <row r="3773" ht="10.15" customHeight="1"/>
    <row r="3774" ht="10.15" customHeight="1"/>
    <row r="3775" ht="10.15" customHeight="1"/>
    <row r="3776" ht="10.15" customHeight="1"/>
    <row r="3777" ht="10.15" customHeight="1"/>
    <row r="3778" ht="10.15" customHeight="1"/>
    <row r="3779" ht="10.15" customHeight="1"/>
    <row r="3780" ht="10.15" customHeight="1"/>
    <row r="3781" ht="10.15" customHeight="1"/>
    <row r="3782" ht="10.15" customHeight="1"/>
    <row r="3783" ht="10.15" customHeight="1"/>
    <row r="3784" ht="10.15" customHeight="1"/>
    <row r="3785" ht="10.15" customHeight="1"/>
    <row r="3786" ht="10.15" customHeight="1"/>
    <row r="3787" ht="10.15" customHeight="1"/>
    <row r="3788" ht="10.15" customHeight="1"/>
    <row r="3789" ht="10.15" customHeight="1"/>
    <row r="3790" ht="10.15" customHeight="1"/>
    <row r="3791" ht="10.15" customHeight="1"/>
    <row r="3792" ht="10.15" customHeight="1"/>
    <row r="3793" ht="10.15" customHeight="1"/>
    <row r="3794" ht="10.15" customHeight="1"/>
    <row r="3795" ht="10.15" customHeight="1"/>
    <row r="3796" ht="10.15" customHeight="1"/>
    <row r="3797" ht="10.15" customHeight="1"/>
    <row r="3798" ht="10.15" customHeight="1"/>
    <row r="3799" ht="10.15" customHeight="1"/>
    <row r="3800" ht="10.15" customHeight="1"/>
    <row r="3801" ht="10.15" customHeight="1"/>
    <row r="3802" ht="10.15" customHeight="1"/>
    <row r="3803" ht="10.15" customHeight="1"/>
    <row r="3804" ht="10.15" customHeight="1"/>
    <row r="3805" ht="10.15" customHeight="1"/>
    <row r="3806" ht="10.15" customHeight="1"/>
    <row r="3807" ht="10.15" customHeight="1"/>
    <row r="3808" ht="10.15" customHeight="1"/>
    <row r="3809" ht="10.15" customHeight="1"/>
    <row r="3810" ht="10.15" customHeight="1"/>
    <row r="3811" ht="10.15" customHeight="1"/>
    <row r="3812" ht="10.15" customHeight="1"/>
    <row r="3813" ht="10.15" customHeight="1"/>
    <row r="3814" ht="10.15" customHeight="1"/>
    <row r="3815" ht="10.15" customHeight="1"/>
    <row r="3816" ht="10.15" customHeight="1"/>
    <row r="3817" ht="10.15" customHeight="1"/>
    <row r="3818" ht="10.15" customHeight="1"/>
    <row r="3819" ht="10.15" customHeight="1"/>
    <row r="3820" ht="10.15" customHeight="1"/>
    <row r="3821" ht="10.15" customHeight="1"/>
    <row r="3822" ht="10.15" customHeight="1"/>
    <row r="3823" ht="10.15" customHeight="1"/>
    <row r="3824" ht="10.15" customHeight="1"/>
    <row r="3825" ht="10.15" customHeight="1"/>
    <row r="3826" ht="10.15" customHeight="1"/>
    <row r="3827" ht="10.15" customHeight="1"/>
    <row r="3828" ht="10.15" customHeight="1"/>
    <row r="3829" ht="10.15" customHeight="1"/>
    <row r="3830" ht="10.15" customHeight="1"/>
    <row r="3831" ht="10.15" customHeight="1"/>
    <row r="3832" ht="10.15" customHeight="1"/>
    <row r="3833" ht="10.15" customHeight="1"/>
    <row r="3834" ht="10.15" customHeight="1"/>
    <row r="3835" ht="10.15" customHeight="1"/>
    <row r="3836" ht="10.15" customHeight="1"/>
    <row r="3837" ht="10.15" customHeight="1"/>
    <row r="3838" ht="10.15" customHeight="1"/>
    <row r="3839" ht="10.15" customHeight="1"/>
    <row r="3840" ht="10.15" customHeight="1"/>
    <row r="3841" ht="10.15" customHeight="1"/>
    <row r="3842" ht="10.15" customHeight="1"/>
    <row r="3843" ht="10.15" customHeight="1"/>
    <row r="3844" ht="10.15" customHeight="1"/>
    <row r="3845" ht="10.15" customHeight="1"/>
    <row r="3846" ht="10.15" customHeight="1"/>
    <row r="3847" ht="10.15" customHeight="1"/>
    <row r="3848" ht="10.15" customHeight="1"/>
    <row r="3849" ht="10.15" customHeight="1"/>
    <row r="3850" ht="10.15" customHeight="1"/>
    <row r="3851" ht="10.15" customHeight="1"/>
    <row r="3852" ht="10.15" customHeight="1"/>
    <row r="3853" ht="10.15" customHeight="1"/>
    <row r="3854" ht="10.15" customHeight="1"/>
    <row r="3855" ht="10.15" customHeight="1"/>
    <row r="3856" ht="10.15" customHeight="1"/>
    <row r="3857" ht="10.15" customHeight="1"/>
    <row r="3858" ht="10.15" customHeight="1"/>
    <row r="3859" ht="10.15" customHeight="1"/>
    <row r="3860" ht="10.15" customHeight="1"/>
    <row r="3861" ht="10.15" customHeight="1"/>
    <row r="3862" ht="10.15" customHeight="1"/>
    <row r="3863" ht="10.15" customHeight="1"/>
    <row r="3864" ht="10.15" customHeight="1"/>
    <row r="3865" ht="10.15" customHeight="1"/>
    <row r="3866" ht="10.15" customHeight="1"/>
    <row r="3867" ht="10.15" customHeight="1"/>
    <row r="3868" ht="10.15" customHeight="1"/>
    <row r="3869" ht="10.15" customHeight="1"/>
    <row r="3870" ht="10.15" customHeight="1"/>
    <row r="3871" ht="10.15" customHeight="1"/>
    <row r="3872" ht="10.15" customHeight="1"/>
    <row r="3873" ht="10.15" customHeight="1"/>
    <row r="3874" ht="10.15" customHeight="1"/>
    <row r="3875" ht="10.15" customHeight="1"/>
    <row r="3876" ht="10.15" customHeight="1"/>
    <row r="3877" ht="10.15" customHeight="1"/>
    <row r="3878" ht="10.15" customHeight="1"/>
    <row r="3879" ht="10.15" customHeight="1"/>
    <row r="3880" ht="10.15" customHeight="1"/>
    <row r="3881" ht="10.15" customHeight="1"/>
    <row r="3882" ht="10.15" customHeight="1"/>
    <row r="3883" ht="10.15" customHeight="1"/>
    <row r="3884" ht="10.15" customHeight="1"/>
    <row r="3885" ht="10.15" customHeight="1"/>
    <row r="3886" ht="10.15" customHeight="1"/>
    <row r="3887" ht="10.15" customHeight="1"/>
    <row r="3888" ht="10.15" customHeight="1"/>
    <row r="3889" ht="10.15" customHeight="1"/>
    <row r="3890" ht="10.15" customHeight="1"/>
    <row r="3891" ht="10.15" customHeight="1"/>
    <row r="3892" ht="10.15" customHeight="1"/>
    <row r="3893" ht="10.15" customHeight="1"/>
    <row r="3894" ht="10.15" customHeight="1"/>
    <row r="3895" ht="10.15" customHeight="1"/>
    <row r="3896" ht="10.15" customHeight="1"/>
    <row r="3897" ht="10.15" customHeight="1"/>
    <row r="3898" ht="10.15" customHeight="1"/>
    <row r="3899" ht="10.15" customHeight="1"/>
    <row r="3900" ht="10.15" customHeight="1"/>
    <row r="3901" ht="10.15" customHeight="1"/>
    <row r="3902" ht="10.15" customHeight="1"/>
    <row r="3903" ht="10.15" customHeight="1"/>
    <row r="3904" ht="10.15" customHeight="1"/>
    <row r="3905" ht="10.15" customHeight="1"/>
    <row r="3906" ht="10.15" customHeight="1"/>
    <row r="3907" ht="10.15" customHeight="1"/>
    <row r="3908" ht="10.15" customHeight="1"/>
    <row r="3909" ht="10.15" customHeight="1"/>
    <row r="3910" ht="10.15" customHeight="1"/>
    <row r="3911" ht="10.15" customHeight="1"/>
    <row r="3912" ht="10.15" customHeight="1"/>
    <row r="3913" ht="10.15" customHeight="1"/>
    <row r="3914" ht="10.15" customHeight="1"/>
    <row r="3915" ht="10.15" customHeight="1"/>
    <row r="3916" ht="10.15" customHeight="1"/>
    <row r="3917" ht="10.15" customHeight="1"/>
    <row r="3918" ht="10.15" customHeight="1"/>
    <row r="3919" ht="10.15" customHeight="1"/>
    <row r="3920" ht="10.15" customHeight="1"/>
    <row r="3921" ht="10.15" customHeight="1"/>
    <row r="3922" ht="10.15" customHeight="1"/>
    <row r="3923" ht="10.15" customHeight="1"/>
    <row r="3924" ht="10.15" customHeight="1"/>
    <row r="3925" ht="10.15" customHeight="1"/>
    <row r="3926" ht="10.15" customHeight="1"/>
    <row r="3927" ht="10.15" customHeight="1"/>
    <row r="3928" ht="10.15" customHeight="1"/>
    <row r="3929" ht="10.15" customHeight="1"/>
    <row r="3930" ht="10.15" customHeight="1"/>
    <row r="3931" ht="10.15" customHeight="1"/>
    <row r="3932" ht="10.15" customHeight="1"/>
    <row r="3933" ht="10.15" customHeight="1"/>
    <row r="3934" ht="10.15" customHeight="1"/>
    <row r="3935" ht="10.15" customHeight="1"/>
    <row r="3936" ht="10.15" customHeight="1"/>
    <row r="3937" ht="10.15" customHeight="1"/>
    <row r="3938" ht="10.15" customHeight="1"/>
    <row r="3939" ht="10.15" customHeight="1"/>
    <row r="3940" ht="10.15" customHeight="1"/>
    <row r="3941" ht="10.15" customHeight="1"/>
    <row r="3942" ht="10.15" customHeight="1"/>
    <row r="3943" ht="10.15" customHeight="1"/>
    <row r="3944" ht="10.15" customHeight="1"/>
    <row r="3945" ht="10.15" customHeight="1"/>
    <row r="3946" ht="10.15" customHeight="1"/>
    <row r="3947" ht="10.15" customHeight="1"/>
    <row r="3948" ht="10.15" customHeight="1"/>
    <row r="3949" ht="10.15" customHeight="1"/>
    <row r="3950" ht="10.15" customHeight="1"/>
    <row r="3951" ht="10.15" customHeight="1"/>
    <row r="3952" ht="10.15" customHeight="1"/>
    <row r="3953" ht="10.15" customHeight="1"/>
    <row r="3954" ht="10.15" customHeight="1"/>
    <row r="3955" ht="10.15" customHeight="1"/>
    <row r="3956" ht="10.15" customHeight="1"/>
    <row r="3957" ht="10.15" customHeight="1"/>
    <row r="3958" ht="10.15" customHeight="1"/>
    <row r="3959" ht="10.15" customHeight="1"/>
    <row r="3960" ht="10.15" customHeight="1"/>
    <row r="3961" ht="10.15" customHeight="1"/>
    <row r="3962" ht="10.15" customHeight="1"/>
    <row r="3963" ht="10.15" customHeight="1"/>
    <row r="3964" ht="10.15" customHeight="1"/>
    <row r="3965" ht="10.15" customHeight="1"/>
    <row r="3966" ht="10.15" customHeight="1"/>
    <row r="3967" ht="10.15" customHeight="1"/>
    <row r="3968" ht="10.15" customHeight="1"/>
    <row r="3969" ht="10.15" customHeight="1"/>
    <row r="3970" ht="10.15" customHeight="1"/>
    <row r="3971" ht="10.15" customHeight="1"/>
    <row r="3972" ht="10.15" customHeight="1"/>
    <row r="3973" ht="10.15" customHeight="1"/>
    <row r="3974" ht="10.15" customHeight="1"/>
    <row r="3975" ht="10.15" customHeight="1"/>
    <row r="3976" ht="10.15" customHeight="1"/>
    <row r="3977" ht="10.15" customHeight="1"/>
    <row r="3978" ht="10.15" customHeight="1"/>
    <row r="3979" ht="10.15" customHeight="1"/>
    <row r="3980" ht="10.15" customHeight="1"/>
    <row r="3981" ht="10.15" customHeight="1"/>
    <row r="3982" ht="10.15" customHeight="1"/>
    <row r="3983" ht="10.15" customHeight="1"/>
    <row r="3984" ht="10.15" customHeight="1"/>
    <row r="3985" ht="10.15" customHeight="1"/>
    <row r="3986" ht="10.15" customHeight="1"/>
    <row r="3987" ht="10.15" customHeight="1"/>
    <row r="3988" ht="10.15" customHeight="1"/>
    <row r="3989" ht="10.15" customHeight="1"/>
    <row r="3990" ht="10.15" customHeight="1"/>
    <row r="3991" ht="10.15" customHeight="1"/>
    <row r="3992" ht="10.15" customHeight="1"/>
    <row r="3993" ht="10.15" customHeight="1"/>
    <row r="3994" ht="10.15" customHeight="1"/>
    <row r="3995" ht="10.15" customHeight="1"/>
    <row r="3996" ht="10.15" customHeight="1"/>
    <row r="3997" ht="10.15" customHeight="1"/>
    <row r="3998" ht="10.15" customHeight="1"/>
    <row r="3999" ht="10.15" customHeight="1"/>
    <row r="4000" ht="10.15" customHeight="1"/>
    <row r="4001" ht="10.15" customHeight="1"/>
    <row r="4002" ht="10.15" customHeight="1"/>
    <row r="4003" ht="10.15" customHeight="1"/>
    <row r="4004" ht="10.15" customHeight="1"/>
    <row r="4005" ht="10.15" customHeight="1"/>
    <row r="4006" ht="10.15" customHeight="1"/>
    <row r="4007" ht="10.15" customHeight="1"/>
    <row r="4008" ht="10.15" customHeight="1"/>
    <row r="4009" ht="10.15" customHeight="1"/>
    <row r="4010" ht="10.15" customHeight="1"/>
    <row r="4011" ht="10.15" customHeight="1"/>
    <row r="4012" ht="10.15" customHeight="1"/>
    <row r="4013" ht="10.15" customHeight="1"/>
    <row r="4014" ht="10.15" customHeight="1"/>
    <row r="4015" ht="10.15" customHeight="1"/>
    <row r="4016" ht="10.15" customHeight="1"/>
    <row r="4017" ht="10.15" customHeight="1"/>
    <row r="4018" ht="10.15" customHeight="1"/>
    <row r="4019" ht="10.15" customHeight="1"/>
    <row r="4020" ht="10.15" customHeight="1"/>
    <row r="4021" ht="10.15" customHeight="1"/>
    <row r="4022" ht="10.15" customHeight="1"/>
    <row r="4023" ht="10.15" customHeight="1"/>
    <row r="4024" ht="10.15" customHeight="1"/>
    <row r="4025" ht="10.15" customHeight="1"/>
    <row r="4026" ht="10.15" customHeight="1"/>
    <row r="4027" ht="10.15" customHeight="1"/>
    <row r="4028" ht="10.15" customHeight="1"/>
    <row r="4029" ht="10.15" customHeight="1"/>
    <row r="4030" ht="10.15" customHeight="1"/>
    <row r="4031" ht="10.15" customHeight="1"/>
    <row r="4032" ht="10.15" customHeight="1"/>
    <row r="4033" ht="10.15" customHeight="1"/>
    <row r="4034" ht="10.15" customHeight="1"/>
    <row r="4035" ht="10.15" customHeight="1"/>
    <row r="4036" ht="10.15" customHeight="1"/>
    <row r="4037" ht="10.15" customHeight="1"/>
    <row r="4038" ht="10.15" customHeight="1"/>
    <row r="4039" ht="10.15" customHeight="1"/>
    <row r="4040" ht="10.15" customHeight="1"/>
    <row r="4041" ht="10.15" customHeight="1"/>
    <row r="4042" ht="10.15" customHeight="1"/>
    <row r="4043" ht="10.15" customHeight="1"/>
    <row r="4044" ht="10.15" customHeight="1"/>
    <row r="4045" ht="10.15" customHeight="1"/>
    <row r="4046" ht="10.15" customHeight="1"/>
    <row r="4047" ht="10.15" customHeight="1"/>
    <row r="4048" ht="10.15" customHeight="1"/>
    <row r="4049" ht="10.15" customHeight="1"/>
    <row r="4050" ht="10.15" customHeight="1"/>
    <row r="4051" ht="10.15" customHeight="1"/>
    <row r="4052" ht="10.15" customHeight="1"/>
    <row r="4053" ht="10.15" customHeight="1"/>
    <row r="4054" ht="10.15" customHeight="1"/>
    <row r="4055" ht="10.15" customHeight="1"/>
    <row r="4056" ht="10.15" customHeight="1"/>
    <row r="4057" ht="10.15" customHeight="1"/>
    <row r="4058" ht="10.15" customHeight="1"/>
    <row r="4059" ht="10.15" customHeight="1"/>
    <row r="4060" ht="10.15" customHeight="1"/>
    <row r="4061" ht="10.15" customHeight="1"/>
    <row r="4062" ht="10.15" customHeight="1"/>
    <row r="4063" ht="10.15" customHeight="1"/>
    <row r="4064" ht="10.15" customHeight="1"/>
    <row r="4065" ht="10.15" customHeight="1"/>
    <row r="4066" ht="10.15" customHeight="1"/>
    <row r="4067" ht="10.15" customHeight="1"/>
    <row r="4068" ht="10.15" customHeight="1"/>
    <row r="4069" ht="10.15" customHeight="1"/>
    <row r="4070" ht="10.15" customHeight="1"/>
    <row r="4071" ht="10.15" customHeight="1"/>
    <row r="4072" ht="10.15" customHeight="1"/>
    <row r="4073" ht="10.15" customHeight="1"/>
    <row r="4074" ht="10.15" customHeight="1"/>
    <row r="4075" ht="10.15" customHeight="1"/>
    <row r="4076" ht="10.15" customHeight="1"/>
    <row r="4077" ht="10.15" customHeight="1"/>
    <row r="4078" ht="10.15" customHeight="1"/>
    <row r="4079" ht="10.15" customHeight="1"/>
    <row r="4080" ht="10.15" customHeight="1"/>
    <row r="4081" ht="10.15" customHeight="1"/>
    <row r="4082" ht="10.15" customHeight="1"/>
    <row r="4083" ht="10.15" customHeight="1"/>
    <row r="4084" ht="10.15" customHeight="1"/>
    <row r="4085" ht="10.15" customHeight="1"/>
    <row r="4086" ht="10.15" customHeight="1"/>
    <row r="4087" ht="10.15" customHeight="1"/>
    <row r="4088" ht="10.15" customHeight="1"/>
    <row r="4089" ht="10.15" customHeight="1"/>
    <row r="4090" ht="10.15" customHeight="1"/>
    <row r="4091" ht="10.15" customHeight="1"/>
    <row r="4092" ht="10.15" customHeight="1"/>
    <row r="4093" ht="10.15" customHeight="1"/>
    <row r="4094" ht="10.15" customHeight="1"/>
    <row r="4095" ht="10.15" customHeight="1"/>
    <row r="4096" ht="10.15" customHeight="1"/>
    <row r="4097" ht="10.15" customHeight="1"/>
    <row r="4098" ht="10.15" customHeight="1"/>
    <row r="4099" ht="10.15" customHeight="1"/>
    <row r="4100" ht="10.15" customHeight="1"/>
    <row r="4101" ht="10.15" customHeight="1"/>
    <row r="4102" ht="10.15" customHeight="1"/>
    <row r="4103" ht="10.15" customHeight="1"/>
    <row r="4104" ht="10.15" customHeight="1"/>
    <row r="4105" ht="10.15" customHeight="1"/>
    <row r="4106" ht="10.15" customHeight="1"/>
    <row r="4107" ht="10.15" customHeight="1"/>
    <row r="4108" ht="10.15" customHeight="1"/>
    <row r="4109" ht="10.15" customHeight="1"/>
    <row r="4110" ht="10.15" customHeight="1"/>
    <row r="4111" ht="10.15" customHeight="1"/>
    <row r="4112" ht="10.15" customHeight="1"/>
    <row r="4113" ht="10.15" customHeight="1"/>
    <row r="4114" ht="10.15" customHeight="1"/>
    <row r="4115" ht="10.15" customHeight="1"/>
    <row r="4116" ht="10.15" customHeight="1"/>
    <row r="4117" ht="10.15" customHeight="1"/>
    <row r="4118" ht="10.15" customHeight="1"/>
    <row r="4119" ht="10.15" customHeight="1"/>
    <row r="4120" ht="10.15" customHeight="1"/>
    <row r="4121" ht="10.15" customHeight="1"/>
    <row r="4122" ht="10.15" customHeight="1"/>
    <row r="4123" ht="10.15" customHeight="1"/>
    <row r="4124" ht="10.15" customHeight="1"/>
    <row r="4125" ht="10.15" customHeight="1"/>
    <row r="4126" ht="10.15" customHeight="1"/>
    <row r="4127" ht="10.15" customHeight="1"/>
    <row r="4128" ht="10.15" customHeight="1"/>
    <row r="4129" ht="10.15" customHeight="1"/>
    <row r="4130" ht="10.15" customHeight="1"/>
    <row r="4131" ht="10.15" customHeight="1"/>
    <row r="4132" ht="10.15" customHeight="1"/>
    <row r="4133" ht="10.15" customHeight="1"/>
    <row r="4134" ht="10.15" customHeight="1"/>
    <row r="4135" ht="10.15" customHeight="1"/>
    <row r="4136" ht="10.15" customHeight="1"/>
    <row r="4137" ht="10.15" customHeight="1"/>
    <row r="4138" ht="10.15" customHeight="1"/>
    <row r="4139" ht="10.15" customHeight="1"/>
    <row r="4140" ht="10.15" customHeight="1"/>
    <row r="4141" ht="10.15" customHeight="1"/>
    <row r="4142" ht="10.15" customHeight="1"/>
    <row r="4143" ht="10.15" customHeight="1"/>
    <row r="4144" ht="10.15" customHeight="1"/>
    <row r="4145" ht="10.15" customHeight="1"/>
    <row r="4146" ht="10.15" customHeight="1"/>
    <row r="4147" ht="10.15" customHeight="1"/>
    <row r="4148" ht="10.15" customHeight="1"/>
    <row r="4149" ht="10.15" customHeight="1"/>
    <row r="4150" ht="10.15" customHeight="1"/>
    <row r="4151" ht="10.15" customHeight="1"/>
    <row r="4152" ht="10.15" customHeight="1"/>
    <row r="4153" ht="10.15" customHeight="1"/>
    <row r="4154" ht="10.15" customHeight="1"/>
    <row r="4155" ht="10.15" customHeight="1"/>
    <row r="4156" ht="10.15" customHeight="1"/>
    <row r="4157" ht="10.15" customHeight="1"/>
    <row r="4158" ht="10.15" customHeight="1"/>
    <row r="4159" ht="10.15" customHeight="1"/>
    <row r="4160" ht="10.15" customHeight="1"/>
    <row r="4161" ht="10.15" customHeight="1"/>
    <row r="4162" ht="10.15" customHeight="1"/>
    <row r="4163" ht="10.15" customHeight="1"/>
    <row r="4164" ht="10.15" customHeight="1"/>
    <row r="4165" ht="10.15" customHeight="1"/>
    <row r="4166" ht="10.15" customHeight="1"/>
    <row r="4167" ht="10.15" customHeight="1"/>
    <row r="4168" ht="10.15" customHeight="1"/>
    <row r="4169" ht="10.15" customHeight="1"/>
    <row r="4170" ht="10.15" customHeight="1"/>
    <row r="4171" ht="10.15" customHeight="1"/>
    <row r="4172" ht="10.15" customHeight="1"/>
    <row r="4173" ht="10.15" customHeight="1"/>
    <row r="4174" ht="10.15" customHeight="1"/>
    <row r="4175" ht="10.15" customHeight="1"/>
    <row r="4176" ht="10.15" customHeight="1"/>
    <row r="4177" ht="10.15" customHeight="1"/>
    <row r="4178" ht="10.15" customHeight="1"/>
    <row r="4179" ht="10.15" customHeight="1"/>
    <row r="4180" ht="10.15" customHeight="1"/>
    <row r="4181" ht="10.15" customHeight="1"/>
    <row r="4182" ht="10.15" customHeight="1"/>
    <row r="4183" ht="10.15" customHeight="1"/>
    <row r="4184" ht="10.15" customHeight="1"/>
    <row r="4185" ht="10.15" customHeight="1"/>
    <row r="4186" ht="10.15" customHeight="1"/>
    <row r="4187" ht="10.15" customHeight="1"/>
    <row r="4188" ht="10.15" customHeight="1"/>
    <row r="4189" ht="10.15" customHeight="1"/>
    <row r="4190" ht="10.15" customHeight="1"/>
    <row r="4191" ht="10.15" customHeight="1"/>
    <row r="4192" ht="10.15" customHeight="1"/>
    <row r="4193" ht="10.15" customHeight="1"/>
    <row r="4194" ht="10.15" customHeight="1"/>
    <row r="4195" ht="10.15" customHeight="1"/>
    <row r="4196" ht="10.15" customHeight="1"/>
    <row r="4197" ht="10.15" customHeight="1"/>
    <row r="4198" ht="10.15" customHeight="1"/>
    <row r="4199" ht="10.15" customHeight="1"/>
    <row r="4200" ht="10.15" customHeight="1"/>
    <row r="4201" ht="10.15" customHeight="1"/>
    <row r="4202" ht="10.15" customHeight="1"/>
    <row r="4203" ht="10.15" customHeight="1"/>
    <row r="4204" ht="10.15" customHeight="1"/>
    <row r="4205" ht="10.15" customHeight="1"/>
    <row r="4206" ht="10.15" customHeight="1"/>
    <row r="4207" ht="10.15" customHeight="1"/>
    <row r="4208" ht="10.15" customHeight="1"/>
    <row r="4209" ht="10.15" customHeight="1"/>
    <row r="4210" ht="10.15" customHeight="1"/>
    <row r="4211" ht="10.15" customHeight="1"/>
    <row r="4212" ht="10.15" customHeight="1"/>
    <row r="4213" ht="10.15" customHeight="1"/>
    <row r="4214" ht="10.15" customHeight="1"/>
    <row r="4215" ht="10.15" customHeight="1"/>
    <row r="4216" ht="10.15" customHeight="1"/>
    <row r="4217" ht="10.15" customHeight="1"/>
    <row r="4218" ht="10.15" customHeight="1"/>
    <row r="4219" ht="10.15" customHeight="1"/>
    <row r="4220" ht="10.15" customHeight="1"/>
    <row r="4221" ht="10.15" customHeight="1"/>
    <row r="4222" ht="10.15" customHeight="1"/>
    <row r="4223" ht="10.15" customHeight="1"/>
    <row r="4224" ht="10.15" customHeight="1"/>
    <row r="4225" ht="10.15" customHeight="1"/>
    <row r="4226" ht="10.15" customHeight="1"/>
    <row r="4227" ht="10.15" customHeight="1"/>
    <row r="4228" ht="10.15" customHeight="1"/>
    <row r="4229" ht="10.15" customHeight="1"/>
    <row r="4230" ht="10.15" customHeight="1"/>
    <row r="4231" ht="10.15" customHeight="1"/>
    <row r="4232" ht="10.15" customHeight="1"/>
    <row r="4233" ht="10.15" customHeight="1"/>
    <row r="4234" ht="10.15" customHeight="1"/>
    <row r="4235" ht="10.15" customHeight="1"/>
    <row r="4236" ht="10.15" customHeight="1"/>
    <row r="4237" ht="10.15" customHeight="1"/>
    <row r="4238" ht="10.15" customHeight="1"/>
    <row r="4239" ht="10.15" customHeight="1"/>
    <row r="4240" ht="10.15" customHeight="1"/>
    <row r="4241" ht="10.15" customHeight="1"/>
    <row r="4242" ht="10.15" customHeight="1"/>
    <row r="4243" ht="10.15" customHeight="1"/>
    <row r="4244" ht="10.15" customHeight="1"/>
    <row r="4245" ht="10.15" customHeight="1"/>
    <row r="4246" ht="10.15" customHeight="1"/>
    <row r="4247" ht="10.15" customHeight="1"/>
    <row r="4248" ht="10.15" customHeight="1"/>
    <row r="4249" ht="10.15" customHeight="1"/>
    <row r="4250" ht="10.15" customHeight="1"/>
    <row r="4251" ht="10.15" customHeight="1"/>
    <row r="4252" ht="10.15" customHeight="1"/>
    <row r="4253" ht="10.15" customHeight="1"/>
    <row r="4254" ht="10.15" customHeight="1"/>
    <row r="4255" ht="10.15" customHeight="1"/>
    <row r="4256" ht="10.15" customHeight="1"/>
    <row r="4257" ht="10.15" customHeight="1"/>
    <row r="4258" ht="10.15" customHeight="1"/>
    <row r="4259" ht="10.15" customHeight="1"/>
    <row r="4260" ht="10.15" customHeight="1"/>
    <row r="4261" ht="10.15" customHeight="1"/>
    <row r="4262" ht="10.15" customHeight="1"/>
    <row r="4263" ht="10.15" customHeight="1"/>
    <row r="4264" ht="10.15" customHeight="1"/>
    <row r="4265" ht="10.15" customHeight="1"/>
    <row r="4266" ht="10.15" customHeight="1"/>
    <row r="4267" ht="10.15" customHeight="1"/>
    <row r="4268" ht="10.15" customHeight="1"/>
    <row r="4269" ht="10.15" customHeight="1"/>
    <row r="4270" ht="10.15" customHeight="1"/>
    <row r="4271" ht="10.15" customHeight="1"/>
    <row r="4272" ht="10.15" customHeight="1"/>
    <row r="4273" ht="10.15" customHeight="1"/>
    <row r="4274" ht="10.15" customHeight="1"/>
    <row r="4275" ht="10.15" customHeight="1"/>
    <row r="4276" ht="10.15" customHeight="1"/>
    <row r="4277" ht="10.15" customHeight="1"/>
    <row r="4278" ht="10.15" customHeight="1"/>
    <row r="4279" ht="10.15" customHeight="1"/>
    <row r="4280" ht="10.15" customHeight="1"/>
    <row r="4281" ht="10.15" customHeight="1"/>
    <row r="4282" ht="10.15" customHeight="1"/>
    <row r="4283" ht="10.15" customHeight="1"/>
    <row r="4284" ht="10.15" customHeight="1"/>
    <row r="4285" ht="10.15" customHeight="1"/>
    <row r="4286" ht="10.15" customHeight="1"/>
    <row r="4287" ht="10.15" customHeight="1"/>
    <row r="4288" ht="10.15" customHeight="1"/>
    <row r="4289" ht="10.15" customHeight="1"/>
    <row r="4290" ht="10.15" customHeight="1"/>
    <row r="4291" ht="10.15" customHeight="1"/>
    <row r="4292" ht="10.15" customHeight="1"/>
    <row r="4293" ht="10.15" customHeight="1"/>
    <row r="4294" ht="10.15" customHeight="1"/>
    <row r="4295" ht="10.15" customHeight="1"/>
    <row r="4296" ht="10.15" customHeight="1"/>
    <row r="4297" ht="10.15" customHeight="1"/>
    <row r="4298" ht="10.15" customHeight="1"/>
    <row r="4299" ht="10.15" customHeight="1"/>
    <row r="4300" ht="10.15" customHeight="1"/>
    <row r="4301" ht="10.15" customHeight="1"/>
    <row r="4302" ht="10.15" customHeight="1"/>
    <row r="4303" ht="10.15" customHeight="1"/>
    <row r="4304" ht="10.15" customHeight="1"/>
    <row r="4305" ht="10.15" customHeight="1"/>
    <row r="4306" ht="10.15" customHeight="1"/>
    <row r="4307" ht="10.15" customHeight="1"/>
    <row r="4308" ht="10.15" customHeight="1"/>
    <row r="4309" ht="10.15" customHeight="1"/>
    <row r="4310" ht="10.15" customHeight="1"/>
    <row r="4311" ht="10.15" customHeight="1"/>
    <row r="4312" ht="10.15" customHeight="1"/>
    <row r="4313" ht="10.15" customHeight="1"/>
    <row r="4314" ht="10.15" customHeight="1"/>
    <row r="4315" ht="10.15" customHeight="1"/>
    <row r="4316" ht="10.15" customHeight="1"/>
    <row r="4317" ht="10.15" customHeight="1"/>
    <row r="4318" ht="10.15" customHeight="1"/>
    <row r="4319" ht="10.15" customHeight="1"/>
    <row r="4320" ht="10.15" customHeight="1"/>
    <row r="4321" ht="10.15" customHeight="1"/>
    <row r="4322" ht="10.15" customHeight="1"/>
    <row r="4323" ht="10.15" customHeight="1"/>
    <row r="4324" ht="10.15" customHeight="1"/>
    <row r="4325" ht="10.15" customHeight="1"/>
    <row r="4326" ht="10.15" customHeight="1"/>
    <row r="4327" ht="10.15" customHeight="1"/>
    <row r="4328" ht="10.15" customHeight="1"/>
    <row r="4329" ht="10.15" customHeight="1"/>
    <row r="4330" ht="10.15" customHeight="1"/>
    <row r="4331" ht="10.15" customHeight="1"/>
    <row r="4332" ht="10.15" customHeight="1"/>
    <row r="4333" ht="10.15" customHeight="1"/>
    <row r="4334" ht="10.15" customHeight="1"/>
    <row r="4335" ht="10.15" customHeight="1"/>
    <row r="4336" ht="10.15" customHeight="1"/>
    <row r="4337" ht="10.15" customHeight="1"/>
    <row r="4338" ht="10.15" customHeight="1"/>
    <row r="4339" ht="10.15" customHeight="1"/>
    <row r="4340" ht="10.15" customHeight="1"/>
    <row r="4341" ht="10.15" customHeight="1"/>
    <row r="4342" ht="10.15" customHeight="1"/>
    <row r="4343" ht="10.15" customHeight="1"/>
    <row r="4344" ht="10.15" customHeight="1"/>
    <row r="4345" ht="10.15" customHeight="1"/>
    <row r="4346" ht="10.15" customHeight="1"/>
    <row r="4347" ht="10.15" customHeight="1"/>
    <row r="4348" ht="10.15" customHeight="1"/>
    <row r="4349" ht="10.15" customHeight="1"/>
    <row r="4350" ht="10.15" customHeight="1"/>
    <row r="4351" ht="10.15" customHeight="1"/>
    <row r="4352" ht="10.15" customHeight="1"/>
    <row r="4353" ht="10.15" customHeight="1"/>
    <row r="4354" ht="10.15" customHeight="1"/>
    <row r="4355" ht="10.15" customHeight="1"/>
    <row r="4356" ht="10.15" customHeight="1"/>
    <row r="4357" ht="10.15" customHeight="1"/>
    <row r="4358" ht="10.15" customHeight="1"/>
    <row r="4359" ht="10.15" customHeight="1"/>
    <row r="4360" ht="10.15" customHeight="1"/>
    <row r="4361" ht="10.15" customHeight="1"/>
    <row r="4362" ht="10.15" customHeight="1"/>
    <row r="4363" ht="10.15" customHeight="1"/>
    <row r="4364" ht="10.15" customHeight="1"/>
    <row r="4365" ht="10.15" customHeight="1"/>
    <row r="4366" ht="10.15" customHeight="1"/>
    <row r="4367" ht="10.15" customHeight="1"/>
    <row r="4368" ht="10.15" customHeight="1"/>
    <row r="4369" ht="10.15" customHeight="1"/>
    <row r="4370" ht="10.15" customHeight="1"/>
    <row r="4371" ht="10.15" customHeight="1"/>
    <row r="4372" ht="10.15" customHeight="1"/>
    <row r="4373" ht="10.15" customHeight="1"/>
    <row r="4374" ht="10.15" customHeight="1"/>
    <row r="4375" ht="10.15" customHeight="1"/>
    <row r="4376" ht="10.15" customHeight="1"/>
    <row r="4377" ht="10.15" customHeight="1"/>
    <row r="4378" ht="10.15" customHeight="1"/>
    <row r="4379" ht="10.15" customHeight="1"/>
    <row r="4380" ht="10.15" customHeight="1"/>
    <row r="4381" ht="10.15" customHeight="1"/>
    <row r="4382" ht="10.15" customHeight="1"/>
    <row r="4383" ht="10.15" customHeight="1"/>
    <row r="4384" ht="10.15" customHeight="1"/>
    <row r="4385" ht="10.15" customHeight="1"/>
    <row r="4386" ht="10.15" customHeight="1"/>
    <row r="4387" ht="10.15" customHeight="1"/>
    <row r="4388" ht="10.15" customHeight="1"/>
    <row r="4389" ht="10.15" customHeight="1"/>
    <row r="4390" ht="10.15" customHeight="1"/>
    <row r="4391" ht="10.15" customHeight="1"/>
    <row r="4392" ht="10.15" customHeight="1"/>
    <row r="4393" ht="10.15" customHeight="1"/>
    <row r="4394" ht="10.15" customHeight="1"/>
    <row r="4395" ht="10.15" customHeight="1"/>
    <row r="4396" ht="10.15" customHeight="1"/>
    <row r="4397" ht="10.15" customHeight="1"/>
    <row r="4398" ht="10.15" customHeight="1"/>
    <row r="4399" ht="10.15" customHeight="1"/>
    <row r="4400" ht="10.15" customHeight="1"/>
    <row r="4401" ht="10.15" customHeight="1"/>
    <row r="4402" ht="10.15" customHeight="1"/>
    <row r="4403" ht="10.15" customHeight="1"/>
    <row r="4404" ht="10.15" customHeight="1"/>
    <row r="4405" ht="10.15" customHeight="1"/>
    <row r="4406" ht="10.15" customHeight="1"/>
    <row r="4407" ht="10.15" customHeight="1"/>
    <row r="4408" ht="10.15" customHeight="1"/>
    <row r="4409" ht="10.15" customHeight="1"/>
    <row r="4410" ht="10.15" customHeight="1"/>
    <row r="4411" ht="10.15" customHeight="1"/>
    <row r="4412" ht="10.15" customHeight="1"/>
    <row r="4413" ht="10.15" customHeight="1"/>
    <row r="4414" ht="10.15" customHeight="1"/>
    <row r="4415" ht="10.15" customHeight="1"/>
    <row r="4416" ht="10.15" customHeight="1"/>
    <row r="4417" ht="10.15" customHeight="1"/>
    <row r="4418" ht="10.15" customHeight="1"/>
    <row r="4419" ht="10.15" customHeight="1"/>
    <row r="4420" ht="10.15" customHeight="1"/>
    <row r="4421" ht="10.15" customHeight="1"/>
    <row r="4422" ht="10.15" customHeight="1"/>
    <row r="4423" ht="10.15" customHeight="1"/>
    <row r="4424" ht="10.15" customHeight="1"/>
    <row r="4425" ht="10.15" customHeight="1"/>
    <row r="4426" ht="10.15" customHeight="1"/>
    <row r="4427" ht="10.15" customHeight="1"/>
    <row r="4428" ht="10.15" customHeight="1"/>
    <row r="4429" ht="10.15" customHeight="1"/>
    <row r="4430" ht="10.15" customHeight="1"/>
    <row r="4431" ht="10.15" customHeight="1"/>
    <row r="4432" ht="10.15" customHeight="1"/>
    <row r="4433" ht="10.15" customHeight="1"/>
    <row r="4434" ht="10.15" customHeight="1"/>
    <row r="4435" ht="10.15" customHeight="1"/>
    <row r="4436" ht="10.15" customHeight="1"/>
    <row r="4437" ht="10.15" customHeight="1"/>
    <row r="4438" ht="10.15" customHeight="1"/>
    <row r="4439" ht="10.15" customHeight="1"/>
    <row r="4440" ht="10.15" customHeight="1"/>
    <row r="4441" ht="10.15" customHeight="1"/>
    <row r="4442" ht="10.15" customHeight="1"/>
    <row r="4443" ht="10.15" customHeight="1"/>
    <row r="4444" ht="10.15" customHeight="1"/>
    <row r="4445" ht="10.15" customHeight="1"/>
    <row r="4446" ht="10.15" customHeight="1"/>
    <row r="4447" ht="10.15" customHeight="1"/>
    <row r="4448" ht="10.15" customHeight="1"/>
    <row r="4449" ht="10.15" customHeight="1"/>
    <row r="4450" ht="10.15" customHeight="1"/>
    <row r="4451" ht="10.15" customHeight="1"/>
    <row r="4452" ht="10.15" customHeight="1"/>
    <row r="4453" ht="10.15" customHeight="1"/>
    <row r="4454" ht="10.15" customHeight="1"/>
    <row r="4455" ht="10.15" customHeight="1"/>
    <row r="4456" ht="10.15" customHeight="1"/>
    <row r="4457" ht="10.15" customHeight="1"/>
    <row r="4458" ht="10.15" customHeight="1"/>
    <row r="4459" ht="10.15" customHeight="1"/>
    <row r="4460" ht="10.15" customHeight="1"/>
    <row r="4461" ht="10.15" customHeight="1"/>
    <row r="4462" ht="10.15" customHeight="1"/>
    <row r="4463" ht="10.15" customHeight="1"/>
    <row r="4464" ht="10.15" customHeight="1"/>
    <row r="4465" ht="10.15" customHeight="1"/>
    <row r="4466" ht="10.15" customHeight="1"/>
    <row r="4467" ht="10.15" customHeight="1"/>
    <row r="4468" ht="10.15" customHeight="1"/>
    <row r="4469" ht="10.15" customHeight="1"/>
    <row r="4470" ht="10.15" customHeight="1"/>
    <row r="4471" ht="10.15" customHeight="1"/>
    <row r="4472" ht="10.15" customHeight="1"/>
    <row r="4473" ht="10.15" customHeight="1"/>
    <row r="4474" ht="10.15" customHeight="1"/>
    <row r="4475" ht="10.15" customHeight="1"/>
    <row r="4476" ht="10.15" customHeight="1"/>
    <row r="4477" ht="10.15" customHeight="1"/>
    <row r="4478" ht="10.15" customHeight="1"/>
    <row r="4479" ht="10.15" customHeight="1"/>
    <row r="4480" ht="10.15" customHeight="1"/>
    <row r="4481" ht="10.15" customHeight="1"/>
    <row r="4482" ht="10.15" customHeight="1"/>
    <row r="4483" ht="10.15" customHeight="1"/>
    <row r="4484" ht="10.15" customHeight="1"/>
    <row r="4485" ht="10.15" customHeight="1"/>
    <row r="4486" ht="10.15" customHeight="1"/>
    <row r="4487" ht="10.15" customHeight="1"/>
    <row r="4488" ht="10.15" customHeight="1"/>
    <row r="4489" ht="10.15" customHeight="1"/>
    <row r="4490" ht="10.15" customHeight="1"/>
    <row r="4491" ht="10.15" customHeight="1"/>
    <row r="4492" ht="10.15" customHeight="1"/>
    <row r="4493" ht="10.15" customHeight="1"/>
    <row r="4494" ht="10.15" customHeight="1"/>
    <row r="4495" ht="10.15" customHeight="1"/>
    <row r="4496" ht="10.15" customHeight="1"/>
    <row r="4497" ht="10.15" customHeight="1"/>
    <row r="4498" ht="10.15" customHeight="1"/>
    <row r="4499" ht="10.15" customHeight="1"/>
    <row r="4500" ht="10.15" customHeight="1"/>
    <row r="4501" ht="10.15" customHeight="1"/>
    <row r="4502" ht="10.15" customHeight="1"/>
    <row r="4503" ht="10.15" customHeight="1"/>
    <row r="4504" ht="10.15" customHeight="1"/>
    <row r="4505" ht="10.15" customHeight="1"/>
    <row r="4506" ht="10.15" customHeight="1"/>
    <row r="4507" ht="10.15" customHeight="1"/>
    <row r="4508" ht="10.15" customHeight="1"/>
    <row r="4509" ht="10.15" customHeight="1"/>
    <row r="4510" ht="10.15" customHeight="1"/>
    <row r="4511" ht="10.15" customHeight="1"/>
    <row r="4512" ht="10.15" customHeight="1"/>
    <row r="4513" ht="10.15" customHeight="1"/>
    <row r="4514" ht="10.15" customHeight="1"/>
    <row r="4515" ht="10.15" customHeight="1"/>
    <row r="4516" ht="10.15" customHeight="1"/>
    <row r="4517" ht="10.15" customHeight="1"/>
    <row r="4518" ht="10.15" customHeight="1"/>
    <row r="4519" ht="10.15" customHeight="1"/>
    <row r="4520" ht="10.15" customHeight="1"/>
    <row r="4521" ht="10.15" customHeight="1"/>
    <row r="4522" ht="10.15" customHeight="1"/>
    <row r="4523" ht="10.15" customHeight="1"/>
    <row r="4524" ht="10.15" customHeight="1"/>
    <row r="4525" ht="10.15" customHeight="1"/>
    <row r="4526" ht="10.15" customHeight="1"/>
    <row r="4527" ht="10.15" customHeight="1"/>
    <row r="4528" ht="10.15" customHeight="1"/>
    <row r="4529" ht="10.15" customHeight="1"/>
    <row r="4530" ht="10.15" customHeight="1"/>
    <row r="4531" ht="10.15" customHeight="1"/>
    <row r="4532" ht="10.15" customHeight="1"/>
    <row r="4533" ht="10.15" customHeight="1"/>
    <row r="4534" ht="10.15" customHeight="1"/>
    <row r="4535" ht="10.15" customHeight="1"/>
    <row r="4536" ht="10.15" customHeight="1"/>
    <row r="4537" ht="10.15" customHeight="1"/>
    <row r="4538" ht="10.15" customHeight="1"/>
    <row r="4539" ht="10.15" customHeight="1"/>
    <row r="4540" ht="10.15" customHeight="1"/>
    <row r="4541" ht="10.15" customHeight="1"/>
    <row r="4542" ht="10.15" customHeight="1"/>
    <row r="4543" ht="10.15" customHeight="1"/>
    <row r="4544" ht="10.15" customHeight="1"/>
    <row r="4545" ht="10.15" customHeight="1"/>
    <row r="4546" ht="10.15" customHeight="1"/>
    <row r="4547" ht="10.15" customHeight="1"/>
    <row r="4548" ht="10.15" customHeight="1"/>
    <row r="4549" ht="10.15" customHeight="1"/>
    <row r="4550" ht="10.15" customHeight="1"/>
    <row r="4551" ht="10.15" customHeight="1"/>
    <row r="4552" ht="10.15" customHeight="1"/>
    <row r="4553" ht="10.15" customHeight="1"/>
    <row r="4554" ht="10.15" customHeight="1"/>
    <row r="4555" ht="10.15" customHeight="1"/>
    <row r="4556" ht="10.15" customHeight="1"/>
    <row r="4557" ht="10.15" customHeight="1"/>
    <row r="4558" ht="10.15" customHeight="1"/>
    <row r="4559" ht="10.15" customHeight="1"/>
    <row r="4560" ht="10.15" customHeight="1"/>
    <row r="4561" ht="10.15" customHeight="1"/>
    <row r="4562" ht="10.15" customHeight="1"/>
    <row r="4563" ht="10.15" customHeight="1"/>
    <row r="4564" ht="10.15" customHeight="1"/>
    <row r="4565" ht="10.15" customHeight="1"/>
    <row r="4566" ht="10.15" customHeight="1"/>
    <row r="4567" ht="10.15" customHeight="1"/>
    <row r="4568" ht="10.15" customHeight="1"/>
    <row r="4569" ht="10.15" customHeight="1"/>
    <row r="4570" ht="10.15" customHeight="1"/>
    <row r="4571" ht="10.15" customHeight="1"/>
    <row r="4572" ht="10.15" customHeight="1"/>
    <row r="4573" ht="10.15" customHeight="1"/>
    <row r="4574" ht="10.15" customHeight="1"/>
    <row r="4575" ht="10.15" customHeight="1"/>
    <row r="4576" ht="10.15" customHeight="1"/>
    <row r="4577" ht="10.15" customHeight="1"/>
    <row r="4578" ht="10.15" customHeight="1"/>
    <row r="4579" ht="10.15" customHeight="1"/>
    <row r="4580" ht="10.15" customHeight="1"/>
    <row r="4581" ht="10.15" customHeight="1"/>
    <row r="4582" ht="10.15" customHeight="1"/>
    <row r="4583" ht="10.15" customHeight="1"/>
    <row r="4584" ht="10.15" customHeight="1"/>
    <row r="4585" ht="10.15" customHeight="1"/>
    <row r="4586" ht="10.15" customHeight="1"/>
    <row r="4587" ht="10.15" customHeight="1"/>
    <row r="4588" ht="10.15" customHeight="1"/>
    <row r="4589" ht="10.15" customHeight="1"/>
    <row r="4590" ht="10.15" customHeight="1"/>
    <row r="4591" ht="10.15" customHeight="1"/>
    <row r="4592" ht="10.15" customHeight="1"/>
    <row r="4593" ht="10.15" customHeight="1"/>
    <row r="4594" ht="10.15" customHeight="1"/>
    <row r="4595" ht="10.15" customHeight="1"/>
    <row r="4596" ht="10.15" customHeight="1"/>
    <row r="4597" ht="10.15" customHeight="1"/>
    <row r="4598" ht="10.15" customHeight="1"/>
    <row r="4599" ht="10.15" customHeight="1"/>
    <row r="4600" ht="10.15" customHeight="1"/>
    <row r="4601" ht="10.15" customHeight="1"/>
    <row r="4602" ht="10.15" customHeight="1"/>
    <row r="4603" ht="10.15" customHeight="1"/>
    <row r="4604" ht="10.15" customHeight="1"/>
    <row r="4605" ht="10.15" customHeight="1"/>
    <row r="4606" ht="10.15" customHeight="1"/>
    <row r="4607" ht="10.15" customHeight="1"/>
    <row r="4608" ht="10.15" customHeight="1"/>
    <row r="4609" ht="10.15" customHeight="1"/>
    <row r="4610" ht="10.15" customHeight="1"/>
    <row r="4611" ht="10.15" customHeight="1"/>
    <row r="4612" ht="10.15" customHeight="1"/>
    <row r="4613" ht="10.15" customHeight="1"/>
    <row r="4614" ht="10.15" customHeight="1"/>
    <row r="4615" ht="10.15" customHeight="1"/>
    <row r="4616" ht="10.15" customHeight="1"/>
    <row r="4617" ht="10.15" customHeight="1"/>
    <row r="4618" ht="10.15" customHeight="1"/>
    <row r="4619" ht="10.15" customHeight="1"/>
    <row r="4620" ht="10.15" customHeight="1"/>
    <row r="4621" ht="10.15" customHeight="1"/>
    <row r="4622" ht="10.15" customHeight="1"/>
    <row r="4623" ht="10.15" customHeight="1"/>
    <row r="4624" ht="10.15" customHeight="1"/>
    <row r="4625" ht="10.15" customHeight="1"/>
    <row r="4626" ht="10.15" customHeight="1"/>
    <row r="4627" ht="10.15" customHeight="1"/>
    <row r="4628" ht="10.15" customHeight="1"/>
    <row r="4629" ht="10.15" customHeight="1"/>
    <row r="4630" ht="10.15" customHeight="1"/>
    <row r="4631" ht="10.15" customHeight="1"/>
    <row r="4632" ht="10.15" customHeight="1"/>
    <row r="4633" ht="10.15" customHeight="1"/>
    <row r="4634" ht="10.15" customHeight="1"/>
    <row r="4635" ht="10.15" customHeight="1"/>
    <row r="4636" ht="10.15" customHeight="1"/>
    <row r="4637" ht="10.15" customHeight="1"/>
    <row r="4638" ht="10.15" customHeight="1"/>
    <row r="4639" ht="10.15" customHeight="1"/>
    <row r="4640" ht="10.15" customHeight="1"/>
    <row r="4641" ht="10.15" customHeight="1"/>
    <row r="4642" ht="10.15" customHeight="1"/>
    <row r="4643" ht="10.15" customHeight="1"/>
    <row r="4644" ht="10.15" customHeight="1"/>
    <row r="4645" ht="10.15" customHeight="1"/>
    <row r="4646" ht="10.15" customHeight="1"/>
    <row r="4647" ht="10.15" customHeight="1"/>
    <row r="4648" ht="10.15" customHeight="1"/>
    <row r="4649" ht="10.15" customHeight="1"/>
    <row r="4650" ht="10.15" customHeight="1"/>
    <row r="4651" ht="10.15" customHeight="1"/>
    <row r="4652" ht="10.15" customHeight="1"/>
    <row r="4653" ht="10.15" customHeight="1"/>
    <row r="4654" ht="10.15" customHeight="1"/>
    <row r="4655" ht="10.15" customHeight="1"/>
    <row r="4656" ht="10.15" customHeight="1"/>
    <row r="4657" ht="10.15" customHeight="1"/>
    <row r="4658" ht="10.15" customHeight="1"/>
    <row r="4659" ht="10.15" customHeight="1"/>
    <row r="4660" ht="10.15" customHeight="1"/>
    <row r="4661" ht="10.15" customHeight="1"/>
    <row r="4662" ht="10.15" customHeight="1"/>
    <row r="4663" ht="10.15" customHeight="1"/>
    <row r="4664" ht="10.15" customHeight="1"/>
    <row r="4665" ht="10.15" customHeight="1"/>
    <row r="4666" ht="10.15" customHeight="1"/>
    <row r="4667" ht="10.15" customHeight="1"/>
    <row r="4668" ht="10.15" customHeight="1"/>
    <row r="4669" ht="10.15" customHeight="1"/>
    <row r="4670" ht="10.15" customHeight="1"/>
    <row r="4671" ht="10.15" customHeight="1"/>
    <row r="4672" ht="10.15" customHeight="1"/>
  </sheetData>
  <mergeCells count="2">
    <mergeCell ref="A3:S3"/>
    <mergeCell ref="A4:S4"/>
  </mergeCells>
  <pageMargins left="0.7" right="0.7" top="0.75" bottom="0.75" header="0.3" footer="0.3"/>
  <pageSetup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09"/>
  <sheetViews>
    <sheetView workbookViewId="0">
      <selection activeCell="SS10" sqref="SS10"/>
    </sheetView>
  </sheetViews>
  <sheetFormatPr defaultRowHeight="14.5"/>
  <cols>
    <col min="1" max="1" width="9.453125" bestFit="1" customWidth="1"/>
    <col min="2" max="2" width="15.26953125" bestFit="1" customWidth="1"/>
    <col min="3" max="3" width="16.1796875" bestFit="1" customWidth="1"/>
    <col min="4" max="4" width="36.54296875" bestFit="1" customWidth="1"/>
    <col min="5" max="5" width="15.26953125" bestFit="1" customWidth="1"/>
    <col min="6" max="6" width="36.54296875" bestFit="1" customWidth="1"/>
    <col min="7" max="7" width="33.54296875" bestFit="1" customWidth="1"/>
    <col min="8" max="8" width="19.1796875" bestFit="1" customWidth="1"/>
    <col min="9" max="9" width="15.453125" customWidth="1"/>
    <col min="10" max="10" width="19.54296875" customWidth="1"/>
    <col min="11" max="11" width="24.26953125" bestFit="1" customWidth="1"/>
    <col min="12" max="12" width="31.453125" bestFit="1" customWidth="1"/>
    <col min="13" max="13" width="36.54296875" bestFit="1" customWidth="1"/>
    <col min="14" max="14" width="9.453125" bestFit="1" customWidth="1"/>
    <col min="15" max="15" width="9.26953125" bestFit="1" customWidth="1"/>
    <col min="17" max="17" width="12.453125" customWidth="1"/>
    <col min="18" max="18" width="12.1796875" customWidth="1"/>
    <col min="19" max="19" width="14" customWidth="1"/>
  </cols>
  <sheetData>
    <row r="1" spans="1:20">
      <c r="A1" t="s">
        <v>1521</v>
      </c>
    </row>
    <row r="2" spans="1:20" ht="15" thickBot="1">
      <c r="A2" s="125">
        <v>42943</v>
      </c>
    </row>
    <row r="3" spans="1:20" ht="18" customHeight="1" thickBot="1">
      <c r="C3" s="643" t="s">
        <v>95</v>
      </c>
      <c r="D3" s="643" t="s">
        <v>482</v>
      </c>
      <c r="E3" s="643" t="s">
        <v>483</v>
      </c>
      <c r="F3" s="643" t="s">
        <v>484</v>
      </c>
      <c r="G3" s="643" t="s">
        <v>485</v>
      </c>
      <c r="H3" s="643" t="s">
        <v>486</v>
      </c>
      <c r="I3" s="643" t="s">
        <v>487</v>
      </c>
      <c r="J3" s="643" t="s">
        <v>488</v>
      </c>
      <c r="K3" s="643" t="s">
        <v>489</v>
      </c>
      <c r="L3" s="643" t="s">
        <v>490</v>
      </c>
      <c r="M3" s="643" t="s">
        <v>491</v>
      </c>
      <c r="N3" s="643" t="s">
        <v>492</v>
      </c>
      <c r="O3" s="643" t="s">
        <v>493</v>
      </c>
      <c r="Q3" t="s">
        <v>95</v>
      </c>
      <c r="R3" s="649" t="s">
        <v>1575</v>
      </c>
      <c r="S3" s="649" t="s">
        <v>1347</v>
      </c>
      <c r="T3" s="649" t="s">
        <v>1576</v>
      </c>
    </row>
    <row r="4" spans="1:20" ht="16" customHeight="1" thickBot="1">
      <c r="A4" s="126"/>
      <c r="B4" s="644"/>
      <c r="C4" s="645">
        <v>1</v>
      </c>
      <c r="D4" s="645" t="s">
        <v>303</v>
      </c>
      <c r="E4" s="645">
        <v>2</v>
      </c>
      <c r="F4" s="645" t="s">
        <v>494</v>
      </c>
      <c r="G4" s="645" t="s">
        <v>495</v>
      </c>
      <c r="H4" s="645">
        <v>332</v>
      </c>
      <c r="I4" s="645">
        <v>798</v>
      </c>
      <c r="J4" s="645">
        <v>0.41599999999999998</v>
      </c>
      <c r="K4" s="645" t="s">
        <v>496</v>
      </c>
      <c r="L4" s="645" t="s">
        <v>497</v>
      </c>
      <c r="M4" s="645" t="s">
        <v>498</v>
      </c>
      <c r="N4" s="646">
        <v>0</v>
      </c>
      <c r="O4" s="646">
        <v>0</v>
      </c>
      <c r="Q4">
        <v>1</v>
      </c>
      <c r="R4">
        <f>SUMIF($C:$C, $Q4, H:H)</f>
        <v>7233</v>
      </c>
      <c r="S4">
        <f>SUMIF($C:$C, $Q4, I:I)</f>
        <v>24391</v>
      </c>
      <c r="T4" s="305">
        <f>R4/S4</f>
        <v>0.29654380714197859</v>
      </c>
    </row>
    <row r="5" spans="1:20" ht="16" customHeight="1" thickBot="1">
      <c r="A5" s="126"/>
      <c r="B5" s="644"/>
      <c r="C5" s="645">
        <v>1</v>
      </c>
      <c r="D5" s="645" t="s">
        <v>303</v>
      </c>
      <c r="E5" s="645">
        <v>3</v>
      </c>
      <c r="F5" s="645" t="s">
        <v>499</v>
      </c>
      <c r="G5" s="645" t="s">
        <v>495</v>
      </c>
      <c r="H5" s="645">
        <v>209</v>
      </c>
      <c r="I5" s="645">
        <v>594</v>
      </c>
      <c r="J5" s="645">
        <v>0.35199999999999998</v>
      </c>
      <c r="K5" s="645" t="s">
        <v>496</v>
      </c>
      <c r="L5" s="645" t="s">
        <v>497</v>
      </c>
      <c r="M5" s="645" t="s">
        <v>498</v>
      </c>
      <c r="N5" s="646">
        <v>0</v>
      </c>
      <c r="O5" s="646">
        <v>0</v>
      </c>
      <c r="Q5">
        <v>2</v>
      </c>
      <c r="R5">
        <f t="shared" ref="R5:R68" si="0">SUMIF($C:$C, $Q5, H:H)</f>
        <v>10468</v>
      </c>
      <c r="S5">
        <f t="shared" ref="S5:S68" si="1">SUMIF($C:$C, $Q5, I:I)</f>
        <v>37056</v>
      </c>
      <c r="T5" s="305">
        <f t="shared" ref="T5:T68" si="2">R5/S5</f>
        <v>0.28249136442141626</v>
      </c>
    </row>
    <row r="6" spans="1:20" ht="16" customHeight="1" thickBot="1">
      <c r="A6" s="126"/>
      <c r="B6" s="644"/>
      <c r="C6" s="645">
        <v>1</v>
      </c>
      <c r="D6" s="645" t="s">
        <v>303</v>
      </c>
      <c r="E6" s="645">
        <v>4</v>
      </c>
      <c r="F6" s="645" t="s">
        <v>500</v>
      </c>
      <c r="G6" s="645" t="s">
        <v>495</v>
      </c>
      <c r="H6" s="645">
        <v>129</v>
      </c>
      <c r="I6" s="645">
        <v>882</v>
      </c>
      <c r="J6" s="645">
        <v>0.14599999999999999</v>
      </c>
      <c r="K6" s="645" t="s">
        <v>501</v>
      </c>
      <c r="L6" s="645" t="s">
        <v>497</v>
      </c>
      <c r="M6" s="645" t="s">
        <v>498</v>
      </c>
      <c r="N6" s="646">
        <v>0</v>
      </c>
      <c r="O6" s="646">
        <v>0</v>
      </c>
      <c r="Q6">
        <v>3</v>
      </c>
      <c r="R6">
        <f t="shared" si="0"/>
        <v>1865</v>
      </c>
      <c r="S6">
        <f t="shared" si="1"/>
        <v>4662</v>
      </c>
      <c r="T6" s="305">
        <f t="shared" si="2"/>
        <v>0.40004290004290005</v>
      </c>
    </row>
    <row r="7" spans="1:20" ht="16" customHeight="1" thickBot="1">
      <c r="A7" s="126"/>
      <c r="B7" s="644"/>
      <c r="C7" s="645">
        <v>1</v>
      </c>
      <c r="D7" s="645" t="s">
        <v>303</v>
      </c>
      <c r="E7" s="645">
        <v>5</v>
      </c>
      <c r="F7" s="645" t="s">
        <v>502</v>
      </c>
      <c r="G7" s="645" t="s">
        <v>495</v>
      </c>
      <c r="H7" s="645">
        <v>292</v>
      </c>
      <c r="I7" s="645">
        <v>607</v>
      </c>
      <c r="J7" s="645">
        <v>0.48099999999999998</v>
      </c>
      <c r="K7" s="645" t="s">
        <v>496</v>
      </c>
      <c r="L7" s="645" t="s">
        <v>624</v>
      </c>
      <c r="M7" s="645" t="s">
        <v>498</v>
      </c>
      <c r="N7" s="646">
        <v>197100</v>
      </c>
      <c r="O7" s="646">
        <v>675</v>
      </c>
      <c r="Q7">
        <v>11</v>
      </c>
      <c r="R7">
        <f t="shared" si="0"/>
        <v>95</v>
      </c>
      <c r="S7">
        <f t="shared" si="1"/>
        <v>151</v>
      </c>
      <c r="T7" s="305">
        <f t="shared" si="2"/>
        <v>0.62913907284768211</v>
      </c>
    </row>
    <row r="8" spans="1:20" ht="16" customHeight="1" thickBot="1">
      <c r="A8" s="126"/>
      <c r="B8" s="644"/>
      <c r="C8" s="645">
        <v>1</v>
      </c>
      <c r="D8" s="645" t="s">
        <v>303</v>
      </c>
      <c r="E8" s="645">
        <v>7</v>
      </c>
      <c r="F8" s="645" t="s">
        <v>503</v>
      </c>
      <c r="G8" s="645" t="s">
        <v>504</v>
      </c>
      <c r="H8" s="645">
        <v>217</v>
      </c>
      <c r="I8" s="645">
        <v>1456</v>
      </c>
      <c r="J8" s="645">
        <v>0.14899999999999999</v>
      </c>
      <c r="K8" s="645" t="s">
        <v>501</v>
      </c>
      <c r="L8" s="645" t="s">
        <v>497</v>
      </c>
      <c r="M8" s="645" t="s">
        <v>505</v>
      </c>
      <c r="N8" s="646">
        <v>0</v>
      </c>
      <c r="O8" s="646">
        <v>0</v>
      </c>
      <c r="Q8">
        <v>13</v>
      </c>
      <c r="R8">
        <f t="shared" si="0"/>
        <v>128</v>
      </c>
      <c r="S8">
        <f t="shared" si="1"/>
        <v>235</v>
      </c>
      <c r="T8" s="305">
        <f t="shared" si="2"/>
        <v>0.5446808510638298</v>
      </c>
    </row>
    <row r="9" spans="1:20" ht="16" customHeight="1" thickBot="1">
      <c r="A9" s="126"/>
      <c r="B9" s="644"/>
      <c r="C9" s="645">
        <v>1</v>
      </c>
      <c r="D9" s="645" t="s">
        <v>303</v>
      </c>
      <c r="E9" s="645">
        <v>8</v>
      </c>
      <c r="F9" s="645" t="s">
        <v>506</v>
      </c>
      <c r="G9" s="645" t="s">
        <v>504</v>
      </c>
      <c r="H9" s="645">
        <v>462</v>
      </c>
      <c r="I9" s="645">
        <v>1551</v>
      </c>
      <c r="J9" s="645">
        <v>0.29799999999999999</v>
      </c>
      <c r="K9" s="645" t="s">
        <v>501</v>
      </c>
      <c r="L9" s="645" t="s">
        <v>497</v>
      </c>
      <c r="M9" s="645" t="s">
        <v>505</v>
      </c>
      <c r="N9" s="646">
        <v>0</v>
      </c>
      <c r="O9" s="646">
        <v>0</v>
      </c>
      <c r="Q9">
        <v>21</v>
      </c>
      <c r="R9">
        <f t="shared" si="0"/>
        <v>607</v>
      </c>
      <c r="S9">
        <f t="shared" si="1"/>
        <v>1256</v>
      </c>
      <c r="T9" s="305">
        <f t="shared" si="2"/>
        <v>0.48328025477707004</v>
      </c>
    </row>
    <row r="10" spans="1:20" ht="16" customHeight="1" thickBot="1">
      <c r="A10" s="126"/>
      <c r="B10" s="644"/>
      <c r="C10" s="645">
        <v>1</v>
      </c>
      <c r="D10" s="645" t="s">
        <v>303</v>
      </c>
      <c r="E10" s="645">
        <v>9</v>
      </c>
      <c r="F10" s="645" t="s">
        <v>507</v>
      </c>
      <c r="G10" s="645" t="s">
        <v>504</v>
      </c>
      <c r="H10" s="645">
        <v>319</v>
      </c>
      <c r="I10" s="645">
        <v>1316</v>
      </c>
      <c r="J10" s="645">
        <v>0.24199999999999999</v>
      </c>
      <c r="K10" s="645" t="s">
        <v>501</v>
      </c>
      <c r="L10" s="645" t="s">
        <v>497</v>
      </c>
      <c r="M10" s="645" t="s">
        <v>505</v>
      </c>
      <c r="N10" s="646">
        <v>0</v>
      </c>
      <c r="O10" s="646">
        <v>0</v>
      </c>
      <c r="Q10">
        <v>25</v>
      </c>
      <c r="R10">
        <f>SUMIF($C:$C, $Q10, H:H)</f>
        <v>6487</v>
      </c>
      <c r="S10">
        <f t="shared" si="1"/>
        <v>12769</v>
      </c>
      <c r="T10" s="305">
        <f t="shared" si="2"/>
        <v>0.50802725350458144</v>
      </c>
    </row>
    <row r="11" spans="1:20" ht="16" customHeight="1" thickBot="1">
      <c r="A11" s="126"/>
      <c r="B11" s="644"/>
      <c r="C11" s="645">
        <v>1</v>
      </c>
      <c r="D11" s="645" t="s">
        <v>303</v>
      </c>
      <c r="E11" s="645">
        <v>206</v>
      </c>
      <c r="F11" s="645" t="s">
        <v>508</v>
      </c>
      <c r="G11" s="645" t="s">
        <v>495</v>
      </c>
      <c r="H11" s="645">
        <v>111</v>
      </c>
      <c r="I11" s="645">
        <v>640</v>
      </c>
      <c r="J11" s="645">
        <v>0.17299999999999999</v>
      </c>
      <c r="K11" s="645" t="s">
        <v>501</v>
      </c>
      <c r="L11" s="645" t="s">
        <v>497</v>
      </c>
      <c r="M11" s="645" t="s">
        <v>509</v>
      </c>
      <c r="N11" s="646">
        <v>0</v>
      </c>
      <c r="O11" s="646">
        <v>0</v>
      </c>
      <c r="Q11">
        <v>33</v>
      </c>
      <c r="R11">
        <f t="shared" si="0"/>
        <v>501</v>
      </c>
      <c r="S11">
        <f t="shared" si="1"/>
        <v>1089</v>
      </c>
      <c r="T11" s="305">
        <f t="shared" si="2"/>
        <v>0.46005509641873277</v>
      </c>
    </row>
    <row r="12" spans="1:20" ht="16" customHeight="1" thickBot="1">
      <c r="A12" s="126"/>
      <c r="B12" s="644"/>
      <c r="C12" s="645">
        <v>1</v>
      </c>
      <c r="D12" s="645" t="s">
        <v>303</v>
      </c>
      <c r="E12" s="645">
        <v>242</v>
      </c>
      <c r="F12" s="645" t="s">
        <v>1522</v>
      </c>
      <c r="G12" s="645" t="s">
        <v>495</v>
      </c>
      <c r="H12" s="647" t="s">
        <v>1523</v>
      </c>
      <c r="I12" s="647" t="s">
        <v>1523</v>
      </c>
      <c r="J12" s="647" t="s">
        <v>1523</v>
      </c>
      <c r="K12" s="645" t="s">
        <v>496</v>
      </c>
      <c r="L12" s="645" t="s">
        <v>518</v>
      </c>
      <c r="M12" s="645" t="s">
        <v>498</v>
      </c>
      <c r="N12" s="646">
        <v>0</v>
      </c>
      <c r="O12" s="647" t="s">
        <v>1523</v>
      </c>
      <c r="Q12">
        <v>41</v>
      </c>
      <c r="R12">
        <f t="shared" si="0"/>
        <v>484</v>
      </c>
      <c r="S12">
        <f t="shared" si="1"/>
        <v>882</v>
      </c>
      <c r="T12" s="305">
        <f t="shared" si="2"/>
        <v>0.5487528344671202</v>
      </c>
    </row>
    <row r="13" spans="1:20" ht="16" customHeight="1" thickBot="1">
      <c r="A13" s="126"/>
      <c r="B13" s="644"/>
      <c r="C13" s="645">
        <v>1</v>
      </c>
      <c r="D13" s="645" t="s">
        <v>303</v>
      </c>
      <c r="E13" s="645">
        <v>243</v>
      </c>
      <c r="F13" s="645" t="s">
        <v>510</v>
      </c>
      <c r="G13" s="645" t="s">
        <v>504</v>
      </c>
      <c r="H13" s="645">
        <v>118</v>
      </c>
      <c r="I13" s="645">
        <v>1106</v>
      </c>
      <c r="J13" s="645">
        <v>0.107</v>
      </c>
      <c r="K13" s="645" t="s">
        <v>501</v>
      </c>
      <c r="L13" s="645" t="s">
        <v>497</v>
      </c>
      <c r="M13" s="645" t="s">
        <v>509</v>
      </c>
      <c r="N13" s="646">
        <v>0</v>
      </c>
      <c r="O13" s="646">
        <v>0</v>
      </c>
      <c r="Q13">
        <v>44</v>
      </c>
      <c r="R13">
        <f t="shared" si="0"/>
        <v>266</v>
      </c>
      <c r="S13">
        <f t="shared" si="1"/>
        <v>351</v>
      </c>
      <c r="T13" s="305">
        <f t="shared" si="2"/>
        <v>0.75783475783475784</v>
      </c>
    </row>
    <row r="14" spans="1:20" ht="16" customHeight="1" thickBot="1">
      <c r="A14" s="126"/>
      <c r="B14" s="644"/>
      <c r="C14" s="645">
        <v>1</v>
      </c>
      <c r="D14" s="645" t="s">
        <v>303</v>
      </c>
      <c r="E14" s="645">
        <v>287</v>
      </c>
      <c r="F14" s="645" t="s">
        <v>511</v>
      </c>
      <c r="G14" s="645" t="s">
        <v>512</v>
      </c>
      <c r="H14" s="645">
        <v>74</v>
      </c>
      <c r="I14" s="645">
        <v>672</v>
      </c>
      <c r="J14" s="645">
        <v>0.11</v>
      </c>
      <c r="K14" s="645" t="s">
        <v>501</v>
      </c>
      <c r="L14" s="645" t="s">
        <v>497</v>
      </c>
      <c r="M14" s="645" t="s">
        <v>509</v>
      </c>
      <c r="N14" s="646">
        <v>0</v>
      </c>
      <c r="O14" s="646">
        <v>0</v>
      </c>
      <c r="Q14">
        <v>52</v>
      </c>
      <c r="R14">
        <f t="shared" si="0"/>
        <v>759</v>
      </c>
      <c r="S14">
        <f t="shared" si="1"/>
        <v>1673</v>
      </c>
      <c r="T14" s="305">
        <f t="shared" si="2"/>
        <v>0.45367603108188881</v>
      </c>
    </row>
    <row r="15" spans="1:20" ht="16" customHeight="1" thickBot="1">
      <c r="A15" s="126"/>
      <c r="B15" s="644"/>
      <c r="C15" s="645">
        <v>1</v>
      </c>
      <c r="D15" s="645" t="s">
        <v>303</v>
      </c>
      <c r="E15" s="645">
        <v>288</v>
      </c>
      <c r="F15" s="645" t="s">
        <v>513</v>
      </c>
      <c r="G15" s="645" t="s">
        <v>512</v>
      </c>
      <c r="H15" s="645">
        <v>147</v>
      </c>
      <c r="I15" s="645">
        <v>618</v>
      </c>
      <c r="J15" s="645">
        <v>0.23799999999999999</v>
      </c>
      <c r="K15" s="645" t="s">
        <v>501</v>
      </c>
      <c r="L15" s="645" t="s">
        <v>497</v>
      </c>
      <c r="M15" s="645" t="s">
        <v>509</v>
      </c>
      <c r="N15" s="646">
        <v>0</v>
      </c>
      <c r="O15" s="646">
        <v>0</v>
      </c>
      <c r="Q15">
        <v>55</v>
      </c>
      <c r="R15">
        <f t="shared" si="0"/>
        <v>2338</v>
      </c>
      <c r="S15">
        <f t="shared" si="1"/>
        <v>4029</v>
      </c>
      <c r="T15" s="305">
        <f t="shared" si="2"/>
        <v>0.5802928766443286</v>
      </c>
    </row>
    <row r="16" spans="1:20" ht="16" customHeight="1" thickBot="1">
      <c r="A16" s="126"/>
      <c r="B16" s="644"/>
      <c r="C16" s="645">
        <v>1</v>
      </c>
      <c r="D16" s="645" t="s">
        <v>303</v>
      </c>
      <c r="E16" s="645">
        <v>300</v>
      </c>
      <c r="F16" s="645" t="s">
        <v>514</v>
      </c>
      <c r="G16" s="645" t="s">
        <v>512</v>
      </c>
      <c r="H16" s="645">
        <v>121</v>
      </c>
      <c r="I16" s="645">
        <v>614</v>
      </c>
      <c r="J16" s="645">
        <v>0.19700000000000001</v>
      </c>
      <c r="K16" s="645" t="s">
        <v>501</v>
      </c>
      <c r="L16" s="645" t="s">
        <v>497</v>
      </c>
      <c r="M16" s="645" t="s">
        <v>509</v>
      </c>
      <c r="N16" s="646">
        <v>0</v>
      </c>
      <c r="O16" s="646">
        <v>0</v>
      </c>
      <c r="Q16">
        <v>58</v>
      </c>
      <c r="R16">
        <f t="shared" si="0"/>
        <v>535</v>
      </c>
      <c r="S16">
        <f t="shared" si="1"/>
        <v>801</v>
      </c>
      <c r="T16" s="305">
        <f t="shared" si="2"/>
        <v>0.66791510611735327</v>
      </c>
    </row>
    <row r="17" spans="1:20" ht="16" customHeight="1" thickBot="1">
      <c r="A17" s="126"/>
      <c r="B17" s="644"/>
      <c r="C17" s="645">
        <v>1</v>
      </c>
      <c r="D17" s="645" t="s">
        <v>303</v>
      </c>
      <c r="E17" s="645">
        <v>301</v>
      </c>
      <c r="F17" s="645" t="s">
        <v>515</v>
      </c>
      <c r="G17" s="645" t="s">
        <v>512</v>
      </c>
      <c r="H17" s="645">
        <v>98</v>
      </c>
      <c r="I17" s="645">
        <v>518</v>
      </c>
      <c r="J17" s="645">
        <v>0.189</v>
      </c>
      <c r="K17" s="645" t="s">
        <v>501</v>
      </c>
      <c r="L17" s="645" t="s">
        <v>497</v>
      </c>
      <c r="M17" s="645" t="s">
        <v>498</v>
      </c>
      <c r="N17" s="646">
        <v>0</v>
      </c>
      <c r="O17" s="646">
        <v>0</v>
      </c>
      <c r="Q17">
        <v>59</v>
      </c>
      <c r="R17">
        <f t="shared" si="0"/>
        <v>423</v>
      </c>
      <c r="S17">
        <f t="shared" si="1"/>
        <v>758</v>
      </c>
      <c r="T17" s="305">
        <f t="shared" si="2"/>
        <v>0.55804749340369397</v>
      </c>
    </row>
    <row r="18" spans="1:20" ht="16" customHeight="1" thickBot="1">
      <c r="A18" s="126"/>
      <c r="B18" s="644"/>
      <c r="C18" s="645">
        <v>1</v>
      </c>
      <c r="D18" s="645" t="s">
        <v>303</v>
      </c>
      <c r="E18" s="645">
        <v>302</v>
      </c>
      <c r="F18" s="645" t="s">
        <v>516</v>
      </c>
      <c r="G18" s="645" t="s">
        <v>512</v>
      </c>
      <c r="H18" s="645">
        <v>20</v>
      </c>
      <c r="I18" s="645">
        <v>355</v>
      </c>
      <c r="J18" s="645">
        <v>5.6000000000000001E-2</v>
      </c>
      <c r="K18" s="645" t="s">
        <v>501</v>
      </c>
      <c r="L18" s="645" t="s">
        <v>497</v>
      </c>
      <c r="M18" s="645" t="s">
        <v>509</v>
      </c>
      <c r="N18" s="646">
        <v>0</v>
      </c>
      <c r="O18" s="646">
        <v>0</v>
      </c>
      <c r="Q18">
        <v>60</v>
      </c>
      <c r="R18">
        <f t="shared" si="0"/>
        <v>977</v>
      </c>
      <c r="S18">
        <f t="shared" si="1"/>
        <v>2171</v>
      </c>
      <c r="T18" s="305">
        <f t="shared" si="2"/>
        <v>0.4500230308613542</v>
      </c>
    </row>
    <row r="19" spans="1:20" ht="16" customHeight="1" thickBot="1">
      <c r="A19" s="126"/>
      <c r="B19" s="644"/>
      <c r="C19" s="645">
        <v>1</v>
      </c>
      <c r="D19" s="645" t="s">
        <v>303</v>
      </c>
      <c r="E19" s="645">
        <v>303</v>
      </c>
      <c r="F19" s="645" t="s">
        <v>517</v>
      </c>
      <c r="G19" s="645" t="s">
        <v>512</v>
      </c>
      <c r="H19" s="645">
        <v>236</v>
      </c>
      <c r="I19" s="645">
        <v>401</v>
      </c>
      <c r="J19" s="645">
        <v>0.58899999999999997</v>
      </c>
      <c r="K19" s="645" t="s">
        <v>496</v>
      </c>
      <c r="L19" s="645" t="s">
        <v>518</v>
      </c>
      <c r="M19" s="645" t="s">
        <v>498</v>
      </c>
      <c r="N19" s="646">
        <v>159300</v>
      </c>
      <c r="O19" s="646">
        <v>675</v>
      </c>
      <c r="Q19">
        <v>61</v>
      </c>
      <c r="R19">
        <f t="shared" si="0"/>
        <v>1298</v>
      </c>
      <c r="S19">
        <f t="shared" si="1"/>
        <v>3177</v>
      </c>
      <c r="T19" s="305">
        <f t="shared" si="2"/>
        <v>0.40856153604028961</v>
      </c>
    </row>
    <row r="20" spans="1:20" ht="16" customHeight="1" thickBot="1">
      <c r="A20" s="126"/>
      <c r="B20" s="644"/>
      <c r="C20" s="645">
        <v>1</v>
      </c>
      <c r="D20" s="645" t="s">
        <v>303</v>
      </c>
      <c r="E20" s="645">
        <v>305</v>
      </c>
      <c r="F20" s="645" t="s">
        <v>519</v>
      </c>
      <c r="G20" s="645" t="s">
        <v>512</v>
      </c>
      <c r="H20" s="645">
        <v>37</v>
      </c>
      <c r="I20" s="645">
        <v>343</v>
      </c>
      <c r="J20" s="645">
        <v>0.108</v>
      </c>
      <c r="K20" s="645" t="s">
        <v>501</v>
      </c>
      <c r="L20" s="645" t="s">
        <v>497</v>
      </c>
      <c r="M20" s="645" t="s">
        <v>509</v>
      </c>
      <c r="N20" s="646">
        <v>0</v>
      </c>
      <c r="O20" s="646">
        <v>0</v>
      </c>
      <c r="Q20">
        <v>71</v>
      </c>
      <c r="R20">
        <f t="shared" si="0"/>
        <v>118</v>
      </c>
      <c r="S20">
        <f t="shared" si="1"/>
        <v>205</v>
      </c>
      <c r="T20" s="305">
        <f t="shared" si="2"/>
        <v>0.57560975609756093</v>
      </c>
    </row>
    <row r="21" spans="1:20" ht="16" customHeight="1" thickBot="1">
      <c r="A21" s="126"/>
      <c r="B21" s="644"/>
      <c r="C21" s="645">
        <v>1</v>
      </c>
      <c r="D21" s="645" t="s">
        <v>303</v>
      </c>
      <c r="E21" s="645">
        <v>306</v>
      </c>
      <c r="F21" s="645" t="s">
        <v>520</v>
      </c>
      <c r="G21" s="645" t="s">
        <v>512</v>
      </c>
      <c r="H21" s="645">
        <v>283</v>
      </c>
      <c r="I21" s="645">
        <v>549</v>
      </c>
      <c r="J21" s="645">
        <v>0.51500000000000001</v>
      </c>
      <c r="K21" s="645" t="s">
        <v>496</v>
      </c>
      <c r="L21" s="645" t="s">
        <v>518</v>
      </c>
      <c r="M21" s="645" t="s">
        <v>521</v>
      </c>
      <c r="N21" s="646">
        <v>191025</v>
      </c>
      <c r="O21" s="646">
        <v>675</v>
      </c>
      <c r="Q21">
        <v>72</v>
      </c>
      <c r="R21">
        <f t="shared" si="0"/>
        <v>165</v>
      </c>
      <c r="S21">
        <f t="shared" si="1"/>
        <v>357</v>
      </c>
      <c r="T21" s="305">
        <f t="shared" si="2"/>
        <v>0.46218487394957986</v>
      </c>
    </row>
    <row r="22" spans="1:20" ht="16" customHeight="1" thickBot="1">
      <c r="A22" s="126"/>
      <c r="B22" s="644"/>
      <c r="C22" s="645">
        <v>1</v>
      </c>
      <c r="D22" s="645" t="s">
        <v>303</v>
      </c>
      <c r="E22" s="645">
        <v>307</v>
      </c>
      <c r="F22" s="645" t="s">
        <v>522</v>
      </c>
      <c r="G22" s="645" t="s">
        <v>512</v>
      </c>
      <c r="H22" s="645">
        <v>216</v>
      </c>
      <c r="I22" s="645">
        <v>361</v>
      </c>
      <c r="J22" s="645">
        <v>0.59799999999999998</v>
      </c>
      <c r="K22" s="645" t="s">
        <v>496</v>
      </c>
      <c r="L22" s="645" t="s">
        <v>518</v>
      </c>
      <c r="M22" s="645" t="s">
        <v>498</v>
      </c>
      <c r="N22" s="646">
        <v>145800</v>
      </c>
      <c r="O22" s="646">
        <v>675</v>
      </c>
      <c r="Q22">
        <v>73</v>
      </c>
      <c r="R22">
        <f t="shared" si="0"/>
        <v>189</v>
      </c>
      <c r="S22">
        <f t="shared" si="1"/>
        <v>270</v>
      </c>
      <c r="T22" s="305">
        <f t="shared" si="2"/>
        <v>0.7</v>
      </c>
    </row>
    <row r="23" spans="1:20" ht="16" customHeight="1" thickBot="1">
      <c r="A23" s="126"/>
      <c r="B23" s="644"/>
      <c r="C23" s="645">
        <v>1</v>
      </c>
      <c r="D23" s="645" t="s">
        <v>303</v>
      </c>
      <c r="E23" s="645">
        <v>308</v>
      </c>
      <c r="F23" s="645" t="s">
        <v>523</v>
      </c>
      <c r="G23" s="645" t="s">
        <v>512</v>
      </c>
      <c r="H23" s="645">
        <v>117</v>
      </c>
      <c r="I23" s="645">
        <v>254</v>
      </c>
      <c r="J23" s="645">
        <v>0.46100000000000002</v>
      </c>
      <c r="K23" s="645" t="s">
        <v>496</v>
      </c>
      <c r="L23" s="645" t="s">
        <v>518</v>
      </c>
      <c r="M23" s="645" t="s">
        <v>505</v>
      </c>
      <c r="N23" s="646">
        <v>78975</v>
      </c>
      <c r="O23" s="646">
        <v>675</v>
      </c>
      <c r="Q23">
        <v>83</v>
      </c>
      <c r="R23">
        <f t="shared" si="0"/>
        <v>650</v>
      </c>
      <c r="S23">
        <f t="shared" si="1"/>
        <v>1119</v>
      </c>
      <c r="T23" s="305">
        <f t="shared" si="2"/>
        <v>0.58087578194816802</v>
      </c>
    </row>
    <row r="24" spans="1:20" ht="16" customHeight="1" thickBot="1">
      <c r="A24" s="126"/>
      <c r="B24" s="644"/>
      <c r="C24" s="645">
        <v>1</v>
      </c>
      <c r="D24" s="645" t="s">
        <v>303</v>
      </c>
      <c r="E24" s="645">
        <v>309</v>
      </c>
      <c r="F24" s="645" t="s">
        <v>524</v>
      </c>
      <c r="G24" s="645" t="s">
        <v>512</v>
      </c>
      <c r="H24" s="645">
        <v>31</v>
      </c>
      <c r="I24" s="645">
        <v>328</v>
      </c>
      <c r="J24" s="645">
        <v>9.5000000000000001E-2</v>
      </c>
      <c r="K24" s="645" t="s">
        <v>501</v>
      </c>
      <c r="L24" s="645" t="s">
        <v>497</v>
      </c>
      <c r="M24" s="645" t="s">
        <v>509</v>
      </c>
      <c r="N24" s="646">
        <v>0</v>
      </c>
      <c r="O24" s="646">
        <v>0</v>
      </c>
      <c r="Q24">
        <v>84</v>
      </c>
      <c r="R24">
        <f t="shared" si="0"/>
        <v>1813</v>
      </c>
      <c r="S24">
        <f t="shared" si="1"/>
        <v>3571</v>
      </c>
      <c r="T24" s="305">
        <f t="shared" si="2"/>
        <v>0.50770092411089329</v>
      </c>
    </row>
    <row r="25" spans="1:20" ht="16" customHeight="1" thickBot="1">
      <c r="A25" s="126"/>
      <c r="B25" s="644"/>
      <c r="C25" s="645">
        <v>1</v>
      </c>
      <c r="D25" s="645" t="s">
        <v>303</v>
      </c>
      <c r="E25" s="645">
        <v>310</v>
      </c>
      <c r="F25" s="645" t="s">
        <v>525</v>
      </c>
      <c r="G25" s="645" t="s">
        <v>512</v>
      </c>
      <c r="H25" s="645">
        <v>131</v>
      </c>
      <c r="I25" s="645">
        <v>390</v>
      </c>
      <c r="J25" s="645">
        <v>0.33600000000000002</v>
      </c>
      <c r="K25" s="645" t="s">
        <v>501</v>
      </c>
      <c r="L25" s="645" t="s">
        <v>497</v>
      </c>
      <c r="M25" s="645" t="s">
        <v>509</v>
      </c>
      <c r="N25" s="646">
        <v>0</v>
      </c>
      <c r="O25" s="646">
        <v>0</v>
      </c>
      <c r="Q25">
        <v>91</v>
      </c>
      <c r="R25">
        <f t="shared" si="0"/>
        <v>5041</v>
      </c>
      <c r="S25">
        <f t="shared" si="1"/>
        <v>10185</v>
      </c>
      <c r="T25" s="305">
        <f t="shared" si="2"/>
        <v>0.49494354442808053</v>
      </c>
    </row>
    <row r="26" spans="1:20" ht="16" customHeight="1" thickBot="1">
      <c r="A26" s="126"/>
      <c r="B26" s="644"/>
      <c r="C26" s="645">
        <v>1</v>
      </c>
      <c r="D26" s="645" t="s">
        <v>303</v>
      </c>
      <c r="E26" s="645">
        <v>313</v>
      </c>
      <c r="F26" s="645" t="s">
        <v>526</v>
      </c>
      <c r="G26" s="645" t="s">
        <v>512</v>
      </c>
      <c r="H26" s="645">
        <v>108</v>
      </c>
      <c r="I26" s="645">
        <v>270</v>
      </c>
      <c r="J26" s="645">
        <v>0.4</v>
      </c>
      <c r="K26" s="645" t="s">
        <v>496</v>
      </c>
      <c r="L26" s="645" t="s">
        <v>518</v>
      </c>
      <c r="M26" s="645" t="s">
        <v>498</v>
      </c>
      <c r="N26" s="646">
        <v>72900</v>
      </c>
      <c r="O26" s="646">
        <v>675</v>
      </c>
      <c r="Q26">
        <v>92</v>
      </c>
      <c r="R26">
        <f t="shared" si="0"/>
        <v>27</v>
      </c>
      <c r="S26">
        <f t="shared" si="1"/>
        <v>50</v>
      </c>
      <c r="T26" s="305">
        <f t="shared" si="2"/>
        <v>0.54</v>
      </c>
    </row>
    <row r="27" spans="1:20" ht="16" customHeight="1" thickBot="1">
      <c r="A27" s="126"/>
      <c r="B27" s="644"/>
      <c r="C27" s="645">
        <v>1</v>
      </c>
      <c r="D27" s="645" t="s">
        <v>303</v>
      </c>
      <c r="E27" s="645">
        <v>315</v>
      </c>
      <c r="F27" s="645" t="s">
        <v>527</v>
      </c>
      <c r="G27" s="645" t="s">
        <v>512</v>
      </c>
      <c r="H27" s="645">
        <v>38</v>
      </c>
      <c r="I27" s="645">
        <v>345</v>
      </c>
      <c r="J27" s="645">
        <v>0.11</v>
      </c>
      <c r="K27" s="645" t="s">
        <v>501</v>
      </c>
      <c r="L27" s="645" t="s">
        <v>497</v>
      </c>
      <c r="M27" s="645" t="s">
        <v>509</v>
      </c>
      <c r="N27" s="646">
        <v>0</v>
      </c>
      <c r="O27" s="646">
        <v>0</v>
      </c>
      <c r="Q27">
        <v>93</v>
      </c>
      <c r="R27">
        <f t="shared" si="0"/>
        <v>4734</v>
      </c>
      <c r="S27">
        <f t="shared" si="1"/>
        <v>11137</v>
      </c>
      <c r="T27" s="305">
        <f t="shared" si="2"/>
        <v>0.42506958786028554</v>
      </c>
    </row>
    <row r="28" spans="1:20" ht="16" customHeight="1" thickBot="1">
      <c r="A28" s="126"/>
      <c r="B28" s="644"/>
      <c r="C28" s="645">
        <v>1</v>
      </c>
      <c r="D28" s="645" t="s">
        <v>303</v>
      </c>
      <c r="E28" s="645">
        <v>316</v>
      </c>
      <c r="F28" s="645" t="s">
        <v>528</v>
      </c>
      <c r="G28" s="645" t="s">
        <v>512</v>
      </c>
      <c r="H28" s="645">
        <v>88</v>
      </c>
      <c r="I28" s="645">
        <v>512</v>
      </c>
      <c r="J28" s="645">
        <v>0.17199999999999999</v>
      </c>
      <c r="K28" s="645" t="s">
        <v>501</v>
      </c>
      <c r="L28" s="645" t="s">
        <v>497</v>
      </c>
      <c r="M28" s="645" t="s">
        <v>498</v>
      </c>
      <c r="N28" s="646">
        <v>0</v>
      </c>
      <c r="O28" s="646">
        <v>0</v>
      </c>
      <c r="Q28">
        <v>101</v>
      </c>
      <c r="R28">
        <f t="shared" si="0"/>
        <v>725</v>
      </c>
      <c r="S28">
        <f t="shared" si="1"/>
        <v>1343</v>
      </c>
      <c r="T28" s="305">
        <f t="shared" si="2"/>
        <v>0.53983618763961283</v>
      </c>
    </row>
    <row r="29" spans="1:20" ht="16" customHeight="1" thickBot="1">
      <c r="A29" s="126"/>
      <c r="B29" s="644"/>
      <c r="C29" s="645">
        <v>1</v>
      </c>
      <c r="D29" s="645" t="s">
        <v>303</v>
      </c>
      <c r="E29" s="645">
        <v>317</v>
      </c>
      <c r="F29" s="645" t="s">
        <v>529</v>
      </c>
      <c r="G29" s="645" t="s">
        <v>512</v>
      </c>
      <c r="H29" s="645">
        <v>216</v>
      </c>
      <c r="I29" s="645">
        <v>320</v>
      </c>
      <c r="J29" s="645">
        <v>0.67500000000000004</v>
      </c>
      <c r="K29" s="645" t="s">
        <v>496</v>
      </c>
      <c r="L29" s="645" t="s">
        <v>518</v>
      </c>
      <c r="M29" s="645" t="s">
        <v>498</v>
      </c>
      <c r="N29" s="646">
        <v>145800</v>
      </c>
      <c r="O29" s="646">
        <v>675</v>
      </c>
      <c r="Q29">
        <v>111</v>
      </c>
      <c r="R29">
        <f t="shared" si="0"/>
        <v>197</v>
      </c>
      <c r="S29">
        <f t="shared" si="1"/>
        <v>413</v>
      </c>
      <c r="T29" s="305">
        <f t="shared" si="2"/>
        <v>0.47699757869249393</v>
      </c>
    </row>
    <row r="30" spans="1:20" ht="16" customHeight="1" thickBot="1">
      <c r="A30" s="126"/>
      <c r="B30" s="644"/>
      <c r="C30" s="645">
        <v>1</v>
      </c>
      <c r="D30" s="645" t="s">
        <v>303</v>
      </c>
      <c r="E30" s="645">
        <v>319</v>
      </c>
      <c r="F30" s="645" t="s">
        <v>530</v>
      </c>
      <c r="G30" s="645" t="s">
        <v>512</v>
      </c>
      <c r="H30" s="645">
        <v>146</v>
      </c>
      <c r="I30" s="645">
        <v>374</v>
      </c>
      <c r="J30" s="645">
        <v>0.39</v>
      </c>
      <c r="K30" s="645" t="s">
        <v>496</v>
      </c>
      <c r="L30" s="645" t="s">
        <v>518</v>
      </c>
      <c r="M30" s="645" t="s">
        <v>505</v>
      </c>
      <c r="N30" s="646">
        <v>98550</v>
      </c>
      <c r="O30" s="646">
        <v>675</v>
      </c>
      <c r="Q30">
        <v>121</v>
      </c>
      <c r="R30">
        <f t="shared" si="0"/>
        <v>76</v>
      </c>
      <c r="S30">
        <f t="shared" si="1"/>
        <v>150</v>
      </c>
      <c r="T30" s="305">
        <f t="shared" si="2"/>
        <v>0.50666666666666671</v>
      </c>
    </row>
    <row r="31" spans="1:20" ht="16" customHeight="1" thickBot="1">
      <c r="A31" s="126"/>
      <c r="B31" s="644"/>
      <c r="C31" s="645">
        <v>1</v>
      </c>
      <c r="D31" s="645" t="s">
        <v>303</v>
      </c>
      <c r="E31" s="645">
        <v>320</v>
      </c>
      <c r="F31" s="645" t="s">
        <v>531</v>
      </c>
      <c r="G31" s="645" t="s">
        <v>512</v>
      </c>
      <c r="H31" s="645">
        <v>182</v>
      </c>
      <c r="I31" s="645">
        <v>456</v>
      </c>
      <c r="J31" s="645">
        <v>0.39900000000000002</v>
      </c>
      <c r="K31" s="645" t="s">
        <v>496</v>
      </c>
      <c r="L31" s="645" t="s">
        <v>518</v>
      </c>
      <c r="M31" s="645" t="s">
        <v>509</v>
      </c>
      <c r="N31" s="646">
        <v>122850</v>
      </c>
      <c r="O31" s="646">
        <v>675</v>
      </c>
      <c r="Q31">
        <v>131</v>
      </c>
      <c r="R31">
        <f t="shared" si="0"/>
        <v>9863</v>
      </c>
      <c r="S31">
        <f t="shared" si="1"/>
        <v>15520</v>
      </c>
      <c r="T31" s="305">
        <f t="shared" si="2"/>
        <v>0.63550257731958759</v>
      </c>
    </row>
    <row r="32" spans="1:20" ht="16" customHeight="1" thickBot="1">
      <c r="A32" s="126"/>
      <c r="B32" s="644"/>
      <c r="C32" s="645">
        <v>1</v>
      </c>
      <c r="D32" s="645" t="s">
        <v>303</v>
      </c>
      <c r="E32" s="645">
        <v>321</v>
      </c>
      <c r="F32" s="645" t="s">
        <v>532</v>
      </c>
      <c r="G32" s="645" t="s">
        <v>512</v>
      </c>
      <c r="H32" s="645">
        <v>198</v>
      </c>
      <c r="I32" s="645">
        <v>317</v>
      </c>
      <c r="J32" s="645">
        <v>0.625</v>
      </c>
      <c r="K32" s="645" t="s">
        <v>496</v>
      </c>
      <c r="L32" s="645" t="s">
        <v>518</v>
      </c>
      <c r="M32" s="645" t="s">
        <v>505</v>
      </c>
      <c r="N32" s="646">
        <v>133650</v>
      </c>
      <c r="O32" s="646">
        <v>675</v>
      </c>
      <c r="Q32">
        <v>132</v>
      </c>
      <c r="R32">
        <f t="shared" si="0"/>
        <v>5199</v>
      </c>
      <c r="S32">
        <f t="shared" si="1"/>
        <v>6260</v>
      </c>
      <c r="T32" s="305">
        <f t="shared" si="2"/>
        <v>0.83051118210862618</v>
      </c>
    </row>
    <row r="33" spans="1:20" ht="16" customHeight="1" thickBot="1">
      <c r="A33" s="126"/>
      <c r="B33" s="644"/>
      <c r="C33" s="645">
        <v>1</v>
      </c>
      <c r="D33" s="645" t="s">
        <v>303</v>
      </c>
      <c r="E33" s="645">
        <v>322</v>
      </c>
      <c r="F33" s="645" t="s">
        <v>533</v>
      </c>
      <c r="G33" s="645" t="s">
        <v>512</v>
      </c>
      <c r="H33" s="645">
        <v>150</v>
      </c>
      <c r="I33" s="645">
        <v>354</v>
      </c>
      <c r="J33" s="645">
        <v>0.42399999999999999</v>
      </c>
      <c r="K33" s="645" t="s">
        <v>496</v>
      </c>
      <c r="L33" s="645" t="s">
        <v>518</v>
      </c>
      <c r="M33" s="645" t="s">
        <v>505</v>
      </c>
      <c r="N33" s="646">
        <v>101250</v>
      </c>
      <c r="O33" s="646">
        <v>675</v>
      </c>
      <c r="Q33">
        <v>133</v>
      </c>
      <c r="R33">
        <f t="shared" si="0"/>
        <v>405</v>
      </c>
      <c r="S33">
        <f t="shared" si="1"/>
        <v>435</v>
      </c>
      <c r="T33" s="305">
        <f t="shared" si="2"/>
        <v>0.93103448275862066</v>
      </c>
    </row>
    <row r="34" spans="1:20" ht="16" customHeight="1" thickBot="1">
      <c r="A34" s="126"/>
      <c r="B34" s="644"/>
      <c r="C34" s="645">
        <v>1</v>
      </c>
      <c r="D34" s="645" t="s">
        <v>303</v>
      </c>
      <c r="E34" s="645">
        <v>323</v>
      </c>
      <c r="F34" s="645" t="s">
        <v>534</v>
      </c>
      <c r="G34" s="645" t="s">
        <v>512</v>
      </c>
      <c r="H34" s="645">
        <v>40</v>
      </c>
      <c r="I34" s="645">
        <v>347</v>
      </c>
      <c r="J34" s="645">
        <v>0.115</v>
      </c>
      <c r="K34" s="645" t="s">
        <v>501</v>
      </c>
      <c r="L34" s="645" t="s">
        <v>497</v>
      </c>
      <c r="M34" s="645" t="s">
        <v>509</v>
      </c>
      <c r="N34" s="646">
        <v>0</v>
      </c>
      <c r="O34" s="646">
        <v>0</v>
      </c>
      <c r="Q34">
        <v>134</v>
      </c>
      <c r="R34">
        <f t="shared" si="0"/>
        <v>1657</v>
      </c>
      <c r="S34">
        <f t="shared" si="1"/>
        <v>3864</v>
      </c>
      <c r="T34" s="305">
        <f t="shared" si="2"/>
        <v>0.42883022774327123</v>
      </c>
    </row>
    <row r="35" spans="1:20" ht="16" customHeight="1" thickBot="1">
      <c r="A35" s="126"/>
      <c r="B35" s="644"/>
      <c r="C35" s="645">
        <v>1</v>
      </c>
      <c r="D35" s="645" t="s">
        <v>303</v>
      </c>
      <c r="E35" s="645">
        <v>324</v>
      </c>
      <c r="F35" s="645" t="s">
        <v>535</v>
      </c>
      <c r="G35" s="645" t="s">
        <v>512</v>
      </c>
      <c r="H35" s="645">
        <v>104</v>
      </c>
      <c r="I35" s="645">
        <v>313</v>
      </c>
      <c r="J35" s="645">
        <v>0.33200000000000002</v>
      </c>
      <c r="K35" s="645" t="s">
        <v>501</v>
      </c>
      <c r="L35" s="645" t="s">
        <v>497</v>
      </c>
      <c r="M35" s="645" t="s">
        <v>498</v>
      </c>
      <c r="N35" s="646">
        <v>0</v>
      </c>
      <c r="O35" s="646">
        <v>0</v>
      </c>
      <c r="Q35">
        <v>135</v>
      </c>
      <c r="R35">
        <f t="shared" si="0"/>
        <v>265</v>
      </c>
      <c r="S35">
        <f t="shared" si="1"/>
        <v>391</v>
      </c>
      <c r="T35" s="305">
        <f t="shared" si="2"/>
        <v>0.67774936061381075</v>
      </c>
    </row>
    <row r="36" spans="1:20" ht="16" customHeight="1" thickBot="1">
      <c r="A36" s="126"/>
      <c r="B36" s="644"/>
      <c r="C36" s="645">
        <v>1</v>
      </c>
      <c r="D36" s="645" t="s">
        <v>303</v>
      </c>
      <c r="E36" s="645">
        <v>325</v>
      </c>
      <c r="F36" s="645" t="s">
        <v>536</v>
      </c>
      <c r="G36" s="645" t="s">
        <v>512</v>
      </c>
      <c r="H36" s="645">
        <v>251</v>
      </c>
      <c r="I36" s="645">
        <v>454</v>
      </c>
      <c r="J36" s="645">
        <v>0.55300000000000005</v>
      </c>
      <c r="K36" s="645" t="s">
        <v>496</v>
      </c>
      <c r="L36" s="645" t="s">
        <v>518</v>
      </c>
      <c r="M36" s="645" t="s">
        <v>505</v>
      </c>
      <c r="N36" s="646">
        <v>169425</v>
      </c>
      <c r="O36" s="646">
        <v>675</v>
      </c>
      <c r="Q36">
        <v>136</v>
      </c>
      <c r="R36">
        <f t="shared" si="0"/>
        <v>407</v>
      </c>
      <c r="S36">
        <f t="shared" si="1"/>
        <v>798</v>
      </c>
      <c r="T36" s="305">
        <f t="shared" si="2"/>
        <v>0.5100250626566416</v>
      </c>
    </row>
    <row r="37" spans="1:20" ht="16" customHeight="1" thickBot="1">
      <c r="A37" s="126"/>
      <c r="B37" s="644"/>
      <c r="C37" s="645">
        <v>1</v>
      </c>
      <c r="D37" s="645" t="s">
        <v>303</v>
      </c>
      <c r="E37" s="645">
        <v>326</v>
      </c>
      <c r="F37" s="645" t="s">
        <v>537</v>
      </c>
      <c r="G37" s="645" t="s">
        <v>512</v>
      </c>
      <c r="H37" s="645">
        <v>41</v>
      </c>
      <c r="I37" s="645">
        <v>234</v>
      </c>
      <c r="J37" s="645">
        <v>0.17499999999999999</v>
      </c>
      <c r="K37" s="645" t="s">
        <v>501</v>
      </c>
      <c r="L37" s="645" t="s">
        <v>497</v>
      </c>
      <c r="M37" s="645" t="s">
        <v>498</v>
      </c>
      <c r="N37" s="646">
        <v>0</v>
      </c>
      <c r="O37" s="646">
        <v>0</v>
      </c>
      <c r="Q37">
        <v>137</v>
      </c>
      <c r="R37">
        <f t="shared" si="0"/>
        <v>643</v>
      </c>
      <c r="S37">
        <f t="shared" si="1"/>
        <v>1003</v>
      </c>
      <c r="T37" s="305">
        <f t="shared" si="2"/>
        <v>0.6410767696909272</v>
      </c>
    </row>
    <row r="38" spans="1:20" ht="16" customHeight="1" thickBot="1">
      <c r="A38" s="126"/>
      <c r="B38" s="644"/>
      <c r="C38" s="645">
        <v>1</v>
      </c>
      <c r="D38" s="645" t="s">
        <v>303</v>
      </c>
      <c r="E38" s="645">
        <v>327</v>
      </c>
      <c r="F38" s="645" t="s">
        <v>538</v>
      </c>
      <c r="G38" s="645" t="s">
        <v>512</v>
      </c>
      <c r="H38" s="645">
        <v>269</v>
      </c>
      <c r="I38" s="645">
        <v>465</v>
      </c>
      <c r="J38" s="645">
        <v>0.57799999999999996</v>
      </c>
      <c r="K38" s="645" t="s">
        <v>496</v>
      </c>
      <c r="L38" s="645" t="s">
        <v>518</v>
      </c>
      <c r="M38" s="645" t="s">
        <v>505</v>
      </c>
      <c r="N38" s="646">
        <v>181575</v>
      </c>
      <c r="O38" s="646">
        <v>675</v>
      </c>
      <c r="Q38">
        <v>139</v>
      </c>
      <c r="R38">
        <f t="shared" si="0"/>
        <v>5385</v>
      </c>
      <c r="S38">
        <f t="shared" si="1"/>
        <v>7926</v>
      </c>
      <c r="T38" s="305">
        <f t="shared" si="2"/>
        <v>0.67940953822861472</v>
      </c>
    </row>
    <row r="39" spans="1:20" ht="16" customHeight="1" thickBot="1">
      <c r="A39" s="126"/>
      <c r="B39" s="644"/>
      <c r="C39" s="645">
        <v>1</v>
      </c>
      <c r="D39" s="645" t="s">
        <v>303</v>
      </c>
      <c r="E39" s="645">
        <v>509</v>
      </c>
      <c r="F39" s="645" t="s">
        <v>539</v>
      </c>
      <c r="G39" s="645" t="s">
        <v>512</v>
      </c>
      <c r="H39" s="645">
        <v>58</v>
      </c>
      <c r="I39" s="645">
        <v>622</v>
      </c>
      <c r="J39" s="645">
        <v>9.2999999999999999E-2</v>
      </c>
      <c r="K39" s="645" t="s">
        <v>501</v>
      </c>
      <c r="L39" s="645" t="s">
        <v>497</v>
      </c>
      <c r="M39" s="645" t="s">
        <v>509</v>
      </c>
      <c r="N39" s="646">
        <v>0</v>
      </c>
      <c r="O39" s="646">
        <v>0</v>
      </c>
      <c r="Q39">
        <v>148</v>
      </c>
      <c r="R39">
        <f t="shared" si="0"/>
        <v>250</v>
      </c>
      <c r="S39">
        <f t="shared" si="1"/>
        <v>483</v>
      </c>
      <c r="T39" s="305">
        <f t="shared" si="2"/>
        <v>0.51759834368530022</v>
      </c>
    </row>
    <row r="40" spans="1:20" ht="16" customHeight="1" thickBot="1">
      <c r="A40" s="126"/>
      <c r="B40" s="644"/>
      <c r="C40" s="645">
        <v>1</v>
      </c>
      <c r="D40" s="645" t="s">
        <v>303</v>
      </c>
      <c r="E40" s="645">
        <v>510</v>
      </c>
      <c r="F40" s="645" t="s">
        <v>540</v>
      </c>
      <c r="G40" s="645" t="s">
        <v>512</v>
      </c>
      <c r="H40" s="645">
        <v>278</v>
      </c>
      <c r="I40" s="645">
        <v>659</v>
      </c>
      <c r="J40" s="645">
        <v>0.42199999999999999</v>
      </c>
      <c r="K40" s="645" t="s">
        <v>496</v>
      </c>
      <c r="L40" s="645" t="s">
        <v>518</v>
      </c>
      <c r="M40" s="645" t="s">
        <v>505</v>
      </c>
      <c r="N40" s="646">
        <v>187650</v>
      </c>
      <c r="O40" s="646">
        <v>675</v>
      </c>
      <c r="Q40">
        <v>149</v>
      </c>
      <c r="R40">
        <f t="shared" si="0"/>
        <v>67</v>
      </c>
      <c r="S40">
        <f t="shared" si="1"/>
        <v>182</v>
      </c>
      <c r="T40" s="305">
        <f t="shared" si="2"/>
        <v>0.36813186813186816</v>
      </c>
    </row>
    <row r="41" spans="1:20" ht="16" customHeight="1" thickBot="1">
      <c r="A41" s="126"/>
      <c r="B41" s="644"/>
      <c r="C41" s="645">
        <v>1</v>
      </c>
      <c r="D41" s="645" t="s">
        <v>303</v>
      </c>
      <c r="E41" s="645">
        <v>665</v>
      </c>
      <c r="F41" s="645" t="s">
        <v>541</v>
      </c>
      <c r="G41" s="645" t="s">
        <v>512</v>
      </c>
      <c r="H41" s="645">
        <v>123</v>
      </c>
      <c r="I41" s="645">
        <v>391</v>
      </c>
      <c r="J41" s="645">
        <v>0.315</v>
      </c>
      <c r="K41" s="645" t="s">
        <v>501</v>
      </c>
      <c r="L41" s="645" t="s">
        <v>497</v>
      </c>
      <c r="M41" s="645" t="s">
        <v>498</v>
      </c>
      <c r="N41" s="646">
        <v>0</v>
      </c>
      <c r="O41" s="646">
        <v>0</v>
      </c>
      <c r="Q41">
        <v>150</v>
      </c>
      <c r="R41">
        <f t="shared" si="0"/>
        <v>260</v>
      </c>
      <c r="S41">
        <f t="shared" si="1"/>
        <v>722</v>
      </c>
      <c r="T41" s="305">
        <f t="shared" si="2"/>
        <v>0.36011080332409973</v>
      </c>
    </row>
    <row r="42" spans="1:20" ht="16" customHeight="1" thickBot="1">
      <c r="A42" s="126"/>
      <c r="B42" s="644"/>
      <c r="C42" s="645">
        <v>1</v>
      </c>
      <c r="D42" s="645" t="s">
        <v>303</v>
      </c>
      <c r="E42" s="645">
        <v>666</v>
      </c>
      <c r="F42" s="645" t="s">
        <v>542</v>
      </c>
      <c r="G42" s="645" t="s">
        <v>512</v>
      </c>
      <c r="H42" s="645">
        <v>142</v>
      </c>
      <c r="I42" s="645">
        <v>523</v>
      </c>
      <c r="J42" s="645">
        <v>0.27200000000000002</v>
      </c>
      <c r="K42" s="645" t="s">
        <v>501</v>
      </c>
      <c r="L42" s="645" t="s">
        <v>497</v>
      </c>
      <c r="M42" s="645" t="s">
        <v>498</v>
      </c>
      <c r="N42" s="646">
        <v>0</v>
      </c>
      <c r="O42" s="646">
        <v>0</v>
      </c>
      <c r="Q42">
        <v>151</v>
      </c>
      <c r="R42">
        <f t="shared" si="0"/>
        <v>2833</v>
      </c>
      <c r="S42">
        <f t="shared" si="1"/>
        <v>5119</v>
      </c>
      <c r="T42" s="305">
        <f t="shared" si="2"/>
        <v>0.55342840398515336</v>
      </c>
    </row>
    <row r="43" spans="1:20" ht="16" customHeight="1" thickBot="1">
      <c r="A43" s="126"/>
      <c r="B43" s="644"/>
      <c r="C43" s="645">
        <v>1</v>
      </c>
      <c r="D43" s="645" t="s">
        <v>303</v>
      </c>
      <c r="E43" s="645">
        <v>673</v>
      </c>
      <c r="F43" s="645" t="s">
        <v>543</v>
      </c>
      <c r="G43" s="645" t="s">
        <v>512</v>
      </c>
      <c r="H43" s="645">
        <v>295</v>
      </c>
      <c r="I43" s="645">
        <v>517</v>
      </c>
      <c r="J43" s="645">
        <v>0.57099999999999995</v>
      </c>
      <c r="K43" s="645" t="s">
        <v>496</v>
      </c>
      <c r="L43" s="645" t="s">
        <v>518</v>
      </c>
      <c r="M43" s="645" t="s">
        <v>498</v>
      </c>
      <c r="N43" s="646">
        <v>199125</v>
      </c>
      <c r="O43" s="646">
        <v>675</v>
      </c>
      <c r="Q43">
        <v>161</v>
      </c>
      <c r="R43">
        <f t="shared" si="0"/>
        <v>121</v>
      </c>
      <c r="S43">
        <f t="shared" si="1"/>
        <v>153</v>
      </c>
      <c r="T43" s="305">
        <f t="shared" si="2"/>
        <v>0.79084967320261434</v>
      </c>
    </row>
    <row r="44" spans="1:20" ht="16" customHeight="1" thickBot="1">
      <c r="A44" s="126"/>
      <c r="B44" s="644"/>
      <c r="C44" s="645">
        <v>1</v>
      </c>
      <c r="D44" s="645" t="s">
        <v>303</v>
      </c>
      <c r="E44" s="645">
        <v>674</v>
      </c>
      <c r="F44" s="645" t="s">
        <v>544</v>
      </c>
      <c r="G44" s="645" t="s">
        <v>512</v>
      </c>
      <c r="H44" s="645">
        <v>252</v>
      </c>
      <c r="I44" s="645">
        <v>513</v>
      </c>
      <c r="J44" s="645">
        <v>0.49099999999999999</v>
      </c>
      <c r="K44" s="645" t="s">
        <v>496</v>
      </c>
      <c r="L44" s="645" t="s">
        <v>518</v>
      </c>
      <c r="M44" s="645" t="s">
        <v>505</v>
      </c>
      <c r="N44" s="646">
        <v>170100</v>
      </c>
      <c r="O44" s="646">
        <v>675</v>
      </c>
      <c r="Q44">
        <v>171</v>
      </c>
      <c r="R44">
        <f t="shared" si="0"/>
        <v>613</v>
      </c>
      <c r="S44">
        <f t="shared" si="1"/>
        <v>1091</v>
      </c>
      <c r="T44" s="305">
        <f t="shared" si="2"/>
        <v>0.56186984417965169</v>
      </c>
    </row>
    <row r="45" spans="1:20" ht="16" customHeight="1" thickBot="1">
      <c r="A45" s="126"/>
      <c r="B45" s="644"/>
      <c r="C45" s="645">
        <v>1</v>
      </c>
      <c r="D45" s="645" t="s">
        <v>303</v>
      </c>
      <c r="E45" s="645">
        <v>675</v>
      </c>
      <c r="F45" s="645" t="s">
        <v>545</v>
      </c>
      <c r="G45" s="645" t="s">
        <v>546</v>
      </c>
      <c r="H45" s="645">
        <v>270</v>
      </c>
      <c r="I45" s="645">
        <v>539</v>
      </c>
      <c r="J45" s="645">
        <v>0.501</v>
      </c>
      <c r="K45" s="645" t="s">
        <v>496</v>
      </c>
      <c r="L45" s="645" t="s">
        <v>518</v>
      </c>
      <c r="M45" s="645" t="s">
        <v>547</v>
      </c>
      <c r="N45" s="646">
        <v>182250</v>
      </c>
      <c r="O45" s="646">
        <v>675</v>
      </c>
      <c r="Q45">
        <v>181</v>
      </c>
      <c r="R45">
        <f t="shared" si="0"/>
        <v>149</v>
      </c>
      <c r="S45">
        <f t="shared" si="1"/>
        <v>363</v>
      </c>
      <c r="T45" s="305">
        <f t="shared" si="2"/>
        <v>0.41046831955922863</v>
      </c>
    </row>
    <row r="46" spans="1:20" ht="16" customHeight="1" thickBot="1">
      <c r="A46" s="126"/>
      <c r="B46" s="644"/>
      <c r="C46" s="645">
        <v>1</v>
      </c>
      <c r="D46" s="645" t="s">
        <v>303</v>
      </c>
      <c r="E46" s="645">
        <v>676</v>
      </c>
      <c r="F46" s="645" t="s">
        <v>548</v>
      </c>
      <c r="G46" s="645" t="s">
        <v>495</v>
      </c>
      <c r="H46" s="645">
        <v>198</v>
      </c>
      <c r="I46" s="645">
        <v>934</v>
      </c>
      <c r="J46" s="645">
        <v>0.21199999999999999</v>
      </c>
      <c r="K46" s="645" t="s">
        <v>501</v>
      </c>
      <c r="L46" s="645" t="s">
        <v>497</v>
      </c>
      <c r="M46" s="645" t="s">
        <v>498</v>
      </c>
      <c r="N46" s="646">
        <v>0</v>
      </c>
      <c r="O46" s="646">
        <v>0</v>
      </c>
      <c r="Q46">
        <v>182</v>
      </c>
      <c r="R46">
        <f t="shared" si="0"/>
        <v>86</v>
      </c>
      <c r="S46">
        <f t="shared" si="1"/>
        <v>172</v>
      </c>
      <c r="T46" s="305">
        <f t="shared" si="2"/>
        <v>0.5</v>
      </c>
    </row>
    <row r="47" spans="1:20" ht="16" customHeight="1" thickBot="1">
      <c r="A47" s="126"/>
      <c r="B47" s="644"/>
      <c r="C47" s="645">
        <v>1</v>
      </c>
      <c r="D47" s="645" t="s">
        <v>303</v>
      </c>
      <c r="E47" s="645">
        <v>677</v>
      </c>
      <c r="F47" s="645" t="s">
        <v>549</v>
      </c>
      <c r="G47" s="645" t="s">
        <v>495</v>
      </c>
      <c r="H47" s="645">
        <v>86</v>
      </c>
      <c r="I47" s="645">
        <v>579</v>
      </c>
      <c r="J47" s="645">
        <v>0.14899999999999999</v>
      </c>
      <c r="K47" s="645" t="s">
        <v>501</v>
      </c>
      <c r="L47" s="645" t="s">
        <v>497</v>
      </c>
      <c r="M47" s="645" t="s">
        <v>505</v>
      </c>
      <c r="N47" s="646">
        <v>0</v>
      </c>
      <c r="O47" s="646">
        <v>0</v>
      </c>
      <c r="Q47">
        <v>192</v>
      </c>
      <c r="R47">
        <f t="shared" si="0"/>
        <v>290</v>
      </c>
      <c r="S47">
        <f t="shared" si="1"/>
        <v>435</v>
      </c>
      <c r="T47" s="305">
        <f t="shared" si="2"/>
        <v>0.66666666666666663</v>
      </c>
    </row>
    <row r="48" spans="1:20" ht="16" customHeight="1" thickBot="1">
      <c r="A48" s="126"/>
      <c r="B48" s="644"/>
      <c r="C48" s="645">
        <v>1</v>
      </c>
      <c r="D48" s="645" t="s">
        <v>303</v>
      </c>
      <c r="E48" s="645">
        <v>679</v>
      </c>
      <c r="F48" s="645" t="s">
        <v>550</v>
      </c>
      <c r="G48" s="645" t="s">
        <v>512</v>
      </c>
      <c r="H48" s="647" t="s">
        <v>1523</v>
      </c>
      <c r="I48" s="647" t="s">
        <v>1523</v>
      </c>
      <c r="J48" s="647" t="s">
        <v>1523</v>
      </c>
      <c r="K48" s="645" t="s">
        <v>501</v>
      </c>
      <c r="L48" s="645" t="s">
        <v>497</v>
      </c>
      <c r="M48" s="645" t="s">
        <v>509</v>
      </c>
      <c r="N48" s="646">
        <v>0</v>
      </c>
      <c r="O48" s="646">
        <v>0</v>
      </c>
      <c r="Q48">
        <v>193</v>
      </c>
      <c r="R48">
        <f t="shared" si="0"/>
        <v>1768</v>
      </c>
      <c r="S48">
        <f t="shared" si="1"/>
        <v>3521</v>
      </c>
      <c r="T48" s="305">
        <f t="shared" si="2"/>
        <v>0.50213007668276055</v>
      </c>
    </row>
    <row r="49" spans="1:20" ht="16" customHeight="1" thickBot="1">
      <c r="A49" s="126"/>
      <c r="B49" s="644"/>
      <c r="C49" s="645">
        <v>1</v>
      </c>
      <c r="D49" s="645" t="s">
        <v>303</v>
      </c>
      <c r="E49" s="645">
        <v>819</v>
      </c>
      <c r="F49" s="645" t="s">
        <v>455</v>
      </c>
      <c r="G49" s="645" t="s">
        <v>551</v>
      </c>
      <c r="H49" s="647" t="s">
        <v>1523</v>
      </c>
      <c r="I49" s="647" t="s">
        <v>1523</v>
      </c>
      <c r="J49" s="647" t="s">
        <v>1523</v>
      </c>
      <c r="K49" s="645" t="s">
        <v>501</v>
      </c>
      <c r="L49" s="645" t="s">
        <v>497</v>
      </c>
      <c r="M49" s="645" t="s">
        <v>509</v>
      </c>
      <c r="N49" s="646">
        <v>0</v>
      </c>
      <c r="O49" s="647" t="s">
        <v>1523</v>
      </c>
      <c r="Q49">
        <v>201</v>
      </c>
      <c r="R49">
        <f t="shared" si="0"/>
        <v>1107</v>
      </c>
      <c r="S49">
        <f t="shared" si="1"/>
        <v>2491</v>
      </c>
      <c r="T49" s="305">
        <f t="shared" si="2"/>
        <v>0.44439983942191891</v>
      </c>
    </row>
    <row r="50" spans="1:20" ht="16" customHeight="1" thickBot="1">
      <c r="A50" s="126"/>
      <c r="B50" s="644"/>
      <c r="C50" s="648" t="s">
        <v>1523</v>
      </c>
      <c r="D50" s="648" t="s">
        <v>1523</v>
      </c>
      <c r="E50" s="648" t="s">
        <v>1523</v>
      </c>
      <c r="F50" s="648" t="s">
        <v>1523</v>
      </c>
      <c r="G50" s="648" t="s">
        <v>1523</v>
      </c>
      <c r="H50" s="648" t="s">
        <v>1523</v>
      </c>
      <c r="I50" s="648" t="s">
        <v>1523</v>
      </c>
      <c r="J50" s="648" t="s">
        <v>1523</v>
      </c>
      <c r="K50" s="648" t="s">
        <v>1523</v>
      </c>
      <c r="L50" s="648" t="s">
        <v>1523</v>
      </c>
      <c r="M50" s="648" t="s">
        <v>1523</v>
      </c>
      <c r="N50" s="648" t="s">
        <v>1523</v>
      </c>
      <c r="O50" s="648" t="s">
        <v>1523</v>
      </c>
      <c r="Q50">
        <v>202</v>
      </c>
      <c r="R50">
        <f t="shared" si="0"/>
        <v>314</v>
      </c>
      <c r="S50">
        <f t="shared" si="1"/>
        <v>639</v>
      </c>
      <c r="T50" s="305">
        <f t="shared" si="2"/>
        <v>0.49139280125195617</v>
      </c>
    </row>
    <row r="51" spans="1:20" ht="16" customHeight="1" thickBot="1">
      <c r="A51" s="126"/>
      <c r="B51" s="644"/>
      <c r="C51" s="645">
        <v>2</v>
      </c>
      <c r="D51" s="645" t="s">
        <v>552</v>
      </c>
      <c r="E51" s="645">
        <v>10</v>
      </c>
      <c r="F51" s="645" t="s">
        <v>553</v>
      </c>
      <c r="G51" s="645" t="s">
        <v>554</v>
      </c>
      <c r="H51" s="645">
        <v>357</v>
      </c>
      <c r="I51" s="645">
        <v>1015</v>
      </c>
      <c r="J51" s="645">
        <v>0.35199999999999998</v>
      </c>
      <c r="K51" s="645" t="s">
        <v>496</v>
      </c>
      <c r="L51" s="645" t="s">
        <v>497</v>
      </c>
      <c r="M51" s="645" t="s">
        <v>505</v>
      </c>
      <c r="N51" s="646">
        <v>0</v>
      </c>
      <c r="O51" s="646">
        <v>0</v>
      </c>
      <c r="Q51">
        <v>215</v>
      </c>
      <c r="R51">
        <f t="shared" si="0"/>
        <v>1104</v>
      </c>
      <c r="S51">
        <f t="shared" si="1"/>
        <v>2086</v>
      </c>
      <c r="T51" s="305">
        <f t="shared" si="2"/>
        <v>0.52924256951102588</v>
      </c>
    </row>
    <row r="52" spans="1:20" ht="16" customHeight="1" thickBot="1">
      <c r="A52" s="126"/>
      <c r="B52" s="644"/>
      <c r="C52" s="645">
        <v>2</v>
      </c>
      <c r="D52" s="645" t="s">
        <v>552</v>
      </c>
      <c r="E52" s="645">
        <v>11</v>
      </c>
      <c r="F52" s="645" t="s">
        <v>555</v>
      </c>
      <c r="G52" s="645" t="s">
        <v>554</v>
      </c>
      <c r="H52" s="645">
        <v>507</v>
      </c>
      <c r="I52" s="645">
        <v>1012</v>
      </c>
      <c r="J52" s="645">
        <v>0.501</v>
      </c>
      <c r="K52" s="645" t="s">
        <v>496</v>
      </c>
      <c r="L52" s="645" t="s">
        <v>497</v>
      </c>
      <c r="M52" s="645" t="s">
        <v>498</v>
      </c>
      <c r="N52" s="646">
        <v>0</v>
      </c>
      <c r="O52" s="646">
        <v>0</v>
      </c>
      <c r="Q52">
        <v>221</v>
      </c>
      <c r="R52">
        <f t="shared" si="0"/>
        <v>1397</v>
      </c>
      <c r="S52">
        <f t="shared" si="1"/>
        <v>2386</v>
      </c>
      <c r="T52" s="305">
        <f t="shared" si="2"/>
        <v>0.58549874266554902</v>
      </c>
    </row>
    <row r="53" spans="1:20" ht="16" customHeight="1" thickBot="1">
      <c r="A53" s="126"/>
      <c r="B53" s="644"/>
      <c r="C53" s="645">
        <v>2</v>
      </c>
      <c r="D53" s="645" t="s">
        <v>552</v>
      </c>
      <c r="E53" s="645">
        <v>12</v>
      </c>
      <c r="F53" s="645" t="s">
        <v>556</v>
      </c>
      <c r="G53" s="645" t="s">
        <v>557</v>
      </c>
      <c r="H53" s="645">
        <v>537</v>
      </c>
      <c r="I53" s="645">
        <v>1515</v>
      </c>
      <c r="J53" s="645">
        <v>0.35399999999999998</v>
      </c>
      <c r="K53" s="645" t="s">
        <v>496</v>
      </c>
      <c r="L53" s="645" t="s">
        <v>497</v>
      </c>
      <c r="M53" s="645" t="s">
        <v>505</v>
      </c>
      <c r="N53" s="646">
        <v>0</v>
      </c>
      <c r="O53" s="646">
        <v>0</v>
      </c>
      <c r="Q53">
        <v>231</v>
      </c>
      <c r="R53">
        <f t="shared" si="0"/>
        <v>441</v>
      </c>
      <c r="S53">
        <f t="shared" si="1"/>
        <v>765</v>
      </c>
      <c r="T53" s="305">
        <f t="shared" si="2"/>
        <v>0.57647058823529407</v>
      </c>
    </row>
    <row r="54" spans="1:20" ht="16" customHeight="1" thickBot="1">
      <c r="A54" s="126"/>
      <c r="B54" s="644"/>
      <c r="C54" s="645">
        <v>2</v>
      </c>
      <c r="D54" s="645" t="s">
        <v>552</v>
      </c>
      <c r="E54" s="645">
        <v>15</v>
      </c>
      <c r="F54" s="645" t="s">
        <v>558</v>
      </c>
      <c r="G54" s="645" t="s">
        <v>557</v>
      </c>
      <c r="H54" s="645">
        <v>491</v>
      </c>
      <c r="I54" s="645">
        <v>1580</v>
      </c>
      <c r="J54" s="645">
        <v>0.311</v>
      </c>
      <c r="K54" s="645" t="s">
        <v>496</v>
      </c>
      <c r="L54" s="645" t="s">
        <v>497</v>
      </c>
      <c r="M54" s="645" t="s">
        <v>505</v>
      </c>
      <c r="N54" s="646">
        <v>0</v>
      </c>
      <c r="O54" s="646">
        <v>0</v>
      </c>
      <c r="Q54">
        <v>232</v>
      </c>
      <c r="R54">
        <f t="shared" si="0"/>
        <v>808</v>
      </c>
      <c r="S54">
        <f t="shared" si="1"/>
        <v>1135</v>
      </c>
      <c r="T54" s="305">
        <f t="shared" si="2"/>
        <v>0.71189427312775333</v>
      </c>
    </row>
    <row r="55" spans="1:20" ht="16" customHeight="1" thickBot="1">
      <c r="A55" s="126"/>
      <c r="B55" s="644"/>
      <c r="C55" s="645">
        <v>2</v>
      </c>
      <c r="D55" s="645" t="s">
        <v>552</v>
      </c>
      <c r="E55" s="645">
        <v>106</v>
      </c>
      <c r="F55" s="645" t="s">
        <v>559</v>
      </c>
      <c r="G55" s="645" t="s">
        <v>554</v>
      </c>
      <c r="H55" s="645">
        <v>232</v>
      </c>
      <c r="I55" s="645">
        <v>1241</v>
      </c>
      <c r="J55" s="645">
        <v>0.187</v>
      </c>
      <c r="K55" s="645" t="s">
        <v>501</v>
      </c>
      <c r="L55" s="645" t="s">
        <v>497</v>
      </c>
      <c r="M55" s="645" t="s">
        <v>498</v>
      </c>
      <c r="N55" s="646">
        <v>0</v>
      </c>
      <c r="O55" s="646">
        <v>0</v>
      </c>
      <c r="Q55">
        <v>233</v>
      </c>
      <c r="R55">
        <f t="shared" si="0"/>
        <v>191</v>
      </c>
      <c r="S55">
        <f t="shared" si="1"/>
        <v>339</v>
      </c>
      <c r="T55" s="305">
        <f t="shared" si="2"/>
        <v>0.56342182890855452</v>
      </c>
    </row>
    <row r="56" spans="1:20" ht="16" customHeight="1" thickBot="1">
      <c r="A56" s="126"/>
      <c r="B56" s="644"/>
      <c r="C56" s="645">
        <v>2</v>
      </c>
      <c r="D56" s="645" t="s">
        <v>552</v>
      </c>
      <c r="E56" s="645">
        <v>112</v>
      </c>
      <c r="F56" s="645" t="s">
        <v>560</v>
      </c>
      <c r="G56" s="645" t="s">
        <v>557</v>
      </c>
      <c r="H56" s="645">
        <v>238</v>
      </c>
      <c r="I56" s="645">
        <v>1756</v>
      </c>
      <c r="J56" s="645">
        <v>0.13600000000000001</v>
      </c>
      <c r="K56" s="645" t="s">
        <v>501</v>
      </c>
      <c r="L56" s="645" t="s">
        <v>497</v>
      </c>
      <c r="M56" s="645" t="s">
        <v>505</v>
      </c>
      <c r="N56" s="646">
        <v>0</v>
      </c>
      <c r="O56" s="646">
        <v>0</v>
      </c>
      <c r="Q56">
        <v>234</v>
      </c>
      <c r="R56">
        <f t="shared" si="0"/>
        <v>100</v>
      </c>
      <c r="S56">
        <f t="shared" si="1"/>
        <v>122</v>
      </c>
      <c r="T56" s="305">
        <f t="shared" si="2"/>
        <v>0.81967213114754101</v>
      </c>
    </row>
    <row r="57" spans="1:20" ht="16" customHeight="1" thickBot="1">
      <c r="A57" s="126"/>
      <c r="B57" s="644"/>
      <c r="C57" s="645">
        <v>2</v>
      </c>
      <c r="D57" s="645" t="s">
        <v>552</v>
      </c>
      <c r="E57" s="645">
        <v>207</v>
      </c>
      <c r="F57" s="645" t="s">
        <v>561</v>
      </c>
      <c r="G57" s="645" t="s">
        <v>554</v>
      </c>
      <c r="H57" s="645">
        <v>413</v>
      </c>
      <c r="I57" s="645">
        <v>1453</v>
      </c>
      <c r="J57" s="645">
        <v>0.28399999999999997</v>
      </c>
      <c r="K57" s="645" t="s">
        <v>496</v>
      </c>
      <c r="L57" s="645" t="s">
        <v>497</v>
      </c>
      <c r="M57" s="645" t="s">
        <v>498</v>
      </c>
      <c r="N57" s="646">
        <v>0</v>
      </c>
      <c r="O57" s="646">
        <v>0</v>
      </c>
      <c r="Q57">
        <v>242</v>
      </c>
      <c r="R57">
        <f t="shared" si="0"/>
        <v>144</v>
      </c>
      <c r="S57">
        <f t="shared" si="1"/>
        <v>383</v>
      </c>
      <c r="T57" s="305">
        <f t="shared" si="2"/>
        <v>0.37597911227154046</v>
      </c>
    </row>
    <row r="58" spans="1:20" ht="16" customHeight="1" thickBot="1">
      <c r="A58" s="126"/>
      <c r="B58" s="644"/>
      <c r="C58" s="645">
        <v>2</v>
      </c>
      <c r="D58" s="645" t="s">
        <v>552</v>
      </c>
      <c r="E58" s="645">
        <v>235</v>
      </c>
      <c r="F58" s="645" t="s">
        <v>562</v>
      </c>
      <c r="G58" s="645" t="s">
        <v>554</v>
      </c>
      <c r="H58" s="645">
        <v>298</v>
      </c>
      <c r="I58" s="645">
        <v>1025</v>
      </c>
      <c r="J58" s="645">
        <v>0.29099999999999998</v>
      </c>
      <c r="K58" s="645" t="s">
        <v>496</v>
      </c>
      <c r="L58" s="645" t="s">
        <v>497</v>
      </c>
      <c r="M58" s="645" t="s">
        <v>505</v>
      </c>
      <c r="N58" s="646">
        <v>0</v>
      </c>
      <c r="O58" s="646">
        <v>0</v>
      </c>
      <c r="Q58">
        <v>243</v>
      </c>
      <c r="R58">
        <f t="shared" si="0"/>
        <v>63</v>
      </c>
      <c r="S58">
        <f t="shared" si="1"/>
        <v>120</v>
      </c>
      <c r="T58" s="305">
        <f t="shared" si="2"/>
        <v>0.52500000000000002</v>
      </c>
    </row>
    <row r="59" spans="1:20" ht="16" customHeight="1" thickBot="1">
      <c r="A59" s="126"/>
      <c r="B59" s="644"/>
      <c r="C59" s="645">
        <v>2</v>
      </c>
      <c r="D59" s="645" t="s">
        <v>552</v>
      </c>
      <c r="E59" s="645">
        <v>239</v>
      </c>
      <c r="F59" s="645" t="s">
        <v>563</v>
      </c>
      <c r="G59" s="645" t="s">
        <v>564</v>
      </c>
      <c r="H59" s="645">
        <v>282</v>
      </c>
      <c r="I59" s="645">
        <v>568</v>
      </c>
      <c r="J59" s="645">
        <v>0.496</v>
      </c>
      <c r="K59" s="645" t="s">
        <v>496</v>
      </c>
      <c r="L59" s="645" t="s">
        <v>518</v>
      </c>
      <c r="M59" s="645" t="s">
        <v>521</v>
      </c>
      <c r="N59" s="646">
        <v>274000</v>
      </c>
      <c r="O59" s="646">
        <v>971</v>
      </c>
      <c r="Q59">
        <v>244</v>
      </c>
      <c r="R59">
        <f t="shared" si="0"/>
        <v>662</v>
      </c>
      <c r="S59">
        <f t="shared" si="1"/>
        <v>1223</v>
      </c>
      <c r="T59" s="305">
        <f t="shared" si="2"/>
        <v>0.54129190515126735</v>
      </c>
    </row>
    <row r="60" spans="1:20" ht="16" customHeight="1" thickBot="1">
      <c r="A60" s="126"/>
      <c r="B60" s="644"/>
      <c r="C60" s="645">
        <v>2</v>
      </c>
      <c r="D60" s="645" t="s">
        <v>552</v>
      </c>
      <c r="E60" s="645">
        <v>240</v>
      </c>
      <c r="F60" s="645" t="s">
        <v>565</v>
      </c>
      <c r="G60" s="645" t="s">
        <v>564</v>
      </c>
      <c r="H60" s="645">
        <v>141</v>
      </c>
      <c r="I60" s="645">
        <v>467</v>
      </c>
      <c r="J60" s="645">
        <v>0.30199999999999999</v>
      </c>
      <c r="K60" s="645" t="s">
        <v>496</v>
      </c>
      <c r="L60" s="645" t="s">
        <v>497</v>
      </c>
      <c r="M60" s="645" t="s">
        <v>521</v>
      </c>
      <c r="N60" s="646">
        <v>0</v>
      </c>
      <c r="O60" s="646">
        <v>0</v>
      </c>
      <c r="Q60">
        <v>251</v>
      </c>
      <c r="R60">
        <f t="shared" si="0"/>
        <v>2224</v>
      </c>
      <c r="S60">
        <f t="shared" si="1"/>
        <v>5180</v>
      </c>
      <c r="T60" s="305">
        <f t="shared" si="2"/>
        <v>0.42934362934362935</v>
      </c>
    </row>
    <row r="61" spans="1:20" ht="16" customHeight="1" thickBot="1">
      <c r="A61" s="126"/>
      <c r="B61" s="644"/>
      <c r="C61" s="645">
        <v>2</v>
      </c>
      <c r="D61" s="645" t="s">
        <v>552</v>
      </c>
      <c r="E61" s="645">
        <v>257</v>
      </c>
      <c r="F61" s="645" t="s">
        <v>566</v>
      </c>
      <c r="G61" s="645" t="s">
        <v>557</v>
      </c>
      <c r="H61" s="647" t="s">
        <v>1523</v>
      </c>
      <c r="I61" s="647" t="s">
        <v>1523</v>
      </c>
      <c r="J61" s="647" t="s">
        <v>1523</v>
      </c>
      <c r="K61" s="645" t="s">
        <v>501</v>
      </c>
      <c r="L61" s="645" t="s">
        <v>497</v>
      </c>
      <c r="M61" s="645" t="s">
        <v>509</v>
      </c>
      <c r="N61" s="646">
        <v>0</v>
      </c>
      <c r="O61" s="646">
        <v>0</v>
      </c>
      <c r="Q61">
        <v>252</v>
      </c>
      <c r="R61">
        <f t="shared" si="0"/>
        <v>352</v>
      </c>
      <c r="S61">
        <f t="shared" si="1"/>
        <v>708</v>
      </c>
      <c r="T61" s="305">
        <f t="shared" si="2"/>
        <v>0.49717514124293788</v>
      </c>
    </row>
    <row r="62" spans="1:20" ht="16" customHeight="1" thickBot="1">
      <c r="A62" s="126"/>
      <c r="B62" s="644"/>
      <c r="C62" s="645">
        <v>2</v>
      </c>
      <c r="D62" s="645" t="s">
        <v>552</v>
      </c>
      <c r="E62" s="645">
        <v>283</v>
      </c>
      <c r="F62" s="645" t="s">
        <v>567</v>
      </c>
      <c r="G62" s="645" t="s">
        <v>564</v>
      </c>
      <c r="H62" s="645">
        <v>142</v>
      </c>
      <c r="I62" s="645">
        <v>673</v>
      </c>
      <c r="J62" s="645">
        <v>0.21099999999999999</v>
      </c>
      <c r="K62" s="645" t="s">
        <v>501</v>
      </c>
      <c r="L62" s="645" t="s">
        <v>497</v>
      </c>
      <c r="M62" s="645" t="s">
        <v>498</v>
      </c>
      <c r="N62" s="646">
        <v>0</v>
      </c>
      <c r="O62" s="646">
        <v>0</v>
      </c>
      <c r="Q62">
        <v>253</v>
      </c>
      <c r="R62">
        <f t="shared" si="0"/>
        <v>317</v>
      </c>
      <c r="S62">
        <f t="shared" si="1"/>
        <v>620</v>
      </c>
      <c r="T62" s="305">
        <f t="shared" si="2"/>
        <v>0.51129032258064511</v>
      </c>
    </row>
    <row r="63" spans="1:20" ht="16" customHeight="1" thickBot="1">
      <c r="A63" s="126"/>
      <c r="B63" s="644"/>
      <c r="C63" s="645">
        <v>2</v>
      </c>
      <c r="D63" s="645" t="s">
        <v>552</v>
      </c>
      <c r="E63" s="645">
        <v>284</v>
      </c>
      <c r="F63" s="645" t="s">
        <v>568</v>
      </c>
      <c r="G63" s="645" t="s">
        <v>554</v>
      </c>
      <c r="H63" s="645">
        <v>218</v>
      </c>
      <c r="I63" s="645">
        <v>999</v>
      </c>
      <c r="J63" s="645">
        <v>0.218</v>
      </c>
      <c r="K63" s="645" t="s">
        <v>501</v>
      </c>
      <c r="L63" s="645" t="s">
        <v>497</v>
      </c>
      <c r="M63" s="645" t="s">
        <v>498</v>
      </c>
      <c r="N63" s="646">
        <v>0</v>
      </c>
      <c r="O63" s="646">
        <v>0</v>
      </c>
      <c r="Q63">
        <v>261</v>
      </c>
      <c r="R63">
        <f t="shared" si="0"/>
        <v>2404</v>
      </c>
      <c r="S63">
        <f t="shared" si="1"/>
        <v>3685</v>
      </c>
      <c r="T63" s="305">
        <f t="shared" si="2"/>
        <v>0.65237449118046131</v>
      </c>
    </row>
    <row r="64" spans="1:20" ht="16" customHeight="1" thickBot="1">
      <c r="A64" s="126"/>
      <c r="B64" s="644"/>
      <c r="C64" s="645">
        <v>2</v>
      </c>
      <c r="D64" s="645" t="s">
        <v>552</v>
      </c>
      <c r="E64" s="645">
        <v>296</v>
      </c>
      <c r="F64" s="645" t="s">
        <v>569</v>
      </c>
      <c r="G64" s="645" t="s">
        <v>564</v>
      </c>
      <c r="H64" s="645">
        <v>117</v>
      </c>
      <c r="I64" s="645">
        <v>754</v>
      </c>
      <c r="J64" s="645">
        <v>0.155</v>
      </c>
      <c r="K64" s="645" t="s">
        <v>501</v>
      </c>
      <c r="L64" s="645" t="s">
        <v>497</v>
      </c>
      <c r="M64" s="645" t="s">
        <v>509</v>
      </c>
      <c r="N64" s="646">
        <v>0</v>
      </c>
      <c r="O64" s="646">
        <v>0</v>
      </c>
      <c r="Q64">
        <v>262</v>
      </c>
      <c r="R64">
        <f t="shared" si="0"/>
        <v>408</v>
      </c>
      <c r="S64">
        <f t="shared" si="1"/>
        <v>597</v>
      </c>
      <c r="T64" s="305">
        <f t="shared" si="2"/>
        <v>0.68341708542713564</v>
      </c>
    </row>
    <row r="65" spans="1:20" ht="16" customHeight="1" thickBot="1">
      <c r="A65" s="126"/>
      <c r="B65" s="644"/>
      <c r="C65" s="645">
        <v>2</v>
      </c>
      <c r="D65" s="645" t="s">
        <v>552</v>
      </c>
      <c r="E65" s="645">
        <v>328</v>
      </c>
      <c r="F65" s="645" t="s">
        <v>570</v>
      </c>
      <c r="G65" s="645" t="s">
        <v>564</v>
      </c>
      <c r="H65" s="645">
        <v>236</v>
      </c>
      <c r="I65" s="645">
        <v>408</v>
      </c>
      <c r="J65" s="645">
        <v>0.57799999999999996</v>
      </c>
      <c r="K65" s="645" t="s">
        <v>496</v>
      </c>
      <c r="L65" s="645" t="s">
        <v>518</v>
      </c>
      <c r="M65" s="645" t="s">
        <v>505</v>
      </c>
      <c r="N65" s="646">
        <v>272000</v>
      </c>
      <c r="O65" s="646">
        <v>1152</v>
      </c>
      <c r="Q65">
        <v>271</v>
      </c>
      <c r="R65">
        <f t="shared" si="0"/>
        <v>4404</v>
      </c>
      <c r="S65">
        <f t="shared" si="1"/>
        <v>10263</v>
      </c>
      <c r="T65" s="305">
        <f t="shared" si="2"/>
        <v>0.42911429406606255</v>
      </c>
    </row>
    <row r="66" spans="1:20" ht="16" customHeight="1" thickBot="1">
      <c r="A66" s="126"/>
      <c r="B66" s="644"/>
      <c r="C66" s="645">
        <v>2</v>
      </c>
      <c r="D66" s="645" t="s">
        <v>552</v>
      </c>
      <c r="E66" s="645">
        <v>329</v>
      </c>
      <c r="F66" s="645" t="s">
        <v>571</v>
      </c>
      <c r="G66" s="645" t="s">
        <v>564</v>
      </c>
      <c r="H66" s="645">
        <v>300</v>
      </c>
      <c r="I66" s="645">
        <v>564</v>
      </c>
      <c r="J66" s="645">
        <v>0.53200000000000003</v>
      </c>
      <c r="K66" s="645" t="s">
        <v>496</v>
      </c>
      <c r="L66" s="645" t="s">
        <v>518</v>
      </c>
      <c r="M66" s="645" t="s">
        <v>521</v>
      </c>
      <c r="N66" s="646">
        <v>291500</v>
      </c>
      <c r="O66" s="646">
        <v>971</v>
      </c>
      <c r="Q66">
        <v>272</v>
      </c>
      <c r="R66">
        <f t="shared" si="0"/>
        <v>1945</v>
      </c>
      <c r="S66">
        <f t="shared" si="1"/>
        <v>4130</v>
      </c>
      <c r="T66" s="305">
        <f t="shared" si="2"/>
        <v>0.47094430992736075</v>
      </c>
    </row>
    <row r="67" spans="1:20" ht="16" customHeight="1" thickBot="1">
      <c r="A67" s="126"/>
      <c r="B67" s="644"/>
      <c r="C67" s="645">
        <v>2</v>
      </c>
      <c r="D67" s="645" t="s">
        <v>552</v>
      </c>
      <c r="E67" s="645">
        <v>330</v>
      </c>
      <c r="F67" s="645" t="s">
        <v>572</v>
      </c>
      <c r="G67" s="645" t="s">
        <v>564</v>
      </c>
      <c r="H67" s="645">
        <v>164</v>
      </c>
      <c r="I67" s="645">
        <v>382</v>
      </c>
      <c r="J67" s="645">
        <v>0.42899999999999999</v>
      </c>
      <c r="K67" s="645" t="s">
        <v>496</v>
      </c>
      <c r="L67" s="645" t="s">
        <v>518</v>
      </c>
      <c r="M67" s="645" t="s">
        <v>498</v>
      </c>
      <c r="N67" s="646">
        <v>153500</v>
      </c>
      <c r="O67" s="646">
        <v>935</v>
      </c>
      <c r="Q67">
        <v>273</v>
      </c>
      <c r="R67">
        <f t="shared" si="0"/>
        <v>2846</v>
      </c>
      <c r="S67">
        <f t="shared" si="1"/>
        <v>5662</v>
      </c>
      <c r="T67" s="305">
        <f t="shared" si="2"/>
        <v>0.50264924055104199</v>
      </c>
    </row>
    <row r="68" spans="1:20" ht="16" customHeight="1" thickBot="1">
      <c r="A68" s="126"/>
      <c r="B68" s="644"/>
      <c r="C68" s="645">
        <v>2</v>
      </c>
      <c r="D68" s="645" t="s">
        <v>552</v>
      </c>
      <c r="E68" s="645">
        <v>331</v>
      </c>
      <c r="F68" s="645" t="s">
        <v>573</v>
      </c>
      <c r="G68" s="645" t="s">
        <v>564</v>
      </c>
      <c r="H68" s="645">
        <v>137</v>
      </c>
      <c r="I68" s="645">
        <v>475</v>
      </c>
      <c r="J68" s="645">
        <v>0.28799999999999998</v>
      </c>
      <c r="K68" s="645" t="s">
        <v>496</v>
      </c>
      <c r="L68" s="645" t="s">
        <v>497</v>
      </c>
      <c r="M68" s="645" t="s">
        <v>498</v>
      </c>
      <c r="N68" s="646">
        <v>0</v>
      </c>
      <c r="O68" s="646">
        <v>0</v>
      </c>
      <c r="Q68">
        <v>274</v>
      </c>
      <c r="R68">
        <f t="shared" si="0"/>
        <v>82</v>
      </c>
      <c r="S68">
        <f t="shared" si="1"/>
        <v>168</v>
      </c>
      <c r="T68" s="305">
        <f t="shared" si="2"/>
        <v>0.48809523809523808</v>
      </c>
    </row>
    <row r="69" spans="1:20" ht="16" customHeight="1" thickBot="1">
      <c r="A69" s="126"/>
      <c r="B69" s="644"/>
      <c r="C69" s="645">
        <v>2</v>
      </c>
      <c r="D69" s="645" t="s">
        <v>552</v>
      </c>
      <c r="E69" s="645">
        <v>332</v>
      </c>
      <c r="F69" s="645" t="s">
        <v>574</v>
      </c>
      <c r="G69" s="645" t="s">
        <v>564</v>
      </c>
      <c r="H69" s="645">
        <v>85</v>
      </c>
      <c r="I69" s="645">
        <v>463</v>
      </c>
      <c r="J69" s="645">
        <v>0.184</v>
      </c>
      <c r="K69" s="645" t="s">
        <v>501</v>
      </c>
      <c r="L69" s="645" t="s">
        <v>497</v>
      </c>
      <c r="M69" s="645" t="s">
        <v>509</v>
      </c>
      <c r="N69" s="646">
        <v>0</v>
      </c>
      <c r="O69" s="646">
        <v>0</v>
      </c>
      <c r="Q69">
        <v>281</v>
      </c>
      <c r="R69">
        <f t="shared" ref="R69:R132" si="3">SUMIF($C:$C, $Q69, H:H)</f>
        <v>817</v>
      </c>
      <c r="S69">
        <f t="shared" ref="S69:S132" si="4">SUMIF($C:$C, $Q69, I:I)</f>
        <v>2415</v>
      </c>
      <c r="T69" s="305">
        <f t="shared" ref="T69:T132" si="5">R69/S69</f>
        <v>0.33830227743271224</v>
      </c>
    </row>
    <row r="70" spans="1:20" ht="16" customHeight="1" thickBot="1">
      <c r="A70" s="126"/>
      <c r="B70" s="644"/>
      <c r="C70" s="645">
        <v>2</v>
      </c>
      <c r="D70" s="645" t="s">
        <v>552</v>
      </c>
      <c r="E70" s="645">
        <v>333</v>
      </c>
      <c r="F70" s="645" t="s">
        <v>575</v>
      </c>
      <c r="G70" s="645" t="s">
        <v>564</v>
      </c>
      <c r="H70" s="645">
        <v>180</v>
      </c>
      <c r="I70" s="645">
        <v>406</v>
      </c>
      <c r="J70" s="645">
        <v>0.443</v>
      </c>
      <c r="K70" s="645" t="s">
        <v>496</v>
      </c>
      <c r="L70" s="645" t="s">
        <v>518</v>
      </c>
      <c r="M70" s="645" t="s">
        <v>498</v>
      </c>
      <c r="N70" s="646">
        <v>168324</v>
      </c>
      <c r="O70" s="646">
        <v>935</v>
      </c>
      <c r="Q70">
        <v>282</v>
      </c>
      <c r="R70">
        <f t="shared" si="3"/>
        <v>75</v>
      </c>
      <c r="S70">
        <f t="shared" si="4"/>
        <v>314</v>
      </c>
      <c r="T70" s="305">
        <f t="shared" si="5"/>
        <v>0.23885350318471338</v>
      </c>
    </row>
    <row r="71" spans="1:20" ht="16" customHeight="1" thickBot="1">
      <c r="A71" s="126"/>
      <c r="B71" s="644"/>
      <c r="C71" s="645">
        <v>2</v>
      </c>
      <c r="D71" s="645" t="s">
        <v>552</v>
      </c>
      <c r="E71" s="645">
        <v>334</v>
      </c>
      <c r="F71" s="645" t="s">
        <v>576</v>
      </c>
      <c r="G71" s="645" t="s">
        <v>564</v>
      </c>
      <c r="H71" s="645">
        <v>190</v>
      </c>
      <c r="I71" s="645">
        <v>496</v>
      </c>
      <c r="J71" s="645">
        <v>0.38300000000000001</v>
      </c>
      <c r="K71" s="645" t="s">
        <v>496</v>
      </c>
      <c r="L71" s="645" t="s">
        <v>497</v>
      </c>
      <c r="M71" s="645" t="s">
        <v>498</v>
      </c>
      <c r="N71" s="646">
        <v>0</v>
      </c>
      <c r="O71" s="646">
        <v>0</v>
      </c>
      <c r="Q71">
        <v>283</v>
      </c>
      <c r="R71">
        <f t="shared" si="3"/>
        <v>93</v>
      </c>
      <c r="S71">
        <f t="shared" si="4"/>
        <v>230</v>
      </c>
      <c r="T71" s="305">
        <f t="shared" si="5"/>
        <v>0.40434782608695652</v>
      </c>
    </row>
    <row r="72" spans="1:20" ht="16" customHeight="1" thickBot="1">
      <c r="A72" s="126"/>
      <c r="B72" s="644"/>
      <c r="C72" s="645">
        <v>2</v>
      </c>
      <c r="D72" s="645" t="s">
        <v>552</v>
      </c>
      <c r="E72" s="645">
        <v>335</v>
      </c>
      <c r="F72" s="645" t="s">
        <v>577</v>
      </c>
      <c r="G72" s="645" t="s">
        <v>564</v>
      </c>
      <c r="H72" s="645">
        <v>264</v>
      </c>
      <c r="I72" s="645">
        <v>478</v>
      </c>
      <c r="J72" s="645">
        <v>0.55200000000000005</v>
      </c>
      <c r="K72" s="645" t="s">
        <v>496</v>
      </c>
      <c r="L72" s="645" t="s">
        <v>518</v>
      </c>
      <c r="M72" s="645" t="s">
        <v>521</v>
      </c>
      <c r="N72" s="646">
        <v>282000</v>
      </c>
      <c r="O72" s="646">
        <v>1068</v>
      </c>
      <c r="Q72">
        <v>285</v>
      </c>
      <c r="R72">
        <f t="shared" si="3"/>
        <v>224</v>
      </c>
      <c r="S72">
        <f t="shared" si="4"/>
        <v>468</v>
      </c>
      <c r="T72" s="305">
        <f t="shared" si="5"/>
        <v>0.47863247863247865</v>
      </c>
    </row>
    <row r="73" spans="1:20" ht="16" customHeight="1" thickBot="1">
      <c r="A73" s="126"/>
      <c r="B73" s="644"/>
      <c r="C73" s="645">
        <v>2</v>
      </c>
      <c r="D73" s="645" t="s">
        <v>552</v>
      </c>
      <c r="E73" s="645">
        <v>336</v>
      </c>
      <c r="F73" s="645" t="s">
        <v>578</v>
      </c>
      <c r="G73" s="645" t="s">
        <v>564</v>
      </c>
      <c r="H73" s="645">
        <v>288</v>
      </c>
      <c r="I73" s="645">
        <v>434</v>
      </c>
      <c r="J73" s="645">
        <v>0.66400000000000003</v>
      </c>
      <c r="K73" s="645" t="s">
        <v>496</v>
      </c>
      <c r="L73" s="645" t="s">
        <v>518</v>
      </c>
      <c r="M73" s="645" t="s">
        <v>521</v>
      </c>
      <c r="N73" s="646">
        <v>385348</v>
      </c>
      <c r="O73" s="646">
        <v>1338</v>
      </c>
      <c r="Q73">
        <v>287</v>
      </c>
      <c r="R73">
        <f t="shared" si="3"/>
        <v>113</v>
      </c>
      <c r="S73">
        <f t="shared" si="4"/>
        <v>291</v>
      </c>
      <c r="T73" s="305">
        <f t="shared" si="5"/>
        <v>0.38831615120274915</v>
      </c>
    </row>
    <row r="74" spans="1:20" ht="16" customHeight="1" thickBot="1">
      <c r="A74" s="126"/>
      <c r="B74" s="644"/>
      <c r="C74" s="645">
        <v>2</v>
      </c>
      <c r="D74" s="645" t="s">
        <v>552</v>
      </c>
      <c r="E74" s="645">
        <v>337</v>
      </c>
      <c r="F74" s="645" t="s">
        <v>579</v>
      </c>
      <c r="G74" s="645" t="s">
        <v>564</v>
      </c>
      <c r="H74" s="645">
        <v>252</v>
      </c>
      <c r="I74" s="645">
        <v>447</v>
      </c>
      <c r="J74" s="645">
        <v>0.56399999999999995</v>
      </c>
      <c r="K74" s="645" t="s">
        <v>496</v>
      </c>
      <c r="L74" s="645" t="s">
        <v>518</v>
      </c>
      <c r="M74" s="645" t="s">
        <v>521</v>
      </c>
      <c r="N74" s="646">
        <v>270000</v>
      </c>
      <c r="O74" s="646">
        <v>1071</v>
      </c>
      <c r="Q74">
        <v>288</v>
      </c>
      <c r="R74">
        <f t="shared" si="3"/>
        <v>107</v>
      </c>
      <c r="S74">
        <f t="shared" si="4"/>
        <v>217</v>
      </c>
      <c r="T74" s="305">
        <f t="shared" si="5"/>
        <v>0.49308755760368661</v>
      </c>
    </row>
    <row r="75" spans="1:20" ht="16" customHeight="1" thickBot="1">
      <c r="A75" s="126"/>
      <c r="B75" s="644"/>
      <c r="C75" s="645">
        <v>2</v>
      </c>
      <c r="D75" s="645" t="s">
        <v>552</v>
      </c>
      <c r="E75" s="645">
        <v>338</v>
      </c>
      <c r="F75" s="645" t="s">
        <v>580</v>
      </c>
      <c r="G75" s="645" t="s">
        <v>551</v>
      </c>
      <c r="H75" s="645">
        <v>131</v>
      </c>
      <c r="I75" s="645">
        <v>528</v>
      </c>
      <c r="J75" s="645">
        <v>0.248</v>
      </c>
      <c r="K75" s="645" t="s">
        <v>501</v>
      </c>
      <c r="L75" s="645" t="s">
        <v>497</v>
      </c>
      <c r="M75" s="645" t="s">
        <v>498</v>
      </c>
      <c r="N75" s="646">
        <v>0</v>
      </c>
      <c r="O75" s="646">
        <v>0</v>
      </c>
      <c r="Q75">
        <v>291</v>
      </c>
      <c r="R75">
        <f t="shared" si="3"/>
        <v>536</v>
      </c>
      <c r="S75">
        <f t="shared" si="4"/>
        <v>847</v>
      </c>
      <c r="T75" s="305">
        <f t="shared" si="5"/>
        <v>0.63282172373081469</v>
      </c>
    </row>
    <row r="76" spans="1:20" ht="16" customHeight="1" thickBot="1">
      <c r="A76" s="126"/>
      <c r="B76" s="644"/>
      <c r="C76" s="645">
        <v>2</v>
      </c>
      <c r="D76" s="645" t="s">
        <v>552</v>
      </c>
      <c r="E76" s="645">
        <v>339</v>
      </c>
      <c r="F76" s="645" t="s">
        <v>581</v>
      </c>
      <c r="G76" s="645" t="s">
        <v>564</v>
      </c>
      <c r="H76" s="645">
        <v>211</v>
      </c>
      <c r="I76" s="645">
        <v>447</v>
      </c>
      <c r="J76" s="645">
        <v>0.47199999999999998</v>
      </c>
      <c r="K76" s="645" t="s">
        <v>496</v>
      </c>
      <c r="L76" s="645" t="s">
        <v>518</v>
      </c>
      <c r="M76" s="645" t="s">
        <v>509</v>
      </c>
      <c r="N76" s="646">
        <v>205000</v>
      </c>
      <c r="O76" s="646">
        <v>971</v>
      </c>
      <c r="Q76">
        <v>292</v>
      </c>
      <c r="R76">
        <f t="shared" si="3"/>
        <v>46</v>
      </c>
      <c r="S76">
        <f t="shared" si="4"/>
        <v>75</v>
      </c>
      <c r="T76" s="305">
        <f t="shared" si="5"/>
        <v>0.61333333333333329</v>
      </c>
    </row>
    <row r="77" spans="1:20" ht="16" customHeight="1" thickBot="1">
      <c r="A77" s="126"/>
      <c r="B77" s="644"/>
      <c r="C77" s="645">
        <v>2</v>
      </c>
      <c r="D77" s="645" t="s">
        <v>552</v>
      </c>
      <c r="E77" s="645">
        <v>340</v>
      </c>
      <c r="F77" s="645" t="s">
        <v>582</v>
      </c>
      <c r="G77" s="645" t="s">
        <v>564</v>
      </c>
      <c r="H77" s="645">
        <v>130</v>
      </c>
      <c r="I77" s="645">
        <v>535</v>
      </c>
      <c r="J77" s="645">
        <v>0.24299999999999999</v>
      </c>
      <c r="K77" s="645" t="s">
        <v>501</v>
      </c>
      <c r="L77" s="645" t="s">
        <v>497</v>
      </c>
      <c r="M77" s="645" t="s">
        <v>505</v>
      </c>
      <c r="N77" s="646">
        <v>0</v>
      </c>
      <c r="O77" s="646">
        <v>0</v>
      </c>
      <c r="Q77">
        <v>302</v>
      </c>
      <c r="R77">
        <f t="shared" si="3"/>
        <v>22</v>
      </c>
      <c r="S77">
        <f t="shared" si="4"/>
        <v>43</v>
      </c>
      <c r="T77" s="305">
        <f t="shared" si="5"/>
        <v>0.51162790697674421</v>
      </c>
    </row>
    <row r="78" spans="1:20" ht="16" customHeight="1" thickBot="1">
      <c r="A78" s="126"/>
      <c r="B78" s="644"/>
      <c r="C78" s="645">
        <v>2</v>
      </c>
      <c r="D78" s="645" t="s">
        <v>552</v>
      </c>
      <c r="E78" s="645">
        <v>341</v>
      </c>
      <c r="F78" s="645" t="s">
        <v>583</v>
      </c>
      <c r="G78" s="645" t="s">
        <v>564</v>
      </c>
      <c r="H78" s="645">
        <v>98</v>
      </c>
      <c r="I78" s="645">
        <v>548</v>
      </c>
      <c r="J78" s="645">
        <v>0.17899999999999999</v>
      </c>
      <c r="K78" s="645" t="s">
        <v>501</v>
      </c>
      <c r="L78" s="645" t="s">
        <v>497</v>
      </c>
      <c r="M78" s="645" t="s">
        <v>509</v>
      </c>
      <c r="N78" s="646">
        <v>0</v>
      </c>
      <c r="O78" s="646">
        <v>0</v>
      </c>
      <c r="Q78">
        <v>304</v>
      </c>
      <c r="R78">
        <f t="shared" si="3"/>
        <v>305</v>
      </c>
      <c r="S78">
        <f t="shared" si="4"/>
        <v>441</v>
      </c>
      <c r="T78" s="305">
        <f t="shared" si="5"/>
        <v>0.69160997732426299</v>
      </c>
    </row>
    <row r="79" spans="1:20" ht="16" customHeight="1" thickBot="1">
      <c r="A79" s="126"/>
      <c r="B79" s="644"/>
      <c r="C79" s="645">
        <v>2</v>
      </c>
      <c r="D79" s="645" t="s">
        <v>552</v>
      </c>
      <c r="E79" s="645">
        <v>343</v>
      </c>
      <c r="F79" s="645" t="s">
        <v>584</v>
      </c>
      <c r="G79" s="645" t="s">
        <v>564</v>
      </c>
      <c r="H79" s="645">
        <v>128</v>
      </c>
      <c r="I79" s="645">
        <v>418</v>
      </c>
      <c r="J79" s="645">
        <v>0.30599999999999999</v>
      </c>
      <c r="K79" s="645" t="s">
        <v>496</v>
      </c>
      <c r="L79" s="645" t="s">
        <v>497</v>
      </c>
      <c r="M79" s="645" t="s">
        <v>521</v>
      </c>
      <c r="N79" s="646">
        <v>0</v>
      </c>
      <c r="O79" s="646">
        <v>0</v>
      </c>
      <c r="Q79">
        <v>305</v>
      </c>
      <c r="R79">
        <f t="shared" si="3"/>
        <v>77</v>
      </c>
      <c r="S79">
        <f t="shared" si="4"/>
        <v>174</v>
      </c>
      <c r="T79" s="305">
        <f t="shared" si="5"/>
        <v>0.44252873563218392</v>
      </c>
    </row>
    <row r="80" spans="1:20" ht="16" customHeight="1" thickBot="1">
      <c r="A80" s="126"/>
      <c r="B80" s="644"/>
      <c r="C80" s="645">
        <v>2</v>
      </c>
      <c r="D80" s="645" t="s">
        <v>552</v>
      </c>
      <c r="E80" s="645">
        <v>504</v>
      </c>
      <c r="F80" s="645" t="s">
        <v>585</v>
      </c>
      <c r="G80" s="645" t="s">
        <v>564</v>
      </c>
      <c r="H80" s="645">
        <v>189</v>
      </c>
      <c r="I80" s="645">
        <v>613</v>
      </c>
      <c r="J80" s="645">
        <v>0.308</v>
      </c>
      <c r="K80" s="645" t="s">
        <v>496</v>
      </c>
      <c r="L80" s="645" t="s">
        <v>497</v>
      </c>
      <c r="M80" s="645" t="s">
        <v>505</v>
      </c>
      <c r="N80" s="646">
        <v>0</v>
      </c>
      <c r="O80" s="646">
        <v>0</v>
      </c>
      <c r="Q80">
        <v>312</v>
      </c>
      <c r="R80">
        <f t="shared" si="3"/>
        <v>370</v>
      </c>
      <c r="S80">
        <f t="shared" si="4"/>
        <v>483</v>
      </c>
      <c r="T80" s="305">
        <f t="shared" si="5"/>
        <v>0.76604554865424435</v>
      </c>
    </row>
    <row r="81" spans="1:20" ht="16" customHeight="1" thickBot="1">
      <c r="A81" s="126"/>
      <c r="B81" s="644"/>
      <c r="C81" s="645">
        <v>2</v>
      </c>
      <c r="D81" s="645" t="s">
        <v>552</v>
      </c>
      <c r="E81" s="645">
        <v>507</v>
      </c>
      <c r="F81" s="645" t="s">
        <v>586</v>
      </c>
      <c r="G81" s="645" t="s">
        <v>564</v>
      </c>
      <c r="H81" s="645">
        <v>152</v>
      </c>
      <c r="I81" s="645">
        <v>693</v>
      </c>
      <c r="J81" s="645">
        <v>0.219</v>
      </c>
      <c r="K81" s="645" t="s">
        <v>501</v>
      </c>
      <c r="L81" s="645" t="s">
        <v>497</v>
      </c>
      <c r="M81" s="645" t="s">
        <v>509</v>
      </c>
      <c r="N81" s="646">
        <v>0</v>
      </c>
      <c r="O81" s="646">
        <v>0</v>
      </c>
      <c r="Q81">
        <v>314</v>
      </c>
      <c r="R81">
        <f t="shared" si="3"/>
        <v>158</v>
      </c>
      <c r="S81">
        <f t="shared" si="4"/>
        <v>226</v>
      </c>
      <c r="T81" s="305">
        <f t="shared" si="5"/>
        <v>0.69911504424778759</v>
      </c>
    </row>
    <row r="82" spans="1:20" ht="16" customHeight="1" thickBot="1">
      <c r="A82" s="126"/>
      <c r="B82" s="644"/>
      <c r="C82" s="645">
        <v>2</v>
      </c>
      <c r="D82" s="645" t="s">
        <v>552</v>
      </c>
      <c r="E82" s="645">
        <v>521</v>
      </c>
      <c r="F82" s="645" t="s">
        <v>587</v>
      </c>
      <c r="G82" s="645" t="s">
        <v>564</v>
      </c>
      <c r="H82" s="645">
        <v>130</v>
      </c>
      <c r="I82" s="645">
        <v>587</v>
      </c>
      <c r="J82" s="645">
        <v>0.221</v>
      </c>
      <c r="K82" s="645" t="s">
        <v>501</v>
      </c>
      <c r="L82" s="645" t="s">
        <v>497</v>
      </c>
      <c r="M82" s="645" t="s">
        <v>498</v>
      </c>
      <c r="N82" s="646">
        <v>0</v>
      </c>
      <c r="O82" s="646">
        <v>0</v>
      </c>
      <c r="Q82">
        <v>316</v>
      </c>
      <c r="R82">
        <f t="shared" si="3"/>
        <v>137</v>
      </c>
      <c r="S82">
        <f t="shared" si="4"/>
        <v>200</v>
      </c>
      <c r="T82" s="305">
        <f t="shared" si="5"/>
        <v>0.68500000000000005</v>
      </c>
    </row>
    <row r="83" spans="1:20" ht="16" customHeight="1" thickBot="1">
      <c r="A83" s="126"/>
      <c r="B83" s="644"/>
      <c r="C83" s="645">
        <v>2</v>
      </c>
      <c r="D83" s="645" t="s">
        <v>552</v>
      </c>
      <c r="E83" s="645">
        <v>523</v>
      </c>
      <c r="F83" s="645" t="s">
        <v>588</v>
      </c>
      <c r="G83" s="645" t="s">
        <v>564</v>
      </c>
      <c r="H83" s="645">
        <v>130</v>
      </c>
      <c r="I83" s="645">
        <v>635</v>
      </c>
      <c r="J83" s="645">
        <v>0.20499999999999999</v>
      </c>
      <c r="K83" s="645" t="s">
        <v>501</v>
      </c>
      <c r="L83" s="645" t="s">
        <v>497</v>
      </c>
      <c r="M83" s="645" t="s">
        <v>509</v>
      </c>
      <c r="N83" s="646">
        <v>0</v>
      </c>
      <c r="O83" s="646">
        <v>0</v>
      </c>
      <c r="Q83">
        <v>321</v>
      </c>
      <c r="R83">
        <f t="shared" si="3"/>
        <v>2035</v>
      </c>
      <c r="S83">
        <f t="shared" si="4"/>
        <v>5125</v>
      </c>
      <c r="T83" s="305">
        <f t="shared" si="5"/>
        <v>0.39707317073170734</v>
      </c>
    </row>
    <row r="84" spans="1:20" ht="16" customHeight="1" thickBot="1">
      <c r="A84" s="126"/>
      <c r="B84" s="644"/>
      <c r="C84" s="645">
        <v>2</v>
      </c>
      <c r="D84" s="645" t="s">
        <v>552</v>
      </c>
      <c r="E84" s="645">
        <v>524</v>
      </c>
      <c r="F84" s="645" t="s">
        <v>589</v>
      </c>
      <c r="G84" s="645" t="s">
        <v>564</v>
      </c>
      <c r="H84" s="645">
        <v>166</v>
      </c>
      <c r="I84" s="645">
        <v>536</v>
      </c>
      <c r="J84" s="645">
        <v>0.31</v>
      </c>
      <c r="K84" s="645" t="s">
        <v>496</v>
      </c>
      <c r="L84" s="645" t="s">
        <v>497</v>
      </c>
      <c r="M84" s="645" t="s">
        <v>498</v>
      </c>
      <c r="N84" s="646">
        <v>0</v>
      </c>
      <c r="O84" s="646">
        <v>0</v>
      </c>
      <c r="Q84">
        <v>322</v>
      </c>
      <c r="R84">
        <f t="shared" si="3"/>
        <v>732</v>
      </c>
      <c r="S84">
        <f t="shared" si="4"/>
        <v>1529</v>
      </c>
      <c r="T84" s="305">
        <f t="shared" si="5"/>
        <v>0.4787442773054284</v>
      </c>
    </row>
    <row r="85" spans="1:20" ht="16" customHeight="1" thickBot="1">
      <c r="A85" s="126"/>
      <c r="B85" s="644"/>
      <c r="C85" s="645">
        <v>2</v>
      </c>
      <c r="D85" s="645" t="s">
        <v>552</v>
      </c>
      <c r="E85" s="645">
        <v>525</v>
      </c>
      <c r="F85" s="645" t="s">
        <v>590</v>
      </c>
      <c r="G85" s="645" t="s">
        <v>564</v>
      </c>
      <c r="H85" s="645">
        <v>158</v>
      </c>
      <c r="I85" s="645">
        <v>739</v>
      </c>
      <c r="J85" s="645">
        <v>0.214</v>
      </c>
      <c r="K85" s="645" t="s">
        <v>501</v>
      </c>
      <c r="L85" s="645" t="s">
        <v>497</v>
      </c>
      <c r="M85" s="645" t="s">
        <v>498</v>
      </c>
      <c r="N85" s="646">
        <v>0</v>
      </c>
      <c r="O85" s="646">
        <v>0</v>
      </c>
      <c r="Q85">
        <v>331</v>
      </c>
      <c r="R85">
        <f t="shared" si="3"/>
        <v>2619</v>
      </c>
      <c r="S85">
        <f t="shared" si="4"/>
        <v>4007</v>
      </c>
      <c r="T85" s="305">
        <f t="shared" si="5"/>
        <v>0.6536061891689543</v>
      </c>
    </row>
    <row r="86" spans="1:20" ht="16" customHeight="1" thickBot="1">
      <c r="A86" s="126"/>
      <c r="B86" s="644"/>
      <c r="C86" s="645">
        <v>2</v>
      </c>
      <c r="D86" s="645" t="s">
        <v>552</v>
      </c>
      <c r="E86" s="645">
        <v>526</v>
      </c>
      <c r="F86" s="645" t="s">
        <v>591</v>
      </c>
      <c r="G86" s="645" t="s">
        <v>564</v>
      </c>
      <c r="H86" s="645">
        <v>58</v>
      </c>
      <c r="I86" s="645">
        <v>401</v>
      </c>
      <c r="J86" s="645">
        <v>0.14499999999999999</v>
      </c>
      <c r="K86" s="645" t="s">
        <v>501</v>
      </c>
      <c r="L86" s="645" t="s">
        <v>497</v>
      </c>
      <c r="M86" s="645" t="s">
        <v>498</v>
      </c>
      <c r="N86" s="646">
        <v>0</v>
      </c>
      <c r="O86" s="646">
        <v>0</v>
      </c>
      <c r="Q86">
        <v>340</v>
      </c>
      <c r="R86">
        <f t="shared" si="3"/>
        <v>1841</v>
      </c>
      <c r="S86">
        <f t="shared" si="4"/>
        <v>4669</v>
      </c>
      <c r="T86" s="305">
        <f t="shared" si="5"/>
        <v>0.39430284857571213</v>
      </c>
    </row>
    <row r="87" spans="1:20" ht="16" customHeight="1" thickBot="1">
      <c r="A87" s="126"/>
      <c r="B87" s="644"/>
      <c r="C87" s="645">
        <v>2</v>
      </c>
      <c r="D87" s="645" t="s">
        <v>552</v>
      </c>
      <c r="E87" s="645">
        <v>545</v>
      </c>
      <c r="F87" s="645" t="s">
        <v>592</v>
      </c>
      <c r="G87" s="645" t="s">
        <v>557</v>
      </c>
      <c r="H87" s="645">
        <v>528</v>
      </c>
      <c r="I87" s="645">
        <v>2232</v>
      </c>
      <c r="J87" s="645">
        <v>0.23699999999999999</v>
      </c>
      <c r="K87" s="645" t="s">
        <v>501</v>
      </c>
      <c r="L87" s="645" t="s">
        <v>497</v>
      </c>
      <c r="M87" s="645" t="s">
        <v>505</v>
      </c>
      <c r="N87" s="646">
        <v>0</v>
      </c>
      <c r="O87" s="646">
        <v>0</v>
      </c>
      <c r="Q87">
        <v>341</v>
      </c>
      <c r="R87">
        <f t="shared" si="3"/>
        <v>374</v>
      </c>
      <c r="S87">
        <f t="shared" si="4"/>
        <v>422</v>
      </c>
      <c r="T87" s="305">
        <f t="shared" si="5"/>
        <v>0.88625592417061616</v>
      </c>
    </row>
    <row r="88" spans="1:20" ht="16" customHeight="1" thickBot="1">
      <c r="A88" s="126"/>
      <c r="B88" s="644"/>
      <c r="C88" s="645">
        <v>2</v>
      </c>
      <c r="D88" s="645" t="s">
        <v>552</v>
      </c>
      <c r="E88" s="645">
        <v>547</v>
      </c>
      <c r="F88" s="645" t="s">
        <v>456</v>
      </c>
      <c r="G88" s="645" t="s">
        <v>557</v>
      </c>
      <c r="H88" s="645">
        <v>53</v>
      </c>
      <c r="I88" s="645">
        <v>424</v>
      </c>
      <c r="J88" s="645">
        <v>0.125</v>
      </c>
      <c r="K88" s="645" t="s">
        <v>501</v>
      </c>
      <c r="L88" s="645" t="s">
        <v>497</v>
      </c>
      <c r="M88" s="645" t="s">
        <v>509</v>
      </c>
      <c r="N88" s="646">
        <v>0</v>
      </c>
      <c r="O88" s="646">
        <v>0</v>
      </c>
      <c r="Q88">
        <v>342</v>
      </c>
      <c r="R88">
        <f t="shared" si="3"/>
        <v>61</v>
      </c>
      <c r="S88">
        <f t="shared" si="4"/>
        <v>73</v>
      </c>
      <c r="T88" s="305">
        <f t="shared" si="5"/>
        <v>0.83561643835616439</v>
      </c>
    </row>
    <row r="89" spans="1:20" ht="16" customHeight="1" thickBot="1">
      <c r="A89" s="126"/>
      <c r="B89" s="644"/>
      <c r="C89" s="645">
        <v>2</v>
      </c>
      <c r="D89" s="645" t="s">
        <v>552</v>
      </c>
      <c r="E89" s="645">
        <v>592</v>
      </c>
      <c r="F89" s="645" t="s">
        <v>593</v>
      </c>
      <c r="G89" s="645" t="s">
        <v>564</v>
      </c>
      <c r="H89" s="645">
        <v>402</v>
      </c>
      <c r="I89" s="645">
        <v>717</v>
      </c>
      <c r="J89" s="645">
        <v>0.56100000000000005</v>
      </c>
      <c r="K89" s="645" t="s">
        <v>496</v>
      </c>
      <c r="L89" s="645" t="s">
        <v>518</v>
      </c>
      <c r="M89" s="645" t="s">
        <v>521</v>
      </c>
      <c r="N89" s="646">
        <v>429500</v>
      </c>
      <c r="O89" s="646">
        <v>1068</v>
      </c>
      <c r="Q89">
        <v>351</v>
      </c>
      <c r="R89">
        <f t="shared" si="3"/>
        <v>421</v>
      </c>
      <c r="S89">
        <f t="shared" si="4"/>
        <v>923</v>
      </c>
      <c r="T89" s="305">
        <f t="shared" si="5"/>
        <v>0.4561213434452871</v>
      </c>
    </row>
    <row r="90" spans="1:20" ht="16" customHeight="1" thickBot="1">
      <c r="A90" s="126"/>
      <c r="B90" s="644"/>
      <c r="C90" s="645">
        <v>2</v>
      </c>
      <c r="D90" s="645" t="s">
        <v>552</v>
      </c>
      <c r="E90" s="645">
        <v>593</v>
      </c>
      <c r="F90" s="645" t="s">
        <v>594</v>
      </c>
      <c r="G90" s="645" t="s">
        <v>564</v>
      </c>
      <c r="H90" s="645">
        <v>158</v>
      </c>
      <c r="I90" s="645">
        <v>722</v>
      </c>
      <c r="J90" s="645">
        <v>0.219</v>
      </c>
      <c r="K90" s="645" t="s">
        <v>501</v>
      </c>
      <c r="L90" s="645" t="s">
        <v>497</v>
      </c>
      <c r="M90" s="645" t="s">
        <v>498</v>
      </c>
      <c r="N90" s="646">
        <v>0</v>
      </c>
      <c r="O90" s="646">
        <v>0</v>
      </c>
      <c r="Q90">
        <v>363</v>
      </c>
      <c r="R90">
        <f t="shared" si="3"/>
        <v>566</v>
      </c>
      <c r="S90">
        <f t="shared" si="4"/>
        <v>819</v>
      </c>
      <c r="T90" s="305">
        <f t="shared" si="5"/>
        <v>0.69108669108669107</v>
      </c>
    </row>
    <row r="91" spans="1:20" ht="16" customHeight="1" thickBot="1">
      <c r="A91" s="126"/>
      <c r="B91" s="644"/>
      <c r="C91" s="645">
        <v>2</v>
      </c>
      <c r="D91" s="645" t="s">
        <v>552</v>
      </c>
      <c r="E91" s="645">
        <v>594</v>
      </c>
      <c r="F91" s="645" t="s">
        <v>595</v>
      </c>
      <c r="G91" s="645" t="s">
        <v>596</v>
      </c>
      <c r="H91" s="645">
        <v>103</v>
      </c>
      <c r="I91" s="645">
        <v>153</v>
      </c>
      <c r="J91" s="645">
        <v>0.67300000000000004</v>
      </c>
      <c r="K91" s="645" t="s">
        <v>496</v>
      </c>
      <c r="L91" s="645" t="s">
        <v>497</v>
      </c>
      <c r="M91" s="645" t="s">
        <v>547</v>
      </c>
      <c r="N91" s="646">
        <v>0</v>
      </c>
      <c r="O91" s="646">
        <v>0</v>
      </c>
      <c r="Q91">
        <v>365</v>
      </c>
      <c r="R91">
        <f t="shared" si="3"/>
        <v>219</v>
      </c>
      <c r="S91">
        <f t="shared" si="4"/>
        <v>314</v>
      </c>
      <c r="T91" s="305">
        <f t="shared" si="5"/>
        <v>0.69745222929936301</v>
      </c>
    </row>
    <row r="92" spans="1:20" ht="16" customHeight="1" thickBot="1">
      <c r="A92" s="126"/>
      <c r="B92" s="644"/>
      <c r="C92" s="645">
        <v>2</v>
      </c>
      <c r="D92" s="645" t="s">
        <v>552</v>
      </c>
      <c r="E92" s="645">
        <v>597</v>
      </c>
      <c r="F92" s="645" t="s">
        <v>597</v>
      </c>
      <c r="G92" s="645" t="s">
        <v>557</v>
      </c>
      <c r="H92" s="645">
        <v>99</v>
      </c>
      <c r="I92" s="645">
        <v>174</v>
      </c>
      <c r="J92" s="645">
        <v>0.56899999999999995</v>
      </c>
      <c r="K92" s="645" t="s">
        <v>496</v>
      </c>
      <c r="L92" s="645" t="s">
        <v>497</v>
      </c>
      <c r="M92" s="645" t="s">
        <v>498</v>
      </c>
      <c r="N92" s="646">
        <v>0</v>
      </c>
      <c r="O92" s="646">
        <v>0</v>
      </c>
      <c r="Q92">
        <v>370</v>
      </c>
      <c r="R92">
        <f t="shared" si="3"/>
        <v>733</v>
      </c>
      <c r="S92">
        <f t="shared" si="4"/>
        <v>1119</v>
      </c>
      <c r="T92" s="305">
        <f t="shared" si="5"/>
        <v>0.65504915102770334</v>
      </c>
    </row>
    <row r="93" spans="1:20" ht="16" customHeight="1" thickBot="1">
      <c r="A93" s="126"/>
      <c r="B93" s="644"/>
      <c r="C93" s="645">
        <v>2</v>
      </c>
      <c r="D93" s="645" t="s">
        <v>552</v>
      </c>
      <c r="E93" s="645">
        <v>898</v>
      </c>
      <c r="F93" s="645" t="s">
        <v>598</v>
      </c>
      <c r="G93" s="645" t="s">
        <v>557</v>
      </c>
      <c r="H93" s="645">
        <v>341</v>
      </c>
      <c r="I93" s="645">
        <v>2145</v>
      </c>
      <c r="J93" s="645">
        <v>0.159</v>
      </c>
      <c r="K93" s="645" t="s">
        <v>501</v>
      </c>
      <c r="L93" s="645" t="s">
        <v>497</v>
      </c>
      <c r="M93" s="645" t="s">
        <v>509</v>
      </c>
      <c r="N93" s="646">
        <v>0</v>
      </c>
      <c r="O93" s="646">
        <v>0</v>
      </c>
      <c r="Q93">
        <v>371</v>
      </c>
      <c r="R93">
        <f t="shared" si="3"/>
        <v>1095</v>
      </c>
      <c r="S93">
        <f t="shared" si="4"/>
        <v>1528</v>
      </c>
      <c r="T93" s="305">
        <f t="shared" si="5"/>
        <v>0.71662303664921467</v>
      </c>
    </row>
    <row r="94" spans="1:20" ht="16" customHeight="1" thickBot="1">
      <c r="A94" s="126"/>
      <c r="B94" s="644"/>
      <c r="C94" s="645">
        <v>2</v>
      </c>
      <c r="D94" s="645" t="s">
        <v>552</v>
      </c>
      <c r="E94" s="645">
        <v>899</v>
      </c>
      <c r="F94" s="645" t="s">
        <v>599</v>
      </c>
      <c r="G94" s="645" t="s">
        <v>551</v>
      </c>
      <c r="H94" s="645">
        <v>127</v>
      </c>
      <c r="I94" s="645">
        <v>817</v>
      </c>
      <c r="J94" s="645">
        <v>0.155</v>
      </c>
      <c r="K94" s="645" t="s">
        <v>501</v>
      </c>
      <c r="L94" s="645" t="s">
        <v>497</v>
      </c>
      <c r="M94" s="645" t="s">
        <v>498</v>
      </c>
      <c r="N94" s="646">
        <v>0</v>
      </c>
      <c r="O94" s="646">
        <v>0</v>
      </c>
      <c r="Q94">
        <v>372</v>
      </c>
      <c r="R94">
        <f t="shared" si="3"/>
        <v>362</v>
      </c>
      <c r="S94">
        <f t="shared" si="4"/>
        <v>700</v>
      </c>
      <c r="T94" s="305">
        <f t="shared" si="5"/>
        <v>0.51714285714285713</v>
      </c>
    </row>
    <row r="95" spans="1:20" ht="16" customHeight="1" thickBot="1">
      <c r="A95" s="126"/>
      <c r="B95" s="644"/>
      <c r="C95" s="645">
        <v>2</v>
      </c>
      <c r="D95" s="645" t="s">
        <v>552</v>
      </c>
      <c r="E95" s="645">
        <v>982</v>
      </c>
      <c r="F95" s="645" t="s">
        <v>600</v>
      </c>
      <c r="G95" s="645" t="s">
        <v>557</v>
      </c>
      <c r="H95" s="645">
        <v>95</v>
      </c>
      <c r="I95" s="645">
        <v>161</v>
      </c>
      <c r="J95" s="645">
        <v>0.59</v>
      </c>
      <c r="K95" s="645" t="s">
        <v>496</v>
      </c>
      <c r="L95" s="645" t="s">
        <v>497</v>
      </c>
      <c r="M95" s="645" t="s">
        <v>521</v>
      </c>
      <c r="N95" s="646">
        <v>0</v>
      </c>
      <c r="O95" s="646">
        <v>0</v>
      </c>
      <c r="Q95">
        <v>373</v>
      </c>
      <c r="R95">
        <f t="shared" si="3"/>
        <v>877</v>
      </c>
      <c r="S95">
        <f t="shared" si="4"/>
        <v>1719</v>
      </c>
      <c r="T95" s="305">
        <f t="shared" si="5"/>
        <v>0.51018033740546831</v>
      </c>
    </row>
    <row r="96" spans="1:20" ht="16" customHeight="1" thickBot="1">
      <c r="A96" s="126"/>
      <c r="B96" s="644"/>
      <c r="C96" s="645">
        <v>2</v>
      </c>
      <c r="D96" s="645" t="s">
        <v>552</v>
      </c>
      <c r="E96" s="645">
        <v>1145</v>
      </c>
      <c r="F96" s="645" t="s">
        <v>601</v>
      </c>
      <c r="G96" s="645" t="s">
        <v>596</v>
      </c>
      <c r="H96" s="645">
        <v>83</v>
      </c>
      <c r="I96" s="645">
        <v>150</v>
      </c>
      <c r="J96" s="645">
        <v>0.55300000000000005</v>
      </c>
      <c r="K96" s="645" t="s">
        <v>496</v>
      </c>
      <c r="L96" s="645" t="s">
        <v>497</v>
      </c>
      <c r="M96" s="645" t="s">
        <v>498</v>
      </c>
      <c r="N96" s="646">
        <v>0</v>
      </c>
      <c r="O96" s="646">
        <v>0</v>
      </c>
      <c r="Q96">
        <v>381</v>
      </c>
      <c r="R96">
        <f t="shared" si="3"/>
        <v>998</v>
      </c>
      <c r="S96">
        <f t="shared" si="4"/>
        <v>1448</v>
      </c>
      <c r="T96" s="305">
        <f t="shared" si="5"/>
        <v>0.68922651933701662</v>
      </c>
    </row>
    <row r="97" spans="1:20" ht="16" customHeight="1" thickBot="1">
      <c r="A97" s="126"/>
      <c r="B97" s="644"/>
      <c r="C97" s="645">
        <v>2</v>
      </c>
      <c r="D97" s="645" t="s">
        <v>552</v>
      </c>
      <c r="E97" s="645">
        <v>1228</v>
      </c>
      <c r="F97" s="645" t="s">
        <v>602</v>
      </c>
      <c r="G97" s="645" t="s">
        <v>557</v>
      </c>
      <c r="H97" s="645">
        <v>94</v>
      </c>
      <c r="I97" s="645">
        <v>165</v>
      </c>
      <c r="J97" s="645">
        <v>0.56999999999999995</v>
      </c>
      <c r="K97" s="645" t="s">
        <v>496</v>
      </c>
      <c r="L97" s="645" t="s">
        <v>497</v>
      </c>
      <c r="M97" s="645" t="s">
        <v>521</v>
      </c>
      <c r="N97" s="646">
        <v>0</v>
      </c>
      <c r="O97" s="646">
        <v>0</v>
      </c>
      <c r="Q97">
        <v>382</v>
      </c>
      <c r="R97">
        <f t="shared" si="3"/>
        <v>0</v>
      </c>
      <c r="S97">
        <f t="shared" si="4"/>
        <v>0</v>
      </c>
      <c r="T97" s="305" t="e">
        <f t="shared" si="5"/>
        <v>#DIV/0!</v>
      </c>
    </row>
    <row r="98" spans="1:20" ht="16" customHeight="1" thickBot="1">
      <c r="A98" s="126"/>
      <c r="B98" s="644"/>
      <c r="C98" s="645">
        <v>2</v>
      </c>
      <c r="D98" s="645" t="s">
        <v>552</v>
      </c>
      <c r="E98" s="645">
        <v>1235</v>
      </c>
      <c r="F98" s="645" t="s">
        <v>603</v>
      </c>
      <c r="G98" s="645" t="s">
        <v>557</v>
      </c>
      <c r="H98" s="645">
        <v>148</v>
      </c>
      <c r="I98" s="645">
        <v>792</v>
      </c>
      <c r="J98" s="645">
        <v>0.187</v>
      </c>
      <c r="K98" s="645" t="s">
        <v>501</v>
      </c>
      <c r="L98" s="645" t="s">
        <v>497</v>
      </c>
      <c r="M98" s="645" t="s">
        <v>509</v>
      </c>
      <c r="N98" s="646">
        <v>0</v>
      </c>
      <c r="O98" s="646">
        <v>0</v>
      </c>
      <c r="Q98">
        <v>391</v>
      </c>
      <c r="R98">
        <f t="shared" si="3"/>
        <v>553</v>
      </c>
      <c r="S98">
        <f t="shared" si="4"/>
        <v>1145</v>
      </c>
      <c r="T98" s="305">
        <f t="shared" si="5"/>
        <v>0.48296943231441047</v>
      </c>
    </row>
    <row r="99" spans="1:20" ht="16" customHeight="1" thickBot="1">
      <c r="A99" s="126"/>
      <c r="B99" s="644"/>
      <c r="C99" s="645">
        <v>2</v>
      </c>
      <c r="D99" s="645" t="s">
        <v>552</v>
      </c>
      <c r="E99" s="645">
        <v>1290</v>
      </c>
      <c r="F99" s="645" t="s">
        <v>604</v>
      </c>
      <c r="G99" s="645" t="s">
        <v>564</v>
      </c>
      <c r="H99" s="645">
        <v>89</v>
      </c>
      <c r="I99" s="645">
        <v>684</v>
      </c>
      <c r="J99" s="645">
        <v>0.13</v>
      </c>
      <c r="K99" s="645" t="s">
        <v>501</v>
      </c>
      <c r="L99" s="645" t="s">
        <v>497</v>
      </c>
      <c r="M99" s="645" t="s">
        <v>509</v>
      </c>
      <c r="N99" s="646">
        <v>0</v>
      </c>
      <c r="O99" s="646">
        <v>0</v>
      </c>
      <c r="Q99">
        <v>392</v>
      </c>
      <c r="R99">
        <f t="shared" si="3"/>
        <v>54</v>
      </c>
      <c r="S99">
        <f t="shared" si="4"/>
        <v>108</v>
      </c>
      <c r="T99" s="305">
        <f t="shared" si="5"/>
        <v>0.5</v>
      </c>
    </row>
    <row r="100" spans="1:20" ht="16" customHeight="1" thickBot="1">
      <c r="A100" s="126"/>
      <c r="B100" s="644"/>
      <c r="C100" s="645">
        <v>2</v>
      </c>
      <c r="D100" s="645" t="s">
        <v>552</v>
      </c>
      <c r="E100" s="645">
        <v>1297</v>
      </c>
      <c r="F100" s="645" t="s">
        <v>605</v>
      </c>
      <c r="G100" s="645" t="s">
        <v>557</v>
      </c>
      <c r="H100" s="645">
        <v>27</v>
      </c>
      <c r="I100" s="645">
        <v>74</v>
      </c>
      <c r="J100" s="645">
        <v>0.36499999999999999</v>
      </c>
      <c r="K100" s="645" t="s">
        <v>496</v>
      </c>
      <c r="L100" s="645" t="s">
        <v>497</v>
      </c>
      <c r="M100" s="645" t="s">
        <v>498</v>
      </c>
      <c r="N100" s="646">
        <v>0</v>
      </c>
      <c r="O100" s="646">
        <v>0</v>
      </c>
      <c r="Q100">
        <v>393</v>
      </c>
      <c r="R100">
        <f t="shared" si="3"/>
        <v>259</v>
      </c>
      <c r="S100">
        <f t="shared" si="4"/>
        <v>502</v>
      </c>
      <c r="T100" s="305">
        <f t="shared" si="5"/>
        <v>0.51593625498007967</v>
      </c>
    </row>
    <row r="101" spans="1:20" ht="16" customHeight="1" thickBot="1">
      <c r="A101" s="126"/>
      <c r="B101" s="644"/>
      <c r="C101" s="645">
        <v>2</v>
      </c>
      <c r="D101" s="645" t="s">
        <v>552</v>
      </c>
      <c r="E101" s="645">
        <v>1356</v>
      </c>
      <c r="F101" s="645" t="s">
        <v>1524</v>
      </c>
      <c r="G101" s="645" t="s">
        <v>1525</v>
      </c>
      <c r="H101" s="645">
        <v>59</v>
      </c>
      <c r="I101" s="645">
        <v>289</v>
      </c>
      <c r="J101" s="645">
        <v>0.20399999999999999</v>
      </c>
      <c r="K101" s="645" t="s">
        <v>501</v>
      </c>
      <c r="L101" s="645" t="s">
        <v>497</v>
      </c>
      <c r="M101" s="645" t="s">
        <v>509</v>
      </c>
      <c r="N101" s="646">
        <v>0</v>
      </c>
      <c r="O101" s="646">
        <v>0</v>
      </c>
      <c r="Q101">
        <v>394</v>
      </c>
      <c r="R101">
        <f t="shared" si="3"/>
        <v>0</v>
      </c>
      <c r="S101">
        <f t="shared" si="4"/>
        <v>0</v>
      </c>
      <c r="T101" s="305" t="e">
        <f t="shared" si="5"/>
        <v>#DIV/0!</v>
      </c>
    </row>
    <row r="102" spans="1:20" ht="16" customHeight="1" thickBot="1">
      <c r="A102" s="126"/>
      <c r="B102" s="644"/>
      <c r="C102" s="645">
        <v>2</v>
      </c>
      <c r="D102" s="645" t="s">
        <v>552</v>
      </c>
      <c r="E102" s="645">
        <v>1375</v>
      </c>
      <c r="F102" s="645" t="s">
        <v>1526</v>
      </c>
      <c r="G102" s="645" t="s">
        <v>715</v>
      </c>
      <c r="H102" s="645">
        <v>18</v>
      </c>
      <c r="I102" s="645">
        <v>180</v>
      </c>
      <c r="J102" s="645">
        <v>0.1</v>
      </c>
      <c r="K102" s="645" t="s">
        <v>501</v>
      </c>
      <c r="L102" s="645" t="s">
        <v>497</v>
      </c>
      <c r="M102" s="645" t="s">
        <v>498</v>
      </c>
      <c r="N102" s="646">
        <v>0</v>
      </c>
      <c r="O102" s="646">
        <v>0</v>
      </c>
      <c r="Q102">
        <v>401</v>
      </c>
      <c r="R102">
        <f t="shared" si="3"/>
        <v>739</v>
      </c>
      <c r="S102">
        <f t="shared" si="4"/>
        <v>1690</v>
      </c>
      <c r="T102" s="305">
        <f t="shared" si="5"/>
        <v>0.43727810650887572</v>
      </c>
    </row>
    <row r="103" spans="1:20" ht="16" customHeight="1" thickBot="1">
      <c r="A103" s="126"/>
      <c r="B103" s="644"/>
      <c r="C103" s="645">
        <v>2</v>
      </c>
      <c r="D103" s="645" t="s">
        <v>552</v>
      </c>
      <c r="E103" s="645">
        <v>2511</v>
      </c>
      <c r="F103" s="645" t="s">
        <v>606</v>
      </c>
      <c r="G103" s="645" t="s">
        <v>551</v>
      </c>
      <c r="H103" s="645">
        <v>77</v>
      </c>
      <c r="I103" s="645">
        <v>723</v>
      </c>
      <c r="J103" s="645">
        <v>0.107</v>
      </c>
      <c r="K103" s="645" t="s">
        <v>501</v>
      </c>
      <c r="L103" s="645" t="s">
        <v>497</v>
      </c>
      <c r="M103" s="645" t="s">
        <v>498</v>
      </c>
      <c r="N103" s="646">
        <v>0</v>
      </c>
      <c r="O103" s="646">
        <v>0</v>
      </c>
      <c r="Q103">
        <v>411</v>
      </c>
      <c r="R103">
        <f t="shared" si="3"/>
        <v>5386</v>
      </c>
      <c r="S103">
        <f t="shared" si="4"/>
        <v>8796</v>
      </c>
      <c r="T103" s="305">
        <f t="shared" si="5"/>
        <v>0.61232378353797179</v>
      </c>
    </row>
    <row r="104" spans="1:20" ht="16" customHeight="1" thickBot="1">
      <c r="A104" s="126"/>
      <c r="B104" s="644"/>
      <c r="C104" s="645">
        <v>2</v>
      </c>
      <c r="D104" s="645" t="s">
        <v>552</v>
      </c>
      <c r="E104" s="645">
        <v>2513</v>
      </c>
      <c r="F104" s="645" t="s">
        <v>607</v>
      </c>
      <c r="G104" s="645" t="s">
        <v>554</v>
      </c>
      <c r="H104" s="645">
        <v>217</v>
      </c>
      <c r="I104" s="645">
        <v>1163</v>
      </c>
      <c r="J104" s="645">
        <v>0.187</v>
      </c>
      <c r="K104" s="645" t="s">
        <v>501</v>
      </c>
      <c r="L104" s="645" t="s">
        <v>497</v>
      </c>
      <c r="M104" s="645" t="s">
        <v>498</v>
      </c>
      <c r="N104" s="646">
        <v>0</v>
      </c>
      <c r="O104" s="646">
        <v>0</v>
      </c>
      <c r="Q104">
        <v>412</v>
      </c>
      <c r="R104">
        <f t="shared" si="3"/>
        <v>926</v>
      </c>
      <c r="S104">
        <f t="shared" si="4"/>
        <v>1276</v>
      </c>
      <c r="T104" s="305">
        <f t="shared" si="5"/>
        <v>0.72570532915360497</v>
      </c>
    </row>
    <row r="105" spans="1:20" ht="16" customHeight="1" thickBot="1">
      <c r="A105" s="126"/>
      <c r="B105" s="644"/>
      <c r="C105" s="648" t="s">
        <v>1523</v>
      </c>
      <c r="D105" s="648" t="s">
        <v>1523</v>
      </c>
      <c r="E105" s="648" t="s">
        <v>1523</v>
      </c>
      <c r="F105" s="648" t="s">
        <v>1523</v>
      </c>
      <c r="G105" s="648" t="s">
        <v>1523</v>
      </c>
      <c r="H105" s="648" t="s">
        <v>1523</v>
      </c>
      <c r="I105" s="648" t="s">
        <v>1523</v>
      </c>
      <c r="J105" s="648" t="s">
        <v>1523</v>
      </c>
      <c r="K105" s="648" t="s">
        <v>1523</v>
      </c>
      <c r="L105" s="648" t="s">
        <v>1523</v>
      </c>
      <c r="M105" s="648" t="s">
        <v>1523</v>
      </c>
      <c r="N105" s="648" t="s">
        <v>1523</v>
      </c>
      <c r="O105" s="648" t="s">
        <v>1523</v>
      </c>
      <c r="Q105">
        <v>413</v>
      </c>
      <c r="R105">
        <f t="shared" si="3"/>
        <v>856</v>
      </c>
      <c r="S105">
        <f t="shared" si="4"/>
        <v>1545</v>
      </c>
      <c r="T105" s="305">
        <f t="shared" si="5"/>
        <v>0.55404530744336566</v>
      </c>
    </row>
    <row r="106" spans="1:20" ht="16" customHeight="1" thickBot="1">
      <c r="A106" s="126"/>
      <c r="B106" s="644"/>
      <c r="C106" s="645">
        <v>3</v>
      </c>
      <c r="D106" s="645" t="s">
        <v>305</v>
      </c>
      <c r="E106" s="645">
        <v>13</v>
      </c>
      <c r="F106" s="645" t="s">
        <v>608</v>
      </c>
      <c r="G106" s="645" t="s">
        <v>596</v>
      </c>
      <c r="H106" s="645">
        <v>303</v>
      </c>
      <c r="I106" s="645">
        <v>825</v>
      </c>
      <c r="J106" s="645">
        <v>0.36699999999999999</v>
      </c>
      <c r="K106" s="645" t="s">
        <v>496</v>
      </c>
      <c r="L106" s="645" t="s">
        <v>497</v>
      </c>
      <c r="M106" s="645" t="s">
        <v>498</v>
      </c>
      <c r="N106" s="646">
        <v>0</v>
      </c>
      <c r="O106" s="646">
        <v>0</v>
      </c>
      <c r="Q106">
        <v>414</v>
      </c>
      <c r="R106">
        <f t="shared" si="3"/>
        <v>641</v>
      </c>
      <c r="S106">
        <f t="shared" si="4"/>
        <v>1698</v>
      </c>
      <c r="T106" s="305">
        <f t="shared" si="5"/>
        <v>0.37750294464075385</v>
      </c>
    </row>
    <row r="107" spans="1:20" ht="16" customHeight="1" thickBot="1">
      <c r="A107" s="126"/>
      <c r="B107" s="644"/>
      <c r="C107" s="645">
        <v>3</v>
      </c>
      <c r="D107" s="645" t="s">
        <v>305</v>
      </c>
      <c r="E107" s="645">
        <v>14</v>
      </c>
      <c r="F107" s="645" t="s">
        <v>609</v>
      </c>
      <c r="G107" s="645" t="s">
        <v>557</v>
      </c>
      <c r="H107" s="645">
        <v>451</v>
      </c>
      <c r="I107" s="645">
        <v>1389</v>
      </c>
      <c r="J107" s="645">
        <v>0.32500000000000001</v>
      </c>
      <c r="K107" s="645" t="s">
        <v>610</v>
      </c>
      <c r="L107" s="645" t="s">
        <v>497</v>
      </c>
      <c r="M107" s="645" t="s">
        <v>505</v>
      </c>
      <c r="N107" s="646">
        <v>0</v>
      </c>
      <c r="O107" s="646">
        <v>0</v>
      </c>
      <c r="Q107">
        <v>415</v>
      </c>
      <c r="R107">
        <f t="shared" si="3"/>
        <v>238</v>
      </c>
      <c r="S107">
        <f t="shared" si="4"/>
        <v>323</v>
      </c>
      <c r="T107" s="305">
        <f t="shared" si="5"/>
        <v>0.73684210526315785</v>
      </c>
    </row>
    <row r="108" spans="1:20" ht="16" customHeight="1" thickBot="1">
      <c r="A108" s="126"/>
      <c r="B108" s="644"/>
      <c r="C108" s="645">
        <v>3</v>
      </c>
      <c r="D108" s="645" t="s">
        <v>305</v>
      </c>
      <c r="E108" s="645">
        <v>345</v>
      </c>
      <c r="F108" s="645" t="s">
        <v>611</v>
      </c>
      <c r="G108" s="645" t="s">
        <v>612</v>
      </c>
      <c r="H108" s="645">
        <v>192</v>
      </c>
      <c r="I108" s="645">
        <v>409</v>
      </c>
      <c r="J108" s="645">
        <v>0.46899999999999997</v>
      </c>
      <c r="K108" s="645" t="s">
        <v>496</v>
      </c>
      <c r="L108" s="645" t="s">
        <v>518</v>
      </c>
      <c r="M108" s="645" t="s">
        <v>498</v>
      </c>
      <c r="N108" s="646">
        <v>136512</v>
      </c>
      <c r="O108" s="646">
        <v>711</v>
      </c>
      <c r="Q108">
        <v>417</v>
      </c>
      <c r="R108">
        <f t="shared" si="3"/>
        <v>176</v>
      </c>
      <c r="S108">
        <f t="shared" si="4"/>
        <v>302</v>
      </c>
      <c r="T108" s="305">
        <f t="shared" si="5"/>
        <v>0.58278145695364236</v>
      </c>
    </row>
    <row r="109" spans="1:20" ht="16" customHeight="1" thickBot="1">
      <c r="A109" s="126"/>
      <c r="B109" s="644"/>
      <c r="C109" s="645">
        <v>3</v>
      </c>
      <c r="D109" s="645" t="s">
        <v>305</v>
      </c>
      <c r="E109" s="645">
        <v>595</v>
      </c>
      <c r="F109" s="645" t="s">
        <v>613</v>
      </c>
      <c r="G109" s="645" t="s">
        <v>512</v>
      </c>
      <c r="H109" s="645">
        <v>322</v>
      </c>
      <c r="I109" s="645">
        <v>632</v>
      </c>
      <c r="J109" s="645">
        <v>0.50900000000000001</v>
      </c>
      <c r="K109" s="645" t="s">
        <v>496</v>
      </c>
      <c r="L109" s="645" t="s">
        <v>518</v>
      </c>
      <c r="M109" s="645" t="s">
        <v>498</v>
      </c>
      <c r="N109" s="646">
        <v>251656</v>
      </c>
      <c r="O109" s="646">
        <v>781</v>
      </c>
      <c r="Q109">
        <v>418</v>
      </c>
      <c r="R109">
        <f t="shared" si="3"/>
        <v>220</v>
      </c>
      <c r="S109">
        <f t="shared" si="4"/>
        <v>280</v>
      </c>
      <c r="T109" s="305">
        <f t="shared" si="5"/>
        <v>0.7857142857142857</v>
      </c>
    </row>
    <row r="110" spans="1:20" ht="16" customHeight="1" thickBot="1">
      <c r="A110" s="126"/>
      <c r="B110" s="644"/>
      <c r="C110" s="645">
        <v>3</v>
      </c>
      <c r="D110" s="645" t="s">
        <v>305</v>
      </c>
      <c r="E110" s="645">
        <v>596</v>
      </c>
      <c r="F110" s="645" t="s">
        <v>614</v>
      </c>
      <c r="G110" s="645" t="s">
        <v>612</v>
      </c>
      <c r="H110" s="645">
        <v>116</v>
      </c>
      <c r="I110" s="645">
        <v>263</v>
      </c>
      <c r="J110" s="645">
        <v>0.441</v>
      </c>
      <c r="K110" s="645" t="s">
        <v>496</v>
      </c>
      <c r="L110" s="645" t="s">
        <v>518</v>
      </c>
      <c r="M110" s="645" t="s">
        <v>505</v>
      </c>
      <c r="N110" s="646">
        <v>76640</v>
      </c>
      <c r="O110" s="646">
        <v>660</v>
      </c>
      <c r="Q110">
        <v>421</v>
      </c>
      <c r="R110">
        <f t="shared" si="3"/>
        <v>395</v>
      </c>
      <c r="S110">
        <f t="shared" si="4"/>
        <v>1004</v>
      </c>
      <c r="T110" s="305">
        <f t="shared" si="5"/>
        <v>0.39342629482071712</v>
      </c>
    </row>
    <row r="111" spans="1:20" ht="16" customHeight="1" thickBot="1">
      <c r="A111" s="126"/>
      <c r="B111" s="644"/>
      <c r="C111" s="645">
        <v>3</v>
      </c>
      <c r="D111" s="645" t="s">
        <v>305</v>
      </c>
      <c r="E111" s="645">
        <v>635</v>
      </c>
      <c r="F111" s="645" t="s">
        <v>615</v>
      </c>
      <c r="G111" s="645" t="s">
        <v>616</v>
      </c>
      <c r="H111" s="645">
        <v>103</v>
      </c>
      <c r="I111" s="645">
        <v>254</v>
      </c>
      <c r="J111" s="645">
        <v>0.40600000000000003</v>
      </c>
      <c r="K111" s="645" t="s">
        <v>496</v>
      </c>
      <c r="L111" s="645" t="s">
        <v>624</v>
      </c>
      <c r="M111" s="645" t="s">
        <v>498</v>
      </c>
      <c r="N111" s="646">
        <v>67488</v>
      </c>
      <c r="O111" s="646">
        <v>655</v>
      </c>
      <c r="Q111">
        <v>422</v>
      </c>
      <c r="R111">
        <f t="shared" si="3"/>
        <v>159</v>
      </c>
      <c r="S111">
        <f t="shared" si="4"/>
        <v>279</v>
      </c>
      <c r="T111" s="305">
        <f t="shared" si="5"/>
        <v>0.56989247311827962</v>
      </c>
    </row>
    <row r="112" spans="1:20" ht="16" customHeight="1" thickBot="1">
      <c r="A112" s="126"/>
      <c r="B112" s="644"/>
      <c r="C112" s="645">
        <v>3</v>
      </c>
      <c r="D112" s="645" t="s">
        <v>305</v>
      </c>
      <c r="E112" s="645">
        <v>850</v>
      </c>
      <c r="F112" s="645" t="s">
        <v>617</v>
      </c>
      <c r="G112" s="645" t="s">
        <v>618</v>
      </c>
      <c r="H112" s="645">
        <v>137</v>
      </c>
      <c r="I112" s="645">
        <v>292</v>
      </c>
      <c r="J112" s="645">
        <v>0.46899999999999997</v>
      </c>
      <c r="K112" s="645" t="s">
        <v>496</v>
      </c>
      <c r="L112" s="645" t="s">
        <v>624</v>
      </c>
      <c r="M112" s="645" t="s">
        <v>521</v>
      </c>
      <c r="N112" s="646">
        <v>93820</v>
      </c>
      <c r="O112" s="646">
        <v>684</v>
      </c>
      <c r="Q112">
        <v>431</v>
      </c>
      <c r="R112">
        <f t="shared" si="3"/>
        <v>866</v>
      </c>
      <c r="S112">
        <f t="shared" si="4"/>
        <v>1484</v>
      </c>
      <c r="T112" s="305">
        <f t="shared" si="5"/>
        <v>0.5835579514824798</v>
      </c>
    </row>
    <row r="113" spans="1:20" ht="16" customHeight="1" thickBot="1">
      <c r="A113" s="126"/>
      <c r="B113" s="644"/>
      <c r="C113" s="645">
        <v>3</v>
      </c>
      <c r="D113" s="645" t="s">
        <v>305</v>
      </c>
      <c r="E113" s="645">
        <v>887</v>
      </c>
      <c r="F113" s="645" t="s">
        <v>619</v>
      </c>
      <c r="G113" s="645" t="s">
        <v>512</v>
      </c>
      <c r="H113" s="645">
        <v>194</v>
      </c>
      <c r="I113" s="645">
        <v>498</v>
      </c>
      <c r="J113" s="645">
        <v>0.39</v>
      </c>
      <c r="K113" s="645" t="s">
        <v>496</v>
      </c>
      <c r="L113" s="645" t="s">
        <v>518</v>
      </c>
      <c r="M113" s="645" t="s">
        <v>521</v>
      </c>
      <c r="N113" s="646">
        <v>125382</v>
      </c>
      <c r="O113" s="646">
        <v>646</v>
      </c>
      <c r="Q113">
        <v>432</v>
      </c>
      <c r="R113">
        <f t="shared" si="3"/>
        <v>48</v>
      </c>
      <c r="S113">
        <f t="shared" si="4"/>
        <v>100</v>
      </c>
      <c r="T113" s="305">
        <f t="shared" si="5"/>
        <v>0.48</v>
      </c>
    </row>
    <row r="114" spans="1:20" ht="16" customHeight="1" thickBot="1">
      <c r="A114" s="126"/>
      <c r="B114" s="644"/>
      <c r="C114" s="645">
        <v>3</v>
      </c>
      <c r="D114" s="645" t="s">
        <v>305</v>
      </c>
      <c r="E114" s="645">
        <v>1115</v>
      </c>
      <c r="F114" s="645" t="s">
        <v>620</v>
      </c>
      <c r="G114" s="645" t="s">
        <v>557</v>
      </c>
      <c r="H114" s="645">
        <v>47</v>
      </c>
      <c r="I114" s="645">
        <v>100</v>
      </c>
      <c r="J114" s="645">
        <v>0.47</v>
      </c>
      <c r="K114" s="645" t="s">
        <v>496</v>
      </c>
      <c r="L114" s="645" t="s">
        <v>497</v>
      </c>
      <c r="M114" s="645" t="s">
        <v>498</v>
      </c>
      <c r="N114" s="646">
        <v>0</v>
      </c>
      <c r="O114" s="646">
        <v>0</v>
      </c>
      <c r="Q114">
        <v>433</v>
      </c>
      <c r="R114">
        <f t="shared" si="3"/>
        <v>88</v>
      </c>
      <c r="S114">
        <f t="shared" si="4"/>
        <v>136</v>
      </c>
      <c r="T114" s="305">
        <f t="shared" si="5"/>
        <v>0.6470588235294118</v>
      </c>
    </row>
    <row r="115" spans="1:20" ht="16" customHeight="1" thickBot="1">
      <c r="A115" s="126"/>
      <c r="B115" s="644"/>
      <c r="C115" s="648" t="s">
        <v>1523</v>
      </c>
      <c r="D115" s="648" t="s">
        <v>1523</v>
      </c>
      <c r="E115" s="648" t="s">
        <v>1523</v>
      </c>
      <c r="F115" s="648" t="s">
        <v>1523</v>
      </c>
      <c r="G115" s="648" t="s">
        <v>1523</v>
      </c>
      <c r="H115" s="648" t="s">
        <v>1523</v>
      </c>
      <c r="I115" s="648" t="s">
        <v>1523</v>
      </c>
      <c r="J115" s="648" t="s">
        <v>1523</v>
      </c>
      <c r="K115" s="648" t="s">
        <v>1523</v>
      </c>
      <c r="L115" s="648" t="s">
        <v>1523</v>
      </c>
      <c r="M115" s="648" t="s">
        <v>1523</v>
      </c>
      <c r="N115" s="648" t="s">
        <v>1523</v>
      </c>
      <c r="O115" s="648" t="s">
        <v>1523</v>
      </c>
      <c r="Q115">
        <v>451</v>
      </c>
      <c r="R115">
        <f t="shared" si="3"/>
        <v>131</v>
      </c>
      <c r="S115">
        <f t="shared" si="4"/>
        <v>405</v>
      </c>
      <c r="T115" s="305">
        <f t="shared" si="5"/>
        <v>0.32345679012345679</v>
      </c>
    </row>
    <row r="116" spans="1:20" ht="16" customHeight="1" thickBot="1">
      <c r="A116" s="126"/>
      <c r="B116" s="644"/>
      <c r="C116" s="645">
        <v>11</v>
      </c>
      <c r="D116" s="645" t="s">
        <v>306</v>
      </c>
      <c r="E116" s="645">
        <v>342</v>
      </c>
      <c r="F116" s="645" t="s">
        <v>622</v>
      </c>
      <c r="G116" s="645" t="s">
        <v>623</v>
      </c>
      <c r="H116" s="645">
        <v>95</v>
      </c>
      <c r="I116" s="645">
        <v>151</v>
      </c>
      <c r="J116" s="645">
        <v>0.629</v>
      </c>
      <c r="K116" s="645" t="s">
        <v>496</v>
      </c>
      <c r="L116" s="645" t="s">
        <v>624</v>
      </c>
      <c r="M116" s="645" t="s">
        <v>505</v>
      </c>
      <c r="N116" s="646">
        <v>49589</v>
      </c>
      <c r="O116" s="646">
        <v>521</v>
      </c>
      <c r="Q116">
        <v>452</v>
      </c>
      <c r="R116">
        <f t="shared" si="3"/>
        <v>2050</v>
      </c>
      <c r="S116">
        <f t="shared" si="4"/>
        <v>2685</v>
      </c>
      <c r="T116" s="305">
        <f t="shared" si="5"/>
        <v>0.76350093109869643</v>
      </c>
    </row>
    <row r="117" spans="1:20" ht="16" customHeight="1" thickBot="1">
      <c r="A117" s="126"/>
      <c r="B117" s="644"/>
      <c r="C117" s="648" t="s">
        <v>1523</v>
      </c>
      <c r="D117" s="648" t="s">
        <v>1523</v>
      </c>
      <c r="E117" s="648" t="s">
        <v>1523</v>
      </c>
      <c r="F117" s="648" t="s">
        <v>1523</v>
      </c>
      <c r="G117" s="648" t="s">
        <v>1523</v>
      </c>
      <c r="H117" s="648" t="s">
        <v>1523</v>
      </c>
      <c r="I117" s="648" t="s">
        <v>1523</v>
      </c>
      <c r="J117" s="648" t="s">
        <v>1523</v>
      </c>
      <c r="K117" s="648" t="s">
        <v>1523</v>
      </c>
      <c r="L117" s="648" t="s">
        <v>1523</v>
      </c>
      <c r="M117" s="648" t="s">
        <v>1523</v>
      </c>
      <c r="N117" s="648" t="s">
        <v>1523</v>
      </c>
      <c r="O117" s="648" t="s">
        <v>1523</v>
      </c>
      <c r="Q117">
        <v>454</v>
      </c>
      <c r="R117">
        <f t="shared" si="3"/>
        <v>99</v>
      </c>
      <c r="S117">
        <f t="shared" si="4"/>
        <v>248</v>
      </c>
      <c r="T117" s="305">
        <f t="shared" si="5"/>
        <v>0.39919354838709675</v>
      </c>
    </row>
    <row r="118" spans="1:20" ht="16" customHeight="1" thickBot="1">
      <c r="A118" s="126"/>
      <c r="B118" s="644"/>
      <c r="C118" s="645">
        <v>13</v>
      </c>
      <c r="D118" s="645" t="s">
        <v>307</v>
      </c>
      <c r="E118" s="645">
        <v>17</v>
      </c>
      <c r="F118" s="645" t="s">
        <v>625</v>
      </c>
      <c r="G118" s="645" t="s">
        <v>546</v>
      </c>
      <c r="H118" s="645">
        <v>40</v>
      </c>
      <c r="I118" s="645">
        <v>90</v>
      </c>
      <c r="J118" s="645">
        <v>0.44400000000000001</v>
      </c>
      <c r="K118" s="645" t="s">
        <v>496</v>
      </c>
      <c r="L118" s="645" t="s">
        <v>497</v>
      </c>
      <c r="M118" s="645" t="s">
        <v>509</v>
      </c>
      <c r="N118" s="646">
        <v>0</v>
      </c>
      <c r="O118" s="646">
        <v>0</v>
      </c>
      <c r="Q118">
        <v>455</v>
      </c>
      <c r="R118">
        <f t="shared" si="3"/>
        <v>0</v>
      </c>
      <c r="S118">
        <f t="shared" si="4"/>
        <v>0</v>
      </c>
      <c r="T118" s="305" t="e">
        <f t="shared" si="5"/>
        <v>#DIV/0!</v>
      </c>
    </row>
    <row r="119" spans="1:20" ht="16" customHeight="1" thickBot="1">
      <c r="A119" s="126"/>
      <c r="B119" s="644"/>
      <c r="C119" s="645">
        <v>13</v>
      </c>
      <c r="D119" s="645" t="s">
        <v>307</v>
      </c>
      <c r="E119" s="645">
        <v>348</v>
      </c>
      <c r="F119" s="645" t="s">
        <v>626</v>
      </c>
      <c r="G119" s="645" t="s">
        <v>512</v>
      </c>
      <c r="H119" s="645">
        <v>88</v>
      </c>
      <c r="I119" s="645">
        <v>145</v>
      </c>
      <c r="J119" s="645">
        <v>0.60699999999999998</v>
      </c>
      <c r="K119" s="645" t="s">
        <v>496</v>
      </c>
      <c r="L119" s="645" t="s">
        <v>624</v>
      </c>
      <c r="M119" s="645" t="s">
        <v>498</v>
      </c>
      <c r="N119" s="646">
        <v>57342</v>
      </c>
      <c r="O119" s="646">
        <v>651</v>
      </c>
      <c r="Q119">
        <v>456</v>
      </c>
      <c r="R119">
        <f t="shared" si="3"/>
        <v>105</v>
      </c>
      <c r="S119">
        <f t="shared" si="4"/>
        <v>274</v>
      </c>
      <c r="T119" s="305">
        <f t="shared" si="5"/>
        <v>0.38321167883211676</v>
      </c>
    </row>
    <row r="120" spans="1:20" ht="16" customHeight="1" thickBot="1">
      <c r="A120" s="126"/>
      <c r="B120" s="644"/>
      <c r="C120" s="648" t="s">
        <v>1523</v>
      </c>
      <c r="D120" s="648" t="s">
        <v>1523</v>
      </c>
      <c r="E120" s="648" t="s">
        <v>1523</v>
      </c>
      <c r="F120" s="648" t="s">
        <v>1523</v>
      </c>
      <c r="G120" s="648" t="s">
        <v>1523</v>
      </c>
      <c r="H120" s="648" t="s">
        <v>1523</v>
      </c>
      <c r="I120" s="648" t="s">
        <v>1523</v>
      </c>
      <c r="J120" s="648" t="s">
        <v>1523</v>
      </c>
      <c r="K120" s="648" t="s">
        <v>1523</v>
      </c>
      <c r="L120" s="648" t="s">
        <v>1523</v>
      </c>
      <c r="M120" s="648" t="s">
        <v>1523</v>
      </c>
      <c r="N120" s="648" t="s">
        <v>1523</v>
      </c>
      <c r="O120" s="648" t="s">
        <v>1523</v>
      </c>
      <c r="Q120">
        <v>457</v>
      </c>
      <c r="R120">
        <f t="shared" si="3"/>
        <v>678</v>
      </c>
      <c r="S120">
        <f t="shared" si="4"/>
        <v>1322</v>
      </c>
      <c r="T120" s="305">
        <f t="shared" si="5"/>
        <v>0.51285930408472014</v>
      </c>
    </row>
    <row r="121" spans="1:20" ht="16" customHeight="1" thickBot="1">
      <c r="A121" s="126"/>
      <c r="B121" s="644"/>
      <c r="C121" s="645">
        <v>21</v>
      </c>
      <c r="D121" s="645" t="s">
        <v>308</v>
      </c>
      <c r="E121" s="645">
        <v>18</v>
      </c>
      <c r="F121" s="645" t="s">
        <v>627</v>
      </c>
      <c r="G121" s="645" t="s">
        <v>596</v>
      </c>
      <c r="H121" s="645">
        <v>91</v>
      </c>
      <c r="I121" s="645">
        <v>205</v>
      </c>
      <c r="J121" s="645">
        <v>0.44400000000000001</v>
      </c>
      <c r="K121" s="645" t="s">
        <v>496</v>
      </c>
      <c r="L121" s="645" t="s">
        <v>624</v>
      </c>
      <c r="M121" s="645" t="s">
        <v>509</v>
      </c>
      <c r="N121" s="646">
        <v>31570</v>
      </c>
      <c r="O121" s="646">
        <v>346</v>
      </c>
      <c r="Q121">
        <v>458</v>
      </c>
      <c r="R121">
        <f t="shared" si="3"/>
        <v>158</v>
      </c>
      <c r="S121">
        <f t="shared" si="4"/>
        <v>420</v>
      </c>
      <c r="T121" s="305">
        <f t="shared" si="5"/>
        <v>0.37619047619047619</v>
      </c>
    </row>
    <row r="122" spans="1:20" ht="16" customHeight="1" thickBot="1">
      <c r="A122" s="126"/>
      <c r="B122" s="644"/>
      <c r="C122" s="645">
        <v>21</v>
      </c>
      <c r="D122" s="645" t="s">
        <v>308</v>
      </c>
      <c r="E122" s="645">
        <v>19</v>
      </c>
      <c r="F122" s="645" t="s">
        <v>628</v>
      </c>
      <c r="G122" s="645" t="s">
        <v>546</v>
      </c>
      <c r="H122" s="645">
        <v>168</v>
      </c>
      <c r="I122" s="645">
        <v>332</v>
      </c>
      <c r="J122" s="645">
        <v>0.50600000000000001</v>
      </c>
      <c r="K122" s="645" t="s">
        <v>496</v>
      </c>
      <c r="L122" s="645" t="s">
        <v>497</v>
      </c>
      <c r="M122" s="645" t="s">
        <v>505</v>
      </c>
      <c r="N122" s="646">
        <v>0</v>
      </c>
      <c r="O122" s="646">
        <v>0</v>
      </c>
      <c r="Q122">
        <v>460</v>
      </c>
      <c r="R122">
        <f t="shared" si="3"/>
        <v>115</v>
      </c>
      <c r="S122">
        <f t="shared" si="4"/>
        <v>276</v>
      </c>
      <c r="T122" s="305">
        <f t="shared" si="5"/>
        <v>0.41666666666666669</v>
      </c>
    </row>
    <row r="123" spans="1:20" ht="16" customHeight="1" thickBot="1">
      <c r="A123" s="126"/>
      <c r="B123" s="644"/>
      <c r="C123" s="645">
        <v>21</v>
      </c>
      <c r="D123" s="645" t="s">
        <v>308</v>
      </c>
      <c r="E123" s="645">
        <v>349</v>
      </c>
      <c r="F123" s="645" t="s">
        <v>629</v>
      </c>
      <c r="G123" s="645" t="s">
        <v>512</v>
      </c>
      <c r="H123" s="645">
        <v>23</v>
      </c>
      <c r="I123" s="645">
        <v>56</v>
      </c>
      <c r="J123" s="645">
        <v>0.41099999999999998</v>
      </c>
      <c r="K123" s="645" t="s">
        <v>496</v>
      </c>
      <c r="L123" s="645" t="s">
        <v>624</v>
      </c>
      <c r="M123" s="645" t="s">
        <v>509</v>
      </c>
      <c r="N123" s="646">
        <v>7979</v>
      </c>
      <c r="O123" s="646">
        <v>346</v>
      </c>
      <c r="Q123">
        <v>461</v>
      </c>
      <c r="R123">
        <f t="shared" si="3"/>
        <v>177</v>
      </c>
      <c r="S123">
        <f t="shared" si="4"/>
        <v>411</v>
      </c>
      <c r="T123" s="305">
        <f t="shared" si="5"/>
        <v>0.43065693430656932</v>
      </c>
    </row>
    <row r="124" spans="1:20" ht="16" customHeight="1" thickBot="1">
      <c r="A124" s="126"/>
      <c r="B124" s="644"/>
      <c r="C124" s="645">
        <v>21</v>
      </c>
      <c r="D124" s="645" t="s">
        <v>308</v>
      </c>
      <c r="E124" s="645">
        <v>350</v>
      </c>
      <c r="F124" s="645" t="s">
        <v>630</v>
      </c>
      <c r="G124" s="645" t="s">
        <v>512</v>
      </c>
      <c r="H124" s="645">
        <v>70</v>
      </c>
      <c r="I124" s="645">
        <v>119</v>
      </c>
      <c r="J124" s="645">
        <v>0.58799999999999997</v>
      </c>
      <c r="K124" s="645" t="s">
        <v>496</v>
      </c>
      <c r="L124" s="645" t="s">
        <v>624</v>
      </c>
      <c r="M124" s="645" t="s">
        <v>505</v>
      </c>
      <c r="N124" s="646">
        <v>24285</v>
      </c>
      <c r="O124" s="646">
        <v>346</v>
      </c>
      <c r="Q124">
        <v>462</v>
      </c>
      <c r="R124">
        <f t="shared" si="3"/>
        <v>178</v>
      </c>
      <c r="S124">
        <f t="shared" si="4"/>
        <v>655</v>
      </c>
      <c r="T124" s="305">
        <f t="shared" si="5"/>
        <v>0.27175572519083968</v>
      </c>
    </row>
    <row r="125" spans="1:20" ht="16" customHeight="1" thickBot="1">
      <c r="A125" s="126"/>
      <c r="B125" s="644"/>
      <c r="C125" s="645">
        <v>21</v>
      </c>
      <c r="D125" s="645" t="s">
        <v>308</v>
      </c>
      <c r="E125" s="645">
        <v>351</v>
      </c>
      <c r="F125" s="645" t="s">
        <v>631</v>
      </c>
      <c r="G125" s="645" t="s">
        <v>512</v>
      </c>
      <c r="H125" s="645">
        <v>129</v>
      </c>
      <c r="I125" s="645">
        <v>264</v>
      </c>
      <c r="J125" s="645">
        <v>0.48899999999999999</v>
      </c>
      <c r="K125" s="645" t="s">
        <v>496</v>
      </c>
      <c r="L125" s="645" t="s">
        <v>624</v>
      </c>
      <c r="M125" s="645" t="s">
        <v>509</v>
      </c>
      <c r="N125" s="646">
        <v>44753</v>
      </c>
      <c r="O125" s="646">
        <v>346</v>
      </c>
      <c r="Q125">
        <v>463</v>
      </c>
      <c r="R125">
        <f t="shared" si="3"/>
        <v>248</v>
      </c>
      <c r="S125">
        <f t="shared" si="4"/>
        <v>668</v>
      </c>
      <c r="T125" s="305">
        <f t="shared" si="5"/>
        <v>0.3712574850299401</v>
      </c>
    </row>
    <row r="126" spans="1:20" ht="16" customHeight="1" thickBot="1">
      <c r="A126" s="126"/>
      <c r="B126" s="644"/>
      <c r="C126" s="645">
        <v>21</v>
      </c>
      <c r="D126" s="645" t="s">
        <v>308</v>
      </c>
      <c r="E126" s="645">
        <v>352</v>
      </c>
      <c r="F126" s="645" t="s">
        <v>533</v>
      </c>
      <c r="G126" s="645" t="s">
        <v>512</v>
      </c>
      <c r="H126" s="645">
        <v>126</v>
      </c>
      <c r="I126" s="645">
        <v>280</v>
      </c>
      <c r="J126" s="645">
        <v>0.45</v>
      </c>
      <c r="K126" s="645" t="s">
        <v>496</v>
      </c>
      <c r="L126" s="645" t="s">
        <v>624</v>
      </c>
      <c r="M126" s="645" t="s">
        <v>498</v>
      </c>
      <c r="N126" s="646">
        <v>43713</v>
      </c>
      <c r="O126" s="646">
        <v>346</v>
      </c>
      <c r="Q126">
        <v>464</v>
      </c>
      <c r="R126">
        <f t="shared" si="3"/>
        <v>143</v>
      </c>
      <c r="S126">
        <f t="shared" si="4"/>
        <v>441</v>
      </c>
      <c r="T126" s="305">
        <f t="shared" si="5"/>
        <v>0.32426303854875282</v>
      </c>
    </row>
    <row r="127" spans="1:20" ht="16" customHeight="1" thickBot="1">
      <c r="A127" s="126"/>
      <c r="B127" s="644"/>
      <c r="C127" s="648" t="s">
        <v>1523</v>
      </c>
      <c r="D127" s="648" t="s">
        <v>1523</v>
      </c>
      <c r="E127" s="648" t="s">
        <v>1523</v>
      </c>
      <c r="F127" s="648" t="s">
        <v>1523</v>
      </c>
      <c r="G127" s="648" t="s">
        <v>1523</v>
      </c>
      <c r="H127" s="648" t="s">
        <v>1523</v>
      </c>
      <c r="I127" s="648" t="s">
        <v>1523</v>
      </c>
      <c r="J127" s="648" t="s">
        <v>1523</v>
      </c>
      <c r="K127" s="648" t="s">
        <v>1523</v>
      </c>
      <c r="L127" s="648" t="s">
        <v>1523</v>
      </c>
      <c r="M127" s="648" t="s">
        <v>1523</v>
      </c>
      <c r="N127" s="648" t="s">
        <v>1523</v>
      </c>
      <c r="O127" s="648" t="s">
        <v>1523</v>
      </c>
      <c r="Q127">
        <v>465</v>
      </c>
      <c r="R127">
        <f t="shared" si="3"/>
        <v>158</v>
      </c>
      <c r="S127">
        <f t="shared" si="4"/>
        <v>252</v>
      </c>
      <c r="T127" s="305">
        <f t="shared" si="5"/>
        <v>0.62698412698412698</v>
      </c>
    </row>
    <row r="128" spans="1:20" ht="16" customHeight="1" thickBot="1">
      <c r="A128" s="126"/>
      <c r="B128" s="644"/>
      <c r="C128" s="645">
        <v>25</v>
      </c>
      <c r="D128" s="645" t="s">
        <v>309</v>
      </c>
      <c r="E128" s="645">
        <v>20</v>
      </c>
      <c r="F128" s="645" t="s">
        <v>632</v>
      </c>
      <c r="G128" s="645" t="s">
        <v>554</v>
      </c>
      <c r="H128" s="645">
        <v>266</v>
      </c>
      <c r="I128" s="645">
        <v>716</v>
      </c>
      <c r="J128" s="645">
        <v>0.372</v>
      </c>
      <c r="K128" s="645" t="s">
        <v>496</v>
      </c>
      <c r="L128" s="645" t="s">
        <v>497</v>
      </c>
      <c r="M128" s="645" t="s">
        <v>505</v>
      </c>
      <c r="N128" s="646">
        <v>0</v>
      </c>
      <c r="O128" s="646">
        <v>0</v>
      </c>
      <c r="Q128">
        <v>466</v>
      </c>
      <c r="R128">
        <f t="shared" si="3"/>
        <v>190</v>
      </c>
      <c r="S128">
        <f t="shared" si="4"/>
        <v>400</v>
      </c>
      <c r="T128" s="305">
        <f t="shared" si="5"/>
        <v>0.47499999999999998</v>
      </c>
    </row>
    <row r="129" spans="1:20" ht="16" customHeight="1" thickBot="1">
      <c r="A129" s="126"/>
      <c r="B129" s="644"/>
      <c r="C129" s="645">
        <v>25</v>
      </c>
      <c r="D129" s="645" t="s">
        <v>309</v>
      </c>
      <c r="E129" s="645">
        <v>21</v>
      </c>
      <c r="F129" s="645" t="s">
        <v>633</v>
      </c>
      <c r="G129" s="645" t="s">
        <v>554</v>
      </c>
      <c r="H129" s="645">
        <v>397</v>
      </c>
      <c r="I129" s="645">
        <v>762</v>
      </c>
      <c r="J129" s="645">
        <v>0.52100000000000002</v>
      </c>
      <c r="K129" s="645" t="s">
        <v>496</v>
      </c>
      <c r="L129" s="645" t="s">
        <v>497</v>
      </c>
      <c r="M129" s="645" t="s">
        <v>498</v>
      </c>
      <c r="N129" s="646">
        <v>0</v>
      </c>
      <c r="O129" s="646">
        <v>0</v>
      </c>
      <c r="Q129">
        <v>468</v>
      </c>
      <c r="R129">
        <f t="shared" si="3"/>
        <v>132</v>
      </c>
      <c r="S129">
        <f t="shared" si="4"/>
        <v>270</v>
      </c>
      <c r="T129" s="305">
        <f t="shared" si="5"/>
        <v>0.48888888888888887</v>
      </c>
    </row>
    <row r="130" spans="1:20" ht="16" customHeight="1" thickBot="1">
      <c r="A130" s="126"/>
      <c r="B130" s="644"/>
      <c r="C130" s="645">
        <v>25</v>
      </c>
      <c r="D130" s="645" t="s">
        <v>309</v>
      </c>
      <c r="E130" s="645">
        <v>22</v>
      </c>
      <c r="F130" s="645" t="s">
        <v>634</v>
      </c>
      <c r="G130" s="645" t="s">
        <v>554</v>
      </c>
      <c r="H130" s="645">
        <v>354</v>
      </c>
      <c r="I130" s="645">
        <v>615</v>
      </c>
      <c r="J130" s="645">
        <v>0.57599999999999996</v>
      </c>
      <c r="K130" s="645" t="s">
        <v>496</v>
      </c>
      <c r="L130" s="645" t="s">
        <v>497</v>
      </c>
      <c r="M130" s="645" t="s">
        <v>498</v>
      </c>
      <c r="N130" s="646">
        <v>0</v>
      </c>
      <c r="O130" s="646">
        <v>0</v>
      </c>
      <c r="Q130">
        <v>470</v>
      </c>
      <c r="R130">
        <f t="shared" si="3"/>
        <v>0</v>
      </c>
      <c r="S130">
        <f t="shared" si="4"/>
        <v>0</v>
      </c>
      <c r="T130" s="305" t="e">
        <f t="shared" si="5"/>
        <v>#DIV/0!</v>
      </c>
    </row>
    <row r="131" spans="1:20" ht="16" customHeight="1" thickBot="1">
      <c r="A131" s="126"/>
      <c r="B131" s="644"/>
      <c r="C131" s="645">
        <v>25</v>
      </c>
      <c r="D131" s="645" t="s">
        <v>309</v>
      </c>
      <c r="E131" s="645">
        <v>23</v>
      </c>
      <c r="F131" s="645" t="s">
        <v>635</v>
      </c>
      <c r="G131" s="645" t="s">
        <v>554</v>
      </c>
      <c r="H131" s="645">
        <v>390</v>
      </c>
      <c r="I131" s="645">
        <v>652</v>
      </c>
      <c r="J131" s="645">
        <v>0.59799999999999998</v>
      </c>
      <c r="K131" s="645" t="s">
        <v>496</v>
      </c>
      <c r="L131" s="645" t="s">
        <v>497</v>
      </c>
      <c r="M131" s="645" t="s">
        <v>509</v>
      </c>
      <c r="N131" s="646">
        <v>0</v>
      </c>
      <c r="O131" s="646">
        <v>0</v>
      </c>
      <c r="Q131">
        <v>472</v>
      </c>
      <c r="R131">
        <f t="shared" si="3"/>
        <v>51</v>
      </c>
      <c r="S131">
        <f t="shared" si="4"/>
        <v>161</v>
      </c>
      <c r="T131" s="305">
        <f t="shared" si="5"/>
        <v>0.31677018633540371</v>
      </c>
    </row>
    <row r="132" spans="1:20" ht="16" customHeight="1" thickBot="1">
      <c r="A132" s="126"/>
      <c r="B132" s="644"/>
      <c r="C132" s="645">
        <v>25</v>
      </c>
      <c r="D132" s="645" t="s">
        <v>309</v>
      </c>
      <c r="E132" s="645">
        <v>24</v>
      </c>
      <c r="F132" s="645" t="s">
        <v>636</v>
      </c>
      <c r="G132" s="645" t="s">
        <v>557</v>
      </c>
      <c r="H132" s="645">
        <v>530</v>
      </c>
      <c r="I132" s="645">
        <v>1009</v>
      </c>
      <c r="J132" s="645">
        <v>0.52500000000000002</v>
      </c>
      <c r="K132" s="645" t="s">
        <v>496</v>
      </c>
      <c r="L132" s="645" t="s">
        <v>518</v>
      </c>
      <c r="M132" s="645" t="s">
        <v>505</v>
      </c>
      <c r="N132" s="646">
        <v>29202</v>
      </c>
      <c r="O132" s="646">
        <v>55</v>
      </c>
      <c r="Q132">
        <v>473</v>
      </c>
      <c r="R132">
        <f t="shared" si="3"/>
        <v>114</v>
      </c>
      <c r="S132">
        <f t="shared" si="4"/>
        <v>381</v>
      </c>
      <c r="T132" s="305">
        <f t="shared" si="5"/>
        <v>0.29921259842519687</v>
      </c>
    </row>
    <row r="133" spans="1:20" ht="16" customHeight="1" thickBot="1">
      <c r="A133" s="126"/>
      <c r="B133" s="644"/>
      <c r="C133" s="645">
        <v>25</v>
      </c>
      <c r="D133" s="645" t="s">
        <v>309</v>
      </c>
      <c r="E133" s="645">
        <v>25</v>
      </c>
      <c r="F133" s="645" t="s">
        <v>637</v>
      </c>
      <c r="G133" s="645" t="s">
        <v>557</v>
      </c>
      <c r="H133" s="645">
        <v>460</v>
      </c>
      <c r="I133" s="645">
        <v>1447</v>
      </c>
      <c r="J133" s="645">
        <v>0.318</v>
      </c>
      <c r="K133" s="645" t="s">
        <v>501</v>
      </c>
      <c r="L133" s="645" t="s">
        <v>497</v>
      </c>
      <c r="M133" s="645" t="s">
        <v>509</v>
      </c>
      <c r="N133" s="646">
        <v>0</v>
      </c>
      <c r="O133" s="646">
        <v>0</v>
      </c>
      <c r="Q133">
        <v>474</v>
      </c>
      <c r="R133">
        <f t="shared" ref="R133:R147" si="6">SUMIF($C:$C, $Q133, H:H)</f>
        <v>96</v>
      </c>
      <c r="S133">
        <f t="shared" ref="S133:S147" si="7">SUMIF($C:$C, $Q133, I:I)</f>
        <v>209</v>
      </c>
      <c r="T133" s="305">
        <f t="shared" ref="T133:T147" si="8">R133/S133</f>
        <v>0.45933014354066987</v>
      </c>
    </row>
    <row r="134" spans="1:20" ht="16" customHeight="1" thickBot="1">
      <c r="A134" s="126"/>
      <c r="B134" s="644"/>
      <c r="C134" s="645">
        <v>25</v>
      </c>
      <c r="D134" s="645" t="s">
        <v>309</v>
      </c>
      <c r="E134" s="645">
        <v>353</v>
      </c>
      <c r="F134" s="645" t="s">
        <v>638</v>
      </c>
      <c r="G134" s="645" t="s">
        <v>512</v>
      </c>
      <c r="H134" s="645">
        <v>113</v>
      </c>
      <c r="I134" s="645">
        <v>315</v>
      </c>
      <c r="J134" s="645">
        <v>0.35899999999999999</v>
      </c>
      <c r="K134" s="645" t="s">
        <v>496</v>
      </c>
      <c r="L134" s="645" t="s">
        <v>518</v>
      </c>
      <c r="M134" s="645" t="s">
        <v>509</v>
      </c>
      <c r="N134" s="646">
        <v>59777</v>
      </c>
      <c r="O134" s="646">
        <v>529</v>
      </c>
      <c r="Q134">
        <v>475</v>
      </c>
      <c r="R134">
        <f t="shared" si="6"/>
        <v>166</v>
      </c>
      <c r="S134">
        <f t="shared" si="7"/>
        <v>949</v>
      </c>
      <c r="T134" s="305">
        <f t="shared" si="8"/>
        <v>0.17492096944151739</v>
      </c>
    </row>
    <row r="135" spans="1:20" ht="16" customHeight="1" thickBot="1">
      <c r="A135" s="126"/>
      <c r="B135" s="644"/>
      <c r="C135" s="645">
        <v>25</v>
      </c>
      <c r="D135" s="645" t="s">
        <v>309</v>
      </c>
      <c r="E135" s="645">
        <v>354</v>
      </c>
      <c r="F135" s="645" t="s">
        <v>639</v>
      </c>
      <c r="G135" s="645" t="s">
        <v>512</v>
      </c>
      <c r="H135" s="645">
        <v>217</v>
      </c>
      <c r="I135" s="645">
        <v>338</v>
      </c>
      <c r="J135" s="645">
        <v>0.64200000000000002</v>
      </c>
      <c r="K135" s="645" t="s">
        <v>496</v>
      </c>
      <c r="L135" s="645" t="s">
        <v>518</v>
      </c>
      <c r="M135" s="645" t="s">
        <v>498</v>
      </c>
      <c r="N135" s="646">
        <v>120435</v>
      </c>
      <c r="O135" s="646">
        <v>555</v>
      </c>
      <c r="Q135">
        <v>476</v>
      </c>
      <c r="R135">
        <f t="shared" si="6"/>
        <v>245</v>
      </c>
      <c r="S135">
        <f t="shared" si="7"/>
        <v>383</v>
      </c>
      <c r="T135" s="305">
        <f t="shared" si="8"/>
        <v>0.63968668407310703</v>
      </c>
    </row>
    <row r="136" spans="1:20" ht="16" customHeight="1" thickBot="1">
      <c r="A136" s="126"/>
      <c r="B136" s="644"/>
      <c r="C136" s="645">
        <v>25</v>
      </c>
      <c r="D136" s="645" t="s">
        <v>309</v>
      </c>
      <c r="E136" s="645">
        <v>355</v>
      </c>
      <c r="F136" s="645" t="s">
        <v>640</v>
      </c>
      <c r="G136" s="645" t="s">
        <v>512</v>
      </c>
      <c r="H136" s="645">
        <v>308</v>
      </c>
      <c r="I136" s="645">
        <v>588</v>
      </c>
      <c r="J136" s="645">
        <v>0.52400000000000002</v>
      </c>
      <c r="K136" s="645" t="s">
        <v>496</v>
      </c>
      <c r="L136" s="645" t="s">
        <v>518</v>
      </c>
      <c r="M136" s="645" t="s">
        <v>509</v>
      </c>
      <c r="N136" s="646">
        <v>169400</v>
      </c>
      <c r="O136" s="646">
        <v>550</v>
      </c>
      <c r="Q136">
        <v>477</v>
      </c>
      <c r="R136">
        <f t="shared" si="6"/>
        <v>246</v>
      </c>
      <c r="S136">
        <f t="shared" si="7"/>
        <v>490</v>
      </c>
      <c r="T136" s="305">
        <f t="shared" si="8"/>
        <v>0.50204081632653064</v>
      </c>
    </row>
    <row r="137" spans="1:20" ht="16" customHeight="1" thickBot="1">
      <c r="A137" s="126"/>
      <c r="B137" s="644"/>
      <c r="C137" s="645">
        <v>25</v>
      </c>
      <c r="D137" s="645" t="s">
        <v>309</v>
      </c>
      <c r="E137" s="645">
        <v>356</v>
      </c>
      <c r="F137" s="645" t="s">
        <v>641</v>
      </c>
      <c r="G137" s="645" t="s">
        <v>564</v>
      </c>
      <c r="H137" s="645">
        <v>229</v>
      </c>
      <c r="I137" s="645">
        <v>534</v>
      </c>
      <c r="J137" s="645">
        <v>0.42899999999999999</v>
      </c>
      <c r="K137" s="645" t="s">
        <v>496</v>
      </c>
      <c r="L137" s="645" t="s">
        <v>518</v>
      </c>
      <c r="M137" s="645" t="s">
        <v>509</v>
      </c>
      <c r="N137" s="646">
        <v>121141</v>
      </c>
      <c r="O137" s="646">
        <v>529</v>
      </c>
      <c r="Q137">
        <v>478</v>
      </c>
      <c r="R137">
        <f t="shared" si="6"/>
        <v>112</v>
      </c>
      <c r="S137">
        <f t="shared" si="7"/>
        <v>291</v>
      </c>
      <c r="T137" s="305">
        <f t="shared" si="8"/>
        <v>0.38487972508591067</v>
      </c>
    </row>
    <row r="138" spans="1:20" ht="16" customHeight="1" thickBot="1">
      <c r="A138" s="126"/>
      <c r="B138" s="644"/>
      <c r="C138" s="645">
        <v>25</v>
      </c>
      <c r="D138" s="645" t="s">
        <v>309</v>
      </c>
      <c r="E138" s="645">
        <v>357</v>
      </c>
      <c r="F138" s="645" t="s">
        <v>642</v>
      </c>
      <c r="G138" s="645" t="s">
        <v>512</v>
      </c>
      <c r="H138" s="645">
        <v>148</v>
      </c>
      <c r="I138" s="645">
        <v>470</v>
      </c>
      <c r="J138" s="645">
        <v>0.315</v>
      </c>
      <c r="K138" s="645" t="s">
        <v>501</v>
      </c>
      <c r="L138" s="645" t="s">
        <v>497</v>
      </c>
      <c r="M138" s="645" t="s">
        <v>509</v>
      </c>
      <c r="N138" s="646">
        <v>0</v>
      </c>
      <c r="O138" s="646">
        <v>0</v>
      </c>
      <c r="Q138">
        <v>479</v>
      </c>
      <c r="R138">
        <f t="shared" si="6"/>
        <v>101</v>
      </c>
      <c r="S138">
        <f t="shared" si="7"/>
        <v>172</v>
      </c>
      <c r="T138" s="305">
        <f t="shared" si="8"/>
        <v>0.58720930232558144</v>
      </c>
    </row>
    <row r="139" spans="1:20" ht="16" customHeight="1" thickBot="1">
      <c r="A139" s="126"/>
      <c r="B139" s="644"/>
      <c r="C139" s="645">
        <v>25</v>
      </c>
      <c r="D139" s="645" t="s">
        <v>309</v>
      </c>
      <c r="E139" s="645">
        <v>358</v>
      </c>
      <c r="F139" s="645" t="s">
        <v>643</v>
      </c>
      <c r="G139" s="645" t="s">
        <v>564</v>
      </c>
      <c r="H139" s="645">
        <v>298</v>
      </c>
      <c r="I139" s="645">
        <v>500</v>
      </c>
      <c r="J139" s="645">
        <v>0.59599999999999997</v>
      </c>
      <c r="K139" s="645" t="s">
        <v>496</v>
      </c>
      <c r="L139" s="645" t="s">
        <v>518</v>
      </c>
      <c r="M139" s="645" t="s">
        <v>498</v>
      </c>
      <c r="N139" s="646">
        <v>163900</v>
      </c>
      <c r="O139" s="646">
        <v>550</v>
      </c>
      <c r="Q139">
        <v>480</v>
      </c>
      <c r="R139">
        <f t="shared" si="6"/>
        <v>0</v>
      </c>
      <c r="S139">
        <f t="shared" si="7"/>
        <v>0</v>
      </c>
      <c r="T139" s="305" t="e">
        <f t="shared" si="8"/>
        <v>#DIV/0!</v>
      </c>
    </row>
    <row r="140" spans="1:20" ht="16" customHeight="1" thickBot="1">
      <c r="A140" s="126"/>
      <c r="B140" s="644"/>
      <c r="C140" s="645">
        <v>25</v>
      </c>
      <c r="D140" s="645" t="s">
        <v>309</v>
      </c>
      <c r="E140" s="645">
        <v>359</v>
      </c>
      <c r="F140" s="645" t="s">
        <v>519</v>
      </c>
      <c r="G140" s="645" t="s">
        <v>512</v>
      </c>
      <c r="H140" s="645">
        <v>180</v>
      </c>
      <c r="I140" s="645">
        <v>259</v>
      </c>
      <c r="J140" s="645">
        <v>0.69499999999999995</v>
      </c>
      <c r="K140" s="645" t="s">
        <v>496</v>
      </c>
      <c r="L140" s="645" t="s">
        <v>518</v>
      </c>
      <c r="M140" s="645" t="s">
        <v>505</v>
      </c>
      <c r="N140" s="646">
        <v>100800</v>
      </c>
      <c r="O140" s="646">
        <v>560</v>
      </c>
      <c r="Q140">
        <v>481</v>
      </c>
      <c r="R140">
        <f t="shared" si="6"/>
        <v>350</v>
      </c>
      <c r="S140">
        <f t="shared" si="7"/>
        <v>540</v>
      </c>
      <c r="T140" s="305">
        <f t="shared" si="8"/>
        <v>0.64814814814814814</v>
      </c>
    </row>
    <row r="141" spans="1:20" ht="16" customHeight="1" thickBot="1">
      <c r="A141" s="126"/>
      <c r="B141" s="644"/>
      <c r="C141" s="645">
        <v>25</v>
      </c>
      <c r="D141" s="645" t="s">
        <v>309</v>
      </c>
      <c r="E141" s="645">
        <v>360</v>
      </c>
      <c r="F141" s="645" t="s">
        <v>644</v>
      </c>
      <c r="G141" s="645" t="s">
        <v>564</v>
      </c>
      <c r="H141" s="645">
        <v>272</v>
      </c>
      <c r="I141" s="645">
        <v>524</v>
      </c>
      <c r="J141" s="645">
        <v>0.51900000000000002</v>
      </c>
      <c r="K141" s="645" t="s">
        <v>496</v>
      </c>
      <c r="L141" s="645" t="s">
        <v>518</v>
      </c>
      <c r="M141" s="645" t="s">
        <v>509</v>
      </c>
      <c r="N141" s="646">
        <v>149600</v>
      </c>
      <c r="O141" s="646">
        <v>550</v>
      </c>
      <c r="Q141">
        <v>482</v>
      </c>
      <c r="R141">
        <f t="shared" si="6"/>
        <v>70</v>
      </c>
      <c r="S141">
        <f t="shared" si="7"/>
        <v>241</v>
      </c>
      <c r="T141" s="305">
        <f t="shared" si="8"/>
        <v>0.29045643153526973</v>
      </c>
    </row>
    <row r="142" spans="1:20" ht="16" customHeight="1" thickBot="1">
      <c r="A142" s="126"/>
      <c r="B142" s="644"/>
      <c r="C142" s="645">
        <v>25</v>
      </c>
      <c r="D142" s="645" t="s">
        <v>309</v>
      </c>
      <c r="E142" s="645">
        <v>361</v>
      </c>
      <c r="F142" s="645" t="s">
        <v>645</v>
      </c>
      <c r="G142" s="645" t="s">
        <v>564</v>
      </c>
      <c r="H142" s="645">
        <v>288</v>
      </c>
      <c r="I142" s="645">
        <v>517</v>
      </c>
      <c r="J142" s="645">
        <v>0.55700000000000005</v>
      </c>
      <c r="K142" s="645" t="s">
        <v>496</v>
      </c>
      <c r="L142" s="645" t="s">
        <v>518</v>
      </c>
      <c r="M142" s="645" t="s">
        <v>505</v>
      </c>
      <c r="N142" s="646">
        <v>158400</v>
      </c>
      <c r="O142" s="646">
        <v>550</v>
      </c>
      <c r="Q142">
        <v>483</v>
      </c>
      <c r="R142">
        <f t="shared" si="6"/>
        <v>92</v>
      </c>
      <c r="S142">
        <f t="shared" si="7"/>
        <v>107</v>
      </c>
      <c r="T142" s="305">
        <f t="shared" si="8"/>
        <v>0.85981308411214952</v>
      </c>
    </row>
    <row r="143" spans="1:20" ht="16" customHeight="1" thickBot="1">
      <c r="A143" s="126"/>
      <c r="B143" s="644"/>
      <c r="C143" s="645">
        <v>25</v>
      </c>
      <c r="D143" s="645" t="s">
        <v>309</v>
      </c>
      <c r="E143" s="645">
        <v>362</v>
      </c>
      <c r="F143" s="645" t="s">
        <v>646</v>
      </c>
      <c r="G143" s="645" t="s">
        <v>512</v>
      </c>
      <c r="H143" s="645">
        <v>394</v>
      </c>
      <c r="I143" s="645">
        <v>558</v>
      </c>
      <c r="J143" s="645">
        <v>0.70599999999999996</v>
      </c>
      <c r="K143" s="645" t="s">
        <v>496</v>
      </c>
      <c r="L143" s="645" t="s">
        <v>518</v>
      </c>
      <c r="M143" s="645" t="s">
        <v>505</v>
      </c>
      <c r="N143" s="646">
        <v>222216</v>
      </c>
      <c r="O143" s="646">
        <v>564</v>
      </c>
      <c r="Q143">
        <v>485</v>
      </c>
      <c r="R143">
        <f t="shared" si="6"/>
        <v>54</v>
      </c>
      <c r="S143">
        <f t="shared" si="7"/>
        <v>85</v>
      </c>
      <c r="T143" s="305">
        <f t="shared" si="8"/>
        <v>0.63529411764705879</v>
      </c>
    </row>
    <row r="144" spans="1:20" ht="16" customHeight="1" thickBot="1">
      <c r="A144" s="126"/>
      <c r="B144" s="644"/>
      <c r="C144" s="645">
        <v>25</v>
      </c>
      <c r="D144" s="645" t="s">
        <v>309</v>
      </c>
      <c r="E144" s="645">
        <v>365</v>
      </c>
      <c r="F144" s="645" t="s">
        <v>529</v>
      </c>
      <c r="G144" s="645" t="s">
        <v>564</v>
      </c>
      <c r="H144" s="645">
        <v>332</v>
      </c>
      <c r="I144" s="645">
        <v>430</v>
      </c>
      <c r="J144" s="645">
        <v>0.77200000000000002</v>
      </c>
      <c r="K144" s="645" t="s">
        <v>496</v>
      </c>
      <c r="L144" s="645" t="s">
        <v>518</v>
      </c>
      <c r="M144" s="645" t="s">
        <v>509</v>
      </c>
      <c r="N144" s="646">
        <v>187248</v>
      </c>
      <c r="O144" s="646">
        <v>564</v>
      </c>
      <c r="Q144">
        <v>487</v>
      </c>
      <c r="R144">
        <f t="shared" si="6"/>
        <v>174</v>
      </c>
      <c r="S144">
        <f t="shared" si="7"/>
        <v>355</v>
      </c>
      <c r="T144" s="305">
        <f t="shared" si="8"/>
        <v>0.49014084507042255</v>
      </c>
    </row>
    <row r="145" spans="1:20" ht="16" customHeight="1" thickBot="1">
      <c r="A145" s="126"/>
      <c r="B145" s="644"/>
      <c r="C145" s="645">
        <v>25</v>
      </c>
      <c r="D145" s="645" t="s">
        <v>309</v>
      </c>
      <c r="E145" s="645">
        <v>366</v>
      </c>
      <c r="F145" s="645" t="s">
        <v>647</v>
      </c>
      <c r="G145" s="645" t="s">
        <v>512</v>
      </c>
      <c r="H145" s="645">
        <v>173</v>
      </c>
      <c r="I145" s="645">
        <v>279</v>
      </c>
      <c r="J145" s="645">
        <v>0.62</v>
      </c>
      <c r="K145" s="645" t="s">
        <v>496</v>
      </c>
      <c r="L145" s="645" t="s">
        <v>518</v>
      </c>
      <c r="M145" s="645" t="s">
        <v>498</v>
      </c>
      <c r="N145" s="646">
        <v>96015</v>
      </c>
      <c r="O145" s="646">
        <v>555</v>
      </c>
      <c r="Q145">
        <v>488</v>
      </c>
      <c r="R145">
        <f t="shared" si="6"/>
        <v>41</v>
      </c>
      <c r="S145">
        <f t="shared" si="7"/>
        <v>130</v>
      </c>
      <c r="T145" s="305">
        <f t="shared" si="8"/>
        <v>0.31538461538461537</v>
      </c>
    </row>
    <row r="146" spans="1:20" ht="16" customHeight="1" thickBot="1">
      <c r="A146" s="126"/>
      <c r="B146" s="644"/>
      <c r="C146" s="645">
        <v>25</v>
      </c>
      <c r="D146" s="645" t="s">
        <v>309</v>
      </c>
      <c r="E146" s="645">
        <v>368</v>
      </c>
      <c r="F146" s="645" t="s">
        <v>648</v>
      </c>
      <c r="G146" s="645" t="s">
        <v>512</v>
      </c>
      <c r="H146" s="645">
        <v>423</v>
      </c>
      <c r="I146" s="645">
        <v>560</v>
      </c>
      <c r="J146" s="645">
        <v>0.755</v>
      </c>
      <c r="K146" s="645" t="s">
        <v>496</v>
      </c>
      <c r="L146" s="645" t="s">
        <v>518</v>
      </c>
      <c r="M146" s="645" t="s">
        <v>498</v>
      </c>
      <c r="N146" s="646">
        <v>238572</v>
      </c>
      <c r="O146" s="646">
        <v>564</v>
      </c>
      <c r="Q146">
        <v>489</v>
      </c>
      <c r="R146">
        <f t="shared" si="6"/>
        <v>50</v>
      </c>
      <c r="S146">
        <f t="shared" si="7"/>
        <v>85</v>
      </c>
      <c r="T146" s="305">
        <f t="shared" si="8"/>
        <v>0.58823529411764708</v>
      </c>
    </row>
    <row r="147" spans="1:20" ht="16" customHeight="1" thickBot="1">
      <c r="A147" s="126"/>
      <c r="B147" s="644"/>
      <c r="C147" s="645">
        <v>25</v>
      </c>
      <c r="D147" s="645" t="s">
        <v>309</v>
      </c>
      <c r="E147" s="645">
        <v>956</v>
      </c>
      <c r="F147" s="645" t="s">
        <v>649</v>
      </c>
      <c r="G147" s="645" t="s">
        <v>557</v>
      </c>
      <c r="H147" s="645">
        <v>438</v>
      </c>
      <c r="I147" s="645">
        <v>1199</v>
      </c>
      <c r="J147" s="645">
        <v>0.36499999999999999</v>
      </c>
      <c r="K147" s="645" t="s">
        <v>496</v>
      </c>
      <c r="L147" s="645" t="s">
        <v>497</v>
      </c>
      <c r="M147" s="645" t="s">
        <v>509</v>
      </c>
      <c r="N147" s="646">
        <v>0</v>
      </c>
      <c r="O147" s="646">
        <v>0</v>
      </c>
      <c r="Q147">
        <v>490</v>
      </c>
      <c r="R147">
        <f t="shared" si="6"/>
        <v>347</v>
      </c>
      <c r="S147">
        <f t="shared" si="7"/>
        <v>673</v>
      </c>
      <c r="T147" s="305">
        <f t="shared" si="8"/>
        <v>0.51560178306092119</v>
      </c>
    </row>
    <row r="148" spans="1:20" ht="16" customHeight="1" thickBot="1">
      <c r="A148" s="126"/>
      <c r="B148" s="644"/>
      <c r="C148" s="645">
        <v>25</v>
      </c>
      <c r="D148" s="645" t="s">
        <v>309</v>
      </c>
      <c r="E148" s="645">
        <v>1002</v>
      </c>
      <c r="F148" s="645" t="s">
        <v>650</v>
      </c>
      <c r="G148" s="645" t="s">
        <v>546</v>
      </c>
      <c r="H148" s="647" t="s">
        <v>1523</v>
      </c>
      <c r="I148" s="647" t="s">
        <v>1523</v>
      </c>
      <c r="J148" s="647" t="s">
        <v>1523</v>
      </c>
      <c r="K148" s="645" t="s">
        <v>496</v>
      </c>
      <c r="L148" s="645" t="s">
        <v>518</v>
      </c>
      <c r="M148" s="645" t="s">
        <v>547</v>
      </c>
      <c r="N148" s="646">
        <v>11844</v>
      </c>
      <c r="O148" s="646">
        <v>564</v>
      </c>
      <c r="T148" s="305"/>
    </row>
    <row r="149" spans="1:20" ht="16" customHeight="1" thickBot="1">
      <c r="A149" s="126"/>
      <c r="B149" s="644"/>
      <c r="C149" s="645">
        <v>25</v>
      </c>
      <c r="D149" s="645" t="s">
        <v>309</v>
      </c>
      <c r="E149" s="645">
        <v>1141</v>
      </c>
      <c r="F149" s="645" t="s">
        <v>651</v>
      </c>
      <c r="G149" s="645" t="s">
        <v>557</v>
      </c>
      <c r="H149" s="645">
        <v>133</v>
      </c>
      <c r="I149" s="645">
        <v>156</v>
      </c>
      <c r="J149" s="645">
        <v>0.85299999999999998</v>
      </c>
      <c r="K149" s="645" t="s">
        <v>496</v>
      </c>
      <c r="L149" s="645" t="s">
        <v>518</v>
      </c>
      <c r="M149" s="645" t="s">
        <v>521</v>
      </c>
      <c r="N149" s="646">
        <v>75012</v>
      </c>
      <c r="O149" s="646">
        <v>564</v>
      </c>
    </row>
    <row r="150" spans="1:20" ht="16" customHeight="1" thickBot="1">
      <c r="A150" s="126"/>
      <c r="B150" s="644"/>
      <c r="C150" s="648" t="s">
        <v>1523</v>
      </c>
      <c r="D150" s="648" t="s">
        <v>1523</v>
      </c>
      <c r="E150" s="648" t="s">
        <v>1523</v>
      </c>
      <c r="F150" s="648" t="s">
        <v>1523</v>
      </c>
      <c r="G150" s="648" t="s">
        <v>1523</v>
      </c>
      <c r="H150" s="648" t="s">
        <v>1523</v>
      </c>
      <c r="I150" s="648" t="s">
        <v>1523</v>
      </c>
      <c r="J150" s="648" t="s">
        <v>1523</v>
      </c>
      <c r="K150" s="648" t="s">
        <v>1523</v>
      </c>
      <c r="L150" s="648" t="s">
        <v>1523</v>
      </c>
      <c r="M150" s="648" t="s">
        <v>1523</v>
      </c>
      <c r="N150" s="648" t="s">
        <v>1523</v>
      </c>
      <c r="O150" s="648" t="s">
        <v>1523</v>
      </c>
    </row>
    <row r="151" spans="1:20" ht="16" customHeight="1" thickBot="1">
      <c r="A151" s="126"/>
      <c r="B151" s="644"/>
      <c r="C151" s="645">
        <v>33</v>
      </c>
      <c r="D151" s="645" t="s">
        <v>310</v>
      </c>
      <c r="E151" s="645">
        <v>26</v>
      </c>
      <c r="F151" s="645" t="s">
        <v>652</v>
      </c>
      <c r="G151" s="645" t="s">
        <v>554</v>
      </c>
      <c r="H151" s="645">
        <v>109</v>
      </c>
      <c r="I151" s="645">
        <v>251</v>
      </c>
      <c r="J151" s="645">
        <v>0.434</v>
      </c>
      <c r="K151" s="645" t="s">
        <v>496</v>
      </c>
      <c r="L151" s="645" t="s">
        <v>518</v>
      </c>
      <c r="M151" s="645" t="s">
        <v>505</v>
      </c>
      <c r="N151" s="646">
        <v>22321</v>
      </c>
      <c r="O151" s="646">
        <v>204</v>
      </c>
    </row>
    <row r="152" spans="1:20" ht="16" customHeight="1" thickBot="1">
      <c r="A152" s="126"/>
      <c r="B152" s="644"/>
      <c r="C152" s="645">
        <v>33</v>
      </c>
      <c r="D152" s="645" t="s">
        <v>310</v>
      </c>
      <c r="E152" s="645">
        <v>27</v>
      </c>
      <c r="F152" s="645" t="s">
        <v>653</v>
      </c>
      <c r="G152" s="645" t="s">
        <v>557</v>
      </c>
      <c r="H152" s="645">
        <v>117</v>
      </c>
      <c r="I152" s="645">
        <v>306</v>
      </c>
      <c r="J152" s="645">
        <v>0.38200000000000001</v>
      </c>
      <c r="K152" s="645" t="s">
        <v>496</v>
      </c>
      <c r="L152" s="645" t="s">
        <v>497</v>
      </c>
      <c r="M152" s="645" t="s">
        <v>505</v>
      </c>
      <c r="N152" s="646">
        <v>0</v>
      </c>
      <c r="O152" s="646">
        <v>0</v>
      </c>
    </row>
    <row r="153" spans="1:20" ht="16" customHeight="1" thickBot="1">
      <c r="A153" s="126"/>
      <c r="B153" s="644"/>
      <c r="C153" s="645">
        <v>33</v>
      </c>
      <c r="D153" s="645" t="s">
        <v>310</v>
      </c>
      <c r="E153" s="645">
        <v>370</v>
      </c>
      <c r="F153" s="645" t="s">
        <v>654</v>
      </c>
      <c r="G153" s="645" t="s">
        <v>564</v>
      </c>
      <c r="H153" s="645">
        <v>180</v>
      </c>
      <c r="I153" s="645">
        <v>328</v>
      </c>
      <c r="J153" s="645">
        <v>0.54900000000000004</v>
      </c>
      <c r="K153" s="645" t="s">
        <v>496</v>
      </c>
      <c r="L153" s="645" t="s">
        <v>518</v>
      </c>
      <c r="M153" s="645" t="s">
        <v>498</v>
      </c>
      <c r="N153" s="646">
        <v>88859</v>
      </c>
      <c r="O153" s="646">
        <v>493</v>
      </c>
    </row>
    <row r="154" spans="1:20" ht="16" customHeight="1" thickBot="1">
      <c r="A154" s="126"/>
      <c r="B154" s="644"/>
      <c r="C154" s="645">
        <v>33</v>
      </c>
      <c r="D154" s="645" t="s">
        <v>310</v>
      </c>
      <c r="E154" s="645">
        <v>371</v>
      </c>
      <c r="F154" s="645" t="s">
        <v>655</v>
      </c>
      <c r="G154" s="645" t="s">
        <v>564</v>
      </c>
      <c r="H154" s="645">
        <v>35</v>
      </c>
      <c r="I154" s="645">
        <v>88</v>
      </c>
      <c r="J154" s="645">
        <v>0.39800000000000002</v>
      </c>
      <c r="K154" s="645" t="s">
        <v>496</v>
      </c>
      <c r="L154" s="645" t="s">
        <v>518</v>
      </c>
      <c r="M154" s="645" t="s">
        <v>509</v>
      </c>
      <c r="N154" s="646">
        <v>15263</v>
      </c>
      <c r="O154" s="646">
        <v>436</v>
      </c>
    </row>
    <row r="155" spans="1:20" ht="16" customHeight="1" thickBot="1">
      <c r="A155" s="126"/>
      <c r="B155" s="644"/>
      <c r="C155" s="645">
        <v>33</v>
      </c>
      <c r="D155" s="645" t="s">
        <v>310</v>
      </c>
      <c r="E155" s="645">
        <v>372</v>
      </c>
      <c r="F155" s="645" t="s">
        <v>656</v>
      </c>
      <c r="G155" s="645" t="s">
        <v>564</v>
      </c>
      <c r="H155" s="645">
        <v>60</v>
      </c>
      <c r="I155" s="645">
        <v>116</v>
      </c>
      <c r="J155" s="645">
        <v>0.51700000000000002</v>
      </c>
      <c r="K155" s="645" t="s">
        <v>496</v>
      </c>
      <c r="L155" s="645" t="s">
        <v>518</v>
      </c>
      <c r="M155" s="645" t="s">
        <v>498</v>
      </c>
      <c r="N155" s="646">
        <v>26478</v>
      </c>
      <c r="O155" s="646">
        <v>441</v>
      </c>
    </row>
    <row r="156" spans="1:20" ht="16" customHeight="1" thickBot="1">
      <c r="A156" s="126"/>
      <c r="B156" s="644"/>
      <c r="C156" s="648" t="s">
        <v>1523</v>
      </c>
      <c r="D156" s="648" t="s">
        <v>1523</v>
      </c>
      <c r="E156" s="648" t="s">
        <v>1523</v>
      </c>
      <c r="F156" s="648" t="s">
        <v>1523</v>
      </c>
      <c r="G156" s="648" t="s">
        <v>1523</v>
      </c>
      <c r="H156" s="648" t="s">
        <v>1523</v>
      </c>
      <c r="I156" s="648" t="s">
        <v>1523</v>
      </c>
      <c r="J156" s="648" t="s">
        <v>1523</v>
      </c>
      <c r="K156" s="648" t="s">
        <v>1523</v>
      </c>
      <c r="L156" s="648" t="s">
        <v>1523</v>
      </c>
      <c r="M156" s="648" t="s">
        <v>1523</v>
      </c>
      <c r="N156" s="648" t="s">
        <v>1523</v>
      </c>
      <c r="O156" s="648" t="s">
        <v>1523</v>
      </c>
    </row>
    <row r="157" spans="1:20" ht="16" customHeight="1" thickBot="1">
      <c r="A157" s="126"/>
      <c r="B157" s="644"/>
      <c r="C157" s="645">
        <v>41</v>
      </c>
      <c r="D157" s="645" t="s">
        <v>311</v>
      </c>
      <c r="E157" s="645">
        <v>28</v>
      </c>
      <c r="F157" s="645" t="s">
        <v>657</v>
      </c>
      <c r="G157" s="645" t="s">
        <v>554</v>
      </c>
      <c r="H157" s="645">
        <v>106</v>
      </c>
      <c r="I157" s="645">
        <v>211</v>
      </c>
      <c r="J157" s="645">
        <v>0.502</v>
      </c>
      <c r="K157" s="645" t="s">
        <v>496</v>
      </c>
      <c r="L157" s="645" t="s">
        <v>497</v>
      </c>
      <c r="M157" s="645" t="s">
        <v>505</v>
      </c>
      <c r="N157" s="646">
        <v>0</v>
      </c>
      <c r="O157" s="646">
        <v>0</v>
      </c>
    </row>
    <row r="158" spans="1:20" ht="16" customHeight="1" thickBot="1">
      <c r="A158" s="126"/>
      <c r="B158" s="644"/>
      <c r="C158" s="645">
        <v>41</v>
      </c>
      <c r="D158" s="645" t="s">
        <v>311</v>
      </c>
      <c r="E158" s="645">
        <v>29</v>
      </c>
      <c r="F158" s="645" t="s">
        <v>658</v>
      </c>
      <c r="G158" s="645" t="s">
        <v>557</v>
      </c>
      <c r="H158" s="645">
        <v>114</v>
      </c>
      <c r="I158" s="645">
        <v>243</v>
      </c>
      <c r="J158" s="645">
        <v>0.46899999999999997</v>
      </c>
      <c r="K158" s="645" t="s">
        <v>496</v>
      </c>
      <c r="L158" s="645" t="s">
        <v>497</v>
      </c>
      <c r="M158" s="645" t="s">
        <v>509</v>
      </c>
      <c r="N158" s="646">
        <v>0</v>
      </c>
      <c r="O158" s="646">
        <v>0</v>
      </c>
    </row>
    <row r="159" spans="1:20" ht="16" customHeight="1" thickBot="1">
      <c r="A159" s="126"/>
      <c r="B159" s="644"/>
      <c r="C159" s="645">
        <v>41</v>
      </c>
      <c r="D159" s="645" t="s">
        <v>311</v>
      </c>
      <c r="E159" s="645">
        <v>254</v>
      </c>
      <c r="F159" s="645" t="s">
        <v>659</v>
      </c>
      <c r="G159" s="645" t="s">
        <v>564</v>
      </c>
      <c r="H159" s="645">
        <v>202</v>
      </c>
      <c r="I159" s="645">
        <v>343</v>
      </c>
      <c r="J159" s="645">
        <v>0.58899999999999997</v>
      </c>
      <c r="K159" s="645" t="s">
        <v>496</v>
      </c>
      <c r="L159" s="645" t="s">
        <v>518</v>
      </c>
      <c r="M159" s="645" t="s">
        <v>505</v>
      </c>
      <c r="N159" s="646">
        <v>126428</v>
      </c>
      <c r="O159" s="646">
        <v>625</v>
      </c>
    </row>
    <row r="160" spans="1:20" ht="16" customHeight="1" thickBot="1">
      <c r="A160" s="126"/>
      <c r="B160" s="644"/>
      <c r="C160" s="645">
        <v>41</v>
      </c>
      <c r="D160" s="645" t="s">
        <v>311</v>
      </c>
      <c r="E160" s="645">
        <v>374</v>
      </c>
      <c r="F160" s="645" t="s">
        <v>660</v>
      </c>
      <c r="G160" s="645" t="s">
        <v>551</v>
      </c>
      <c r="H160" s="645">
        <v>62</v>
      </c>
      <c r="I160" s="645">
        <v>85</v>
      </c>
      <c r="J160" s="645">
        <v>0.72899999999999998</v>
      </c>
      <c r="K160" s="645" t="s">
        <v>496</v>
      </c>
      <c r="L160" s="645" t="s">
        <v>518</v>
      </c>
      <c r="M160" s="645" t="s">
        <v>521</v>
      </c>
      <c r="N160" s="646">
        <v>39046</v>
      </c>
      <c r="O160" s="646">
        <v>629</v>
      </c>
    </row>
    <row r="161" spans="1:15" ht="16" customHeight="1" thickBot="1">
      <c r="A161" s="126"/>
      <c r="B161" s="644"/>
      <c r="C161" s="648" t="s">
        <v>1523</v>
      </c>
      <c r="D161" s="648" t="s">
        <v>1523</v>
      </c>
      <c r="E161" s="648" t="s">
        <v>1523</v>
      </c>
      <c r="F161" s="648" t="s">
        <v>1523</v>
      </c>
      <c r="G161" s="648" t="s">
        <v>1523</v>
      </c>
      <c r="H161" s="648" t="s">
        <v>1523</v>
      </c>
      <c r="I161" s="648" t="s">
        <v>1523</v>
      </c>
      <c r="J161" s="648" t="s">
        <v>1523</v>
      </c>
      <c r="K161" s="648" t="s">
        <v>1523</v>
      </c>
      <c r="L161" s="648" t="s">
        <v>1523</v>
      </c>
      <c r="M161" s="648" t="s">
        <v>1523</v>
      </c>
      <c r="N161" s="648" t="s">
        <v>1523</v>
      </c>
      <c r="O161" s="648" t="s">
        <v>1523</v>
      </c>
    </row>
    <row r="162" spans="1:15" ht="16" customHeight="1" thickBot="1">
      <c r="A162" s="126"/>
      <c r="B162" s="644"/>
      <c r="C162" s="645">
        <v>44</v>
      </c>
      <c r="D162" s="645" t="s">
        <v>312</v>
      </c>
      <c r="E162" s="645">
        <v>30</v>
      </c>
      <c r="F162" s="645" t="s">
        <v>661</v>
      </c>
      <c r="G162" s="645" t="s">
        <v>546</v>
      </c>
      <c r="H162" s="645">
        <v>112</v>
      </c>
      <c r="I162" s="645">
        <v>160</v>
      </c>
      <c r="J162" s="645">
        <v>0.7</v>
      </c>
      <c r="K162" s="645" t="s">
        <v>496</v>
      </c>
      <c r="L162" s="645" t="s">
        <v>662</v>
      </c>
      <c r="M162" s="645" t="s">
        <v>505</v>
      </c>
      <c r="N162" s="646">
        <v>76355</v>
      </c>
      <c r="O162" s="646">
        <v>681</v>
      </c>
    </row>
    <row r="163" spans="1:15" ht="16" customHeight="1" thickBot="1">
      <c r="A163" s="126"/>
      <c r="B163" s="644"/>
      <c r="C163" s="645">
        <v>44</v>
      </c>
      <c r="D163" s="645" t="s">
        <v>312</v>
      </c>
      <c r="E163" s="645">
        <v>752</v>
      </c>
      <c r="F163" s="645" t="s">
        <v>663</v>
      </c>
      <c r="G163" s="645" t="s">
        <v>512</v>
      </c>
      <c r="H163" s="645">
        <v>154</v>
      </c>
      <c r="I163" s="645">
        <v>191</v>
      </c>
      <c r="J163" s="645">
        <v>0.80600000000000005</v>
      </c>
      <c r="K163" s="645" t="s">
        <v>496</v>
      </c>
      <c r="L163" s="645" t="s">
        <v>662</v>
      </c>
      <c r="M163" s="645" t="s">
        <v>547</v>
      </c>
      <c r="N163" s="646">
        <v>93921</v>
      </c>
      <c r="O163" s="646">
        <v>609</v>
      </c>
    </row>
    <row r="164" spans="1:15" ht="16" customHeight="1" thickBot="1">
      <c r="A164" s="126"/>
      <c r="B164" s="644"/>
      <c r="C164" s="648" t="s">
        <v>1523</v>
      </c>
      <c r="D164" s="648" t="s">
        <v>1523</v>
      </c>
      <c r="E164" s="648" t="s">
        <v>1523</v>
      </c>
      <c r="F164" s="648" t="s">
        <v>1523</v>
      </c>
      <c r="G164" s="648" t="s">
        <v>1523</v>
      </c>
      <c r="H164" s="648" t="s">
        <v>1523</v>
      </c>
      <c r="I164" s="648" t="s">
        <v>1523</v>
      </c>
      <c r="J164" s="648" t="s">
        <v>1523</v>
      </c>
      <c r="K164" s="648" t="s">
        <v>1523</v>
      </c>
      <c r="L164" s="648" t="s">
        <v>1523</v>
      </c>
      <c r="M164" s="648" t="s">
        <v>1523</v>
      </c>
      <c r="N164" s="648" t="s">
        <v>1523</v>
      </c>
      <c r="O164" s="648" t="s">
        <v>1523</v>
      </c>
    </row>
    <row r="165" spans="1:15" ht="16" customHeight="1" thickBot="1">
      <c r="A165" s="126"/>
      <c r="B165" s="644"/>
      <c r="C165" s="645">
        <v>52</v>
      </c>
      <c r="D165" s="645" t="s">
        <v>313</v>
      </c>
      <c r="E165" s="645">
        <v>31</v>
      </c>
      <c r="F165" s="645" t="s">
        <v>664</v>
      </c>
      <c r="G165" s="645" t="s">
        <v>596</v>
      </c>
      <c r="H165" s="645">
        <v>112</v>
      </c>
      <c r="I165" s="645">
        <v>241</v>
      </c>
      <c r="J165" s="645">
        <v>0.46500000000000002</v>
      </c>
      <c r="K165" s="645" t="s">
        <v>496</v>
      </c>
      <c r="L165" s="645" t="s">
        <v>624</v>
      </c>
      <c r="M165" s="645" t="s">
        <v>498</v>
      </c>
      <c r="N165" s="646">
        <v>56656</v>
      </c>
      <c r="O165" s="646">
        <v>505</v>
      </c>
    </row>
    <row r="166" spans="1:15" ht="16" customHeight="1" thickBot="1">
      <c r="A166" s="126"/>
      <c r="B166" s="644"/>
      <c r="C166" s="645">
        <v>52</v>
      </c>
      <c r="D166" s="645" t="s">
        <v>313</v>
      </c>
      <c r="E166" s="645">
        <v>32</v>
      </c>
      <c r="F166" s="645" t="s">
        <v>665</v>
      </c>
      <c r="G166" s="645" t="s">
        <v>557</v>
      </c>
      <c r="H166" s="645">
        <v>186</v>
      </c>
      <c r="I166" s="645">
        <v>544</v>
      </c>
      <c r="J166" s="645">
        <v>0.34200000000000003</v>
      </c>
      <c r="K166" s="645" t="s">
        <v>496</v>
      </c>
      <c r="L166" s="645" t="s">
        <v>497</v>
      </c>
      <c r="M166" s="645" t="s">
        <v>505</v>
      </c>
      <c r="N166" s="646">
        <v>0</v>
      </c>
      <c r="O166" s="646">
        <v>0</v>
      </c>
    </row>
    <row r="167" spans="1:15" ht="16" customHeight="1" thickBot="1">
      <c r="A167" s="126"/>
      <c r="B167" s="644"/>
      <c r="C167" s="645">
        <v>52</v>
      </c>
      <c r="D167" s="645" t="s">
        <v>313</v>
      </c>
      <c r="E167" s="645">
        <v>376</v>
      </c>
      <c r="F167" s="645" t="s">
        <v>539</v>
      </c>
      <c r="G167" s="645" t="s">
        <v>666</v>
      </c>
      <c r="H167" s="645">
        <v>145</v>
      </c>
      <c r="I167" s="645">
        <v>277</v>
      </c>
      <c r="J167" s="645">
        <v>0.52300000000000002</v>
      </c>
      <c r="K167" s="645" t="s">
        <v>496</v>
      </c>
      <c r="L167" s="645" t="s">
        <v>518</v>
      </c>
      <c r="M167" s="645" t="s">
        <v>505</v>
      </c>
      <c r="N167" s="646">
        <v>107226</v>
      </c>
      <c r="O167" s="646">
        <v>739</v>
      </c>
    </row>
    <row r="168" spans="1:15" ht="16" customHeight="1" thickBot="1">
      <c r="A168" s="126"/>
      <c r="B168" s="644"/>
      <c r="C168" s="645">
        <v>52</v>
      </c>
      <c r="D168" s="645" t="s">
        <v>313</v>
      </c>
      <c r="E168" s="645">
        <v>377</v>
      </c>
      <c r="F168" s="645" t="s">
        <v>667</v>
      </c>
      <c r="G168" s="645" t="s">
        <v>668</v>
      </c>
      <c r="H168" s="645">
        <v>126</v>
      </c>
      <c r="I168" s="645">
        <v>254</v>
      </c>
      <c r="J168" s="645">
        <v>0.496</v>
      </c>
      <c r="K168" s="645" t="s">
        <v>496</v>
      </c>
      <c r="L168" s="645" t="s">
        <v>518</v>
      </c>
      <c r="M168" s="645" t="s">
        <v>509</v>
      </c>
      <c r="N168" s="646">
        <v>93154</v>
      </c>
      <c r="O168" s="646">
        <v>739</v>
      </c>
    </row>
    <row r="169" spans="1:15" ht="16" customHeight="1" thickBot="1">
      <c r="A169" s="126"/>
      <c r="B169" s="644"/>
      <c r="C169" s="645">
        <v>52</v>
      </c>
      <c r="D169" s="645" t="s">
        <v>313</v>
      </c>
      <c r="E169" s="645">
        <v>378</v>
      </c>
      <c r="F169" s="645" t="s">
        <v>669</v>
      </c>
      <c r="G169" s="645">
        <v>4</v>
      </c>
      <c r="H169" s="645">
        <v>66</v>
      </c>
      <c r="I169" s="645">
        <v>118</v>
      </c>
      <c r="J169" s="645">
        <v>0.55900000000000005</v>
      </c>
      <c r="K169" s="645" t="s">
        <v>496</v>
      </c>
      <c r="L169" s="645" t="s">
        <v>518</v>
      </c>
      <c r="M169" s="645" t="s">
        <v>509</v>
      </c>
      <c r="N169" s="646">
        <v>48812</v>
      </c>
      <c r="O169" s="646">
        <v>739</v>
      </c>
    </row>
    <row r="170" spans="1:15" ht="16" customHeight="1" thickBot="1">
      <c r="A170" s="126"/>
      <c r="B170" s="644"/>
      <c r="C170" s="645">
        <v>52</v>
      </c>
      <c r="D170" s="645" t="s">
        <v>313</v>
      </c>
      <c r="E170" s="645">
        <v>380</v>
      </c>
      <c r="F170" s="645" t="s">
        <v>670</v>
      </c>
      <c r="G170" s="645" t="s">
        <v>671</v>
      </c>
      <c r="H170" s="645">
        <v>124</v>
      </c>
      <c r="I170" s="645">
        <v>239</v>
      </c>
      <c r="J170" s="645">
        <v>0.51900000000000002</v>
      </c>
      <c r="K170" s="645" t="s">
        <v>496</v>
      </c>
      <c r="L170" s="645" t="s">
        <v>624</v>
      </c>
      <c r="M170" s="645" t="s">
        <v>505</v>
      </c>
      <c r="N170" s="646">
        <v>62726</v>
      </c>
      <c r="O170" s="646">
        <v>505</v>
      </c>
    </row>
    <row r="171" spans="1:15" ht="16" customHeight="1" thickBot="1">
      <c r="A171" s="126"/>
      <c r="B171" s="644"/>
      <c r="C171" s="648" t="s">
        <v>1523</v>
      </c>
      <c r="D171" s="648" t="s">
        <v>1523</v>
      </c>
      <c r="E171" s="648" t="s">
        <v>1523</v>
      </c>
      <c r="F171" s="648" t="s">
        <v>1523</v>
      </c>
      <c r="G171" s="648" t="s">
        <v>1523</v>
      </c>
      <c r="H171" s="648" t="s">
        <v>1523</v>
      </c>
      <c r="I171" s="648" t="s">
        <v>1523</v>
      </c>
      <c r="J171" s="648" t="s">
        <v>1523</v>
      </c>
      <c r="K171" s="648" t="s">
        <v>1523</v>
      </c>
      <c r="L171" s="648" t="s">
        <v>1523</v>
      </c>
      <c r="M171" s="648" t="s">
        <v>1523</v>
      </c>
      <c r="N171" s="648" t="s">
        <v>1523</v>
      </c>
      <c r="O171" s="648" t="s">
        <v>1523</v>
      </c>
    </row>
    <row r="172" spans="1:15" ht="16" customHeight="1" thickBot="1">
      <c r="A172" s="126"/>
      <c r="B172" s="644"/>
      <c r="C172" s="645">
        <v>55</v>
      </c>
      <c r="D172" s="645" t="s">
        <v>314</v>
      </c>
      <c r="E172" s="645">
        <v>33</v>
      </c>
      <c r="F172" s="645" t="s">
        <v>672</v>
      </c>
      <c r="G172" s="645" t="s">
        <v>596</v>
      </c>
      <c r="H172" s="645">
        <v>314</v>
      </c>
      <c r="I172" s="645">
        <v>546</v>
      </c>
      <c r="J172" s="645">
        <v>0.57499999999999996</v>
      </c>
      <c r="K172" s="645" t="s">
        <v>496</v>
      </c>
      <c r="L172" s="645" t="s">
        <v>497</v>
      </c>
      <c r="M172" s="645" t="s">
        <v>498</v>
      </c>
      <c r="N172" s="646">
        <v>0</v>
      </c>
      <c r="O172" s="646">
        <v>0</v>
      </c>
    </row>
    <row r="173" spans="1:15" ht="16" customHeight="1" thickBot="1">
      <c r="A173" s="126"/>
      <c r="B173" s="644"/>
      <c r="C173" s="645">
        <v>55</v>
      </c>
      <c r="D173" s="645" t="s">
        <v>314</v>
      </c>
      <c r="E173" s="645">
        <v>34</v>
      </c>
      <c r="F173" s="645" t="s">
        <v>673</v>
      </c>
      <c r="G173" s="645" t="s">
        <v>557</v>
      </c>
      <c r="H173" s="645">
        <v>425</v>
      </c>
      <c r="I173" s="645">
        <v>1003</v>
      </c>
      <c r="J173" s="645">
        <v>0.42399999999999999</v>
      </c>
      <c r="K173" s="645" t="s">
        <v>496</v>
      </c>
      <c r="L173" s="645" t="s">
        <v>497</v>
      </c>
      <c r="M173" s="645" t="s">
        <v>498</v>
      </c>
      <c r="N173" s="646">
        <v>0</v>
      </c>
      <c r="O173" s="646">
        <v>0</v>
      </c>
    </row>
    <row r="174" spans="1:15" ht="16" customHeight="1" thickBot="1">
      <c r="A174" s="126"/>
      <c r="B174" s="644"/>
      <c r="C174" s="645">
        <v>55</v>
      </c>
      <c r="D174" s="645" t="s">
        <v>314</v>
      </c>
      <c r="E174" s="645">
        <v>381</v>
      </c>
      <c r="F174" s="645" t="s">
        <v>674</v>
      </c>
      <c r="G174" s="645">
        <v>6</v>
      </c>
      <c r="H174" s="645">
        <v>196</v>
      </c>
      <c r="I174" s="645">
        <v>309</v>
      </c>
      <c r="J174" s="645">
        <v>0.63400000000000001</v>
      </c>
      <c r="K174" s="645" t="s">
        <v>496</v>
      </c>
      <c r="L174" s="645" t="s">
        <v>624</v>
      </c>
      <c r="M174" s="645" t="s">
        <v>498</v>
      </c>
      <c r="N174" s="646">
        <v>58408</v>
      </c>
      <c r="O174" s="646">
        <v>298</v>
      </c>
    </row>
    <row r="175" spans="1:15" ht="16" customHeight="1" thickBot="1">
      <c r="A175" s="126"/>
      <c r="B175" s="644"/>
      <c r="C175" s="645">
        <v>55</v>
      </c>
      <c r="D175" s="645" t="s">
        <v>314</v>
      </c>
      <c r="E175" s="645">
        <v>382</v>
      </c>
      <c r="F175" s="645" t="s">
        <v>675</v>
      </c>
      <c r="G175" s="645" t="s">
        <v>676</v>
      </c>
      <c r="H175" s="645">
        <v>244</v>
      </c>
      <c r="I175" s="645">
        <v>308</v>
      </c>
      <c r="J175" s="645">
        <v>0.79200000000000004</v>
      </c>
      <c r="K175" s="645" t="s">
        <v>496</v>
      </c>
      <c r="L175" s="645" t="s">
        <v>518</v>
      </c>
      <c r="M175" s="645" t="s">
        <v>498</v>
      </c>
      <c r="N175" s="646">
        <v>89548</v>
      </c>
      <c r="O175" s="646">
        <v>367</v>
      </c>
    </row>
    <row r="176" spans="1:15" ht="16" customHeight="1" thickBot="1">
      <c r="A176" s="126"/>
      <c r="B176" s="644"/>
      <c r="C176" s="645">
        <v>55</v>
      </c>
      <c r="D176" s="645" t="s">
        <v>314</v>
      </c>
      <c r="E176" s="645">
        <v>383</v>
      </c>
      <c r="F176" s="645" t="s">
        <v>677</v>
      </c>
      <c r="G176" s="645" t="s">
        <v>678</v>
      </c>
      <c r="H176" s="645">
        <v>115</v>
      </c>
      <c r="I176" s="645">
        <v>175</v>
      </c>
      <c r="J176" s="645">
        <v>0.65700000000000003</v>
      </c>
      <c r="K176" s="645" t="s">
        <v>496</v>
      </c>
      <c r="L176" s="645" t="s">
        <v>518</v>
      </c>
      <c r="M176" s="645" t="s">
        <v>509</v>
      </c>
      <c r="N176" s="646">
        <v>42205</v>
      </c>
      <c r="O176" s="646">
        <v>367</v>
      </c>
    </row>
    <row r="177" spans="1:15" ht="16" customHeight="1" thickBot="1">
      <c r="A177" s="126"/>
      <c r="B177" s="644"/>
      <c r="C177" s="645">
        <v>55</v>
      </c>
      <c r="D177" s="645" t="s">
        <v>314</v>
      </c>
      <c r="E177" s="645">
        <v>384</v>
      </c>
      <c r="F177" s="645" t="s">
        <v>679</v>
      </c>
      <c r="G177" s="645" t="s">
        <v>564</v>
      </c>
      <c r="H177" s="645">
        <v>272</v>
      </c>
      <c r="I177" s="645">
        <v>447</v>
      </c>
      <c r="J177" s="645">
        <v>0.60899999999999999</v>
      </c>
      <c r="K177" s="645" t="s">
        <v>496</v>
      </c>
      <c r="L177" s="645" t="s">
        <v>518</v>
      </c>
      <c r="M177" s="645" t="s">
        <v>509</v>
      </c>
      <c r="N177" s="646">
        <v>99824</v>
      </c>
      <c r="O177" s="646">
        <v>367</v>
      </c>
    </row>
    <row r="178" spans="1:15" ht="16" customHeight="1" thickBot="1">
      <c r="A178" s="126"/>
      <c r="B178" s="644"/>
      <c r="C178" s="645">
        <v>55</v>
      </c>
      <c r="D178" s="645" t="s">
        <v>314</v>
      </c>
      <c r="E178" s="645">
        <v>385</v>
      </c>
      <c r="F178" s="645" t="s">
        <v>680</v>
      </c>
      <c r="G178" s="645" t="s">
        <v>681</v>
      </c>
      <c r="H178" s="645">
        <v>97</v>
      </c>
      <c r="I178" s="645">
        <v>233</v>
      </c>
      <c r="J178" s="645">
        <v>0.41599999999999998</v>
      </c>
      <c r="K178" s="645" t="s">
        <v>496</v>
      </c>
      <c r="L178" s="645" t="s">
        <v>518</v>
      </c>
      <c r="M178" s="645" t="s">
        <v>498</v>
      </c>
      <c r="N178" s="646">
        <v>35599</v>
      </c>
      <c r="O178" s="646">
        <v>367</v>
      </c>
    </row>
    <row r="179" spans="1:15" ht="16" customHeight="1" thickBot="1">
      <c r="A179" s="126"/>
      <c r="B179" s="644"/>
      <c r="C179" s="645">
        <v>55</v>
      </c>
      <c r="D179" s="645" t="s">
        <v>314</v>
      </c>
      <c r="E179" s="645">
        <v>386</v>
      </c>
      <c r="F179" s="645" t="s">
        <v>682</v>
      </c>
      <c r="G179" s="645" t="s">
        <v>676</v>
      </c>
      <c r="H179" s="645">
        <v>150</v>
      </c>
      <c r="I179" s="645">
        <v>274</v>
      </c>
      <c r="J179" s="645">
        <v>0.54700000000000004</v>
      </c>
      <c r="K179" s="645" t="s">
        <v>496</v>
      </c>
      <c r="L179" s="645" t="s">
        <v>518</v>
      </c>
      <c r="M179" s="645" t="s">
        <v>498</v>
      </c>
      <c r="N179" s="646">
        <v>55050</v>
      </c>
      <c r="O179" s="646">
        <v>367</v>
      </c>
    </row>
    <row r="180" spans="1:15" ht="16" customHeight="1" thickBot="1">
      <c r="A180" s="126"/>
      <c r="B180" s="644"/>
      <c r="C180" s="645">
        <v>55</v>
      </c>
      <c r="D180" s="645" t="s">
        <v>314</v>
      </c>
      <c r="E180" s="645">
        <v>387</v>
      </c>
      <c r="F180" s="645" t="s">
        <v>683</v>
      </c>
      <c r="G180" s="645" t="s">
        <v>564</v>
      </c>
      <c r="H180" s="645">
        <v>145</v>
      </c>
      <c r="I180" s="645">
        <v>156</v>
      </c>
      <c r="J180" s="645">
        <v>0.92900000000000005</v>
      </c>
      <c r="K180" s="645" t="s">
        <v>496</v>
      </c>
      <c r="L180" s="645" t="s">
        <v>518</v>
      </c>
      <c r="M180" s="645" t="s">
        <v>547</v>
      </c>
      <c r="N180" s="646">
        <v>53215</v>
      </c>
      <c r="O180" s="646">
        <v>367</v>
      </c>
    </row>
    <row r="181" spans="1:15" ht="16" customHeight="1" thickBot="1">
      <c r="A181" s="126"/>
      <c r="B181" s="644"/>
      <c r="C181" s="645">
        <v>55</v>
      </c>
      <c r="D181" s="645" t="s">
        <v>314</v>
      </c>
      <c r="E181" s="645">
        <v>388</v>
      </c>
      <c r="F181" s="645" t="s">
        <v>684</v>
      </c>
      <c r="G181" s="645" t="s">
        <v>676</v>
      </c>
      <c r="H181" s="645">
        <v>235</v>
      </c>
      <c r="I181" s="645">
        <v>361</v>
      </c>
      <c r="J181" s="645">
        <v>0.65100000000000002</v>
      </c>
      <c r="K181" s="645" t="s">
        <v>496</v>
      </c>
      <c r="L181" s="645" t="s">
        <v>518</v>
      </c>
      <c r="M181" s="645" t="s">
        <v>498</v>
      </c>
      <c r="N181" s="646">
        <v>86245</v>
      </c>
      <c r="O181" s="646">
        <v>367</v>
      </c>
    </row>
    <row r="182" spans="1:15" ht="16" customHeight="1" thickBot="1">
      <c r="A182" s="126"/>
      <c r="B182" s="644"/>
      <c r="C182" s="645">
        <v>55</v>
      </c>
      <c r="D182" s="645" t="s">
        <v>314</v>
      </c>
      <c r="E182" s="645">
        <v>1149</v>
      </c>
      <c r="F182" s="645" t="s">
        <v>1527</v>
      </c>
      <c r="G182" s="645" t="s">
        <v>596</v>
      </c>
      <c r="H182" s="647" t="s">
        <v>1523</v>
      </c>
      <c r="I182" s="647" t="s">
        <v>1523</v>
      </c>
      <c r="J182" s="647" t="s">
        <v>1523</v>
      </c>
      <c r="K182" s="645" t="s">
        <v>496</v>
      </c>
      <c r="L182" s="645" t="s">
        <v>624</v>
      </c>
      <c r="M182" s="645" t="s">
        <v>509</v>
      </c>
      <c r="N182" s="646">
        <v>6700</v>
      </c>
      <c r="O182" s="646">
        <v>268</v>
      </c>
    </row>
    <row r="183" spans="1:15" ht="16" customHeight="1" thickBot="1">
      <c r="A183" s="126"/>
      <c r="B183" s="644"/>
      <c r="C183" s="645">
        <v>55</v>
      </c>
      <c r="D183" s="645" t="s">
        <v>314</v>
      </c>
      <c r="E183" s="645">
        <v>9006</v>
      </c>
      <c r="F183" s="645" t="s">
        <v>685</v>
      </c>
      <c r="G183" s="645" t="s">
        <v>557</v>
      </c>
      <c r="H183" s="645">
        <v>145</v>
      </c>
      <c r="I183" s="645">
        <v>217</v>
      </c>
      <c r="J183" s="645">
        <v>0.66800000000000004</v>
      </c>
      <c r="K183" s="645" t="s">
        <v>496</v>
      </c>
      <c r="L183" s="645" t="s">
        <v>624</v>
      </c>
      <c r="M183" s="645" t="s">
        <v>521</v>
      </c>
      <c r="N183" s="646">
        <v>42775</v>
      </c>
      <c r="O183" s="646">
        <v>295</v>
      </c>
    </row>
    <row r="184" spans="1:15" ht="16" customHeight="1" thickBot="1">
      <c r="A184" s="126"/>
      <c r="B184" s="644"/>
      <c r="C184" s="648" t="s">
        <v>1523</v>
      </c>
      <c r="D184" s="648" t="s">
        <v>1523</v>
      </c>
      <c r="E184" s="648" t="s">
        <v>1523</v>
      </c>
      <c r="F184" s="648" t="s">
        <v>1523</v>
      </c>
      <c r="G184" s="648" t="s">
        <v>1523</v>
      </c>
      <c r="H184" s="648" t="s">
        <v>1523</v>
      </c>
      <c r="I184" s="648" t="s">
        <v>1523</v>
      </c>
      <c r="J184" s="648" t="s">
        <v>1523</v>
      </c>
      <c r="K184" s="648" t="s">
        <v>1523</v>
      </c>
      <c r="L184" s="648" t="s">
        <v>1523</v>
      </c>
      <c r="M184" s="648" t="s">
        <v>1523</v>
      </c>
      <c r="N184" s="648" t="s">
        <v>1523</v>
      </c>
      <c r="O184" s="648" t="s">
        <v>1523</v>
      </c>
    </row>
    <row r="185" spans="1:15" ht="16" customHeight="1" thickBot="1">
      <c r="A185" s="126"/>
      <c r="B185" s="644"/>
      <c r="C185" s="645">
        <v>58</v>
      </c>
      <c r="D185" s="645" t="s">
        <v>315</v>
      </c>
      <c r="E185" s="645">
        <v>36</v>
      </c>
      <c r="F185" s="645" t="s">
        <v>686</v>
      </c>
      <c r="G185" s="645" t="s">
        <v>557</v>
      </c>
      <c r="H185" s="645">
        <v>115</v>
      </c>
      <c r="I185" s="645">
        <v>221</v>
      </c>
      <c r="J185" s="645">
        <v>0.52</v>
      </c>
      <c r="K185" s="645" t="s">
        <v>496</v>
      </c>
      <c r="L185" s="645" t="s">
        <v>624</v>
      </c>
      <c r="M185" s="645" t="s">
        <v>509</v>
      </c>
      <c r="N185" s="646">
        <v>55972</v>
      </c>
      <c r="O185" s="646">
        <v>486</v>
      </c>
    </row>
    <row r="186" spans="1:15" ht="16" customHeight="1" thickBot="1">
      <c r="A186" s="126"/>
      <c r="B186" s="644"/>
      <c r="C186" s="645">
        <v>58</v>
      </c>
      <c r="D186" s="645" t="s">
        <v>315</v>
      </c>
      <c r="E186" s="645">
        <v>298</v>
      </c>
      <c r="F186" s="645" t="s">
        <v>687</v>
      </c>
      <c r="G186" s="645" t="s">
        <v>564</v>
      </c>
      <c r="H186" s="645">
        <v>287</v>
      </c>
      <c r="I186" s="645">
        <v>401</v>
      </c>
      <c r="J186" s="645">
        <v>0.71599999999999997</v>
      </c>
      <c r="K186" s="645" t="s">
        <v>496</v>
      </c>
      <c r="L186" s="645" t="s">
        <v>518</v>
      </c>
      <c r="M186" s="645" t="s">
        <v>498</v>
      </c>
      <c r="N186" s="646">
        <v>140555</v>
      </c>
      <c r="O186" s="646">
        <v>489</v>
      </c>
    </row>
    <row r="187" spans="1:15" ht="16" customHeight="1" thickBot="1">
      <c r="A187" s="126"/>
      <c r="B187" s="644"/>
      <c r="C187" s="645">
        <v>58</v>
      </c>
      <c r="D187" s="645" t="s">
        <v>315</v>
      </c>
      <c r="E187" s="645">
        <v>299</v>
      </c>
      <c r="F187" s="645" t="s">
        <v>688</v>
      </c>
      <c r="G187" s="645" t="s">
        <v>554</v>
      </c>
      <c r="H187" s="645">
        <v>133</v>
      </c>
      <c r="I187" s="645">
        <v>179</v>
      </c>
      <c r="J187" s="645">
        <v>0.74299999999999999</v>
      </c>
      <c r="K187" s="645" t="s">
        <v>496</v>
      </c>
      <c r="L187" s="645" t="s">
        <v>624</v>
      </c>
      <c r="M187" s="645" t="s">
        <v>505</v>
      </c>
      <c r="N187" s="646">
        <v>65270</v>
      </c>
      <c r="O187" s="646">
        <v>490</v>
      </c>
    </row>
    <row r="188" spans="1:15" ht="16" customHeight="1" thickBot="1">
      <c r="A188" s="126"/>
      <c r="B188" s="644"/>
      <c r="C188" s="648" t="s">
        <v>1523</v>
      </c>
      <c r="D188" s="648" t="s">
        <v>1523</v>
      </c>
      <c r="E188" s="648" t="s">
        <v>1523</v>
      </c>
      <c r="F188" s="648" t="s">
        <v>1523</v>
      </c>
      <c r="G188" s="648" t="s">
        <v>1523</v>
      </c>
      <c r="H188" s="648" t="s">
        <v>1523</v>
      </c>
      <c r="I188" s="648" t="s">
        <v>1523</v>
      </c>
      <c r="J188" s="648" t="s">
        <v>1523</v>
      </c>
      <c r="K188" s="648" t="s">
        <v>1523</v>
      </c>
      <c r="L188" s="648" t="s">
        <v>1523</v>
      </c>
      <c r="M188" s="648" t="s">
        <v>1523</v>
      </c>
      <c r="N188" s="648" t="s">
        <v>1523</v>
      </c>
      <c r="O188" s="648" t="s">
        <v>1523</v>
      </c>
    </row>
    <row r="189" spans="1:15" ht="16" customHeight="1" thickBot="1">
      <c r="A189" s="126"/>
      <c r="B189" s="644"/>
      <c r="C189" s="645">
        <v>59</v>
      </c>
      <c r="D189" s="645" t="s">
        <v>316</v>
      </c>
      <c r="E189" s="645">
        <v>38</v>
      </c>
      <c r="F189" s="645" t="s">
        <v>689</v>
      </c>
      <c r="G189" s="645" t="s">
        <v>557</v>
      </c>
      <c r="H189" s="645">
        <v>133</v>
      </c>
      <c r="I189" s="645">
        <v>250</v>
      </c>
      <c r="J189" s="645">
        <v>0.53200000000000003</v>
      </c>
      <c r="K189" s="645" t="s">
        <v>496</v>
      </c>
      <c r="L189" s="645" t="s">
        <v>624</v>
      </c>
      <c r="M189" s="645" t="s">
        <v>509</v>
      </c>
      <c r="N189" s="646">
        <v>17981</v>
      </c>
      <c r="O189" s="646">
        <v>135</v>
      </c>
    </row>
    <row r="190" spans="1:15" ht="16" customHeight="1" thickBot="1">
      <c r="A190" s="126"/>
      <c r="B190" s="644"/>
      <c r="C190" s="645">
        <v>59</v>
      </c>
      <c r="D190" s="645" t="s">
        <v>316</v>
      </c>
      <c r="E190" s="645">
        <v>155</v>
      </c>
      <c r="F190" s="645" t="s">
        <v>690</v>
      </c>
      <c r="G190" s="645" t="s">
        <v>691</v>
      </c>
      <c r="H190" s="645">
        <v>130</v>
      </c>
      <c r="I190" s="645">
        <v>218</v>
      </c>
      <c r="J190" s="645">
        <v>0.59599999999999997</v>
      </c>
      <c r="K190" s="645" t="s">
        <v>496</v>
      </c>
      <c r="L190" s="645" t="s">
        <v>518</v>
      </c>
      <c r="M190" s="645" t="s">
        <v>498</v>
      </c>
      <c r="N190" s="646">
        <v>39553</v>
      </c>
      <c r="O190" s="646">
        <v>304</v>
      </c>
    </row>
    <row r="191" spans="1:15" ht="16" customHeight="1" thickBot="1">
      <c r="A191" s="126"/>
      <c r="B191" s="644"/>
      <c r="C191" s="645">
        <v>59</v>
      </c>
      <c r="D191" s="645" t="s">
        <v>316</v>
      </c>
      <c r="E191" s="645">
        <v>390</v>
      </c>
      <c r="F191" s="645" t="s">
        <v>692</v>
      </c>
      <c r="G191" s="645" t="s">
        <v>693</v>
      </c>
      <c r="H191" s="645">
        <v>160</v>
      </c>
      <c r="I191" s="645">
        <v>290</v>
      </c>
      <c r="J191" s="645">
        <v>0.55200000000000005</v>
      </c>
      <c r="K191" s="645" t="s">
        <v>496</v>
      </c>
      <c r="L191" s="645" t="s">
        <v>518</v>
      </c>
      <c r="M191" s="645" t="s">
        <v>509</v>
      </c>
      <c r="N191" s="646">
        <v>47679</v>
      </c>
      <c r="O191" s="646">
        <v>297</v>
      </c>
    </row>
    <row r="192" spans="1:15" ht="16" customHeight="1" thickBot="1">
      <c r="A192" s="126"/>
      <c r="B192" s="644"/>
      <c r="C192" s="648" t="s">
        <v>1523</v>
      </c>
      <c r="D192" s="648" t="s">
        <v>1523</v>
      </c>
      <c r="E192" s="648" t="s">
        <v>1523</v>
      </c>
      <c r="F192" s="648" t="s">
        <v>1523</v>
      </c>
      <c r="G192" s="648" t="s">
        <v>1523</v>
      </c>
      <c r="H192" s="648" t="s">
        <v>1523</v>
      </c>
      <c r="I192" s="648" t="s">
        <v>1523</v>
      </c>
      <c r="J192" s="648" t="s">
        <v>1523</v>
      </c>
      <c r="K192" s="648" t="s">
        <v>1523</v>
      </c>
      <c r="L192" s="648" t="s">
        <v>1523</v>
      </c>
      <c r="M192" s="648" t="s">
        <v>1523</v>
      </c>
      <c r="N192" s="648" t="s">
        <v>1523</v>
      </c>
      <c r="O192" s="648" t="s">
        <v>1523</v>
      </c>
    </row>
    <row r="193" spans="1:15" ht="16" customHeight="1" thickBot="1">
      <c r="A193" s="126"/>
      <c r="B193" s="644"/>
      <c r="C193" s="645">
        <v>60</v>
      </c>
      <c r="D193" s="645" t="s">
        <v>317</v>
      </c>
      <c r="E193" s="645">
        <v>35</v>
      </c>
      <c r="F193" s="645" t="s">
        <v>694</v>
      </c>
      <c r="G193" s="645" t="s">
        <v>557</v>
      </c>
      <c r="H193" s="645">
        <v>218</v>
      </c>
      <c r="I193" s="645">
        <v>630</v>
      </c>
      <c r="J193" s="645">
        <v>0.34599999999999997</v>
      </c>
      <c r="K193" s="645" t="s">
        <v>496</v>
      </c>
      <c r="L193" s="645" t="s">
        <v>624</v>
      </c>
      <c r="M193" s="645" t="s">
        <v>505</v>
      </c>
      <c r="N193" s="646">
        <v>62691</v>
      </c>
      <c r="O193" s="646">
        <v>287</v>
      </c>
    </row>
    <row r="194" spans="1:15" ht="16" customHeight="1" thickBot="1">
      <c r="A194" s="126"/>
      <c r="B194" s="644"/>
      <c r="C194" s="645">
        <v>60</v>
      </c>
      <c r="D194" s="645" t="s">
        <v>317</v>
      </c>
      <c r="E194" s="645">
        <v>39</v>
      </c>
      <c r="F194" s="645" t="s">
        <v>695</v>
      </c>
      <c r="G194" s="645" t="s">
        <v>596</v>
      </c>
      <c r="H194" s="645">
        <v>153</v>
      </c>
      <c r="I194" s="645">
        <v>338</v>
      </c>
      <c r="J194" s="645">
        <v>0.45300000000000001</v>
      </c>
      <c r="K194" s="645" t="s">
        <v>496</v>
      </c>
      <c r="L194" s="645" t="s">
        <v>518</v>
      </c>
      <c r="M194" s="645" t="s">
        <v>498</v>
      </c>
      <c r="N194" s="646">
        <v>44795</v>
      </c>
      <c r="O194" s="646">
        <v>292</v>
      </c>
    </row>
    <row r="195" spans="1:15" ht="16" customHeight="1" thickBot="1">
      <c r="A195" s="126"/>
      <c r="B195" s="644"/>
      <c r="C195" s="645">
        <v>60</v>
      </c>
      <c r="D195" s="645" t="s">
        <v>317</v>
      </c>
      <c r="E195" s="645">
        <v>391</v>
      </c>
      <c r="F195" s="645" t="s">
        <v>696</v>
      </c>
      <c r="G195" s="645" t="s">
        <v>697</v>
      </c>
      <c r="H195" s="645">
        <v>282</v>
      </c>
      <c r="I195" s="645">
        <v>545</v>
      </c>
      <c r="J195" s="645">
        <v>0.51700000000000002</v>
      </c>
      <c r="K195" s="645" t="s">
        <v>496</v>
      </c>
      <c r="L195" s="645" t="s">
        <v>518</v>
      </c>
      <c r="M195" s="645" t="s">
        <v>509</v>
      </c>
      <c r="N195" s="646">
        <v>93164</v>
      </c>
      <c r="O195" s="646">
        <v>330</v>
      </c>
    </row>
    <row r="196" spans="1:15" ht="16" customHeight="1" thickBot="1">
      <c r="A196" s="126"/>
      <c r="B196" s="644"/>
      <c r="C196" s="645">
        <v>60</v>
      </c>
      <c r="D196" s="645" t="s">
        <v>317</v>
      </c>
      <c r="E196" s="645">
        <v>392</v>
      </c>
      <c r="F196" s="645" t="s">
        <v>698</v>
      </c>
      <c r="G196" s="645" t="s">
        <v>671</v>
      </c>
      <c r="H196" s="645">
        <v>154</v>
      </c>
      <c r="I196" s="645">
        <v>318</v>
      </c>
      <c r="J196" s="645">
        <v>0.48399999999999999</v>
      </c>
      <c r="K196" s="645" t="s">
        <v>496</v>
      </c>
      <c r="L196" s="645" t="s">
        <v>518</v>
      </c>
      <c r="M196" s="645" t="s">
        <v>498</v>
      </c>
      <c r="N196" s="646">
        <v>48910</v>
      </c>
      <c r="O196" s="646">
        <v>317</v>
      </c>
    </row>
    <row r="197" spans="1:15" ht="16" customHeight="1" thickBot="1">
      <c r="A197" s="126"/>
      <c r="B197" s="644"/>
      <c r="C197" s="645">
        <v>60</v>
      </c>
      <c r="D197" s="645" t="s">
        <v>317</v>
      </c>
      <c r="E197" s="645">
        <v>1251</v>
      </c>
      <c r="F197" s="645" t="s">
        <v>699</v>
      </c>
      <c r="G197" s="645" t="s">
        <v>621</v>
      </c>
      <c r="H197" s="645">
        <v>170</v>
      </c>
      <c r="I197" s="645">
        <v>340</v>
      </c>
      <c r="J197" s="645">
        <v>0.5</v>
      </c>
      <c r="K197" s="645" t="s">
        <v>496</v>
      </c>
      <c r="L197" s="645" t="s">
        <v>518</v>
      </c>
      <c r="M197" s="645" t="s">
        <v>509</v>
      </c>
      <c r="N197" s="646">
        <v>52040</v>
      </c>
      <c r="O197" s="646">
        <v>306</v>
      </c>
    </row>
    <row r="198" spans="1:15" ht="16" customHeight="1" thickBot="1">
      <c r="A198" s="126"/>
      <c r="B198" s="644"/>
      <c r="C198" s="648" t="s">
        <v>1523</v>
      </c>
      <c r="D198" s="648" t="s">
        <v>1523</v>
      </c>
      <c r="E198" s="648" t="s">
        <v>1523</v>
      </c>
      <c r="F198" s="648" t="s">
        <v>1523</v>
      </c>
      <c r="G198" s="648" t="s">
        <v>1523</v>
      </c>
      <c r="H198" s="648" t="s">
        <v>1523</v>
      </c>
      <c r="I198" s="648" t="s">
        <v>1523</v>
      </c>
      <c r="J198" s="648" t="s">
        <v>1523</v>
      </c>
      <c r="K198" s="648" t="s">
        <v>1523</v>
      </c>
      <c r="L198" s="648" t="s">
        <v>1523</v>
      </c>
      <c r="M198" s="648" t="s">
        <v>1523</v>
      </c>
      <c r="N198" s="648" t="s">
        <v>1523</v>
      </c>
      <c r="O198" s="648" t="s">
        <v>1523</v>
      </c>
    </row>
    <row r="199" spans="1:15" ht="16" customHeight="1" thickBot="1">
      <c r="A199" s="126"/>
      <c r="B199" s="644"/>
      <c r="C199" s="645">
        <v>61</v>
      </c>
      <c r="D199" s="645" t="s">
        <v>318</v>
      </c>
      <c r="E199" s="645">
        <v>42</v>
      </c>
      <c r="F199" s="645" t="s">
        <v>700</v>
      </c>
      <c r="G199" s="645" t="s">
        <v>557</v>
      </c>
      <c r="H199" s="645">
        <v>259</v>
      </c>
      <c r="I199" s="645">
        <v>776</v>
      </c>
      <c r="J199" s="645">
        <v>0.33400000000000002</v>
      </c>
      <c r="K199" s="645" t="s">
        <v>501</v>
      </c>
      <c r="L199" s="645" t="s">
        <v>497</v>
      </c>
      <c r="M199" s="645" t="s">
        <v>505</v>
      </c>
      <c r="N199" s="646">
        <v>0</v>
      </c>
      <c r="O199" s="646">
        <v>0</v>
      </c>
    </row>
    <row r="200" spans="1:15" ht="16" customHeight="1" thickBot="1">
      <c r="A200" s="126"/>
      <c r="B200" s="644"/>
      <c r="C200" s="645">
        <v>61</v>
      </c>
      <c r="D200" s="645" t="s">
        <v>318</v>
      </c>
      <c r="E200" s="645">
        <v>197</v>
      </c>
      <c r="F200" s="645" t="s">
        <v>701</v>
      </c>
      <c r="G200" s="645" t="s">
        <v>623</v>
      </c>
      <c r="H200" s="645">
        <v>114</v>
      </c>
      <c r="I200" s="645">
        <v>219</v>
      </c>
      <c r="J200" s="645">
        <v>0.52100000000000002</v>
      </c>
      <c r="K200" s="645" t="s">
        <v>496</v>
      </c>
      <c r="L200" s="645" t="s">
        <v>624</v>
      </c>
      <c r="M200" s="645" t="s">
        <v>509</v>
      </c>
      <c r="N200" s="646">
        <v>76634</v>
      </c>
      <c r="O200" s="646">
        <v>672</v>
      </c>
    </row>
    <row r="201" spans="1:15" ht="16" customHeight="1" thickBot="1">
      <c r="A201" s="126"/>
      <c r="B201" s="644"/>
      <c r="C201" s="645">
        <v>61</v>
      </c>
      <c r="D201" s="645" t="s">
        <v>318</v>
      </c>
      <c r="E201" s="645">
        <v>394</v>
      </c>
      <c r="F201" s="645" t="s">
        <v>702</v>
      </c>
      <c r="G201" s="645" t="s">
        <v>564</v>
      </c>
      <c r="H201" s="645">
        <v>90</v>
      </c>
      <c r="I201" s="645">
        <v>219</v>
      </c>
      <c r="J201" s="645">
        <v>0.41099999999999998</v>
      </c>
      <c r="K201" s="645" t="s">
        <v>496</v>
      </c>
      <c r="L201" s="645" t="s">
        <v>624</v>
      </c>
      <c r="M201" s="645" t="s">
        <v>521</v>
      </c>
      <c r="N201" s="646">
        <v>80104</v>
      </c>
      <c r="O201" s="646">
        <v>890</v>
      </c>
    </row>
    <row r="202" spans="1:15" ht="16" customHeight="1" thickBot="1">
      <c r="A202" s="126"/>
      <c r="B202" s="644"/>
      <c r="C202" s="645">
        <v>61</v>
      </c>
      <c r="D202" s="645" t="s">
        <v>318</v>
      </c>
      <c r="E202" s="645">
        <v>395</v>
      </c>
      <c r="F202" s="645" t="s">
        <v>703</v>
      </c>
      <c r="G202" s="645" t="s">
        <v>564</v>
      </c>
      <c r="H202" s="645">
        <v>99</v>
      </c>
      <c r="I202" s="645">
        <v>341</v>
      </c>
      <c r="J202" s="645">
        <v>0.28999999999999998</v>
      </c>
      <c r="K202" s="645" t="s">
        <v>501</v>
      </c>
      <c r="L202" s="645" t="s">
        <v>497</v>
      </c>
      <c r="M202" s="645" t="s">
        <v>498</v>
      </c>
      <c r="N202" s="646">
        <v>0</v>
      </c>
      <c r="O202" s="646">
        <v>0</v>
      </c>
    </row>
    <row r="203" spans="1:15" ht="16" customHeight="1" thickBot="1">
      <c r="A203" s="126"/>
      <c r="B203" s="644"/>
      <c r="C203" s="645">
        <v>61</v>
      </c>
      <c r="D203" s="645" t="s">
        <v>318</v>
      </c>
      <c r="E203" s="645">
        <v>396</v>
      </c>
      <c r="F203" s="645" t="s">
        <v>704</v>
      </c>
      <c r="G203" s="645" t="s">
        <v>564</v>
      </c>
      <c r="H203" s="645">
        <v>160</v>
      </c>
      <c r="I203" s="645">
        <v>442</v>
      </c>
      <c r="J203" s="645">
        <v>0.36199999999999999</v>
      </c>
      <c r="K203" s="645" t="s">
        <v>496</v>
      </c>
      <c r="L203" s="645" t="s">
        <v>497</v>
      </c>
      <c r="M203" s="645" t="s">
        <v>498</v>
      </c>
      <c r="N203" s="646">
        <v>0</v>
      </c>
      <c r="O203" s="646">
        <v>0</v>
      </c>
    </row>
    <row r="204" spans="1:15" ht="16" customHeight="1" thickBot="1">
      <c r="A204" s="126"/>
      <c r="B204" s="644"/>
      <c r="C204" s="645">
        <v>61</v>
      </c>
      <c r="D204" s="645" t="s">
        <v>318</v>
      </c>
      <c r="E204" s="645">
        <v>636</v>
      </c>
      <c r="F204" s="645" t="s">
        <v>705</v>
      </c>
      <c r="G204" s="645" t="s">
        <v>706</v>
      </c>
      <c r="H204" s="645">
        <v>260</v>
      </c>
      <c r="I204" s="645">
        <v>424</v>
      </c>
      <c r="J204" s="645">
        <v>0.61299999999999999</v>
      </c>
      <c r="K204" s="645" t="s">
        <v>496</v>
      </c>
      <c r="L204" s="645" t="s">
        <v>624</v>
      </c>
      <c r="M204" s="645" t="s">
        <v>498</v>
      </c>
      <c r="N204" s="646">
        <v>162197</v>
      </c>
      <c r="O204" s="646">
        <v>623</v>
      </c>
    </row>
    <row r="205" spans="1:15" ht="16" customHeight="1" thickBot="1">
      <c r="A205" s="126"/>
      <c r="B205" s="644"/>
      <c r="C205" s="645">
        <v>61</v>
      </c>
      <c r="D205" s="645" t="s">
        <v>318</v>
      </c>
      <c r="E205" s="645">
        <v>984</v>
      </c>
      <c r="F205" s="645" t="s">
        <v>707</v>
      </c>
      <c r="G205" s="645" t="s">
        <v>554</v>
      </c>
      <c r="H205" s="645">
        <v>296</v>
      </c>
      <c r="I205" s="645">
        <v>717</v>
      </c>
      <c r="J205" s="645">
        <v>0.41299999999999998</v>
      </c>
      <c r="K205" s="645" t="s">
        <v>496</v>
      </c>
      <c r="L205" s="645" t="s">
        <v>497</v>
      </c>
      <c r="M205" s="645" t="s">
        <v>498</v>
      </c>
      <c r="N205" s="646">
        <v>0</v>
      </c>
      <c r="O205" s="646">
        <v>0</v>
      </c>
    </row>
    <row r="206" spans="1:15" ht="16" customHeight="1" thickBot="1">
      <c r="A206" s="126"/>
      <c r="B206" s="644"/>
      <c r="C206" s="645">
        <v>61</v>
      </c>
      <c r="D206" s="645" t="s">
        <v>318</v>
      </c>
      <c r="E206" s="645">
        <v>1102</v>
      </c>
      <c r="F206" s="645" t="s">
        <v>708</v>
      </c>
      <c r="G206" s="645" t="s">
        <v>557</v>
      </c>
      <c r="H206" s="645">
        <v>20</v>
      </c>
      <c r="I206" s="645">
        <v>39</v>
      </c>
      <c r="J206" s="645">
        <v>0.51300000000000001</v>
      </c>
      <c r="K206" s="645" t="s">
        <v>496</v>
      </c>
      <c r="L206" s="645" t="s">
        <v>497</v>
      </c>
      <c r="M206" s="645" t="s">
        <v>509</v>
      </c>
      <c r="N206" s="646">
        <v>0</v>
      </c>
      <c r="O206" s="646">
        <v>0</v>
      </c>
    </row>
    <row r="207" spans="1:15" ht="16" customHeight="1" thickBot="1">
      <c r="A207" s="126"/>
      <c r="B207" s="644"/>
      <c r="C207" s="648" t="s">
        <v>1523</v>
      </c>
      <c r="D207" s="648" t="s">
        <v>1523</v>
      </c>
      <c r="E207" s="648" t="s">
        <v>1523</v>
      </c>
      <c r="F207" s="648" t="s">
        <v>1523</v>
      </c>
      <c r="G207" s="648" t="s">
        <v>1523</v>
      </c>
      <c r="H207" s="648" t="s">
        <v>1523</v>
      </c>
      <c r="I207" s="648" t="s">
        <v>1523</v>
      </c>
      <c r="J207" s="648" t="s">
        <v>1523</v>
      </c>
      <c r="K207" s="648" t="s">
        <v>1523</v>
      </c>
      <c r="L207" s="648" t="s">
        <v>1523</v>
      </c>
      <c r="M207" s="648" t="s">
        <v>1523</v>
      </c>
      <c r="N207" s="648" t="s">
        <v>1523</v>
      </c>
      <c r="O207" s="648" t="s">
        <v>1523</v>
      </c>
    </row>
    <row r="208" spans="1:15" ht="16" customHeight="1" thickBot="1">
      <c r="A208" s="126"/>
      <c r="B208" s="644"/>
      <c r="C208" s="645">
        <v>71</v>
      </c>
      <c r="D208" s="645" t="s">
        <v>319</v>
      </c>
      <c r="E208" s="645">
        <v>274</v>
      </c>
      <c r="F208" s="645" t="s">
        <v>709</v>
      </c>
      <c r="G208" s="645" t="s">
        <v>623</v>
      </c>
      <c r="H208" s="645">
        <v>118</v>
      </c>
      <c r="I208" s="645">
        <v>205</v>
      </c>
      <c r="J208" s="645">
        <v>0.57599999999999996</v>
      </c>
      <c r="K208" s="645" t="s">
        <v>496</v>
      </c>
      <c r="L208" s="645" t="s">
        <v>624</v>
      </c>
      <c r="M208" s="645" t="s">
        <v>509</v>
      </c>
      <c r="N208" s="646">
        <v>94223</v>
      </c>
      <c r="O208" s="646">
        <v>798</v>
      </c>
    </row>
    <row r="209" spans="1:15" ht="16" customHeight="1" thickBot="1">
      <c r="A209" s="126"/>
      <c r="B209" s="644"/>
      <c r="C209" s="645">
        <v>71</v>
      </c>
      <c r="D209" s="645" t="s">
        <v>319</v>
      </c>
      <c r="E209" s="645">
        <v>398</v>
      </c>
      <c r="F209" s="645" t="s">
        <v>710</v>
      </c>
      <c r="G209" s="645" t="s">
        <v>512</v>
      </c>
      <c r="H209" s="647" t="s">
        <v>1523</v>
      </c>
      <c r="I209" s="647" t="s">
        <v>1523</v>
      </c>
      <c r="J209" s="647" t="s">
        <v>1523</v>
      </c>
      <c r="K209" s="645" t="s">
        <v>496</v>
      </c>
      <c r="L209" s="645" t="s">
        <v>624</v>
      </c>
      <c r="M209" s="645" t="s">
        <v>509</v>
      </c>
      <c r="N209" s="646">
        <v>1876</v>
      </c>
      <c r="O209" s="646">
        <v>469</v>
      </c>
    </row>
    <row r="210" spans="1:15" ht="16" customHeight="1" thickBot="1">
      <c r="A210" s="126"/>
      <c r="B210" s="644"/>
      <c r="C210" s="648" t="s">
        <v>1523</v>
      </c>
      <c r="D210" s="648" t="s">
        <v>1523</v>
      </c>
      <c r="E210" s="648" t="s">
        <v>1523</v>
      </c>
      <c r="F210" s="648" t="s">
        <v>1523</v>
      </c>
      <c r="G210" s="648" t="s">
        <v>1523</v>
      </c>
      <c r="H210" s="648" t="s">
        <v>1523</v>
      </c>
      <c r="I210" s="648" t="s">
        <v>1523</v>
      </c>
      <c r="J210" s="648" t="s">
        <v>1523</v>
      </c>
      <c r="K210" s="648" t="s">
        <v>1523</v>
      </c>
      <c r="L210" s="648" t="s">
        <v>1523</v>
      </c>
      <c r="M210" s="648" t="s">
        <v>1523</v>
      </c>
      <c r="N210" s="648" t="s">
        <v>1523</v>
      </c>
      <c r="O210" s="648" t="s">
        <v>1523</v>
      </c>
    </row>
    <row r="211" spans="1:15" ht="16" customHeight="1" thickBot="1">
      <c r="A211" s="126"/>
      <c r="B211" s="644"/>
      <c r="C211" s="645">
        <v>72</v>
      </c>
      <c r="D211" s="645" t="s">
        <v>320</v>
      </c>
      <c r="E211" s="645">
        <v>159</v>
      </c>
      <c r="F211" s="645" t="s">
        <v>711</v>
      </c>
      <c r="G211" s="645" t="s">
        <v>512</v>
      </c>
      <c r="H211" s="645">
        <v>90</v>
      </c>
      <c r="I211" s="645">
        <v>187</v>
      </c>
      <c r="J211" s="645">
        <v>0.48099999999999998</v>
      </c>
      <c r="K211" s="645" t="s">
        <v>496</v>
      </c>
      <c r="L211" s="645" t="s">
        <v>518</v>
      </c>
      <c r="M211" s="645" t="s">
        <v>505</v>
      </c>
      <c r="N211" s="646">
        <v>69301</v>
      </c>
      <c r="O211" s="646">
        <v>770</v>
      </c>
    </row>
    <row r="212" spans="1:15" ht="16" customHeight="1" thickBot="1">
      <c r="A212" s="126"/>
      <c r="B212" s="644"/>
      <c r="C212" s="645">
        <v>72</v>
      </c>
      <c r="D212" s="645" t="s">
        <v>320</v>
      </c>
      <c r="E212" s="645">
        <v>183</v>
      </c>
      <c r="F212" s="645" t="s">
        <v>712</v>
      </c>
      <c r="G212" s="645" t="s">
        <v>546</v>
      </c>
      <c r="H212" s="645">
        <v>75</v>
      </c>
      <c r="I212" s="645">
        <v>170</v>
      </c>
      <c r="J212" s="645">
        <v>0.441</v>
      </c>
      <c r="K212" s="645" t="s">
        <v>496</v>
      </c>
      <c r="L212" s="645" t="s">
        <v>497</v>
      </c>
      <c r="M212" s="645" t="s">
        <v>505</v>
      </c>
      <c r="N212" s="646">
        <v>0</v>
      </c>
      <c r="O212" s="646">
        <v>0</v>
      </c>
    </row>
    <row r="213" spans="1:15" ht="16" customHeight="1" thickBot="1">
      <c r="A213" s="126"/>
      <c r="B213" s="644"/>
      <c r="C213" s="648" t="s">
        <v>1523</v>
      </c>
      <c r="D213" s="648" t="s">
        <v>1523</v>
      </c>
      <c r="E213" s="648" t="s">
        <v>1523</v>
      </c>
      <c r="F213" s="648" t="s">
        <v>1523</v>
      </c>
      <c r="G213" s="648" t="s">
        <v>1523</v>
      </c>
      <c r="H213" s="648" t="s">
        <v>1523</v>
      </c>
      <c r="I213" s="648" t="s">
        <v>1523</v>
      </c>
      <c r="J213" s="648" t="s">
        <v>1523</v>
      </c>
      <c r="K213" s="648" t="s">
        <v>1523</v>
      </c>
      <c r="L213" s="648" t="s">
        <v>1523</v>
      </c>
      <c r="M213" s="648" t="s">
        <v>1523</v>
      </c>
      <c r="N213" s="648" t="s">
        <v>1523</v>
      </c>
      <c r="O213" s="648" t="s">
        <v>1523</v>
      </c>
    </row>
    <row r="214" spans="1:15" ht="16" customHeight="1" thickBot="1">
      <c r="A214" s="126"/>
      <c r="B214" s="644"/>
      <c r="C214" s="645">
        <v>73</v>
      </c>
      <c r="D214" s="645" t="s">
        <v>321</v>
      </c>
      <c r="E214" s="645">
        <v>256</v>
      </c>
      <c r="F214" s="645" t="s">
        <v>713</v>
      </c>
      <c r="G214" s="645" t="s">
        <v>564</v>
      </c>
      <c r="H214" s="645">
        <v>100</v>
      </c>
      <c r="I214" s="645">
        <v>121</v>
      </c>
      <c r="J214" s="645">
        <v>0.82599999999999996</v>
      </c>
      <c r="K214" s="645" t="s">
        <v>496</v>
      </c>
      <c r="L214" s="645" t="s">
        <v>624</v>
      </c>
      <c r="M214" s="645" t="s">
        <v>521</v>
      </c>
      <c r="N214" s="646">
        <v>44959</v>
      </c>
      <c r="O214" s="646">
        <v>449</v>
      </c>
    </row>
    <row r="215" spans="1:15" ht="16" customHeight="1" thickBot="1">
      <c r="A215" s="126"/>
      <c r="B215" s="644"/>
      <c r="C215" s="645">
        <v>73</v>
      </c>
      <c r="D215" s="645" t="s">
        <v>321</v>
      </c>
      <c r="E215" s="645">
        <v>278</v>
      </c>
      <c r="F215" s="645" t="s">
        <v>714</v>
      </c>
      <c r="G215" s="645" t="s">
        <v>715</v>
      </c>
      <c r="H215" s="645">
        <v>89</v>
      </c>
      <c r="I215" s="645">
        <v>149</v>
      </c>
      <c r="J215" s="645">
        <v>0.59699999999999998</v>
      </c>
      <c r="K215" s="645" t="s">
        <v>496</v>
      </c>
      <c r="L215" s="645" t="s">
        <v>497</v>
      </c>
      <c r="M215" s="645" t="s">
        <v>505</v>
      </c>
      <c r="N215" s="646">
        <v>0</v>
      </c>
      <c r="O215" s="646">
        <v>0</v>
      </c>
    </row>
    <row r="216" spans="1:15" ht="16" customHeight="1" thickBot="1">
      <c r="A216" s="126"/>
      <c r="B216" s="644"/>
      <c r="C216" s="648" t="s">
        <v>1523</v>
      </c>
      <c r="D216" s="648" t="s">
        <v>1523</v>
      </c>
      <c r="E216" s="648" t="s">
        <v>1523</v>
      </c>
      <c r="F216" s="648" t="s">
        <v>1523</v>
      </c>
      <c r="G216" s="648" t="s">
        <v>1523</v>
      </c>
      <c r="H216" s="648" t="s">
        <v>1523</v>
      </c>
      <c r="I216" s="648" t="s">
        <v>1523</v>
      </c>
      <c r="J216" s="648" t="s">
        <v>1523</v>
      </c>
      <c r="K216" s="648" t="s">
        <v>1523</v>
      </c>
      <c r="L216" s="648" t="s">
        <v>1523</v>
      </c>
      <c r="M216" s="648" t="s">
        <v>1523</v>
      </c>
      <c r="N216" s="648" t="s">
        <v>1523</v>
      </c>
      <c r="O216" s="648" t="s">
        <v>1523</v>
      </c>
    </row>
    <row r="217" spans="1:15" ht="16" customHeight="1" thickBot="1">
      <c r="A217" s="126"/>
      <c r="B217" s="644"/>
      <c r="C217" s="645">
        <v>83</v>
      </c>
      <c r="D217" s="645" t="s">
        <v>322</v>
      </c>
      <c r="E217" s="645">
        <v>44</v>
      </c>
      <c r="F217" s="645" t="s">
        <v>716</v>
      </c>
      <c r="G217" s="645" t="s">
        <v>596</v>
      </c>
      <c r="H217" s="645">
        <v>104</v>
      </c>
      <c r="I217" s="645">
        <v>202</v>
      </c>
      <c r="J217" s="645">
        <v>0.51500000000000001</v>
      </c>
      <c r="K217" s="645" t="s">
        <v>496</v>
      </c>
      <c r="L217" s="645" t="s">
        <v>497</v>
      </c>
      <c r="M217" s="645" t="s">
        <v>505</v>
      </c>
      <c r="N217" s="646">
        <v>0</v>
      </c>
      <c r="O217" s="646">
        <v>0</v>
      </c>
    </row>
    <row r="218" spans="1:15" ht="16" customHeight="1" thickBot="1">
      <c r="A218" s="126"/>
      <c r="B218" s="644"/>
      <c r="C218" s="645">
        <v>83</v>
      </c>
      <c r="D218" s="645" t="s">
        <v>322</v>
      </c>
      <c r="E218" s="645">
        <v>48</v>
      </c>
      <c r="F218" s="645" t="s">
        <v>717</v>
      </c>
      <c r="G218" s="645" t="s">
        <v>557</v>
      </c>
      <c r="H218" s="645">
        <v>170</v>
      </c>
      <c r="I218" s="645">
        <v>344</v>
      </c>
      <c r="J218" s="645">
        <v>0.49399999999999999</v>
      </c>
      <c r="K218" s="645" t="s">
        <v>496</v>
      </c>
      <c r="L218" s="645" t="s">
        <v>497</v>
      </c>
      <c r="M218" s="645" t="s">
        <v>498</v>
      </c>
      <c r="N218" s="646">
        <v>0</v>
      </c>
      <c r="O218" s="646">
        <v>0</v>
      </c>
    </row>
    <row r="219" spans="1:15" ht="16" customHeight="1" thickBot="1">
      <c r="A219" s="126"/>
      <c r="B219" s="644"/>
      <c r="C219" s="645">
        <v>83</v>
      </c>
      <c r="D219" s="645" t="s">
        <v>322</v>
      </c>
      <c r="E219" s="645">
        <v>406</v>
      </c>
      <c r="F219" s="645" t="s">
        <v>718</v>
      </c>
      <c r="G219" s="645" t="s">
        <v>512</v>
      </c>
      <c r="H219" s="645">
        <v>19</v>
      </c>
      <c r="I219" s="645">
        <v>33</v>
      </c>
      <c r="J219" s="645">
        <v>0.57599999999999996</v>
      </c>
      <c r="K219" s="645" t="s">
        <v>496</v>
      </c>
      <c r="L219" s="645" t="s">
        <v>518</v>
      </c>
      <c r="M219" s="645" t="s">
        <v>498</v>
      </c>
      <c r="N219" s="646">
        <v>29317</v>
      </c>
      <c r="O219" s="646">
        <v>1543</v>
      </c>
    </row>
    <row r="220" spans="1:15" ht="16" customHeight="1" thickBot="1">
      <c r="A220" s="126"/>
      <c r="B220" s="644"/>
      <c r="C220" s="645">
        <v>83</v>
      </c>
      <c r="D220" s="645" t="s">
        <v>322</v>
      </c>
      <c r="E220" s="645">
        <v>407</v>
      </c>
      <c r="F220" s="645" t="s">
        <v>719</v>
      </c>
      <c r="G220" s="645" t="s">
        <v>512</v>
      </c>
      <c r="H220" s="645">
        <v>252</v>
      </c>
      <c r="I220" s="645">
        <v>399</v>
      </c>
      <c r="J220" s="645">
        <v>0.63200000000000001</v>
      </c>
      <c r="K220" s="645" t="s">
        <v>496</v>
      </c>
      <c r="L220" s="645" t="s">
        <v>518</v>
      </c>
      <c r="M220" s="645" t="s">
        <v>498</v>
      </c>
      <c r="N220" s="646">
        <v>388836</v>
      </c>
      <c r="O220" s="646">
        <v>1543</v>
      </c>
    </row>
    <row r="221" spans="1:15" ht="16" customHeight="1" thickBot="1">
      <c r="A221" s="126"/>
      <c r="B221" s="644"/>
      <c r="C221" s="645">
        <v>83</v>
      </c>
      <c r="D221" s="645" t="s">
        <v>322</v>
      </c>
      <c r="E221" s="645">
        <v>411</v>
      </c>
      <c r="F221" s="645" t="s">
        <v>720</v>
      </c>
      <c r="G221" s="645" t="s">
        <v>512</v>
      </c>
      <c r="H221" s="645">
        <v>105</v>
      </c>
      <c r="I221" s="645">
        <v>141</v>
      </c>
      <c r="J221" s="645">
        <v>0.745</v>
      </c>
      <c r="K221" s="645" t="s">
        <v>496</v>
      </c>
      <c r="L221" s="645" t="s">
        <v>518</v>
      </c>
      <c r="M221" s="645" t="s">
        <v>498</v>
      </c>
      <c r="N221" s="646">
        <v>162015</v>
      </c>
      <c r="O221" s="646">
        <v>1543</v>
      </c>
    </row>
    <row r="222" spans="1:15" ht="16" customHeight="1" thickBot="1">
      <c r="A222" s="126"/>
      <c r="B222" s="644"/>
      <c r="C222" s="648" t="s">
        <v>1523</v>
      </c>
      <c r="D222" s="648" t="s">
        <v>1523</v>
      </c>
      <c r="E222" s="648" t="s">
        <v>1523</v>
      </c>
      <c r="F222" s="648" t="s">
        <v>1523</v>
      </c>
      <c r="G222" s="648" t="s">
        <v>1523</v>
      </c>
      <c r="H222" s="648" t="s">
        <v>1523</v>
      </c>
      <c r="I222" s="648" t="s">
        <v>1523</v>
      </c>
      <c r="J222" s="648" t="s">
        <v>1523</v>
      </c>
      <c r="K222" s="648" t="s">
        <v>1523</v>
      </c>
      <c r="L222" s="648" t="s">
        <v>1523</v>
      </c>
      <c r="M222" s="648" t="s">
        <v>1523</v>
      </c>
      <c r="N222" s="648" t="s">
        <v>1523</v>
      </c>
      <c r="O222" s="648" t="s">
        <v>1523</v>
      </c>
    </row>
    <row r="223" spans="1:15" ht="16" customHeight="1" thickBot="1">
      <c r="A223" s="126"/>
      <c r="B223" s="644"/>
      <c r="C223" s="645">
        <v>84</v>
      </c>
      <c r="D223" s="645" t="s">
        <v>721</v>
      </c>
      <c r="E223" s="645">
        <v>47</v>
      </c>
      <c r="F223" s="645" t="s">
        <v>722</v>
      </c>
      <c r="G223" s="645" t="s">
        <v>596</v>
      </c>
      <c r="H223" s="645">
        <v>235</v>
      </c>
      <c r="I223" s="645">
        <v>491</v>
      </c>
      <c r="J223" s="645">
        <v>0.47899999999999998</v>
      </c>
      <c r="K223" s="645" t="s">
        <v>496</v>
      </c>
      <c r="L223" s="645" t="s">
        <v>497</v>
      </c>
      <c r="M223" s="645" t="s">
        <v>509</v>
      </c>
      <c r="N223" s="646">
        <v>0</v>
      </c>
      <c r="O223" s="646">
        <v>0</v>
      </c>
    </row>
    <row r="224" spans="1:15" ht="16" customHeight="1" thickBot="1">
      <c r="A224" s="126"/>
      <c r="B224" s="644"/>
      <c r="C224" s="645">
        <v>84</v>
      </c>
      <c r="D224" s="645" t="s">
        <v>721</v>
      </c>
      <c r="E224" s="645">
        <v>49</v>
      </c>
      <c r="F224" s="645" t="s">
        <v>723</v>
      </c>
      <c r="G224" s="645" t="s">
        <v>546</v>
      </c>
      <c r="H224" s="645">
        <v>54</v>
      </c>
      <c r="I224" s="645">
        <v>88</v>
      </c>
      <c r="J224" s="645">
        <v>0.61399999999999999</v>
      </c>
      <c r="K224" s="645" t="s">
        <v>496</v>
      </c>
      <c r="L224" s="645" t="s">
        <v>497</v>
      </c>
      <c r="M224" s="645" t="s">
        <v>509</v>
      </c>
      <c r="N224" s="646">
        <v>0</v>
      </c>
      <c r="O224" s="646">
        <v>0</v>
      </c>
    </row>
    <row r="225" spans="1:15" ht="16" customHeight="1" thickBot="1">
      <c r="A225" s="126"/>
      <c r="B225" s="644"/>
      <c r="C225" s="645">
        <v>84</v>
      </c>
      <c r="D225" s="645" t="s">
        <v>721</v>
      </c>
      <c r="E225" s="645">
        <v>202</v>
      </c>
      <c r="F225" s="645" t="s">
        <v>724</v>
      </c>
      <c r="G225" s="645" t="s">
        <v>546</v>
      </c>
      <c r="H225" s="645">
        <v>379</v>
      </c>
      <c r="I225" s="645">
        <v>971</v>
      </c>
      <c r="J225" s="645">
        <v>0.39</v>
      </c>
      <c r="K225" s="645" t="s">
        <v>496</v>
      </c>
      <c r="L225" s="645" t="s">
        <v>497</v>
      </c>
      <c r="M225" s="645" t="s">
        <v>509</v>
      </c>
      <c r="N225" s="646">
        <v>0</v>
      </c>
      <c r="O225" s="646">
        <v>0</v>
      </c>
    </row>
    <row r="226" spans="1:15" ht="16" customHeight="1" thickBot="1">
      <c r="A226" s="126"/>
      <c r="B226" s="644"/>
      <c r="C226" s="645">
        <v>84</v>
      </c>
      <c r="D226" s="645" t="s">
        <v>721</v>
      </c>
      <c r="E226" s="645">
        <v>293</v>
      </c>
      <c r="F226" s="645" t="s">
        <v>725</v>
      </c>
      <c r="G226" s="645" t="s">
        <v>512</v>
      </c>
      <c r="H226" s="645">
        <v>240</v>
      </c>
      <c r="I226" s="645">
        <v>411</v>
      </c>
      <c r="J226" s="645">
        <v>0.58399999999999996</v>
      </c>
      <c r="K226" s="645" t="s">
        <v>496</v>
      </c>
      <c r="L226" s="645" t="s">
        <v>518</v>
      </c>
      <c r="M226" s="645" t="s">
        <v>509</v>
      </c>
      <c r="N226" s="646">
        <v>133440</v>
      </c>
      <c r="O226" s="646">
        <v>556</v>
      </c>
    </row>
    <row r="227" spans="1:15" ht="16" customHeight="1" thickBot="1">
      <c r="A227" s="126"/>
      <c r="B227" s="644"/>
      <c r="C227" s="645">
        <v>84</v>
      </c>
      <c r="D227" s="645" t="s">
        <v>721</v>
      </c>
      <c r="E227" s="645">
        <v>401</v>
      </c>
      <c r="F227" s="645" t="s">
        <v>726</v>
      </c>
      <c r="G227" s="645" t="s">
        <v>512</v>
      </c>
      <c r="H227" s="645">
        <v>52</v>
      </c>
      <c r="I227" s="645">
        <v>100</v>
      </c>
      <c r="J227" s="645">
        <v>0.52</v>
      </c>
      <c r="K227" s="645" t="s">
        <v>496</v>
      </c>
      <c r="L227" s="645" t="s">
        <v>518</v>
      </c>
      <c r="M227" s="645" t="s">
        <v>505</v>
      </c>
      <c r="N227" s="646">
        <v>25480</v>
      </c>
      <c r="O227" s="646">
        <v>490</v>
      </c>
    </row>
    <row r="228" spans="1:15" ht="16" customHeight="1" thickBot="1">
      <c r="A228" s="126"/>
      <c r="B228" s="644"/>
      <c r="C228" s="645">
        <v>84</v>
      </c>
      <c r="D228" s="645" t="s">
        <v>721</v>
      </c>
      <c r="E228" s="645">
        <v>402</v>
      </c>
      <c r="F228" s="645" t="s">
        <v>727</v>
      </c>
      <c r="G228" s="645" t="s">
        <v>512</v>
      </c>
      <c r="H228" s="645">
        <v>188</v>
      </c>
      <c r="I228" s="645">
        <v>330</v>
      </c>
      <c r="J228" s="645">
        <v>0.56999999999999995</v>
      </c>
      <c r="K228" s="645" t="s">
        <v>496</v>
      </c>
      <c r="L228" s="645" t="s">
        <v>518</v>
      </c>
      <c r="M228" s="645" t="s">
        <v>509</v>
      </c>
      <c r="N228" s="646">
        <v>103400</v>
      </c>
      <c r="O228" s="646">
        <v>550</v>
      </c>
    </row>
    <row r="229" spans="1:15" ht="16" customHeight="1" thickBot="1">
      <c r="A229" s="126"/>
      <c r="B229" s="644"/>
      <c r="C229" s="645">
        <v>84</v>
      </c>
      <c r="D229" s="645" t="s">
        <v>721</v>
      </c>
      <c r="E229" s="645">
        <v>403</v>
      </c>
      <c r="F229" s="645" t="s">
        <v>728</v>
      </c>
      <c r="G229" s="645" t="s">
        <v>512</v>
      </c>
      <c r="H229" s="645">
        <v>316</v>
      </c>
      <c r="I229" s="645">
        <v>481</v>
      </c>
      <c r="J229" s="645">
        <v>0.65700000000000003</v>
      </c>
      <c r="K229" s="645" t="s">
        <v>496</v>
      </c>
      <c r="L229" s="645" t="s">
        <v>518</v>
      </c>
      <c r="M229" s="645" t="s">
        <v>509</v>
      </c>
      <c r="N229" s="646">
        <v>175696</v>
      </c>
      <c r="O229" s="646">
        <v>556</v>
      </c>
    </row>
    <row r="230" spans="1:15" ht="16" customHeight="1" thickBot="1">
      <c r="A230" s="126"/>
      <c r="B230" s="644"/>
      <c r="C230" s="645">
        <v>84</v>
      </c>
      <c r="D230" s="645" t="s">
        <v>721</v>
      </c>
      <c r="E230" s="645">
        <v>405</v>
      </c>
      <c r="F230" s="645" t="s">
        <v>729</v>
      </c>
      <c r="G230" s="645" t="s">
        <v>512</v>
      </c>
      <c r="H230" s="645">
        <v>71</v>
      </c>
      <c r="I230" s="645">
        <v>131</v>
      </c>
      <c r="J230" s="645">
        <v>0.54200000000000004</v>
      </c>
      <c r="K230" s="645" t="s">
        <v>496</v>
      </c>
      <c r="L230" s="645" t="s">
        <v>518</v>
      </c>
      <c r="M230" s="645" t="s">
        <v>509</v>
      </c>
      <c r="N230" s="646">
        <v>39050</v>
      </c>
      <c r="O230" s="646">
        <v>550</v>
      </c>
    </row>
    <row r="231" spans="1:15" ht="16" customHeight="1" thickBot="1">
      <c r="A231" s="126"/>
      <c r="B231" s="644"/>
      <c r="C231" s="645">
        <v>84</v>
      </c>
      <c r="D231" s="645" t="s">
        <v>721</v>
      </c>
      <c r="E231" s="645">
        <v>408</v>
      </c>
      <c r="F231" s="645" t="s">
        <v>519</v>
      </c>
      <c r="G231" s="645" t="s">
        <v>512</v>
      </c>
      <c r="H231" s="645">
        <v>123</v>
      </c>
      <c r="I231" s="645">
        <v>313</v>
      </c>
      <c r="J231" s="645">
        <v>0.39300000000000002</v>
      </c>
      <c r="K231" s="645" t="s">
        <v>496</v>
      </c>
      <c r="L231" s="645" t="s">
        <v>497</v>
      </c>
      <c r="M231" s="645" t="s">
        <v>509</v>
      </c>
      <c r="N231" s="646">
        <v>0</v>
      </c>
      <c r="O231" s="646">
        <v>0</v>
      </c>
    </row>
    <row r="232" spans="1:15" ht="16" customHeight="1" thickBot="1">
      <c r="A232" s="126"/>
      <c r="B232" s="644"/>
      <c r="C232" s="645">
        <v>84</v>
      </c>
      <c r="D232" s="645" t="s">
        <v>721</v>
      </c>
      <c r="E232" s="645">
        <v>410</v>
      </c>
      <c r="F232" s="645" t="s">
        <v>730</v>
      </c>
      <c r="G232" s="645" t="s">
        <v>512</v>
      </c>
      <c r="H232" s="645">
        <v>82</v>
      </c>
      <c r="I232" s="645">
        <v>164</v>
      </c>
      <c r="J232" s="645">
        <v>0.5</v>
      </c>
      <c r="K232" s="645" t="s">
        <v>496</v>
      </c>
      <c r="L232" s="645" t="s">
        <v>497</v>
      </c>
      <c r="M232" s="645" t="s">
        <v>509</v>
      </c>
      <c r="N232" s="646">
        <v>0</v>
      </c>
      <c r="O232" s="646">
        <v>0</v>
      </c>
    </row>
    <row r="233" spans="1:15" ht="16" customHeight="1" thickBot="1">
      <c r="A233" s="126"/>
      <c r="B233" s="644"/>
      <c r="C233" s="645">
        <v>84</v>
      </c>
      <c r="D233" s="645" t="s">
        <v>721</v>
      </c>
      <c r="E233" s="645">
        <v>1045</v>
      </c>
      <c r="F233" s="645" t="s">
        <v>731</v>
      </c>
      <c r="G233" s="645" t="s">
        <v>546</v>
      </c>
      <c r="H233" s="645">
        <v>73</v>
      </c>
      <c r="I233" s="645">
        <v>91</v>
      </c>
      <c r="J233" s="645">
        <v>0.80200000000000005</v>
      </c>
      <c r="K233" s="645" t="s">
        <v>496</v>
      </c>
      <c r="L233" s="645" t="s">
        <v>518</v>
      </c>
      <c r="M233" s="645" t="s">
        <v>547</v>
      </c>
      <c r="N233" s="646">
        <v>57809</v>
      </c>
      <c r="O233" s="646">
        <v>791</v>
      </c>
    </row>
    <row r="234" spans="1:15" ht="16" customHeight="1" thickBot="1">
      <c r="A234" s="126"/>
      <c r="B234" s="644"/>
      <c r="C234" s="648" t="s">
        <v>1523</v>
      </c>
      <c r="D234" s="648" t="s">
        <v>1523</v>
      </c>
      <c r="E234" s="648" t="s">
        <v>1523</v>
      </c>
      <c r="F234" s="648" t="s">
        <v>1523</v>
      </c>
      <c r="G234" s="648" t="s">
        <v>1523</v>
      </c>
      <c r="H234" s="648" t="s">
        <v>1523</v>
      </c>
      <c r="I234" s="648" t="s">
        <v>1523</v>
      </c>
      <c r="J234" s="648" t="s">
        <v>1523</v>
      </c>
      <c r="K234" s="648" t="s">
        <v>1523</v>
      </c>
      <c r="L234" s="648" t="s">
        <v>1523</v>
      </c>
      <c r="M234" s="648" t="s">
        <v>1523</v>
      </c>
      <c r="N234" s="648" t="s">
        <v>1523</v>
      </c>
      <c r="O234" s="648" t="s">
        <v>1523</v>
      </c>
    </row>
    <row r="235" spans="1:15" ht="16" customHeight="1" thickBot="1">
      <c r="A235" s="126"/>
      <c r="B235" s="644"/>
      <c r="C235" s="645">
        <v>91</v>
      </c>
      <c r="D235" s="645" t="s">
        <v>324</v>
      </c>
      <c r="E235" s="645">
        <v>50</v>
      </c>
      <c r="F235" s="645" t="s">
        <v>732</v>
      </c>
      <c r="G235" s="645" t="s">
        <v>495</v>
      </c>
      <c r="H235" s="645">
        <v>422</v>
      </c>
      <c r="I235" s="645">
        <v>779</v>
      </c>
      <c r="J235" s="645">
        <v>0.54200000000000004</v>
      </c>
      <c r="K235" s="645" t="s">
        <v>496</v>
      </c>
      <c r="L235" s="645" t="s">
        <v>624</v>
      </c>
      <c r="M235" s="645" t="s">
        <v>498</v>
      </c>
      <c r="N235" s="646">
        <v>78000</v>
      </c>
      <c r="O235" s="646">
        <v>184</v>
      </c>
    </row>
    <row r="236" spans="1:15" ht="16" customHeight="1" thickBot="1">
      <c r="A236" s="126"/>
      <c r="B236" s="644"/>
      <c r="C236" s="645">
        <v>91</v>
      </c>
      <c r="D236" s="645" t="s">
        <v>324</v>
      </c>
      <c r="E236" s="645">
        <v>53</v>
      </c>
      <c r="F236" s="645" t="s">
        <v>733</v>
      </c>
      <c r="G236" s="645" t="s">
        <v>504</v>
      </c>
      <c r="H236" s="645">
        <v>448</v>
      </c>
      <c r="I236" s="645">
        <v>1200</v>
      </c>
      <c r="J236" s="645">
        <v>0.373</v>
      </c>
      <c r="K236" s="645" t="s">
        <v>496</v>
      </c>
      <c r="L236" s="645" t="s">
        <v>497</v>
      </c>
      <c r="M236" s="645" t="s">
        <v>505</v>
      </c>
      <c r="N236" s="646">
        <v>0</v>
      </c>
      <c r="O236" s="646">
        <v>0</v>
      </c>
    </row>
    <row r="237" spans="1:15" ht="16" customHeight="1" thickBot="1">
      <c r="A237" s="126"/>
      <c r="B237" s="644"/>
      <c r="C237" s="645">
        <v>91</v>
      </c>
      <c r="D237" s="645" t="s">
        <v>324</v>
      </c>
      <c r="E237" s="645">
        <v>54</v>
      </c>
      <c r="F237" s="645" t="s">
        <v>734</v>
      </c>
      <c r="G237" s="645" t="s">
        <v>504</v>
      </c>
      <c r="H237" s="645">
        <v>377</v>
      </c>
      <c r="I237" s="645">
        <v>1153</v>
      </c>
      <c r="J237" s="645">
        <v>0.32700000000000001</v>
      </c>
      <c r="K237" s="645" t="s">
        <v>501</v>
      </c>
      <c r="L237" s="645" t="s">
        <v>497</v>
      </c>
      <c r="M237" s="645" t="s">
        <v>505</v>
      </c>
      <c r="N237" s="646">
        <v>0</v>
      </c>
      <c r="O237" s="646">
        <v>0</v>
      </c>
    </row>
    <row r="238" spans="1:15" ht="16" customHeight="1" thickBot="1">
      <c r="A238" s="126"/>
      <c r="B238" s="644"/>
      <c r="C238" s="645">
        <v>91</v>
      </c>
      <c r="D238" s="645" t="s">
        <v>324</v>
      </c>
      <c r="E238" s="645">
        <v>199</v>
      </c>
      <c r="F238" s="645" t="s">
        <v>735</v>
      </c>
      <c r="G238" s="645" t="s">
        <v>495</v>
      </c>
      <c r="H238" s="645">
        <v>337</v>
      </c>
      <c r="I238" s="645">
        <v>823</v>
      </c>
      <c r="J238" s="645">
        <v>0.40899999999999997</v>
      </c>
      <c r="K238" s="645" t="s">
        <v>496</v>
      </c>
      <c r="L238" s="645" t="s">
        <v>624</v>
      </c>
      <c r="M238" s="645" t="s">
        <v>498</v>
      </c>
      <c r="N238" s="646">
        <v>47500</v>
      </c>
      <c r="O238" s="646">
        <v>140</v>
      </c>
    </row>
    <row r="239" spans="1:15" ht="16" customHeight="1" thickBot="1">
      <c r="A239" s="126"/>
      <c r="B239" s="644"/>
      <c r="C239" s="645">
        <v>91</v>
      </c>
      <c r="D239" s="645" t="s">
        <v>324</v>
      </c>
      <c r="E239" s="645">
        <v>412</v>
      </c>
      <c r="F239" s="645" t="s">
        <v>534</v>
      </c>
      <c r="G239" s="645" t="s">
        <v>512</v>
      </c>
      <c r="H239" s="645">
        <v>242</v>
      </c>
      <c r="I239" s="645">
        <v>538</v>
      </c>
      <c r="J239" s="645">
        <v>0.45</v>
      </c>
      <c r="K239" s="645" t="s">
        <v>496</v>
      </c>
      <c r="L239" s="645" t="s">
        <v>624</v>
      </c>
      <c r="M239" s="645" t="s">
        <v>505</v>
      </c>
      <c r="N239" s="646">
        <v>57000</v>
      </c>
      <c r="O239" s="646">
        <v>235</v>
      </c>
    </row>
    <row r="240" spans="1:15" ht="16" customHeight="1" thickBot="1">
      <c r="A240" s="126"/>
      <c r="B240" s="644"/>
      <c r="C240" s="645">
        <v>91</v>
      </c>
      <c r="D240" s="645" t="s">
        <v>324</v>
      </c>
      <c r="E240" s="645">
        <v>413</v>
      </c>
      <c r="F240" s="645" t="s">
        <v>523</v>
      </c>
      <c r="G240" s="645" t="s">
        <v>512</v>
      </c>
      <c r="H240" s="645">
        <v>242</v>
      </c>
      <c r="I240" s="645">
        <v>335</v>
      </c>
      <c r="J240" s="645">
        <v>0.72199999999999998</v>
      </c>
      <c r="K240" s="645" t="s">
        <v>496</v>
      </c>
      <c r="L240" s="645" t="s">
        <v>518</v>
      </c>
      <c r="M240" s="645" t="s">
        <v>505</v>
      </c>
      <c r="N240" s="646">
        <v>87000</v>
      </c>
      <c r="O240" s="646">
        <v>359</v>
      </c>
    </row>
    <row r="241" spans="1:15" ht="16" customHeight="1" thickBot="1">
      <c r="A241" s="126"/>
      <c r="B241" s="644"/>
      <c r="C241" s="645">
        <v>91</v>
      </c>
      <c r="D241" s="645" t="s">
        <v>324</v>
      </c>
      <c r="E241" s="645">
        <v>414</v>
      </c>
      <c r="F241" s="645" t="s">
        <v>736</v>
      </c>
      <c r="G241" s="645" t="s">
        <v>512</v>
      </c>
      <c r="H241" s="645">
        <v>281</v>
      </c>
      <c r="I241" s="645">
        <v>503</v>
      </c>
      <c r="J241" s="645">
        <v>0.55900000000000005</v>
      </c>
      <c r="K241" s="645" t="s">
        <v>496</v>
      </c>
      <c r="L241" s="645" t="s">
        <v>518</v>
      </c>
      <c r="M241" s="645" t="s">
        <v>498</v>
      </c>
      <c r="N241" s="646">
        <v>82192</v>
      </c>
      <c r="O241" s="646">
        <v>292</v>
      </c>
    </row>
    <row r="242" spans="1:15" ht="16" customHeight="1" thickBot="1">
      <c r="A242" s="126"/>
      <c r="B242" s="644"/>
      <c r="C242" s="645">
        <v>91</v>
      </c>
      <c r="D242" s="645" t="s">
        <v>324</v>
      </c>
      <c r="E242" s="645">
        <v>415</v>
      </c>
      <c r="F242" s="645" t="s">
        <v>737</v>
      </c>
      <c r="G242" s="645" t="s">
        <v>512</v>
      </c>
      <c r="H242" s="645">
        <v>393</v>
      </c>
      <c r="I242" s="645">
        <v>491</v>
      </c>
      <c r="J242" s="645">
        <v>0.8</v>
      </c>
      <c r="K242" s="645" t="s">
        <v>496</v>
      </c>
      <c r="L242" s="645" t="s">
        <v>518</v>
      </c>
      <c r="M242" s="645" t="s">
        <v>498</v>
      </c>
      <c r="N242" s="646">
        <v>141500</v>
      </c>
      <c r="O242" s="646">
        <v>360</v>
      </c>
    </row>
    <row r="243" spans="1:15" ht="16" customHeight="1" thickBot="1">
      <c r="A243" s="126"/>
      <c r="B243" s="644"/>
      <c r="C243" s="645">
        <v>91</v>
      </c>
      <c r="D243" s="645" t="s">
        <v>324</v>
      </c>
      <c r="E243" s="645">
        <v>416</v>
      </c>
      <c r="F243" s="645" t="s">
        <v>738</v>
      </c>
      <c r="G243" s="645" t="s">
        <v>512</v>
      </c>
      <c r="H243" s="645">
        <v>263</v>
      </c>
      <c r="I243" s="645">
        <v>555</v>
      </c>
      <c r="J243" s="645">
        <v>0.47399999999999998</v>
      </c>
      <c r="K243" s="645" t="s">
        <v>496</v>
      </c>
      <c r="L243" s="645" t="s">
        <v>624</v>
      </c>
      <c r="M243" s="645" t="s">
        <v>498</v>
      </c>
      <c r="N243" s="646">
        <v>66749</v>
      </c>
      <c r="O243" s="646">
        <v>253</v>
      </c>
    </row>
    <row r="244" spans="1:15" ht="16" customHeight="1" thickBot="1">
      <c r="A244" s="126"/>
      <c r="B244" s="644"/>
      <c r="C244" s="645">
        <v>91</v>
      </c>
      <c r="D244" s="645" t="s">
        <v>324</v>
      </c>
      <c r="E244" s="645">
        <v>419</v>
      </c>
      <c r="F244" s="645" t="s">
        <v>739</v>
      </c>
      <c r="G244" s="645" t="s">
        <v>512</v>
      </c>
      <c r="H244" s="645">
        <v>196</v>
      </c>
      <c r="I244" s="645">
        <v>300</v>
      </c>
      <c r="J244" s="645">
        <v>0.65300000000000002</v>
      </c>
      <c r="K244" s="645" t="s">
        <v>496</v>
      </c>
      <c r="L244" s="645" t="s">
        <v>518</v>
      </c>
      <c r="M244" s="645" t="s">
        <v>498</v>
      </c>
      <c r="N244" s="646">
        <v>61740</v>
      </c>
      <c r="O244" s="646">
        <v>315</v>
      </c>
    </row>
    <row r="245" spans="1:15" ht="16" customHeight="1" thickBot="1">
      <c r="A245" s="126"/>
      <c r="B245" s="644"/>
      <c r="C245" s="645">
        <v>91</v>
      </c>
      <c r="D245" s="645" t="s">
        <v>324</v>
      </c>
      <c r="E245" s="645">
        <v>420</v>
      </c>
      <c r="F245" s="645" t="s">
        <v>740</v>
      </c>
      <c r="G245" s="645" t="s">
        <v>512</v>
      </c>
      <c r="H245" s="645">
        <v>252</v>
      </c>
      <c r="I245" s="645">
        <v>378</v>
      </c>
      <c r="J245" s="645">
        <v>0.66700000000000004</v>
      </c>
      <c r="K245" s="645" t="s">
        <v>496</v>
      </c>
      <c r="L245" s="645" t="s">
        <v>518</v>
      </c>
      <c r="M245" s="645" t="s">
        <v>498</v>
      </c>
      <c r="N245" s="646">
        <v>79380</v>
      </c>
      <c r="O245" s="646">
        <v>315</v>
      </c>
    </row>
    <row r="246" spans="1:15" ht="16" customHeight="1" thickBot="1">
      <c r="A246" s="126"/>
      <c r="B246" s="644"/>
      <c r="C246" s="645">
        <v>91</v>
      </c>
      <c r="D246" s="645" t="s">
        <v>324</v>
      </c>
      <c r="E246" s="645">
        <v>421</v>
      </c>
      <c r="F246" s="645" t="s">
        <v>741</v>
      </c>
      <c r="G246" s="645" t="s">
        <v>512</v>
      </c>
      <c r="H246" s="645">
        <v>211</v>
      </c>
      <c r="I246" s="645">
        <v>490</v>
      </c>
      <c r="J246" s="645">
        <v>0.43099999999999999</v>
      </c>
      <c r="K246" s="645" t="s">
        <v>496</v>
      </c>
      <c r="L246" s="645" t="s">
        <v>624</v>
      </c>
      <c r="M246" s="645" t="s">
        <v>505</v>
      </c>
      <c r="N246" s="646">
        <v>44650</v>
      </c>
      <c r="O246" s="646">
        <v>211</v>
      </c>
    </row>
    <row r="247" spans="1:15" ht="16" customHeight="1" thickBot="1">
      <c r="A247" s="126"/>
      <c r="B247" s="644"/>
      <c r="C247" s="645">
        <v>91</v>
      </c>
      <c r="D247" s="645" t="s">
        <v>324</v>
      </c>
      <c r="E247" s="645">
        <v>422</v>
      </c>
      <c r="F247" s="645" t="s">
        <v>742</v>
      </c>
      <c r="G247" s="645" t="s">
        <v>512</v>
      </c>
      <c r="H247" s="645">
        <v>399</v>
      </c>
      <c r="I247" s="645">
        <v>458</v>
      </c>
      <c r="J247" s="645">
        <v>0.871</v>
      </c>
      <c r="K247" s="645" t="s">
        <v>496</v>
      </c>
      <c r="L247" s="645" t="s">
        <v>518</v>
      </c>
      <c r="M247" s="645" t="s">
        <v>521</v>
      </c>
      <c r="N247" s="646">
        <v>144358</v>
      </c>
      <c r="O247" s="646">
        <v>361</v>
      </c>
    </row>
    <row r="248" spans="1:15" ht="16" customHeight="1" thickBot="1">
      <c r="A248" s="126"/>
      <c r="B248" s="644"/>
      <c r="C248" s="645">
        <v>91</v>
      </c>
      <c r="D248" s="645" t="s">
        <v>324</v>
      </c>
      <c r="E248" s="645">
        <v>423</v>
      </c>
      <c r="F248" s="645" t="s">
        <v>743</v>
      </c>
      <c r="G248" s="645" t="s">
        <v>512</v>
      </c>
      <c r="H248" s="645">
        <v>376</v>
      </c>
      <c r="I248" s="645">
        <v>506</v>
      </c>
      <c r="J248" s="645">
        <v>0.74299999999999999</v>
      </c>
      <c r="K248" s="645" t="s">
        <v>496</v>
      </c>
      <c r="L248" s="645" t="s">
        <v>518</v>
      </c>
      <c r="M248" s="645" t="s">
        <v>521</v>
      </c>
      <c r="N248" s="646">
        <v>135000</v>
      </c>
      <c r="O248" s="646">
        <v>359</v>
      </c>
    </row>
    <row r="249" spans="1:15" ht="16" customHeight="1" thickBot="1">
      <c r="A249" s="126"/>
      <c r="B249" s="644"/>
      <c r="C249" s="645">
        <v>91</v>
      </c>
      <c r="D249" s="645" t="s">
        <v>324</v>
      </c>
      <c r="E249" s="645">
        <v>667</v>
      </c>
      <c r="F249" s="645" t="s">
        <v>744</v>
      </c>
      <c r="G249" s="645" t="s">
        <v>512</v>
      </c>
      <c r="H249" s="645">
        <v>309</v>
      </c>
      <c r="I249" s="645">
        <v>485</v>
      </c>
      <c r="J249" s="645">
        <v>0.63700000000000001</v>
      </c>
      <c r="K249" s="645" t="s">
        <v>496</v>
      </c>
      <c r="L249" s="645" t="s">
        <v>518</v>
      </c>
      <c r="M249" s="645" t="s">
        <v>505</v>
      </c>
      <c r="N249" s="646">
        <v>90250</v>
      </c>
      <c r="O249" s="646">
        <v>292</v>
      </c>
    </row>
    <row r="250" spans="1:15" ht="16" customHeight="1" thickBot="1">
      <c r="A250" s="126"/>
      <c r="B250" s="644"/>
      <c r="C250" s="645">
        <v>91</v>
      </c>
      <c r="D250" s="645" t="s">
        <v>324</v>
      </c>
      <c r="E250" s="645">
        <v>668</v>
      </c>
      <c r="F250" s="645" t="s">
        <v>745</v>
      </c>
      <c r="G250" s="645" t="s">
        <v>512</v>
      </c>
      <c r="H250" s="645">
        <v>72</v>
      </c>
      <c r="I250" s="645">
        <v>579</v>
      </c>
      <c r="J250" s="645">
        <v>0.124</v>
      </c>
      <c r="K250" s="645" t="s">
        <v>501</v>
      </c>
      <c r="L250" s="645" t="s">
        <v>497</v>
      </c>
      <c r="M250" s="645" t="s">
        <v>505</v>
      </c>
      <c r="N250" s="646">
        <v>0</v>
      </c>
      <c r="O250" s="646">
        <v>0</v>
      </c>
    </row>
    <row r="251" spans="1:15" ht="16" customHeight="1" thickBot="1">
      <c r="A251" s="126"/>
      <c r="B251" s="644"/>
      <c r="C251" s="645">
        <v>91</v>
      </c>
      <c r="D251" s="645" t="s">
        <v>324</v>
      </c>
      <c r="E251" s="645">
        <v>1048</v>
      </c>
      <c r="F251" s="645" t="s">
        <v>746</v>
      </c>
      <c r="G251" s="645" t="s">
        <v>557</v>
      </c>
      <c r="H251" s="645">
        <v>90</v>
      </c>
      <c r="I251" s="645">
        <v>142</v>
      </c>
      <c r="J251" s="645">
        <v>0.63400000000000001</v>
      </c>
      <c r="K251" s="645" t="s">
        <v>496</v>
      </c>
      <c r="L251" s="645" t="s">
        <v>497</v>
      </c>
      <c r="M251" s="645" t="s">
        <v>521</v>
      </c>
      <c r="N251" s="646">
        <v>0</v>
      </c>
      <c r="O251" s="646">
        <v>0</v>
      </c>
    </row>
    <row r="252" spans="1:15" ht="16" customHeight="1" thickBot="1">
      <c r="A252" s="126"/>
      <c r="B252" s="644"/>
      <c r="C252" s="645">
        <v>91</v>
      </c>
      <c r="D252" s="645" t="s">
        <v>324</v>
      </c>
      <c r="E252" s="645">
        <v>1350</v>
      </c>
      <c r="F252" s="645" t="s">
        <v>747</v>
      </c>
      <c r="G252" s="645" t="s">
        <v>557</v>
      </c>
      <c r="H252" s="645">
        <v>131</v>
      </c>
      <c r="I252" s="645">
        <v>470</v>
      </c>
      <c r="J252" s="645">
        <v>0.27900000000000003</v>
      </c>
      <c r="K252" s="645" t="s">
        <v>501</v>
      </c>
      <c r="L252" s="645" t="s">
        <v>497</v>
      </c>
      <c r="M252" s="645" t="s">
        <v>498</v>
      </c>
      <c r="N252" s="646">
        <v>0</v>
      </c>
      <c r="O252" s="646">
        <v>0</v>
      </c>
    </row>
    <row r="253" spans="1:15" ht="16" customHeight="1" thickBot="1">
      <c r="A253" s="126"/>
      <c r="B253" s="644"/>
      <c r="C253" s="648" t="s">
        <v>1523</v>
      </c>
      <c r="D253" s="648" t="s">
        <v>1523</v>
      </c>
      <c r="E253" s="648" t="s">
        <v>1523</v>
      </c>
      <c r="F253" s="648" t="s">
        <v>1523</v>
      </c>
      <c r="G253" s="648" t="s">
        <v>1523</v>
      </c>
      <c r="H253" s="648" t="s">
        <v>1523</v>
      </c>
      <c r="I253" s="648" t="s">
        <v>1523</v>
      </c>
      <c r="J253" s="648" t="s">
        <v>1523</v>
      </c>
      <c r="K253" s="648" t="s">
        <v>1523</v>
      </c>
      <c r="L253" s="648" t="s">
        <v>1523</v>
      </c>
      <c r="M253" s="648" t="s">
        <v>1523</v>
      </c>
      <c r="N253" s="648" t="s">
        <v>1523</v>
      </c>
      <c r="O253" s="648" t="s">
        <v>1523</v>
      </c>
    </row>
    <row r="254" spans="1:15" ht="16" customHeight="1" thickBot="1">
      <c r="A254" s="126"/>
      <c r="B254" s="644"/>
      <c r="C254" s="645">
        <v>92</v>
      </c>
      <c r="D254" s="645" t="s">
        <v>325</v>
      </c>
      <c r="E254" s="645">
        <v>424</v>
      </c>
      <c r="F254" s="645" t="s">
        <v>748</v>
      </c>
      <c r="G254" s="645" t="s">
        <v>551</v>
      </c>
      <c r="H254" s="645">
        <v>27</v>
      </c>
      <c r="I254" s="645">
        <v>50</v>
      </c>
      <c r="J254" s="645">
        <v>0.54</v>
      </c>
      <c r="K254" s="645" t="s">
        <v>496</v>
      </c>
      <c r="L254" s="645" t="s">
        <v>624</v>
      </c>
      <c r="M254" s="645" t="s">
        <v>498</v>
      </c>
      <c r="N254" s="646">
        <v>7225</v>
      </c>
      <c r="O254" s="646">
        <v>267</v>
      </c>
    </row>
    <row r="255" spans="1:15" ht="16" customHeight="1" thickBot="1">
      <c r="A255" s="126"/>
      <c r="B255" s="644"/>
      <c r="C255" s="648" t="s">
        <v>1523</v>
      </c>
      <c r="D255" s="648" t="s">
        <v>1523</v>
      </c>
      <c r="E255" s="648" t="s">
        <v>1523</v>
      </c>
      <c r="F255" s="648" t="s">
        <v>1523</v>
      </c>
      <c r="G255" s="648" t="s">
        <v>1523</v>
      </c>
      <c r="H255" s="648" t="s">
        <v>1523</v>
      </c>
      <c r="I255" s="648" t="s">
        <v>1523</v>
      </c>
      <c r="J255" s="648" t="s">
        <v>1523</v>
      </c>
      <c r="K255" s="648" t="s">
        <v>1523</v>
      </c>
      <c r="L255" s="648" t="s">
        <v>1523</v>
      </c>
      <c r="M255" s="648" t="s">
        <v>1523</v>
      </c>
      <c r="N255" s="648" t="s">
        <v>1523</v>
      </c>
      <c r="O255" s="648" t="s">
        <v>1523</v>
      </c>
    </row>
    <row r="256" spans="1:15" ht="16" customHeight="1" thickBot="1">
      <c r="A256" s="126"/>
      <c r="B256" s="644"/>
      <c r="C256" s="645">
        <v>93</v>
      </c>
      <c r="D256" s="645" t="s">
        <v>326</v>
      </c>
      <c r="E256" s="645">
        <v>55</v>
      </c>
      <c r="F256" s="645" t="s">
        <v>749</v>
      </c>
      <c r="G256" s="645" t="s">
        <v>596</v>
      </c>
      <c r="H256" s="645">
        <v>289</v>
      </c>
      <c r="I256" s="645">
        <v>871</v>
      </c>
      <c r="J256" s="645">
        <v>0.33200000000000002</v>
      </c>
      <c r="K256" s="645" t="s">
        <v>496</v>
      </c>
      <c r="L256" s="645" t="s">
        <v>497</v>
      </c>
      <c r="M256" s="645" t="s">
        <v>505</v>
      </c>
      <c r="N256" s="646">
        <v>0</v>
      </c>
      <c r="O256" s="646">
        <v>0</v>
      </c>
    </row>
    <row r="257" spans="1:15" ht="16" customHeight="1" thickBot="1">
      <c r="A257" s="126"/>
      <c r="B257" s="644"/>
      <c r="C257" s="645">
        <v>93</v>
      </c>
      <c r="D257" s="645" t="s">
        <v>326</v>
      </c>
      <c r="E257" s="645">
        <v>56</v>
      </c>
      <c r="F257" s="645" t="s">
        <v>750</v>
      </c>
      <c r="G257" s="645" t="s">
        <v>557</v>
      </c>
      <c r="H257" s="645">
        <v>535</v>
      </c>
      <c r="I257" s="645">
        <v>1328</v>
      </c>
      <c r="J257" s="645">
        <v>0.40300000000000002</v>
      </c>
      <c r="K257" s="645" t="s">
        <v>496</v>
      </c>
      <c r="L257" s="645" t="s">
        <v>497</v>
      </c>
      <c r="M257" s="645" t="s">
        <v>505</v>
      </c>
      <c r="N257" s="646">
        <v>0</v>
      </c>
      <c r="O257" s="646">
        <v>0</v>
      </c>
    </row>
    <row r="258" spans="1:15" ht="16" customHeight="1" thickBot="1">
      <c r="A258" s="126"/>
      <c r="B258" s="644"/>
      <c r="C258" s="645">
        <v>93</v>
      </c>
      <c r="D258" s="645" t="s">
        <v>326</v>
      </c>
      <c r="E258" s="645">
        <v>200</v>
      </c>
      <c r="F258" s="645" t="s">
        <v>751</v>
      </c>
      <c r="G258" s="645" t="s">
        <v>557</v>
      </c>
      <c r="H258" s="645">
        <v>378</v>
      </c>
      <c r="I258" s="645">
        <v>1431</v>
      </c>
      <c r="J258" s="645">
        <v>0.26400000000000001</v>
      </c>
      <c r="K258" s="645" t="s">
        <v>496</v>
      </c>
      <c r="L258" s="645" t="s">
        <v>497</v>
      </c>
      <c r="M258" s="645" t="s">
        <v>505</v>
      </c>
      <c r="N258" s="646">
        <v>0</v>
      </c>
      <c r="O258" s="646">
        <v>0</v>
      </c>
    </row>
    <row r="259" spans="1:15" ht="16" customHeight="1" thickBot="1">
      <c r="A259" s="126"/>
      <c r="B259" s="644"/>
      <c r="C259" s="645">
        <v>93</v>
      </c>
      <c r="D259" s="645" t="s">
        <v>326</v>
      </c>
      <c r="E259" s="645">
        <v>219</v>
      </c>
      <c r="F259" s="645" t="s">
        <v>752</v>
      </c>
      <c r="G259" s="645" t="s">
        <v>753</v>
      </c>
      <c r="H259" s="645">
        <v>445</v>
      </c>
      <c r="I259" s="645">
        <v>866</v>
      </c>
      <c r="J259" s="645">
        <v>0.51400000000000001</v>
      </c>
      <c r="K259" s="645" t="s">
        <v>496</v>
      </c>
      <c r="L259" s="645" t="s">
        <v>518</v>
      </c>
      <c r="M259" s="645" t="s">
        <v>498</v>
      </c>
      <c r="N259" s="646">
        <v>50500</v>
      </c>
      <c r="O259" s="646">
        <v>113</v>
      </c>
    </row>
    <row r="260" spans="1:15" ht="16" customHeight="1" thickBot="1">
      <c r="A260" s="126"/>
      <c r="B260" s="644"/>
      <c r="C260" s="645">
        <v>93</v>
      </c>
      <c r="D260" s="645" t="s">
        <v>326</v>
      </c>
      <c r="E260" s="645">
        <v>425</v>
      </c>
      <c r="F260" s="645" t="s">
        <v>754</v>
      </c>
      <c r="G260" s="645" t="s">
        <v>512</v>
      </c>
      <c r="H260" s="645">
        <v>420</v>
      </c>
      <c r="I260" s="645">
        <v>586</v>
      </c>
      <c r="J260" s="645">
        <v>0.71699999999999997</v>
      </c>
      <c r="K260" s="645" t="s">
        <v>496</v>
      </c>
      <c r="L260" s="645" t="s">
        <v>518</v>
      </c>
      <c r="M260" s="645" t="s">
        <v>509</v>
      </c>
      <c r="N260" s="646">
        <v>58000</v>
      </c>
      <c r="O260" s="646">
        <v>138</v>
      </c>
    </row>
    <row r="261" spans="1:15" ht="16" customHeight="1" thickBot="1">
      <c r="A261" s="126"/>
      <c r="B261" s="644"/>
      <c r="C261" s="645">
        <v>93</v>
      </c>
      <c r="D261" s="645" t="s">
        <v>326</v>
      </c>
      <c r="E261" s="645">
        <v>426</v>
      </c>
      <c r="F261" s="645" t="s">
        <v>755</v>
      </c>
      <c r="G261" s="645" t="s">
        <v>512</v>
      </c>
      <c r="H261" s="645">
        <v>229</v>
      </c>
      <c r="I261" s="645">
        <v>401</v>
      </c>
      <c r="J261" s="645">
        <v>0.57099999999999995</v>
      </c>
      <c r="K261" s="645" t="s">
        <v>496</v>
      </c>
      <c r="L261" s="645" t="s">
        <v>624</v>
      </c>
      <c r="M261" s="645" t="s">
        <v>509</v>
      </c>
      <c r="N261" s="646">
        <v>27500</v>
      </c>
      <c r="O261" s="646">
        <v>120</v>
      </c>
    </row>
    <row r="262" spans="1:15" ht="16" customHeight="1" thickBot="1">
      <c r="A262" s="126"/>
      <c r="B262" s="644"/>
      <c r="C262" s="645">
        <v>93</v>
      </c>
      <c r="D262" s="645" t="s">
        <v>326</v>
      </c>
      <c r="E262" s="645">
        <v>427</v>
      </c>
      <c r="F262" s="645" t="s">
        <v>756</v>
      </c>
      <c r="G262" s="645" t="s">
        <v>512</v>
      </c>
      <c r="H262" s="645">
        <v>229</v>
      </c>
      <c r="I262" s="645">
        <v>457</v>
      </c>
      <c r="J262" s="645">
        <v>0.501</v>
      </c>
      <c r="K262" s="645" t="s">
        <v>496</v>
      </c>
      <c r="L262" s="645" t="s">
        <v>518</v>
      </c>
      <c r="M262" s="645" t="s">
        <v>509</v>
      </c>
      <c r="N262" s="646">
        <v>26000</v>
      </c>
      <c r="O262" s="646">
        <v>113</v>
      </c>
    </row>
    <row r="263" spans="1:15" ht="16" customHeight="1" thickBot="1">
      <c r="A263" s="126"/>
      <c r="B263" s="644"/>
      <c r="C263" s="645">
        <v>93</v>
      </c>
      <c r="D263" s="645" t="s">
        <v>326</v>
      </c>
      <c r="E263" s="645">
        <v>428</v>
      </c>
      <c r="F263" s="645" t="s">
        <v>757</v>
      </c>
      <c r="G263" s="645" t="s">
        <v>512</v>
      </c>
      <c r="H263" s="645">
        <v>217</v>
      </c>
      <c r="I263" s="645">
        <v>468</v>
      </c>
      <c r="J263" s="645">
        <v>0.46400000000000002</v>
      </c>
      <c r="K263" s="645" t="s">
        <v>496</v>
      </c>
      <c r="L263" s="645" t="s">
        <v>624</v>
      </c>
      <c r="M263" s="645" t="s">
        <v>509</v>
      </c>
      <c r="N263" s="646">
        <v>18600</v>
      </c>
      <c r="O263" s="646">
        <v>85</v>
      </c>
    </row>
    <row r="264" spans="1:15" ht="16" customHeight="1" thickBot="1">
      <c r="A264" s="126"/>
      <c r="B264" s="644"/>
      <c r="C264" s="645">
        <v>93</v>
      </c>
      <c r="D264" s="645" t="s">
        <v>326</v>
      </c>
      <c r="E264" s="645">
        <v>429</v>
      </c>
      <c r="F264" s="645" t="s">
        <v>758</v>
      </c>
      <c r="G264" s="645" t="s">
        <v>512</v>
      </c>
      <c r="H264" s="645">
        <v>216</v>
      </c>
      <c r="I264" s="645">
        <v>378</v>
      </c>
      <c r="J264" s="645">
        <v>0.57099999999999995</v>
      </c>
      <c r="K264" s="645" t="s">
        <v>496</v>
      </c>
      <c r="L264" s="645" t="s">
        <v>624</v>
      </c>
      <c r="M264" s="645" t="s">
        <v>509</v>
      </c>
      <c r="N264" s="646">
        <v>27500</v>
      </c>
      <c r="O264" s="646">
        <v>127</v>
      </c>
    </row>
    <row r="265" spans="1:15" ht="16" customHeight="1" thickBot="1">
      <c r="A265" s="126"/>
      <c r="B265" s="644"/>
      <c r="C265" s="645">
        <v>93</v>
      </c>
      <c r="D265" s="645" t="s">
        <v>326</v>
      </c>
      <c r="E265" s="645">
        <v>431</v>
      </c>
      <c r="F265" s="645" t="s">
        <v>759</v>
      </c>
      <c r="G265" s="645" t="s">
        <v>512</v>
      </c>
      <c r="H265" s="645">
        <v>278</v>
      </c>
      <c r="I265" s="645">
        <v>540</v>
      </c>
      <c r="J265" s="645">
        <v>0.51500000000000001</v>
      </c>
      <c r="K265" s="645" t="s">
        <v>496</v>
      </c>
      <c r="L265" s="645" t="s">
        <v>624</v>
      </c>
      <c r="M265" s="645" t="s">
        <v>505</v>
      </c>
      <c r="N265" s="646">
        <v>32000</v>
      </c>
      <c r="O265" s="646">
        <v>115</v>
      </c>
    </row>
    <row r="266" spans="1:15" ht="16" customHeight="1" thickBot="1">
      <c r="A266" s="126"/>
      <c r="B266" s="644"/>
      <c r="C266" s="645">
        <v>93</v>
      </c>
      <c r="D266" s="645" t="s">
        <v>326</v>
      </c>
      <c r="E266" s="645">
        <v>432</v>
      </c>
      <c r="F266" s="645" t="s">
        <v>760</v>
      </c>
      <c r="G266" s="645" t="s">
        <v>512</v>
      </c>
      <c r="H266" s="645">
        <v>156</v>
      </c>
      <c r="I266" s="645">
        <v>319</v>
      </c>
      <c r="J266" s="645">
        <v>0.48899999999999999</v>
      </c>
      <c r="K266" s="645" t="s">
        <v>496</v>
      </c>
      <c r="L266" s="645" t="s">
        <v>518</v>
      </c>
      <c r="M266" s="645" t="s">
        <v>505</v>
      </c>
      <c r="N266" s="646">
        <v>17500</v>
      </c>
      <c r="O266" s="646">
        <v>112</v>
      </c>
    </row>
    <row r="267" spans="1:15" ht="16" customHeight="1" thickBot="1">
      <c r="A267" s="126"/>
      <c r="B267" s="644"/>
      <c r="C267" s="645">
        <v>93</v>
      </c>
      <c r="D267" s="645" t="s">
        <v>326</v>
      </c>
      <c r="E267" s="645">
        <v>501</v>
      </c>
      <c r="F267" s="645" t="s">
        <v>761</v>
      </c>
      <c r="G267" s="645" t="s">
        <v>512</v>
      </c>
      <c r="H267" s="645">
        <v>177</v>
      </c>
      <c r="I267" s="645">
        <v>373</v>
      </c>
      <c r="J267" s="645">
        <v>0.47499999999999998</v>
      </c>
      <c r="K267" s="645" t="s">
        <v>496</v>
      </c>
      <c r="L267" s="645" t="s">
        <v>624</v>
      </c>
      <c r="M267" s="645" t="s">
        <v>498</v>
      </c>
      <c r="N267" s="646">
        <v>15200</v>
      </c>
      <c r="O267" s="646">
        <v>85</v>
      </c>
    </row>
    <row r="268" spans="1:15" ht="16" customHeight="1" thickBot="1">
      <c r="A268" s="126"/>
      <c r="B268" s="644"/>
      <c r="C268" s="645">
        <v>93</v>
      </c>
      <c r="D268" s="645" t="s">
        <v>326</v>
      </c>
      <c r="E268" s="645">
        <v>637</v>
      </c>
      <c r="F268" s="645" t="s">
        <v>762</v>
      </c>
      <c r="G268" s="645" t="s">
        <v>512</v>
      </c>
      <c r="H268" s="645">
        <v>88</v>
      </c>
      <c r="I268" s="645">
        <v>574</v>
      </c>
      <c r="J268" s="645">
        <v>0.153</v>
      </c>
      <c r="K268" s="645" t="s">
        <v>501</v>
      </c>
      <c r="L268" s="645" t="s">
        <v>497</v>
      </c>
      <c r="M268" s="645" t="s">
        <v>509</v>
      </c>
      <c r="N268" s="646">
        <v>0</v>
      </c>
      <c r="O268" s="646">
        <v>0</v>
      </c>
    </row>
    <row r="269" spans="1:15" ht="16" customHeight="1" thickBot="1">
      <c r="A269" s="126"/>
      <c r="B269" s="644"/>
      <c r="C269" s="645">
        <v>93</v>
      </c>
      <c r="D269" s="645" t="s">
        <v>326</v>
      </c>
      <c r="E269" s="645">
        <v>1053</v>
      </c>
      <c r="F269" s="645" t="s">
        <v>763</v>
      </c>
      <c r="G269" s="645" t="s">
        <v>557</v>
      </c>
      <c r="H269" s="645">
        <v>120</v>
      </c>
      <c r="I269" s="645">
        <v>201</v>
      </c>
      <c r="J269" s="645">
        <v>0.59699999999999998</v>
      </c>
      <c r="K269" s="645" t="s">
        <v>496</v>
      </c>
      <c r="L269" s="645" t="s">
        <v>497</v>
      </c>
      <c r="M269" s="645" t="s">
        <v>547</v>
      </c>
      <c r="N269" s="646">
        <v>0</v>
      </c>
      <c r="O269" s="646">
        <v>0</v>
      </c>
    </row>
    <row r="270" spans="1:15" ht="16" customHeight="1" thickBot="1">
      <c r="A270" s="126"/>
      <c r="B270" s="644"/>
      <c r="C270" s="645">
        <v>93</v>
      </c>
      <c r="D270" s="645" t="s">
        <v>326</v>
      </c>
      <c r="E270" s="645">
        <v>1159</v>
      </c>
      <c r="F270" s="645" t="s">
        <v>764</v>
      </c>
      <c r="G270" s="645" t="s">
        <v>495</v>
      </c>
      <c r="H270" s="647" t="s">
        <v>1523</v>
      </c>
      <c r="I270" s="647" t="s">
        <v>1523</v>
      </c>
      <c r="J270" s="647" t="s">
        <v>1523</v>
      </c>
      <c r="K270" s="645" t="s">
        <v>496</v>
      </c>
      <c r="L270" s="645" t="s">
        <v>518</v>
      </c>
      <c r="M270" s="645" t="s">
        <v>547</v>
      </c>
      <c r="N270" s="646">
        <v>6600</v>
      </c>
      <c r="O270" s="646">
        <v>388</v>
      </c>
    </row>
    <row r="271" spans="1:15" ht="16" customHeight="1" thickBot="1">
      <c r="A271" s="126"/>
      <c r="B271" s="644"/>
      <c r="C271" s="645">
        <v>93</v>
      </c>
      <c r="D271" s="645" t="s">
        <v>326</v>
      </c>
      <c r="E271" s="645">
        <v>1238</v>
      </c>
      <c r="F271" s="645" t="s">
        <v>765</v>
      </c>
      <c r="G271" s="645" t="s">
        <v>623</v>
      </c>
      <c r="H271" s="647" t="s">
        <v>1523</v>
      </c>
      <c r="I271" s="647" t="s">
        <v>1523</v>
      </c>
      <c r="J271" s="647" t="s">
        <v>1523</v>
      </c>
      <c r="K271" s="645" t="s">
        <v>501</v>
      </c>
      <c r="L271" s="645" t="s">
        <v>497</v>
      </c>
      <c r="M271" s="645" t="s">
        <v>521</v>
      </c>
      <c r="N271" s="646">
        <v>0</v>
      </c>
      <c r="O271" s="646">
        <v>0</v>
      </c>
    </row>
    <row r="272" spans="1:15" ht="16" customHeight="1" thickBot="1">
      <c r="A272" s="126"/>
      <c r="B272" s="644"/>
      <c r="C272" s="645">
        <v>93</v>
      </c>
      <c r="D272" s="645" t="s">
        <v>326</v>
      </c>
      <c r="E272" s="645">
        <v>1250</v>
      </c>
      <c r="F272" s="645" t="s">
        <v>766</v>
      </c>
      <c r="G272" s="645" t="s">
        <v>512</v>
      </c>
      <c r="H272" s="645">
        <v>225</v>
      </c>
      <c r="I272" s="645">
        <v>509</v>
      </c>
      <c r="J272" s="645">
        <v>0.442</v>
      </c>
      <c r="K272" s="645" t="s">
        <v>496</v>
      </c>
      <c r="L272" s="645" t="s">
        <v>624</v>
      </c>
      <c r="M272" s="645" t="s">
        <v>509</v>
      </c>
      <c r="N272" s="646">
        <v>13500</v>
      </c>
      <c r="O272" s="646">
        <v>60</v>
      </c>
    </row>
    <row r="273" spans="1:15" ht="16" customHeight="1" thickBot="1">
      <c r="A273" s="126"/>
      <c r="B273" s="644"/>
      <c r="C273" s="645">
        <v>93</v>
      </c>
      <c r="D273" s="645" t="s">
        <v>326</v>
      </c>
      <c r="E273" s="645">
        <v>1255</v>
      </c>
      <c r="F273" s="645" t="s">
        <v>767</v>
      </c>
      <c r="G273" s="645" t="s">
        <v>512</v>
      </c>
      <c r="H273" s="645">
        <v>48</v>
      </c>
      <c r="I273" s="645">
        <v>445</v>
      </c>
      <c r="J273" s="645">
        <v>0.108</v>
      </c>
      <c r="K273" s="645" t="s">
        <v>501</v>
      </c>
      <c r="L273" s="645" t="s">
        <v>497</v>
      </c>
      <c r="M273" s="645" t="s">
        <v>498</v>
      </c>
      <c r="N273" s="646">
        <v>0</v>
      </c>
      <c r="O273" s="646">
        <v>0</v>
      </c>
    </row>
    <row r="274" spans="1:15" ht="16" customHeight="1" thickBot="1">
      <c r="A274" s="126"/>
      <c r="B274" s="644"/>
      <c r="C274" s="645">
        <v>93</v>
      </c>
      <c r="D274" s="645" t="s">
        <v>326</v>
      </c>
      <c r="E274" s="645">
        <v>1319</v>
      </c>
      <c r="F274" s="645" t="s">
        <v>768</v>
      </c>
      <c r="G274" s="645" t="s">
        <v>546</v>
      </c>
      <c r="H274" s="647" t="s">
        <v>1523</v>
      </c>
      <c r="I274" s="647" t="s">
        <v>1523</v>
      </c>
      <c r="J274" s="647" t="s">
        <v>1523</v>
      </c>
      <c r="K274" s="645" t="s">
        <v>501</v>
      </c>
      <c r="L274" s="645" t="s">
        <v>497</v>
      </c>
      <c r="M274" s="645" t="s">
        <v>509</v>
      </c>
      <c r="N274" s="646">
        <v>0</v>
      </c>
      <c r="O274" s="646">
        <v>0</v>
      </c>
    </row>
    <row r="275" spans="1:15" ht="16" customHeight="1" thickBot="1">
      <c r="A275" s="126"/>
      <c r="B275" s="644"/>
      <c r="C275" s="645">
        <v>93</v>
      </c>
      <c r="D275" s="645" t="s">
        <v>326</v>
      </c>
      <c r="E275" s="645">
        <v>1360</v>
      </c>
      <c r="F275" s="645" t="s">
        <v>769</v>
      </c>
      <c r="G275" s="645" t="s">
        <v>621</v>
      </c>
      <c r="H275" s="645">
        <v>213</v>
      </c>
      <c r="I275" s="645">
        <v>510</v>
      </c>
      <c r="J275" s="645">
        <v>0.41799999999999998</v>
      </c>
      <c r="K275" s="645" t="s">
        <v>496</v>
      </c>
      <c r="L275" s="645" t="s">
        <v>624</v>
      </c>
      <c r="M275" s="645" t="s">
        <v>509</v>
      </c>
      <c r="N275" s="646">
        <v>12000</v>
      </c>
      <c r="O275" s="646">
        <v>56</v>
      </c>
    </row>
    <row r="276" spans="1:15" ht="16" customHeight="1" thickBot="1">
      <c r="A276" s="126"/>
      <c r="B276" s="644"/>
      <c r="C276" s="645">
        <v>93</v>
      </c>
      <c r="D276" s="645" t="s">
        <v>326</v>
      </c>
      <c r="E276" s="645">
        <v>2518</v>
      </c>
      <c r="F276" s="645" t="s">
        <v>770</v>
      </c>
      <c r="G276" s="645" t="s">
        <v>512</v>
      </c>
      <c r="H276" s="645">
        <v>254</v>
      </c>
      <c r="I276" s="645">
        <v>403</v>
      </c>
      <c r="J276" s="645">
        <v>0.63</v>
      </c>
      <c r="K276" s="645" t="s">
        <v>496</v>
      </c>
      <c r="L276" s="645" t="s">
        <v>518</v>
      </c>
      <c r="M276" s="645" t="s">
        <v>505</v>
      </c>
      <c r="N276" s="646">
        <v>35200</v>
      </c>
      <c r="O276" s="646">
        <v>138</v>
      </c>
    </row>
    <row r="277" spans="1:15" ht="16" customHeight="1" thickBot="1">
      <c r="A277" s="126"/>
      <c r="B277" s="644"/>
      <c r="C277" s="645">
        <v>93</v>
      </c>
      <c r="D277" s="645" t="s">
        <v>326</v>
      </c>
      <c r="E277" s="645">
        <v>2519</v>
      </c>
      <c r="F277" s="645" t="s">
        <v>587</v>
      </c>
      <c r="G277" s="645" t="s">
        <v>512</v>
      </c>
      <c r="H277" s="645">
        <v>217</v>
      </c>
      <c r="I277" s="645">
        <v>477</v>
      </c>
      <c r="J277" s="645">
        <v>0.45500000000000002</v>
      </c>
      <c r="K277" s="645" t="s">
        <v>496</v>
      </c>
      <c r="L277" s="645" t="s">
        <v>518</v>
      </c>
      <c r="M277" s="645" t="s">
        <v>509</v>
      </c>
      <c r="N277" s="646">
        <v>17000</v>
      </c>
      <c r="O277" s="646">
        <v>78</v>
      </c>
    </row>
    <row r="278" spans="1:15" ht="16" customHeight="1" thickBot="1">
      <c r="A278" s="126"/>
      <c r="B278" s="644"/>
      <c r="C278" s="648" t="s">
        <v>1523</v>
      </c>
      <c r="D278" s="648" t="s">
        <v>1523</v>
      </c>
      <c r="E278" s="648" t="s">
        <v>1523</v>
      </c>
      <c r="F278" s="648" t="s">
        <v>1523</v>
      </c>
      <c r="G278" s="648" t="s">
        <v>1523</v>
      </c>
      <c r="H278" s="648" t="s">
        <v>1523</v>
      </c>
      <c r="I278" s="648" t="s">
        <v>1523</v>
      </c>
      <c r="J278" s="648" t="s">
        <v>1523</v>
      </c>
      <c r="K278" s="648" t="s">
        <v>1523</v>
      </c>
      <c r="L278" s="648" t="s">
        <v>1523</v>
      </c>
      <c r="M278" s="648" t="s">
        <v>1523</v>
      </c>
      <c r="N278" s="648" t="s">
        <v>1523</v>
      </c>
      <c r="O278" s="648" t="s">
        <v>1523</v>
      </c>
    </row>
    <row r="279" spans="1:15" ht="16" customHeight="1" thickBot="1">
      <c r="A279" s="126"/>
      <c r="B279" s="644"/>
      <c r="C279" s="645">
        <v>101</v>
      </c>
      <c r="D279" s="645" t="s">
        <v>327</v>
      </c>
      <c r="E279" s="645">
        <v>57</v>
      </c>
      <c r="F279" s="645" t="s">
        <v>771</v>
      </c>
      <c r="G279" s="645" t="s">
        <v>557</v>
      </c>
      <c r="H279" s="645">
        <v>183</v>
      </c>
      <c r="I279" s="645">
        <v>440</v>
      </c>
      <c r="J279" s="645">
        <v>0.41599999999999998</v>
      </c>
      <c r="K279" s="645" t="s">
        <v>496</v>
      </c>
      <c r="L279" s="645" t="s">
        <v>497</v>
      </c>
      <c r="M279" s="645" t="s">
        <v>505</v>
      </c>
      <c r="N279" s="646">
        <v>0</v>
      </c>
      <c r="O279" s="646">
        <v>0</v>
      </c>
    </row>
    <row r="280" spans="1:15" ht="16" customHeight="1" thickBot="1">
      <c r="A280" s="126"/>
      <c r="B280" s="644"/>
      <c r="C280" s="645">
        <v>101</v>
      </c>
      <c r="D280" s="645" t="s">
        <v>327</v>
      </c>
      <c r="E280" s="645">
        <v>201</v>
      </c>
      <c r="F280" s="645" t="s">
        <v>772</v>
      </c>
      <c r="G280" s="645" t="s">
        <v>554</v>
      </c>
      <c r="H280" s="645">
        <v>178</v>
      </c>
      <c r="I280" s="645">
        <v>320</v>
      </c>
      <c r="J280" s="645">
        <v>0.55600000000000005</v>
      </c>
      <c r="K280" s="645" t="s">
        <v>496</v>
      </c>
      <c r="L280" s="645" t="s">
        <v>497</v>
      </c>
      <c r="M280" s="645" t="s">
        <v>498</v>
      </c>
      <c r="N280" s="646">
        <v>0</v>
      </c>
      <c r="O280" s="646">
        <v>0</v>
      </c>
    </row>
    <row r="281" spans="1:15" ht="16" customHeight="1" thickBot="1">
      <c r="A281" s="126"/>
      <c r="B281" s="644"/>
      <c r="C281" s="645">
        <v>101</v>
      </c>
      <c r="D281" s="645" t="s">
        <v>327</v>
      </c>
      <c r="E281" s="645">
        <v>433</v>
      </c>
      <c r="F281" s="645" t="s">
        <v>773</v>
      </c>
      <c r="G281" s="645" t="s">
        <v>564</v>
      </c>
      <c r="H281" s="645">
        <v>92</v>
      </c>
      <c r="I281" s="645">
        <v>132</v>
      </c>
      <c r="J281" s="645">
        <v>0.69699999999999995</v>
      </c>
      <c r="K281" s="645" t="s">
        <v>496</v>
      </c>
      <c r="L281" s="645" t="s">
        <v>518</v>
      </c>
      <c r="M281" s="645" t="s">
        <v>498</v>
      </c>
      <c r="N281" s="646">
        <v>80473</v>
      </c>
      <c r="O281" s="646">
        <v>874</v>
      </c>
    </row>
    <row r="282" spans="1:15" ht="16" customHeight="1" thickBot="1">
      <c r="A282" s="126"/>
      <c r="B282" s="644"/>
      <c r="C282" s="645">
        <v>101</v>
      </c>
      <c r="D282" s="645" t="s">
        <v>327</v>
      </c>
      <c r="E282" s="645">
        <v>434</v>
      </c>
      <c r="F282" s="645" t="s">
        <v>774</v>
      </c>
      <c r="G282" s="645" t="s">
        <v>512</v>
      </c>
      <c r="H282" s="645">
        <v>54</v>
      </c>
      <c r="I282" s="645">
        <v>127</v>
      </c>
      <c r="J282" s="645">
        <v>0.42499999999999999</v>
      </c>
      <c r="K282" s="645" t="s">
        <v>496</v>
      </c>
      <c r="L282" s="645" t="s">
        <v>624</v>
      </c>
      <c r="M282" s="645" t="s">
        <v>498</v>
      </c>
      <c r="N282" s="646">
        <v>43971</v>
      </c>
      <c r="O282" s="646">
        <v>814</v>
      </c>
    </row>
    <row r="283" spans="1:15" ht="16" customHeight="1" thickBot="1">
      <c r="A283" s="126"/>
      <c r="B283" s="644"/>
      <c r="C283" s="645">
        <v>101</v>
      </c>
      <c r="D283" s="645" t="s">
        <v>327</v>
      </c>
      <c r="E283" s="645">
        <v>437</v>
      </c>
      <c r="F283" s="645" t="s">
        <v>531</v>
      </c>
      <c r="G283" s="645" t="s">
        <v>564</v>
      </c>
      <c r="H283" s="645">
        <v>218</v>
      </c>
      <c r="I283" s="645">
        <v>324</v>
      </c>
      <c r="J283" s="645">
        <v>0.67300000000000004</v>
      </c>
      <c r="K283" s="645" t="s">
        <v>496</v>
      </c>
      <c r="L283" s="645" t="s">
        <v>518</v>
      </c>
      <c r="M283" s="645" t="s">
        <v>505</v>
      </c>
      <c r="N283" s="646">
        <v>190532</v>
      </c>
      <c r="O283" s="646">
        <v>874</v>
      </c>
    </row>
    <row r="284" spans="1:15" ht="16" customHeight="1" thickBot="1">
      <c r="A284" s="126"/>
      <c r="B284" s="644"/>
      <c r="C284" s="648" t="s">
        <v>1523</v>
      </c>
      <c r="D284" s="648" t="s">
        <v>1523</v>
      </c>
      <c r="E284" s="648" t="s">
        <v>1523</v>
      </c>
      <c r="F284" s="648" t="s">
        <v>1523</v>
      </c>
      <c r="G284" s="648" t="s">
        <v>1523</v>
      </c>
      <c r="H284" s="648" t="s">
        <v>1523</v>
      </c>
      <c r="I284" s="648" t="s">
        <v>1523</v>
      </c>
      <c r="J284" s="648" t="s">
        <v>1523</v>
      </c>
      <c r="K284" s="648" t="s">
        <v>1523</v>
      </c>
      <c r="L284" s="648" t="s">
        <v>1523</v>
      </c>
      <c r="M284" s="648" t="s">
        <v>1523</v>
      </c>
      <c r="N284" s="648" t="s">
        <v>1523</v>
      </c>
      <c r="O284" s="648" t="s">
        <v>1523</v>
      </c>
    </row>
    <row r="285" spans="1:15" ht="16" customHeight="1" thickBot="1">
      <c r="A285" s="126"/>
      <c r="B285" s="644"/>
      <c r="C285" s="645">
        <v>111</v>
      </c>
      <c r="D285" s="645" t="s">
        <v>328</v>
      </c>
      <c r="E285" s="645">
        <v>58</v>
      </c>
      <c r="F285" s="645" t="s">
        <v>775</v>
      </c>
      <c r="G285" s="645" t="s">
        <v>691</v>
      </c>
      <c r="H285" s="645">
        <v>48</v>
      </c>
      <c r="I285" s="645">
        <v>96</v>
      </c>
      <c r="J285" s="645">
        <v>0.5</v>
      </c>
      <c r="K285" s="645" t="s">
        <v>496</v>
      </c>
      <c r="L285" s="645" t="s">
        <v>518</v>
      </c>
      <c r="M285" s="645" t="s">
        <v>509</v>
      </c>
      <c r="N285" s="646">
        <v>26593</v>
      </c>
      <c r="O285" s="646">
        <v>554</v>
      </c>
    </row>
    <row r="286" spans="1:15" ht="16" customHeight="1" thickBot="1">
      <c r="A286" s="126"/>
      <c r="B286" s="644"/>
      <c r="C286" s="645">
        <v>111</v>
      </c>
      <c r="D286" s="645" t="s">
        <v>328</v>
      </c>
      <c r="E286" s="645">
        <v>59</v>
      </c>
      <c r="F286" s="645" t="s">
        <v>776</v>
      </c>
      <c r="G286" s="645" t="s">
        <v>557</v>
      </c>
      <c r="H286" s="645">
        <v>30</v>
      </c>
      <c r="I286" s="645">
        <v>98</v>
      </c>
      <c r="J286" s="645">
        <v>0.30599999999999999</v>
      </c>
      <c r="K286" s="645" t="s">
        <v>501</v>
      </c>
      <c r="L286" s="645" t="s">
        <v>497</v>
      </c>
      <c r="M286" s="645" t="s">
        <v>509</v>
      </c>
      <c r="N286" s="646">
        <v>0</v>
      </c>
      <c r="O286" s="646">
        <v>0</v>
      </c>
    </row>
    <row r="287" spans="1:15" ht="16" customHeight="1" thickBot="1">
      <c r="A287" s="126"/>
      <c r="B287" s="644"/>
      <c r="C287" s="645">
        <v>111</v>
      </c>
      <c r="D287" s="645" t="s">
        <v>328</v>
      </c>
      <c r="E287" s="645">
        <v>438</v>
      </c>
      <c r="F287" s="645" t="s">
        <v>777</v>
      </c>
      <c r="G287" s="645" t="s">
        <v>564</v>
      </c>
      <c r="H287" s="645">
        <v>18</v>
      </c>
      <c r="I287" s="645">
        <v>41</v>
      </c>
      <c r="J287" s="645">
        <v>0.439</v>
      </c>
      <c r="K287" s="645" t="s">
        <v>496</v>
      </c>
      <c r="L287" s="645" t="s">
        <v>518</v>
      </c>
      <c r="M287" s="645" t="s">
        <v>509</v>
      </c>
      <c r="N287" s="646">
        <v>8242</v>
      </c>
      <c r="O287" s="646">
        <v>457</v>
      </c>
    </row>
    <row r="288" spans="1:15" ht="16" customHeight="1" thickBot="1">
      <c r="A288" s="126"/>
      <c r="B288" s="644"/>
      <c r="C288" s="645">
        <v>111</v>
      </c>
      <c r="D288" s="645" t="s">
        <v>328</v>
      </c>
      <c r="E288" s="645">
        <v>439</v>
      </c>
      <c r="F288" s="645" t="s">
        <v>778</v>
      </c>
      <c r="G288" s="645" t="s">
        <v>693</v>
      </c>
      <c r="H288" s="645">
        <v>101</v>
      </c>
      <c r="I288" s="645">
        <v>178</v>
      </c>
      <c r="J288" s="645">
        <v>0.56699999999999995</v>
      </c>
      <c r="K288" s="645" t="s">
        <v>496</v>
      </c>
      <c r="L288" s="645" t="s">
        <v>518</v>
      </c>
      <c r="M288" s="645" t="s">
        <v>505</v>
      </c>
      <c r="N288" s="646">
        <v>46128</v>
      </c>
      <c r="O288" s="646">
        <v>456</v>
      </c>
    </row>
    <row r="289" spans="1:15" ht="16" customHeight="1" thickBot="1">
      <c r="A289" s="126"/>
      <c r="B289" s="644"/>
      <c r="C289" s="648" t="s">
        <v>1523</v>
      </c>
      <c r="D289" s="648" t="s">
        <v>1523</v>
      </c>
      <c r="E289" s="648" t="s">
        <v>1523</v>
      </c>
      <c r="F289" s="648" t="s">
        <v>1523</v>
      </c>
      <c r="G289" s="648" t="s">
        <v>1523</v>
      </c>
      <c r="H289" s="648" t="s">
        <v>1523</v>
      </c>
      <c r="I289" s="648" t="s">
        <v>1523</v>
      </c>
      <c r="J289" s="648" t="s">
        <v>1523</v>
      </c>
      <c r="K289" s="648" t="s">
        <v>1523</v>
      </c>
      <c r="L289" s="648" t="s">
        <v>1523</v>
      </c>
      <c r="M289" s="648" t="s">
        <v>1523</v>
      </c>
      <c r="N289" s="648" t="s">
        <v>1523</v>
      </c>
      <c r="O289" s="648" t="s">
        <v>1523</v>
      </c>
    </row>
    <row r="290" spans="1:15" ht="16" customHeight="1" thickBot="1">
      <c r="A290" s="126"/>
      <c r="B290" s="644"/>
      <c r="C290" s="645">
        <v>121</v>
      </c>
      <c r="D290" s="645" t="s">
        <v>329</v>
      </c>
      <c r="E290" s="645">
        <v>60</v>
      </c>
      <c r="F290" s="645" t="s">
        <v>779</v>
      </c>
      <c r="G290" s="645" t="s">
        <v>557</v>
      </c>
      <c r="H290" s="645">
        <v>19</v>
      </c>
      <c r="I290" s="645">
        <v>34</v>
      </c>
      <c r="J290" s="645">
        <v>0.55900000000000005</v>
      </c>
      <c r="K290" s="645" t="s">
        <v>496</v>
      </c>
      <c r="L290" s="645" t="s">
        <v>624</v>
      </c>
      <c r="M290" s="645" t="s">
        <v>509</v>
      </c>
      <c r="N290" s="646">
        <v>5755</v>
      </c>
      <c r="O290" s="646">
        <v>302</v>
      </c>
    </row>
    <row r="291" spans="1:15" ht="16" customHeight="1" thickBot="1">
      <c r="A291" s="126"/>
      <c r="B291" s="644"/>
      <c r="C291" s="645">
        <v>121</v>
      </c>
      <c r="D291" s="645" t="s">
        <v>329</v>
      </c>
      <c r="E291" s="645">
        <v>440</v>
      </c>
      <c r="F291" s="645" t="s">
        <v>780</v>
      </c>
      <c r="G291" s="645" t="s">
        <v>551</v>
      </c>
      <c r="H291" s="645">
        <v>57</v>
      </c>
      <c r="I291" s="645">
        <v>116</v>
      </c>
      <c r="J291" s="645">
        <v>0.49099999999999999</v>
      </c>
      <c r="K291" s="645" t="s">
        <v>496</v>
      </c>
      <c r="L291" s="645" t="s">
        <v>624</v>
      </c>
      <c r="M291" s="645" t="s">
        <v>509</v>
      </c>
      <c r="N291" s="646">
        <v>17414</v>
      </c>
      <c r="O291" s="646">
        <v>305</v>
      </c>
    </row>
    <row r="292" spans="1:15" ht="16" customHeight="1" thickBot="1">
      <c r="A292" s="126"/>
      <c r="B292" s="644"/>
      <c r="C292" s="648" t="s">
        <v>1523</v>
      </c>
      <c r="D292" s="648" t="s">
        <v>1523</v>
      </c>
      <c r="E292" s="648" t="s">
        <v>1523</v>
      </c>
      <c r="F292" s="648" t="s">
        <v>1523</v>
      </c>
      <c r="G292" s="648" t="s">
        <v>1523</v>
      </c>
      <c r="H292" s="648" t="s">
        <v>1523</v>
      </c>
      <c r="I292" s="648" t="s">
        <v>1523</v>
      </c>
      <c r="J292" s="648" t="s">
        <v>1523</v>
      </c>
      <c r="K292" s="648" t="s">
        <v>1523</v>
      </c>
      <c r="L292" s="648" t="s">
        <v>1523</v>
      </c>
      <c r="M292" s="648" t="s">
        <v>1523</v>
      </c>
      <c r="N292" s="648" t="s">
        <v>1523</v>
      </c>
      <c r="O292" s="648" t="s">
        <v>1523</v>
      </c>
    </row>
    <row r="293" spans="1:15" ht="16" customHeight="1" thickBot="1">
      <c r="A293" s="126"/>
      <c r="B293" s="644"/>
      <c r="C293" s="645">
        <v>131</v>
      </c>
      <c r="D293" s="645" t="s">
        <v>330</v>
      </c>
      <c r="E293" s="645">
        <v>61</v>
      </c>
      <c r="F293" s="645" t="s">
        <v>781</v>
      </c>
      <c r="G293" s="645" t="s">
        <v>554</v>
      </c>
      <c r="H293" s="645">
        <v>583</v>
      </c>
      <c r="I293" s="645">
        <v>737</v>
      </c>
      <c r="J293" s="645">
        <v>0.79100000000000004</v>
      </c>
      <c r="K293" s="645" t="s">
        <v>496</v>
      </c>
      <c r="L293" s="645" t="s">
        <v>518</v>
      </c>
      <c r="M293" s="645" t="s">
        <v>498</v>
      </c>
      <c r="N293" s="646">
        <v>215000</v>
      </c>
      <c r="O293" s="646">
        <v>368</v>
      </c>
    </row>
    <row r="294" spans="1:15" ht="16" customHeight="1" thickBot="1">
      <c r="A294" s="126"/>
      <c r="B294" s="644"/>
      <c r="C294" s="645">
        <v>131</v>
      </c>
      <c r="D294" s="645" t="s">
        <v>330</v>
      </c>
      <c r="E294" s="645">
        <v>62</v>
      </c>
      <c r="F294" s="645" t="s">
        <v>782</v>
      </c>
      <c r="G294" s="645" t="s">
        <v>554</v>
      </c>
      <c r="H294" s="645">
        <v>475</v>
      </c>
      <c r="I294" s="645">
        <v>854</v>
      </c>
      <c r="J294" s="645">
        <v>0.55600000000000005</v>
      </c>
      <c r="K294" s="645" t="s">
        <v>496</v>
      </c>
      <c r="L294" s="645" t="s">
        <v>518</v>
      </c>
      <c r="M294" s="645" t="s">
        <v>498</v>
      </c>
      <c r="N294" s="646">
        <v>160000</v>
      </c>
      <c r="O294" s="646">
        <v>336</v>
      </c>
    </row>
    <row r="295" spans="1:15" ht="16" customHeight="1" thickBot="1">
      <c r="A295" s="126"/>
      <c r="B295" s="644"/>
      <c r="C295" s="645">
        <v>131</v>
      </c>
      <c r="D295" s="645" t="s">
        <v>330</v>
      </c>
      <c r="E295" s="645">
        <v>213</v>
      </c>
      <c r="F295" s="645" t="s">
        <v>783</v>
      </c>
      <c r="G295" s="645" t="s">
        <v>564</v>
      </c>
      <c r="H295" s="645">
        <v>441</v>
      </c>
      <c r="I295" s="645">
        <v>553</v>
      </c>
      <c r="J295" s="645">
        <v>0.79700000000000004</v>
      </c>
      <c r="K295" s="645" t="s">
        <v>496</v>
      </c>
      <c r="L295" s="645" t="s">
        <v>518</v>
      </c>
      <c r="M295" s="645" t="s">
        <v>505</v>
      </c>
      <c r="N295" s="646">
        <v>200000</v>
      </c>
      <c r="O295" s="646">
        <v>453</v>
      </c>
    </row>
    <row r="296" spans="1:15" ht="16" customHeight="1" thickBot="1">
      <c r="A296" s="126"/>
      <c r="B296" s="644"/>
      <c r="C296" s="645">
        <v>131</v>
      </c>
      <c r="D296" s="645" t="s">
        <v>330</v>
      </c>
      <c r="E296" s="645">
        <v>214</v>
      </c>
      <c r="F296" s="645" t="s">
        <v>784</v>
      </c>
      <c r="G296" s="645" t="s">
        <v>564</v>
      </c>
      <c r="H296" s="645">
        <v>538</v>
      </c>
      <c r="I296" s="645">
        <v>612</v>
      </c>
      <c r="J296" s="645">
        <v>0.879</v>
      </c>
      <c r="K296" s="645" t="s">
        <v>496</v>
      </c>
      <c r="L296" s="645" t="s">
        <v>518</v>
      </c>
      <c r="M296" s="645" t="s">
        <v>498</v>
      </c>
      <c r="N296" s="646">
        <v>248000</v>
      </c>
      <c r="O296" s="646">
        <v>460</v>
      </c>
    </row>
    <row r="297" spans="1:15" ht="16" customHeight="1" thickBot="1">
      <c r="A297" s="126"/>
      <c r="B297" s="644"/>
      <c r="C297" s="645">
        <v>131</v>
      </c>
      <c r="D297" s="645" t="s">
        <v>330</v>
      </c>
      <c r="E297" s="645">
        <v>215</v>
      </c>
      <c r="F297" s="645" t="s">
        <v>785</v>
      </c>
      <c r="G297" s="645" t="s">
        <v>564</v>
      </c>
      <c r="H297" s="645">
        <v>337</v>
      </c>
      <c r="I297" s="645">
        <v>471</v>
      </c>
      <c r="J297" s="645">
        <v>0.71499999999999997</v>
      </c>
      <c r="K297" s="645" t="s">
        <v>496</v>
      </c>
      <c r="L297" s="645" t="s">
        <v>518</v>
      </c>
      <c r="M297" s="645" t="s">
        <v>498</v>
      </c>
      <c r="N297" s="646">
        <v>143500</v>
      </c>
      <c r="O297" s="646">
        <v>425</v>
      </c>
    </row>
    <row r="298" spans="1:15" ht="16" customHeight="1" thickBot="1">
      <c r="A298" s="126"/>
      <c r="B298" s="644"/>
      <c r="C298" s="645">
        <v>131</v>
      </c>
      <c r="D298" s="645" t="s">
        <v>330</v>
      </c>
      <c r="E298" s="645">
        <v>444</v>
      </c>
      <c r="F298" s="645" t="s">
        <v>786</v>
      </c>
      <c r="G298" s="645" t="s">
        <v>564</v>
      </c>
      <c r="H298" s="645">
        <v>420</v>
      </c>
      <c r="I298" s="645">
        <v>553</v>
      </c>
      <c r="J298" s="645">
        <v>0.75900000000000001</v>
      </c>
      <c r="K298" s="645" t="s">
        <v>496</v>
      </c>
      <c r="L298" s="645" t="s">
        <v>518</v>
      </c>
      <c r="M298" s="645" t="s">
        <v>505</v>
      </c>
      <c r="N298" s="646">
        <v>187000</v>
      </c>
      <c r="O298" s="646">
        <v>445</v>
      </c>
    </row>
    <row r="299" spans="1:15" ht="16" customHeight="1" thickBot="1">
      <c r="A299" s="126"/>
      <c r="B299" s="644"/>
      <c r="C299" s="645">
        <v>131</v>
      </c>
      <c r="D299" s="645" t="s">
        <v>330</v>
      </c>
      <c r="E299" s="645">
        <v>447</v>
      </c>
      <c r="F299" s="645" t="s">
        <v>787</v>
      </c>
      <c r="G299" s="645" t="s">
        <v>564</v>
      </c>
      <c r="H299" s="645">
        <v>351</v>
      </c>
      <c r="I299" s="645">
        <v>404</v>
      </c>
      <c r="J299" s="645">
        <v>0.86899999999999999</v>
      </c>
      <c r="K299" s="645" t="s">
        <v>496</v>
      </c>
      <c r="L299" s="645" t="s">
        <v>518</v>
      </c>
      <c r="M299" s="645" t="s">
        <v>505</v>
      </c>
      <c r="N299" s="646">
        <v>161500</v>
      </c>
      <c r="O299" s="646">
        <v>460</v>
      </c>
    </row>
    <row r="300" spans="1:15" ht="16" customHeight="1" thickBot="1">
      <c r="A300" s="126"/>
      <c r="B300" s="644"/>
      <c r="C300" s="645">
        <v>131</v>
      </c>
      <c r="D300" s="645" t="s">
        <v>330</v>
      </c>
      <c r="E300" s="645">
        <v>450</v>
      </c>
      <c r="F300" s="645" t="s">
        <v>788</v>
      </c>
      <c r="G300" s="645" t="s">
        <v>564</v>
      </c>
      <c r="H300" s="645">
        <v>226</v>
      </c>
      <c r="I300" s="645">
        <v>346</v>
      </c>
      <c r="J300" s="645">
        <v>0.65300000000000002</v>
      </c>
      <c r="K300" s="645" t="s">
        <v>496</v>
      </c>
      <c r="L300" s="645" t="s">
        <v>518</v>
      </c>
      <c r="M300" s="645" t="s">
        <v>498</v>
      </c>
      <c r="N300" s="646">
        <v>91000</v>
      </c>
      <c r="O300" s="646">
        <v>402</v>
      </c>
    </row>
    <row r="301" spans="1:15" ht="16" customHeight="1" thickBot="1">
      <c r="A301" s="126"/>
      <c r="B301" s="644"/>
      <c r="C301" s="645">
        <v>131</v>
      </c>
      <c r="D301" s="645" t="s">
        <v>330</v>
      </c>
      <c r="E301" s="645">
        <v>527</v>
      </c>
      <c r="F301" s="645" t="s">
        <v>526</v>
      </c>
      <c r="G301" s="645" t="s">
        <v>564</v>
      </c>
      <c r="H301" s="645">
        <v>219</v>
      </c>
      <c r="I301" s="645">
        <v>472</v>
      </c>
      <c r="J301" s="645">
        <v>0.46400000000000002</v>
      </c>
      <c r="K301" s="645" t="s">
        <v>496</v>
      </c>
      <c r="L301" s="645" t="s">
        <v>518</v>
      </c>
      <c r="M301" s="645" t="s">
        <v>505</v>
      </c>
      <c r="N301" s="646">
        <v>77250</v>
      </c>
      <c r="O301" s="646">
        <v>352</v>
      </c>
    </row>
    <row r="302" spans="1:15" ht="16" customHeight="1" thickBot="1">
      <c r="A302" s="126"/>
      <c r="B302" s="644"/>
      <c r="C302" s="645">
        <v>131</v>
      </c>
      <c r="D302" s="645" t="s">
        <v>330</v>
      </c>
      <c r="E302" s="645">
        <v>528</v>
      </c>
      <c r="F302" s="645" t="s">
        <v>789</v>
      </c>
      <c r="G302" s="645" t="s">
        <v>564</v>
      </c>
      <c r="H302" s="645">
        <v>265</v>
      </c>
      <c r="I302" s="645">
        <v>506</v>
      </c>
      <c r="J302" s="645">
        <v>0.52400000000000002</v>
      </c>
      <c r="K302" s="645" t="s">
        <v>496</v>
      </c>
      <c r="L302" s="645" t="s">
        <v>518</v>
      </c>
      <c r="M302" s="645" t="s">
        <v>498</v>
      </c>
      <c r="N302" s="646">
        <v>95000</v>
      </c>
      <c r="O302" s="646">
        <v>358</v>
      </c>
    </row>
    <row r="303" spans="1:15" ht="16" customHeight="1" thickBot="1">
      <c r="A303" s="126"/>
      <c r="B303" s="644"/>
      <c r="C303" s="645">
        <v>131</v>
      </c>
      <c r="D303" s="645" t="s">
        <v>330</v>
      </c>
      <c r="E303" s="645">
        <v>529</v>
      </c>
      <c r="F303" s="645" t="s">
        <v>524</v>
      </c>
      <c r="G303" s="645" t="s">
        <v>564</v>
      </c>
      <c r="H303" s="645">
        <v>340</v>
      </c>
      <c r="I303" s="645">
        <v>561</v>
      </c>
      <c r="J303" s="645">
        <v>0.60599999999999998</v>
      </c>
      <c r="K303" s="645" t="s">
        <v>496</v>
      </c>
      <c r="L303" s="645" t="s">
        <v>518</v>
      </c>
      <c r="M303" s="645" t="s">
        <v>498</v>
      </c>
      <c r="N303" s="646">
        <v>132000</v>
      </c>
      <c r="O303" s="646">
        <v>388</v>
      </c>
    </row>
    <row r="304" spans="1:15" ht="16" customHeight="1" thickBot="1">
      <c r="A304" s="126"/>
      <c r="B304" s="644"/>
      <c r="C304" s="645">
        <v>131</v>
      </c>
      <c r="D304" s="645" t="s">
        <v>330</v>
      </c>
      <c r="E304" s="645">
        <v>577</v>
      </c>
      <c r="F304" s="645" t="s">
        <v>458</v>
      </c>
      <c r="G304" s="645" t="s">
        <v>623</v>
      </c>
      <c r="H304" s="645">
        <v>388</v>
      </c>
      <c r="I304" s="645">
        <v>770</v>
      </c>
      <c r="J304" s="645">
        <v>0.504</v>
      </c>
      <c r="K304" s="645" t="s">
        <v>496</v>
      </c>
      <c r="L304" s="645" t="s">
        <v>518</v>
      </c>
      <c r="M304" s="645" t="s">
        <v>509</v>
      </c>
      <c r="N304" s="646">
        <v>125000</v>
      </c>
      <c r="O304" s="646">
        <v>322</v>
      </c>
    </row>
    <row r="305" spans="1:15" ht="16" customHeight="1" thickBot="1">
      <c r="A305" s="126"/>
      <c r="B305" s="644"/>
      <c r="C305" s="645">
        <v>131</v>
      </c>
      <c r="D305" s="645" t="s">
        <v>330</v>
      </c>
      <c r="E305" s="645">
        <v>581</v>
      </c>
      <c r="F305" s="645" t="s">
        <v>790</v>
      </c>
      <c r="G305" s="645" t="s">
        <v>564</v>
      </c>
      <c r="H305" s="645">
        <v>490</v>
      </c>
      <c r="I305" s="645">
        <v>707</v>
      </c>
      <c r="J305" s="645">
        <v>0.69299999999999995</v>
      </c>
      <c r="K305" s="645" t="s">
        <v>496</v>
      </c>
      <c r="L305" s="645" t="s">
        <v>518</v>
      </c>
      <c r="M305" s="645" t="s">
        <v>498</v>
      </c>
      <c r="N305" s="646">
        <v>205000</v>
      </c>
      <c r="O305" s="646">
        <v>418</v>
      </c>
    </row>
    <row r="306" spans="1:15" ht="16" customHeight="1" thickBot="1">
      <c r="A306" s="126"/>
      <c r="B306" s="644"/>
      <c r="C306" s="645">
        <v>131</v>
      </c>
      <c r="D306" s="645" t="s">
        <v>330</v>
      </c>
      <c r="E306" s="645">
        <v>638</v>
      </c>
      <c r="F306" s="645" t="s">
        <v>791</v>
      </c>
      <c r="G306" s="645" t="s">
        <v>557</v>
      </c>
      <c r="H306" s="645">
        <v>737</v>
      </c>
      <c r="I306" s="645">
        <v>1305</v>
      </c>
      <c r="J306" s="645">
        <v>0.56499999999999995</v>
      </c>
      <c r="K306" s="645" t="s">
        <v>496</v>
      </c>
      <c r="L306" s="645" t="s">
        <v>518</v>
      </c>
      <c r="M306" s="645" t="s">
        <v>505</v>
      </c>
      <c r="N306" s="646">
        <v>255000</v>
      </c>
      <c r="O306" s="646">
        <v>345</v>
      </c>
    </row>
    <row r="307" spans="1:15" ht="16" customHeight="1" thickBot="1">
      <c r="A307" s="126"/>
      <c r="B307" s="644"/>
      <c r="C307" s="645">
        <v>131</v>
      </c>
      <c r="D307" s="645" t="s">
        <v>330</v>
      </c>
      <c r="E307" s="645">
        <v>647</v>
      </c>
      <c r="F307" s="645" t="s">
        <v>792</v>
      </c>
      <c r="G307" s="645" t="s">
        <v>564</v>
      </c>
      <c r="H307" s="645">
        <v>241</v>
      </c>
      <c r="I307" s="645">
        <v>544</v>
      </c>
      <c r="J307" s="645">
        <v>0.443</v>
      </c>
      <c r="K307" s="645" t="s">
        <v>496</v>
      </c>
      <c r="L307" s="645" t="s">
        <v>518</v>
      </c>
      <c r="M307" s="645" t="s">
        <v>521</v>
      </c>
      <c r="N307" s="646">
        <v>85000</v>
      </c>
      <c r="O307" s="646">
        <v>352</v>
      </c>
    </row>
    <row r="308" spans="1:15" ht="16" customHeight="1" thickBot="1">
      <c r="A308" s="126"/>
      <c r="B308" s="644"/>
      <c r="C308" s="645">
        <v>131</v>
      </c>
      <c r="D308" s="645" t="s">
        <v>330</v>
      </c>
      <c r="E308" s="645">
        <v>648</v>
      </c>
      <c r="F308" s="645" t="s">
        <v>793</v>
      </c>
      <c r="G308" s="645" t="s">
        <v>554</v>
      </c>
      <c r="H308" s="645">
        <v>479</v>
      </c>
      <c r="I308" s="645">
        <v>825</v>
      </c>
      <c r="J308" s="645">
        <v>0.58099999999999996</v>
      </c>
      <c r="K308" s="645" t="s">
        <v>496</v>
      </c>
      <c r="L308" s="645" t="s">
        <v>518</v>
      </c>
      <c r="M308" s="645" t="s">
        <v>505</v>
      </c>
      <c r="N308" s="646">
        <v>165000</v>
      </c>
      <c r="O308" s="646">
        <v>344</v>
      </c>
    </row>
    <row r="309" spans="1:15" ht="16" customHeight="1" thickBot="1">
      <c r="A309" s="126"/>
      <c r="B309" s="644"/>
      <c r="C309" s="645">
        <v>131</v>
      </c>
      <c r="D309" s="645" t="s">
        <v>330</v>
      </c>
      <c r="E309" s="645">
        <v>890</v>
      </c>
      <c r="F309" s="645" t="s">
        <v>794</v>
      </c>
      <c r="G309" s="645" t="s">
        <v>564</v>
      </c>
      <c r="H309" s="645">
        <v>500</v>
      </c>
      <c r="I309" s="645">
        <v>591</v>
      </c>
      <c r="J309" s="645">
        <v>0.84599999999999997</v>
      </c>
      <c r="K309" s="645" t="s">
        <v>496</v>
      </c>
      <c r="L309" s="645" t="s">
        <v>518</v>
      </c>
      <c r="M309" s="645" t="s">
        <v>521</v>
      </c>
      <c r="N309" s="646">
        <v>230000</v>
      </c>
      <c r="O309" s="646">
        <v>460</v>
      </c>
    </row>
    <row r="310" spans="1:15" ht="16" customHeight="1" thickBot="1">
      <c r="A310" s="126"/>
      <c r="B310" s="644"/>
      <c r="C310" s="645">
        <v>131</v>
      </c>
      <c r="D310" s="645" t="s">
        <v>330</v>
      </c>
      <c r="E310" s="645">
        <v>994</v>
      </c>
      <c r="F310" s="645" t="s">
        <v>795</v>
      </c>
      <c r="G310" s="645" t="s">
        <v>557</v>
      </c>
      <c r="H310" s="645">
        <v>555</v>
      </c>
      <c r="I310" s="645">
        <v>1261</v>
      </c>
      <c r="J310" s="645">
        <v>0.44</v>
      </c>
      <c r="K310" s="645" t="s">
        <v>496</v>
      </c>
      <c r="L310" s="645" t="s">
        <v>518</v>
      </c>
      <c r="M310" s="645" t="s">
        <v>505</v>
      </c>
      <c r="N310" s="646">
        <v>192000</v>
      </c>
      <c r="O310" s="646">
        <v>345</v>
      </c>
    </row>
    <row r="311" spans="1:15" ht="16" customHeight="1" thickBot="1">
      <c r="A311" s="126"/>
      <c r="B311" s="644"/>
      <c r="C311" s="645">
        <v>131</v>
      </c>
      <c r="D311" s="645" t="s">
        <v>330</v>
      </c>
      <c r="E311" s="645">
        <v>996</v>
      </c>
      <c r="F311" s="645" t="s">
        <v>796</v>
      </c>
      <c r="G311" s="645" t="s">
        <v>564</v>
      </c>
      <c r="H311" s="645">
        <v>398</v>
      </c>
      <c r="I311" s="645">
        <v>476</v>
      </c>
      <c r="J311" s="645">
        <v>0.83599999999999997</v>
      </c>
      <c r="K311" s="645" t="s">
        <v>496</v>
      </c>
      <c r="L311" s="645" t="s">
        <v>518</v>
      </c>
      <c r="M311" s="645" t="s">
        <v>498</v>
      </c>
      <c r="N311" s="646">
        <v>183000</v>
      </c>
      <c r="O311" s="646">
        <v>459</v>
      </c>
    </row>
    <row r="312" spans="1:15" ht="16" customHeight="1" thickBot="1">
      <c r="A312" s="126"/>
      <c r="B312" s="644"/>
      <c r="C312" s="645">
        <v>131</v>
      </c>
      <c r="D312" s="645" t="s">
        <v>330</v>
      </c>
      <c r="E312" s="645">
        <v>998</v>
      </c>
      <c r="F312" s="645" t="s">
        <v>797</v>
      </c>
      <c r="G312" s="645" t="s">
        <v>557</v>
      </c>
      <c r="H312" s="645">
        <v>917</v>
      </c>
      <c r="I312" s="645">
        <v>1485</v>
      </c>
      <c r="J312" s="645">
        <v>0.61799999999999999</v>
      </c>
      <c r="K312" s="645" t="s">
        <v>496</v>
      </c>
      <c r="L312" s="645" t="s">
        <v>518</v>
      </c>
      <c r="M312" s="645" t="s">
        <v>498</v>
      </c>
      <c r="N312" s="646">
        <v>320000</v>
      </c>
      <c r="O312" s="646">
        <v>348</v>
      </c>
    </row>
    <row r="313" spans="1:15" ht="16" customHeight="1" thickBot="1">
      <c r="A313" s="126"/>
      <c r="B313" s="644"/>
      <c r="C313" s="645">
        <v>131</v>
      </c>
      <c r="D313" s="645" t="s">
        <v>330</v>
      </c>
      <c r="E313" s="645">
        <v>1109</v>
      </c>
      <c r="F313" s="645" t="s">
        <v>798</v>
      </c>
      <c r="G313" s="645" t="s">
        <v>554</v>
      </c>
      <c r="H313" s="645">
        <v>591</v>
      </c>
      <c r="I313" s="645">
        <v>929</v>
      </c>
      <c r="J313" s="645">
        <v>0.63600000000000001</v>
      </c>
      <c r="K313" s="645" t="s">
        <v>496</v>
      </c>
      <c r="L313" s="645" t="s">
        <v>518</v>
      </c>
      <c r="M313" s="645" t="s">
        <v>498</v>
      </c>
      <c r="N313" s="646">
        <v>210000</v>
      </c>
      <c r="O313" s="646">
        <v>355</v>
      </c>
    </row>
    <row r="314" spans="1:15" ht="16" customHeight="1" thickBot="1">
      <c r="A314" s="126"/>
      <c r="B314" s="644"/>
      <c r="C314" s="645">
        <v>131</v>
      </c>
      <c r="D314" s="645" t="s">
        <v>330</v>
      </c>
      <c r="E314" s="645">
        <v>1154</v>
      </c>
      <c r="F314" s="645" t="s">
        <v>799</v>
      </c>
      <c r="G314" s="645" t="s">
        <v>557</v>
      </c>
      <c r="H314" s="645">
        <v>135</v>
      </c>
      <c r="I314" s="645">
        <v>167</v>
      </c>
      <c r="J314" s="645">
        <v>0.80800000000000005</v>
      </c>
      <c r="K314" s="645" t="s">
        <v>496</v>
      </c>
      <c r="L314" s="645" t="s">
        <v>518</v>
      </c>
      <c r="M314" s="645" t="s">
        <v>547</v>
      </c>
      <c r="N314" s="646">
        <v>75960</v>
      </c>
      <c r="O314" s="646">
        <v>562</v>
      </c>
    </row>
    <row r="315" spans="1:15" ht="16" customHeight="1" thickBot="1">
      <c r="A315" s="126"/>
      <c r="B315" s="644"/>
      <c r="C315" s="645">
        <v>131</v>
      </c>
      <c r="D315" s="645" t="s">
        <v>330</v>
      </c>
      <c r="E315" s="645">
        <v>2889</v>
      </c>
      <c r="F315" s="645" t="s">
        <v>800</v>
      </c>
      <c r="G315" s="645" t="s">
        <v>564</v>
      </c>
      <c r="H315" s="645">
        <v>237</v>
      </c>
      <c r="I315" s="645">
        <v>391</v>
      </c>
      <c r="J315" s="645">
        <v>0.60599999999999998</v>
      </c>
      <c r="K315" s="645" t="s">
        <v>496</v>
      </c>
      <c r="L315" s="645" t="s">
        <v>518</v>
      </c>
      <c r="M315" s="645" t="s">
        <v>498</v>
      </c>
      <c r="N315" s="646">
        <v>93000</v>
      </c>
      <c r="O315" s="646">
        <v>392</v>
      </c>
    </row>
    <row r="316" spans="1:15" ht="16" customHeight="1" thickBot="1">
      <c r="A316" s="126"/>
      <c r="B316" s="644"/>
      <c r="C316" s="648" t="s">
        <v>1523</v>
      </c>
      <c r="D316" s="648" t="s">
        <v>1523</v>
      </c>
      <c r="E316" s="648" t="s">
        <v>1523</v>
      </c>
      <c r="F316" s="648" t="s">
        <v>1523</v>
      </c>
      <c r="G316" s="648" t="s">
        <v>1523</v>
      </c>
      <c r="H316" s="648" t="s">
        <v>1523</v>
      </c>
      <c r="I316" s="648" t="s">
        <v>1523</v>
      </c>
      <c r="J316" s="648" t="s">
        <v>1523</v>
      </c>
      <c r="K316" s="648" t="s">
        <v>1523</v>
      </c>
      <c r="L316" s="648" t="s">
        <v>1523</v>
      </c>
      <c r="M316" s="648" t="s">
        <v>1523</v>
      </c>
      <c r="N316" s="648" t="s">
        <v>1523</v>
      </c>
      <c r="O316" s="648" t="s">
        <v>1523</v>
      </c>
    </row>
    <row r="317" spans="1:15" ht="16" customHeight="1" thickBot="1">
      <c r="A317" s="126"/>
      <c r="B317" s="644"/>
      <c r="C317" s="645">
        <v>132</v>
      </c>
      <c r="D317" s="645" t="s">
        <v>331</v>
      </c>
      <c r="E317" s="645">
        <v>64</v>
      </c>
      <c r="F317" s="645" t="s">
        <v>801</v>
      </c>
      <c r="G317" s="645" t="s">
        <v>554</v>
      </c>
      <c r="H317" s="645">
        <v>599</v>
      </c>
      <c r="I317" s="645">
        <v>721</v>
      </c>
      <c r="J317" s="645">
        <v>0.83099999999999996</v>
      </c>
      <c r="K317" s="645" t="s">
        <v>496</v>
      </c>
      <c r="L317" s="645" t="s">
        <v>518</v>
      </c>
      <c r="M317" s="645" t="s">
        <v>498</v>
      </c>
      <c r="N317" s="646">
        <v>254575</v>
      </c>
      <c r="O317" s="646">
        <v>425</v>
      </c>
    </row>
    <row r="318" spans="1:15" ht="16" customHeight="1" thickBot="1">
      <c r="A318" s="126"/>
      <c r="B318" s="644"/>
      <c r="C318" s="645">
        <v>132</v>
      </c>
      <c r="D318" s="645" t="s">
        <v>331</v>
      </c>
      <c r="E318" s="645">
        <v>65</v>
      </c>
      <c r="F318" s="645" t="s">
        <v>802</v>
      </c>
      <c r="G318" s="645" t="s">
        <v>557</v>
      </c>
      <c r="H318" s="645">
        <v>942</v>
      </c>
      <c r="I318" s="645">
        <v>1205</v>
      </c>
      <c r="J318" s="645">
        <v>0.78200000000000003</v>
      </c>
      <c r="K318" s="645" t="s">
        <v>496</v>
      </c>
      <c r="L318" s="645" t="s">
        <v>518</v>
      </c>
      <c r="M318" s="645" t="s">
        <v>498</v>
      </c>
      <c r="N318" s="646">
        <v>320280</v>
      </c>
      <c r="O318" s="646">
        <v>340</v>
      </c>
    </row>
    <row r="319" spans="1:15" ht="16" customHeight="1" thickBot="1">
      <c r="A319" s="126"/>
      <c r="B319" s="644"/>
      <c r="C319" s="645">
        <v>132</v>
      </c>
      <c r="D319" s="645" t="s">
        <v>331</v>
      </c>
      <c r="E319" s="645">
        <v>76</v>
      </c>
      <c r="F319" s="645" t="s">
        <v>803</v>
      </c>
      <c r="G319" s="645" t="s">
        <v>564</v>
      </c>
      <c r="H319" s="645">
        <v>393</v>
      </c>
      <c r="I319" s="645">
        <v>479</v>
      </c>
      <c r="J319" s="645">
        <v>0.82</v>
      </c>
      <c r="K319" s="645" t="s">
        <v>496</v>
      </c>
      <c r="L319" s="645" t="s">
        <v>518</v>
      </c>
      <c r="M319" s="645" t="s">
        <v>498</v>
      </c>
      <c r="N319" s="646">
        <v>150912</v>
      </c>
      <c r="O319" s="646">
        <v>384</v>
      </c>
    </row>
    <row r="320" spans="1:15" ht="16" customHeight="1" thickBot="1">
      <c r="A320" s="126"/>
      <c r="B320" s="644"/>
      <c r="C320" s="645">
        <v>132</v>
      </c>
      <c r="D320" s="645" t="s">
        <v>331</v>
      </c>
      <c r="E320" s="645">
        <v>281</v>
      </c>
      <c r="F320" s="645" t="s">
        <v>804</v>
      </c>
      <c r="G320" s="645" t="s">
        <v>554</v>
      </c>
      <c r="H320" s="645">
        <v>613</v>
      </c>
      <c r="I320" s="645">
        <v>699</v>
      </c>
      <c r="J320" s="645">
        <v>0.877</v>
      </c>
      <c r="K320" s="645" t="s">
        <v>496</v>
      </c>
      <c r="L320" s="645" t="s">
        <v>518</v>
      </c>
      <c r="M320" s="645" t="s">
        <v>505</v>
      </c>
      <c r="N320" s="646">
        <v>264816</v>
      </c>
      <c r="O320" s="646">
        <v>432</v>
      </c>
    </row>
    <row r="321" spans="1:15" ht="16" customHeight="1" thickBot="1">
      <c r="A321" s="126"/>
      <c r="B321" s="644"/>
      <c r="C321" s="645">
        <v>132</v>
      </c>
      <c r="D321" s="645" t="s">
        <v>331</v>
      </c>
      <c r="E321" s="645">
        <v>289</v>
      </c>
      <c r="F321" s="645" t="s">
        <v>805</v>
      </c>
      <c r="G321" s="645" t="s">
        <v>564</v>
      </c>
      <c r="H321" s="645">
        <v>430</v>
      </c>
      <c r="I321" s="645">
        <v>605</v>
      </c>
      <c r="J321" s="645">
        <v>0.71099999999999997</v>
      </c>
      <c r="K321" s="645" t="s">
        <v>496</v>
      </c>
      <c r="L321" s="645" t="s">
        <v>518</v>
      </c>
      <c r="M321" s="645" t="s">
        <v>505</v>
      </c>
      <c r="N321" s="646">
        <v>165120</v>
      </c>
      <c r="O321" s="646">
        <v>384</v>
      </c>
    </row>
    <row r="322" spans="1:15" ht="16" customHeight="1" thickBot="1">
      <c r="A322" s="126"/>
      <c r="B322" s="644"/>
      <c r="C322" s="645">
        <v>132</v>
      </c>
      <c r="D322" s="645" t="s">
        <v>331</v>
      </c>
      <c r="E322" s="645">
        <v>448</v>
      </c>
      <c r="F322" s="645" t="s">
        <v>519</v>
      </c>
      <c r="G322" s="645" t="s">
        <v>564</v>
      </c>
      <c r="H322" s="645">
        <v>542</v>
      </c>
      <c r="I322" s="645">
        <v>613</v>
      </c>
      <c r="J322" s="645">
        <v>0.88400000000000001</v>
      </c>
      <c r="K322" s="645" t="s">
        <v>496</v>
      </c>
      <c r="L322" s="645" t="s">
        <v>518</v>
      </c>
      <c r="M322" s="645" t="s">
        <v>521</v>
      </c>
      <c r="N322" s="646">
        <v>208128</v>
      </c>
      <c r="O322" s="646">
        <v>384</v>
      </c>
    </row>
    <row r="323" spans="1:15" ht="16" customHeight="1" thickBot="1">
      <c r="A323" s="126"/>
      <c r="B323" s="644"/>
      <c r="C323" s="645">
        <v>132</v>
      </c>
      <c r="D323" s="645" t="s">
        <v>331</v>
      </c>
      <c r="E323" s="645">
        <v>449</v>
      </c>
      <c r="F323" s="645" t="s">
        <v>806</v>
      </c>
      <c r="G323" s="645" t="s">
        <v>564</v>
      </c>
      <c r="H323" s="645">
        <v>348</v>
      </c>
      <c r="I323" s="645">
        <v>411</v>
      </c>
      <c r="J323" s="645">
        <v>0.84699999999999998</v>
      </c>
      <c r="K323" s="645" t="s">
        <v>496</v>
      </c>
      <c r="L323" s="645" t="s">
        <v>518</v>
      </c>
      <c r="M323" s="645" t="s">
        <v>505</v>
      </c>
      <c r="N323" s="646">
        <v>133632</v>
      </c>
      <c r="O323" s="646">
        <v>384</v>
      </c>
    </row>
    <row r="324" spans="1:15" ht="16" customHeight="1" thickBot="1">
      <c r="A324" s="126"/>
      <c r="B324" s="644"/>
      <c r="C324" s="645">
        <v>132</v>
      </c>
      <c r="D324" s="645" t="s">
        <v>331</v>
      </c>
      <c r="E324" s="645">
        <v>451</v>
      </c>
      <c r="F324" s="645" t="s">
        <v>807</v>
      </c>
      <c r="G324" s="645" t="s">
        <v>564</v>
      </c>
      <c r="H324" s="645">
        <v>576</v>
      </c>
      <c r="I324" s="645">
        <v>653</v>
      </c>
      <c r="J324" s="645">
        <v>0.88200000000000001</v>
      </c>
      <c r="K324" s="645" t="s">
        <v>496</v>
      </c>
      <c r="L324" s="645" t="s">
        <v>518</v>
      </c>
      <c r="M324" s="645" t="s">
        <v>505</v>
      </c>
      <c r="N324" s="646">
        <v>221184</v>
      </c>
      <c r="O324" s="646">
        <v>384</v>
      </c>
    </row>
    <row r="325" spans="1:15" ht="16" customHeight="1" thickBot="1">
      <c r="A325" s="126"/>
      <c r="B325" s="644"/>
      <c r="C325" s="645">
        <v>132</v>
      </c>
      <c r="D325" s="645" t="s">
        <v>331</v>
      </c>
      <c r="E325" s="645">
        <v>457</v>
      </c>
      <c r="F325" s="645" t="s">
        <v>808</v>
      </c>
      <c r="G325" s="645" t="s">
        <v>564</v>
      </c>
      <c r="H325" s="645">
        <v>449</v>
      </c>
      <c r="I325" s="645">
        <v>502</v>
      </c>
      <c r="J325" s="645">
        <v>0.89400000000000002</v>
      </c>
      <c r="K325" s="645" t="s">
        <v>496</v>
      </c>
      <c r="L325" s="645" t="s">
        <v>518</v>
      </c>
      <c r="M325" s="645" t="s">
        <v>521</v>
      </c>
      <c r="N325" s="646">
        <v>172416</v>
      </c>
      <c r="O325" s="646">
        <v>384</v>
      </c>
    </row>
    <row r="326" spans="1:15" ht="16" customHeight="1" thickBot="1">
      <c r="A326" s="126"/>
      <c r="B326" s="644"/>
      <c r="C326" s="645">
        <v>132</v>
      </c>
      <c r="D326" s="645" t="s">
        <v>331</v>
      </c>
      <c r="E326" s="645">
        <v>1090</v>
      </c>
      <c r="F326" s="645" t="s">
        <v>809</v>
      </c>
      <c r="G326" s="645" t="s">
        <v>546</v>
      </c>
      <c r="H326" s="645">
        <v>307</v>
      </c>
      <c r="I326" s="645">
        <v>372</v>
      </c>
      <c r="J326" s="645">
        <v>0.82499999999999996</v>
      </c>
      <c r="K326" s="645" t="s">
        <v>496</v>
      </c>
      <c r="L326" s="645" t="s">
        <v>518</v>
      </c>
      <c r="M326" s="645" t="s">
        <v>547</v>
      </c>
      <c r="N326" s="646">
        <v>136615</v>
      </c>
      <c r="O326" s="646">
        <v>445</v>
      </c>
    </row>
    <row r="327" spans="1:15" ht="16" customHeight="1" thickBot="1">
      <c r="A327" s="126"/>
      <c r="B327" s="644"/>
      <c r="C327" s="648" t="s">
        <v>1523</v>
      </c>
      <c r="D327" s="648" t="s">
        <v>1523</v>
      </c>
      <c r="E327" s="648" t="s">
        <v>1523</v>
      </c>
      <c r="F327" s="648" t="s">
        <v>1523</v>
      </c>
      <c r="G327" s="648" t="s">
        <v>1523</v>
      </c>
      <c r="H327" s="648" t="s">
        <v>1523</v>
      </c>
      <c r="I327" s="648" t="s">
        <v>1523</v>
      </c>
      <c r="J327" s="648" t="s">
        <v>1523</v>
      </c>
      <c r="K327" s="648" t="s">
        <v>1523</v>
      </c>
      <c r="L327" s="648" t="s">
        <v>1523</v>
      </c>
      <c r="M327" s="648" t="s">
        <v>1523</v>
      </c>
      <c r="N327" s="648" t="s">
        <v>1523</v>
      </c>
      <c r="O327" s="648" t="s">
        <v>1523</v>
      </c>
    </row>
    <row r="328" spans="1:15" ht="16" customHeight="1" thickBot="1">
      <c r="A328" s="126"/>
      <c r="B328" s="644"/>
      <c r="C328" s="645">
        <v>133</v>
      </c>
      <c r="D328" s="645" t="s">
        <v>332</v>
      </c>
      <c r="E328" s="645">
        <v>233</v>
      </c>
      <c r="F328" s="645" t="s">
        <v>810</v>
      </c>
      <c r="G328" s="645" t="s">
        <v>715</v>
      </c>
      <c r="H328" s="645">
        <v>175</v>
      </c>
      <c r="I328" s="645">
        <v>190</v>
      </c>
      <c r="J328" s="645">
        <v>0.92100000000000004</v>
      </c>
      <c r="K328" s="645" t="s">
        <v>496</v>
      </c>
      <c r="L328" s="645" t="s">
        <v>518</v>
      </c>
      <c r="M328" s="645" t="s">
        <v>505</v>
      </c>
      <c r="N328" s="646">
        <v>138364</v>
      </c>
      <c r="O328" s="646">
        <v>790</v>
      </c>
    </row>
    <row r="329" spans="1:15" ht="16" customHeight="1" thickBot="1">
      <c r="A329" s="126"/>
      <c r="B329" s="644"/>
      <c r="C329" s="645">
        <v>133</v>
      </c>
      <c r="D329" s="645" t="s">
        <v>332</v>
      </c>
      <c r="E329" s="645">
        <v>452</v>
      </c>
      <c r="F329" s="645" t="s">
        <v>811</v>
      </c>
      <c r="G329" s="645" t="s">
        <v>706</v>
      </c>
      <c r="H329" s="645">
        <v>230</v>
      </c>
      <c r="I329" s="645">
        <v>245</v>
      </c>
      <c r="J329" s="645">
        <v>0.93899999999999995</v>
      </c>
      <c r="K329" s="645" t="s">
        <v>496</v>
      </c>
      <c r="L329" s="645" t="s">
        <v>518</v>
      </c>
      <c r="M329" s="645" t="s">
        <v>505</v>
      </c>
      <c r="N329" s="646">
        <v>176093</v>
      </c>
      <c r="O329" s="646">
        <v>765</v>
      </c>
    </row>
    <row r="330" spans="1:15" ht="16" customHeight="1" thickBot="1">
      <c r="A330" s="126"/>
      <c r="B330" s="644"/>
      <c r="C330" s="648" t="s">
        <v>1523</v>
      </c>
      <c r="D330" s="648" t="s">
        <v>1523</v>
      </c>
      <c r="E330" s="648" t="s">
        <v>1523</v>
      </c>
      <c r="F330" s="648" t="s">
        <v>1523</v>
      </c>
      <c r="G330" s="648" t="s">
        <v>1523</v>
      </c>
      <c r="H330" s="648" t="s">
        <v>1523</v>
      </c>
      <c r="I330" s="648" t="s">
        <v>1523</v>
      </c>
      <c r="J330" s="648" t="s">
        <v>1523</v>
      </c>
      <c r="K330" s="648" t="s">
        <v>1523</v>
      </c>
      <c r="L330" s="648" t="s">
        <v>1523</v>
      </c>
      <c r="M330" s="648" t="s">
        <v>1523</v>
      </c>
      <c r="N330" s="648" t="s">
        <v>1523</v>
      </c>
      <c r="O330" s="648" t="s">
        <v>1523</v>
      </c>
    </row>
    <row r="331" spans="1:15" ht="16" customHeight="1" thickBot="1">
      <c r="A331" s="126"/>
      <c r="B331" s="644"/>
      <c r="C331" s="645">
        <v>134</v>
      </c>
      <c r="D331" s="645" t="s">
        <v>333</v>
      </c>
      <c r="E331" s="645">
        <v>67</v>
      </c>
      <c r="F331" s="645" t="s">
        <v>812</v>
      </c>
      <c r="G331" s="645" t="s">
        <v>554</v>
      </c>
      <c r="H331" s="645">
        <v>379</v>
      </c>
      <c r="I331" s="645">
        <v>879</v>
      </c>
      <c r="J331" s="645">
        <v>0.43099999999999999</v>
      </c>
      <c r="K331" s="645" t="s">
        <v>496</v>
      </c>
      <c r="L331" s="645" t="s">
        <v>497</v>
      </c>
      <c r="M331" s="645" t="s">
        <v>498</v>
      </c>
      <c r="N331" s="646">
        <v>0</v>
      </c>
      <c r="O331" s="646">
        <v>0</v>
      </c>
    </row>
    <row r="332" spans="1:15" ht="16" customHeight="1" thickBot="1">
      <c r="A332" s="126"/>
      <c r="B332" s="644"/>
      <c r="C332" s="645">
        <v>134</v>
      </c>
      <c r="D332" s="645" t="s">
        <v>333</v>
      </c>
      <c r="E332" s="645">
        <v>68</v>
      </c>
      <c r="F332" s="645" t="s">
        <v>813</v>
      </c>
      <c r="G332" s="645" t="s">
        <v>557</v>
      </c>
      <c r="H332" s="645">
        <v>442</v>
      </c>
      <c r="I332" s="645">
        <v>1167</v>
      </c>
      <c r="J332" s="645">
        <v>0.379</v>
      </c>
      <c r="K332" s="645" t="s">
        <v>496</v>
      </c>
      <c r="L332" s="645" t="s">
        <v>497</v>
      </c>
      <c r="M332" s="645" t="s">
        <v>498</v>
      </c>
      <c r="N332" s="646">
        <v>0</v>
      </c>
      <c r="O332" s="646">
        <v>0</v>
      </c>
    </row>
    <row r="333" spans="1:15" ht="16" customHeight="1" thickBot="1">
      <c r="A333" s="126"/>
      <c r="B333" s="644"/>
      <c r="C333" s="645">
        <v>134</v>
      </c>
      <c r="D333" s="645" t="s">
        <v>333</v>
      </c>
      <c r="E333" s="645">
        <v>453</v>
      </c>
      <c r="F333" s="645" t="s">
        <v>814</v>
      </c>
      <c r="G333" s="645" t="s">
        <v>564</v>
      </c>
      <c r="H333" s="645">
        <v>245</v>
      </c>
      <c r="I333" s="645">
        <v>663</v>
      </c>
      <c r="J333" s="645">
        <v>0.37</v>
      </c>
      <c r="K333" s="645" t="s">
        <v>496</v>
      </c>
      <c r="L333" s="645" t="s">
        <v>624</v>
      </c>
      <c r="M333" s="645" t="s">
        <v>498</v>
      </c>
      <c r="N333" s="646">
        <v>124917</v>
      </c>
      <c r="O333" s="646">
        <v>509</v>
      </c>
    </row>
    <row r="334" spans="1:15" ht="16" customHeight="1" thickBot="1">
      <c r="A334" s="126"/>
      <c r="B334" s="644"/>
      <c r="C334" s="645">
        <v>134</v>
      </c>
      <c r="D334" s="645" t="s">
        <v>333</v>
      </c>
      <c r="E334" s="645">
        <v>500</v>
      </c>
      <c r="F334" s="645" t="s">
        <v>815</v>
      </c>
      <c r="G334" s="645" t="s">
        <v>564</v>
      </c>
      <c r="H334" s="645">
        <v>302</v>
      </c>
      <c r="I334" s="645">
        <v>573</v>
      </c>
      <c r="J334" s="645">
        <v>0.52700000000000002</v>
      </c>
      <c r="K334" s="645" t="s">
        <v>496</v>
      </c>
      <c r="L334" s="645" t="s">
        <v>518</v>
      </c>
      <c r="M334" s="645" t="s">
        <v>498</v>
      </c>
      <c r="N334" s="646">
        <v>163177</v>
      </c>
      <c r="O334" s="646">
        <v>540</v>
      </c>
    </row>
    <row r="335" spans="1:15" ht="16" customHeight="1" thickBot="1">
      <c r="A335" s="126"/>
      <c r="B335" s="644"/>
      <c r="C335" s="645">
        <v>134</v>
      </c>
      <c r="D335" s="645" t="s">
        <v>333</v>
      </c>
      <c r="E335" s="645">
        <v>546</v>
      </c>
      <c r="F335" s="645" t="s">
        <v>816</v>
      </c>
      <c r="G335" s="645" t="s">
        <v>564</v>
      </c>
      <c r="H335" s="645">
        <v>204</v>
      </c>
      <c r="I335" s="645">
        <v>472</v>
      </c>
      <c r="J335" s="645">
        <v>0.432</v>
      </c>
      <c r="K335" s="645" t="s">
        <v>496</v>
      </c>
      <c r="L335" s="645" t="s">
        <v>624</v>
      </c>
      <c r="M335" s="645" t="s">
        <v>498</v>
      </c>
      <c r="N335" s="646">
        <v>107282</v>
      </c>
      <c r="O335" s="646">
        <v>525</v>
      </c>
    </row>
    <row r="336" spans="1:15" ht="16" customHeight="1" thickBot="1">
      <c r="A336" s="126"/>
      <c r="B336" s="644"/>
      <c r="C336" s="645">
        <v>134</v>
      </c>
      <c r="D336" s="645" t="s">
        <v>333</v>
      </c>
      <c r="E336" s="645">
        <v>1168</v>
      </c>
      <c r="F336" s="645" t="s">
        <v>817</v>
      </c>
      <c r="G336" s="645" t="s">
        <v>546</v>
      </c>
      <c r="H336" s="645">
        <v>85</v>
      </c>
      <c r="I336" s="645">
        <v>110</v>
      </c>
      <c r="J336" s="645">
        <v>0.77300000000000002</v>
      </c>
      <c r="K336" s="645" t="s">
        <v>496</v>
      </c>
      <c r="L336" s="645" t="s">
        <v>624</v>
      </c>
      <c r="M336" s="645" t="s">
        <v>498</v>
      </c>
      <c r="N336" s="646">
        <v>45013</v>
      </c>
      <c r="O336" s="646">
        <v>529</v>
      </c>
    </row>
    <row r="337" spans="1:15" ht="16" customHeight="1" thickBot="1">
      <c r="A337" s="126"/>
      <c r="B337" s="644"/>
      <c r="C337" s="648" t="s">
        <v>1523</v>
      </c>
      <c r="D337" s="648" t="s">
        <v>1523</v>
      </c>
      <c r="E337" s="648" t="s">
        <v>1523</v>
      </c>
      <c r="F337" s="648" t="s">
        <v>1523</v>
      </c>
      <c r="G337" s="648" t="s">
        <v>1523</v>
      </c>
      <c r="H337" s="648" t="s">
        <v>1523</v>
      </c>
      <c r="I337" s="648" t="s">
        <v>1523</v>
      </c>
      <c r="J337" s="648" t="s">
        <v>1523</v>
      </c>
      <c r="K337" s="648" t="s">
        <v>1523</v>
      </c>
      <c r="L337" s="648" t="s">
        <v>1523</v>
      </c>
      <c r="M337" s="648" t="s">
        <v>1523</v>
      </c>
      <c r="N337" s="648" t="s">
        <v>1523</v>
      </c>
      <c r="O337" s="648" t="s">
        <v>1523</v>
      </c>
    </row>
    <row r="338" spans="1:15" ht="16" customHeight="1" thickBot="1">
      <c r="A338" s="126"/>
      <c r="B338" s="644"/>
      <c r="C338" s="645">
        <v>135</v>
      </c>
      <c r="D338" s="645" t="s">
        <v>334</v>
      </c>
      <c r="E338" s="645">
        <v>234</v>
      </c>
      <c r="F338" s="645" t="s">
        <v>818</v>
      </c>
      <c r="G338" s="645" t="s">
        <v>546</v>
      </c>
      <c r="H338" s="645">
        <v>130</v>
      </c>
      <c r="I338" s="645">
        <v>196</v>
      </c>
      <c r="J338" s="645">
        <v>0.66300000000000003</v>
      </c>
      <c r="K338" s="645" t="s">
        <v>496</v>
      </c>
      <c r="L338" s="645" t="s">
        <v>518</v>
      </c>
      <c r="M338" s="645" t="s">
        <v>509</v>
      </c>
      <c r="N338" s="646">
        <v>83652</v>
      </c>
      <c r="O338" s="646">
        <v>643</v>
      </c>
    </row>
    <row r="339" spans="1:15" ht="16" customHeight="1" thickBot="1">
      <c r="A339" s="126"/>
      <c r="B339" s="644"/>
      <c r="C339" s="645">
        <v>135</v>
      </c>
      <c r="D339" s="645" t="s">
        <v>334</v>
      </c>
      <c r="E339" s="645">
        <v>520</v>
      </c>
      <c r="F339" s="645" t="s">
        <v>819</v>
      </c>
      <c r="G339" s="645" t="s">
        <v>512</v>
      </c>
      <c r="H339" s="645">
        <v>135</v>
      </c>
      <c r="I339" s="645">
        <v>195</v>
      </c>
      <c r="J339" s="645">
        <v>0.69199999999999995</v>
      </c>
      <c r="K339" s="645" t="s">
        <v>496</v>
      </c>
      <c r="L339" s="645" t="s">
        <v>518</v>
      </c>
      <c r="M339" s="645" t="s">
        <v>498</v>
      </c>
      <c r="N339" s="646">
        <v>84323</v>
      </c>
      <c r="O339" s="646">
        <v>624</v>
      </c>
    </row>
    <row r="340" spans="1:15" ht="16" customHeight="1" thickBot="1">
      <c r="A340" s="126"/>
      <c r="B340" s="644"/>
      <c r="C340" s="648" t="s">
        <v>1523</v>
      </c>
      <c r="D340" s="648" t="s">
        <v>1523</v>
      </c>
      <c r="E340" s="648" t="s">
        <v>1523</v>
      </c>
      <c r="F340" s="648" t="s">
        <v>1523</v>
      </c>
      <c r="G340" s="648" t="s">
        <v>1523</v>
      </c>
      <c r="H340" s="648" t="s">
        <v>1523</v>
      </c>
      <c r="I340" s="648" t="s">
        <v>1523</v>
      </c>
      <c r="J340" s="648" t="s">
        <v>1523</v>
      </c>
      <c r="K340" s="648" t="s">
        <v>1523</v>
      </c>
      <c r="L340" s="648" t="s">
        <v>1523</v>
      </c>
      <c r="M340" s="648" t="s">
        <v>1523</v>
      </c>
      <c r="N340" s="648" t="s">
        <v>1523</v>
      </c>
      <c r="O340" s="648" t="s">
        <v>1523</v>
      </c>
    </row>
    <row r="341" spans="1:15" ht="16" customHeight="1" thickBot="1">
      <c r="A341" s="126"/>
      <c r="B341" s="644"/>
      <c r="C341" s="645">
        <v>136</v>
      </c>
      <c r="D341" s="645" t="s">
        <v>335</v>
      </c>
      <c r="E341" s="645">
        <v>70</v>
      </c>
      <c r="F341" s="645" t="s">
        <v>820</v>
      </c>
      <c r="G341" s="645" t="s">
        <v>821</v>
      </c>
      <c r="H341" s="645">
        <v>196</v>
      </c>
      <c r="I341" s="645">
        <v>392</v>
      </c>
      <c r="J341" s="645">
        <v>0.5</v>
      </c>
      <c r="K341" s="645" t="s">
        <v>496</v>
      </c>
      <c r="L341" s="645" t="s">
        <v>497</v>
      </c>
      <c r="M341" s="645" t="s">
        <v>505</v>
      </c>
      <c r="N341" s="646">
        <v>0</v>
      </c>
      <c r="O341" s="646">
        <v>0</v>
      </c>
    </row>
    <row r="342" spans="1:15" ht="16" customHeight="1" thickBot="1">
      <c r="A342" s="126"/>
      <c r="B342" s="644"/>
      <c r="C342" s="645">
        <v>136</v>
      </c>
      <c r="D342" s="645" t="s">
        <v>335</v>
      </c>
      <c r="E342" s="645">
        <v>455</v>
      </c>
      <c r="F342" s="645" t="s">
        <v>822</v>
      </c>
      <c r="G342" s="645" t="s">
        <v>512</v>
      </c>
      <c r="H342" s="645">
        <v>211</v>
      </c>
      <c r="I342" s="645">
        <v>406</v>
      </c>
      <c r="J342" s="645">
        <v>0.52</v>
      </c>
      <c r="K342" s="645" t="s">
        <v>496</v>
      </c>
      <c r="L342" s="645" t="s">
        <v>518</v>
      </c>
      <c r="M342" s="645" t="s">
        <v>505</v>
      </c>
      <c r="N342" s="646">
        <v>166955</v>
      </c>
      <c r="O342" s="646">
        <v>791</v>
      </c>
    </row>
    <row r="343" spans="1:15" ht="16" customHeight="1" thickBot="1">
      <c r="A343" s="126"/>
      <c r="B343" s="644"/>
      <c r="C343" s="648" t="s">
        <v>1523</v>
      </c>
      <c r="D343" s="648" t="s">
        <v>1523</v>
      </c>
      <c r="E343" s="648" t="s">
        <v>1523</v>
      </c>
      <c r="F343" s="648" t="s">
        <v>1523</v>
      </c>
      <c r="G343" s="648" t="s">
        <v>1523</v>
      </c>
      <c r="H343" s="648" t="s">
        <v>1523</v>
      </c>
      <c r="I343" s="648" t="s">
        <v>1523</v>
      </c>
      <c r="J343" s="648" t="s">
        <v>1523</v>
      </c>
      <c r="K343" s="648" t="s">
        <v>1523</v>
      </c>
      <c r="L343" s="648" t="s">
        <v>1523</v>
      </c>
      <c r="M343" s="648" t="s">
        <v>1523</v>
      </c>
      <c r="N343" s="648" t="s">
        <v>1523</v>
      </c>
      <c r="O343" s="648" t="s">
        <v>1523</v>
      </c>
    </row>
    <row r="344" spans="1:15" ht="16" customHeight="1" thickBot="1">
      <c r="A344" s="126"/>
      <c r="B344" s="644"/>
      <c r="C344" s="645">
        <v>137</v>
      </c>
      <c r="D344" s="645" t="s">
        <v>336</v>
      </c>
      <c r="E344" s="645">
        <v>72</v>
      </c>
      <c r="F344" s="645" t="s">
        <v>823</v>
      </c>
      <c r="G344" s="645" t="s">
        <v>557</v>
      </c>
      <c r="H344" s="645">
        <v>170</v>
      </c>
      <c r="I344" s="645">
        <v>315</v>
      </c>
      <c r="J344" s="645">
        <v>0.54</v>
      </c>
      <c r="K344" s="645" t="s">
        <v>496</v>
      </c>
      <c r="L344" s="645" t="s">
        <v>497</v>
      </c>
      <c r="M344" s="645" t="s">
        <v>505</v>
      </c>
      <c r="N344" s="646">
        <v>0</v>
      </c>
      <c r="O344" s="646">
        <v>0</v>
      </c>
    </row>
    <row r="345" spans="1:15" ht="16" customHeight="1" thickBot="1">
      <c r="A345" s="126"/>
      <c r="B345" s="644"/>
      <c r="C345" s="645">
        <v>137</v>
      </c>
      <c r="D345" s="645" t="s">
        <v>336</v>
      </c>
      <c r="E345" s="645">
        <v>282</v>
      </c>
      <c r="F345" s="645" t="s">
        <v>824</v>
      </c>
      <c r="G345" s="645" t="s">
        <v>691</v>
      </c>
      <c r="H345" s="645">
        <v>216</v>
      </c>
      <c r="I345" s="645">
        <v>315</v>
      </c>
      <c r="J345" s="645">
        <v>0.68600000000000005</v>
      </c>
      <c r="K345" s="645" t="s">
        <v>496</v>
      </c>
      <c r="L345" s="645" t="s">
        <v>518</v>
      </c>
      <c r="M345" s="645" t="s">
        <v>498</v>
      </c>
      <c r="N345" s="646">
        <v>95914</v>
      </c>
      <c r="O345" s="646">
        <v>444</v>
      </c>
    </row>
    <row r="346" spans="1:15" ht="16" customHeight="1" thickBot="1">
      <c r="A346" s="126"/>
      <c r="B346" s="644"/>
      <c r="C346" s="645">
        <v>137</v>
      </c>
      <c r="D346" s="645" t="s">
        <v>336</v>
      </c>
      <c r="E346" s="645">
        <v>456</v>
      </c>
      <c r="F346" s="645" t="s">
        <v>825</v>
      </c>
      <c r="G346" s="645" t="s">
        <v>693</v>
      </c>
      <c r="H346" s="645">
        <v>257</v>
      </c>
      <c r="I346" s="645">
        <v>373</v>
      </c>
      <c r="J346" s="645">
        <v>0.68899999999999995</v>
      </c>
      <c r="K346" s="645" t="s">
        <v>496</v>
      </c>
      <c r="L346" s="645" t="s">
        <v>518</v>
      </c>
      <c r="M346" s="645" t="s">
        <v>498</v>
      </c>
      <c r="N346" s="646">
        <v>128245</v>
      </c>
      <c r="O346" s="646">
        <v>499</v>
      </c>
    </row>
    <row r="347" spans="1:15" ht="16" customHeight="1" thickBot="1">
      <c r="A347" s="126"/>
      <c r="B347" s="644"/>
      <c r="C347" s="648" t="s">
        <v>1523</v>
      </c>
      <c r="D347" s="648" t="s">
        <v>1523</v>
      </c>
      <c r="E347" s="648" t="s">
        <v>1523</v>
      </c>
      <c r="F347" s="648" t="s">
        <v>1523</v>
      </c>
      <c r="G347" s="648" t="s">
        <v>1523</v>
      </c>
      <c r="H347" s="648" t="s">
        <v>1523</v>
      </c>
      <c r="I347" s="648" t="s">
        <v>1523</v>
      </c>
      <c r="J347" s="648" t="s">
        <v>1523</v>
      </c>
      <c r="K347" s="648" t="s">
        <v>1523</v>
      </c>
      <c r="L347" s="648" t="s">
        <v>1523</v>
      </c>
      <c r="M347" s="648" t="s">
        <v>1523</v>
      </c>
      <c r="N347" s="648" t="s">
        <v>1523</v>
      </c>
      <c r="O347" s="648" t="s">
        <v>1523</v>
      </c>
    </row>
    <row r="348" spans="1:15" ht="16" customHeight="1" thickBot="1">
      <c r="A348" s="126"/>
      <c r="B348" s="644"/>
      <c r="C348" s="645">
        <v>139</v>
      </c>
      <c r="D348" s="645" t="s">
        <v>337</v>
      </c>
      <c r="E348" s="645">
        <v>74</v>
      </c>
      <c r="F348" s="645" t="s">
        <v>826</v>
      </c>
      <c r="G348" s="645" t="s">
        <v>557</v>
      </c>
      <c r="H348" s="645">
        <v>1168</v>
      </c>
      <c r="I348" s="645">
        <v>1849</v>
      </c>
      <c r="J348" s="645">
        <v>0.63200000000000001</v>
      </c>
      <c r="K348" s="645" t="s">
        <v>496</v>
      </c>
      <c r="L348" s="645" t="s">
        <v>497</v>
      </c>
      <c r="M348" s="645" t="s">
        <v>505</v>
      </c>
      <c r="N348" s="646">
        <v>0</v>
      </c>
      <c r="O348" s="646">
        <v>0</v>
      </c>
    </row>
    <row r="349" spans="1:15" ht="16" customHeight="1" thickBot="1">
      <c r="A349" s="126"/>
      <c r="B349" s="644"/>
      <c r="C349" s="645">
        <v>139</v>
      </c>
      <c r="D349" s="645" t="s">
        <v>337</v>
      </c>
      <c r="E349" s="645">
        <v>460</v>
      </c>
      <c r="F349" s="645" t="s">
        <v>827</v>
      </c>
      <c r="G349" s="645" t="s">
        <v>564</v>
      </c>
      <c r="H349" s="645">
        <v>466</v>
      </c>
      <c r="I349" s="645">
        <v>646</v>
      </c>
      <c r="J349" s="645">
        <v>0.72099999999999997</v>
      </c>
      <c r="K349" s="645" t="s">
        <v>496</v>
      </c>
      <c r="L349" s="645" t="s">
        <v>518</v>
      </c>
      <c r="M349" s="645" t="s">
        <v>509</v>
      </c>
      <c r="N349" s="646">
        <v>197000</v>
      </c>
      <c r="O349" s="646">
        <v>422</v>
      </c>
    </row>
    <row r="350" spans="1:15" ht="16" customHeight="1" thickBot="1">
      <c r="A350" s="126"/>
      <c r="B350" s="644"/>
      <c r="C350" s="645">
        <v>139</v>
      </c>
      <c r="D350" s="645" t="s">
        <v>337</v>
      </c>
      <c r="E350" s="645">
        <v>461</v>
      </c>
      <c r="F350" s="645" t="s">
        <v>828</v>
      </c>
      <c r="G350" s="645" t="s">
        <v>564</v>
      </c>
      <c r="H350" s="645">
        <v>477</v>
      </c>
      <c r="I350" s="645">
        <v>668</v>
      </c>
      <c r="J350" s="645">
        <v>0.71399999999999997</v>
      </c>
      <c r="K350" s="645" t="s">
        <v>496</v>
      </c>
      <c r="L350" s="645" t="s">
        <v>518</v>
      </c>
      <c r="M350" s="645" t="s">
        <v>509</v>
      </c>
      <c r="N350" s="646">
        <v>201500</v>
      </c>
      <c r="O350" s="646">
        <v>422</v>
      </c>
    </row>
    <row r="351" spans="1:15" ht="16" customHeight="1" thickBot="1">
      <c r="A351" s="126"/>
      <c r="B351" s="644"/>
      <c r="C351" s="645">
        <v>139</v>
      </c>
      <c r="D351" s="645" t="s">
        <v>337</v>
      </c>
      <c r="E351" s="645">
        <v>505</v>
      </c>
      <c r="F351" s="645" t="s">
        <v>829</v>
      </c>
      <c r="G351" s="645" t="s">
        <v>564</v>
      </c>
      <c r="H351" s="645">
        <v>597</v>
      </c>
      <c r="I351" s="645">
        <v>765</v>
      </c>
      <c r="J351" s="645">
        <v>0.78</v>
      </c>
      <c r="K351" s="645" t="s">
        <v>496</v>
      </c>
      <c r="L351" s="645" t="s">
        <v>518</v>
      </c>
      <c r="M351" s="645" t="s">
        <v>505</v>
      </c>
      <c r="N351" s="646">
        <v>252000</v>
      </c>
      <c r="O351" s="646">
        <v>422</v>
      </c>
    </row>
    <row r="352" spans="1:15" ht="16" customHeight="1" thickBot="1">
      <c r="A352" s="126"/>
      <c r="B352" s="644"/>
      <c r="C352" s="645">
        <v>139</v>
      </c>
      <c r="D352" s="645" t="s">
        <v>337</v>
      </c>
      <c r="E352" s="645">
        <v>519</v>
      </c>
      <c r="F352" s="645" t="s">
        <v>830</v>
      </c>
      <c r="G352" s="645" t="s">
        <v>564</v>
      </c>
      <c r="H352" s="645">
        <v>353</v>
      </c>
      <c r="I352" s="645">
        <v>609</v>
      </c>
      <c r="J352" s="645">
        <v>0.57999999999999996</v>
      </c>
      <c r="K352" s="645" t="s">
        <v>496</v>
      </c>
      <c r="L352" s="645" t="s">
        <v>518</v>
      </c>
      <c r="M352" s="645" t="s">
        <v>509</v>
      </c>
      <c r="N352" s="646">
        <v>149000</v>
      </c>
      <c r="O352" s="646">
        <v>422</v>
      </c>
    </row>
    <row r="353" spans="1:15" ht="16" customHeight="1" thickBot="1">
      <c r="A353" s="126"/>
      <c r="B353" s="644"/>
      <c r="C353" s="645">
        <v>139</v>
      </c>
      <c r="D353" s="645" t="s">
        <v>337</v>
      </c>
      <c r="E353" s="645">
        <v>559</v>
      </c>
      <c r="F353" s="645" t="s">
        <v>459</v>
      </c>
      <c r="G353" s="645" t="s">
        <v>623</v>
      </c>
      <c r="H353" s="645">
        <v>73</v>
      </c>
      <c r="I353" s="645">
        <v>174</v>
      </c>
      <c r="J353" s="645">
        <v>0.42</v>
      </c>
      <c r="K353" s="645" t="s">
        <v>496</v>
      </c>
      <c r="L353" s="645" t="s">
        <v>624</v>
      </c>
      <c r="M353" s="645" t="s">
        <v>509</v>
      </c>
      <c r="N353" s="646">
        <v>25000</v>
      </c>
      <c r="O353" s="646">
        <v>342</v>
      </c>
    </row>
    <row r="354" spans="1:15" ht="16" customHeight="1" thickBot="1">
      <c r="A354" s="126"/>
      <c r="B354" s="644"/>
      <c r="C354" s="645">
        <v>139</v>
      </c>
      <c r="D354" s="645" t="s">
        <v>337</v>
      </c>
      <c r="E354" s="645">
        <v>582</v>
      </c>
      <c r="F354" s="645" t="s">
        <v>831</v>
      </c>
      <c r="G354" s="645" t="s">
        <v>554</v>
      </c>
      <c r="H354" s="645">
        <v>601</v>
      </c>
      <c r="I354" s="645">
        <v>915</v>
      </c>
      <c r="J354" s="645">
        <v>0.65700000000000003</v>
      </c>
      <c r="K354" s="645" t="s">
        <v>496</v>
      </c>
      <c r="L354" s="645" t="s">
        <v>497</v>
      </c>
      <c r="M354" s="645" t="s">
        <v>498</v>
      </c>
      <c r="N354" s="646">
        <v>0</v>
      </c>
      <c r="O354" s="646">
        <v>0</v>
      </c>
    </row>
    <row r="355" spans="1:15" ht="16" customHeight="1" thickBot="1">
      <c r="A355" s="126"/>
      <c r="B355" s="644"/>
      <c r="C355" s="645">
        <v>139</v>
      </c>
      <c r="D355" s="645" t="s">
        <v>337</v>
      </c>
      <c r="E355" s="645">
        <v>646</v>
      </c>
      <c r="F355" s="645" t="s">
        <v>832</v>
      </c>
      <c r="G355" s="645" t="s">
        <v>564</v>
      </c>
      <c r="H355" s="645">
        <v>510</v>
      </c>
      <c r="I355" s="645">
        <v>657</v>
      </c>
      <c r="J355" s="645">
        <v>0.77600000000000002</v>
      </c>
      <c r="K355" s="645" t="s">
        <v>496</v>
      </c>
      <c r="L355" s="645" t="s">
        <v>518</v>
      </c>
      <c r="M355" s="645" t="s">
        <v>509</v>
      </c>
      <c r="N355" s="646">
        <v>215500</v>
      </c>
      <c r="O355" s="646">
        <v>422</v>
      </c>
    </row>
    <row r="356" spans="1:15" ht="16" customHeight="1" thickBot="1">
      <c r="A356" s="126"/>
      <c r="B356" s="644"/>
      <c r="C356" s="645">
        <v>139</v>
      </c>
      <c r="D356" s="645" t="s">
        <v>337</v>
      </c>
      <c r="E356" s="645">
        <v>892</v>
      </c>
      <c r="F356" s="645" t="s">
        <v>833</v>
      </c>
      <c r="G356" s="645" t="s">
        <v>564</v>
      </c>
      <c r="H356" s="645">
        <v>467</v>
      </c>
      <c r="I356" s="645">
        <v>652</v>
      </c>
      <c r="J356" s="645">
        <v>0.71599999999999997</v>
      </c>
      <c r="K356" s="645" t="s">
        <v>496</v>
      </c>
      <c r="L356" s="645" t="s">
        <v>518</v>
      </c>
      <c r="M356" s="645" t="s">
        <v>505</v>
      </c>
      <c r="N356" s="646">
        <v>197500</v>
      </c>
      <c r="O356" s="646">
        <v>422</v>
      </c>
    </row>
    <row r="357" spans="1:15" ht="16" customHeight="1" thickBot="1">
      <c r="A357" s="126"/>
      <c r="B357" s="644"/>
      <c r="C357" s="645">
        <v>139</v>
      </c>
      <c r="D357" s="645" t="s">
        <v>337</v>
      </c>
      <c r="E357" s="645">
        <v>985</v>
      </c>
      <c r="F357" s="645" t="s">
        <v>834</v>
      </c>
      <c r="G357" s="645" t="s">
        <v>554</v>
      </c>
      <c r="H357" s="645">
        <v>536</v>
      </c>
      <c r="I357" s="645">
        <v>789</v>
      </c>
      <c r="J357" s="645">
        <v>0.67900000000000005</v>
      </c>
      <c r="K357" s="645" t="s">
        <v>496</v>
      </c>
      <c r="L357" s="645" t="s">
        <v>497</v>
      </c>
      <c r="M357" s="645" t="s">
        <v>505</v>
      </c>
      <c r="N357" s="646">
        <v>0</v>
      </c>
      <c r="O357" s="646">
        <v>0</v>
      </c>
    </row>
    <row r="358" spans="1:15" ht="16" customHeight="1" thickBot="1">
      <c r="A358" s="126"/>
      <c r="B358" s="644"/>
      <c r="C358" s="645">
        <v>139</v>
      </c>
      <c r="D358" s="645" t="s">
        <v>337</v>
      </c>
      <c r="E358" s="645">
        <v>1295</v>
      </c>
      <c r="F358" s="645" t="s">
        <v>835</v>
      </c>
      <c r="G358" s="645" t="s">
        <v>596</v>
      </c>
      <c r="H358" s="645">
        <v>57</v>
      </c>
      <c r="I358" s="645">
        <v>77</v>
      </c>
      <c r="J358" s="645">
        <v>0.74</v>
      </c>
      <c r="K358" s="645" t="s">
        <v>496</v>
      </c>
      <c r="L358" s="645" t="s">
        <v>518</v>
      </c>
      <c r="M358" s="645" t="s">
        <v>509</v>
      </c>
      <c r="N358" s="646">
        <v>24100</v>
      </c>
      <c r="O358" s="646">
        <v>422</v>
      </c>
    </row>
    <row r="359" spans="1:15" ht="16" customHeight="1" thickBot="1">
      <c r="A359" s="126"/>
      <c r="B359" s="644"/>
      <c r="C359" s="645">
        <v>139</v>
      </c>
      <c r="D359" s="645" t="s">
        <v>337</v>
      </c>
      <c r="E359" s="645">
        <v>9017</v>
      </c>
      <c r="F359" s="645" t="s">
        <v>836</v>
      </c>
      <c r="G359" s="645" t="s">
        <v>557</v>
      </c>
      <c r="H359" s="645">
        <v>80</v>
      </c>
      <c r="I359" s="645">
        <v>125</v>
      </c>
      <c r="J359" s="645">
        <v>0.64</v>
      </c>
      <c r="K359" s="645" t="s">
        <v>496</v>
      </c>
      <c r="L359" s="645" t="s">
        <v>624</v>
      </c>
      <c r="M359" s="645" t="s">
        <v>521</v>
      </c>
      <c r="N359" s="646">
        <v>33800</v>
      </c>
      <c r="O359" s="646">
        <v>422</v>
      </c>
    </row>
    <row r="360" spans="1:15" ht="16" customHeight="1" thickBot="1">
      <c r="A360" s="126"/>
      <c r="B360" s="644"/>
      <c r="C360" s="648" t="s">
        <v>1523</v>
      </c>
      <c r="D360" s="648" t="s">
        <v>1523</v>
      </c>
      <c r="E360" s="648" t="s">
        <v>1523</v>
      </c>
      <c r="F360" s="648" t="s">
        <v>1523</v>
      </c>
      <c r="G360" s="648" t="s">
        <v>1523</v>
      </c>
      <c r="H360" s="648" t="s">
        <v>1523</v>
      </c>
      <c r="I360" s="648" t="s">
        <v>1523</v>
      </c>
      <c r="J360" s="648" t="s">
        <v>1523</v>
      </c>
      <c r="K360" s="648" t="s">
        <v>1523</v>
      </c>
      <c r="L360" s="648" t="s">
        <v>1523</v>
      </c>
      <c r="M360" s="648" t="s">
        <v>1523</v>
      </c>
      <c r="N360" s="648" t="s">
        <v>1523</v>
      </c>
      <c r="O360" s="648" t="s">
        <v>1523</v>
      </c>
    </row>
    <row r="361" spans="1:15" ht="16" customHeight="1" thickBot="1">
      <c r="A361" s="126"/>
      <c r="B361" s="644"/>
      <c r="C361" s="645">
        <v>148</v>
      </c>
      <c r="D361" s="645" t="s">
        <v>338</v>
      </c>
      <c r="E361" s="645">
        <v>245</v>
      </c>
      <c r="F361" s="645" t="s">
        <v>837</v>
      </c>
      <c r="G361" s="645" t="s">
        <v>546</v>
      </c>
      <c r="H361" s="645">
        <v>88</v>
      </c>
      <c r="I361" s="645">
        <v>196</v>
      </c>
      <c r="J361" s="645">
        <v>0.44900000000000001</v>
      </c>
      <c r="K361" s="645" t="s">
        <v>496</v>
      </c>
      <c r="L361" s="645" t="s">
        <v>497</v>
      </c>
      <c r="M361" s="645" t="s">
        <v>509</v>
      </c>
      <c r="N361" s="646">
        <v>0</v>
      </c>
      <c r="O361" s="646">
        <v>0</v>
      </c>
    </row>
    <row r="362" spans="1:15" ht="16" customHeight="1" thickBot="1">
      <c r="A362" s="126"/>
      <c r="B362" s="644"/>
      <c r="C362" s="645">
        <v>148</v>
      </c>
      <c r="D362" s="645" t="s">
        <v>338</v>
      </c>
      <c r="E362" s="645">
        <v>462</v>
      </c>
      <c r="F362" s="645" t="s">
        <v>838</v>
      </c>
      <c r="G362" s="645" t="s">
        <v>681</v>
      </c>
      <c r="H362" s="645">
        <v>51</v>
      </c>
      <c r="I362" s="645">
        <v>97</v>
      </c>
      <c r="J362" s="645">
        <v>0.52600000000000002</v>
      </c>
      <c r="K362" s="645" t="s">
        <v>496</v>
      </c>
      <c r="L362" s="645" t="s">
        <v>624</v>
      </c>
      <c r="M362" s="645" t="s">
        <v>509</v>
      </c>
      <c r="N362" s="646">
        <v>16168</v>
      </c>
      <c r="O362" s="646">
        <v>317</v>
      </c>
    </row>
    <row r="363" spans="1:15" ht="16" customHeight="1" thickBot="1">
      <c r="A363" s="126"/>
      <c r="B363" s="644"/>
      <c r="C363" s="645">
        <v>148</v>
      </c>
      <c r="D363" s="645" t="s">
        <v>338</v>
      </c>
      <c r="E363" s="645">
        <v>463</v>
      </c>
      <c r="F363" s="645" t="s">
        <v>839</v>
      </c>
      <c r="G363" s="645" t="s">
        <v>512</v>
      </c>
      <c r="H363" s="645">
        <v>111</v>
      </c>
      <c r="I363" s="645">
        <v>190</v>
      </c>
      <c r="J363" s="645">
        <v>0.58399999999999996</v>
      </c>
      <c r="K363" s="645" t="s">
        <v>496</v>
      </c>
      <c r="L363" s="645" t="s">
        <v>518</v>
      </c>
      <c r="M363" s="645" t="s">
        <v>509</v>
      </c>
      <c r="N363" s="646">
        <v>45921</v>
      </c>
      <c r="O363" s="646">
        <v>413</v>
      </c>
    </row>
    <row r="364" spans="1:15" ht="16" customHeight="1" thickBot="1">
      <c r="A364" s="126"/>
      <c r="B364" s="644"/>
      <c r="C364" s="648" t="s">
        <v>1523</v>
      </c>
      <c r="D364" s="648" t="s">
        <v>1523</v>
      </c>
      <c r="E364" s="648" t="s">
        <v>1523</v>
      </c>
      <c r="F364" s="648" t="s">
        <v>1523</v>
      </c>
      <c r="G364" s="648" t="s">
        <v>1523</v>
      </c>
      <c r="H364" s="648" t="s">
        <v>1523</v>
      </c>
      <c r="I364" s="648" t="s">
        <v>1523</v>
      </c>
      <c r="J364" s="648" t="s">
        <v>1523</v>
      </c>
      <c r="K364" s="648" t="s">
        <v>1523</v>
      </c>
      <c r="L364" s="648" t="s">
        <v>1523</v>
      </c>
      <c r="M364" s="648" t="s">
        <v>1523</v>
      </c>
      <c r="N364" s="648" t="s">
        <v>1523</v>
      </c>
      <c r="O364" s="648" t="s">
        <v>1523</v>
      </c>
    </row>
    <row r="365" spans="1:15" ht="16" customHeight="1" thickBot="1">
      <c r="A365" s="126"/>
      <c r="B365" s="644"/>
      <c r="C365" s="645">
        <v>149</v>
      </c>
      <c r="D365" s="645" t="s">
        <v>339</v>
      </c>
      <c r="E365" s="645">
        <v>77</v>
      </c>
      <c r="F365" s="645" t="s">
        <v>840</v>
      </c>
      <c r="G365" s="645" t="s">
        <v>557</v>
      </c>
      <c r="H365" s="645">
        <v>21</v>
      </c>
      <c r="I365" s="645">
        <v>66</v>
      </c>
      <c r="J365" s="645">
        <v>0.318</v>
      </c>
      <c r="K365" s="645" t="s">
        <v>501</v>
      </c>
      <c r="L365" s="645" t="s">
        <v>497</v>
      </c>
      <c r="M365" s="645" t="s">
        <v>509</v>
      </c>
      <c r="N365" s="646">
        <v>0</v>
      </c>
      <c r="O365" s="646">
        <v>0</v>
      </c>
    </row>
    <row r="366" spans="1:15" ht="16" customHeight="1" thickBot="1">
      <c r="A366" s="126"/>
      <c r="B366" s="644"/>
      <c r="C366" s="645">
        <v>149</v>
      </c>
      <c r="D366" s="645" t="s">
        <v>339</v>
      </c>
      <c r="E366" s="645">
        <v>464</v>
      </c>
      <c r="F366" s="645" t="s">
        <v>841</v>
      </c>
      <c r="G366" s="645" t="s">
        <v>551</v>
      </c>
      <c r="H366" s="645">
        <v>46</v>
      </c>
      <c r="I366" s="645">
        <v>116</v>
      </c>
      <c r="J366" s="645">
        <v>0.39700000000000002</v>
      </c>
      <c r="K366" s="645" t="s">
        <v>496</v>
      </c>
      <c r="L366" s="645" t="s">
        <v>624</v>
      </c>
      <c r="M366" s="645" t="s">
        <v>509</v>
      </c>
      <c r="N366" s="646">
        <v>24188</v>
      </c>
      <c r="O366" s="646">
        <v>525</v>
      </c>
    </row>
    <row r="367" spans="1:15" ht="16" customHeight="1" thickBot="1">
      <c r="A367" s="126"/>
      <c r="B367" s="644"/>
      <c r="C367" s="648" t="s">
        <v>1523</v>
      </c>
      <c r="D367" s="648" t="s">
        <v>1523</v>
      </c>
      <c r="E367" s="648" t="s">
        <v>1523</v>
      </c>
      <c r="F367" s="648" t="s">
        <v>1523</v>
      </c>
      <c r="G367" s="648" t="s">
        <v>1523</v>
      </c>
      <c r="H367" s="648" t="s">
        <v>1523</v>
      </c>
      <c r="I367" s="648" t="s">
        <v>1523</v>
      </c>
      <c r="J367" s="648" t="s">
        <v>1523</v>
      </c>
      <c r="K367" s="648" t="s">
        <v>1523</v>
      </c>
      <c r="L367" s="648" t="s">
        <v>1523</v>
      </c>
      <c r="M367" s="648" t="s">
        <v>1523</v>
      </c>
      <c r="N367" s="648" t="s">
        <v>1523</v>
      </c>
      <c r="O367" s="648" t="s">
        <v>1523</v>
      </c>
    </row>
    <row r="368" spans="1:15" ht="16" customHeight="1" thickBot="1">
      <c r="A368" s="126"/>
      <c r="B368" s="644"/>
      <c r="C368" s="645">
        <v>150</v>
      </c>
      <c r="D368" s="645" t="s">
        <v>340</v>
      </c>
      <c r="E368" s="645">
        <v>78</v>
      </c>
      <c r="F368" s="645" t="s">
        <v>842</v>
      </c>
      <c r="G368" s="645" t="s">
        <v>691</v>
      </c>
      <c r="H368" s="645">
        <v>89</v>
      </c>
      <c r="I368" s="645">
        <v>248</v>
      </c>
      <c r="J368" s="645">
        <v>0.35899999999999999</v>
      </c>
      <c r="K368" s="645" t="s">
        <v>496</v>
      </c>
      <c r="L368" s="645" t="s">
        <v>497</v>
      </c>
      <c r="M368" s="645" t="s">
        <v>505</v>
      </c>
      <c r="N368" s="646">
        <v>0</v>
      </c>
      <c r="O368" s="646">
        <v>0</v>
      </c>
    </row>
    <row r="369" spans="1:15" ht="16" customHeight="1" thickBot="1">
      <c r="A369" s="126"/>
      <c r="B369" s="644"/>
      <c r="C369" s="645">
        <v>150</v>
      </c>
      <c r="D369" s="645" t="s">
        <v>340</v>
      </c>
      <c r="E369" s="645">
        <v>79</v>
      </c>
      <c r="F369" s="645" t="s">
        <v>843</v>
      </c>
      <c r="G369" s="645" t="s">
        <v>557</v>
      </c>
      <c r="H369" s="645">
        <v>62</v>
      </c>
      <c r="I369" s="645">
        <v>217</v>
      </c>
      <c r="J369" s="645">
        <v>0.28599999999999998</v>
      </c>
      <c r="K369" s="645" t="s">
        <v>496</v>
      </c>
      <c r="L369" s="645" t="s">
        <v>497</v>
      </c>
      <c r="M369" s="645" t="s">
        <v>509</v>
      </c>
      <c r="N369" s="646">
        <v>0</v>
      </c>
      <c r="O369" s="646">
        <v>0</v>
      </c>
    </row>
    <row r="370" spans="1:15" ht="16" customHeight="1" thickBot="1">
      <c r="A370" s="126"/>
      <c r="B370" s="644"/>
      <c r="C370" s="645">
        <v>150</v>
      </c>
      <c r="D370" s="645" t="s">
        <v>340</v>
      </c>
      <c r="E370" s="645">
        <v>466</v>
      </c>
      <c r="F370" s="645" t="s">
        <v>844</v>
      </c>
      <c r="G370" s="645" t="s">
        <v>693</v>
      </c>
      <c r="H370" s="645">
        <v>109</v>
      </c>
      <c r="I370" s="645">
        <v>257</v>
      </c>
      <c r="J370" s="645">
        <v>0.42399999999999999</v>
      </c>
      <c r="K370" s="645" t="s">
        <v>496</v>
      </c>
      <c r="L370" s="645" t="s">
        <v>518</v>
      </c>
      <c r="M370" s="645" t="s">
        <v>521</v>
      </c>
      <c r="N370" s="646">
        <v>61242</v>
      </c>
      <c r="O370" s="646">
        <v>561</v>
      </c>
    </row>
    <row r="371" spans="1:15" ht="16" customHeight="1" thickBot="1">
      <c r="A371" s="126"/>
      <c r="B371" s="644"/>
      <c r="C371" s="648" t="s">
        <v>1523</v>
      </c>
      <c r="D371" s="648" t="s">
        <v>1523</v>
      </c>
      <c r="E371" s="648" t="s">
        <v>1523</v>
      </c>
      <c r="F371" s="648" t="s">
        <v>1523</v>
      </c>
      <c r="G371" s="648" t="s">
        <v>1523</v>
      </c>
      <c r="H371" s="648" t="s">
        <v>1523</v>
      </c>
      <c r="I371" s="648" t="s">
        <v>1523</v>
      </c>
      <c r="J371" s="648" t="s">
        <v>1523</v>
      </c>
      <c r="K371" s="648" t="s">
        <v>1523</v>
      </c>
      <c r="L371" s="648" t="s">
        <v>1523</v>
      </c>
      <c r="M371" s="648" t="s">
        <v>1523</v>
      </c>
      <c r="N371" s="648" t="s">
        <v>1523</v>
      </c>
      <c r="O371" s="648" t="s">
        <v>1523</v>
      </c>
    </row>
    <row r="372" spans="1:15" ht="16" customHeight="1" thickBot="1">
      <c r="A372" s="126"/>
      <c r="B372" s="644"/>
      <c r="C372" s="645">
        <v>151</v>
      </c>
      <c r="D372" s="645" t="s">
        <v>341</v>
      </c>
      <c r="E372" s="645">
        <v>80</v>
      </c>
      <c r="F372" s="645" t="s">
        <v>845</v>
      </c>
      <c r="G372" s="645" t="s">
        <v>596</v>
      </c>
      <c r="H372" s="645">
        <v>289</v>
      </c>
      <c r="I372" s="645">
        <v>506</v>
      </c>
      <c r="J372" s="645">
        <v>0.57099999999999995</v>
      </c>
      <c r="K372" s="645" t="s">
        <v>496</v>
      </c>
      <c r="L372" s="645" t="s">
        <v>518</v>
      </c>
      <c r="M372" s="645" t="s">
        <v>521</v>
      </c>
      <c r="N372" s="646">
        <v>98894</v>
      </c>
      <c r="O372" s="646">
        <v>342</v>
      </c>
    </row>
    <row r="373" spans="1:15" ht="16" customHeight="1" thickBot="1">
      <c r="A373" s="126"/>
      <c r="B373" s="644"/>
      <c r="C373" s="645">
        <v>151</v>
      </c>
      <c r="D373" s="645" t="s">
        <v>341</v>
      </c>
      <c r="E373" s="645">
        <v>81</v>
      </c>
      <c r="F373" s="645" t="s">
        <v>846</v>
      </c>
      <c r="G373" s="645" t="s">
        <v>557</v>
      </c>
      <c r="H373" s="645">
        <v>415</v>
      </c>
      <c r="I373" s="645">
        <v>863</v>
      </c>
      <c r="J373" s="645">
        <v>0.48099999999999998</v>
      </c>
      <c r="K373" s="645" t="s">
        <v>496</v>
      </c>
      <c r="L373" s="645" t="s">
        <v>497</v>
      </c>
      <c r="M373" s="645" t="s">
        <v>505</v>
      </c>
      <c r="N373" s="646">
        <v>0</v>
      </c>
      <c r="O373" s="646">
        <v>0</v>
      </c>
    </row>
    <row r="374" spans="1:15" ht="16" customHeight="1" thickBot="1">
      <c r="A374" s="126"/>
      <c r="B374" s="644"/>
      <c r="C374" s="645">
        <v>151</v>
      </c>
      <c r="D374" s="645" t="s">
        <v>341</v>
      </c>
      <c r="E374" s="645">
        <v>82</v>
      </c>
      <c r="F374" s="645" t="s">
        <v>847</v>
      </c>
      <c r="G374" s="645" t="s">
        <v>546</v>
      </c>
      <c r="H374" s="645">
        <v>31</v>
      </c>
      <c r="I374" s="645">
        <v>71</v>
      </c>
      <c r="J374" s="645">
        <v>0.437</v>
      </c>
      <c r="K374" s="645" t="s">
        <v>496</v>
      </c>
      <c r="L374" s="645" t="s">
        <v>518</v>
      </c>
      <c r="M374" s="645" t="s">
        <v>505</v>
      </c>
      <c r="N374" s="646">
        <v>10608</v>
      </c>
      <c r="O374" s="646">
        <v>342</v>
      </c>
    </row>
    <row r="375" spans="1:15" ht="16" customHeight="1" thickBot="1">
      <c r="A375" s="126"/>
      <c r="B375" s="644"/>
      <c r="C375" s="645">
        <v>151</v>
      </c>
      <c r="D375" s="645" t="s">
        <v>341</v>
      </c>
      <c r="E375" s="645">
        <v>83</v>
      </c>
      <c r="F375" s="645" t="s">
        <v>848</v>
      </c>
      <c r="G375" s="645" t="s">
        <v>546</v>
      </c>
      <c r="H375" s="645">
        <v>31</v>
      </c>
      <c r="I375" s="645">
        <v>61</v>
      </c>
      <c r="J375" s="645">
        <v>0.50800000000000001</v>
      </c>
      <c r="K375" s="645" t="s">
        <v>496</v>
      </c>
      <c r="L375" s="645" t="s">
        <v>518</v>
      </c>
      <c r="M375" s="645" t="s">
        <v>509</v>
      </c>
      <c r="N375" s="646">
        <v>10608</v>
      </c>
      <c r="O375" s="646">
        <v>342</v>
      </c>
    </row>
    <row r="376" spans="1:15" ht="16" customHeight="1" thickBot="1">
      <c r="A376" s="126"/>
      <c r="B376" s="644"/>
      <c r="C376" s="645">
        <v>151</v>
      </c>
      <c r="D376" s="645" t="s">
        <v>341</v>
      </c>
      <c r="E376" s="645">
        <v>84</v>
      </c>
      <c r="F376" s="645" t="s">
        <v>849</v>
      </c>
      <c r="G376" s="645" t="s">
        <v>557</v>
      </c>
      <c r="H376" s="645">
        <v>94</v>
      </c>
      <c r="I376" s="645">
        <v>310</v>
      </c>
      <c r="J376" s="645">
        <v>0.30299999999999999</v>
      </c>
      <c r="K376" s="645" t="s">
        <v>501</v>
      </c>
      <c r="L376" s="645" t="s">
        <v>497</v>
      </c>
      <c r="M376" s="645" t="s">
        <v>505</v>
      </c>
      <c r="N376" s="646">
        <v>0</v>
      </c>
      <c r="O376" s="646">
        <v>0</v>
      </c>
    </row>
    <row r="377" spans="1:15" ht="16" customHeight="1" thickBot="1">
      <c r="A377" s="126"/>
      <c r="B377" s="644"/>
      <c r="C377" s="645">
        <v>151</v>
      </c>
      <c r="D377" s="645" t="s">
        <v>341</v>
      </c>
      <c r="E377" s="645">
        <v>216</v>
      </c>
      <c r="F377" s="645" t="s">
        <v>850</v>
      </c>
      <c r="G377" s="645" t="s">
        <v>618</v>
      </c>
      <c r="H377" s="645">
        <v>531</v>
      </c>
      <c r="I377" s="645">
        <v>824</v>
      </c>
      <c r="J377" s="645">
        <v>0.64400000000000002</v>
      </c>
      <c r="K377" s="645" t="s">
        <v>496</v>
      </c>
      <c r="L377" s="645" t="s">
        <v>518</v>
      </c>
      <c r="M377" s="645" t="s">
        <v>498</v>
      </c>
      <c r="N377" s="646">
        <v>181704</v>
      </c>
      <c r="O377" s="646">
        <v>342</v>
      </c>
    </row>
    <row r="378" spans="1:15" ht="16" customHeight="1" thickBot="1">
      <c r="A378" s="126"/>
      <c r="B378" s="644"/>
      <c r="C378" s="645">
        <v>151</v>
      </c>
      <c r="D378" s="645" t="s">
        <v>341</v>
      </c>
      <c r="E378" s="645">
        <v>238</v>
      </c>
      <c r="F378" s="645" t="s">
        <v>851</v>
      </c>
      <c r="G378" s="645" t="s">
        <v>678</v>
      </c>
      <c r="H378" s="647" t="s">
        <v>1523</v>
      </c>
      <c r="I378" s="645">
        <v>50</v>
      </c>
      <c r="J378" s="647" t="s">
        <v>1523</v>
      </c>
      <c r="K378" s="645" t="s">
        <v>496</v>
      </c>
      <c r="L378" s="645" t="s">
        <v>497</v>
      </c>
      <c r="M378" s="645" t="s">
        <v>509</v>
      </c>
      <c r="N378" s="646">
        <v>0</v>
      </c>
      <c r="O378" s="647" t="s">
        <v>1523</v>
      </c>
    </row>
    <row r="379" spans="1:15" ht="16" customHeight="1" thickBot="1">
      <c r="A379" s="126"/>
      <c r="B379" s="644"/>
      <c r="C379" s="645">
        <v>151</v>
      </c>
      <c r="D379" s="645" t="s">
        <v>341</v>
      </c>
      <c r="E379" s="645">
        <v>292</v>
      </c>
      <c r="F379" s="645" t="s">
        <v>852</v>
      </c>
      <c r="G379" s="645" t="s">
        <v>554</v>
      </c>
      <c r="H379" s="645">
        <v>98</v>
      </c>
      <c r="I379" s="645">
        <v>234</v>
      </c>
      <c r="J379" s="645">
        <v>0.41899999999999998</v>
      </c>
      <c r="K379" s="645" t="s">
        <v>496</v>
      </c>
      <c r="L379" s="645" t="s">
        <v>518</v>
      </c>
      <c r="M379" s="645" t="s">
        <v>498</v>
      </c>
      <c r="N379" s="646">
        <v>33530</v>
      </c>
      <c r="O379" s="646">
        <v>342</v>
      </c>
    </row>
    <row r="380" spans="1:15" ht="16" customHeight="1" thickBot="1">
      <c r="A380" s="126"/>
      <c r="B380" s="644"/>
      <c r="C380" s="645">
        <v>151</v>
      </c>
      <c r="D380" s="645" t="s">
        <v>341</v>
      </c>
      <c r="E380" s="645">
        <v>468</v>
      </c>
      <c r="F380" s="645" t="s">
        <v>853</v>
      </c>
      <c r="G380" s="645" t="s">
        <v>512</v>
      </c>
      <c r="H380" s="647" t="s">
        <v>1523</v>
      </c>
      <c r="I380" s="647" t="s">
        <v>1523</v>
      </c>
      <c r="J380" s="647" t="s">
        <v>1523</v>
      </c>
      <c r="K380" s="645" t="s">
        <v>496</v>
      </c>
      <c r="L380" s="645" t="s">
        <v>497</v>
      </c>
      <c r="M380" s="645" t="s">
        <v>509</v>
      </c>
      <c r="N380" s="646">
        <v>0</v>
      </c>
      <c r="O380" s="646">
        <v>0</v>
      </c>
    </row>
    <row r="381" spans="1:15" ht="16" customHeight="1" thickBot="1">
      <c r="A381" s="126"/>
      <c r="B381" s="644"/>
      <c r="C381" s="645">
        <v>151</v>
      </c>
      <c r="D381" s="645" t="s">
        <v>341</v>
      </c>
      <c r="E381" s="645">
        <v>469</v>
      </c>
      <c r="F381" s="645" t="s">
        <v>854</v>
      </c>
      <c r="G381" s="645" t="s">
        <v>564</v>
      </c>
      <c r="H381" s="645">
        <v>185</v>
      </c>
      <c r="I381" s="645">
        <v>421</v>
      </c>
      <c r="J381" s="645">
        <v>0.439</v>
      </c>
      <c r="K381" s="645" t="s">
        <v>496</v>
      </c>
      <c r="L381" s="645" t="s">
        <v>518</v>
      </c>
      <c r="M381" s="645" t="s">
        <v>521</v>
      </c>
      <c r="N381" s="646">
        <v>63306</v>
      </c>
      <c r="O381" s="646">
        <v>342</v>
      </c>
    </row>
    <row r="382" spans="1:15" ht="16" customHeight="1" thickBot="1">
      <c r="A382" s="126"/>
      <c r="B382" s="644"/>
      <c r="C382" s="645">
        <v>151</v>
      </c>
      <c r="D382" s="645" t="s">
        <v>341</v>
      </c>
      <c r="E382" s="645">
        <v>470</v>
      </c>
      <c r="F382" s="645" t="s">
        <v>855</v>
      </c>
      <c r="G382" s="645" t="s">
        <v>612</v>
      </c>
      <c r="H382" s="645">
        <v>363</v>
      </c>
      <c r="I382" s="645">
        <v>574</v>
      </c>
      <c r="J382" s="645">
        <v>0.63200000000000001</v>
      </c>
      <c r="K382" s="645" t="s">
        <v>496</v>
      </c>
      <c r="L382" s="645" t="s">
        <v>518</v>
      </c>
      <c r="M382" s="645" t="s">
        <v>505</v>
      </c>
      <c r="N382" s="646">
        <v>122847</v>
      </c>
      <c r="O382" s="646">
        <v>338</v>
      </c>
    </row>
    <row r="383" spans="1:15" ht="16" customHeight="1" thickBot="1">
      <c r="A383" s="126"/>
      <c r="B383" s="644"/>
      <c r="C383" s="645">
        <v>151</v>
      </c>
      <c r="D383" s="645" t="s">
        <v>341</v>
      </c>
      <c r="E383" s="645">
        <v>471</v>
      </c>
      <c r="F383" s="645" t="s">
        <v>856</v>
      </c>
      <c r="G383" s="645" t="s">
        <v>512</v>
      </c>
      <c r="H383" s="645">
        <v>130</v>
      </c>
      <c r="I383" s="645">
        <v>221</v>
      </c>
      <c r="J383" s="645">
        <v>0.58799999999999997</v>
      </c>
      <c r="K383" s="645" t="s">
        <v>496</v>
      </c>
      <c r="L383" s="645" t="s">
        <v>518</v>
      </c>
      <c r="M383" s="645" t="s">
        <v>505</v>
      </c>
      <c r="N383" s="646">
        <v>44485</v>
      </c>
      <c r="O383" s="646">
        <v>342</v>
      </c>
    </row>
    <row r="384" spans="1:15" ht="16" customHeight="1" thickBot="1">
      <c r="A384" s="126"/>
      <c r="B384" s="644"/>
      <c r="C384" s="645">
        <v>151</v>
      </c>
      <c r="D384" s="645" t="s">
        <v>341</v>
      </c>
      <c r="E384" s="645">
        <v>473</v>
      </c>
      <c r="F384" s="645" t="s">
        <v>857</v>
      </c>
      <c r="G384" s="645" t="s">
        <v>512</v>
      </c>
      <c r="H384" s="645">
        <v>109</v>
      </c>
      <c r="I384" s="645">
        <v>220</v>
      </c>
      <c r="J384" s="645">
        <v>0.495</v>
      </c>
      <c r="K384" s="645" t="s">
        <v>496</v>
      </c>
      <c r="L384" s="645" t="s">
        <v>518</v>
      </c>
      <c r="M384" s="645" t="s">
        <v>498</v>
      </c>
      <c r="N384" s="646">
        <v>37299</v>
      </c>
      <c r="O384" s="646">
        <v>342</v>
      </c>
    </row>
    <row r="385" spans="1:15" ht="16" customHeight="1" thickBot="1">
      <c r="A385" s="126"/>
      <c r="B385" s="644"/>
      <c r="C385" s="645">
        <v>151</v>
      </c>
      <c r="D385" s="645" t="s">
        <v>341</v>
      </c>
      <c r="E385" s="645">
        <v>474</v>
      </c>
      <c r="F385" s="645" t="s">
        <v>858</v>
      </c>
      <c r="G385" s="645" t="s">
        <v>612</v>
      </c>
      <c r="H385" s="645">
        <v>428</v>
      </c>
      <c r="I385" s="645">
        <v>604</v>
      </c>
      <c r="J385" s="645">
        <v>0.70899999999999996</v>
      </c>
      <c r="K385" s="645" t="s">
        <v>496</v>
      </c>
      <c r="L385" s="645" t="s">
        <v>518</v>
      </c>
      <c r="M385" s="645" t="s">
        <v>509</v>
      </c>
      <c r="N385" s="646">
        <v>145090</v>
      </c>
      <c r="O385" s="646">
        <v>338</v>
      </c>
    </row>
    <row r="386" spans="1:15" ht="16" customHeight="1" thickBot="1">
      <c r="A386" s="126"/>
      <c r="B386" s="644"/>
      <c r="C386" s="645">
        <v>151</v>
      </c>
      <c r="D386" s="645" t="s">
        <v>341</v>
      </c>
      <c r="E386" s="645">
        <v>475</v>
      </c>
      <c r="F386" s="645" t="s">
        <v>859</v>
      </c>
      <c r="G386" s="645" t="s">
        <v>564</v>
      </c>
      <c r="H386" s="645">
        <v>22</v>
      </c>
      <c r="I386" s="645">
        <v>34</v>
      </c>
      <c r="J386" s="645">
        <v>0.64700000000000002</v>
      </c>
      <c r="K386" s="645" t="s">
        <v>496</v>
      </c>
      <c r="L386" s="645" t="s">
        <v>497</v>
      </c>
      <c r="M386" s="645" t="s">
        <v>509</v>
      </c>
      <c r="N386" s="646">
        <v>0</v>
      </c>
      <c r="O386" s="646">
        <v>0</v>
      </c>
    </row>
    <row r="387" spans="1:15" ht="16" customHeight="1" thickBot="1">
      <c r="A387" s="126"/>
      <c r="B387" s="644"/>
      <c r="C387" s="645">
        <v>151</v>
      </c>
      <c r="D387" s="645" t="s">
        <v>341</v>
      </c>
      <c r="E387" s="645">
        <v>990</v>
      </c>
      <c r="F387" s="645" t="s">
        <v>860</v>
      </c>
      <c r="G387" s="645" t="s">
        <v>546</v>
      </c>
      <c r="H387" s="645">
        <v>107</v>
      </c>
      <c r="I387" s="645">
        <v>126</v>
      </c>
      <c r="J387" s="645">
        <v>0.84899999999999998</v>
      </c>
      <c r="K387" s="645" t="s">
        <v>496</v>
      </c>
      <c r="L387" s="645" t="s">
        <v>518</v>
      </c>
      <c r="M387" s="645" t="s">
        <v>498</v>
      </c>
      <c r="N387" s="646">
        <v>36615</v>
      </c>
      <c r="O387" s="646">
        <v>342</v>
      </c>
    </row>
    <row r="388" spans="1:15" ht="16" customHeight="1" thickBot="1">
      <c r="A388" s="126"/>
      <c r="B388" s="644"/>
      <c r="C388" s="648" t="s">
        <v>1523</v>
      </c>
      <c r="D388" s="648" t="s">
        <v>1523</v>
      </c>
      <c r="E388" s="648" t="s">
        <v>1523</v>
      </c>
      <c r="F388" s="648" t="s">
        <v>1523</v>
      </c>
      <c r="G388" s="648" t="s">
        <v>1523</v>
      </c>
      <c r="H388" s="648" t="s">
        <v>1523</v>
      </c>
      <c r="I388" s="648" t="s">
        <v>1523</v>
      </c>
      <c r="J388" s="648" t="s">
        <v>1523</v>
      </c>
      <c r="K388" s="648" t="s">
        <v>1523</v>
      </c>
      <c r="L388" s="648" t="s">
        <v>1523</v>
      </c>
      <c r="M388" s="648" t="s">
        <v>1523</v>
      </c>
      <c r="N388" s="648" t="s">
        <v>1523</v>
      </c>
      <c r="O388" s="648" t="s">
        <v>1523</v>
      </c>
    </row>
    <row r="389" spans="1:15" ht="16" customHeight="1" thickBot="1">
      <c r="A389" s="126"/>
      <c r="B389" s="644"/>
      <c r="C389" s="645">
        <v>161</v>
      </c>
      <c r="D389" s="645" t="s">
        <v>342</v>
      </c>
      <c r="E389" s="645">
        <v>85</v>
      </c>
      <c r="F389" s="645" t="s">
        <v>861</v>
      </c>
      <c r="G389" s="645" t="s">
        <v>715</v>
      </c>
      <c r="H389" s="645">
        <v>53</v>
      </c>
      <c r="I389" s="645">
        <v>74</v>
      </c>
      <c r="J389" s="645">
        <v>0.71599999999999997</v>
      </c>
      <c r="K389" s="645" t="s">
        <v>496</v>
      </c>
      <c r="L389" s="645" t="s">
        <v>624</v>
      </c>
      <c r="M389" s="645" t="s">
        <v>505</v>
      </c>
      <c r="N389" s="646">
        <v>27151</v>
      </c>
      <c r="O389" s="646">
        <v>512</v>
      </c>
    </row>
    <row r="390" spans="1:15" ht="16" customHeight="1" thickBot="1">
      <c r="A390" s="126"/>
      <c r="B390" s="644"/>
      <c r="C390" s="645">
        <v>161</v>
      </c>
      <c r="D390" s="645" t="s">
        <v>342</v>
      </c>
      <c r="E390" s="645">
        <v>478</v>
      </c>
      <c r="F390" s="645" t="s">
        <v>862</v>
      </c>
      <c r="G390" s="645" t="s">
        <v>551</v>
      </c>
      <c r="H390" s="645">
        <v>68</v>
      </c>
      <c r="I390" s="645">
        <v>79</v>
      </c>
      <c r="J390" s="645">
        <v>0.86099999999999999</v>
      </c>
      <c r="K390" s="645" t="s">
        <v>496</v>
      </c>
      <c r="L390" s="645" t="s">
        <v>624</v>
      </c>
      <c r="M390" s="645" t="s">
        <v>498</v>
      </c>
      <c r="N390" s="646">
        <v>27927</v>
      </c>
      <c r="O390" s="646">
        <v>410</v>
      </c>
    </row>
    <row r="391" spans="1:15" ht="16" customHeight="1" thickBot="1">
      <c r="A391" s="126"/>
      <c r="B391" s="644"/>
      <c r="C391" s="648" t="s">
        <v>1523</v>
      </c>
      <c r="D391" s="648" t="s">
        <v>1523</v>
      </c>
      <c r="E391" s="648" t="s">
        <v>1523</v>
      </c>
      <c r="F391" s="648" t="s">
        <v>1523</v>
      </c>
      <c r="G391" s="648" t="s">
        <v>1523</v>
      </c>
      <c r="H391" s="648" t="s">
        <v>1523</v>
      </c>
      <c r="I391" s="648" t="s">
        <v>1523</v>
      </c>
      <c r="J391" s="648" t="s">
        <v>1523</v>
      </c>
      <c r="K391" s="648" t="s">
        <v>1523</v>
      </c>
      <c r="L391" s="648" t="s">
        <v>1523</v>
      </c>
      <c r="M391" s="648" t="s">
        <v>1523</v>
      </c>
      <c r="N391" s="648" t="s">
        <v>1523</v>
      </c>
      <c r="O391" s="648" t="s">
        <v>1523</v>
      </c>
    </row>
    <row r="392" spans="1:15" ht="16" customHeight="1" thickBot="1">
      <c r="A392" s="126"/>
      <c r="B392" s="644"/>
      <c r="C392" s="645">
        <v>171</v>
      </c>
      <c r="D392" s="645" t="s">
        <v>343</v>
      </c>
      <c r="E392" s="645">
        <v>87</v>
      </c>
      <c r="F392" s="645" t="s">
        <v>510</v>
      </c>
      <c r="G392" s="645" t="s">
        <v>546</v>
      </c>
      <c r="H392" s="645">
        <v>74</v>
      </c>
      <c r="I392" s="645">
        <v>108</v>
      </c>
      <c r="J392" s="645">
        <v>0.68500000000000005</v>
      </c>
      <c r="K392" s="645" t="s">
        <v>496</v>
      </c>
      <c r="L392" s="645" t="s">
        <v>518</v>
      </c>
      <c r="M392" s="645" t="s">
        <v>505</v>
      </c>
      <c r="N392" s="646">
        <v>45000</v>
      </c>
      <c r="O392" s="646">
        <v>608</v>
      </c>
    </row>
    <row r="393" spans="1:15" ht="16" customHeight="1" thickBot="1">
      <c r="A393" s="126"/>
      <c r="B393" s="644"/>
      <c r="C393" s="645">
        <v>171</v>
      </c>
      <c r="D393" s="645" t="s">
        <v>343</v>
      </c>
      <c r="E393" s="645">
        <v>88</v>
      </c>
      <c r="F393" s="645" t="s">
        <v>863</v>
      </c>
      <c r="G393" s="645" t="s">
        <v>546</v>
      </c>
      <c r="H393" s="645">
        <v>192</v>
      </c>
      <c r="I393" s="645">
        <v>391</v>
      </c>
      <c r="J393" s="645">
        <v>0.49099999999999999</v>
      </c>
      <c r="K393" s="645" t="s">
        <v>496</v>
      </c>
      <c r="L393" s="645" t="s">
        <v>497</v>
      </c>
      <c r="M393" s="645" t="s">
        <v>505</v>
      </c>
      <c r="N393" s="646">
        <v>0</v>
      </c>
      <c r="O393" s="646">
        <v>0</v>
      </c>
    </row>
    <row r="394" spans="1:15" ht="16" customHeight="1" thickBot="1">
      <c r="A394" s="126"/>
      <c r="B394" s="644"/>
      <c r="C394" s="645">
        <v>171</v>
      </c>
      <c r="D394" s="645" t="s">
        <v>343</v>
      </c>
      <c r="E394" s="645">
        <v>479</v>
      </c>
      <c r="F394" s="645" t="s">
        <v>864</v>
      </c>
      <c r="G394" s="645" t="s">
        <v>621</v>
      </c>
      <c r="H394" s="645">
        <v>208</v>
      </c>
      <c r="I394" s="645">
        <v>363</v>
      </c>
      <c r="J394" s="645">
        <v>0.57299999999999995</v>
      </c>
      <c r="K394" s="645" t="s">
        <v>496</v>
      </c>
      <c r="L394" s="645" t="s">
        <v>518</v>
      </c>
      <c r="M394" s="645" t="s">
        <v>505</v>
      </c>
      <c r="N394" s="646">
        <v>123067</v>
      </c>
      <c r="O394" s="646">
        <v>591</v>
      </c>
    </row>
    <row r="395" spans="1:15" ht="16" customHeight="1" thickBot="1">
      <c r="A395" s="126"/>
      <c r="B395" s="644"/>
      <c r="C395" s="645">
        <v>171</v>
      </c>
      <c r="D395" s="645" t="s">
        <v>343</v>
      </c>
      <c r="E395" s="645">
        <v>481</v>
      </c>
      <c r="F395" s="645" t="s">
        <v>865</v>
      </c>
      <c r="G395" s="645" t="s">
        <v>512</v>
      </c>
      <c r="H395" s="645">
        <v>10</v>
      </c>
      <c r="I395" s="645">
        <v>26</v>
      </c>
      <c r="J395" s="645">
        <v>0.38500000000000001</v>
      </c>
      <c r="K395" s="645" t="s">
        <v>496</v>
      </c>
      <c r="L395" s="645" t="s">
        <v>497</v>
      </c>
      <c r="M395" s="645" t="s">
        <v>498</v>
      </c>
      <c r="N395" s="646">
        <v>0</v>
      </c>
      <c r="O395" s="646">
        <v>0</v>
      </c>
    </row>
    <row r="396" spans="1:15" ht="16" customHeight="1" thickBot="1">
      <c r="A396" s="126"/>
      <c r="B396" s="644"/>
      <c r="C396" s="645">
        <v>171</v>
      </c>
      <c r="D396" s="645" t="s">
        <v>343</v>
      </c>
      <c r="E396" s="645">
        <v>482</v>
      </c>
      <c r="F396" s="645" t="s">
        <v>866</v>
      </c>
      <c r="G396" s="645" t="s">
        <v>512</v>
      </c>
      <c r="H396" s="645">
        <v>10</v>
      </c>
      <c r="I396" s="645">
        <v>20</v>
      </c>
      <c r="J396" s="645">
        <v>0.5</v>
      </c>
      <c r="K396" s="645" t="s">
        <v>496</v>
      </c>
      <c r="L396" s="645" t="s">
        <v>497</v>
      </c>
      <c r="M396" s="645" t="s">
        <v>509</v>
      </c>
      <c r="N396" s="646">
        <v>0</v>
      </c>
      <c r="O396" s="646">
        <v>0</v>
      </c>
    </row>
    <row r="397" spans="1:15" ht="16" customHeight="1" thickBot="1">
      <c r="A397" s="126"/>
      <c r="B397" s="644"/>
      <c r="C397" s="645">
        <v>171</v>
      </c>
      <c r="D397" s="645" t="s">
        <v>343</v>
      </c>
      <c r="E397" s="645">
        <v>1362</v>
      </c>
      <c r="F397" s="645" t="s">
        <v>867</v>
      </c>
      <c r="G397" s="645" t="s">
        <v>557</v>
      </c>
      <c r="H397" s="645">
        <v>45</v>
      </c>
      <c r="I397" s="645">
        <v>77</v>
      </c>
      <c r="J397" s="645">
        <v>0.58399999999999996</v>
      </c>
      <c r="K397" s="645" t="s">
        <v>496</v>
      </c>
      <c r="L397" s="645" t="s">
        <v>497</v>
      </c>
      <c r="M397" s="645" t="s">
        <v>505</v>
      </c>
      <c r="N397" s="646">
        <v>0</v>
      </c>
      <c r="O397" s="646">
        <v>0</v>
      </c>
    </row>
    <row r="398" spans="1:15" ht="16" customHeight="1" thickBot="1">
      <c r="A398" s="126"/>
      <c r="B398" s="644"/>
      <c r="C398" s="645">
        <v>171</v>
      </c>
      <c r="D398" s="645" t="s">
        <v>343</v>
      </c>
      <c r="E398" s="645">
        <v>2520</v>
      </c>
      <c r="F398" s="645" t="s">
        <v>868</v>
      </c>
      <c r="G398" s="645" t="s">
        <v>512</v>
      </c>
      <c r="H398" s="645">
        <v>74</v>
      </c>
      <c r="I398" s="645">
        <v>106</v>
      </c>
      <c r="J398" s="645">
        <v>0.69799999999999995</v>
      </c>
      <c r="K398" s="645" t="s">
        <v>496</v>
      </c>
      <c r="L398" s="645" t="s">
        <v>518</v>
      </c>
      <c r="M398" s="645" t="s">
        <v>505</v>
      </c>
      <c r="N398" s="646">
        <v>46000</v>
      </c>
      <c r="O398" s="646">
        <v>621</v>
      </c>
    </row>
    <row r="399" spans="1:15" ht="16" customHeight="1" thickBot="1">
      <c r="A399" s="126"/>
      <c r="B399" s="644"/>
      <c r="C399" s="648" t="s">
        <v>1523</v>
      </c>
      <c r="D399" s="648" t="s">
        <v>1523</v>
      </c>
      <c r="E399" s="648" t="s">
        <v>1523</v>
      </c>
      <c r="F399" s="648" t="s">
        <v>1523</v>
      </c>
      <c r="G399" s="648" t="s">
        <v>1523</v>
      </c>
      <c r="H399" s="648" t="s">
        <v>1523</v>
      </c>
      <c r="I399" s="648" t="s">
        <v>1523</v>
      </c>
      <c r="J399" s="648" t="s">
        <v>1523</v>
      </c>
      <c r="K399" s="648" t="s">
        <v>1523</v>
      </c>
      <c r="L399" s="648" t="s">
        <v>1523</v>
      </c>
      <c r="M399" s="648" t="s">
        <v>1523</v>
      </c>
      <c r="N399" s="648" t="s">
        <v>1523</v>
      </c>
      <c r="O399" s="648" t="s">
        <v>1523</v>
      </c>
    </row>
    <row r="400" spans="1:15" ht="16" customHeight="1" thickBot="1">
      <c r="A400" s="126"/>
      <c r="B400" s="644"/>
      <c r="C400" s="645">
        <v>181</v>
      </c>
      <c r="D400" s="645" t="s">
        <v>344</v>
      </c>
      <c r="E400" s="645">
        <v>89</v>
      </c>
      <c r="F400" s="645" t="s">
        <v>869</v>
      </c>
      <c r="G400" s="645" t="s">
        <v>546</v>
      </c>
      <c r="H400" s="645">
        <v>67</v>
      </c>
      <c r="I400" s="645">
        <v>187</v>
      </c>
      <c r="J400" s="645">
        <v>0.35799999999999998</v>
      </c>
      <c r="K400" s="645" t="s">
        <v>496</v>
      </c>
      <c r="L400" s="645" t="s">
        <v>497</v>
      </c>
      <c r="M400" s="645" t="s">
        <v>505</v>
      </c>
      <c r="N400" s="646">
        <v>0</v>
      </c>
      <c r="O400" s="646">
        <v>0</v>
      </c>
    </row>
    <row r="401" spans="1:15" ht="16" customHeight="1" thickBot="1">
      <c r="A401" s="126"/>
      <c r="B401" s="644"/>
      <c r="C401" s="645">
        <v>181</v>
      </c>
      <c r="D401" s="645" t="s">
        <v>344</v>
      </c>
      <c r="E401" s="645">
        <v>486</v>
      </c>
      <c r="F401" s="645" t="s">
        <v>870</v>
      </c>
      <c r="G401" s="645" t="s">
        <v>551</v>
      </c>
      <c r="H401" s="647" t="s">
        <v>1523</v>
      </c>
      <c r="I401" s="647" t="s">
        <v>1523</v>
      </c>
      <c r="J401" s="647" t="s">
        <v>1523</v>
      </c>
      <c r="K401" s="645" t="s">
        <v>501</v>
      </c>
      <c r="L401" s="645" t="s">
        <v>497</v>
      </c>
      <c r="M401" s="645" t="s">
        <v>509</v>
      </c>
      <c r="N401" s="646">
        <v>0</v>
      </c>
      <c r="O401" s="646">
        <v>0</v>
      </c>
    </row>
    <row r="402" spans="1:15" ht="16" customHeight="1" thickBot="1">
      <c r="A402" s="126"/>
      <c r="B402" s="644"/>
      <c r="C402" s="645">
        <v>181</v>
      </c>
      <c r="D402" s="645" t="s">
        <v>344</v>
      </c>
      <c r="E402" s="645">
        <v>487</v>
      </c>
      <c r="F402" s="645" t="s">
        <v>871</v>
      </c>
      <c r="G402" s="645" t="s">
        <v>512</v>
      </c>
      <c r="H402" s="647" t="s">
        <v>1523</v>
      </c>
      <c r="I402" s="647" t="s">
        <v>1523</v>
      </c>
      <c r="J402" s="647" t="s">
        <v>1523</v>
      </c>
      <c r="K402" s="645" t="s">
        <v>496</v>
      </c>
      <c r="L402" s="645" t="s">
        <v>624</v>
      </c>
      <c r="M402" s="645" t="s">
        <v>509</v>
      </c>
      <c r="N402" s="646">
        <v>2628</v>
      </c>
      <c r="O402" s="646">
        <v>438</v>
      </c>
    </row>
    <row r="403" spans="1:15" ht="16" customHeight="1" thickBot="1">
      <c r="A403" s="126"/>
      <c r="B403" s="644"/>
      <c r="C403" s="645">
        <v>181</v>
      </c>
      <c r="D403" s="645" t="s">
        <v>344</v>
      </c>
      <c r="E403" s="645">
        <v>489</v>
      </c>
      <c r="F403" s="645" t="s">
        <v>872</v>
      </c>
      <c r="G403" s="645" t="s">
        <v>512</v>
      </c>
      <c r="H403" s="645">
        <v>82</v>
      </c>
      <c r="I403" s="645">
        <v>176</v>
      </c>
      <c r="J403" s="645">
        <v>0.46600000000000003</v>
      </c>
      <c r="K403" s="645" t="s">
        <v>496</v>
      </c>
      <c r="L403" s="645" t="s">
        <v>518</v>
      </c>
      <c r="M403" s="645" t="s">
        <v>521</v>
      </c>
      <c r="N403" s="646">
        <v>57236</v>
      </c>
      <c r="O403" s="646">
        <v>698</v>
      </c>
    </row>
    <row r="404" spans="1:15" ht="16" customHeight="1" thickBot="1">
      <c r="A404" s="126"/>
      <c r="B404" s="644"/>
      <c r="C404" s="648" t="s">
        <v>1523</v>
      </c>
      <c r="D404" s="648" t="s">
        <v>1523</v>
      </c>
      <c r="E404" s="648" t="s">
        <v>1523</v>
      </c>
      <c r="F404" s="648" t="s">
        <v>1523</v>
      </c>
      <c r="G404" s="648" t="s">
        <v>1523</v>
      </c>
      <c r="H404" s="648" t="s">
        <v>1523</v>
      </c>
      <c r="I404" s="648" t="s">
        <v>1523</v>
      </c>
      <c r="J404" s="648" t="s">
        <v>1523</v>
      </c>
      <c r="K404" s="648" t="s">
        <v>1523</v>
      </c>
      <c r="L404" s="648" t="s">
        <v>1523</v>
      </c>
      <c r="M404" s="648" t="s">
        <v>1523</v>
      </c>
      <c r="N404" s="648" t="s">
        <v>1523</v>
      </c>
      <c r="O404" s="648" t="s">
        <v>1523</v>
      </c>
    </row>
    <row r="405" spans="1:15" ht="16" customHeight="1" thickBot="1">
      <c r="A405" s="126"/>
      <c r="B405" s="644"/>
      <c r="C405" s="645">
        <v>182</v>
      </c>
      <c r="D405" s="645" t="s">
        <v>345</v>
      </c>
      <c r="E405" s="645">
        <v>90</v>
      </c>
      <c r="F405" s="645" t="s">
        <v>1528</v>
      </c>
      <c r="G405" s="645" t="s">
        <v>546</v>
      </c>
      <c r="H405" s="645">
        <v>36</v>
      </c>
      <c r="I405" s="645">
        <v>68</v>
      </c>
      <c r="J405" s="645">
        <v>0.52900000000000003</v>
      </c>
      <c r="K405" s="645" t="s">
        <v>496</v>
      </c>
      <c r="L405" s="645" t="s">
        <v>497</v>
      </c>
      <c r="M405" s="645" t="s">
        <v>509</v>
      </c>
      <c r="N405" s="646">
        <v>0</v>
      </c>
      <c r="O405" s="646">
        <v>0</v>
      </c>
    </row>
    <row r="406" spans="1:15" ht="16" customHeight="1" thickBot="1">
      <c r="A406" s="126"/>
      <c r="B406" s="644"/>
      <c r="C406" s="645">
        <v>182</v>
      </c>
      <c r="D406" s="645" t="s">
        <v>345</v>
      </c>
      <c r="E406" s="645">
        <v>490</v>
      </c>
      <c r="F406" s="645" t="s">
        <v>873</v>
      </c>
      <c r="G406" s="645" t="s">
        <v>512</v>
      </c>
      <c r="H406" s="645">
        <v>50</v>
      </c>
      <c r="I406" s="645">
        <v>104</v>
      </c>
      <c r="J406" s="645">
        <v>0.48099999999999998</v>
      </c>
      <c r="K406" s="645" t="s">
        <v>496</v>
      </c>
      <c r="L406" s="645" t="s">
        <v>624</v>
      </c>
      <c r="M406" s="645" t="s">
        <v>505</v>
      </c>
      <c r="N406" s="646">
        <v>23359</v>
      </c>
      <c r="O406" s="646">
        <v>467</v>
      </c>
    </row>
    <row r="407" spans="1:15" ht="16" customHeight="1" thickBot="1">
      <c r="A407" s="126"/>
      <c r="B407" s="644"/>
      <c r="C407" s="648" t="s">
        <v>1523</v>
      </c>
      <c r="D407" s="648" t="s">
        <v>1523</v>
      </c>
      <c r="E407" s="648" t="s">
        <v>1523</v>
      </c>
      <c r="F407" s="648" t="s">
        <v>1523</v>
      </c>
      <c r="G407" s="648" t="s">
        <v>1523</v>
      </c>
      <c r="H407" s="648" t="s">
        <v>1523</v>
      </c>
      <c r="I407" s="648" t="s">
        <v>1523</v>
      </c>
      <c r="J407" s="648" t="s">
        <v>1523</v>
      </c>
      <c r="K407" s="648" t="s">
        <v>1523</v>
      </c>
      <c r="L407" s="648" t="s">
        <v>1523</v>
      </c>
      <c r="M407" s="648" t="s">
        <v>1523</v>
      </c>
      <c r="N407" s="648" t="s">
        <v>1523</v>
      </c>
      <c r="O407" s="648" t="s">
        <v>1523</v>
      </c>
    </row>
    <row r="408" spans="1:15" ht="16" customHeight="1" thickBot="1">
      <c r="A408" s="126"/>
      <c r="B408" s="644"/>
      <c r="C408" s="645">
        <v>192</v>
      </c>
      <c r="D408" s="645" t="s">
        <v>347</v>
      </c>
      <c r="E408" s="645">
        <v>92</v>
      </c>
      <c r="F408" s="645" t="s">
        <v>875</v>
      </c>
      <c r="G408" s="645" t="s">
        <v>557</v>
      </c>
      <c r="H408" s="645">
        <v>86</v>
      </c>
      <c r="I408" s="645">
        <v>123</v>
      </c>
      <c r="J408" s="645">
        <v>0.69899999999999995</v>
      </c>
      <c r="K408" s="645" t="s">
        <v>496</v>
      </c>
      <c r="L408" s="645" t="s">
        <v>662</v>
      </c>
      <c r="M408" s="645" t="s">
        <v>498</v>
      </c>
      <c r="N408" s="646">
        <v>63100</v>
      </c>
      <c r="O408" s="646">
        <v>733</v>
      </c>
    </row>
    <row r="409" spans="1:15" ht="16" customHeight="1" thickBot="1">
      <c r="A409" s="126"/>
      <c r="B409" s="644"/>
      <c r="C409" s="645">
        <v>192</v>
      </c>
      <c r="D409" s="645" t="s">
        <v>347</v>
      </c>
      <c r="E409" s="645">
        <v>241</v>
      </c>
      <c r="F409" s="645" t="s">
        <v>876</v>
      </c>
      <c r="G409" s="645" t="s">
        <v>554</v>
      </c>
      <c r="H409" s="645">
        <v>74</v>
      </c>
      <c r="I409" s="645">
        <v>97</v>
      </c>
      <c r="J409" s="645">
        <v>0.76300000000000001</v>
      </c>
      <c r="K409" s="645" t="s">
        <v>496</v>
      </c>
      <c r="L409" s="645" t="s">
        <v>662</v>
      </c>
      <c r="M409" s="645" t="s">
        <v>498</v>
      </c>
      <c r="N409" s="646">
        <v>54300</v>
      </c>
      <c r="O409" s="646">
        <v>733</v>
      </c>
    </row>
    <row r="410" spans="1:15" ht="16" customHeight="1" thickBot="1">
      <c r="A410" s="126"/>
      <c r="B410" s="644"/>
      <c r="C410" s="645">
        <v>192</v>
      </c>
      <c r="D410" s="645" t="s">
        <v>347</v>
      </c>
      <c r="E410" s="645">
        <v>492</v>
      </c>
      <c r="F410" s="645" t="s">
        <v>877</v>
      </c>
      <c r="G410" s="645" t="s">
        <v>564</v>
      </c>
      <c r="H410" s="645">
        <v>130</v>
      </c>
      <c r="I410" s="645">
        <v>215</v>
      </c>
      <c r="J410" s="645">
        <v>0.60499999999999998</v>
      </c>
      <c r="K410" s="645" t="s">
        <v>496</v>
      </c>
      <c r="L410" s="645" t="s">
        <v>662</v>
      </c>
      <c r="M410" s="645" t="s">
        <v>498</v>
      </c>
      <c r="N410" s="646">
        <v>95384</v>
      </c>
      <c r="O410" s="646">
        <v>733</v>
      </c>
    </row>
    <row r="411" spans="1:15" ht="16" customHeight="1" thickBot="1">
      <c r="A411" s="126"/>
      <c r="B411" s="644"/>
      <c r="C411" s="648" t="s">
        <v>1523</v>
      </c>
      <c r="D411" s="648" t="s">
        <v>1523</v>
      </c>
      <c r="E411" s="648" t="s">
        <v>1523</v>
      </c>
      <c r="F411" s="648" t="s">
        <v>1523</v>
      </c>
      <c r="G411" s="648" t="s">
        <v>1523</v>
      </c>
      <c r="H411" s="648" t="s">
        <v>1523</v>
      </c>
      <c r="I411" s="648" t="s">
        <v>1523</v>
      </c>
      <c r="J411" s="648" t="s">
        <v>1523</v>
      </c>
      <c r="K411" s="648" t="s">
        <v>1523</v>
      </c>
      <c r="L411" s="648" t="s">
        <v>1523</v>
      </c>
      <c r="M411" s="648" t="s">
        <v>1523</v>
      </c>
      <c r="N411" s="648" t="s">
        <v>1523</v>
      </c>
      <c r="O411" s="648" t="s">
        <v>1523</v>
      </c>
    </row>
    <row r="412" spans="1:15" ht="16" customHeight="1" thickBot="1">
      <c r="A412" s="126"/>
      <c r="B412" s="644"/>
      <c r="C412" s="645">
        <v>193</v>
      </c>
      <c r="D412" s="645" t="s">
        <v>348</v>
      </c>
      <c r="E412" s="645">
        <v>93</v>
      </c>
      <c r="F412" s="645" t="s">
        <v>878</v>
      </c>
      <c r="G412" s="645" t="s">
        <v>596</v>
      </c>
      <c r="H412" s="645">
        <v>295</v>
      </c>
      <c r="I412" s="645">
        <v>578</v>
      </c>
      <c r="J412" s="645">
        <v>0.51</v>
      </c>
      <c r="K412" s="645" t="s">
        <v>496</v>
      </c>
      <c r="L412" s="645" t="s">
        <v>518</v>
      </c>
      <c r="M412" s="645" t="s">
        <v>505</v>
      </c>
      <c r="N412" s="646">
        <v>144743</v>
      </c>
      <c r="O412" s="646">
        <v>490</v>
      </c>
    </row>
    <row r="413" spans="1:15" ht="16" customHeight="1" thickBot="1">
      <c r="A413" s="126"/>
      <c r="B413" s="644"/>
      <c r="C413" s="645">
        <v>193</v>
      </c>
      <c r="D413" s="645" t="s">
        <v>348</v>
      </c>
      <c r="E413" s="645">
        <v>95</v>
      </c>
      <c r="F413" s="645" t="s">
        <v>879</v>
      </c>
      <c r="G413" s="645" t="s">
        <v>557</v>
      </c>
      <c r="H413" s="645">
        <v>360</v>
      </c>
      <c r="I413" s="645">
        <v>970</v>
      </c>
      <c r="J413" s="645">
        <v>0.371</v>
      </c>
      <c r="K413" s="645" t="s">
        <v>496</v>
      </c>
      <c r="L413" s="645" t="s">
        <v>497</v>
      </c>
      <c r="M413" s="645" t="s">
        <v>505</v>
      </c>
      <c r="N413" s="646">
        <v>0</v>
      </c>
      <c r="O413" s="646">
        <v>0</v>
      </c>
    </row>
    <row r="414" spans="1:15" ht="16" customHeight="1" thickBot="1">
      <c r="A414" s="126"/>
      <c r="B414" s="644"/>
      <c r="C414" s="645">
        <v>193</v>
      </c>
      <c r="D414" s="645" t="s">
        <v>348</v>
      </c>
      <c r="E414" s="645">
        <v>493</v>
      </c>
      <c r="F414" s="645" t="s">
        <v>880</v>
      </c>
      <c r="G414" s="645" t="s">
        <v>693</v>
      </c>
      <c r="H414" s="645">
        <v>228</v>
      </c>
      <c r="I414" s="645">
        <v>327</v>
      </c>
      <c r="J414" s="645">
        <v>0.69699999999999995</v>
      </c>
      <c r="K414" s="645" t="s">
        <v>496</v>
      </c>
      <c r="L414" s="645" t="s">
        <v>518</v>
      </c>
      <c r="M414" s="645" t="s">
        <v>505</v>
      </c>
      <c r="N414" s="646">
        <v>192957</v>
      </c>
      <c r="O414" s="646">
        <v>846</v>
      </c>
    </row>
    <row r="415" spans="1:15" ht="16" customHeight="1" thickBot="1">
      <c r="A415" s="126"/>
      <c r="B415" s="644"/>
      <c r="C415" s="645">
        <v>193</v>
      </c>
      <c r="D415" s="645" t="s">
        <v>348</v>
      </c>
      <c r="E415" s="645">
        <v>494</v>
      </c>
      <c r="F415" s="645" t="s">
        <v>881</v>
      </c>
      <c r="G415" s="645" t="s">
        <v>693</v>
      </c>
      <c r="H415" s="645">
        <v>255</v>
      </c>
      <c r="I415" s="645">
        <v>422</v>
      </c>
      <c r="J415" s="645">
        <v>0.60399999999999998</v>
      </c>
      <c r="K415" s="645" t="s">
        <v>496</v>
      </c>
      <c r="L415" s="645" t="s">
        <v>518</v>
      </c>
      <c r="M415" s="645" t="s">
        <v>521</v>
      </c>
      <c r="N415" s="646">
        <v>135000</v>
      </c>
      <c r="O415" s="646">
        <v>529</v>
      </c>
    </row>
    <row r="416" spans="1:15" ht="16" customHeight="1" thickBot="1">
      <c r="A416" s="126"/>
      <c r="B416" s="644"/>
      <c r="C416" s="645">
        <v>193</v>
      </c>
      <c r="D416" s="645" t="s">
        <v>348</v>
      </c>
      <c r="E416" s="645">
        <v>495</v>
      </c>
      <c r="F416" s="645" t="s">
        <v>882</v>
      </c>
      <c r="G416" s="645" t="s">
        <v>693</v>
      </c>
      <c r="H416" s="645">
        <v>188</v>
      </c>
      <c r="I416" s="645">
        <v>337</v>
      </c>
      <c r="J416" s="645">
        <v>0.55800000000000005</v>
      </c>
      <c r="K416" s="645" t="s">
        <v>496</v>
      </c>
      <c r="L416" s="645" t="s">
        <v>518</v>
      </c>
      <c r="M416" s="645" t="s">
        <v>498</v>
      </c>
      <c r="N416" s="646">
        <v>99930</v>
      </c>
      <c r="O416" s="646">
        <v>531</v>
      </c>
    </row>
    <row r="417" spans="1:15" ht="16" customHeight="1" thickBot="1">
      <c r="A417" s="126"/>
      <c r="B417" s="644"/>
      <c r="C417" s="645">
        <v>193</v>
      </c>
      <c r="D417" s="645" t="s">
        <v>348</v>
      </c>
      <c r="E417" s="645">
        <v>502</v>
      </c>
      <c r="F417" s="645" t="s">
        <v>883</v>
      </c>
      <c r="G417" s="645" t="s">
        <v>693</v>
      </c>
      <c r="H417" s="645">
        <v>82</v>
      </c>
      <c r="I417" s="645">
        <v>238</v>
      </c>
      <c r="J417" s="645">
        <v>0.34499999999999997</v>
      </c>
      <c r="K417" s="645" t="s">
        <v>501</v>
      </c>
      <c r="L417" s="645" t="s">
        <v>497</v>
      </c>
      <c r="M417" s="645" t="s">
        <v>505</v>
      </c>
      <c r="N417" s="646">
        <v>0</v>
      </c>
      <c r="O417" s="646">
        <v>0</v>
      </c>
    </row>
    <row r="418" spans="1:15" ht="16" customHeight="1" thickBot="1">
      <c r="A418" s="126"/>
      <c r="B418" s="644"/>
      <c r="C418" s="645">
        <v>193</v>
      </c>
      <c r="D418" s="645" t="s">
        <v>348</v>
      </c>
      <c r="E418" s="645">
        <v>517</v>
      </c>
      <c r="F418" s="645" t="s">
        <v>884</v>
      </c>
      <c r="G418" s="645" t="s">
        <v>551</v>
      </c>
      <c r="H418" s="647" t="s">
        <v>1523</v>
      </c>
      <c r="I418" s="647" t="s">
        <v>1523</v>
      </c>
      <c r="J418" s="647" t="s">
        <v>1523</v>
      </c>
      <c r="K418" s="645" t="s">
        <v>501</v>
      </c>
      <c r="L418" s="645" t="s">
        <v>497</v>
      </c>
      <c r="M418" s="645" t="s">
        <v>498</v>
      </c>
      <c r="N418" s="646">
        <v>0</v>
      </c>
      <c r="O418" s="646">
        <v>0</v>
      </c>
    </row>
    <row r="419" spans="1:15" ht="16" customHeight="1" thickBot="1">
      <c r="A419" s="126"/>
      <c r="B419" s="644"/>
      <c r="C419" s="645">
        <v>193</v>
      </c>
      <c r="D419" s="645" t="s">
        <v>348</v>
      </c>
      <c r="E419" s="645">
        <v>556</v>
      </c>
      <c r="F419" s="645" t="s">
        <v>885</v>
      </c>
      <c r="G419" s="645" t="s">
        <v>671</v>
      </c>
      <c r="H419" s="645">
        <v>320</v>
      </c>
      <c r="I419" s="645">
        <v>579</v>
      </c>
      <c r="J419" s="645">
        <v>0.55300000000000005</v>
      </c>
      <c r="K419" s="645" t="s">
        <v>496</v>
      </c>
      <c r="L419" s="645" t="s">
        <v>518</v>
      </c>
      <c r="M419" s="645" t="s">
        <v>498</v>
      </c>
      <c r="N419" s="646">
        <v>158183</v>
      </c>
      <c r="O419" s="646">
        <v>494</v>
      </c>
    </row>
    <row r="420" spans="1:15" ht="16" customHeight="1" thickBot="1">
      <c r="A420" s="126"/>
      <c r="B420" s="644"/>
      <c r="C420" s="645">
        <v>193</v>
      </c>
      <c r="D420" s="645" t="s">
        <v>348</v>
      </c>
      <c r="E420" s="645">
        <v>1317</v>
      </c>
      <c r="F420" s="645" t="s">
        <v>886</v>
      </c>
      <c r="G420" s="645" t="s">
        <v>557</v>
      </c>
      <c r="H420" s="645">
        <v>40</v>
      </c>
      <c r="I420" s="645">
        <v>70</v>
      </c>
      <c r="J420" s="645">
        <v>0.57099999999999995</v>
      </c>
      <c r="K420" s="645" t="s">
        <v>496</v>
      </c>
      <c r="L420" s="645" t="s">
        <v>497</v>
      </c>
      <c r="M420" s="645" t="s">
        <v>505</v>
      </c>
      <c r="N420" s="646">
        <v>0</v>
      </c>
      <c r="O420" s="646">
        <v>0</v>
      </c>
    </row>
    <row r="421" spans="1:15" ht="16" customHeight="1" thickBot="1">
      <c r="A421" s="126"/>
      <c r="B421" s="644"/>
      <c r="C421" s="648" t="s">
        <v>1523</v>
      </c>
      <c r="D421" s="648" t="s">
        <v>1523</v>
      </c>
      <c r="E421" s="648" t="s">
        <v>1523</v>
      </c>
      <c r="F421" s="648" t="s">
        <v>1523</v>
      </c>
      <c r="G421" s="648" t="s">
        <v>1523</v>
      </c>
      <c r="H421" s="648" t="s">
        <v>1523</v>
      </c>
      <c r="I421" s="648" t="s">
        <v>1523</v>
      </c>
      <c r="J421" s="648" t="s">
        <v>1523</v>
      </c>
      <c r="K421" s="648" t="s">
        <v>1523</v>
      </c>
      <c r="L421" s="648" t="s">
        <v>1523</v>
      </c>
      <c r="M421" s="648" t="s">
        <v>1523</v>
      </c>
      <c r="N421" s="648" t="s">
        <v>1523</v>
      </c>
      <c r="O421" s="648" t="s">
        <v>1523</v>
      </c>
    </row>
    <row r="422" spans="1:15" ht="16" customHeight="1" thickBot="1">
      <c r="A422" s="126"/>
      <c r="B422" s="644"/>
      <c r="C422" s="645">
        <v>201</v>
      </c>
      <c r="D422" s="645" t="s">
        <v>349</v>
      </c>
      <c r="E422" s="645">
        <v>96</v>
      </c>
      <c r="F422" s="645" t="s">
        <v>887</v>
      </c>
      <c r="G422" s="645" t="s">
        <v>557</v>
      </c>
      <c r="H422" s="645">
        <v>261</v>
      </c>
      <c r="I422" s="645">
        <v>745</v>
      </c>
      <c r="J422" s="645">
        <v>0.35</v>
      </c>
      <c r="K422" s="645" t="s">
        <v>496</v>
      </c>
      <c r="L422" s="645" t="s">
        <v>497</v>
      </c>
      <c r="M422" s="645" t="s">
        <v>505</v>
      </c>
      <c r="N422" s="646">
        <v>0</v>
      </c>
      <c r="O422" s="646">
        <v>0</v>
      </c>
    </row>
    <row r="423" spans="1:15" ht="16" customHeight="1" thickBot="1">
      <c r="A423" s="126"/>
      <c r="B423" s="644"/>
      <c r="C423" s="645">
        <v>201</v>
      </c>
      <c r="D423" s="645" t="s">
        <v>349</v>
      </c>
      <c r="E423" s="645">
        <v>291</v>
      </c>
      <c r="F423" s="645" t="s">
        <v>888</v>
      </c>
      <c r="G423" s="645" t="s">
        <v>554</v>
      </c>
      <c r="H423" s="645">
        <v>261</v>
      </c>
      <c r="I423" s="645">
        <v>572</v>
      </c>
      <c r="J423" s="645">
        <v>0.45600000000000002</v>
      </c>
      <c r="K423" s="645" t="s">
        <v>496</v>
      </c>
      <c r="L423" s="645" t="s">
        <v>662</v>
      </c>
      <c r="M423" s="645" t="s">
        <v>498</v>
      </c>
      <c r="N423" s="646">
        <v>87579</v>
      </c>
      <c r="O423" s="646">
        <v>335</v>
      </c>
    </row>
    <row r="424" spans="1:15" ht="16" customHeight="1" thickBot="1">
      <c r="A424" s="126"/>
      <c r="B424" s="644"/>
      <c r="C424" s="645">
        <v>201</v>
      </c>
      <c r="D424" s="645" t="s">
        <v>349</v>
      </c>
      <c r="E424" s="645">
        <v>497</v>
      </c>
      <c r="F424" s="645" t="s">
        <v>889</v>
      </c>
      <c r="G424" s="645" t="s">
        <v>890</v>
      </c>
      <c r="H424" s="645">
        <v>282</v>
      </c>
      <c r="I424" s="645">
        <v>582</v>
      </c>
      <c r="J424" s="645">
        <v>0.48499999999999999</v>
      </c>
      <c r="K424" s="645" t="s">
        <v>496</v>
      </c>
      <c r="L424" s="645" t="s">
        <v>662</v>
      </c>
      <c r="M424" s="645" t="s">
        <v>498</v>
      </c>
      <c r="N424" s="646">
        <v>99578</v>
      </c>
      <c r="O424" s="646">
        <v>353</v>
      </c>
    </row>
    <row r="425" spans="1:15" ht="16" customHeight="1" thickBot="1">
      <c r="A425" s="126"/>
      <c r="B425" s="644"/>
      <c r="C425" s="645">
        <v>201</v>
      </c>
      <c r="D425" s="645" t="s">
        <v>349</v>
      </c>
      <c r="E425" s="645">
        <v>499</v>
      </c>
      <c r="F425" s="645" t="s">
        <v>586</v>
      </c>
      <c r="G425" s="645" t="s">
        <v>697</v>
      </c>
      <c r="H425" s="645">
        <v>264</v>
      </c>
      <c r="I425" s="645">
        <v>528</v>
      </c>
      <c r="J425" s="645">
        <v>0.5</v>
      </c>
      <c r="K425" s="645" t="s">
        <v>496</v>
      </c>
      <c r="L425" s="645" t="s">
        <v>662</v>
      </c>
      <c r="M425" s="645" t="s">
        <v>509</v>
      </c>
      <c r="N425" s="646">
        <v>92254</v>
      </c>
      <c r="O425" s="646">
        <v>349</v>
      </c>
    </row>
    <row r="426" spans="1:15" ht="16" customHeight="1" thickBot="1">
      <c r="A426" s="126"/>
      <c r="B426" s="644"/>
      <c r="C426" s="645">
        <v>201</v>
      </c>
      <c r="D426" s="645" t="s">
        <v>349</v>
      </c>
      <c r="E426" s="645">
        <v>8844</v>
      </c>
      <c r="F426" s="645" t="s">
        <v>891</v>
      </c>
      <c r="G426" s="645" t="s">
        <v>557</v>
      </c>
      <c r="H426" s="645">
        <v>39</v>
      </c>
      <c r="I426" s="645">
        <v>64</v>
      </c>
      <c r="J426" s="645">
        <v>0.60899999999999999</v>
      </c>
      <c r="K426" s="645" t="s">
        <v>496</v>
      </c>
      <c r="L426" s="645" t="s">
        <v>497</v>
      </c>
      <c r="M426" s="645" t="s">
        <v>498</v>
      </c>
      <c r="N426" s="646">
        <v>0</v>
      </c>
      <c r="O426" s="646">
        <v>0</v>
      </c>
    </row>
    <row r="427" spans="1:15" ht="16" customHeight="1" thickBot="1">
      <c r="A427" s="126"/>
      <c r="B427" s="644"/>
      <c r="C427" s="648" t="s">
        <v>1523</v>
      </c>
      <c r="D427" s="648" t="s">
        <v>1523</v>
      </c>
      <c r="E427" s="648" t="s">
        <v>1523</v>
      </c>
      <c r="F427" s="648" t="s">
        <v>1523</v>
      </c>
      <c r="G427" s="648" t="s">
        <v>1523</v>
      </c>
      <c r="H427" s="648" t="s">
        <v>1523</v>
      </c>
      <c r="I427" s="648" t="s">
        <v>1523</v>
      </c>
      <c r="J427" s="648" t="s">
        <v>1523</v>
      </c>
      <c r="K427" s="648" t="s">
        <v>1523</v>
      </c>
      <c r="L427" s="648" t="s">
        <v>1523</v>
      </c>
      <c r="M427" s="648" t="s">
        <v>1523</v>
      </c>
      <c r="N427" s="648" t="s">
        <v>1523</v>
      </c>
      <c r="O427" s="648" t="s">
        <v>1523</v>
      </c>
    </row>
    <row r="428" spans="1:15" ht="16" customHeight="1" thickBot="1">
      <c r="A428" s="126"/>
      <c r="B428" s="644"/>
      <c r="C428" s="645">
        <v>202</v>
      </c>
      <c r="D428" s="645" t="s">
        <v>350</v>
      </c>
      <c r="E428" s="645">
        <v>223</v>
      </c>
      <c r="F428" s="645" t="s">
        <v>892</v>
      </c>
      <c r="G428" s="645" t="s">
        <v>554</v>
      </c>
      <c r="H428" s="645">
        <v>74</v>
      </c>
      <c r="I428" s="645">
        <v>145</v>
      </c>
      <c r="J428" s="645">
        <v>0.51</v>
      </c>
      <c r="K428" s="645" t="s">
        <v>496</v>
      </c>
      <c r="L428" s="645" t="s">
        <v>662</v>
      </c>
      <c r="M428" s="645" t="s">
        <v>509</v>
      </c>
      <c r="N428" s="646">
        <v>26175</v>
      </c>
      <c r="O428" s="646">
        <v>353</v>
      </c>
    </row>
    <row r="429" spans="1:15" ht="16" customHeight="1" thickBot="1">
      <c r="A429" s="126"/>
      <c r="B429" s="644"/>
      <c r="C429" s="645">
        <v>202</v>
      </c>
      <c r="D429" s="645" t="s">
        <v>350</v>
      </c>
      <c r="E429" s="645">
        <v>227</v>
      </c>
      <c r="F429" s="645" t="s">
        <v>893</v>
      </c>
      <c r="G429" s="645" t="s">
        <v>557</v>
      </c>
      <c r="H429" s="645">
        <v>78</v>
      </c>
      <c r="I429" s="645">
        <v>185</v>
      </c>
      <c r="J429" s="645">
        <v>0.42199999999999999</v>
      </c>
      <c r="K429" s="645" t="s">
        <v>496</v>
      </c>
      <c r="L429" s="645" t="s">
        <v>662</v>
      </c>
      <c r="M429" s="645" t="s">
        <v>505</v>
      </c>
      <c r="N429" s="646">
        <v>26150</v>
      </c>
      <c r="O429" s="646">
        <v>335</v>
      </c>
    </row>
    <row r="430" spans="1:15" ht="16" customHeight="1" thickBot="1">
      <c r="A430" s="126"/>
      <c r="B430" s="644"/>
      <c r="C430" s="645">
        <v>202</v>
      </c>
      <c r="D430" s="645" t="s">
        <v>350</v>
      </c>
      <c r="E430" s="645">
        <v>987</v>
      </c>
      <c r="F430" s="645" t="s">
        <v>894</v>
      </c>
      <c r="G430" s="645" t="s">
        <v>564</v>
      </c>
      <c r="H430" s="645">
        <v>162</v>
      </c>
      <c r="I430" s="645">
        <v>309</v>
      </c>
      <c r="J430" s="645">
        <v>0.52400000000000002</v>
      </c>
      <c r="K430" s="645" t="s">
        <v>496</v>
      </c>
      <c r="L430" s="645" t="s">
        <v>662</v>
      </c>
      <c r="M430" s="645" t="s">
        <v>505</v>
      </c>
      <c r="N430" s="646">
        <v>61990</v>
      </c>
      <c r="O430" s="646">
        <v>382</v>
      </c>
    </row>
    <row r="431" spans="1:15" ht="16" customHeight="1" thickBot="1">
      <c r="A431" s="126"/>
      <c r="B431" s="644"/>
      <c r="C431" s="648" t="s">
        <v>1523</v>
      </c>
      <c r="D431" s="648" t="s">
        <v>1523</v>
      </c>
      <c r="E431" s="648" t="s">
        <v>1523</v>
      </c>
      <c r="F431" s="648" t="s">
        <v>1523</v>
      </c>
      <c r="G431" s="648" t="s">
        <v>1523</v>
      </c>
      <c r="H431" s="648" t="s">
        <v>1523</v>
      </c>
      <c r="I431" s="648" t="s">
        <v>1523</v>
      </c>
      <c r="J431" s="648" t="s">
        <v>1523</v>
      </c>
      <c r="K431" s="648" t="s">
        <v>1523</v>
      </c>
      <c r="L431" s="648" t="s">
        <v>1523</v>
      </c>
      <c r="M431" s="648" t="s">
        <v>1523</v>
      </c>
      <c r="N431" s="648" t="s">
        <v>1523</v>
      </c>
      <c r="O431" s="648" t="s">
        <v>1523</v>
      </c>
    </row>
    <row r="432" spans="1:15" ht="16" customHeight="1" thickBot="1">
      <c r="A432" s="126"/>
      <c r="B432" s="644"/>
      <c r="C432" s="645">
        <v>215</v>
      </c>
      <c r="D432" s="645" t="s">
        <v>351</v>
      </c>
      <c r="E432" s="645">
        <v>98</v>
      </c>
      <c r="F432" s="645" t="s">
        <v>895</v>
      </c>
      <c r="G432" s="645" t="s">
        <v>554</v>
      </c>
      <c r="H432" s="645">
        <v>190</v>
      </c>
      <c r="I432" s="645">
        <v>362</v>
      </c>
      <c r="J432" s="645">
        <v>0.52500000000000002</v>
      </c>
      <c r="K432" s="645" t="s">
        <v>496</v>
      </c>
      <c r="L432" s="645" t="s">
        <v>518</v>
      </c>
      <c r="M432" s="645" t="s">
        <v>498</v>
      </c>
      <c r="N432" s="646">
        <v>101700</v>
      </c>
      <c r="O432" s="646">
        <v>535</v>
      </c>
    </row>
    <row r="433" spans="1:15" ht="16" customHeight="1" thickBot="1">
      <c r="A433" s="126"/>
      <c r="B433" s="644"/>
      <c r="C433" s="645">
        <v>215</v>
      </c>
      <c r="D433" s="645" t="s">
        <v>351</v>
      </c>
      <c r="E433" s="645">
        <v>99</v>
      </c>
      <c r="F433" s="645" t="s">
        <v>896</v>
      </c>
      <c r="G433" s="645" t="s">
        <v>557</v>
      </c>
      <c r="H433" s="645">
        <v>191</v>
      </c>
      <c r="I433" s="645">
        <v>428</v>
      </c>
      <c r="J433" s="645">
        <v>0.44600000000000001</v>
      </c>
      <c r="K433" s="645" t="s">
        <v>496</v>
      </c>
      <c r="L433" s="645" t="s">
        <v>497</v>
      </c>
      <c r="M433" s="645" t="s">
        <v>505</v>
      </c>
      <c r="N433" s="646">
        <v>0</v>
      </c>
      <c r="O433" s="646">
        <v>0</v>
      </c>
    </row>
    <row r="434" spans="1:15" ht="16" customHeight="1" thickBot="1">
      <c r="A434" s="126"/>
      <c r="B434" s="644"/>
      <c r="C434" s="645">
        <v>215</v>
      </c>
      <c r="D434" s="645" t="s">
        <v>351</v>
      </c>
      <c r="E434" s="645">
        <v>100</v>
      </c>
      <c r="F434" s="645" t="s">
        <v>897</v>
      </c>
      <c r="G434" s="645" t="s">
        <v>715</v>
      </c>
      <c r="H434" s="645">
        <v>134</v>
      </c>
      <c r="I434" s="645">
        <v>294</v>
      </c>
      <c r="J434" s="645">
        <v>0.45600000000000002</v>
      </c>
      <c r="K434" s="645" t="s">
        <v>496</v>
      </c>
      <c r="L434" s="645" t="s">
        <v>497</v>
      </c>
      <c r="M434" s="645" t="s">
        <v>505</v>
      </c>
      <c r="N434" s="646">
        <v>0</v>
      </c>
      <c r="O434" s="646">
        <v>0</v>
      </c>
    </row>
    <row r="435" spans="1:15" ht="16" customHeight="1" thickBot="1">
      <c r="A435" s="126"/>
      <c r="B435" s="644"/>
      <c r="C435" s="645">
        <v>215</v>
      </c>
      <c r="D435" s="645" t="s">
        <v>351</v>
      </c>
      <c r="E435" s="645">
        <v>290</v>
      </c>
      <c r="F435" s="645" t="s">
        <v>898</v>
      </c>
      <c r="G435" s="645" t="s">
        <v>564</v>
      </c>
      <c r="H435" s="645">
        <v>334</v>
      </c>
      <c r="I435" s="645">
        <v>474</v>
      </c>
      <c r="J435" s="645">
        <v>0.70499999999999996</v>
      </c>
      <c r="K435" s="645" t="s">
        <v>496</v>
      </c>
      <c r="L435" s="645" t="s">
        <v>518</v>
      </c>
      <c r="M435" s="645" t="s">
        <v>509</v>
      </c>
      <c r="N435" s="646">
        <v>180180</v>
      </c>
      <c r="O435" s="646">
        <v>539</v>
      </c>
    </row>
    <row r="436" spans="1:15" ht="16" customHeight="1" thickBot="1">
      <c r="A436" s="126"/>
      <c r="B436" s="644"/>
      <c r="C436" s="645">
        <v>215</v>
      </c>
      <c r="D436" s="645" t="s">
        <v>351</v>
      </c>
      <c r="E436" s="645">
        <v>700</v>
      </c>
      <c r="F436" s="645" t="s">
        <v>899</v>
      </c>
      <c r="G436" s="645" t="s">
        <v>564</v>
      </c>
      <c r="H436" s="645">
        <v>54</v>
      </c>
      <c r="I436" s="645">
        <v>119</v>
      </c>
      <c r="J436" s="645">
        <v>0.45400000000000001</v>
      </c>
      <c r="K436" s="645" t="s">
        <v>496</v>
      </c>
      <c r="L436" s="645" t="s">
        <v>624</v>
      </c>
      <c r="M436" s="645" t="s">
        <v>498</v>
      </c>
      <c r="N436" s="646">
        <v>28850</v>
      </c>
      <c r="O436" s="646">
        <v>534</v>
      </c>
    </row>
    <row r="437" spans="1:15" ht="16" customHeight="1" thickBot="1">
      <c r="A437" s="126"/>
      <c r="B437" s="644"/>
      <c r="C437" s="645">
        <v>215</v>
      </c>
      <c r="D437" s="645" t="s">
        <v>351</v>
      </c>
      <c r="E437" s="645">
        <v>701</v>
      </c>
      <c r="F437" s="645" t="s">
        <v>900</v>
      </c>
      <c r="G437" s="645" t="s">
        <v>564</v>
      </c>
      <c r="H437" s="645">
        <v>144</v>
      </c>
      <c r="I437" s="645">
        <v>289</v>
      </c>
      <c r="J437" s="645">
        <v>0.498</v>
      </c>
      <c r="K437" s="645" t="s">
        <v>496</v>
      </c>
      <c r="L437" s="645" t="s">
        <v>518</v>
      </c>
      <c r="M437" s="645" t="s">
        <v>509</v>
      </c>
      <c r="N437" s="646">
        <v>77100</v>
      </c>
      <c r="O437" s="646">
        <v>535</v>
      </c>
    </row>
    <row r="438" spans="1:15" ht="16" customHeight="1" thickBot="1">
      <c r="A438" s="126"/>
      <c r="B438" s="644"/>
      <c r="C438" s="645">
        <v>215</v>
      </c>
      <c r="D438" s="645" t="s">
        <v>351</v>
      </c>
      <c r="E438" s="645">
        <v>703</v>
      </c>
      <c r="F438" s="645" t="s">
        <v>901</v>
      </c>
      <c r="G438" s="645" t="s">
        <v>564</v>
      </c>
      <c r="H438" s="645">
        <v>57</v>
      </c>
      <c r="I438" s="645">
        <v>120</v>
      </c>
      <c r="J438" s="645">
        <v>0.47499999999999998</v>
      </c>
      <c r="K438" s="645" t="s">
        <v>496</v>
      </c>
      <c r="L438" s="645" t="s">
        <v>624</v>
      </c>
      <c r="M438" s="645" t="s">
        <v>498</v>
      </c>
      <c r="N438" s="646">
        <v>30450</v>
      </c>
      <c r="O438" s="646">
        <v>534</v>
      </c>
    </row>
    <row r="439" spans="1:15" ht="16" customHeight="1" thickBot="1">
      <c r="A439" s="126"/>
      <c r="B439" s="644"/>
      <c r="C439" s="648" t="s">
        <v>1523</v>
      </c>
      <c r="D439" s="648" t="s">
        <v>1523</v>
      </c>
      <c r="E439" s="648" t="s">
        <v>1523</v>
      </c>
      <c r="F439" s="648" t="s">
        <v>1523</v>
      </c>
      <c r="G439" s="648" t="s">
        <v>1523</v>
      </c>
      <c r="H439" s="648" t="s">
        <v>1523</v>
      </c>
      <c r="I439" s="648" t="s">
        <v>1523</v>
      </c>
      <c r="J439" s="648" t="s">
        <v>1523</v>
      </c>
      <c r="K439" s="648" t="s">
        <v>1523</v>
      </c>
      <c r="L439" s="648" t="s">
        <v>1523</v>
      </c>
      <c r="M439" s="648" t="s">
        <v>1523</v>
      </c>
      <c r="N439" s="648" t="s">
        <v>1523</v>
      </c>
      <c r="O439" s="648" t="s">
        <v>1523</v>
      </c>
    </row>
    <row r="440" spans="1:15" ht="16" customHeight="1" thickBot="1">
      <c r="A440" s="126"/>
      <c r="B440" s="644"/>
      <c r="C440" s="645">
        <v>221</v>
      </c>
      <c r="D440" s="645" t="s">
        <v>352</v>
      </c>
      <c r="E440" s="645">
        <v>101</v>
      </c>
      <c r="F440" s="645" t="s">
        <v>902</v>
      </c>
      <c r="G440" s="645" t="s">
        <v>504</v>
      </c>
      <c r="H440" s="645">
        <v>350</v>
      </c>
      <c r="I440" s="645">
        <v>687</v>
      </c>
      <c r="J440" s="645">
        <v>0.50900000000000001</v>
      </c>
      <c r="K440" s="645" t="s">
        <v>496</v>
      </c>
      <c r="L440" s="645" t="s">
        <v>497</v>
      </c>
      <c r="M440" s="645" t="s">
        <v>498</v>
      </c>
      <c r="N440" s="646">
        <v>0</v>
      </c>
      <c r="O440" s="646">
        <v>0</v>
      </c>
    </row>
    <row r="441" spans="1:15" ht="16" customHeight="1" thickBot="1">
      <c r="A441" s="126"/>
      <c r="B441" s="644"/>
      <c r="C441" s="645">
        <v>221</v>
      </c>
      <c r="D441" s="645" t="s">
        <v>352</v>
      </c>
      <c r="E441" s="645">
        <v>224</v>
      </c>
      <c r="F441" s="645" t="s">
        <v>903</v>
      </c>
      <c r="G441" s="645" t="s">
        <v>691</v>
      </c>
      <c r="H441" s="645">
        <v>382</v>
      </c>
      <c r="I441" s="645">
        <v>633</v>
      </c>
      <c r="J441" s="645">
        <v>0.60299999999999998</v>
      </c>
      <c r="K441" s="645" t="s">
        <v>496</v>
      </c>
      <c r="L441" s="645" t="s">
        <v>518</v>
      </c>
      <c r="M441" s="645" t="s">
        <v>498</v>
      </c>
      <c r="N441" s="646">
        <v>108756</v>
      </c>
      <c r="O441" s="646">
        <v>284</v>
      </c>
    </row>
    <row r="442" spans="1:15" ht="16" customHeight="1" thickBot="1">
      <c r="A442" s="126"/>
      <c r="B442" s="644"/>
      <c r="C442" s="645">
        <v>221</v>
      </c>
      <c r="D442" s="645" t="s">
        <v>352</v>
      </c>
      <c r="E442" s="645">
        <v>230</v>
      </c>
      <c r="F442" s="645" t="s">
        <v>904</v>
      </c>
      <c r="G442" s="645" t="s">
        <v>905</v>
      </c>
      <c r="H442" s="645">
        <v>338</v>
      </c>
      <c r="I442" s="645">
        <v>547</v>
      </c>
      <c r="J442" s="645">
        <v>0.61799999999999999</v>
      </c>
      <c r="K442" s="645" t="s">
        <v>496</v>
      </c>
      <c r="L442" s="645" t="s">
        <v>518</v>
      </c>
      <c r="M442" s="645" t="s">
        <v>505</v>
      </c>
      <c r="N442" s="646">
        <v>177722</v>
      </c>
      <c r="O442" s="646">
        <v>525</v>
      </c>
    </row>
    <row r="443" spans="1:15" ht="16" customHeight="1" thickBot="1">
      <c r="A443" s="126"/>
      <c r="B443" s="644"/>
      <c r="C443" s="645">
        <v>221</v>
      </c>
      <c r="D443" s="645" t="s">
        <v>352</v>
      </c>
      <c r="E443" s="645">
        <v>251</v>
      </c>
      <c r="F443" s="645" t="s">
        <v>906</v>
      </c>
      <c r="G443" s="645" t="s">
        <v>706</v>
      </c>
      <c r="H443" s="645">
        <v>306</v>
      </c>
      <c r="I443" s="645">
        <v>482</v>
      </c>
      <c r="J443" s="645">
        <v>0.63500000000000001</v>
      </c>
      <c r="K443" s="645" t="s">
        <v>496</v>
      </c>
      <c r="L443" s="645" t="s">
        <v>518</v>
      </c>
      <c r="M443" s="645" t="s">
        <v>498</v>
      </c>
      <c r="N443" s="646">
        <v>201201</v>
      </c>
      <c r="O443" s="646">
        <v>657</v>
      </c>
    </row>
    <row r="444" spans="1:15" ht="16" customHeight="1" thickBot="1">
      <c r="A444" s="126"/>
      <c r="B444" s="644"/>
      <c r="C444" s="645">
        <v>221</v>
      </c>
      <c r="D444" s="645" t="s">
        <v>352</v>
      </c>
      <c r="E444" s="645">
        <v>707</v>
      </c>
      <c r="F444" s="645" t="s">
        <v>907</v>
      </c>
      <c r="G444" s="645" t="s">
        <v>621</v>
      </c>
      <c r="H444" s="645">
        <v>21</v>
      </c>
      <c r="I444" s="645">
        <v>37</v>
      </c>
      <c r="J444" s="645">
        <v>0.56799999999999995</v>
      </c>
      <c r="K444" s="645" t="s">
        <v>496</v>
      </c>
      <c r="L444" s="645" t="s">
        <v>518</v>
      </c>
      <c r="M444" s="645" t="s">
        <v>505</v>
      </c>
      <c r="N444" s="646">
        <v>22221</v>
      </c>
      <c r="O444" s="646">
        <v>1058</v>
      </c>
    </row>
    <row r="445" spans="1:15" ht="16" customHeight="1" thickBot="1">
      <c r="A445" s="126"/>
      <c r="B445" s="644"/>
      <c r="C445" s="645">
        <v>221</v>
      </c>
      <c r="D445" s="645" t="s">
        <v>352</v>
      </c>
      <c r="E445" s="645">
        <v>710</v>
      </c>
      <c r="F445" s="645" t="s">
        <v>908</v>
      </c>
      <c r="G445" s="645" t="s">
        <v>621</v>
      </c>
      <c r="H445" s="647" t="s">
        <v>1523</v>
      </c>
      <c r="I445" s="647" t="s">
        <v>1523</v>
      </c>
      <c r="J445" s="647" t="s">
        <v>1523</v>
      </c>
      <c r="K445" s="645" t="s">
        <v>496</v>
      </c>
      <c r="L445" s="645" t="s">
        <v>518</v>
      </c>
      <c r="M445" s="645" t="s">
        <v>509</v>
      </c>
      <c r="N445" s="646">
        <v>19412</v>
      </c>
      <c r="O445" s="646">
        <v>1294</v>
      </c>
    </row>
    <row r="446" spans="1:15" ht="16" customHeight="1" thickBot="1">
      <c r="A446" s="126"/>
      <c r="B446" s="644"/>
      <c r="C446" s="645">
        <v>221</v>
      </c>
      <c r="D446" s="645" t="s">
        <v>352</v>
      </c>
      <c r="E446" s="645">
        <v>1111</v>
      </c>
      <c r="F446" s="645" t="s">
        <v>909</v>
      </c>
      <c r="G446" s="645" t="s">
        <v>546</v>
      </c>
      <c r="H446" s="647" t="s">
        <v>1523</v>
      </c>
      <c r="I446" s="647" t="s">
        <v>1523</v>
      </c>
      <c r="J446" s="647" t="s">
        <v>1523</v>
      </c>
      <c r="K446" s="645" t="s">
        <v>496</v>
      </c>
      <c r="L446" s="645" t="s">
        <v>497</v>
      </c>
      <c r="M446" s="645" t="s">
        <v>498</v>
      </c>
      <c r="N446" s="646">
        <v>0</v>
      </c>
      <c r="O446" s="646">
        <v>0</v>
      </c>
    </row>
    <row r="447" spans="1:15" ht="16" customHeight="1" thickBot="1">
      <c r="A447" s="126"/>
      <c r="B447" s="644"/>
      <c r="C447" s="645">
        <v>221</v>
      </c>
      <c r="D447" s="645" t="s">
        <v>352</v>
      </c>
      <c r="E447" s="645">
        <v>1265</v>
      </c>
      <c r="F447" s="645" t="s">
        <v>910</v>
      </c>
      <c r="G447" s="645" t="s">
        <v>557</v>
      </c>
      <c r="H447" s="647" t="s">
        <v>1523</v>
      </c>
      <c r="I447" s="647" t="s">
        <v>1523</v>
      </c>
      <c r="J447" s="647" t="s">
        <v>1523</v>
      </c>
      <c r="K447" s="645" t="s">
        <v>496</v>
      </c>
      <c r="L447" s="645" t="s">
        <v>518</v>
      </c>
      <c r="M447" s="645" t="s">
        <v>547</v>
      </c>
      <c r="N447" s="646">
        <v>25312</v>
      </c>
      <c r="O447" s="646">
        <v>372</v>
      </c>
    </row>
    <row r="448" spans="1:15" ht="16" customHeight="1" thickBot="1">
      <c r="A448" s="126"/>
      <c r="B448" s="644"/>
      <c r="C448" s="648" t="s">
        <v>1523</v>
      </c>
      <c r="D448" s="648" t="s">
        <v>1523</v>
      </c>
      <c r="E448" s="648" t="s">
        <v>1523</v>
      </c>
      <c r="F448" s="648" t="s">
        <v>1523</v>
      </c>
      <c r="G448" s="648" t="s">
        <v>1523</v>
      </c>
      <c r="H448" s="648" t="s">
        <v>1523</v>
      </c>
      <c r="I448" s="648" t="s">
        <v>1523</v>
      </c>
      <c r="J448" s="648" t="s">
        <v>1523</v>
      </c>
      <c r="K448" s="648" t="s">
        <v>1523</v>
      </c>
      <c r="L448" s="648" t="s">
        <v>1523</v>
      </c>
      <c r="M448" s="648" t="s">
        <v>1523</v>
      </c>
      <c r="N448" s="648" t="s">
        <v>1523</v>
      </c>
      <c r="O448" s="648" t="s">
        <v>1523</v>
      </c>
    </row>
    <row r="449" spans="1:15" ht="16" customHeight="1" thickBot="1">
      <c r="A449" s="126"/>
      <c r="B449" s="644"/>
      <c r="C449" s="645">
        <v>231</v>
      </c>
      <c r="D449" s="645" t="s">
        <v>353</v>
      </c>
      <c r="E449" s="645">
        <v>102</v>
      </c>
      <c r="F449" s="645" t="s">
        <v>911</v>
      </c>
      <c r="G449" s="645" t="s">
        <v>691</v>
      </c>
      <c r="H449" s="645">
        <v>257</v>
      </c>
      <c r="I449" s="645">
        <v>405</v>
      </c>
      <c r="J449" s="645">
        <v>0.63500000000000001</v>
      </c>
      <c r="K449" s="645" t="s">
        <v>496</v>
      </c>
      <c r="L449" s="645" t="s">
        <v>624</v>
      </c>
      <c r="M449" s="645" t="s">
        <v>498</v>
      </c>
      <c r="N449" s="646">
        <v>55181</v>
      </c>
      <c r="O449" s="646">
        <v>214</v>
      </c>
    </row>
    <row r="450" spans="1:15" ht="16" customHeight="1" thickBot="1">
      <c r="A450" s="126"/>
      <c r="B450" s="644"/>
      <c r="C450" s="645">
        <v>231</v>
      </c>
      <c r="D450" s="645" t="s">
        <v>353</v>
      </c>
      <c r="E450" s="645">
        <v>103</v>
      </c>
      <c r="F450" s="645" t="s">
        <v>912</v>
      </c>
      <c r="G450" s="645" t="s">
        <v>557</v>
      </c>
      <c r="H450" s="645">
        <v>184</v>
      </c>
      <c r="I450" s="645">
        <v>360</v>
      </c>
      <c r="J450" s="645">
        <v>0.51100000000000001</v>
      </c>
      <c r="K450" s="645" t="s">
        <v>496</v>
      </c>
      <c r="L450" s="645" t="s">
        <v>497</v>
      </c>
      <c r="M450" s="645" t="s">
        <v>505</v>
      </c>
      <c r="N450" s="646">
        <v>0</v>
      </c>
      <c r="O450" s="646">
        <v>0</v>
      </c>
    </row>
    <row r="451" spans="1:15" ht="16" customHeight="1" thickBot="1">
      <c r="A451" s="126"/>
      <c r="B451" s="644"/>
      <c r="C451" s="645">
        <v>231</v>
      </c>
      <c r="D451" s="645" t="s">
        <v>353</v>
      </c>
      <c r="E451" s="645">
        <v>711</v>
      </c>
      <c r="F451" s="645" t="s">
        <v>913</v>
      </c>
      <c r="G451" s="645" t="s">
        <v>564</v>
      </c>
      <c r="H451" s="647" t="s">
        <v>1523</v>
      </c>
      <c r="I451" s="647" t="s">
        <v>1523</v>
      </c>
      <c r="J451" s="647" t="s">
        <v>1523</v>
      </c>
      <c r="K451" s="645" t="s">
        <v>496</v>
      </c>
      <c r="L451" s="645" t="s">
        <v>518</v>
      </c>
      <c r="M451" s="645" t="s">
        <v>505</v>
      </c>
      <c r="N451" s="646">
        <v>185867</v>
      </c>
      <c r="O451" s="646">
        <v>363</v>
      </c>
    </row>
    <row r="452" spans="1:15" ht="16" customHeight="1" thickBot="1">
      <c r="A452" s="126"/>
      <c r="B452" s="644"/>
      <c r="C452" s="648" t="s">
        <v>1523</v>
      </c>
      <c r="D452" s="648" t="s">
        <v>1523</v>
      </c>
      <c r="E452" s="648" t="s">
        <v>1523</v>
      </c>
      <c r="F452" s="648" t="s">
        <v>1523</v>
      </c>
      <c r="G452" s="648" t="s">
        <v>1523</v>
      </c>
      <c r="H452" s="648" t="s">
        <v>1523</v>
      </c>
      <c r="I452" s="648" t="s">
        <v>1523</v>
      </c>
      <c r="J452" s="648" t="s">
        <v>1523</v>
      </c>
      <c r="K452" s="648" t="s">
        <v>1523</v>
      </c>
      <c r="L452" s="648" t="s">
        <v>1523</v>
      </c>
      <c r="M452" s="648" t="s">
        <v>1523</v>
      </c>
      <c r="N452" s="648" t="s">
        <v>1523</v>
      </c>
      <c r="O452" s="648" t="s">
        <v>1523</v>
      </c>
    </row>
    <row r="453" spans="1:15" ht="16" customHeight="1" thickBot="1">
      <c r="A453" s="126"/>
      <c r="B453" s="644"/>
      <c r="C453" s="645">
        <v>232</v>
      </c>
      <c r="D453" s="645" t="s">
        <v>354</v>
      </c>
      <c r="E453" s="645">
        <v>104</v>
      </c>
      <c r="F453" s="645" t="s">
        <v>914</v>
      </c>
      <c r="G453" s="645" t="s">
        <v>691</v>
      </c>
      <c r="H453" s="645">
        <v>266</v>
      </c>
      <c r="I453" s="645">
        <v>356</v>
      </c>
      <c r="J453" s="645">
        <v>0.747</v>
      </c>
      <c r="K453" s="645" t="s">
        <v>496</v>
      </c>
      <c r="L453" s="645" t="s">
        <v>518</v>
      </c>
      <c r="M453" s="645" t="s">
        <v>521</v>
      </c>
      <c r="N453" s="646">
        <v>92663</v>
      </c>
      <c r="O453" s="646">
        <v>348</v>
      </c>
    </row>
    <row r="454" spans="1:15" ht="16" customHeight="1" thickBot="1">
      <c r="A454" s="126"/>
      <c r="B454" s="644"/>
      <c r="C454" s="645">
        <v>232</v>
      </c>
      <c r="D454" s="645" t="s">
        <v>354</v>
      </c>
      <c r="E454" s="645">
        <v>209</v>
      </c>
      <c r="F454" s="645" t="s">
        <v>915</v>
      </c>
      <c r="G454" s="645" t="s">
        <v>557</v>
      </c>
      <c r="H454" s="645">
        <v>196</v>
      </c>
      <c r="I454" s="645">
        <v>311</v>
      </c>
      <c r="J454" s="645">
        <v>0.63</v>
      </c>
      <c r="K454" s="645" t="s">
        <v>496</v>
      </c>
      <c r="L454" s="645" t="s">
        <v>497</v>
      </c>
      <c r="M454" s="645" t="s">
        <v>505</v>
      </c>
      <c r="N454" s="646">
        <v>0</v>
      </c>
      <c r="O454" s="646">
        <v>0</v>
      </c>
    </row>
    <row r="455" spans="1:15" ht="16" customHeight="1" thickBot="1">
      <c r="A455" s="126"/>
      <c r="B455" s="644"/>
      <c r="C455" s="645">
        <v>232</v>
      </c>
      <c r="D455" s="645" t="s">
        <v>354</v>
      </c>
      <c r="E455" s="645">
        <v>712</v>
      </c>
      <c r="F455" s="645" t="s">
        <v>916</v>
      </c>
      <c r="G455" s="645" t="s">
        <v>693</v>
      </c>
      <c r="H455" s="645">
        <v>346</v>
      </c>
      <c r="I455" s="645">
        <v>468</v>
      </c>
      <c r="J455" s="645">
        <v>0.73899999999999999</v>
      </c>
      <c r="K455" s="645" t="s">
        <v>496</v>
      </c>
      <c r="L455" s="645" t="s">
        <v>518</v>
      </c>
      <c r="M455" s="645" t="s">
        <v>498</v>
      </c>
      <c r="N455" s="646">
        <v>190243</v>
      </c>
      <c r="O455" s="646">
        <v>549</v>
      </c>
    </row>
    <row r="456" spans="1:15" ht="16" customHeight="1" thickBot="1">
      <c r="A456" s="126"/>
      <c r="B456" s="644"/>
      <c r="C456" s="648" t="s">
        <v>1523</v>
      </c>
      <c r="D456" s="648" t="s">
        <v>1523</v>
      </c>
      <c r="E456" s="648" t="s">
        <v>1523</v>
      </c>
      <c r="F456" s="648" t="s">
        <v>1523</v>
      </c>
      <c r="G456" s="648" t="s">
        <v>1523</v>
      </c>
      <c r="H456" s="648" t="s">
        <v>1523</v>
      </c>
      <c r="I456" s="648" t="s">
        <v>1523</v>
      </c>
      <c r="J456" s="648" t="s">
        <v>1523</v>
      </c>
      <c r="K456" s="648" t="s">
        <v>1523</v>
      </c>
      <c r="L456" s="648" t="s">
        <v>1523</v>
      </c>
      <c r="M456" s="648" t="s">
        <v>1523</v>
      </c>
      <c r="N456" s="648" t="s">
        <v>1523</v>
      </c>
      <c r="O456" s="648" t="s">
        <v>1523</v>
      </c>
    </row>
    <row r="457" spans="1:15" ht="16" customHeight="1" thickBot="1">
      <c r="A457" s="126"/>
      <c r="B457" s="644"/>
      <c r="C457" s="645">
        <v>233</v>
      </c>
      <c r="D457" s="645" t="s">
        <v>355</v>
      </c>
      <c r="E457" s="645">
        <v>280</v>
      </c>
      <c r="F457" s="645" t="s">
        <v>917</v>
      </c>
      <c r="G457" s="645" t="s">
        <v>623</v>
      </c>
      <c r="H457" s="645">
        <v>191</v>
      </c>
      <c r="I457" s="645">
        <v>339</v>
      </c>
      <c r="J457" s="645">
        <v>0.56299999999999994</v>
      </c>
      <c r="K457" s="645" t="s">
        <v>496</v>
      </c>
      <c r="L457" s="645" t="s">
        <v>662</v>
      </c>
      <c r="M457" s="645" t="s">
        <v>505</v>
      </c>
      <c r="N457" s="646">
        <v>74713</v>
      </c>
      <c r="O457" s="646">
        <v>391</v>
      </c>
    </row>
    <row r="458" spans="1:15" ht="16" customHeight="1" thickBot="1">
      <c r="A458" s="126"/>
      <c r="B458" s="644"/>
      <c r="C458" s="648" t="s">
        <v>1523</v>
      </c>
      <c r="D458" s="648" t="s">
        <v>1523</v>
      </c>
      <c r="E458" s="648" t="s">
        <v>1523</v>
      </c>
      <c r="F458" s="648" t="s">
        <v>1523</v>
      </c>
      <c r="G458" s="648" t="s">
        <v>1523</v>
      </c>
      <c r="H458" s="648" t="s">
        <v>1523</v>
      </c>
      <c r="I458" s="648" t="s">
        <v>1523</v>
      </c>
      <c r="J458" s="648" t="s">
        <v>1523</v>
      </c>
      <c r="K458" s="648" t="s">
        <v>1523</v>
      </c>
      <c r="L458" s="648" t="s">
        <v>1523</v>
      </c>
      <c r="M458" s="648" t="s">
        <v>1523</v>
      </c>
      <c r="N458" s="648" t="s">
        <v>1523</v>
      </c>
      <c r="O458" s="648" t="s">
        <v>1523</v>
      </c>
    </row>
    <row r="459" spans="1:15" ht="16" customHeight="1" thickBot="1">
      <c r="A459" s="126"/>
      <c r="B459" s="644"/>
      <c r="C459" s="645">
        <v>234</v>
      </c>
      <c r="D459" s="645" t="s">
        <v>356</v>
      </c>
      <c r="E459" s="645">
        <v>714</v>
      </c>
      <c r="F459" s="645" t="s">
        <v>918</v>
      </c>
      <c r="G459" s="645" t="s">
        <v>623</v>
      </c>
      <c r="H459" s="645">
        <v>100</v>
      </c>
      <c r="I459" s="645">
        <v>122</v>
      </c>
      <c r="J459" s="645">
        <v>0.82</v>
      </c>
      <c r="K459" s="645" t="s">
        <v>496</v>
      </c>
      <c r="L459" s="645" t="s">
        <v>624</v>
      </c>
      <c r="M459" s="645" t="s">
        <v>505</v>
      </c>
      <c r="N459" s="646">
        <v>67831</v>
      </c>
      <c r="O459" s="646">
        <v>678</v>
      </c>
    </row>
    <row r="460" spans="1:15" ht="16" customHeight="1" thickBot="1">
      <c r="A460" s="126"/>
      <c r="B460" s="644"/>
      <c r="C460" s="648" t="s">
        <v>1523</v>
      </c>
      <c r="D460" s="648" t="s">
        <v>1523</v>
      </c>
      <c r="E460" s="648" t="s">
        <v>1523</v>
      </c>
      <c r="F460" s="648" t="s">
        <v>1523</v>
      </c>
      <c r="G460" s="648" t="s">
        <v>1523</v>
      </c>
      <c r="H460" s="648" t="s">
        <v>1523</v>
      </c>
      <c r="I460" s="648" t="s">
        <v>1523</v>
      </c>
      <c r="J460" s="648" t="s">
        <v>1523</v>
      </c>
      <c r="K460" s="648" t="s">
        <v>1523</v>
      </c>
      <c r="L460" s="648" t="s">
        <v>1523</v>
      </c>
      <c r="M460" s="648" t="s">
        <v>1523</v>
      </c>
      <c r="N460" s="648" t="s">
        <v>1523</v>
      </c>
      <c r="O460" s="648" t="s">
        <v>1523</v>
      </c>
    </row>
    <row r="461" spans="1:15" ht="16" customHeight="1" thickBot="1">
      <c r="A461" s="126"/>
      <c r="B461" s="644"/>
      <c r="C461" s="645">
        <v>242</v>
      </c>
      <c r="D461" s="645" t="s">
        <v>357</v>
      </c>
      <c r="E461" s="645">
        <v>111</v>
      </c>
      <c r="F461" s="645" t="s">
        <v>919</v>
      </c>
      <c r="G461" s="645" t="s">
        <v>546</v>
      </c>
      <c r="H461" s="645">
        <v>59</v>
      </c>
      <c r="I461" s="645">
        <v>174</v>
      </c>
      <c r="J461" s="645">
        <v>0.33900000000000002</v>
      </c>
      <c r="K461" s="645" t="s">
        <v>496</v>
      </c>
      <c r="L461" s="645" t="s">
        <v>497</v>
      </c>
      <c r="M461" s="645" t="s">
        <v>509</v>
      </c>
      <c r="N461" s="646">
        <v>0</v>
      </c>
      <c r="O461" s="646">
        <v>0</v>
      </c>
    </row>
    <row r="462" spans="1:15" ht="16" customHeight="1" thickBot="1">
      <c r="A462" s="126"/>
      <c r="B462" s="644"/>
      <c r="C462" s="645">
        <v>242</v>
      </c>
      <c r="D462" s="645" t="s">
        <v>357</v>
      </c>
      <c r="E462" s="645">
        <v>722</v>
      </c>
      <c r="F462" s="645" t="s">
        <v>920</v>
      </c>
      <c r="G462" s="645" t="s">
        <v>621</v>
      </c>
      <c r="H462" s="645">
        <v>85</v>
      </c>
      <c r="I462" s="645">
        <v>209</v>
      </c>
      <c r="J462" s="645">
        <v>0.40699999999999997</v>
      </c>
      <c r="K462" s="645" t="s">
        <v>496</v>
      </c>
      <c r="L462" s="645" t="s">
        <v>518</v>
      </c>
      <c r="M462" s="645" t="s">
        <v>509</v>
      </c>
      <c r="N462" s="646">
        <v>82033</v>
      </c>
      <c r="O462" s="646">
        <v>965</v>
      </c>
    </row>
    <row r="463" spans="1:15" ht="16" customHeight="1" thickBot="1">
      <c r="A463" s="126"/>
      <c r="B463" s="644"/>
      <c r="C463" s="648" t="s">
        <v>1523</v>
      </c>
      <c r="D463" s="648" t="s">
        <v>1523</v>
      </c>
      <c r="E463" s="648" t="s">
        <v>1523</v>
      </c>
      <c r="F463" s="648" t="s">
        <v>1523</v>
      </c>
      <c r="G463" s="648" t="s">
        <v>1523</v>
      </c>
      <c r="H463" s="648" t="s">
        <v>1523</v>
      </c>
      <c r="I463" s="648" t="s">
        <v>1523</v>
      </c>
      <c r="J463" s="648" t="s">
        <v>1523</v>
      </c>
      <c r="K463" s="648" t="s">
        <v>1523</v>
      </c>
      <c r="L463" s="648" t="s">
        <v>1523</v>
      </c>
      <c r="M463" s="648" t="s">
        <v>1523</v>
      </c>
      <c r="N463" s="648" t="s">
        <v>1523</v>
      </c>
      <c r="O463" s="648" t="s">
        <v>1523</v>
      </c>
    </row>
    <row r="464" spans="1:15" ht="16" customHeight="1" thickBot="1">
      <c r="A464" s="126"/>
      <c r="B464" s="644"/>
      <c r="C464" s="645">
        <v>243</v>
      </c>
      <c r="D464" s="645" t="s">
        <v>358</v>
      </c>
      <c r="E464" s="645">
        <v>1280</v>
      </c>
      <c r="F464" s="645" t="s">
        <v>921</v>
      </c>
      <c r="G464" s="645" t="s">
        <v>512</v>
      </c>
      <c r="H464" s="645">
        <v>29</v>
      </c>
      <c r="I464" s="645">
        <v>65</v>
      </c>
      <c r="J464" s="645">
        <v>0.44600000000000001</v>
      </c>
      <c r="K464" s="645" t="s">
        <v>496</v>
      </c>
      <c r="L464" s="645" t="s">
        <v>518</v>
      </c>
      <c r="M464" s="645" t="s">
        <v>498</v>
      </c>
      <c r="N464" s="646">
        <v>37905</v>
      </c>
      <c r="O464" s="646">
        <v>1307</v>
      </c>
    </row>
    <row r="465" spans="1:15" ht="16" customHeight="1" thickBot="1">
      <c r="A465" s="126"/>
      <c r="B465" s="644"/>
      <c r="C465" s="645">
        <v>243</v>
      </c>
      <c r="D465" s="645" t="s">
        <v>358</v>
      </c>
      <c r="E465" s="645">
        <v>1281</v>
      </c>
      <c r="F465" s="645" t="s">
        <v>922</v>
      </c>
      <c r="G465" s="645" t="s">
        <v>546</v>
      </c>
      <c r="H465" s="645">
        <v>34</v>
      </c>
      <c r="I465" s="645">
        <v>55</v>
      </c>
      <c r="J465" s="645">
        <v>0.61799999999999999</v>
      </c>
      <c r="K465" s="645" t="s">
        <v>496</v>
      </c>
      <c r="L465" s="645" t="s">
        <v>518</v>
      </c>
      <c r="M465" s="645" t="s">
        <v>509</v>
      </c>
      <c r="N465" s="646">
        <v>39281</v>
      </c>
      <c r="O465" s="646">
        <v>1155</v>
      </c>
    </row>
    <row r="466" spans="1:15" ht="16" customHeight="1" thickBot="1">
      <c r="A466" s="126"/>
      <c r="B466" s="644"/>
      <c r="C466" s="648" t="s">
        <v>1523</v>
      </c>
      <c r="D466" s="648" t="s">
        <v>1523</v>
      </c>
      <c r="E466" s="648" t="s">
        <v>1523</v>
      </c>
      <c r="F466" s="648" t="s">
        <v>1523</v>
      </c>
      <c r="G466" s="648" t="s">
        <v>1523</v>
      </c>
      <c r="H466" s="648" t="s">
        <v>1523</v>
      </c>
      <c r="I466" s="648" t="s">
        <v>1523</v>
      </c>
      <c r="J466" s="648" t="s">
        <v>1523</v>
      </c>
      <c r="K466" s="648" t="s">
        <v>1523</v>
      </c>
      <c r="L466" s="648" t="s">
        <v>1523</v>
      </c>
      <c r="M466" s="648" t="s">
        <v>1523</v>
      </c>
      <c r="N466" s="648" t="s">
        <v>1523</v>
      </c>
      <c r="O466" s="648" t="s">
        <v>1523</v>
      </c>
    </row>
    <row r="467" spans="1:15" ht="16" customHeight="1" thickBot="1">
      <c r="A467" s="126"/>
      <c r="B467" s="644"/>
      <c r="C467" s="645">
        <v>244</v>
      </c>
      <c r="D467" s="645" t="s">
        <v>359</v>
      </c>
      <c r="E467" s="645">
        <v>1283</v>
      </c>
      <c r="F467" s="645" t="s">
        <v>923</v>
      </c>
      <c r="G467" s="645" t="s">
        <v>546</v>
      </c>
      <c r="H467" s="645">
        <v>132</v>
      </c>
      <c r="I467" s="645">
        <v>206</v>
      </c>
      <c r="J467" s="645">
        <v>0.64100000000000001</v>
      </c>
      <c r="K467" s="645" t="s">
        <v>496</v>
      </c>
      <c r="L467" s="645" t="s">
        <v>624</v>
      </c>
      <c r="M467" s="645" t="s">
        <v>498</v>
      </c>
      <c r="N467" s="646">
        <v>64917</v>
      </c>
      <c r="O467" s="646">
        <v>491</v>
      </c>
    </row>
    <row r="468" spans="1:15" ht="16" customHeight="1" thickBot="1">
      <c r="A468" s="126"/>
      <c r="B468" s="644"/>
      <c r="C468" s="645">
        <v>244</v>
      </c>
      <c r="D468" s="645" t="s">
        <v>359</v>
      </c>
      <c r="E468" s="645">
        <v>1284</v>
      </c>
      <c r="F468" s="645" t="s">
        <v>924</v>
      </c>
      <c r="G468" s="645" t="s">
        <v>557</v>
      </c>
      <c r="H468" s="645">
        <v>90</v>
      </c>
      <c r="I468" s="645">
        <v>243</v>
      </c>
      <c r="J468" s="645">
        <v>0.37</v>
      </c>
      <c r="K468" s="645" t="s">
        <v>496</v>
      </c>
      <c r="L468" s="645" t="s">
        <v>497</v>
      </c>
      <c r="M468" s="645" t="s">
        <v>509</v>
      </c>
      <c r="N468" s="646">
        <v>0</v>
      </c>
      <c r="O468" s="646">
        <v>0</v>
      </c>
    </row>
    <row r="469" spans="1:15" ht="16" customHeight="1" thickBot="1">
      <c r="A469" s="126"/>
      <c r="B469" s="644"/>
      <c r="C469" s="645">
        <v>244</v>
      </c>
      <c r="D469" s="645" t="s">
        <v>359</v>
      </c>
      <c r="E469" s="645">
        <v>1285</v>
      </c>
      <c r="F469" s="645" t="s">
        <v>925</v>
      </c>
      <c r="G469" s="645" t="s">
        <v>512</v>
      </c>
      <c r="H469" s="645">
        <v>135</v>
      </c>
      <c r="I469" s="645">
        <v>184</v>
      </c>
      <c r="J469" s="645">
        <v>0.73399999999999999</v>
      </c>
      <c r="K469" s="645" t="s">
        <v>496</v>
      </c>
      <c r="L469" s="645" t="s">
        <v>518</v>
      </c>
      <c r="M469" s="645" t="s">
        <v>498</v>
      </c>
      <c r="N469" s="646">
        <v>93000</v>
      </c>
      <c r="O469" s="646">
        <v>688</v>
      </c>
    </row>
    <row r="470" spans="1:15" ht="16" customHeight="1" thickBot="1">
      <c r="A470" s="126"/>
      <c r="B470" s="644"/>
      <c r="C470" s="645">
        <v>244</v>
      </c>
      <c r="D470" s="645" t="s">
        <v>359</v>
      </c>
      <c r="E470" s="645">
        <v>1286</v>
      </c>
      <c r="F470" s="645" t="s">
        <v>926</v>
      </c>
      <c r="G470" s="645" t="s">
        <v>551</v>
      </c>
      <c r="H470" s="645">
        <v>305</v>
      </c>
      <c r="I470" s="645">
        <v>590</v>
      </c>
      <c r="J470" s="645">
        <v>0.51700000000000002</v>
      </c>
      <c r="K470" s="645" t="s">
        <v>496</v>
      </c>
      <c r="L470" s="645" t="s">
        <v>518</v>
      </c>
      <c r="M470" s="645" t="s">
        <v>505</v>
      </c>
      <c r="N470" s="646">
        <v>149790</v>
      </c>
      <c r="O470" s="646">
        <v>491</v>
      </c>
    </row>
    <row r="471" spans="1:15" ht="16" customHeight="1" thickBot="1">
      <c r="A471" s="126"/>
      <c r="B471" s="644"/>
      <c r="C471" s="645">
        <v>244</v>
      </c>
      <c r="D471" s="645" t="s">
        <v>359</v>
      </c>
      <c r="E471" s="645">
        <v>1287</v>
      </c>
      <c r="F471" s="645" t="s">
        <v>927</v>
      </c>
      <c r="G471" s="645" t="s">
        <v>551</v>
      </c>
      <c r="H471" s="647" t="s">
        <v>1523</v>
      </c>
      <c r="I471" s="647" t="s">
        <v>1523</v>
      </c>
      <c r="J471" s="647" t="s">
        <v>1523</v>
      </c>
      <c r="K471" s="645" t="s">
        <v>496</v>
      </c>
      <c r="L471" s="645" t="s">
        <v>624</v>
      </c>
      <c r="M471" s="645" t="s">
        <v>498</v>
      </c>
      <c r="N471" s="646">
        <v>5800</v>
      </c>
      <c r="O471" s="646">
        <v>725</v>
      </c>
    </row>
    <row r="472" spans="1:15" ht="16" customHeight="1" thickBot="1">
      <c r="A472" s="126"/>
      <c r="B472" s="644"/>
      <c r="C472" s="648" t="s">
        <v>1523</v>
      </c>
      <c r="D472" s="648" t="s">
        <v>1523</v>
      </c>
      <c r="E472" s="648" t="s">
        <v>1523</v>
      </c>
      <c r="F472" s="648" t="s">
        <v>1523</v>
      </c>
      <c r="G472" s="648" t="s">
        <v>1523</v>
      </c>
      <c r="H472" s="648" t="s">
        <v>1523</v>
      </c>
      <c r="I472" s="648" t="s">
        <v>1523</v>
      </c>
      <c r="J472" s="648" t="s">
        <v>1523</v>
      </c>
      <c r="K472" s="648" t="s">
        <v>1523</v>
      </c>
      <c r="L472" s="648" t="s">
        <v>1523</v>
      </c>
      <c r="M472" s="648" t="s">
        <v>1523</v>
      </c>
      <c r="N472" s="648" t="s">
        <v>1523</v>
      </c>
      <c r="O472" s="648" t="s">
        <v>1523</v>
      </c>
    </row>
    <row r="473" spans="1:15" ht="16" customHeight="1" thickBot="1">
      <c r="A473" s="126"/>
      <c r="B473" s="644"/>
      <c r="C473" s="645">
        <v>251</v>
      </c>
      <c r="D473" s="645" t="s">
        <v>1529</v>
      </c>
      <c r="E473" s="645">
        <v>114</v>
      </c>
      <c r="F473" s="645" t="s">
        <v>928</v>
      </c>
      <c r="G473" s="645" t="s">
        <v>557</v>
      </c>
      <c r="H473" s="645">
        <v>499</v>
      </c>
      <c r="I473" s="645">
        <v>1326</v>
      </c>
      <c r="J473" s="645">
        <v>0.376</v>
      </c>
      <c r="K473" s="645" t="s">
        <v>496</v>
      </c>
      <c r="L473" s="645" t="s">
        <v>497</v>
      </c>
      <c r="M473" s="645" t="s">
        <v>505</v>
      </c>
      <c r="N473" s="646">
        <v>0</v>
      </c>
      <c r="O473" s="646">
        <v>0</v>
      </c>
    </row>
    <row r="474" spans="1:15" ht="16" customHeight="1" thickBot="1">
      <c r="A474" s="126"/>
      <c r="B474" s="644"/>
      <c r="C474" s="645">
        <v>251</v>
      </c>
      <c r="D474" s="645" t="s">
        <v>1529</v>
      </c>
      <c r="E474" s="645">
        <v>723</v>
      </c>
      <c r="F474" s="645" t="s">
        <v>929</v>
      </c>
      <c r="G474" s="645" t="s">
        <v>564</v>
      </c>
      <c r="H474" s="645">
        <v>188</v>
      </c>
      <c r="I474" s="645">
        <v>247</v>
      </c>
      <c r="J474" s="645">
        <v>0.76100000000000001</v>
      </c>
      <c r="K474" s="645" t="s">
        <v>496</v>
      </c>
      <c r="L474" s="645" t="s">
        <v>518</v>
      </c>
      <c r="M474" s="645" t="s">
        <v>498</v>
      </c>
      <c r="N474" s="646">
        <v>87459</v>
      </c>
      <c r="O474" s="646">
        <v>465</v>
      </c>
    </row>
    <row r="475" spans="1:15" ht="16" customHeight="1" thickBot="1">
      <c r="A475" s="126"/>
      <c r="B475" s="644"/>
      <c r="C475" s="645">
        <v>251</v>
      </c>
      <c r="D475" s="645" t="s">
        <v>1529</v>
      </c>
      <c r="E475" s="645">
        <v>724</v>
      </c>
      <c r="F475" s="645" t="s">
        <v>930</v>
      </c>
      <c r="G475" s="645" t="s">
        <v>564</v>
      </c>
      <c r="H475" s="645">
        <v>160</v>
      </c>
      <c r="I475" s="645">
        <v>343</v>
      </c>
      <c r="J475" s="645">
        <v>0.46600000000000003</v>
      </c>
      <c r="K475" s="645" t="s">
        <v>496</v>
      </c>
      <c r="L475" s="645" t="s">
        <v>518</v>
      </c>
      <c r="M475" s="645" t="s">
        <v>509</v>
      </c>
      <c r="N475" s="646">
        <v>69868</v>
      </c>
      <c r="O475" s="646">
        <v>436</v>
      </c>
    </row>
    <row r="476" spans="1:15" ht="16" customHeight="1" thickBot="1">
      <c r="A476" s="126"/>
      <c r="B476" s="644"/>
      <c r="C476" s="645">
        <v>251</v>
      </c>
      <c r="D476" s="645" t="s">
        <v>1529</v>
      </c>
      <c r="E476" s="645">
        <v>725</v>
      </c>
      <c r="F476" s="645" t="s">
        <v>529</v>
      </c>
      <c r="G476" s="645" t="s">
        <v>931</v>
      </c>
      <c r="H476" s="645">
        <v>244</v>
      </c>
      <c r="I476" s="645">
        <v>664</v>
      </c>
      <c r="J476" s="645">
        <v>0.36699999999999999</v>
      </c>
      <c r="K476" s="645" t="s">
        <v>496</v>
      </c>
      <c r="L476" s="645" t="s">
        <v>624</v>
      </c>
      <c r="M476" s="645" t="s">
        <v>498</v>
      </c>
      <c r="N476" s="646">
        <v>75197</v>
      </c>
      <c r="O476" s="646">
        <v>308</v>
      </c>
    </row>
    <row r="477" spans="1:15" ht="16" customHeight="1" thickBot="1">
      <c r="A477" s="126"/>
      <c r="B477" s="644"/>
      <c r="C477" s="645">
        <v>251</v>
      </c>
      <c r="D477" s="645" t="s">
        <v>1529</v>
      </c>
      <c r="E477" s="645">
        <v>726</v>
      </c>
      <c r="F477" s="645" t="s">
        <v>932</v>
      </c>
      <c r="G477" s="645" t="s">
        <v>564</v>
      </c>
      <c r="H477" s="645">
        <v>117</v>
      </c>
      <c r="I477" s="645">
        <v>147</v>
      </c>
      <c r="J477" s="645">
        <v>0.79600000000000004</v>
      </c>
      <c r="K477" s="645" t="s">
        <v>496</v>
      </c>
      <c r="L477" s="645" t="s">
        <v>518</v>
      </c>
      <c r="M477" s="645" t="s">
        <v>505</v>
      </c>
      <c r="N477" s="646">
        <v>95129</v>
      </c>
      <c r="O477" s="646">
        <v>813</v>
      </c>
    </row>
    <row r="478" spans="1:15" ht="16" customHeight="1" thickBot="1">
      <c r="A478" s="126"/>
      <c r="B478" s="644"/>
      <c r="C478" s="645">
        <v>251</v>
      </c>
      <c r="D478" s="645" t="s">
        <v>1529</v>
      </c>
      <c r="E478" s="645">
        <v>1110</v>
      </c>
      <c r="F478" s="645" t="s">
        <v>933</v>
      </c>
      <c r="G478" s="645" t="s">
        <v>564</v>
      </c>
      <c r="H478" s="645">
        <v>271</v>
      </c>
      <c r="I478" s="645">
        <v>676</v>
      </c>
      <c r="J478" s="645">
        <v>0.40100000000000002</v>
      </c>
      <c r="K478" s="645" t="s">
        <v>496</v>
      </c>
      <c r="L478" s="645" t="s">
        <v>518</v>
      </c>
      <c r="M478" s="645" t="s">
        <v>505</v>
      </c>
      <c r="N478" s="646">
        <v>85226</v>
      </c>
      <c r="O478" s="646">
        <v>314</v>
      </c>
    </row>
    <row r="479" spans="1:15" ht="16" customHeight="1" thickBot="1">
      <c r="A479" s="126"/>
      <c r="B479" s="644"/>
      <c r="C479" s="645">
        <v>251</v>
      </c>
      <c r="D479" s="645" t="s">
        <v>1529</v>
      </c>
      <c r="E479" s="645">
        <v>1143</v>
      </c>
      <c r="F479" s="645" t="s">
        <v>934</v>
      </c>
      <c r="G479" s="645" t="s">
        <v>557</v>
      </c>
      <c r="H479" s="645">
        <v>41</v>
      </c>
      <c r="I479" s="645">
        <v>79</v>
      </c>
      <c r="J479" s="645">
        <v>0.51900000000000002</v>
      </c>
      <c r="K479" s="645" t="s">
        <v>496</v>
      </c>
      <c r="L479" s="645" t="s">
        <v>497</v>
      </c>
      <c r="M479" s="645" t="s">
        <v>521</v>
      </c>
      <c r="N479" s="646">
        <v>0</v>
      </c>
      <c r="O479" s="646">
        <v>0</v>
      </c>
    </row>
    <row r="480" spans="1:15" ht="16" customHeight="1" thickBot="1">
      <c r="A480" s="126"/>
      <c r="B480" s="644"/>
      <c r="C480" s="645">
        <v>251</v>
      </c>
      <c r="D480" s="645" t="s">
        <v>1529</v>
      </c>
      <c r="E480" s="645">
        <v>1358</v>
      </c>
      <c r="F480" s="645" t="s">
        <v>935</v>
      </c>
      <c r="G480" s="645" t="s">
        <v>554</v>
      </c>
      <c r="H480" s="645">
        <v>480</v>
      </c>
      <c r="I480" s="645">
        <v>1141</v>
      </c>
      <c r="J480" s="645">
        <v>0.42099999999999999</v>
      </c>
      <c r="K480" s="645" t="s">
        <v>496</v>
      </c>
      <c r="L480" s="645" t="s">
        <v>518</v>
      </c>
      <c r="M480" s="645" t="s">
        <v>505</v>
      </c>
      <c r="N480" s="646">
        <v>186115</v>
      </c>
      <c r="O480" s="646">
        <v>387</v>
      </c>
    </row>
    <row r="481" spans="1:15" ht="16" customHeight="1" thickBot="1">
      <c r="A481" s="126"/>
      <c r="B481" s="644"/>
      <c r="C481" s="645">
        <v>251</v>
      </c>
      <c r="D481" s="645" t="s">
        <v>1529</v>
      </c>
      <c r="E481" s="645">
        <v>1359</v>
      </c>
      <c r="F481" s="645" t="s">
        <v>936</v>
      </c>
      <c r="G481" s="645" t="s">
        <v>937</v>
      </c>
      <c r="H481" s="645">
        <v>224</v>
      </c>
      <c r="I481" s="645">
        <v>557</v>
      </c>
      <c r="J481" s="645">
        <v>0.40200000000000002</v>
      </c>
      <c r="K481" s="645" t="s">
        <v>496</v>
      </c>
      <c r="L481" s="645" t="s">
        <v>624</v>
      </c>
      <c r="M481" s="645" t="s">
        <v>509</v>
      </c>
      <c r="N481" s="646">
        <v>70738</v>
      </c>
      <c r="O481" s="646">
        <v>315</v>
      </c>
    </row>
    <row r="482" spans="1:15" ht="16" customHeight="1" thickBot="1">
      <c r="A482" s="126"/>
      <c r="B482" s="644"/>
      <c r="C482" s="648" t="s">
        <v>1523</v>
      </c>
      <c r="D482" s="648" t="s">
        <v>1523</v>
      </c>
      <c r="E482" s="648" t="s">
        <v>1523</v>
      </c>
      <c r="F482" s="648" t="s">
        <v>1523</v>
      </c>
      <c r="G482" s="648" t="s">
        <v>1523</v>
      </c>
      <c r="H482" s="648" t="s">
        <v>1523</v>
      </c>
      <c r="I482" s="648" t="s">
        <v>1523</v>
      </c>
      <c r="J482" s="648" t="s">
        <v>1523</v>
      </c>
      <c r="K482" s="648" t="s">
        <v>1523</v>
      </c>
      <c r="L482" s="648" t="s">
        <v>1523</v>
      </c>
      <c r="M482" s="648" t="s">
        <v>1523</v>
      </c>
      <c r="N482" s="648" t="s">
        <v>1523</v>
      </c>
      <c r="O482" s="648" t="s">
        <v>1523</v>
      </c>
    </row>
    <row r="483" spans="1:15" ht="16" customHeight="1" thickBot="1">
      <c r="A483" s="126"/>
      <c r="B483" s="644"/>
      <c r="C483" s="645">
        <v>252</v>
      </c>
      <c r="D483" s="645" t="s">
        <v>361</v>
      </c>
      <c r="E483" s="645">
        <v>228</v>
      </c>
      <c r="F483" s="645" t="s">
        <v>938</v>
      </c>
      <c r="G483" s="645" t="s">
        <v>939</v>
      </c>
      <c r="H483" s="645">
        <v>158</v>
      </c>
      <c r="I483" s="645">
        <v>345</v>
      </c>
      <c r="J483" s="645">
        <v>0.45800000000000002</v>
      </c>
      <c r="K483" s="645" t="s">
        <v>496</v>
      </c>
      <c r="L483" s="645" t="s">
        <v>518</v>
      </c>
      <c r="M483" s="645" t="s">
        <v>498</v>
      </c>
      <c r="N483" s="646">
        <v>50795</v>
      </c>
      <c r="O483" s="646">
        <v>321</v>
      </c>
    </row>
    <row r="484" spans="1:15" ht="16" customHeight="1" thickBot="1">
      <c r="A484" s="126"/>
      <c r="B484" s="644"/>
      <c r="C484" s="645">
        <v>252</v>
      </c>
      <c r="D484" s="645" t="s">
        <v>361</v>
      </c>
      <c r="E484" s="645">
        <v>229</v>
      </c>
      <c r="F484" s="645" t="s">
        <v>940</v>
      </c>
      <c r="G484" s="645" t="s">
        <v>941</v>
      </c>
      <c r="H484" s="645">
        <v>194</v>
      </c>
      <c r="I484" s="645">
        <v>363</v>
      </c>
      <c r="J484" s="645">
        <v>0.53400000000000003</v>
      </c>
      <c r="K484" s="645" t="s">
        <v>496</v>
      </c>
      <c r="L484" s="645" t="s">
        <v>518</v>
      </c>
      <c r="M484" s="645" t="s">
        <v>505</v>
      </c>
      <c r="N484" s="646">
        <v>43178</v>
      </c>
      <c r="O484" s="646">
        <v>222</v>
      </c>
    </row>
    <row r="485" spans="1:15" ht="16" customHeight="1" thickBot="1">
      <c r="A485" s="126"/>
      <c r="B485" s="644"/>
      <c r="C485" s="648" t="s">
        <v>1523</v>
      </c>
      <c r="D485" s="648" t="s">
        <v>1523</v>
      </c>
      <c r="E485" s="648" t="s">
        <v>1523</v>
      </c>
      <c r="F485" s="648" t="s">
        <v>1523</v>
      </c>
      <c r="G485" s="648" t="s">
        <v>1523</v>
      </c>
      <c r="H485" s="648" t="s">
        <v>1523</v>
      </c>
      <c r="I485" s="648" t="s">
        <v>1523</v>
      </c>
      <c r="J485" s="648" t="s">
        <v>1523</v>
      </c>
      <c r="K485" s="648" t="s">
        <v>1523</v>
      </c>
      <c r="L485" s="648" t="s">
        <v>1523</v>
      </c>
      <c r="M485" s="648" t="s">
        <v>1523</v>
      </c>
      <c r="N485" s="648" t="s">
        <v>1523</v>
      </c>
      <c r="O485" s="648" t="s">
        <v>1523</v>
      </c>
    </row>
    <row r="486" spans="1:15" ht="16" customHeight="1" thickBot="1">
      <c r="A486" s="126"/>
      <c r="B486" s="644"/>
      <c r="C486" s="645">
        <v>253</v>
      </c>
      <c r="D486" s="645" t="s">
        <v>362</v>
      </c>
      <c r="E486" s="645">
        <v>115</v>
      </c>
      <c r="F486" s="645" t="s">
        <v>942</v>
      </c>
      <c r="G486" s="645" t="s">
        <v>557</v>
      </c>
      <c r="H486" s="645">
        <v>54</v>
      </c>
      <c r="I486" s="645">
        <v>110</v>
      </c>
      <c r="J486" s="645">
        <v>0.49099999999999999</v>
      </c>
      <c r="K486" s="645" t="s">
        <v>496</v>
      </c>
      <c r="L486" s="645" t="s">
        <v>518</v>
      </c>
      <c r="M486" s="645" t="s">
        <v>505</v>
      </c>
      <c r="N486" s="646">
        <v>8308</v>
      </c>
      <c r="O486" s="646">
        <v>153</v>
      </c>
    </row>
    <row r="487" spans="1:15" ht="16" customHeight="1" thickBot="1">
      <c r="A487" s="126"/>
      <c r="B487" s="644"/>
      <c r="C487" s="645">
        <v>253</v>
      </c>
      <c r="D487" s="645" t="s">
        <v>362</v>
      </c>
      <c r="E487" s="645">
        <v>728</v>
      </c>
      <c r="F487" s="645" t="s">
        <v>943</v>
      </c>
      <c r="G487" s="645" t="s">
        <v>551</v>
      </c>
      <c r="H487" s="645">
        <v>144</v>
      </c>
      <c r="I487" s="645">
        <v>255</v>
      </c>
      <c r="J487" s="645">
        <v>0.56499999999999995</v>
      </c>
      <c r="K487" s="645" t="s">
        <v>496</v>
      </c>
      <c r="L487" s="645" t="s">
        <v>518</v>
      </c>
      <c r="M487" s="645" t="s">
        <v>498</v>
      </c>
      <c r="N487" s="646">
        <v>92639</v>
      </c>
      <c r="O487" s="646">
        <v>643</v>
      </c>
    </row>
    <row r="488" spans="1:15" ht="16" customHeight="1" thickBot="1">
      <c r="A488" s="126"/>
      <c r="B488" s="644"/>
      <c r="C488" s="645">
        <v>253</v>
      </c>
      <c r="D488" s="645" t="s">
        <v>362</v>
      </c>
      <c r="E488" s="645">
        <v>729</v>
      </c>
      <c r="F488" s="645" t="s">
        <v>944</v>
      </c>
      <c r="G488" s="645" t="s">
        <v>564</v>
      </c>
      <c r="H488" s="645">
        <v>28</v>
      </c>
      <c r="I488" s="645">
        <v>47</v>
      </c>
      <c r="J488" s="645">
        <v>0.59599999999999997</v>
      </c>
      <c r="K488" s="645" t="s">
        <v>496</v>
      </c>
      <c r="L488" s="645" t="s">
        <v>518</v>
      </c>
      <c r="M488" s="645" t="s">
        <v>509</v>
      </c>
      <c r="N488" s="646">
        <v>27313</v>
      </c>
      <c r="O488" s="646">
        <v>975</v>
      </c>
    </row>
    <row r="489" spans="1:15" ht="16" customHeight="1" thickBot="1">
      <c r="A489" s="126"/>
      <c r="B489" s="644"/>
      <c r="C489" s="645">
        <v>253</v>
      </c>
      <c r="D489" s="645" t="s">
        <v>362</v>
      </c>
      <c r="E489" s="645">
        <v>1315</v>
      </c>
      <c r="F489" s="645" t="s">
        <v>1530</v>
      </c>
      <c r="G489" s="645" t="s">
        <v>596</v>
      </c>
      <c r="H489" s="645">
        <v>91</v>
      </c>
      <c r="I489" s="645">
        <v>208</v>
      </c>
      <c r="J489" s="645">
        <v>0.438</v>
      </c>
      <c r="K489" s="645" t="s">
        <v>496</v>
      </c>
      <c r="L489" s="645" t="s">
        <v>518</v>
      </c>
      <c r="M489" s="645" t="s">
        <v>509</v>
      </c>
      <c r="N489" s="646">
        <v>24796</v>
      </c>
      <c r="O489" s="646">
        <v>272</v>
      </c>
    </row>
    <row r="490" spans="1:15" ht="16" customHeight="1" thickBot="1">
      <c r="A490" s="126"/>
      <c r="B490" s="644"/>
      <c r="C490" s="648" t="s">
        <v>1523</v>
      </c>
      <c r="D490" s="648" t="s">
        <v>1523</v>
      </c>
      <c r="E490" s="648" t="s">
        <v>1523</v>
      </c>
      <c r="F490" s="648" t="s">
        <v>1523</v>
      </c>
      <c r="G490" s="648" t="s">
        <v>1523</v>
      </c>
      <c r="H490" s="648" t="s">
        <v>1523</v>
      </c>
      <c r="I490" s="648" t="s">
        <v>1523</v>
      </c>
      <c r="J490" s="648" t="s">
        <v>1523</v>
      </c>
      <c r="K490" s="648" t="s">
        <v>1523</v>
      </c>
      <c r="L490" s="648" t="s">
        <v>1523</v>
      </c>
      <c r="M490" s="648" t="s">
        <v>1523</v>
      </c>
      <c r="N490" s="648" t="s">
        <v>1523</v>
      </c>
      <c r="O490" s="648" t="s">
        <v>1523</v>
      </c>
    </row>
    <row r="491" spans="1:15" ht="16" customHeight="1" thickBot="1">
      <c r="A491" s="126"/>
      <c r="B491" s="644"/>
      <c r="C491" s="645">
        <v>261</v>
      </c>
      <c r="D491" s="645" t="s">
        <v>363</v>
      </c>
      <c r="E491" s="645">
        <v>117</v>
      </c>
      <c r="F491" s="645" t="s">
        <v>945</v>
      </c>
      <c r="G491" s="645" t="s">
        <v>554</v>
      </c>
      <c r="H491" s="645">
        <v>554</v>
      </c>
      <c r="I491" s="645">
        <v>835</v>
      </c>
      <c r="J491" s="645">
        <v>0.66300000000000003</v>
      </c>
      <c r="K491" s="645" t="s">
        <v>496</v>
      </c>
      <c r="L491" s="645" t="s">
        <v>518</v>
      </c>
      <c r="M491" s="645" t="s">
        <v>498</v>
      </c>
      <c r="N491" s="646">
        <v>117942</v>
      </c>
      <c r="O491" s="646">
        <v>212</v>
      </c>
    </row>
    <row r="492" spans="1:15" ht="16" customHeight="1" thickBot="1">
      <c r="A492" s="126"/>
      <c r="B492" s="644"/>
      <c r="C492" s="645">
        <v>261</v>
      </c>
      <c r="D492" s="645" t="s">
        <v>363</v>
      </c>
      <c r="E492" s="645">
        <v>118</v>
      </c>
      <c r="F492" s="645" t="s">
        <v>946</v>
      </c>
      <c r="G492" s="645" t="s">
        <v>557</v>
      </c>
      <c r="H492" s="645">
        <v>527</v>
      </c>
      <c r="I492" s="645">
        <v>948</v>
      </c>
      <c r="J492" s="645">
        <v>0.55600000000000005</v>
      </c>
      <c r="K492" s="645" t="s">
        <v>496</v>
      </c>
      <c r="L492" s="645" t="s">
        <v>497</v>
      </c>
      <c r="M492" s="645" t="s">
        <v>498</v>
      </c>
      <c r="N492" s="646">
        <v>0</v>
      </c>
      <c r="O492" s="646">
        <v>0</v>
      </c>
    </row>
    <row r="493" spans="1:15" ht="16" customHeight="1" thickBot="1">
      <c r="A493" s="126"/>
      <c r="B493" s="644"/>
      <c r="C493" s="645">
        <v>261</v>
      </c>
      <c r="D493" s="645" t="s">
        <v>363</v>
      </c>
      <c r="E493" s="645">
        <v>516</v>
      </c>
      <c r="F493" s="645" t="s">
        <v>540</v>
      </c>
      <c r="G493" s="645" t="s">
        <v>612</v>
      </c>
      <c r="H493" s="645">
        <v>507</v>
      </c>
      <c r="I493" s="645">
        <v>696</v>
      </c>
      <c r="J493" s="645">
        <v>0.72799999999999998</v>
      </c>
      <c r="K493" s="645" t="s">
        <v>496</v>
      </c>
      <c r="L493" s="645" t="s">
        <v>518</v>
      </c>
      <c r="M493" s="645" t="s">
        <v>505</v>
      </c>
      <c r="N493" s="646">
        <v>277982</v>
      </c>
      <c r="O493" s="646">
        <v>548</v>
      </c>
    </row>
    <row r="494" spans="1:15" ht="16" customHeight="1" thickBot="1">
      <c r="A494" s="126"/>
      <c r="B494" s="644"/>
      <c r="C494" s="645">
        <v>261</v>
      </c>
      <c r="D494" s="645" t="s">
        <v>363</v>
      </c>
      <c r="E494" s="645">
        <v>731</v>
      </c>
      <c r="F494" s="645" t="s">
        <v>529</v>
      </c>
      <c r="G494" s="645" t="s">
        <v>947</v>
      </c>
      <c r="H494" s="645">
        <v>392</v>
      </c>
      <c r="I494" s="645">
        <v>588</v>
      </c>
      <c r="J494" s="645">
        <v>0.66700000000000004</v>
      </c>
      <c r="K494" s="645" t="s">
        <v>496</v>
      </c>
      <c r="L494" s="645" t="s">
        <v>518</v>
      </c>
      <c r="M494" s="645" t="s">
        <v>498</v>
      </c>
      <c r="N494" s="646">
        <v>170554</v>
      </c>
      <c r="O494" s="646">
        <v>435</v>
      </c>
    </row>
    <row r="495" spans="1:15" ht="16" customHeight="1" thickBot="1">
      <c r="A495" s="126"/>
      <c r="B495" s="644"/>
      <c r="C495" s="645">
        <v>261</v>
      </c>
      <c r="D495" s="645" t="s">
        <v>363</v>
      </c>
      <c r="E495" s="645">
        <v>2516</v>
      </c>
      <c r="F495" s="645" t="s">
        <v>948</v>
      </c>
      <c r="G495" s="645" t="s">
        <v>949</v>
      </c>
      <c r="H495" s="645">
        <v>424</v>
      </c>
      <c r="I495" s="645">
        <v>618</v>
      </c>
      <c r="J495" s="645">
        <v>0.68600000000000005</v>
      </c>
      <c r="K495" s="645" t="s">
        <v>496</v>
      </c>
      <c r="L495" s="645" t="s">
        <v>518</v>
      </c>
      <c r="M495" s="645" t="s">
        <v>521</v>
      </c>
      <c r="N495" s="646">
        <v>200923</v>
      </c>
      <c r="O495" s="646">
        <v>473</v>
      </c>
    </row>
    <row r="496" spans="1:15" ht="16" customHeight="1" thickBot="1">
      <c r="A496" s="126"/>
      <c r="B496" s="644"/>
      <c r="C496" s="648" t="s">
        <v>1523</v>
      </c>
      <c r="D496" s="648" t="s">
        <v>1523</v>
      </c>
      <c r="E496" s="648" t="s">
        <v>1523</v>
      </c>
      <c r="F496" s="648" t="s">
        <v>1523</v>
      </c>
      <c r="G496" s="648" t="s">
        <v>1523</v>
      </c>
      <c r="H496" s="648" t="s">
        <v>1523</v>
      </c>
      <c r="I496" s="648" t="s">
        <v>1523</v>
      </c>
      <c r="J496" s="648" t="s">
        <v>1523</v>
      </c>
      <c r="K496" s="648" t="s">
        <v>1523</v>
      </c>
      <c r="L496" s="648" t="s">
        <v>1523</v>
      </c>
      <c r="M496" s="648" t="s">
        <v>1523</v>
      </c>
      <c r="N496" s="648" t="s">
        <v>1523</v>
      </c>
      <c r="O496" s="648" t="s">
        <v>1523</v>
      </c>
    </row>
    <row r="497" spans="1:15" ht="16" customHeight="1" thickBot="1">
      <c r="A497" s="126"/>
      <c r="B497" s="644"/>
      <c r="C497" s="645">
        <v>262</v>
      </c>
      <c r="D497" s="645" t="s">
        <v>364</v>
      </c>
      <c r="E497" s="645">
        <v>119</v>
      </c>
      <c r="F497" s="645" t="s">
        <v>950</v>
      </c>
      <c r="G497" s="645" t="s">
        <v>623</v>
      </c>
      <c r="H497" s="645">
        <v>408</v>
      </c>
      <c r="I497" s="645">
        <v>597</v>
      </c>
      <c r="J497" s="645">
        <v>0.68300000000000005</v>
      </c>
      <c r="K497" s="645" t="s">
        <v>496</v>
      </c>
      <c r="L497" s="645" t="s">
        <v>518</v>
      </c>
      <c r="M497" s="645" t="s">
        <v>498</v>
      </c>
      <c r="N497" s="646">
        <v>106847</v>
      </c>
      <c r="O497" s="646">
        <v>261</v>
      </c>
    </row>
    <row r="498" spans="1:15" ht="16" customHeight="1" thickBot="1">
      <c r="A498" s="126"/>
      <c r="B498" s="644"/>
      <c r="C498" s="648" t="s">
        <v>1523</v>
      </c>
      <c r="D498" s="648" t="s">
        <v>1523</v>
      </c>
      <c r="E498" s="648" t="s">
        <v>1523</v>
      </c>
      <c r="F498" s="648" t="s">
        <v>1523</v>
      </c>
      <c r="G498" s="648" t="s">
        <v>1523</v>
      </c>
      <c r="H498" s="648" t="s">
        <v>1523</v>
      </c>
      <c r="I498" s="648" t="s">
        <v>1523</v>
      </c>
      <c r="J498" s="648" t="s">
        <v>1523</v>
      </c>
      <c r="K498" s="648" t="s">
        <v>1523</v>
      </c>
      <c r="L498" s="648" t="s">
        <v>1523</v>
      </c>
      <c r="M498" s="648" t="s">
        <v>1523</v>
      </c>
      <c r="N498" s="648" t="s">
        <v>1523</v>
      </c>
      <c r="O498" s="648" t="s">
        <v>1523</v>
      </c>
    </row>
    <row r="499" spans="1:15" ht="16" customHeight="1" thickBot="1">
      <c r="A499" s="126"/>
      <c r="B499" s="644"/>
      <c r="C499" s="645">
        <v>271</v>
      </c>
      <c r="D499" s="645" t="s">
        <v>951</v>
      </c>
      <c r="E499" s="645">
        <v>120</v>
      </c>
      <c r="F499" s="645" t="s">
        <v>952</v>
      </c>
      <c r="G499" s="645" t="s">
        <v>554</v>
      </c>
      <c r="H499" s="645">
        <v>268</v>
      </c>
      <c r="I499" s="645">
        <v>804</v>
      </c>
      <c r="J499" s="645">
        <v>0.33300000000000002</v>
      </c>
      <c r="K499" s="645" t="s">
        <v>501</v>
      </c>
      <c r="L499" s="645" t="s">
        <v>497</v>
      </c>
      <c r="M499" s="645" t="s">
        <v>509</v>
      </c>
      <c r="N499" s="646">
        <v>0</v>
      </c>
      <c r="O499" s="646">
        <v>0</v>
      </c>
    </row>
    <row r="500" spans="1:15" ht="16" customHeight="1" thickBot="1">
      <c r="A500" s="126"/>
      <c r="B500" s="644"/>
      <c r="C500" s="645">
        <v>271</v>
      </c>
      <c r="D500" s="645" t="s">
        <v>951</v>
      </c>
      <c r="E500" s="645">
        <v>121</v>
      </c>
      <c r="F500" s="645" t="s">
        <v>953</v>
      </c>
      <c r="G500" s="645" t="s">
        <v>554</v>
      </c>
      <c r="H500" s="645">
        <v>409</v>
      </c>
      <c r="I500" s="645">
        <v>618</v>
      </c>
      <c r="J500" s="645">
        <v>0.66200000000000003</v>
      </c>
      <c r="K500" s="645" t="s">
        <v>496</v>
      </c>
      <c r="L500" s="645" t="s">
        <v>518</v>
      </c>
      <c r="M500" s="645" t="s">
        <v>498</v>
      </c>
      <c r="N500" s="646">
        <v>77592</v>
      </c>
      <c r="O500" s="646">
        <v>189</v>
      </c>
    </row>
    <row r="501" spans="1:15" ht="16" customHeight="1" thickBot="1">
      <c r="A501" s="126"/>
      <c r="B501" s="644"/>
      <c r="C501" s="645">
        <v>271</v>
      </c>
      <c r="D501" s="645" t="s">
        <v>951</v>
      </c>
      <c r="E501" s="645">
        <v>122</v>
      </c>
      <c r="F501" s="645" t="s">
        <v>954</v>
      </c>
      <c r="G501" s="645" t="s">
        <v>557</v>
      </c>
      <c r="H501" s="645">
        <v>402</v>
      </c>
      <c r="I501" s="645">
        <v>1412</v>
      </c>
      <c r="J501" s="645">
        <v>0.28499999999999998</v>
      </c>
      <c r="K501" s="645" t="s">
        <v>501</v>
      </c>
      <c r="L501" s="645" t="s">
        <v>497</v>
      </c>
      <c r="M501" s="645" t="s">
        <v>509</v>
      </c>
      <c r="N501" s="646">
        <v>0</v>
      </c>
      <c r="O501" s="646">
        <v>0</v>
      </c>
    </row>
    <row r="502" spans="1:15" ht="16" customHeight="1" thickBot="1">
      <c r="A502" s="126"/>
      <c r="B502" s="644"/>
      <c r="C502" s="645">
        <v>271</v>
      </c>
      <c r="D502" s="645" t="s">
        <v>951</v>
      </c>
      <c r="E502" s="645">
        <v>217</v>
      </c>
      <c r="F502" s="645" t="s">
        <v>955</v>
      </c>
      <c r="G502" s="645" t="s">
        <v>564</v>
      </c>
      <c r="H502" s="645">
        <v>280</v>
      </c>
      <c r="I502" s="645">
        <v>705</v>
      </c>
      <c r="J502" s="645">
        <v>0.39700000000000002</v>
      </c>
      <c r="K502" s="645" t="s">
        <v>496</v>
      </c>
      <c r="L502" s="645" t="s">
        <v>518</v>
      </c>
      <c r="M502" s="645" t="s">
        <v>509</v>
      </c>
      <c r="N502" s="646">
        <v>125000</v>
      </c>
      <c r="O502" s="646">
        <v>446</v>
      </c>
    </row>
    <row r="503" spans="1:15" ht="16" customHeight="1" thickBot="1">
      <c r="A503" s="126"/>
      <c r="B503" s="644"/>
      <c r="C503" s="645">
        <v>271</v>
      </c>
      <c r="D503" s="645" t="s">
        <v>951</v>
      </c>
      <c r="E503" s="645">
        <v>220</v>
      </c>
      <c r="F503" s="645" t="s">
        <v>956</v>
      </c>
      <c r="G503" s="645" t="s">
        <v>557</v>
      </c>
      <c r="H503" s="645">
        <v>546</v>
      </c>
      <c r="I503" s="645">
        <v>1499</v>
      </c>
      <c r="J503" s="645">
        <v>0.36399999999999999</v>
      </c>
      <c r="K503" s="645" t="s">
        <v>496</v>
      </c>
      <c r="L503" s="645" t="s">
        <v>497</v>
      </c>
      <c r="M503" s="645" t="s">
        <v>509</v>
      </c>
      <c r="N503" s="646">
        <v>0</v>
      </c>
      <c r="O503" s="646">
        <v>0</v>
      </c>
    </row>
    <row r="504" spans="1:15" ht="16" customHeight="1" thickBot="1">
      <c r="A504" s="126"/>
      <c r="B504" s="644"/>
      <c r="C504" s="645">
        <v>271</v>
      </c>
      <c r="D504" s="645" t="s">
        <v>951</v>
      </c>
      <c r="E504" s="645">
        <v>246</v>
      </c>
      <c r="F504" s="645" t="s">
        <v>957</v>
      </c>
      <c r="G504" s="645" t="s">
        <v>554</v>
      </c>
      <c r="H504" s="645">
        <v>371</v>
      </c>
      <c r="I504" s="645">
        <v>822</v>
      </c>
      <c r="J504" s="645">
        <v>0.45100000000000001</v>
      </c>
      <c r="K504" s="645" t="s">
        <v>496</v>
      </c>
      <c r="L504" s="645" t="s">
        <v>497</v>
      </c>
      <c r="M504" s="645" t="s">
        <v>498</v>
      </c>
      <c r="N504" s="646">
        <v>0</v>
      </c>
      <c r="O504" s="646">
        <v>0</v>
      </c>
    </row>
    <row r="505" spans="1:15" ht="16" customHeight="1" thickBot="1">
      <c r="A505" s="126"/>
      <c r="B505" s="644"/>
      <c r="C505" s="645">
        <v>271</v>
      </c>
      <c r="D505" s="645" t="s">
        <v>951</v>
      </c>
      <c r="E505" s="645">
        <v>506</v>
      </c>
      <c r="F505" s="645" t="s">
        <v>958</v>
      </c>
      <c r="G505" s="645" t="s">
        <v>564</v>
      </c>
      <c r="H505" s="645">
        <v>228</v>
      </c>
      <c r="I505" s="645">
        <v>653</v>
      </c>
      <c r="J505" s="645">
        <v>0.34899999999999998</v>
      </c>
      <c r="K505" s="645" t="s">
        <v>501</v>
      </c>
      <c r="L505" s="645" t="s">
        <v>497</v>
      </c>
      <c r="M505" s="645" t="s">
        <v>509</v>
      </c>
      <c r="N505" s="646">
        <v>0</v>
      </c>
      <c r="O505" s="646">
        <v>0</v>
      </c>
    </row>
    <row r="506" spans="1:15" ht="16" customHeight="1" thickBot="1">
      <c r="A506" s="126"/>
      <c r="B506" s="644"/>
      <c r="C506" s="645">
        <v>271</v>
      </c>
      <c r="D506" s="645" t="s">
        <v>951</v>
      </c>
      <c r="E506" s="645">
        <v>514</v>
      </c>
      <c r="F506" s="645" t="s">
        <v>959</v>
      </c>
      <c r="G506" s="645" t="s">
        <v>564</v>
      </c>
      <c r="H506" s="645">
        <v>244</v>
      </c>
      <c r="I506" s="645">
        <v>403</v>
      </c>
      <c r="J506" s="645">
        <v>0.60499999999999998</v>
      </c>
      <c r="K506" s="645" t="s">
        <v>496</v>
      </c>
      <c r="L506" s="645" t="s">
        <v>518</v>
      </c>
      <c r="M506" s="645" t="s">
        <v>509</v>
      </c>
      <c r="N506" s="646">
        <v>122000</v>
      </c>
      <c r="O506" s="646">
        <v>500</v>
      </c>
    </row>
    <row r="507" spans="1:15" ht="16" customHeight="1" thickBot="1">
      <c r="A507" s="126"/>
      <c r="B507" s="644"/>
      <c r="C507" s="645">
        <v>271</v>
      </c>
      <c r="D507" s="645" t="s">
        <v>951</v>
      </c>
      <c r="E507" s="645">
        <v>735</v>
      </c>
      <c r="F507" s="645" t="s">
        <v>960</v>
      </c>
      <c r="G507" s="645" t="s">
        <v>564</v>
      </c>
      <c r="H507" s="645">
        <v>284</v>
      </c>
      <c r="I507" s="645">
        <v>336</v>
      </c>
      <c r="J507" s="645">
        <v>0.84499999999999997</v>
      </c>
      <c r="K507" s="645" t="s">
        <v>496</v>
      </c>
      <c r="L507" s="645" t="s">
        <v>518</v>
      </c>
      <c r="M507" s="645" t="s">
        <v>498</v>
      </c>
      <c r="N507" s="646">
        <v>192000</v>
      </c>
      <c r="O507" s="646">
        <v>676</v>
      </c>
    </row>
    <row r="508" spans="1:15" ht="16" customHeight="1" thickBot="1">
      <c r="A508" s="126"/>
      <c r="B508" s="644"/>
      <c r="C508" s="645">
        <v>271</v>
      </c>
      <c r="D508" s="645" t="s">
        <v>951</v>
      </c>
      <c r="E508" s="645">
        <v>738</v>
      </c>
      <c r="F508" s="645" t="s">
        <v>961</v>
      </c>
      <c r="G508" s="645" t="s">
        <v>564</v>
      </c>
      <c r="H508" s="645">
        <v>317</v>
      </c>
      <c r="I508" s="645">
        <v>760</v>
      </c>
      <c r="J508" s="645">
        <v>0.41699999999999998</v>
      </c>
      <c r="K508" s="645" t="s">
        <v>496</v>
      </c>
      <c r="L508" s="645" t="s">
        <v>518</v>
      </c>
      <c r="M508" s="645" t="s">
        <v>509</v>
      </c>
      <c r="N508" s="646">
        <v>142189</v>
      </c>
      <c r="O508" s="646">
        <v>448</v>
      </c>
    </row>
    <row r="509" spans="1:15" ht="16" customHeight="1" thickBot="1">
      <c r="A509" s="126"/>
      <c r="B509" s="644"/>
      <c r="C509" s="645">
        <v>271</v>
      </c>
      <c r="D509" s="645" t="s">
        <v>951</v>
      </c>
      <c r="E509" s="645">
        <v>739</v>
      </c>
      <c r="F509" s="645" t="s">
        <v>962</v>
      </c>
      <c r="G509" s="645" t="s">
        <v>564</v>
      </c>
      <c r="H509" s="645">
        <v>100</v>
      </c>
      <c r="I509" s="645">
        <v>417</v>
      </c>
      <c r="J509" s="645">
        <v>0.24</v>
      </c>
      <c r="K509" s="645" t="s">
        <v>501</v>
      </c>
      <c r="L509" s="645" t="s">
        <v>497</v>
      </c>
      <c r="M509" s="645" t="s">
        <v>509</v>
      </c>
      <c r="N509" s="646">
        <v>0</v>
      </c>
      <c r="O509" s="646">
        <v>0</v>
      </c>
    </row>
    <row r="510" spans="1:15" ht="16" customHeight="1" thickBot="1">
      <c r="A510" s="126"/>
      <c r="B510" s="644"/>
      <c r="C510" s="645">
        <v>271</v>
      </c>
      <c r="D510" s="645" t="s">
        <v>951</v>
      </c>
      <c r="E510" s="645">
        <v>740</v>
      </c>
      <c r="F510" s="645" t="s">
        <v>963</v>
      </c>
      <c r="G510" s="645" t="s">
        <v>564</v>
      </c>
      <c r="H510" s="645">
        <v>253</v>
      </c>
      <c r="I510" s="645">
        <v>606</v>
      </c>
      <c r="J510" s="645">
        <v>0.41699999999999998</v>
      </c>
      <c r="K510" s="645" t="s">
        <v>496</v>
      </c>
      <c r="L510" s="645" t="s">
        <v>518</v>
      </c>
      <c r="M510" s="645" t="s">
        <v>509</v>
      </c>
      <c r="N510" s="646">
        <v>121000</v>
      </c>
      <c r="O510" s="646">
        <v>478</v>
      </c>
    </row>
    <row r="511" spans="1:15" ht="16" customHeight="1" thickBot="1">
      <c r="A511" s="126"/>
      <c r="B511" s="644"/>
      <c r="C511" s="645">
        <v>271</v>
      </c>
      <c r="D511" s="645" t="s">
        <v>951</v>
      </c>
      <c r="E511" s="645">
        <v>741</v>
      </c>
      <c r="F511" s="645" t="s">
        <v>964</v>
      </c>
      <c r="G511" s="645" t="s">
        <v>564</v>
      </c>
      <c r="H511" s="645">
        <v>257</v>
      </c>
      <c r="I511" s="645">
        <v>398</v>
      </c>
      <c r="J511" s="645">
        <v>0.64600000000000002</v>
      </c>
      <c r="K511" s="645" t="s">
        <v>496</v>
      </c>
      <c r="L511" s="645" t="s">
        <v>518</v>
      </c>
      <c r="M511" s="645" t="s">
        <v>509</v>
      </c>
      <c r="N511" s="646">
        <v>170000</v>
      </c>
      <c r="O511" s="646">
        <v>661</v>
      </c>
    </row>
    <row r="512" spans="1:15" ht="16" customHeight="1" thickBot="1">
      <c r="A512" s="126"/>
      <c r="B512" s="644"/>
      <c r="C512" s="645">
        <v>271</v>
      </c>
      <c r="D512" s="645" t="s">
        <v>951</v>
      </c>
      <c r="E512" s="645">
        <v>742</v>
      </c>
      <c r="F512" s="645" t="s">
        <v>965</v>
      </c>
      <c r="G512" s="645" t="s">
        <v>512</v>
      </c>
      <c r="H512" s="645">
        <v>106</v>
      </c>
      <c r="I512" s="645">
        <v>365</v>
      </c>
      <c r="J512" s="645">
        <v>0.28999999999999998</v>
      </c>
      <c r="K512" s="645" t="s">
        <v>501</v>
      </c>
      <c r="L512" s="645" t="s">
        <v>497</v>
      </c>
      <c r="M512" s="645" t="s">
        <v>509</v>
      </c>
      <c r="N512" s="646">
        <v>0</v>
      </c>
      <c r="O512" s="646">
        <v>0</v>
      </c>
    </row>
    <row r="513" spans="1:15" ht="16" customHeight="1" thickBot="1">
      <c r="A513" s="126"/>
      <c r="B513" s="644"/>
      <c r="C513" s="645">
        <v>271</v>
      </c>
      <c r="D513" s="645" t="s">
        <v>951</v>
      </c>
      <c r="E513" s="645">
        <v>743</v>
      </c>
      <c r="F513" s="645" t="s">
        <v>966</v>
      </c>
      <c r="G513" s="645" t="s">
        <v>564</v>
      </c>
      <c r="H513" s="645">
        <v>221</v>
      </c>
      <c r="I513" s="645">
        <v>332</v>
      </c>
      <c r="J513" s="645">
        <v>0.66600000000000004</v>
      </c>
      <c r="K513" s="645" t="s">
        <v>496</v>
      </c>
      <c r="L513" s="645" t="s">
        <v>518</v>
      </c>
      <c r="M513" s="645" t="s">
        <v>498</v>
      </c>
      <c r="N513" s="646">
        <v>149250</v>
      </c>
      <c r="O513" s="646">
        <v>675</v>
      </c>
    </row>
    <row r="514" spans="1:15" ht="16" customHeight="1" thickBot="1">
      <c r="A514" s="126"/>
      <c r="B514" s="644"/>
      <c r="C514" s="645">
        <v>271</v>
      </c>
      <c r="D514" s="645" t="s">
        <v>951</v>
      </c>
      <c r="E514" s="645">
        <v>1037</v>
      </c>
      <c r="F514" s="645" t="s">
        <v>967</v>
      </c>
      <c r="G514" s="645" t="s">
        <v>557</v>
      </c>
      <c r="H514" s="645">
        <v>118</v>
      </c>
      <c r="I514" s="645">
        <v>133</v>
      </c>
      <c r="J514" s="645">
        <v>0.88700000000000001</v>
      </c>
      <c r="K514" s="645" t="s">
        <v>496</v>
      </c>
      <c r="L514" s="645" t="s">
        <v>518</v>
      </c>
      <c r="M514" s="645" t="s">
        <v>521</v>
      </c>
      <c r="N514" s="646">
        <v>102857</v>
      </c>
      <c r="O514" s="646">
        <v>871</v>
      </c>
    </row>
    <row r="515" spans="1:15" ht="16" customHeight="1" thickBot="1">
      <c r="A515" s="126"/>
      <c r="B515" s="644"/>
      <c r="C515" s="648" t="s">
        <v>1523</v>
      </c>
      <c r="D515" s="648" t="s">
        <v>1523</v>
      </c>
      <c r="E515" s="648" t="s">
        <v>1523</v>
      </c>
      <c r="F515" s="648" t="s">
        <v>1523</v>
      </c>
      <c r="G515" s="648" t="s">
        <v>1523</v>
      </c>
      <c r="H515" s="648" t="s">
        <v>1523</v>
      </c>
      <c r="I515" s="648" t="s">
        <v>1523</v>
      </c>
      <c r="J515" s="648" t="s">
        <v>1523</v>
      </c>
      <c r="K515" s="648" t="s">
        <v>1523</v>
      </c>
      <c r="L515" s="648" t="s">
        <v>1523</v>
      </c>
      <c r="M515" s="648" t="s">
        <v>1523</v>
      </c>
      <c r="N515" s="648" t="s">
        <v>1523</v>
      </c>
      <c r="O515" s="648" t="s">
        <v>1523</v>
      </c>
    </row>
    <row r="516" spans="1:15" ht="16" customHeight="1" thickBot="1">
      <c r="A516" s="126"/>
      <c r="B516" s="644"/>
      <c r="C516" s="645">
        <v>272</v>
      </c>
      <c r="D516" s="645" t="s">
        <v>366</v>
      </c>
      <c r="E516" s="645">
        <v>123</v>
      </c>
      <c r="F516" s="645" t="s">
        <v>968</v>
      </c>
      <c r="G516" s="645" t="s">
        <v>596</v>
      </c>
      <c r="H516" s="645">
        <v>181</v>
      </c>
      <c r="I516" s="645">
        <v>429</v>
      </c>
      <c r="J516" s="645">
        <v>0.42199999999999999</v>
      </c>
      <c r="K516" s="645" t="s">
        <v>496</v>
      </c>
      <c r="L516" s="645" t="s">
        <v>497</v>
      </c>
      <c r="M516" s="645" t="s">
        <v>509</v>
      </c>
      <c r="N516" s="646">
        <v>0</v>
      </c>
      <c r="O516" s="646">
        <v>0</v>
      </c>
    </row>
    <row r="517" spans="1:15" ht="16" customHeight="1" thickBot="1">
      <c r="A517" s="126"/>
      <c r="B517" s="644"/>
      <c r="C517" s="645">
        <v>272</v>
      </c>
      <c r="D517" s="645" t="s">
        <v>366</v>
      </c>
      <c r="E517" s="645">
        <v>124</v>
      </c>
      <c r="F517" s="645" t="s">
        <v>969</v>
      </c>
      <c r="G517" s="645" t="s">
        <v>557</v>
      </c>
      <c r="H517" s="645">
        <v>234</v>
      </c>
      <c r="I517" s="645">
        <v>753</v>
      </c>
      <c r="J517" s="645">
        <v>0.311</v>
      </c>
      <c r="K517" s="645" t="s">
        <v>501</v>
      </c>
      <c r="L517" s="645" t="s">
        <v>497</v>
      </c>
      <c r="M517" s="645" t="s">
        <v>509</v>
      </c>
      <c r="N517" s="646">
        <v>0</v>
      </c>
      <c r="O517" s="646">
        <v>0</v>
      </c>
    </row>
    <row r="518" spans="1:15" ht="16" customHeight="1" thickBot="1">
      <c r="A518" s="126"/>
      <c r="B518" s="644"/>
      <c r="C518" s="645">
        <v>272</v>
      </c>
      <c r="D518" s="645" t="s">
        <v>366</v>
      </c>
      <c r="E518" s="645">
        <v>513</v>
      </c>
      <c r="F518" s="645" t="s">
        <v>970</v>
      </c>
      <c r="G518" s="645" t="s">
        <v>512</v>
      </c>
      <c r="H518" s="645">
        <v>255</v>
      </c>
      <c r="I518" s="645">
        <v>467</v>
      </c>
      <c r="J518" s="645">
        <v>0.54600000000000004</v>
      </c>
      <c r="K518" s="645" t="s">
        <v>496</v>
      </c>
      <c r="L518" s="645" t="s">
        <v>518</v>
      </c>
      <c r="M518" s="645" t="s">
        <v>509</v>
      </c>
      <c r="N518" s="646">
        <v>112195</v>
      </c>
      <c r="O518" s="646">
        <v>439</v>
      </c>
    </row>
    <row r="519" spans="1:15" ht="16" customHeight="1" thickBot="1">
      <c r="A519" s="126"/>
      <c r="B519" s="644"/>
      <c r="C519" s="645">
        <v>272</v>
      </c>
      <c r="D519" s="645" t="s">
        <v>366</v>
      </c>
      <c r="E519" s="645">
        <v>585</v>
      </c>
      <c r="F519" s="645" t="s">
        <v>971</v>
      </c>
      <c r="G519" s="645" t="s">
        <v>596</v>
      </c>
      <c r="H519" s="645">
        <v>134</v>
      </c>
      <c r="I519" s="645">
        <v>302</v>
      </c>
      <c r="J519" s="645">
        <v>0.44400000000000001</v>
      </c>
      <c r="K519" s="645" t="s">
        <v>496</v>
      </c>
      <c r="L519" s="645" t="s">
        <v>497</v>
      </c>
      <c r="M519" s="645" t="s">
        <v>509</v>
      </c>
      <c r="N519" s="646">
        <v>0</v>
      </c>
      <c r="O519" s="646">
        <v>0</v>
      </c>
    </row>
    <row r="520" spans="1:15" ht="16" customHeight="1" thickBot="1">
      <c r="A520" s="126"/>
      <c r="B520" s="644"/>
      <c r="C520" s="645">
        <v>272</v>
      </c>
      <c r="D520" s="645" t="s">
        <v>366</v>
      </c>
      <c r="E520" s="645">
        <v>586</v>
      </c>
      <c r="F520" s="645" t="s">
        <v>972</v>
      </c>
      <c r="G520" s="645" t="s">
        <v>557</v>
      </c>
      <c r="H520" s="645">
        <v>198</v>
      </c>
      <c r="I520" s="645">
        <v>489</v>
      </c>
      <c r="J520" s="645">
        <v>0.40500000000000003</v>
      </c>
      <c r="K520" s="645" t="s">
        <v>496</v>
      </c>
      <c r="L520" s="645" t="s">
        <v>497</v>
      </c>
      <c r="M520" s="645" t="s">
        <v>505</v>
      </c>
      <c r="N520" s="646">
        <v>0</v>
      </c>
      <c r="O520" s="646">
        <v>0</v>
      </c>
    </row>
    <row r="521" spans="1:15" ht="16" customHeight="1" thickBot="1">
      <c r="A521" s="126"/>
      <c r="B521" s="644"/>
      <c r="C521" s="645">
        <v>272</v>
      </c>
      <c r="D521" s="645" t="s">
        <v>366</v>
      </c>
      <c r="E521" s="645">
        <v>745</v>
      </c>
      <c r="F521" s="645" t="s">
        <v>973</v>
      </c>
      <c r="G521" s="645" t="s">
        <v>512</v>
      </c>
      <c r="H521" s="645">
        <v>191</v>
      </c>
      <c r="I521" s="645">
        <v>316</v>
      </c>
      <c r="J521" s="645">
        <v>0.60399999999999998</v>
      </c>
      <c r="K521" s="645" t="s">
        <v>496</v>
      </c>
      <c r="L521" s="645" t="s">
        <v>518</v>
      </c>
      <c r="M521" s="645" t="s">
        <v>509</v>
      </c>
      <c r="N521" s="646">
        <v>116995</v>
      </c>
      <c r="O521" s="646">
        <v>612</v>
      </c>
    </row>
    <row r="522" spans="1:15" ht="16" customHeight="1" thickBot="1">
      <c r="A522" s="126"/>
      <c r="B522" s="644"/>
      <c r="C522" s="645">
        <v>272</v>
      </c>
      <c r="D522" s="645" t="s">
        <v>366</v>
      </c>
      <c r="E522" s="645">
        <v>746</v>
      </c>
      <c r="F522" s="645" t="s">
        <v>974</v>
      </c>
      <c r="G522" s="645" t="s">
        <v>512</v>
      </c>
      <c r="H522" s="645">
        <v>213</v>
      </c>
      <c r="I522" s="645">
        <v>327</v>
      </c>
      <c r="J522" s="645">
        <v>0.65100000000000002</v>
      </c>
      <c r="K522" s="645" t="s">
        <v>496</v>
      </c>
      <c r="L522" s="645" t="s">
        <v>518</v>
      </c>
      <c r="M522" s="645" t="s">
        <v>498</v>
      </c>
      <c r="N522" s="646">
        <v>131800</v>
      </c>
      <c r="O522" s="646">
        <v>618</v>
      </c>
    </row>
    <row r="523" spans="1:15" ht="16" customHeight="1" thickBot="1">
      <c r="A523" s="126"/>
      <c r="B523" s="644"/>
      <c r="C523" s="645">
        <v>272</v>
      </c>
      <c r="D523" s="645" t="s">
        <v>366</v>
      </c>
      <c r="E523" s="645">
        <v>747</v>
      </c>
      <c r="F523" s="645" t="s">
        <v>975</v>
      </c>
      <c r="G523" s="645" t="s">
        <v>512</v>
      </c>
      <c r="H523" s="645">
        <v>196</v>
      </c>
      <c r="I523" s="645">
        <v>328</v>
      </c>
      <c r="J523" s="645">
        <v>0.59799999999999998</v>
      </c>
      <c r="K523" s="645" t="s">
        <v>496</v>
      </c>
      <c r="L523" s="645" t="s">
        <v>518</v>
      </c>
      <c r="M523" s="645" t="s">
        <v>509</v>
      </c>
      <c r="N523" s="646">
        <v>114565</v>
      </c>
      <c r="O523" s="646">
        <v>584</v>
      </c>
    </row>
    <row r="524" spans="1:15" ht="16" customHeight="1" thickBot="1">
      <c r="A524" s="126"/>
      <c r="B524" s="644"/>
      <c r="C524" s="645">
        <v>272</v>
      </c>
      <c r="D524" s="645" t="s">
        <v>366</v>
      </c>
      <c r="E524" s="645">
        <v>761</v>
      </c>
      <c r="F524" s="645" t="s">
        <v>976</v>
      </c>
      <c r="G524" s="645" t="s">
        <v>512</v>
      </c>
      <c r="H524" s="645">
        <v>144</v>
      </c>
      <c r="I524" s="645">
        <v>340</v>
      </c>
      <c r="J524" s="645">
        <v>0.42399999999999999</v>
      </c>
      <c r="K524" s="645" t="s">
        <v>496</v>
      </c>
      <c r="L524" s="645" t="s">
        <v>518</v>
      </c>
      <c r="M524" s="645" t="s">
        <v>509</v>
      </c>
      <c r="N524" s="646">
        <v>55961</v>
      </c>
      <c r="O524" s="646">
        <v>388</v>
      </c>
    </row>
    <row r="525" spans="1:15" ht="16" customHeight="1" thickBot="1">
      <c r="A525" s="126"/>
      <c r="B525" s="644"/>
      <c r="C525" s="645">
        <v>272</v>
      </c>
      <c r="D525" s="645" t="s">
        <v>366</v>
      </c>
      <c r="E525" s="645">
        <v>891</v>
      </c>
      <c r="F525" s="645" t="s">
        <v>977</v>
      </c>
      <c r="G525" s="645" t="s">
        <v>512</v>
      </c>
      <c r="H525" s="645">
        <v>132</v>
      </c>
      <c r="I525" s="645">
        <v>283</v>
      </c>
      <c r="J525" s="645">
        <v>0.46600000000000003</v>
      </c>
      <c r="K525" s="645" t="s">
        <v>496</v>
      </c>
      <c r="L525" s="645" t="s">
        <v>518</v>
      </c>
      <c r="M525" s="645" t="s">
        <v>509</v>
      </c>
      <c r="N525" s="646">
        <v>54180</v>
      </c>
      <c r="O525" s="646">
        <v>410</v>
      </c>
    </row>
    <row r="526" spans="1:15" ht="16" customHeight="1" thickBot="1">
      <c r="A526" s="126"/>
      <c r="B526" s="644"/>
      <c r="C526" s="645">
        <v>272</v>
      </c>
      <c r="D526" s="645" t="s">
        <v>366</v>
      </c>
      <c r="E526" s="645">
        <v>1104</v>
      </c>
      <c r="F526" s="645" t="s">
        <v>978</v>
      </c>
      <c r="G526" s="645" t="s">
        <v>557</v>
      </c>
      <c r="H526" s="645">
        <v>67</v>
      </c>
      <c r="I526" s="645">
        <v>96</v>
      </c>
      <c r="J526" s="645">
        <v>0.69799999999999995</v>
      </c>
      <c r="K526" s="645" t="s">
        <v>496</v>
      </c>
      <c r="L526" s="645" t="s">
        <v>497</v>
      </c>
      <c r="M526" s="645" t="s">
        <v>509</v>
      </c>
      <c r="N526" s="646">
        <v>0</v>
      </c>
      <c r="O526" s="646">
        <v>0</v>
      </c>
    </row>
    <row r="527" spans="1:15" ht="16" customHeight="1" thickBot="1">
      <c r="A527" s="126"/>
      <c r="B527" s="644"/>
      <c r="C527" s="648" t="s">
        <v>1523</v>
      </c>
      <c r="D527" s="648" t="s">
        <v>1523</v>
      </c>
      <c r="E527" s="648" t="s">
        <v>1523</v>
      </c>
      <c r="F527" s="648" t="s">
        <v>1523</v>
      </c>
      <c r="G527" s="648" t="s">
        <v>1523</v>
      </c>
      <c r="H527" s="648" t="s">
        <v>1523</v>
      </c>
      <c r="I527" s="648" t="s">
        <v>1523</v>
      </c>
      <c r="J527" s="648" t="s">
        <v>1523</v>
      </c>
      <c r="K527" s="648" t="s">
        <v>1523</v>
      </c>
      <c r="L527" s="648" t="s">
        <v>1523</v>
      </c>
      <c r="M527" s="648" t="s">
        <v>1523</v>
      </c>
      <c r="N527" s="648" t="s">
        <v>1523</v>
      </c>
      <c r="O527" s="648" t="s">
        <v>1523</v>
      </c>
    </row>
    <row r="528" spans="1:15" ht="16" customHeight="1" thickBot="1">
      <c r="A528" s="126"/>
      <c r="B528" s="644"/>
      <c r="C528" s="645">
        <v>273</v>
      </c>
      <c r="D528" s="645" t="s">
        <v>367</v>
      </c>
      <c r="E528" s="645">
        <v>125</v>
      </c>
      <c r="F528" s="645" t="s">
        <v>979</v>
      </c>
      <c r="G528" s="645" t="s">
        <v>554</v>
      </c>
      <c r="H528" s="645">
        <v>417</v>
      </c>
      <c r="I528" s="645">
        <v>739</v>
      </c>
      <c r="J528" s="645">
        <v>0.56399999999999995</v>
      </c>
      <c r="K528" s="645" t="s">
        <v>496</v>
      </c>
      <c r="L528" s="645" t="s">
        <v>497</v>
      </c>
      <c r="M528" s="645" t="s">
        <v>498</v>
      </c>
      <c r="N528" s="646">
        <v>0</v>
      </c>
      <c r="O528" s="646">
        <v>0</v>
      </c>
    </row>
    <row r="529" spans="1:15" ht="16" customHeight="1" thickBot="1">
      <c r="A529" s="126"/>
      <c r="B529" s="644"/>
      <c r="C529" s="645">
        <v>273</v>
      </c>
      <c r="D529" s="645" t="s">
        <v>367</v>
      </c>
      <c r="E529" s="645">
        <v>126</v>
      </c>
      <c r="F529" s="645" t="s">
        <v>980</v>
      </c>
      <c r="G529" s="645" t="s">
        <v>557</v>
      </c>
      <c r="H529" s="645">
        <v>565</v>
      </c>
      <c r="I529" s="645">
        <v>1377</v>
      </c>
      <c r="J529" s="645">
        <v>0.41</v>
      </c>
      <c r="K529" s="645" t="s">
        <v>496</v>
      </c>
      <c r="L529" s="645" t="s">
        <v>497</v>
      </c>
      <c r="M529" s="645" t="s">
        <v>505</v>
      </c>
      <c r="N529" s="646">
        <v>0</v>
      </c>
      <c r="O529" s="646">
        <v>0</v>
      </c>
    </row>
    <row r="530" spans="1:15" ht="16" customHeight="1" thickBot="1">
      <c r="A530" s="126"/>
      <c r="B530" s="644"/>
      <c r="C530" s="645">
        <v>273</v>
      </c>
      <c r="D530" s="645" t="s">
        <v>367</v>
      </c>
      <c r="E530" s="645">
        <v>253</v>
      </c>
      <c r="F530" s="645" t="s">
        <v>981</v>
      </c>
      <c r="G530" s="645" t="s">
        <v>676</v>
      </c>
      <c r="H530" s="645">
        <v>219</v>
      </c>
      <c r="I530" s="645">
        <v>349</v>
      </c>
      <c r="J530" s="645">
        <v>0.628</v>
      </c>
      <c r="K530" s="645" t="s">
        <v>496</v>
      </c>
      <c r="L530" s="645" t="s">
        <v>518</v>
      </c>
      <c r="M530" s="645" t="s">
        <v>509</v>
      </c>
      <c r="N530" s="646">
        <v>170799</v>
      </c>
      <c r="O530" s="646">
        <v>779</v>
      </c>
    </row>
    <row r="531" spans="1:15" ht="16" customHeight="1" thickBot="1">
      <c r="A531" s="126"/>
      <c r="B531" s="644"/>
      <c r="C531" s="645">
        <v>273</v>
      </c>
      <c r="D531" s="645" t="s">
        <v>367</v>
      </c>
      <c r="E531" s="645">
        <v>268</v>
      </c>
      <c r="F531" s="645" t="s">
        <v>982</v>
      </c>
      <c r="G531" s="645" t="s">
        <v>554</v>
      </c>
      <c r="H531" s="645">
        <v>282</v>
      </c>
      <c r="I531" s="645">
        <v>584</v>
      </c>
      <c r="J531" s="645">
        <v>0.48299999999999998</v>
      </c>
      <c r="K531" s="645" t="s">
        <v>496</v>
      </c>
      <c r="L531" s="645" t="s">
        <v>497</v>
      </c>
      <c r="M531" s="645" t="s">
        <v>498</v>
      </c>
      <c r="N531" s="646">
        <v>0</v>
      </c>
      <c r="O531" s="646">
        <v>0</v>
      </c>
    </row>
    <row r="532" spans="1:15" ht="16" customHeight="1" thickBot="1">
      <c r="A532" s="126"/>
      <c r="B532" s="644"/>
      <c r="C532" s="645">
        <v>273</v>
      </c>
      <c r="D532" s="645" t="s">
        <v>367</v>
      </c>
      <c r="E532" s="645">
        <v>736</v>
      </c>
      <c r="F532" s="645" t="s">
        <v>983</v>
      </c>
      <c r="G532" s="645" t="s">
        <v>681</v>
      </c>
      <c r="H532" s="645">
        <v>317</v>
      </c>
      <c r="I532" s="645">
        <v>664</v>
      </c>
      <c r="J532" s="645">
        <v>0.47699999999999998</v>
      </c>
      <c r="K532" s="645" t="s">
        <v>496</v>
      </c>
      <c r="L532" s="645" t="s">
        <v>518</v>
      </c>
      <c r="M532" s="645" t="s">
        <v>509</v>
      </c>
      <c r="N532" s="646">
        <v>205000</v>
      </c>
      <c r="O532" s="646">
        <v>646</v>
      </c>
    </row>
    <row r="533" spans="1:15" ht="16" customHeight="1" thickBot="1">
      <c r="A533" s="126"/>
      <c r="B533" s="644"/>
      <c r="C533" s="645">
        <v>273</v>
      </c>
      <c r="D533" s="645" t="s">
        <v>367</v>
      </c>
      <c r="E533" s="645">
        <v>748</v>
      </c>
      <c r="F533" s="645" t="s">
        <v>585</v>
      </c>
      <c r="G533" s="645" t="s">
        <v>681</v>
      </c>
      <c r="H533" s="645">
        <v>314</v>
      </c>
      <c r="I533" s="645">
        <v>555</v>
      </c>
      <c r="J533" s="645">
        <v>0.56599999999999995</v>
      </c>
      <c r="K533" s="645" t="s">
        <v>496</v>
      </c>
      <c r="L533" s="645" t="s">
        <v>518</v>
      </c>
      <c r="M533" s="645" t="s">
        <v>509</v>
      </c>
      <c r="N533" s="646">
        <v>224901</v>
      </c>
      <c r="O533" s="646">
        <v>716</v>
      </c>
    </row>
    <row r="534" spans="1:15" ht="16" customHeight="1" thickBot="1">
      <c r="A534" s="126"/>
      <c r="B534" s="644"/>
      <c r="C534" s="645">
        <v>273</v>
      </c>
      <c r="D534" s="645" t="s">
        <v>367</v>
      </c>
      <c r="E534" s="645">
        <v>749</v>
      </c>
      <c r="F534" s="645" t="s">
        <v>984</v>
      </c>
      <c r="G534" s="645" t="s">
        <v>681</v>
      </c>
      <c r="H534" s="645">
        <v>210</v>
      </c>
      <c r="I534" s="645">
        <v>365</v>
      </c>
      <c r="J534" s="645">
        <v>0.57499999999999996</v>
      </c>
      <c r="K534" s="645" t="s">
        <v>496</v>
      </c>
      <c r="L534" s="645" t="s">
        <v>518</v>
      </c>
      <c r="M534" s="645" t="s">
        <v>498</v>
      </c>
      <c r="N534" s="646">
        <v>160000</v>
      </c>
      <c r="O534" s="646">
        <v>761</v>
      </c>
    </row>
    <row r="535" spans="1:15" ht="16" customHeight="1" thickBot="1">
      <c r="A535" s="126"/>
      <c r="B535" s="644"/>
      <c r="C535" s="645">
        <v>273</v>
      </c>
      <c r="D535" s="645" t="s">
        <v>367</v>
      </c>
      <c r="E535" s="645">
        <v>750</v>
      </c>
      <c r="F535" s="645" t="s">
        <v>985</v>
      </c>
      <c r="G535" s="645" t="s">
        <v>986</v>
      </c>
      <c r="H535" s="645">
        <v>220</v>
      </c>
      <c r="I535" s="645">
        <v>422</v>
      </c>
      <c r="J535" s="645">
        <v>0.52100000000000002</v>
      </c>
      <c r="K535" s="645" t="s">
        <v>496</v>
      </c>
      <c r="L535" s="645" t="s">
        <v>518</v>
      </c>
      <c r="M535" s="645" t="s">
        <v>509</v>
      </c>
      <c r="N535" s="646">
        <v>152000</v>
      </c>
      <c r="O535" s="646">
        <v>690</v>
      </c>
    </row>
    <row r="536" spans="1:15" ht="16" customHeight="1" thickBot="1">
      <c r="A536" s="126"/>
      <c r="B536" s="644"/>
      <c r="C536" s="645">
        <v>273</v>
      </c>
      <c r="D536" s="645" t="s">
        <v>367</v>
      </c>
      <c r="E536" s="645">
        <v>1084</v>
      </c>
      <c r="F536" s="645" t="s">
        <v>1531</v>
      </c>
      <c r="G536" s="645" t="s">
        <v>557</v>
      </c>
      <c r="H536" s="645">
        <v>100</v>
      </c>
      <c r="I536" s="645">
        <v>188</v>
      </c>
      <c r="J536" s="645">
        <v>0.53200000000000003</v>
      </c>
      <c r="K536" s="645" t="s">
        <v>496</v>
      </c>
      <c r="L536" s="645" t="s">
        <v>497</v>
      </c>
      <c r="M536" s="645" t="s">
        <v>509</v>
      </c>
      <c r="N536" s="646">
        <v>0</v>
      </c>
      <c r="O536" s="646">
        <v>0</v>
      </c>
    </row>
    <row r="537" spans="1:15" ht="16" customHeight="1" thickBot="1">
      <c r="A537" s="126"/>
      <c r="B537" s="644"/>
      <c r="C537" s="645">
        <v>273</v>
      </c>
      <c r="D537" s="645" t="s">
        <v>367</v>
      </c>
      <c r="E537" s="645">
        <v>2517</v>
      </c>
      <c r="F537" s="645" t="s">
        <v>987</v>
      </c>
      <c r="G537" s="645" t="s">
        <v>681</v>
      </c>
      <c r="H537" s="645">
        <v>202</v>
      </c>
      <c r="I537" s="645">
        <v>419</v>
      </c>
      <c r="J537" s="645">
        <v>0.48199999999999998</v>
      </c>
      <c r="K537" s="645" t="s">
        <v>496</v>
      </c>
      <c r="L537" s="645" t="s">
        <v>518</v>
      </c>
      <c r="M537" s="645" t="s">
        <v>509</v>
      </c>
      <c r="N537" s="646">
        <v>135000</v>
      </c>
      <c r="O537" s="646">
        <v>668</v>
      </c>
    </row>
    <row r="538" spans="1:15" ht="16" customHeight="1" thickBot="1">
      <c r="A538" s="126"/>
      <c r="B538" s="644"/>
      <c r="C538" s="648" t="s">
        <v>1523</v>
      </c>
      <c r="D538" s="648" t="s">
        <v>1523</v>
      </c>
      <c r="E538" s="648" t="s">
        <v>1523</v>
      </c>
      <c r="F538" s="648" t="s">
        <v>1523</v>
      </c>
      <c r="G538" s="648" t="s">
        <v>1523</v>
      </c>
      <c r="H538" s="648" t="s">
        <v>1523</v>
      </c>
      <c r="I538" s="648" t="s">
        <v>1523</v>
      </c>
      <c r="J538" s="648" t="s">
        <v>1523</v>
      </c>
      <c r="K538" s="648" t="s">
        <v>1523</v>
      </c>
      <c r="L538" s="648" t="s">
        <v>1523</v>
      </c>
      <c r="M538" s="648" t="s">
        <v>1523</v>
      </c>
      <c r="N538" s="648" t="s">
        <v>1523</v>
      </c>
      <c r="O538" s="648" t="s">
        <v>1523</v>
      </c>
    </row>
    <row r="539" spans="1:15" ht="16" customHeight="1" thickBot="1">
      <c r="A539" s="126"/>
      <c r="B539" s="644"/>
      <c r="C539" s="645">
        <v>274</v>
      </c>
      <c r="D539" s="645" t="s">
        <v>368</v>
      </c>
      <c r="E539" s="645">
        <v>127</v>
      </c>
      <c r="F539" s="645" t="s">
        <v>988</v>
      </c>
      <c r="G539" s="645" t="s">
        <v>715</v>
      </c>
      <c r="H539" s="645">
        <v>45</v>
      </c>
      <c r="I539" s="645">
        <v>110</v>
      </c>
      <c r="J539" s="645">
        <v>0.40899999999999997</v>
      </c>
      <c r="K539" s="645" t="s">
        <v>496</v>
      </c>
      <c r="L539" s="645" t="s">
        <v>497</v>
      </c>
      <c r="M539" s="645" t="s">
        <v>505</v>
      </c>
      <c r="N539" s="646">
        <v>0</v>
      </c>
      <c r="O539" s="646">
        <v>0</v>
      </c>
    </row>
    <row r="540" spans="1:15" ht="16" customHeight="1" thickBot="1">
      <c r="A540" s="126"/>
      <c r="B540" s="644"/>
      <c r="C540" s="645">
        <v>274</v>
      </c>
      <c r="D540" s="645" t="s">
        <v>368</v>
      </c>
      <c r="E540" s="645">
        <v>751</v>
      </c>
      <c r="F540" s="645" t="s">
        <v>989</v>
      </c>
      <c r="G540" s="645" t="s">
        <v>706</v>
      </c>
      <c r="H540" s="645">
        <v>37</v>
      </c>
      <c r="I540" s="645">
        <v>58</v>
      </c>
      <c r="J540" s="645">
        <v>0.63800000000000001</v>
      </c>
      <c r="K540" s="645" t="s">
        <v>496</v>
      </c>
      <c r="L540" s="645" t="s">
        <v>518</v>
      </c>
      <c r="M540" s="645" t="s">
        <v>521</v>
      </c>
      <c r="N540" s="646">
        <v>74379</v>
      </c>
      <c r="O540" s="646">
        <v>2010</v>
      </c>
    </row>
    <row r="541" spans="1:15" ht="16" customHeight="1" thickBot="1">
      <c r="A541" s="126"/>
      <c r="B541" s="644"/>
      <c r="C541" s="648" t="s">
        <v>1523</v>
      </c>
      <c r="D541" s="648" t="s">
        <v>1523</v>
      </c>
      <c r="E541" s="648" t="s">
        <v>1523</v>
      </c>
      <c r="F541" s="648" t="s">
        <v>1523</v>
      </c>
      <c r="G541" s="648" t="s">
        <v>1523</v>
      </c>
      <c r="H541" s="648" t="s">
        <v>1523</v>
      </c>
      <c r="I541" s="648" t="s">
        <v>1523</v>
      </c>
      <c r="J541" s="648" t="s">
        <v>1523</v>
      </c>
      <c r="K541" s="648" t="s">
        <v>1523</v>
      </c>
      <c r="L541" s="648" t="s">
        <v>1523</v>
      </c>
      <c r="M541" s="648" t="s">
        <v>1523</v>
      </c>
      <c r="N541" s="648" t="s">
        <v>1523</v>
      </c>
      <c r="O541" s="648" t="s">
        <v>1523</v>
      </c>
    </row>
    <row r="542" spans="1:15" ht="16" customHeight="1" thickBot="1">
      <c r="A542" s="126"/>
      <c r="B542" s="644"/>
      <c r="C542" s="645">
        <v>281</v>
      </c>
      <c r="D542" s="645" t="s">
        <v>369</v>
      </c>
      <c r="E542" s="645">
        <v>129</v>
      </c>
      <c r="F542" s="645" t="s">
        <v>990</v>
      </c>
      <c r="G542" s="645" t="s">
        <v>554</v>
      </c>
      <c r="H542" s="645">
        <v>162</v>
      </c>
      <c r="I542" s="645">
        <v>520</v>
      </c>
      <c r="J542" s="645">
        <v>0.312</v>
      </c>
      <c r="K542" s="645" t="s">
        <v>501</v>
      </c>
      <c r="L542" s="645" t="s">
        <v>497</v>
      </c>
      <c r="M542" s="645" t="s">
        <v>498</v>
      </c>
      <c r="N542" s="646">
        <v>0</v>
      </c>
      <c r="O542" s="646">
        <v>0</v>
      </c>
    </row>
    <row r="543" spans="1:15" ht="16" customHeight="1" thickBot="1">
      <c r="A543" s="126"/>
      <c r="B543" s="644"/>
      <c r="C543" s="645">
        <v>281</v>
      </c>
      <c r="D543" s="645" t="s">
        <v>369</v>
      </c>
      <c r="E543" s="645">
        <v>130</v>
      </c>
      <c r="F543" s="645" t="s">
        <v>991</v>
      </c>
      <c r="G543" s="645" t="s">
        <v>557</v>
      </c>
      <c r="H543" s="645">
        <v>177</v>
      </c>
      <c r="I543" s="645">
        <v>709</v>
      </c>
      <c r="J543" s="645">
        <v>0.25</v>
      </c>
      <c r="K543" s="645" t="s">
        <v>501</v>
      </c>
      <c r="L543" s="645" t="s">
        <v>497</v>
      </c>
      <c r="M543" s="645" t="s">
        <v>505</v>
      </c>
      <c r="N543" s="646">
        <v>0</v>
      </c>
      <c r="O543" s="646">
        <v>0</v>
      </c>
    </row>
    <row r="544" spans="1:15" ht="16" customHeight="1" thickBot="1">
      <c r="A544" s="126"/>
      <c r="B544" s="644"/>
      <c r="C544" s="645">
        <v>281</v>
      </c>
      <c r="D544" s="645" t="s">
        <v>369</v>
      </c>
      <c r="E544" s="645">
        <v>612</v>
      </c>
      <c r="F544" s="645" t="s">
        <v>992</v>
      </c>
      <c r="G544" s="645" t="s">
        <v>557</v>
      </c>
      <c r="H544" s="647" t="s">
        <v>1523</v>
      </c>
      <c r="I544" s="647" t="s">
        <v>1523</v>
      </c>
      <c r="J544" s="647" t="s">
        <v>1523</v>
      </c>
      <c r="K544" s="645" t="s">
        <v>496</v>
      </c>
      <c r="L544" s="645" t="s">
        <v>497</v>
      </c>
      <c r="M544" s="645" t="s">
        <v>509</v>
      </c>
      <c r="N544" s="646">
        <v>0</v>
      </c>
      <c r="O544" s="646">
        <v>0</v>
      </c>
    </row>
    <row r="545" spans="1:15" ht="16" customHeight="1" thickBot="1">
      <c r="A545" s="126"/>
      <c r="B545" s="644"/>
      <c r="C545" s="645">
        <v>281</v>
      </c>
      <c r="D545" s="645" t="s">
        <v>369</v>
      </c>
      <c r="E545" s="645">
        <v>753</v>
      </c>
      <c r="F545" s="645" t="s">
        <v>993</v>
      </c>
      <c r="G545" s="645" t="s">
        <v>937</v>
      </c>
      <c r="H545" s="645">
        <v>99</v>
      </c>
      <c r="I545" s="645">
        <v>184</v>
      </c>
      <c r="J545" s="645">
        <v>0.53800000000000003</v>
      </c>
      <c r="K545" s="645" t="s">
        <v>496</v>
      </c>
      <c r="L545" s="645" t="s">
        <v>518</v>
      </c>
      <c r="M545" s="645" t="s">
        <v>509</v>
      </c>
      <c r="N545" s="646">
        <v>116706</v>
      </c>
      <c r="O545" s="646">
        <v>1178</v>
      </c>
    </row>
    <row r="546" spans="1:15" ht="16" customHeight="1" thickBot="1">
      <c r="A546" s="126"/>
      <c r="B546" s="644"/>
      <c r="C546" s="645">
        <v>281</v>
      </c>
      <c r="D546" s="645" t="s">
        <v>369</v>
      </c>
      <c r="E546" s="645">
        <v>754</v>
      </c>
      <c r="F546" s="645" t="s">
        <v>994</v>
      </c>
      <c r="G546" s="645" t="s">
        <v>706</v>
      </c>
      <c r="H546" s="645">
        <v>99</v>
      </c>
      <c r="I546" s="645">
        <v>277</v>
      </c>
      <c r="J546" s="645">
        <v>0.35699999999999998</v>
      </c>
      <c r="K546" s="645" t="s">
        <v>496</v>
      </c>
      <c r="L546" s="645" t="s">
        <v>624</v>
      </c>
      <c r="M546" s="645" t="s">
        <v>509</v>
      </c>
      <c r="N546" s="646">
        <v>74265</v>
      </c>
      <c r="O546" s="646">
        <v>750</v>
      </c>
    </row>
    <row r="547" spans="1:15" ht="16" customHeight="1" thickBot="1">
      <c r="A547" s="126"/>
      <c r="B547" s="644"/>
      <c r="C547" s="645">
        <v>281</v>
      </c>
      <c r="D547" s="645" t="s">
        <v>369</v>
      </c>
      <c r="E547" s="645">
        <v>755</v>
      </c>
      <c r="F547" s="645" t="s">
        <v>995</v>
      </c>
      <c r="G547" s="645" t="s">
        <v>931</v>
      </c>
      <c r="H547" s="645">
        <v>113</v>
      </c>
      <c r="I547" s="645">
        <v>217</v>
      </c>
      <c r="J547" s="645">
        <v>0.52100000000000002</v>
      </c>
      <c r="K547" s="645" t="s">
        <v>496</v>
      </c>
      <c r="L547" s="645" t="s">
        <v>624</v>
      </c>
      <c r="M547" s="645" t="s">
        <v>509</v>
      </c>
      <c r="N547" s="646">
        <v>102639</v>
      </c>
      <c r="O547" s="646">
        <v>908</v>
      </c>
    </row>
    <row r="548" spans="1:15" ht="16" customHeight="1" thickBot="1">
      <c r="A548" s="126"/>
      <c r="B548" s="644"/>
      <c r="C548" s="645">
        <v>281</v>
      </c>
      <c r="D548" s="645" t="s">
        <v>369</v>
      </c>
      <c r="E548" s="645">
        <v>756</v>
      </c>
      <c r="F548" s="645" t="s">
        <v>996</v>
      </c>
      <c r="G548" s="645" t="s">
        <v>706</v>
      </c>
      <c r="H548" s="645">
        <v>108</v>
      </c>
      <c r="I548" s="645">
        <v>331</v>
      </c>
      <c r="J548" s="645">
        <v>0.32600000000000001</v>
      </c>
      <c r="K548" s="645" t="s">
        <v>501</v>
      </c>
      <c r="L548" s="645" t="s">
        <v>497</v>
      </c>
      <c r="M548" s="645" t="s">
        <v>509</v>
      </c>
      <c r="N548" s="646">
        <v>0</v>
      </c>
      <c r="O548" s="646">
        <v>0</v>
      </c>
    </row>
    <row r="549" spans="1:15" ht="16" customHeight="1" thickBot="1">
      <c r="A549" s="126"/>
      <c r="B549" s="644"/>
      <c r="C549" s="645">
        <v>281</v>
      </c>
      <c r="D549" s="645" t="s">
        <v>369</v>
      </c>
      <c r="E549" s="645">
        <v>813</v>
      </c>
      <c r="F549" s="645" t="s">
        <v>460</v>
      </c>
      <c r="G549" s="645" t="s">
        <v>997</v>
      </c>
      <c r="H549" s="645">
        <v>59</v>
      </c>
      <c r="I549" s="645">
        <v>177</v>
      </c>
      <c r="J549" s="645">
        <v>0.33300000000000002</v>
      </c>
      <c r="K549" s="645" t="s">
        <v>496</v>
      </c>
      <c r="L549" s="645" t="s">
        <v>624</v>
      </c>
      <c r="M549" s="645" t="s">
        <v>509</v>
      </c>
      <c r="N549" s="646">
        <v>29869</v>
      </c>
      <c r="O549" s="646">
        <v>506</v>
      </c>
    </row>
    <row r="550" spans="1:15" ht="16" customHeight="1" thickBot="1">
      <c r="A550" s="126"/>
      <c r="B550" s="644"/>
      <c r="C550" s="648" t="s">
        <v>1523</v>
      </c>
      <c r="D550" s="648" t="s">
        <v>1523</v>
      </c>
      <c r="E550" s="648" t="s">
        <v>1523</v>
      </c>
      <c r="F550" s="648" t="s">
        <v>1523</v>
      </c>
      <c r="G550" s="648" t="s">
        <v>1523</v>
      </c>
      <c r="H550" s="648" t="s">
        <v>1523</v>
      </c>
      <c r="I550" s="648" t="s">
        <v>1523</v>
      </c>
      <c r="J550" s="648" t="s">
        <v>1523</v>
      </c>
      <c r="K550" s="648" t="s">
        <v>1523</v>
      </c>
      <c r="L550" s="648" t="s">
        <v>1523</v>
      </c>
      <c r="M550" s="648" t="s">
        <v>1523</v>
      </c>
      <c r="N550" s="648" t="s">
        <v>1523</v>
      </c>
      <c r="O550" s="648" t="s">
        <v>1523</v>
      </c>
    </row>
    <row r="551" spans="1:15" ht="16" customHeight="1" thickBot="1">
      <c r="A551" s="126"/>
      <c r="B551" s="644"/>
      <c r="C551" s="645">
        <v>282</v>
      </c>
      <c r="D551" s="645" t="s">
        <v>370</v>
      </c>
      <c r="E551" s="645">
        <v>269</v>
      </c>
      <c r="F551" s="645" t="s">
        <v>998</v>
      </c>
      <c r="G551" s="645" t="s">
        <v>623</v>
      </c>
      <c r="H551" s="645">
        <v>75</v>
      </c>
      <c r="I551" s="645">
        <v>314</v>
      </c>
      <c r="J551" s="645">
        <v>0.23899999999999999</v>
      </c>
      <c r="K551" s="645" t="s">
        <v>496</v>
      </c>
      <c r="L551" s="645" t="s">
        <v>624</v>
      </c>
      <c r="M551" s="645" t="s">
        <v>509</v>
      </c>
      <c r="N551" s="646">
        <v>29282</v>
      </c>
      <c r="O551" s="646">
        <v>390</v>
      </c>
    </row>
    <row r="552" spans="1:15" ht="16" customHeight="1" thickBot="1">
      <c r="A552" s="126"/>
      <c r="B552" s="644"/>
      <c r="C552" s="648" t="s">
        <v>1523</v>
      </c>
      <c r="D552" s="648" t="s">
        <v>1523</v>
      </c>
      <c r="E552" s="648" t="s">
        <v>1523</v>
      </c>
      <c r="F552" s="648" t="s">
        <v>1523</v>
      </c>
      <c r="G552" s="648" t="s">
        <v>1523</v>
      </c>
      <c r="H552" s="648" t="s">
        <v>1523</v>
      </c>
      <c r="I552" s="648" t="s">
        <v>1523</v>
      </c>
      <c r="J552" s="648" t="s">
        <v>1523</v>
      </c>
      <c r="K552" s="648" t="s">
        <v>1523</v>
      </c>
      <c r="L552" s="648" t="s">
        <v>1523</v>
      </c>
      <c r="M552" s="648" t="s">
        <v>1523</v>
      </c>
      <c r="N552" s="648" t="s">
        <v>1523</v>
      </c>
      <c r="O552" s="648" t="s">
        <v>1523</v>
      </c>
    </row>
    <row r="553" spans="1:15" ht="16" customHeight="1" thickBot="1">
      <c r="A553" s="126"/>
      <c r="B553" s="644"/>
      <c r="C553" s="645">
        <v>283</v>
      </c>
      <c r="D553" s="645" t="s">
        <v>371</v>
      </c>
      <c r="E553" s="645">
        <v>132</v>
      </c>
      <c r="F553" s="645" t="s">
        <v>999</v>
      </c>
      <c r="G553" s="645" t="s">
        <v>546</v>
      </c>
      <c r="H553" s="645">
        <v>44</v>
      </c>
      <c r="I553" s="645">
        <v>111</v>
      </c>
      <c r="J553" s="645">
        <v>0.39600000000000002</v>
      </c>
      <c r="K553" s="645" t="s">
        <v>496</v>
      </c>
      <c r="L553" s="645" t="s">
        <v>497</v>
      </c>
      <c r="M553" s="645" t="s">
        <v>505</v>
      </c>
      <c r="N553" s="646">
        <v>0</v>
      </c>
      <c r="O553" s="646">
        <v>0</v>
      </c>
    </row>
    <row r="554" spans="1:15" ht="16" customHeight="1" thickBot="1">
      <c r="A554" s="126"/>
      <c r="B554" s="644"/>
      <c r="C554" s="645">
        <v>283</v>
      </c>
      <c r="D554" s="645" t="s">
        <v>371</v>
      </c>
      <c r="E554" s="645">
        <v>758</v>
      </c>
      <c r="F554" s="645" t="s">
        <v>1000</v>
      </c>
      <c r="G554" s="645" t="s">
        <v>512</v>
      </c>
      <c r="H554" s="645">
        <v>49</v>
      </c>
      <c r="I554" s="645">
        <v>119</v>
      </c>
      <c r="J554" s="645">
        <v>0.41199999999999998</v>
      </c>
      <c r="K554" s="645" t="s">
        <v>496</v>
      </c>
      <c r="L554" s="645" t="s">
        <v>518</v>
      </c>
      <c r="M554" s="645" t="s">
        <v>505</v>
      </c>
      <c r="N554" s="646">
        <v>49215</v>
      </c>
      <c r="O554" s="646">
        <v>1004</v>
      </c>
    </row>
    <row r="555" spans="1:15" ht="16" customHeight="1" thickBot="1">
      <c r="A555" s="126"/>
      <c r="B555" s="644"/>
      <c r="C555" s="648" t="s">
        <v>1523</v>
      </c>
      <c r="D555" s="648" t="s">
        <v>1523</v>
      </c>
      <c r="E555" s="648" t="s">
        <v>1523</v>
      </c>
      <c r="F555" s="648" t="s">
        <v>1523</v>
      </c>
      <c r="G555" s="648" t="s">
        <v>1523</v>
      </c>
      <c r="H555" s="648" t="s">
        <v>1523</v>
      </c>
      <c r="I555" s="648" t="s">
        <v>1523</v>
      </c>
      <c r="J555" s="648" t="s">
        <v>1523</v>
      </c>
      <c r="K555" s="648" t="s">
        <v>1523</v>
      </c>
      <c r="L555" s="648" t="s">
        <v>1523</v>
      </c>
      <c r="M555" s="648" t="s">
        <v>1523</v>
      </c>
      <c r="N555" s="648" t="s">
        <v>1523</v>
      </c>
      <c r="O555" s="648" t="s">
        <v>1523</v>
      </c>
    </row>
    <row r="556" spans="1:15" ht="16" customHeight="1" thickBot="1">
      <c r="A556" s="126"/>
      <c r="B556" s="644"/>
      <c r="C556" s="645">
        <v>285</v>
      </c>
      <c r="D556" s="645" t="s">
        <v>372</v>
      </c>
      <c r="E556" s="645">
        <v>135</v>
      </c>
      <c r="F556" s="645" t="s">
        <v>1001</v>
      </c>
      <c r="G556" s="645" t="s">
        <v>546</v>
      </c>
      <c r="H556" s="645">
        <v>107</v>
      </c>
      <c r="I556" s="645">
        <v>218</v>
      </c>
      <c r="J556" s="645">
        <v>0.49099999999999999</v>
      </c>
      <c r="K556" s="645" t="s">
        <v>496</v>
      </c>
      <c r="L556" s="645" t="s">
        <v>497</v>
      </c>
      <c r="M556" s="645" t="s">
        <v>498</v>
      </c>
      <c r="N556" s="646">
        <v>0</v>
      </c>
      <c r="O556" s="646">
        <v>0</v>
      </c>
    </row>
    <row r="557" spans="1:15" ht="16" customHeight="1" thickBot="1">
      <c r="A557" s="126"/>
      <c r="B557" s="644"/>
      <c r="C557" s="645">
        <v>285</v>
      </c>
      <c r="D557" s="645" t="s">
        <v>372</v>
      </c>
      <c r="E557" s="645">
        <v>762</v>
      </c>
      <c r="F557" s="645" t="s">
        <v>1002</v>
      </c>
      <c r="G557" s="645" t="s">
        <v>512</v>
      </c>
      <c r="H557" s="645">
        <v>117</v>
      </c>
      <c r="I557" s="645">
        <v>250</v>
      </c>
      <c r="J557" s="645">
        <v>0.46800000000000003</v>
      </c>
      <c r="K557" s="645" t="s">
        <v>496</v>
      </c>
      <c r="L557" s="645" t="s">
        <v>518</v>
      </c>
      <c r="M557" s="645" t="s">
        <v>498</v>
      </c>
      <c r="N557" s="646">
        <v>35666</v>
      </c>
      <c r="O557" s="646">
        <v>304</v>
      </c>
    </row>
    <row r="558" spans="1:15" ht="16" customHeight="1" thickBot="1">
      <c r="A558" s="126"/>
      <c r="B558" s="644"/>
      <c r="C558" s="648" t="s">
        <v>1523</v>
      </c>
      <c r="D558" s="648" t="s">
        <v>1523</v>
      </c>
      <c r="E558" s="648" t="s">
        <v>1523</v>
      </c>
      <c r="F558" s="648" t="s">
        <v>1523</v>
      </c>
      <c r="G558" s="648" t="s">
        <v>1523</v>
      </c>
      <c r="H558" s="648" t="s">
        <v>1523</v>
      </c>
      <c r="I558" s="648" t="s">
        <v>1523</v>
      </c>
      <c r="J558" s="648" t="s">
        <v>1523</v>
      </c>
      <c r="K558" s="648" t="s">
        <v>1523</v>
      </c>
      <c r="L558" s="648" t="s">
        <v>1523</v>
      </c>
      <c r="M558" s="648" t="s">
        <v>1523</v>
      </c>
      <c r="N558" s="648" t="s">
        <v>1523</v>
      </c>
      <c r="O558" s="648" t="s">
        <v>1523</v>
      </c>
    </row>
    <row r="559" spans="1:15" ht="16" customHeight="1" thickBot="1">
      <c r="A559" s="126"/>
      <c r="B559" s="644"/>
      <c r="C559" s="645">
        <v>287</v>
      </c>
      <c r="D559" s="645" t="s">
        <v>373</v>
      </c>
      <c r="E559" s="645">
        <v>766</v>
      </c>
      <c r="F559" s="645" t="s">
        <v>1003</v>
      </c>
      <c r="G559" s="645" t="s">
        <v>512</v>
      </c>
      <c r="H559" s="645">
        <v>65</v>
      </c>
      <c r="I559" s="645">
        <v>136</v>
      </c>
      <c r="J559" s="645">
        <v>0.47799999999999998</v>
      </c>
      <c r="K559" s="645" t="s">
        <v>496</v>
      </c>
      <c r="L559" s="645" t="s">
        <v>518</v>
      </c>
      <c r="M559" s="645" t="s">
        <v>505</v>
      </c>
      <c r="N559" s="646">
        <v>19809</v>
      </c>
      <c r="O559" s="646">
        <v>304</v>
      </c>
    </row>
    <row r="560" spans="1:15" ht="16" customHeight="1" thickBot="1">
      <c r="A560" s="126"/>
      <c r="B560" s="644"/>
      <c r="C560" s="645">
        <v>287</v>
      </c>
      <c r="D560" s="645" t="s">
        <v>373</v>
      </c>
      <c r="E560" s="645">
        <v>772</v>
      </c>
      <c r="F560" s="645" t="s">
        <v>1004</v>
      </c>
      <c r="G560" s="645" t="s">
        <v>546</v>
      </c>
      <c r="H560" s="645">
        <v>48</v>
      </c>
      <c r="I560" s="645">
        <v>155</v>
      </c>
      <c r="J560" s="645">
        <v>0.31</v>
      </c>
      <c r="K560" s="645" t="s">
        <v>501</v>
      </c>
      <c r="L560" s="645" t="s">
        <v>497</v>
      </c>
      <c r="M560" s="645" t="s">
        <v>505</v>
      </c>
      <c r="N560" s="646">
        <v>0</v>
      </c>
      <c r="O560" s="646">
        <v>0</v>
      </c>
    </row>
    <row r="561" spans="1:15" ht="16" customHeight="1" thickBot="1">
      <c r="A561" s="126"/>
      <c r="B561" s="644"/>
      <c r="C561" s="648" t="s">
        <v>1523</v>
      </c>
      <c r="D561" s="648" t="s">
        <v>1523</v>
      </c>
      <c r="E561" s="648" t="s">
        <v>1523</v>
      </c>
      <c r="F561" s="648" t="s">
        <v>1523</v>
      </c>
      <c r="G561" s="648" t="s">
        <v>1523</v>
      </c>
      <c r="H561" s="648" t="s">
        <v>1523</v>
      </c>
      <c r="I561" s="648" t="s">
        <v>1523</v>
      </c>
      <c r="J561" s="648" t="s">
        <v>1523</v>
      </c>
      <c r="K561" s="648" t="s">
        <v>1523</v>
      </c>
      <c r="L561" s="648" t="s">
        <v>1523</v>
      </c>
      <c r="M561" s="648" t="s">
        <v>1523</v>
      </c>
      <c r="N561" s="648" t="s">
        <v>1523</v>
      </c>
      <c r="O561" s="648" t="s">
        <v>1523</v>
      </c>
    </row>
    <row r="562" spans="1:15" ht="16" customHeight="1" thickBot="1">
      <c r="A562" s="126"/>
      <c r="B562" s="644"/>
      <c r="C562" s="645">
        <v>288</v>
      </c>
      <c r="D562" s="645" t="s">
        <v>1532</v>
      </c>
      <c r="E562" s="645">
        <v>771</v>
      </c>
      <c r="F562" s="645" t="s">
        <v>1005</v>
      </c>
      <c r="G562" s="645" t="s">
        <v>612</v>
      </c>
      <c r="H562" s="645">
        <v>29</v>
      </c>
      <c r="I562" s="645">
        <v>55</v>
      </c>
      <c r="J562" s="645">
        <v>0.52700000000000002</v>
      </c>
      <c r="K562" s="645" t="s">
        <v>496</v>
      </c>
      <c r="L562" s="645" t="s">
        <v>624</v>
      </c>
      <c r="M562" s="645" t="s">
        <v>509</v>
      </c>
      <c r="N562" s="646">
        <v>21813</v>
      </c>
      <c r="O562" s="646">
        <v>752</v>
      </c>
    </row>
    <row r="563" spans="1:15" ht="16" customHeight="1" thickBot="1">
      <c r="A563" s="126"/>
      <c r="B563" s="644"/>
      <c r="C563" s="645">
        <v>288</v>
      </c>
      <c r="D563" s="645" t="s">
        <v>1532</v>
      </c>
      <c r="E563" s="645">
        <v>794</v>
      </c>
      <c r="F563" s="645" t="s">
        <v>1006</v>
      </c>
      <c r="G563" s="645" t="s">
        <v>1007</v>
      </c>
      <c r="H563" s="645">
        <v>78</v>
      </c>
      <c r="I563" s="645">
        <v>162</v>
      </c>
      <c r="J563" s="645">
        <v>0.48099999999999998</v>
      </c>
      <c r="K563" s="645" t="s">
        <v>496</v>
      </c>
      <c r="L563" s="645" t="s">
        <v>624</v>
      </c>
      <c r="M563" s="645" t="s">
        <v>505</v>
      </c>
      <c r="N563" s="646">
        <v>21815</v>
      </c>
      <c r="O563" s="646">
        <v>279</v>
      </c>
    </row>
    <row r="564" spans="1:15" ht="16" customHeight="1" thickBot="1">
      <c r="A564" s="126"/>
      <c r="B564" s="644"/>
      <c r="C564" s="648" t="s">
        <v>1523</v>
      </c>
      <c r="D564" s="648" t="s">
        <v>1523</v>
      </c>
      <c r="E564" s="648" t="s">
        <v>1523</v>
      </c>
      <c r="F564" s="648" t="s">
        <v>1523</v>
      </c>
      <c r="G564" s="648" t="s">
        <v>1523</v>
      </c>
      <c r="H564" s="648" t="s">
        <v>1523</v>
      </c>
      <c r="I564" s="648" t="s">
        <v>1523</v>
      </c>
      <c r="J564" s="648" t="s">
        <v>1523</v>
      </c>
      <c r="K564" s="648" t="s">
        <v>1523</v>
      </c>
      <c r="L564" s="648" t="s">
        <v>1523</v>
      </c>
      <c r="M564" s="648" t="s">
        <v>1523</v>
      </c>
      <c r="N564" s="648" t="s">
        <v>1523</v>
      </c>
      <c r="O564" s="648" t="s">
        <v>1523</v>
      </c>
    </row>
    <row r="565" spans="1:15" ht="16" customHeight="1" thickBot="1">
      <c r="A565" s="126"/>
      <c r="B565" s="644"/>
      <c r="C565" s="645">
        <v>291</v>
      </c>
      <c r="D565" s="645" t="s">
        <v>375</v>
      </c>
      <c r="E565" s="645">
        <v>136</v>
      </c>
      <c r="F565" s="645" t="s">
        <v>1008</v>
      </c>
      <c r="G565" s="645" t="s">
        <v>715</v>
      </c>
      <c r="H565" s="645">
        <v>289</v>
      </c>
      <c r="I565" s="645">
        <v>480</v>
      </c>
      <c r="J565" s="645">
        <v>0.60199999999999998</v>
      </c>
      <c r="K565" s="645" t="s">
        <v>496</v>
      </c>
      <c r="L565" s="645" t="s">
        <v>624</v>
      </c>
      <c r="M565" s="645" t="s">
        <v>498</v>
      </c>
      <c r="N565" s="646">
        <v>83376</v>
      </c>
      <c r="O565" s="646">
        <v>288</v>
      </c>
    </row>
    <row r="566" spans="1:15" ht="16" customHeight="1" thickBot="1">
      <c r="A566" s="126"/>
      <c r="B566" s="644"/>
      <c r="C566" s="645">
        <v>291</v>
      </c>
      <c r="D566" s="645" t="s">
        <v>375</v>
      </c>
      <c r="E566" s="645">
        <v>764</v>
      </c>
      <c r="F566" s="645" t="s">
        <v>1009</v>
      </c>
      <c r="G566" s="645" t="s">
        <v>693</v>
      </c>
      <c r="H566" s="645">
        <v>247</v>
      </c>
      <c r="I566" s="645">
        <v>367</v>
      </c>
      <c r="J566" s="645">
        <v>0.67300000000000004</v>
      </c>
      <c r="K566" s="645" t="s">
        <v>496</v>
      </c>
      <c r="L566" s="645" t="s">
        <v>624</v>
      </c>
      <c r="M566" s="645" t="s">
        <v>498</v>
      </c>
      <c r="N566" s="646">
        <v>100898</v>
      </c>
      <c r="O566" s="646">
        <v>408</v>
      </c>
    </row>
    <row r="567" spans="1:15" ht="16" customHeight="1" thickBot="1">
      <c r="A567" s="126"/>
      <c r="B567" s="644"/>
      <c r="C567" s="648" t="s">
        <v>1523</v>
      </c>
      <c r="D567" s="648" t="s">
        <v>1523</v>
      </c>
      <c r="E567" s="648" t="s">
        <v>1523</v>
      </c>
      <c r="F567" s="648" t="s">
        <v>1523</v>
      </c>
      <c r="G567" s="648" t="s">
        <v>1523</v>
      </c>
      <c r="H567" s="648" t="s">
        <v>1523</v>
      </c>
      <c r="I567" s="648" t="s">
        <v>1523</v>
      </c>
      <c r="J567" s="648" t="s">
        <v>1523</v>
      </c>
      <c r="K567" s="648" t="s">
        <v>1523</v>
      </c>
      <c r="L567" s="648" t="s">
        <v>1523</v>
      </c>
      <c r="M567" s="648" t="s">
        <v>1523</v>
      </c>
      <c r="N567" s="648" t="s">
        <v>1523</v>
      </c>
      <c r="O567" s="648" t="s">
        <v>1523</v>
      </c>
    </row>
    <row r="568" spans="1:15" ht="16" customHeight="1" thickBot="1">
      <c r="A568" s="126"/>
      <c r="B568" s="644"/>
      <c r="C568" s="645">
        <v>292</v>
      </c>
      <c r="D568" s="645" t="s">
        <v>376</v>
      </c>
      <c r="E568" s="645">
        <v>137</v>
      </c>
      <c r="F568" s="645" t="s">
        <v>1010</v>
      </c>
      <c r="G568" s="645" t="s">
        <v>623</v>
      </c>
      <c r="H568" s="645">
        <v>46</v>
      </c>
      <c r="I568" s="645">
        <v>75</v>
      </c>
      <c r="J568" s="645">
        <v>0.61299999999999999</v>
      </c>
      <c r="K568" s="645" t="s">
        <v>496</v>
      </c>
      <c r="L568" s="645" t="s">
        <v>518</v>
      </c>
      <c r="M568" s="645" t="s">
        <v>509</v>
      </c>
      <c r="N568" s="646">
        <v>24998</v>
      </c>
      <c r="O568" s="646">
        <v>543</v>
      </c>
    </row>
    <row r="569" spans="1:15" ht="16" customHeight="1" thickBot="1">
      <c r="A569" s="126"/>
      <c r="B569" s="644"/>
      <c r="C569" s="645">
        <v>292</v>
      </c>
      <c r="D569" s="645" t="s">
        <v>376</v>
      </c>
      <c r="E569" s="645">
        <v>765</v>
      </c>
      <c r="F569" s="645" t="s">
        <v>647</v>
      </c>
      <c r="G569" s="645" t="s">
        <v>512</v>
      </c>
      <c r="H569" s="647" t="s">
        <v>1523</v>
      </c>
      <c r="I569" s="647" t="s">
        <v>1523</v>
      </c>
      <c r="J569" s="647" t="s">
        <v>1523</v>
      </c>
      <c r="K569" s="645" t="s">
        <v>496</v>
      </c>
      <c r="L569" s="645" t="s">
        <v>518</v>
      </c>
      <c r="M569" s="645" t="s">
        <v>509</v>
      </c>
      <c r="N569" s="646">
        <v>13200</v>
      </c>
      <c r="O569" s="646">
        <v>733</v>
      </c>
    </row>
    <row r="570" spans="1:15" ht="16" customHeight="1" thickBot="1">
      <c r="A570" s="126"/>
      <c r="B570" s="644"/>
      <c r="C570" s="648" t="s">
        <v>1523</v>
      </c>
      <c r="D570" s="648" t="s">
        <v>1523</v>
      </c>
      <c r="E570" s="648" t="s">
        <v>1523</v>
      </c>
      <c r="F570" s="648" t="s">
        <v>1523</v>
      </c>
      <c r="G570" s="648" t="s">
        <v>1523</v>
      </c>
      <c r="H570" s="648" t="s">
        <v>1523</v>
      </c>
      <c r="I570" s="648" t="s">
        <v>1523</v>
      </c>
      <c r="J570" s="648" t="s">
        <v>1523</v>
      </c>
      <c r="K570" s="648" t="s">
        <v>1523</v>
      </c>
      <c r="L570" s="648" t="s">
        <v>1523</v>
      </c>
      <c r="M570" s="648" t="s">
        <v>1523</v>
      </c>
      <c r="N570" s="648" t="s">
        <v>1523</v>
      </c>
      <c r="O570" s="648" t="s">
        <v>1523</v>
      </c>
    </row>
    <row r="571" spans="1:15" ht="16" customHeight="1" thickBot="1">
      <c r="A571" s="126"/>
      <c r="B571" s="644"/>
      <c r="C571" s="645">
        <v>302</v>
      </c>
      <c r="D571" s="645" t="s">
        <v>377</v>
      </c>
      <c r="E571" s="645">
        <v>272</v>
      </c>
      <c r="F571" s="645" t="s">
        <v>1011</v>
      </c>
      <c r="G571" s="645" t="s">
        <v>623</v>
      </c>
      <c r="H571" s="645">
        <v>22</v>
      </c>
      <c r="I571" s="645">
        <v>43</v>
      </c>
      <c r="J571" s="645">
        <v>0.51200000000000001</v>
      </c>
      <c r="K571" s="645" t="s">
        <v>496</v>
      </c>
      <c r="L571" s="645" t="s">
        <v>624</v>
      </c>
      <c r="M571" s="645" t="s">
        <v>509</v>
      </c>
      <c r="N571" s="646">
        <v>26677</v>
      </c>
      <c r="O571" s="646">
        <v>1212</v>
      </c>
    </row>
    <row r="572" spans="1:15" ht="16" customHeight="1" thickBot="1">
      <c r="A572" s="126"/>
      <c r="B572" s="644"/>
      <c r="C572" s="648" t="s">
        <v>1523</v>
      </c>
      <c r="D572" s="648" t="s">
        <v>1523</v>
      </c>
      <c r="E572" s="648" t="s">
        <v>1523</v>
      </c>
      <c r="F572" s="648" t="s">
        <v>1523</v>
      </c>
      <c r="G572" s="648" t="s">
        <v>1523</v>
      </c>
      <c r="H572" s="648" t="s">
        <v>1523</v>
      </c>
      <c r="I572" s="648" t="s">
        <v>1523</v>
      </c>
      <c r="J572" s="648" t="s">
        <v>1523</v>
      </c>
      <c r="K572" s="648" t="s">
        <v>1523</v>
      </c>
      <c r="L572" s="648" t="s">
        <v>1523</v>
      </c>
      <c r="M572" s="648" t="s">
        <v>1523</v>
      </c>
      <c r="N572" s="648" t="s">
        <v>1523</v>
      </c>
      <c r="O572" s="648" t="s">
        <v>1523</v>
      </c>
    </row>
    <row r="573" spans="1:15" ht="16" customHeight="1" thickBot="1">
      <c r="A573" s="126"/>
      <c r="B573" s="644"/>
      <c r="C573" s="645">
        <v>304</v>
      </c>
      <c r="D573" s="645" t="s">
        <v>378</v>
      </c>
      <c r="E573" s="645">
        <v>231</v>
      </c>
      <c r="F573" s="645" t="s">
        <v>1012</v>
      </c>
      <c r="G573" s="645" t="s">
        <v>557</v>
      </c>
      <c r="H573" s="645">
        <v>60</v>
      </c>
      <c r="I573" s="645">
        <v>100</v>
      </c>
      <c r="J573" s="645">
        <v>0.6</v>
      </c>
      <c r="K573" s="645" t="s">
        <v>496</v>
      </c>
      <c r="L573" s="645" t="s">
        <v>497</v>
      </c>
      <c r="M573" s="645" t="s">
        <v>509</v>
      </c>
      <c r="N573" s="646">
        <v>0</v>
      </c>
      <c r="O573" s="646">
        <v>0</v>
      </c>
    </row>
    <row r="574" spans="1:15" ht="16" customHeight="1" thickBot="1">
      <c r="A574" s="126"/>
      <c r="B574" s="644"/>
      <c r="C574" s="645">
        <v>304</v>
      </c>
      <c r="D574" s="645" t="s">
        <v>378</v>
      </c>
      <c r="E574" s="645">
        <v>232</v>
      </c>
      <c r="F574" s="645" t="s">
        <v>1013</v>
      </c>
      <c r="G574" s="645" t="s">
        <v>691</v>
      </c>
      <c r="H574" s="645">
        <v>103</v>
      </c>
      <c r="I574" s="645">
        <v>145</v>
      </c>
      <c r="J574" s="645">
        <v>0.71</v>
      </c>
      <c r="K574" s="645" t="s">
        <v>496</v>
      </c>
      <c r="L574" s="645" t="s">
        <v>518</v>
      </c>
      <c r="M574" s="645" t="s">
        <v>505</v>
      </c>
      <c r="N574" s="646">
        <v>55000</v>
      </c>
      <c r="O574" s="646">
        <v>533</v>
      </c>
    </row>
    <row r="575" spans="1:15" ht="16" customHeight="1" thickBot="1">
      <c r="A575" s="126"/>
      <c r="B575" s="644"/>
      <c r="C575" s="645">
        <v>304</v>
      </c>
      <c r="D575" s="645" t="s">
        <v>378</v>
      </c>
      <c r="E575" s="645">
        <v>768</v>
      </c>
      <c r="F575" s="645" t="s">
        <v>1014</v>
      </c>
      <c r="G575" s="645" t="s">
        <v>693</v>
      </c>
      <c r="H575" s="645">
        <v>142</v>
      </c>
      <c r="I575" s="645">
        <v>196</v>
      </c>
      <c r="J575" s="645">
        <v>0.72399999999999998</v>
      </c>
      <c r="K575" s="645" t="s">
        <v>496</v>
      </c>
      <c r="L575" s="645" t="s">
        <v>518</v>
      </c>
      <c r="M575" s="645" t="s">
        <v>498</v>
      </c>
      <c r="N575" s="646">
        <v>120196</v>
      </c>
      <c r="O575" s="646">
        <v>846</v>
      </c>
    </row>
    <row r="576" spans="1:15" ht="16" customHeight="1" thickBot="1">
      <c r="A576" s="126"/>
      <c r="B576" s="644"/>
      <c r="C576" s="648" t="s">
        <v>1523</v>
      </c>
      <c r="D576" s="648" t="s">
        <v>1523</v>
      </c>
      <c r="E576" s="648" t="s">
        <v>1523</v>
      </c>
      <c r="F576" s="648" t="s">
        <v>1523</v>
      </c>
      <c r="G576" s="648" t="s">
        <v>1523</v>
      </c>
      <c r="H576" s="648" t="s">
        <v>1523</v>
      </c>
      <c r="I576" s="648" t="s">
        <v>1523</v>
      </c>
      <c r="J576" s="648" t="s">
        <v>1523</v>
      </c>
      <c r="K576" s="648" t="s">
        <v>1523</v>
      </c>
      <c r="L576" s="648" t="s">
        <v>1523</v>
      </c>
      <c r="M576" s="648" t="s">
        <v>1523</v>
      </c>
      <c r="N576" s="648" t="s">
        <v>1523</v>
      </c>
      <c r="O576" s="648" t="s">
        <v>1523</v>
      </c>
    </row>
    <row r="577" spans="1:15" ht="16" customHeight="1" thickBot="1">
      <c r="A577" s="126"/>
      <c r="B577" s="644"/>
      <c r="C577" s="645">
        <v>305</v>
      </c>
      <c r="D577" s="645" t="s">
        <v>379</v>
      </c>
      <c r="E577" s="645">
        <v>285</v>
      </c>
      <c r="F577" s="645" t="s">
        <v>1015</v>
      </c>
      <c r="G577" s="645" t="s">
        <v>623</v>
      </c>
      <c r="H577" s="645">
        <v>77</v>
      </c>
      <c r="I577" s="645">
        <v>174</v>
      </c>
      <c r="J577" s="645">
        <v>0.443</v>
      </c>
      <c r="K577" s="645" t="s">
        <v>496</v>
      </c>
      <c r="L577" s="645" t="s">
        <v>518</v>
      </c>
      <c r="M577" s="645" t="s">
        <v>505</v>
      </c>
      <c r="N577" s="646">
        <v>45321</v>
      </c>
      <c r="O577" s="646">
        <v>588</v>
      </c>
    </row>
    <row r="578" spans="1:15" ht="16" customHeight="1" thickBot="1">
      <c r="A578" s="126"/>
      <c r="B578" s="644"/>
      <c r="C578" s="648" t="s">
        <v>1523</v>
      </c>
      <c r="D578" s="648" t="s">
        <v>1523</v>
      </c>
      <c r="E578" s="648" t="s">
        <v>1523</v>
      </c>
      <c r="F578" s="648" t="s">
        <v>1523</v>
      </c>
      <c r="G578" s="648" t="s">
        <v>1523</v>
      </c>
      <c r="H578" s="648" t="s">
        <v>1523</v>
      </c>
      <c r="I578" s="648" t="s">
        <v>1523</v>
      </c>
      <c r="J578" s="648" t="s">
        <v>1523</v>
      </c>
      <c r="K578" s="648" t="s">
        <v>1523</v>
      </c>
      <c r="L578" s="648" t="s">
        <v>1523</v>
      </c>
      <c r="M578" s="648" t="s">
        <v>1523</v>
      </c>
      <c r="N578" s="648" t="s">
        <v>1523</v>
      </c>
      <c r="O578" s="648" t="s">
        <v>1523</v>
      </c>
    </row>
    <row r="579" spans="1:15" ht="16" customHeight="1" thickBot="1">
      <c r="A579" s="126"/>
      <c r="B579" s="644"/>
      <c r="C579" s="645">
        <v>312</v>
      </c>
      <c r="D579" s="645" t="s">
        <v>380</v>
      </c>
      <c r="E579" s="645">
        <v>294</v>
      </c>
      <c r="F579" s="645" t="s">
        <v>1016</v>
      </c>
      <c r="G579" s="645" t="s">
        <v>554</v>
      </c>
      <c r="H579" s="645">
        <v>73</v>
      </c>
      <c r="I579" s="645">
        <v>112</v>
      </c>
      <c r="J579" s="645">
        <v>0.65200000000000002</v>
      </c>
      <c r="K579" s="645" t="s">
        <v>496</v>
      </c>
      <c r="L579" s="645" t="s">
        <v>624</v>
      </c>
      <c r="M579" s="645" t="s">
        <v>505</v>
      </c>
      <c r="N579" s="646">
        <v>1606</v>
      </c>
      <c r="O579" s="646">
        <v>22</v>
      </c>
    </row>
    <row r="580" spans="1:15" ht="16" customHeight="1" thickBot="1">
      <c r="A580" s="126"/>
      <c r="B580" s="644"/>
      <c r="C580" s="645">
        <v>312</v>
      </c>
      <c r="D580" s="645" t="s">
        <v>380</v>
      </c>
      <c r="E580" s="645">
        <v>295</v>
      </c>
      <c r="F580" s="645" t="s">
        <v>1017</v>
      </c>
      <c r="G580" s="645" t="s">
        <v>557</v>
      </c>
      <c r="H580" s="645">
        <v>76</v>
      </c>
      <c r="I580" s="645">
        <v>132</v>
      </c>
      <c r="J580" s="645">
        <v>0.57599999999999996</v>
      </c>
      <c r="K580" s="645" t="s">
        <v>496</v>
      </c>
      <c r="L580" s="645" t="s">
        <v>497</v>
      </c>
      <c r="M580" s="645" t="s">
        <v>509</v>
      </c>
      <c r="N580" s="646">
        <v>0</v>
      </c>
      <c r="O580" s="646">
        <v>0</v>
      </c>
    </row>
    <row r="581" spans="1:15" ht="16" customHeight="1" thickBot="1">
      <c r="A581" s="126"/>
      <c r="B581" s="644"/>
      <c r="C581" s="645">
        <v>312</v>
      </c>
      <c r="D581" s="645" t="s">
        <v>380</v>
      </c>
      <c r="E581" s="645">
        <v>770</v>
      </c>
      <c r="F581" s="645" t="s">
        <v>1018</v>
      </c>
      <c r="G581" s="645" t="s">
        <v>512</v>
      </c>
      <c r="H581" s="645">
        <v>221</v>
      </c>
      <c r="I581" s="645">
        <v>239</v>
      </c>
      <c r="J581" s="645">
        <v>0.92500000000000004</v>
      </c>
      <c r="K581" s="645" t="s">
        <v>496</v>
      </c>
      <c r="L581" s="645" t="s">
        <v>518</v>
      </c>
      <c r="M581" s="645" t="s">
        <v>498</v>
      </c>
      <c r="N581" s="646">
        <v>109753</v>
      </c>
      <c r="O581" s="646">
        <v>496</v>
      </c>
    </row>
    <row r="582" spans="1:15" ht="16" customHeight="1" thickBot="1">
      <c r="A582" s="126"/>
      <c r="B582" s="644"/>
      <c r="C582" s="645">
        <v>312</v>
      </c>
      <c r="D582" s="645" t="s">
        <v>380</v>
      </c>
      <c r="E582" s="645">
        <v>846</v>
      </c>
      <c r="F582" s="645" t="s">
        <v>1533</v>
      </c>
      <c r="G582" s="645" t="s">
        <v>557</v>
      </c>
      <c r="H582" s="647" t="s">
        <v>1523</v>
      </c>
      <c r="I582" s="647" t="s">
        <v>1523</v>
      </c>
      <c r="J582" s="647" t="s">
        <v>1523</v>
      </c>
      <c r="K582" s="645" t="s">
        <v>496</v>
      </c>
      <c r="L582" s="645" t="s">
        <v>497</v>
      </c>
      <c r="M582" s="645" t="s">
        <v>509</v>
      </c>
      <c r="N582" s="646">
        <v>0</v>
      </c>
      <c r="O582" s="646">
        <v>0</v>
      </c>
    </row>
    <row r="583" spans="1:15" ht="16" customHeight="1" thickBot="1">
      <c r="A583" s="126"/>
      <c r="B583" s="644"/>
      <c r="C583" s="648" t="s">
        <v>1523</v>
      </c>
      <c r="D583" s="648" t="s">
        <v>1523</v>
      </c>
      <c r="E583" s="648" t="s">
        <v>1523</v>
      </c>
      <c r="F583" s="648" t="s">
        <v>1523</v>
      </c>
      <c r="G583" s="648" t="s">
        <v>1523</v>
      </c>
      <c r="H583" s="648" t="s">
        <v>1523</v>
      </c>
      <c r="I583" s="648" t="s">
        <v>1523</v>
      </c>
      <c r="J583" s="648" t="s">
        <v>1523</v>
      </c>
      <c r="K583" s="648" t="s">
        <v>1523</v>
      </c>
      <c r="L583" s="648" t="s">
        <v>1523</v>
      </c>
      <c r="M583" s="648" t="s">
        <v>1523</v>
      </c>
      <c r="N583" s="648" t="s">
        <v>1523</v>
      </c>
      <c r="O583" s="648" t="s">
        <v>1523</v>
      </c>
    </row>
    <row r="584" spans="1:15" ht="16" customHeight="1" thickBot="1">
      <c r="A584" s="126"/>
      <c r="B584" s="644"/>
      <c r="C584" s="645">
        <v>314</v>
      </c>
      <c r="D584" s="645" t="s">
        <v>381</v>
      </c>
      <c r="E584" s="645">
        <v>143</v>
      </c>
      <c r="F584" s="645" t="s">
        <v>1019</v>
      </c>
      <c r="G584" s="645" t="s">
        <v>623</v>
      </c>
      <c r="H584" s="645">
        <v>158</v>
      </c>
      <c r="I584" s="645">
        <v>226</v>
      </c>
      <c r="J584" s="645">
        <v>0.69899999999999995</v>
      </c>
      <c r="K584" s="645" t="s">
        <v>496</v>
      </c>
      <c r="L584" s="645" t="s">
        <v>518</v>
      </c>
      <c r="M584" s="645" t="s">
        <v>509</v>
      </c>
      <c r="N584" s="646">
        <v>58347</v>
      </c>
      <c r="O584" s="646">
        <v>369</v>
      </c>
    </row>
    <row r="585" spans="1:15" ht="16" customHeight="1" thickBot="1">
      <c r="A585" s="126"/>
      <c r="B585" s="644"/>
      <c r="C585" s="648" t="s">
        <v>1523</v>
      </c>
      <c r="D585" s="648" t="s">
        <v>1523</v>
      </c>
      <c r="E585" s="648" t="s">
        <v>1523</v>
      </c>
      <c r="F585" s="648" t="s">
        <v>1523</v>
      </c>
      <c r="G585" s="648" t="s">
        <v>1523</v>
      </c>
      <c r="H585" s="648" t="s">
        <v>1523</v>
      </c>
      <c r="I585" s="648" t="s">
        <v>1523</v>
      </c>
      <c r="J585" s="648" t="s">
        <v>1523</v>
      </c>
      <c r="K585" s="648" t="s">
        <v>1523</v>
      </c>
      <c r="L585" s="648" t="s">
        <v>1523</v>
      </c>
      <c r="M585" s="648" t="s">
        <v>1523</v>
      </c>
      <c r="N585" s="648" t="s">
        <v>1523</v>
      </c>
      <c r="O585" s="648" t="s">
        <v>1523</v>
      </c>
    </row>
    <row r="586" spans="1:15" ht="16" customHeight="1" thickBot="1">
      <c r="A586" s="126"/>
      <c r="B586" s="644"/>
      <c r="C586" s="645">
        <v>316</v>
      </c>
      <c r="D586" s="645" t="s">
        <v>382</v>
      </c>
      <c r="E586" s="645">
        <v>144</v>
      </c>
      <c r="F586" s="645" t="s">
        <v>1020</v>
      </c>
      <c r="G586" s="645" t="s">
        <v>623</v>
      </c>
      <c r="H586" s="645">
        <v>137</v>
      </c>
      <c r="I586" s="645">
        <v>200</v>
      </c>
      <c r="J586" s="645">
        <v>0.68500000000000005</v>
      </c>
      <c r="K586" s="645" t="s">
        <v>496</v>
      </c>
      <c r="L586" s="645" t="s">
        <v>624</v>
      </c>
      <c r="M586" s="645" t="s">
        <v>505</v>
      </c>
      <c r="N586" s="646">
        <v>40841</v>
      </c>
      <c r="O586" s="646">
        <v>298</v>
      </c>
    </row>
    <row r="587" spans="1:15" ht="16" customHeight="1" thickBot="1">
      <c r="A587" s="126"/>
      <c r="B587" s="644"/>
      <c r="C587" s="648" t="s">
        <v>1523</v>
      </c>
      <c r="D587" s="648" t="s">
        <v>1523</v>
      </c>
      <c r="E587" s="648" t="s">
        <v>1523</v>
      </c>
      <c r="F587" s="648" t="s">
        <v>1523</v>
      </c>
      <c r="G587" s="648" t="s">
        <v>1523</v>
      </c>
      <c r="H587" s="648" t="s">
        <v>1523</v>
      </c>
      <c r="I587" s="648" t="s">
        <v>1523</v>
      </c>
      <c r="J587" s="648" t="s">
        <v>1523</v>
      </c>
      <c r="K587" s="648" t="s">
        <v>1523</v>
      </c>
      <c r="L587" s="648" t="s">
        <v>1523</v>
      </c>
      <c r="M587" s="648" t="s">
        <v>1523</v>
      </c>
      <c r="N587" s="648" t="s">
        <v>1523</v>
      </c>
      <c r="O587" s="648" t="s">
        <v>1523</v>
      </c>
    </row>
    <row r="588" spans="1:15" ht="16" customHeight="1" thickBot="1">
      <c r="A588" s="126"/>
      <c r="B588" s="644"/>
      <c r="C588" s="645">
        <v>321</v>
      </c>
      <c r="D588" s="645" t="s">
        <v>383</v>
      </c>
      <c r="E588" s="645">
        <v>145</v>
      </c>
      <c r="F588" s="645" t="s">
        <v>1021</v>
      </c>
      <c r="G588" s="645" t="s">
        <v>1022</v>
      </c>
      <c r="H588" s="645">
        <v>424</v>
      </c>
      <c r="I588" s="645">
        <v>1163</v>
      </c>
      <c r="J588" s="645">
        <v>0.36499999999999999</v>
      </c>
      <c r="K588" s="645" t="s">
        <v>496</v>
      </c>
      <c r="L588" s="645" t="s">
        <v>497</v>
      </c>
      <c r="M588" s="645" t="s">
        <v>521</v>
      </c>
      <c r="N588" s="646">
        <v>0</v>
      </c>
      <c r="O588" s="646">
        <v>0</v>
      </c>
    </row>
    <row r="589" spans="1:15" ht="16" customHeight="1" thickBot="1">
      <c r="A589" s="126"/>
      <c r="B589" s="644"/>
      <c r="C589" s="645">
        <v>321</v>
      </c>
      <c r="D589" s="645" t="s">
        <v>383</v>
      </c>
      <c r="E589" s="645">
        <v>146</v>
      </c>
      <c r="F589" s="645" t="s">
        <v>1023</v>
      </c>
      <c r="G589" s="645" t="s">
        <v>504</v>
      </c>
      <c r="H589" s="645">
        <v>308</v>
      </c>
      <c r="I589" s="645">
        <v>1052</v>
      </c>
      <c r="J589" s="645">
        <v>0.29299999999999998</v>
      </c>
      <c r="K589" s="645" t="s">
        <v>501</v>
      </c>
      <c r="L589" s="645" t="s">
        <v>497</v>
      </c>
      <c r="M589" s="645" t="s">
        <v>509</v>
      </c>
      <c r="N589" s="646">
        <v>0</v>
      </c>
      <c r="O589" s="646">
        <v>0</v>
      </c>
    </row>
    <row r="590" spans="1:15" ht="16" customHeight="1" thickBot="1">
      <c r="A590" s="126"/>
      <c r="B590" s="644"/>
      <c r="C590" s="645">
        <v>321</v>
      </c>
      <c r="D590" s="645" t="s">
        <v>383</v>
      </c>
      <c r="E590" s="645">
        <v>250</v>
      </c>
      <c r="F590" s="645" t="s">
        <v>1024</v>
      </c>
      <c r="G590" s="645" t="s">
        <v>1025</v>
      </c>
      <c r="H590" s="645">
        <v>329</v>
      </c>
      <c r="I590" s="645">
        <v>775</v>
      </c>
      <c r="J590" s="645">
        <v>0.42499999999999999</v>
      </c>
      <c r="K590" s="645" t="s">
        <v>496</v>
      </c>
      <c r="L590" s="645" t="s">
        <v>518</v>
      </c>
      <c r="M590" s="645" t="s">
        <v>509</v>
      </c>
      <c r="N590" s="646">
        <v>194890</v>
      </c>
      <c r="O590" s="646">
        <v>592</v>
      </c>
    </row>
    <row r="591" spans="1:15" ht="16" customHeight="1" thickBot="1">
      <c r="A591" s="126"/>
      <c r="B591" s="644"/>
      <c r="C591" s="645">
        <v>321</v>
      </c>
      <c r="D591" s="645" t="s">
        <v>383</v>
      </c>
      <c r="E591" s="645">
        <v>773</v>
      </c>
      <c r="F591" s="645" t="s">
        <v>1026</v>
      </c>
      <c r="G591" s="645" t="s">
        <v>693</v>
      </c>
      <c r="H591" s="645">
        <v>204</v>
      </c>
      <c r="I591" s="645">
        <v>433</v>
      </c>
      <c r="J591" s="645">
        <v>0.47099999999999997</v>
      </c>
      <c r="K591" s="645" t="s">
        <v>496</v>
      </c>
      <c r="L591" s="645" t="s">
        <v>518</v>
      </c>
      <c r="M591" s="645" t="s">
        <v>509</v>
      </c>
      <c r="N591" s="646">
        <v>109000</v>
      </c>
      <c r="O591" s="646">
        <v>534</v>
      </c>
    </row>
    <row r="592" spans="1:15" ht="16" customHeight="1" thickBot="1">
      <c r="A592" s="126"/>
      <c r="B592" s="644"/>
      <c r="C592" s="645">
        <v>321</v>
      </c>
      <c r="D592" s="645" t="s">
        <v>383</v>
      </c>
      <c r="E592" s="645">
        <v>775</v>
      </c>
      <c r="F592" s="645" t="s">
        <v>806</v>
      </c>
      <c r="G592" s="645" t="s">
        <v>693</v>
      </c>
      <c r="H592" s="645">
        <v>148</v>
      </c>
      <c r="I592" s="645">
        <v>360</v>
      </c>
      <c r="J592" s="645">
        <v>0.41099999999999998</v>
      </c>
      <c r="K592" s="645" t="s">
        <v>496</v>
      </c>
      <c r="L592" s="645" t="s">
        <v>518</v>
      </c>
      <c r="M592" s="645" t="s">
        <v>509</v>
      </c>
      <c r="N592" s="646">
        <v>78000</v>
      </c>
      <c r="O592" s="646">
        <v>527</v>
      </c>
    </row>
    <row r="593" spans="1:15" ht="16" customHeight="1" thickBot="1">
      <c r="A593" s="126"/>
      <c r="B593" s="644"/>
      <c r="C593" s="645">
        <v>321</v>
      </c>
      <c r="D593" s="645" t="s">
        <v>383</v>
      </c>
      <c r="E593" s="645">
        <v>777</v>
      </c>
      <c r="F593" s="645" t="s">
        <v>527</v>
      </c>
      <c r="G593" s="645" t="s">
        <v>693</v>
      </c>
      <c r="H593" s="645">
        <v>145</v>
      </c>
      <c r="I593" s="645">
        <v>338</v>
      </c>
      <c r="J593" s="645">
        <v>0.42899999999999999</v>
      </c>
      <c r="K593" s="645" t="s">
        <v>496</v>
      </c>
      <c r="L593" s="645" t="s">
        <v>518</v>
      </c>
      <c r="M593" s="645" t="s">
        <v>498</v>
      </c>
      <c r="N593" s="646">
        <v>77000</v>
      </c>
      <c r="O593" s="646">
        <v>531</v>
      </c>
    </row>
    <row r="594" spans="1:15" ht="16" customHeight="1" thickBot="1">
      <c r="A594" s="126"/>
      <c r="B594" s="644"/>
      <c r="C594" s="645">
        <v>321</v>
      </c>
      <c r="D594" s="645" t="s">
        <v>383</v>
      </c>
      <c r="E594" s="645">
        <v>779</v>
      </c>
      <c r="F594" s="645" t="s">
        <v>1027</v>
      </c>
      <c r="G594" s="645" t="s">
        <v>693</v>
      </c>
      <c r="H594" s="645">
        <v>200</v>
      </c>
      <c r="I594" s="645">
        <v>471</v>
      </c>
      <c r="J594" s="645">
        <v>0.42499999999999999</v>
      </c>
      <c r="K594" s="645" t="s">
        <v>496</v>
      </c>
      <c r="L594" s="645" t="s">
        <v>518</v>
      </c>
      <c r="M594" s="645" t="s">
        <v>509</v>
      </c>
      <c r="N594" s="646">
        <v>106000</v>
      </c>
      <c r="O594" s="646">
        <v>530</v>
      </c>
    </row>
    <row r="595" spans="1:15" ht="16" customHeight="1" thickBot="1">
      <c r="A595" s="126"/>
      <c r="B595" s="644"/>
      <c r="C595" s="645">
        <v>321</v>
      </c>
      <c r="D595" s="645" t="s">
        <v>383</v>
      </c>
      <c r="E595" s="645">
        <v>780</v>
      </c>
      <c r="F595" s="645" t="s">
        <v>1028</v>
      </c>
      <c r="G595" s="645" t="s">
        <v>693</v>
      </c>
      <c r="H595" s="645">
        <v>97</v>
      </c>
      <c r="I595" s="645">
        <v>196</v>
      </c>
      <c r="J595" s="645">
        <v>0.495</v>
      </c>
      <c r="K595" s="645" t="s">
        <v>496</v>
      </c>
      <c r="L595" s="645" t="s">
        <v>518</v>
      </c>
      <c r="M595" s="645" t="s">
        <v>509</v>
      </c>
      <c r="N595" s="646">
        <v>52300</v>
      </c>
      <c r="O595" s="646">
        <v>539</v>
      </c>
    </row>
    <row r="596" spans="1:15" ht="16" customHeight="1" thickBot="1">
      <c r="A596" s="126"/>
      <c r="B596" s="644"/>
      <c r="C596" s="645">
        <v>321</v>
      </c>
      <c r="D596" s="645" t="s">
        <v>383</v>
      </c>
      <c r="E596" s="645">
        <v>1225</v>
      </c>
      <c r="F596" s="645" t="s">
        <v>1029</v>
      </c>
      <c r="G596" s="645" t="s">
        <v>693</v>
      </c>
      <c r="H596" s="645">
        <v>180</v>
      </c>
      <c r="I596" s="645">
        <v>337</v>
      </c>
      <c r="J596" s="645">
        <v>0.53400000000000003</v>
      </c>
      <c r="K596" s="645" t="s">
        <v>496</v>
      </c>
      <c r="L596" s="645" t="s">
        <v>518</v>
      </c>
      <c r="M596" s="645" t="s">
        <v>521</v>
      </c>
      <c r="N596" s="646">
        <v>98492</v>
      </c>
      <c r="O596" s="646">
        <v>547</v>
      </c>
    </row>
    <row r="597" spans="1:15" ht="16" customHeight="1" thickBot="1">
      <c r="A597" s="126"/>
      <c r="B597" s="644"/>
      <c r="C597" s="648" t="s">
        <v>1523</v>
      </c>
      <c r="D597" s="648" t="s">
        <v>1523</v>
      </c>
      <c r="E597" s="648" t="s">
        <v>1523</v>
      </c>
      <c r="F597" s="648" t="s">
        <v>1523</v>
      </c>
      <c r="G597" s="648" t="s">
        <v>1523</v>
      </c>
      <c r="H597" s="648" t="s">
        <v>1523</v>
      </c>
      <c r="I597" s="648" t="s">
        <v>1523</v>
      </c>
      <c r="J597" s="648" t="s">
        <v>1523</v>
      </c>
      <c r="K597" s="648" t="s">
        <v>1523</v>
      </c>
      <c r="L597" s="648" t="s">
        <v>1523</v>
      </c>
      <c r="M597" s="648" t="s">
        <v>1523</v>
      </c>
      <c r="N597" s="648" t="s">
        <v>1523</v>
      </c>
      <c r="O597" s="648" t="s">
        <v>1523</v>
      </c>
    </row>
    <row r="598" spans="1:15" ht="16" customHeight="1" thickBot="1">
      <c r="A598" s="126"/>
      <c r="B598" s="644"/>
      <c r="C598" s="645">
        <v>322</v>
      </c>
      <c r="D598" s="645" t="s">
        <v>384</v>
      </c>
      <c r="E598" s="645">
        <v>147</v>
      </c>
      <c r="F598" s="645" t="s">
        <v>1030</v>
      </c>
      <c r="G598" s="645" t="s">
        <v>557</v>
      </c>
      <c r="H598" s="645">
        <v>210</v>
      </c>
      <c r="I598" s="645">
        <v>511</v>
      </c>
      <c r="J598" s="645">
        <v>0.41099999999999998</v>
      </c>
      <c r="K598" s="645" t="s">
        <v>496</v>
      </c>
      <c r="L598" s="645" t="s">
        <v>497</v>
      </c>
      <c r="M598" s="645" t="s">
        <v>509</v>
      </c>
      <c r="N598" s="646">
        <v>0</v>
      </c>
      <c r="O598" s="646">
        <v>0</v>
      </c>
    </row>
    <row r="599" spans="1:15" ht="16" customHeight="1" thickBot="1">
      <c r="A599" s="126"/>
      <c r="B599" s="644"/>
      <c r="C599" s="645">
        <v>322</v>
      </c>
      <c r="D599" s="645" t="s">
        <v>384</v>
      </c>
      <c r="E599" s="645">
        <v>225</v>
      </c>
      <c r="F599" s="645" t="s">
        <v>1031</v>
      </c>
      <c r="G599" s="645" t="s">
        <v>618</v>
      </c>
      <c r="H599" s="645">
        <v>166</v>
      </c>
      <c r="I599" s="645">
        <v>327</v>
      </c>
      <c r="J599" s="645">
        <v>0.50800000000000001</v>
      </c>
      <c r="K599" s="645" t="s">
        <v>496</v>
      </c>
      <c r="L599" s="645" t="s">
        <v>518</v>
      </c>
      <c r="M599" s="645" t="s">
        <v>505</v>
      </c>
      <c r="N599" s="646">
        <v>68208</v>
      </c>
      <c r="O599" s="646">
        <v>410</v>
      </c>
    </row>
    <row r="600" spans="1:15" ht="16" customHeight="1" thickBot="1">
      <c r="A600" s="126"/>
      <c r="B600" s="644"/>
      <c r="C600" s="645">
        <v>322</v>
      </c>
      <c r="D600" s="645" t="s">
        <v>384</v>
      </c>
      <c r="E600" s="645">
        <v>226</v>
      </c>
      <c r="F600" s="645" t="s">
        <v>1032</v>
      </c>
      <c r="G600" s="645" t="s">
        <v>596</v>
      </c>
      <c r="H600" s="645">
        <v>125</v>
      </c>
      <c r="I600" s="645">
        <v>255</v>
      </c>
      <c r="J600" s="645">
        <v>0.49</v>
      </c>
      <c r="K600" s="645" t="s">
        <v>496</v>
      </c>
      <c r="L600" s="645" t="s">
        <v>497</v>
      </c>
      <c r="M600" s="645" t="s">
        <v>509</v>
      </c>
      <c r="N600" s="646">
        <v>0</v>
      </c>
      <c r="O600" s="646">
        <v>0</v>
      </c>
    </row>
    <row r="601" spans="1:15" ht="16" customHeight="1" thickBot="1">
      <c r="A601" s="126"/>
      <c r="B601" s="644"/>
      <c r="C601" s="645">
        <v>322</v>
      </c>
      <c r="D601" s="645" t="s">
        <v>384</v>
      </c>
      <c r="E601" s="645">
        <v>781</v>
      </c>
      <c r="F601" s="645" t="s">
        <v>1033</v>
      </c>
      <c r="G601" s="645" t="s">
        <v>612</v>
      </c>
      <c r="H601" s="645">
        <v>231</v>
      </c>
      <c r="I601" s="645">
        <v>436</v>
      </c>
      <c r="J601" s="645">
        <v>0.53</v>
      </c>
      <c r="K601" s="645" t="s">
        <v>496</v>
      </c>
      <c r="L601" s="645" t="s">
        <v>518</v>
      </c>
      <c r="M601" s="645" t="s">
        <v>505</v>
      </c>
      <c r="N601" s="646">
        <v>76995</v>
      </c>
      <c r="O601" s="646">
        <v>333</v>
      </c>
    </row>
    <row r="602" spans="1:15" ht="16" customHeight="1" thickBot="1">
      <c r="A602" s="126"/>
      <c r="B602" s="644"/>
      <c r="C602" s="645">
        <v>322</v>
      </c>
      <c r="D602" s="645" t="s">
        <v>384</v>
      </c>
      <c r="E602" s="645">
        <v>874</v>
      </c>
      <c r="F602" s="645" t="s">
        <v>1034</v>
      </c>
      <c r="G602" s="645" t="s">
        <v>557</v>
      </c>
      <c r="H602" s="647" t="s">
        <v>1523</v>
      </c>
      <c r="I602" s="647" t="s">
        <v>1523</v>
      </c>
      <c r="J602" s="647" t="s">
        <v>1523</v>
      </c>
      <c r="K602" s="645" t="s">
        <v>496</v>
      </c>
      <c r="L602" s="645" t="s">
        <v>497</v>
      </c>
      <c r="M602" s="645" t="s">
        <v>509</v>
      </c>
      <c r="N602" s="646">
        <v>0</v>
      </c>
      <c r="O602" s="646">
        <v>0</v>
      </c>
    </row>
    <row r="603" spans="1:15" ht="16" customHeight="1" thickBot="1">
      <c r="A603" s="126"/>
      <c r="B603" s="644"/>
      <c r="C603" s="648" t="s">
        <v>1523</v>
      </c>
      <c r="D603" s="648" t="s">
        <v>1523</v>
      </c>
      <c r="E603" s="648" t="s">
        <v>1523</v>
      </c>
      <c r="F603" s="648" t="s">
        <v>1523</v>
      </c>
      <c r="G603" s="648" t="s">
        <v>1523</v>
      </c>
      <c r="H603" s="648" t="s">
        <v>1523</v>
      </c>
      <c r="I603" s="648" t="s">
        <v>1523</v>
      </c>
      <c r="J603" s="648" t="s">
        <v>1523</v>
      </c>
      <c r="K603" s="648" t="s">
        <v>1523</v>
      </c>
      <c r="L603" s="648" t="s">
        <v>1523</v>
      </c>
      <c r="M603" s="648" t="s">
        <v>1523</v>
      </c>
      <c r="N603" s="648" t="s">
        <v>1523</v>
      </c>
      <c r="O603" s="648" t="s">
        <v>1523</v>
      </c>
    </row>
    <row r="604" spans="1:15" ht="16" customHeight="1" thickBot="1">
      <c r="A604" s="126"/>
      <c r="B604" s="644"/>
      <c r="C604" s="645">
        <v>331</v>
      </c>
      <c r="D604" s="645" t="s">
        <v>385</v>
      </c>
      <c r="E604" s="645">
        <v>148</v>
      </c>
      <c r="F604" s="645" t="s">
        <v>1035</v>
      </c>
      <c r="G604" s="645" t="s">
        <v>554</v>
      </c>
      <c r="H604" s="645">
        <v>294</v>
      </c>
      <c r="I604" s="645">
        <v>434</v>
      </c>
      <c r="J604" s="645">
        <v>0.67700000000000005</v>
      </c>
      <c r="K604" s="645" t="s">
        <v>496</v>
      </c>
      <c r="L604" s="645" t="s">
        <v>497</v>
      </c>
      <c r="M604" s="645" t="s">
        <v>505</v>
      </c>
      <c r="N604" s="646">
        <v>0</v>
      </c>
      <c r="O604" s="646">
        <v>0</v>
      </c>
    </row>
    <row r="605" spans="1:15" ht="16" customHeight="1" thickBot="1">
      <c r="A605" s="126"/>
      <c r="B605" s="644"/>
      <c r="C605" s="645">
        <v>331</v>
      </c>
      <c r="D605" s="645" t="s">
        <v>385</v>
      </c>
      <c r="E605" s="645">
        <v>149</v>
      </c>
      <c r="F605" s="645" t="s">
        <v>1036</v>
      </c>
      <c r="G605" s="645" t="s">
        <v>554</v>
      </c>
      <c r="H605" s="645">
        <v>260</v>
      </c>
      <c r="I605" s="645">
        <v>424</v>
      </c>
      <c r="J605" s="645">
        <v>0.61299999999999999</v>
      </c>
      <c r="K605" s="645" t="s">
        <v>496</v>
      </c>
      <c r="L605" s="645" t="s">
        <v>497</v>
      </c>
      <c r="M605" s="645" t="s">
        <v>498</v>
      </c>
      <c r="N605" s="646">
        <v>0</v>
      </c>
      <c r="O605" s="646">
        <v>0</v>
      </c>
    </row>
    <row r="606" spans="1:15" ht="16" customHeight="1" thickBot="1">
      <c r="A606" s="126"/>
      <c r="B606" s="644"/>
      <c r="C606" s="645">
        <v>331</v>
      </c>
      <c r="D606" s="645" t="s">
        <v>385</v>
      </c>
      <c r="E606" s="645">
        <v>150</v>
      </c>
      <c r="F606" s="645" t="s">
        <v>1037</v>
      </c>
      <c r="G606" s="645" t="s">
        <v>557</v>
      </c>
      <c r="H606" s="645">
        <v>530</v>
      </c>
      <c r="I606" s="645">
        <v>960</v>
      </c>
      <c r="J606" s="645">
        <v>0.55200000000000005</v>
      </c>
      <c r="K606" s="645" t="s">
        <v>496</v>
      </c>
      <c r="L606" s="645" t="s">
        <v>497</v>
      </c>
      <c r="M606" s="645" t="s">
        <v>505</v>
      </c>
      <c r="N606" s="646">
        <v>0</v>
      </c>
      <c r="O606" s="646">
        <v>0</v>
      </c>
    </row>
    <row r="607" spans="1:15" ht="16" customHeight="1" thickBot="1">
      <c r="A607" s="126"/>
      <c r="B607" s="644"/>
      <c r="C607" s="645">
        <v>331</v>
      </c>
      <c r="D607" s="645" t="s">
        <v>385</v>
      </c>
      <c r="E607" s="645">
        <v>783</v>
      </c>
      <c r="F607" s="645" t="s">
        <v>1038</v>
      </c>
      <c r="G607" s="645" t="s">
        <v>564</v>
      </c>
      <c r="H607" s="645">
        <v>355</v>
      </c>
      <c r="I607" s="645">
        <v>519</v>
      </c>
      <c r="J607" s="645">
        <v>0.68400000000000005</v>
      </c>
      <c r="K607" s="645" t="s">
        <v>496</v>
      </c>
      <c r="L607" s="645" t="s">
        <v>518</v>
      </c>
      <c r="M607" s="645" t="s">
        <v>498</v>
      </c>
      <c r="N607" s="646">
        <v>149818</v>
      </c>
      <c r="O607" s="646">
        <v>422</v>
      </c>
    </row>
    <row r="608" spans="1:15" ht="16" customHeight="1" thickBot="1">
      <c r="A608" s="126"/>
      <c r="B608" s="644"/>
      <c r="C608" s="645">
        <v>331</v>
      </c>
      <c r="D608" s="645" t="s">
        <v>385</v>
      </c>
      <c r="E608" s="645">
        <v>785</v>
      </c>
      <c r="F608" s="645" t="s">
        <v>659</v>
      </c>
      <c r="G608" s="645" t="s">
        <v>564</v>
      </c>
      <c r="H608" s="645">
        <v>348</v>
      </c>
      <c r="I608" s="645">
        <v>513</v>
      </c>
      <c r="J608" s="645">
        <v>0.67800000000000005</v>
      </c>
      <c r="K608" s="645" t="s">
        <v>496</v>
      </c>
      <c r="L608" s="645" t="s">
        <v>624</v>
      </c>
      <c r="M608" s="645" t="s">
        <v>498</v>
      </c>
      <c r="N608" s="646">
        <v>146864</v>
      </c>
      <c r="O608" s="646">
        <v>422</v>
      </c>
    </row>
    <row r="609" spans="1:15" ht="16" customHeight="1" thickBot="1">
      <c r="A609" s="126"/>
      <c r="B609" s="644"/>
      <c r="C609" s="645">
        <v>331</v>
      </c>
      <c r="D609" s="645" t="s">
        <v>385</v>
      </c>
      <c r="E609" s="645">
        <v>786</v>
      </c>
      <c r="F609" s="645" t="s">
        <v>1039</v>
      </c>
      <c r="G609" s="645" t="s">
        <v>564</v>
      </c>
      <c r="H609" s="645">
        <v>187</v>
      </c>
      <c r="I609" s="645">
        <v>304</v>
      </c>
      <c r="J609" s="645">
        <v>0.61499999999999999</v>
      </c>
      <c r="K609" s="645" t="s">
        <v>496</v>
      </c>
      <c r="L609" s="645" t="s">
        <v>624</v>
      </c>
      <c r="M609" s="645" t="s">
        <v>509</v>
      </c>
      <c r="N609" s="646">
        <v>78918</v>
      </c>
      <c r="O609" s="646">
        <v>422</v>
      </c>
    </row>
    <row r="610" spans="1:15" ht="16" customHeight="1" thickBot="1">
      <c r="A610" s="126"/>
      <c r="B610" s="644"/>
      <c r="C610" s="645">
        <v>331</v>
      </c>
      <c r="D610" s="645" t="s">
        <v>385</v>
      </c>
      <c r="E610" s="645">
        <v>845</v>
      </c>
      <c r="F610" s="645" t="s">
        <v>1040</v>
      </c>
      <c r="G610" s="645" t="s">
        <v>564</v>
      </c>
      <c r="H610" s="645">
        <v>497</v>
      </c>
      <c r="I610" s="645">
        <v>651</v>
      </c>
      <c r="J610" s="645">
        <v>0.76300000000000001</v>
      </c>
      <c r="K610" s="645" t="s">
        <v>496</v>
      </c>
      <c r="L610" s="645" t="s">
        <v>518</v>
      </c>
      <c r="M610" s="645" t="s">
        <v>509</v>
      </c>
      <c r="N610" s="646">
        <v>209745</v>
      </c>
      <c r="O610" s="646">
        <v>422</v>
      </c>
    </row>
    <row r="611" spans="1:15" ht="16" customHeight="1" thickBot="1">
      <c r="A611" s="126"/>
      <c r="B611" s="644"/>
      <c r="C611" s="645">
        <v>331</v>
      </c>
      <c r="D611" s="645" t="s">
        <v>385</v>
      </c>
      <c r="E611" s="645">
        <v>1046</v>
      </c>
      <c r="F611" s="645" t="s">
        <v>1041</v>
      </c>
      <c r="G611" s="645" t="s">
        <v>546</v>
      </c>
      <c r="H611" s="645">
        <v>148</v>
      </c>
      <c r="I611" s="645">
        <v>202</v>
      </c>
      <c r="J611" s="645">
        <v>0.73299999999999998</v>
      </c>
      <c r="K611" s="645" t="s">
        <v>496</v>
      </c>
      <c r="L611" s="645" t="s">
        <v>518</v>
      </c>
      <c r="M611" s="645" t="s">
        <v>547</v>
      </c>
      <c r="N611" s="646">
        <v>62459</v>
      </c>
      <c r="O611" s="646">
        <v>422</v>
      </c>
    </row>
    <row r="612" spans="1:15" ht="16" customHeight="1" thickBot="1">
      <c r="A612" s="126"/>
      <c r="B612" s="644"/>
      <c r="C612" s="648" t="s">
        <v>1523</v>
      </c>
      <c r="D612" s="648" t="s">
        <v>1523</v>
      </c>
      <c r="E612" s="648" t="s">
        <v>1523</v>
      </c>
      <c r="F612" s="648" t="s">
        <v>1523</v>
      </c>
      <c r="G612" s="648" t="s">
        <v>1523</v>
      </c>
      <c r="H612" s="648" t="s">
        <v>1523</v>
      </c>
      <c r="I612" s="648" t="s">
        <v>1523</v>
      </c>
      <c r="J612" s="648" t="s">
        <v>1523</v>
      </c>
      <c r="K612" s="648" t="s">
        <v>1523</v>
      </c>
      <c r="L612" s="648" t="s">
        <v>1523</v>
      </c>
      <c r="M612" s="648" t="s">
        <v>1523</v>
      </c>
      <c r="N612" s="648" t="s">
        <v>1523</v>
      </c>
      <c r="O612" s="648" t="s">
        <v>1523</v>
      </c>
    </row>
    <row r="613" spans="1:15" ht="16" customHeight="1" thickBot="1">
      <c r="A613" s="126"/>
      <c r="B613" s="644"/>
      <c r="C613" s="645">
        <v>340</v>
      </c>
      <c r="D613" s="645" t="s">
        <v>386</v>
      </c>
      <c r="E613" s="645">
        <v>151</v>
      </c>
      <c r="F613" s="645" t="s">
        <v>1042</v>
      </c>
      <c r="G613" s="645" t="s">
        <v>495</v>
      </c>
      <c r="H613" s="645">
        <v>211</v>
      </c>
      <c r="I613" s="645">
        <v>562</v>
      </c>
      <c r="J613" s="645">
        <v>0.375</v>
      </c>
      <c r="K613" s="645" t="s">
        <v>496</v>
      </c>
      <c r="L613" s="645" t="s">
        <v>497</v>
      </c>
      <c r="M613" s="645" t="s">
        <v>505</v>
      </c>
      <c r="N613" s="646">
        <v>0</v>
      </c>
      <c r="O613" s="646">
        <v>0</v>
      </c>
    </row>
    <row r="614" spans="1:15" ht="16" customHeight="1" thickBot="1">
      <c r="A614" s="126"/>
      <c r="B614" s="644"/>
      <c r="C614" s="645">
        <v>340</v>
      </c>
      <c r="D614" s="645" t="s">
        <v>386</v>
      </c>
      <c r="E614" s="645">
        <v>152</v>
      </c>
      <c r="F614" s="645" t="s">
        <v>1043</v>
      </c>
      <c r="G614" s="645" t="s">
        <v>495</v>
      </c>
      <c r="H614" s="645">
        <v>223</v>
      </c>
      <c r="I614" s="645">
        <v>583</v>
      </c>
      <c r="J614" s="645">
        <v>0.38300000000000001</v>
      </c>
      <c r="K614" s="645" t="s">
        <v>496</v>
      </c>
      <c r="L614" s="645" t="s">
        <v>497</v>
      </c>
      <c r="M614" s="645" t="s">
        <v>505</v>
      </c>
      <c r="N614" s="646">
        <v>0</v>
      </c>
      <c r="O614" s="646">
        <v>0</v>
      </c>
    </row>
    <row r="615" spans="1:15" ht="16" customHeight="1" thickBot="1">
      <c r="A615" s="126"/>
      <c r="B615" s="644"/>
      <c r="C615" s="645">
        <v>340</v>
      </c>
      <c r="D615" s="645" t="s">
        <v>386</v>
      </c>
      <c r="E615" s="645">
        <v>153</v>
      </c>
      <c r="F615" s="645" t="s">
        <v>1044</v>
      </c>
      <c r="G615" s="645" t="s">
        <v>504</v>
      </c>
      <c r="H615" s="645">
        <v>255</v>
      </c>
      <c r="I615" s="645">
        <v>984</v>
      </c>
      <c r="J615" s="645">
        <v>0.25900000000000001</v>
      </c>
      <c r="K615" s="645" t="s">
        <v>501</v>
      </c>
      <c r="L615" s="645" t="s">
        <v>497</v>
      </c>
      <c r="M615" s="645" t="s">
        <v>505</v>
      </c>
      <c r="N615" s="646">
        <v>0</v>
      </c>
      <c r="O615" s="646">
        <v>0</v>
      </c>
    </row>
    <row r="616" spans="1:15" ht="16" customHeight="1" thickBot="1">
      <c r="A616" s="126"/>
      <c r="B616" s="644"/>
      <c r="C616" s="645">
        <v>340</v>
      </c>
      <c r="D616" s="645" t="s">
        <v>386</v>
      </c>
      <c r="E616" s="645">
        <v>787</v>
      </c>
      <c r="F616" s="645" t="s">
        <v>786</v>
      </c>
      <c r="G616" s="645" t="s">
        <v>512</v>
      </c>
      <c r="H616" s="645">
        <v>153</v>
      </c>
      <c r="I616" s="645">
        <v>384</v>
      </c>
      <c r="J616" s="645">
        <v>0.39800000000000002</v>
      </c>
      <c r="K616" s="645" t="s">
        <v>496</v>
      </c>
      <c r="L616" s="645" t="s">
        <v>624</v>
      </c>
      <c r="M616" s="645" t="s">
        <v>509</v>
      </c>
      <c r="N616" s="646">
        <v>79827</v>
      </c>
      <c r="O616" s="646">
        <v>521</v>
      </c>
    </row>
    <row r="617" spans="1:15" ht="16" customHeight="1" thickBot="1">
      <c r="A617" s="126"/>
      <c r="B617" s="644"/>
      <c r="C617" s="645">
        <v>340</v>
      </c>
      <c r="D617" s="645" t="s">
        <v>386</v>
      </c>
      <c r="E617" s="645">
        <v>788</v>
      </c>
      <c r="F617" s="645" t="s">
        <v>1045</v>
      </c>
      <c r="G617" s="645" t="s">
        <v>512</v>
      </c>
      <c r="H617" s="645">
        <v>123</v>
      </c>
      <c r="I617" s="645">
        <v>437</v>
      </c>
      <c r="J617" s="645">
        <v>0.28100000000000003</v>
      </c>
      <c r="K617" s="645" t="s">
        <v>501</v>
      </c>
      <c r="L617" s="645" t="s">
        <v>497</v>
      </c>
      <c r="M617" s="645" t="s">
        <v>505</v>
      </c>
      <c r="N617" s="646">
        <v>0</v>
      </c>
      <c r="O617" s="646">
        <v>0</v>
      </c>
    </row>
    <row r="618" spans="1:15" ht="16" customHeight="1" thickBot="1">
      <c r="A618" s="126"/>
      <c r="B618" s="644"/>
      <c r="C618" s="645">
        <v>340</v>
      </c>
      <c r="D618" s="645" t="s">
        <v>386</v>
      </c>
      <c r="E618" s="645">
        <v>789</v>
      </c>
      <c r="F618" s="645" t="s">
        <v>1046</v>
      </c>
      <c r="G618" s="645" t="s">
        <v>512</v>
      </c>
      <c r="H618" s="645">
        <v>196</v>
      </c>
      <c r="I618" s="645">
        <v>319</v>
      </c>
      <c r="J618" s="645">
        <v>0.61399999999999999</v>
      </c>
      <c r="K618" s="645" t="s">
        <v>496</v>
      </c>
      <c r="L618" s="645" t="s">
        <v>518</v>
      </c>
      <c r="M618" s="645" t="s">
        <v>498</v>
      </c>
      <c r="N618" s="646">
        <v>124529</v>
      </c>
      <c r="O618" s="646">
        <v>635</v>
      </c>
    </row>
    <row r="619" spans="1:15" ht="16" customHeight="1" thickBot="1">
      <c r="A619" s="126"/>
      <c r="B619" s="644"/>
      <c r="C619" s="645">
        <v>340</v>
      </c>
      <c r="D619" s="645" t="s">
        <v>386</v>
      </c>
      <c r="E619" s="645">
        <v>790</v>
      </c>
      <c r="F619" s="645" t="s">
        <v>1047</v>
      </c>
      <c r="G619" s="645" t="s">
        <v>512</v>
      </c>
      <c r="H619" s="645">
        <v>178</v>
      </c>
      <c r="I619" s="645">
        <v>318</v>
      </c>
      <c r="J619" s="645">
        <v>0.56000000000000005</v>
      </c>
      <c r="K619" s="645" t="s">
        <v>496</v>
      </c>
      <c r="L619" s="645" t="s">
        <v>624</v>
      </c>
      <c r="M619" s="645" t="s">
        <v>505</v>
      </c>
      <c r="N619" s="646">
        <v>111059</v>
      </c>
      <c r="O619" s="646">
        <v>623</v>
      </c>
    </row>
    <row r="620" spans="1:15" ht="16" customHeight="1" thickBot="1">
      <c r="A620" s="126"/>
      <c r="B620" s="644"/>
      <c r="C620" s="645">
        <v>340</v>
      </c>
      <c r="D620" s="645" t="s">
        <v>386</v>
      </c>
      <c r="E620" s="645">
        <v>791</v>
      </c>
      <c r="F620" s="645" t="s">
        <v>1048</v>
      </c>
      <c r="G620" s="645" t="s">
        <v>512</v>
      </c>
      <c r="H620" s="645">
        <v>115</v>
      </c>
      <c r="I620" s="645">
        <v>326</v>
      </c>
      <c r="J620" s="645">
        <v>0.35299999999999998</v>
      </c>
      <c r="K620" s="645" t="s">
        <v>496</v>
      </c>
      <c r="L620" s="645" t="s">
        <v>497</v>
      </c>
      <c r="M620" s="645" t="s">
        <v>505</v>
      </c>
      <c r="N620" s="646">
        <v>0</v>
      </c>
      <c r="O620" s="646">
        <v>0</v>
      </c>
    </row>
    <row r="621" spans="1:15" ht="16" customHeight="1" thickBot="1">
      <c r="A621" s="126"/>
      <c r="B621" s="644"/>
      <c r="C621" s="645">
        <v>340</v>
      </c>
      <c r="D621" s="645" t="s">
        <v>386</v>
      </c>
      <c r="E621" s="645">
        <v>792</v>
      </c>
      <c r="F621" s="645" t="s">
        <v>1049</v>
      </c>
      <c r="G621" s="645" t="s">
        <v>512</v>
      </c>
      <c r="H621" s="645">
        <v>194</v>
      </c>
      <c r="I621" s="645">
        <v>336</v>
      </c>
      <c r="J621" s="645">
        <v>0.57699999999999996</v>
      </c>
      <c r="K621" s="645" t="s">
        <v>496</v>
      </c>
      <c r="L621" s="645" t="s">
        <v>624</v>
      </c>
      <c r="M621" s="645" t="s">
        <v>498</v>
      </c>
      <c r="N621" s="646">
        <v>122292</v>
      </c>
      <c r="O621" s="646">
        <v>630</v>
      </c>
    </row>
    <row r="622" spans="1:15" ht="16" customHeight="1" thickBot="1">
      <c r="A622" s="126"/>
      <c r="B622" s="644"/>
      <c r="C622" s="645">
        <v>340</v>
      </c>
      <c r="D622" s="645" t="s">
        <v>386</v>
      </c>
      <c r="E622" s="645">
        <v>793</v>
      </c>
      <c r="F622" s="645" t="s">
        <v>1050</v>
      </c>
      <c r="G622" s="645" t="s">
        <v>512</v>
      </c>
      <c r="H622" s="645">
        <v>133</v>
      </c>
      <c r="I622" s="645">
        <v>318</v>
      </c>
      <c r="J622" s="645">
        <v>0.41799999999999998</v>
      </c>
      <c r="K622" s="645" t="s">
        <v>496</v>
      </c>
      <c r="L622" s="645" t="s">
        <v>624</v>
      </c>
      <c r="M622" s="645" t="s">
        <v>505</v>
      </c>
      <c r="N622" s="646">
        <v>82857</v>
      </c>
      <c r="O622" s="646">
        <v>622</v>
      </c>
    </row>
    <row r="623" spans="1:15" ht="16" customHeight="1" thickBot="1">
      <c r="A623" s="126"/>
      <c r="B623" s="644"/>
      <c r="C623" s="645">
        <v>340</v>
      </c>
      <c r="D623" s="645" t="s">
        <v>386</v>
      </c>
      <c r="E623" s="645">
        <v>1034</v>
      </c>
      <c r="F623" s="645" t="s">
        <v>1051</v>
      </c>
      <c r="G623" s="645" t="s">
        <v>557</v>
      </c>
      <c r="H623" s="645">
        <v>60</v>
      </c>
      <c r="I623" s="645">
        <v>102</v>
      </c>
      <c r="J623" s="645">
        <v>0.58799999999999997</v>
      </c>
      <c r="K623" s="645" t="s">
        <v>496</v>
      </c>
      <c r="L623" s="645" t="s">
        <v>497</v>
      </c>
      <c r="M623" s="645" t="s">
        <v>505</v>
      </c>
      <c r="N623" s="646">
        <v>0</v>
      </c>
      <c r="O623" s="646">
        <v>0</v>
      </c>
    </row>
    <row r="624" spans="1:15" ht="16" customHeight="1" thickBot="1">
      <c r="A624" s="126"/>
      <c r="B624" s="644"/>
      <c r="C624" s="648" t="s">
        <v>1523</v>
      </c>
      <c r="D624" s="648" t="s">
        <v>1523</v>
      </c>
      <c r="E624" s="648" t="s">
        <v>1523</v>
      </c>
      <c r="F624" s="648" t="s">
        <v>1523</v>
      </c>
      <c r="G624" s="648" t="s">
        <v>1523</v>
      </c>
      <c r="H624" s="648" t="s">
        <v>1523</v>
      </c>
      <c r="I624" s="648" t="s">
        <v>1523</v>
      </c>
      <c r="J624" s="648" t="s">
        <v>1523</v>
      </c>
      <c r="K624" s="648" t="s">
        <v>1523</v>
      </c>
      <c r="L624" s="648" t="s">
        <v>1523</v>
      </c>
      <c r="M624" s="648" t="s">
        <v>1523</v>
      </c>
      <c r="N624" s="648" t="s">
        <v>1523</v>
      </c>
      <c r="O624" s="648" t="s">
        <v>1523</v>
      </c>
    </row>
    <row r="625" spans="1:15" ht="16" customHeight="1" thickBot="1">
      <c r="A625" s="126"/>
      <c r="B625" s="644"/>
      <c r="C625" s="645">
        <v>341</v>
      </c>
      <c r="D625" s="645" t="s">
        <v>387</v>
      </c>
      <c r="E625" s="645">
        <v>583</v>
      </c>
      <c r="F625" s="645" t="s">
        <v>1052</v>
      </c>
      <c r="G625" s="645" t="s">
        <v>715</v>
      </c>
      <c r="H625" s="645">
        <v>107</v>
      </c>
      <c r="I625" s="645">
        <v>127</v>
      </c>
      <c r="J625" s="645">
        <v>0.84299999999999997</v>
      </c>
      <c r="K625" s="645" t="s">
        <v>496</v>
      </c>
      <c r="L625" s="645" t="s">
        <v>518</v>
      </c>
      <c r="M625" s="645" t="s">
        <v>521</v>
      </c>
      <c r="N625" s="646">
        <v>2000</v>
      </c>
      <c r="O625" s="646">
        <v>18</v>
      </c>
    </row>
    <row r="626" spans="1:15" ht="16" customHeight="1" thickBot="1">
      <c r="A626" s="126"/>
      <c r="B626" s="644"/>
      <c r="C626" s="645">
        <v>341</v>
      </c>
      <c r="D626" s="645" t="s">
        <v>387</v>
      </c>
      <c r="E626" s="645">
        <v>844</v>
      </c>
      <c r="F626" s="645" t="s">
        <v>1053</v>
      </c>
      <c r="G626" s="645" t="s">
        <v>564</v>
      </c>
      <c r="H626" s="645">
        <v>267</v>
      </c>
      <c r="I626" s="645">
        <v>295</v>
      </c>
      <c r="J626" s="645">
        <v>0.90500000000000003</v>
      </c>
      <c r="K626" s="645" t="s">
        <v>496</v>
      </c>
      <c r="L626" s="645" t="s">
        <v>518</v>
      </c>
      <c r="M626" s="645" t="s">
        <v>547</v>
      </c>
      <c r="N626" s="646">
        <v>102777</v>
      </c>
      <c r="O626" s="646">
        <v>384</v>
      </c>
    </row>
    <row r="627" spans="1:15" ht="16" customHeight="1" thickBot="1">
      <c r="A627" s="126"/>
      <c r="B627" s="644"/>
      <c r="C627" s="648" t="s">
        <v>1523</v>
      </c>
      <c r="D627" s="648" t="s">
        <v>1523</v>
      </c>
      <c r="E627" s="648" t="s">
        <v>1523</v>
      </c>
      <c r="F627" s="648" t="s">
        <v>1523</v>
      </c>
      <c r="G627" s="648" t="s">
        <v>1523</v>
      </c>
      <c r="H627" s="648" t="s">
        <v>1523</v>
      </c>
      <c r="I627" s="648" t="s">
        <v>1523</v>
      </c>
      <c r="J627" s="648" t="s">
        <v>1523</v>
      </c>
      <c r="K627" s="648" t="s">
        <v>1523</v>
      </c>
      <c r="L627" s="648" t="s">
        <v>1523</v>
      </c>
      <c r="M627" s="648" t="s">
        <v>1523</v>
      </c>
      <c r="N627" s="648" t="s">
        <v>1523</v>
      </c>
      <c r="O627" s="648" t="s">
        <v>1523</v>
      </c>
    </row>
    <row r="628" spans="1:15" ht="16" customHeight="1" thickBot="1">
      <c r="A628" s="126"/>
      <c r="B628" s="644"/>
      <c r="C628" s="645">
        <v>342</v>
      </c>
      <c r="D628" s="645" t="s">
        <v>388</v>
      </c>
      <c r="E628" s="645">
        <v>795</v>
      </c>
      <c r="F628" s="645" t="s">
        <v>1054</v>
      </c>
      <c r="G628" s="645" t="s">
        <v>623</v>
      </c>
      <c r="H628" s="645">
        <v>61</v>
      </c>
      <c r="I628" s="645">
        <v>73</v>
      </c>
      <c r="J628" s="645">
        <v>0.83599999999999997</v>
      </c>
      <c r="K628" s="645" t="s">
        <v>496</v>
      </c>
      <c r="L628" s="645" t="s">
        <v>518</v>
      </c>
      <c r="M628" s="645" t="s">
        <v>505</v>
      </c>
      <c r="N628" s="646">
        <v>33382</v>
      </c>
      <c r="O628" s="646">
        <v>547</v>
      </c>
    </row>
    <row r="629" spans="1:15" ht="16" customHeight="1" thickBot="1">
      <c r="A629" s="126"/>
      <c r="B629" s="644"/>
      <c r="C629" s="648" t="s">
        <v>1523</v>
      </c>
      <c r="D629" s="648" t="s">
        <v>1523</v>
      </c>
      <c r="E629" s="648" t="s">
        <v>1523</v>
      </c>
      <c r="F629" s="648" t="s">
        <v>1523</v>
      </c>
      <c r="G629" s="648" t="s">
        <v>1523</v>
      </c>
      <c r="H629" s="648" t="s">
        <v>1523</v>
      </c>
      <c r="I629" s="648" t="s">
        <v>1523</v>
      </c>
      <c r="J629" s="648" t="s">
        <v>1523</v>
      </c>
      <c r="K629" s="648" t="s">
        <v>1523</v>
      </c>
      <c r="L629" s="648" t="s">
        <v>1523</v>
      </c>
      <c r="M629" s="648" t="s">
        <v>1523</v>
      </c>
      <c r="N629" s="648" t="s">
        <v>1523</v>
      </c>
      <c r="O629" s="648" t="s">
        <v>1523</v>
      </c>
    </row>
    <row r="630" spans="1:15" ht="16" customHeight="1" thickBot="1">
      <c r="A630" s="126"/>
      <c r="B630" s="644"/>
      <c r="C630" s="645">
        <v>351</v>
      </c>
      <c r="D630" s="645" t="s">
        <v>389</v>
      </c>
      <c r="E630" s="645">
        <v>156</v>
      </c>
      <c r="F630" s="645" t="s">
        <v>1055</v>
      </c>
      <c r="G630" s="645" t="s">
        <v>557</v>
      </c>
      <c r="H630" s="645">
        <v>112</v>
      </c>
      <c r="I630" s="645">
        <v>286</v>
      </c>
      <c r="J630" s="645">
        <v>0.39200000000000002</v>
      </c>
      <c r="K630" s="645" t="s">
        <v>496</v>
      </c>
      <c r="L630" s="645" t="s">
        <v>497</v>
      </c>
      <c r="M630" s="645" t="s">
        <v>509</v>
      </c>
      <c r="N630" s="646">
        <v>0</v>
      </c>
      <c r="O630" s="646">
        <v>0</v>
      </c>
    </row>
    <row r="631" spans="1:15" ht="16" customHeight="1" thickBot="1">
      <c r="A631" s="126"/>
      <c r="B631" s="644"/>
      <c r="C631" s="645">
        <v>351</v>
      </c>
      <c r="D631" s="645" t="s">
        <v>389</v>
      </c>
      <c r="E631" s="645">
        <v>580</v>
      </c>
      <c r="F631" s="645" t="s">
        <v>1056</v>
      </c>
      <c r="G631" s="645" t="s">
        <v>557</v>
      </c>
      <c r="H631" s="647" t="s">
        <v>1523</v>
      </c>
      <c r="I631" s="647" t="s">
        <v>1523</v>
      </c>
      <c r="J631" s="647" t="s">
        <v>1523</v>
      </c>
      <c r="K631" s="645" t="s">
        <v>496</v>
      </c>
      <c r="L631" s="645" t="s">
        <v>497</v>
      </c>
      <c r="M631" s="645" t="s">
        <v>509</v>
      </c>
      <c r="N631" s="646">
        <v>0</v>
      </c>
      <c r="O631" s="646">
        <v>0</v>
      </c>
    </row>
    <row r="632" spans="1:15" ht="16" customHeight="1" thickBot="1">
      <c r="A632" s="126"/>
      <c r="B632" s="644"/>
      <c r="C632" s="645">
        <v>351</v>
      </c>
      <c r="D632" s="645" t="s">
        <v>389</v>
      </c>
      <c r="E632" s="645">
        <v>618</v>
      </c>
      <c r="F632" s="645" t="s">
        <v>1057</v>
      </c>
      <c r="G632" s="645" t="s">
        <v>554</v>
      </c>
      <c r="H632" s="645">
        <v>105</v>
      </c>
      <c r="I632" s="645">
        <v>216</v>
      </c>
      <c r="J632" s="645">
        <v>0.48599999999999999</v>
      </c>
      <c r="K632" s="645" t="s">
        <v>496</v>
      </c>
      <c r="L632" s="645" t="s">
        <v>497</v>
      </c>
      <c r="M632" s="645" t="s">
        <v>505</v>
      </c>
      <c r="N632" s="646">
        <v>0</v>
      </c>
      <c r="O632" s="646">
        <v>0</v>
      </c>
    </row>
    <row r="633" spans="1:15" ht="16" customHeight="1" thickBot="1">
      <c r="A633" s="126"/>
      <c r="B633" s="644"/>
      <c r="C633" s="645">
        <v>351</v>
      </c>
      <c r="D633" s="645" t="s">
        <v>389</v>
      </c>
      <c r="E633" s="645">
        <v>797</v>
      </c>
      <c r="F633" s="645" t="s">
        <v>1058</v>
      </c>
      <c r="G633" s="645" t="s">
        <v>612</v>
      </c>
      <c r="H633" s="647" t="s">
        <v>1523</v>
      </c>
      <c r="I633" s="647" t="s">
        <v>1523</v>
      </c>
      <c r="J633" s="647" t="s">
        <v>1523</v>
      </c>
      <c r="K633" s="645" t="s">
        <v>496</v>
      </c>
      <c r="L633" s="645" t="s">
        <v>497</v>
      </c>
      <c r="M633" s="645" t="s">
        <v>509</v>
      </c>
      <c r="N633" s="646">
        <v>0</v>
      </c>
      <c r="O633" s="646">
        <v>0</v>
      </c>
    </row>
    <row r="634" spans="1:15" ht="16" customHeight="1" thickBot="1">
      <c r="A634" s="126"/>
      <c r="B634" s="644"/>
      <c r="C634" s="645">
        <v>351</v>
      </c>
      <c r="D634" s="645" t="s">
        <v>389</v>
      </c>
      <c r="E634" s="645">
        <v>798</v>
      </c>
      <c r="F634" s="645" t="s">
        <v>1059</v>
      </c>
      <c r="G634" s="645" t="s">
        <v>564</v>
      </c>
      <c r="H634" s="645">
        <v>204</v>
      </c>
      <c r="I634" s="645">
        <v>421</v>
      </c>
      <c r="J634" s="645">
        <v>0.48499999999999999</v>
      </c>
      <c r="K634" s="645" t="s">
        <v>496</v>
      </c>
      <c r="L634" s="645" t="s">
        <v>518</v>
      </c>
      <c r="M634" s="645" t="s">
        <v>505</v>
      </c>
      <c r="N634" s="646">
        <v>106315</v>
      </c>
      <c r="O634" s="646">
        <v>521</v>
      </c>
    </row>
    <row r="635" spans="1:15" ht="16" customHeight="1" thickBot="1">
      <c r="A635" s="126"/>
      <c r="B635" s="644"/>
      <c r="C635" s="648" t="s">
        <v>1523</v>
      </c>
      <c r="D635" s="648" t="s">
        <v>1523</v>
      </c>
      <c r="E635" s="648" t="s">
        <v>1523</v>
      </c>
      <c r="F635" s="648" t="s">
        <v>1523</v>
      </c>
      <c r="G635" s="648" t="s">
        <v>1523</v>
      </c>
      <c r="H635" s="648" t="s">
        <v>1523</v>
      </c>
      <c r="I635" s="648" t="s">
        <v>1523</v>
      </c>
      <c r="J635" s="648" t="s">
        <v>1523</v>
      </c>
      <c r="K635" s="648" t="s">
        <v>1523</v>
      </c>
      <c r="L635" s="648" t="s">
        <v>1523</v>
      </c>
      <c r="M635" s="648" t="s">
        <v>1523</v>
      </c>
      <c r="N635" s="648" t="s">
        <v>1523</v>
      </c>
      <c r="O635" s="648" t="s">
        <v>1523</v>
      </c>
    </row>
    <row r="636" spans="1:15" ht="16" customHeight="1" thickBot="1">
      <c r="A636" s="126"/>
      <c r="B636" s="644"/>
      <c r="C636" s="645">
        <v>363</v>
      </c>
      <c r="D636" s="645" t="s">
        <v>390</v>
      </c>
      <c r="E636" s="645">
        <v>157</v>
      </c>
      <c r="F636" s="645" t="s">
        <v>1060</v>
      </c>
      <c r="G636" s="645" t="s">
        <v>557</v>
      </c>
      <c r="H636" s="645">
        <v>167</v>
      </c>
      <c r="I636" s="645">
        <v>234</v>
      </c>
      <c r="J636" s="645">
        <v>0.71399999999999997</v>
      </c>
      <c r="K636" s="645" t="s">
        <v>496</v>
      </c>
      <c r="L636" s="645" t="s">
        <v>518</v>
      </c>
      <c r="M636" s="645" t="s">
        <v>509</v>
      </c>
      <c r="N636" s="646">
        <v>14837</v>
      </c>
      <c r="O636" s="646">
        <v>88</v>
      </c>
    </row>
    <row r="637" spans="1:15" ht="16" customHeight="1" thickBot="1">
      <c r="A637" s="126"/>
      <c r="B637" s="644"/>
      <c r="C637" s="645">
        <v>363</v>
      </c>
      <c r="D637" s="645" t="s">
        <v>390</v>
      </c>
      <c r="E637" s="645">
        <v>530</v>
      </c>
      <c r="F637" s="645" t="s">
        <v>1061</v>
      </c>
      <c r="G637" s="645" t="s">
        <v>554</v>
      </c>
      <c r="H637" s="645">
        <v>147</v>
      </c>
      <c r="I637" s="645">
        <v>223</v>
      </c>
      <c r="J637" s="645">
        <v>0.65900000000000003</v>
      </c>
      <c r="K637" s="645" t="s">
        <v>496</v>
      </c>
      <c r="L637" s="645" t="s">
        <v>518</v>
      </c>
      <c r="M637" s="645" t="s">
        <v>505</v>
      </c>
      <c r="N637" s="646">
        <v>84481</v>
      </c>
      <c r="O637" s="646">
        <v>574</v>
      </c>
    </row>
    <row r="638" spans="1:15" ht="16" customHeight="1" thickBot="1">
      <c r="A638" s="126"/>
      <c r="B638" s="644"/>
      <c r="C638" s="645">
        <v>363</v>
      </c>
      <c r="D638" s="645" t="s">
        <v>390</v>
      </c>
      <c r="E638" s="645">
        <v>799</v>
      </c>
      <c r="F638" s="645" t="s">
        <v>1062</v>
      </c>
      <c r="G638" s="645" t="s">
        <v>564</v>
      </c>
      <c r="H638" s="645">
        <v>252</v>
      </c>
      <c r="I638" s="645">
        <v>362</v>
      </c>
      <c r="J638" s="645">
        <v>0.69599999999999995</v>
      </c>
      <c r="K638" s="645" t="s">
        <v>496</v>
      </c>
      <c r="L638" s="645" t="s">
        <v>518</v>
      </c>
      <c r="M638" s="645" t="s">
        <v>498</v>
      </c>
      <c r="N638" s="646">
        <v>123678</v>
      </c>
      <c r="O638" s="646">
        <v>490</v>
      </c>
    </row>
    <row r="639" spans="1:15" ht="16" customHeight="1" thickBot="1">
      <c r="A639" s="126"/>
      <c r="B639" s="644"/>
      <c r="C639" s="648" t="s">
        <v>1523</v>
      </c>
      <c r="D639" s="648" t="s">
        <v>1523</v>
      </c>
      <c r="E639" s="648" t="s">
        <v>1523</v>
      </c>
      <c r="F639" s="648" t="s">
        <v>1523</v>
      </c>
      <c r="G639" s="648" t="s">
        <v>1523</v>
      </c>
      <c r="H639" s="648" t="s">
        <v>1523</v>
      </c>
      <c r="I639" s="648" t="s">
        <v>1523</v>
      </c>
      <c r="J639" s="648" t="s">
        <v>1523</v>
      </c>
      <c r="K639" s="648" t="s">
        <v>1523</v>
      </c>
      <c r="L639" s="648" t="s">
        <v>1523</v>
      </c>
      <c r="M639" s="648" t="s">
        <v>1523</v>
      </c>
      <c r="N639" s="648" t="s">
        <v>1523</v>
      </c>
      <c r="O639" s="648" t="s">
        <v>1523</v>
      </c>
    </row>
    <row r="640" spans="1:15" ht="16" customHeight="1" thickBot="1">
      <c r="A640" s="126"/>
      <c r="B640" s="644"/>
      <c r="C640" s="645">
        <v>365</v>
      </c>
      <c r="D640" s="645" t="s">
        <v>1063</v>
      </c>
      <c r="E640" s="645">
        <v>158</v>
      </c>
      <c r="F640" s="645" t="s">
        <v>1064</v>
      </c>
      <c r="G640" s="645" t="s">
        <v>715</v>
      </c>
      <c r="H640" s="645">
        <v>95</v>
      </c>
      <c r="I640" s="645">
        <v>132</v>
      </c>
      <c r="J640" s="645">
        <v>0.72</v>
      </c>
      <c r="K640" s="645" t="s">
        <v>496</v>
      </c>
      <c r="L640" s="645" t="s">
        <v>518</v>
      </c>
      <c r="M640" s="645" t="s">
        <v>521</v>
      </c>
      <c r="N640" s="646">
        <v>41801</v>
      </c>
      <c r="O640" s="646">
        <v>440</v>
      </c>
    </row>
    <row r="641" spans="1:15" ht="16" customHeight="1" thickBot="1">
      <c r="A641" s="126"/>
      <c r="B641" s="644"/>
      <c r="C641" s="645">
        <v>365</v>
      </c>
      <c r="D641" s="645" t="s">
        <v>1063</v>
      </c>
      <c r="E641" s="645">
        <v>801</v>
      </c>
      <c r="F641" s="645" t="s">
        <v>1065</v>
      </c>
      <c r="G641" s="645" t="s">
        <v>1066</v>
      </c>
      <c r="H641" s="645">
        <v>46</v>
      </c>
      <c r="I641" s="645">
        <v>74</v>
      </c>
      <c r="J641" s="645">
        <v>0.622</v>
      </c>
      <c r="K641" s="645" t="s">
        <v>496</v>
      </c>
      <c r="L641" s="645" t="s">
        <v>518</v>
      </c>
      <c r="M641" s="645" t="s">
        <v>521</v>
      </c>
      <c r="N641" s="646">
        <v>57176</v>
      </c>
      <c r="O641" s="646">
        <v>1242</v>
      </c>
    </row>
    <row r="642" spans="1:15" ht="16" customHeight="1" thickBot="1">
      <c r="A642" s="126"/>
      <c r="B642" s="644"/>
      <c r="C642" s="645">
        <v>365</v>
      </c>
      <c r="D642" s="645" t="s">
        <v>1063</v>
      </c>
      <c r="E642" s="645">
        <v>802</v>
      </c>
      <c r="F642" s="645" t="s">
        <v>1067</v>
      </c>
      <c r="G642" s="645" t="s">
        <v>1066</v>
      </c>
      <c r="H642" s="645">
        <v>78</v>
      </c>
      <c r="I642" s="645">
        <v>108</v>
      </c>
      <c r="J642" s="645">
        <v>0.72199999999999998</v>
      </c>
      <c r="K642" s="645" t="s">
        <v>496</v>
      </c>
      <c r="L642" s="645" t="s">
        <v>518</v>
      </c>
      <c r="M642" s="645" t="s">
        <v>505</v>
      </c>
      <c r="N642" s="646">
        <v>57204</v>
      </c>
      <c r="O642" s="646">
        <v>733</v>
      </c>
    </row>
    <row r="643" spans="1:15" ht="16" customHeight="1" thickBot="1">
      <c r="A643" s="126"/>
      <c r="B643" s="644"/>
      <c r="C643" s="648" t="s">
        <v>1523</v>
      </c>
      <c r="D643" s="648" t="s">
        <v>1523</v>
      </c>
      <c r="E643" s="648" t="s">
        <v>1523</v>
      </c>
      <c r="F643" s="648" t="s">
        <v>1523</v>
      </c>
      <c r="G643" s="648" t="s">
        <v>1523</v>
      </c>
      <c r="H643" s="648" t="s">
        <v>1523</v>
      </c>
      <c r="I643" s="648" t="s">
        <v>1523</v>
      </c>
      <c r="J643" s="648" t="s">
        <v>1523</v>
      </c>
      <c r="K643" s="648" t="s">
        <v>1523</v>
      </c>
      <c r="L643" s="648" t="s">
        <v>1523</v>
      </c>
      <c r="M643" s="648" t="s">
        <v>1523</v>
      </c>
      <c r="N643" s="648" t="s">
        <v>1523</v>
      </c>
      <c r="O643" s="648" t="s">
        <v>1523</v>
      </c>
    </row>
    <row r="644" spans="1:15" ht="16" customHeight="1" thickBot="1">
      <c r="A644" s="126"/>
      <c r="B644" s="644"/>
      <c r="C644" s="645">
        <v>370</v>
      </c>
      <c r="D644" s="645" t="s">
        <v>393</v>
      </c>
      <c r="E644" s="645">
        <v>160</v>
      </c>
      <c r="F644" s="645" t="s">
        <v>1068</v>
      </c>
      <c r="G644" s="645" t="s">
        <v>557</v>
      </c>
      <c r="H644" s="645">
        <v>190</v>
      </c>
      <c r="I644" s="645">
        <v>345</v>
      </c>
      <c r="J644" s="645">
        <v>0.55100000000000005</v>
      </c>
      <c r="K644" s="645" t="s">
        <v>496</v>
      </c>
      <c r="L644" s="645" t="s">
        <v>518</v>
      </c>
      <c r="M644" s="645" t="s">
        <v>509</v>
      </c>
      <c r="N644" s="646">
        <v>16092</v>
      </c>
      <c r="O644" s="646">
        <v>84</v>
      </c>
    </row>
    <row r="645" spans="1:15" ht="16" customHeight="1" thickBot="1">
      <c r="A645" s="126"/>
      <c r="B645" s="644"/>
      <c r="C645" s="645">
        <v>370</v>
      </c>
      <c r="D645" s="645" t="s">
        <v>393</v>
      </c>
      <c r="E645" s="645">
        <v>260</v>
      </c>
      <c r="F645" s="645" t="s">
        <v>1069</v>
      </c>
      <c r="G645" s="645" t="s">
        <v>691</v>
      </c>
      <c r="H645" s="645">
        <v>254</v>
      </c>
      <c r="I645" s="645">
        <v>380</v>
      </c>
      <c r="J645" s="645">
        <v>0.66800000000000004</v>
      </c>
      <c r="K645" s="645" t="s">
        <v>496</v>
      </c>
      <c r="L645" s="645" t="s">
        <v>518</v>
      </c>
      <c r="M645" s="645" t="s">
        <v>498</v>
      </c>
      <c r="N645" s="646">
        <v>78075</v>
      </c>
      <c r="O645" s="646">
        <v>307</v>
      </c>
    </row>
    <row r="646" spans="1:15" ht="16" customHeight="1" thickBot="1">
      <c r="A646" s="126"/>
      <c r="B646" s="644"/>
      <c r="C646" s="645">
        <v>370</v>
      </c>
      <c r="D646" s="645" t="s">
        <v>393</v>
      </c>
      <c r="E646" s="645">
        <v>803</v>
      </c>
      <c r="F646" s="645" t="s">
        <v>1070</v>
      </c>
      <c r="G646" s="645" t="s">
        <v>693</v>
      </c>
      <c r="H646" s="645">
        <v>289</v>
      </c>
      <c r="I646" s="645">
        <v>394</v>
      </c>
      <c r="J646" s="645">
        <v>0.73399999999999999</v>
      </c>
      <c r="K646" s="645" t="s">
        <v>496</v>
      </c>
      <c r="L646" s="645" t="s">
        <v>518</v>
      </c>
      <c r="M646" s="645" t="s">
        <v>498</v>
      </c>
      <c r="N646" s="646">
        <v>108508</v>
      </c>
      <c r="O646" s="646">
        <v>375</v>
      </c>
    </row>
    <row r="647" spans="1:15" ht="16" customHeight="1" thickBot="1">
      <c r="A647" s="126"/>
      <c r="B647" s="644"/>
      <c r="C647" s="648" t="s">
        <v>1523</v>
      </c>
      <c r="D647" s="648" t="s">
        <v>1523</v>
      </c>
      <c r="E647" s="648" t="s">
        <v>1523</v>
      </c>
      <c r="F647" s="648" t="s">
        <v>1523</v>
      </c>
      <c r="G647" s="648" t="s">
        <v>1523</v>
      </c>
      <c r="H647" s="648" t="s">
        <v>1523</v>
      </c>
      <c r="I647" s="648" t="s">
        <v>1523</v>
      </c>
      <c r="J647" s="648" t="s">
        <v>1523</v>
      </c>
      <c r="K647" s="648" t="s">
        <v>1523</v>
      </c>
      <c r="L647" s="648" t="s">
        <v>1523</v>
      </c>
      <c r="M647" s="648" t="s">
        <v>1523</v>
      </c>
      <c r="N647" s="648" t="s">
        <v>1523</v>
      </c>
      <c r="O647" s="648" t="s">
        <v>1523</v>
      </c>
    </row>
    <row r="648" spans="1:15" ht="16" customHeight="1" thickBot="1">
      <c r="A648" s="126"/>
      <c r="B648" s="644"/>
      <c r="C648" s="645">
        <v>371</v>
      </c>
      <c r="D648" s="645" t="s">
        <v>394</v>
      </c>
      <c r="E648" s="645">
        <v>161</v>
      </c>
      <c r="F648" s="645" t="s">
        <v>1071</v>
      </c>
      <c r="G648" s="645" t="s">
        <v>554</v>
      </c>
      <c r="H648" s="645">
        <v>242</v>
      </c>
      <c r="I648" s="645">
        <v>352</v>
      </c>
      <c r="J648" s="645">
        <v>0.68799999999999994</v>
      </c>
      <c r="K648" s="645" t="s">
        <v>496</v>
      </c>
      <c r="L648" s="645" t="s">
        <v>662</v>
      </c>
      <c r="M648" s="645" t="s">
        <v>521</v>
      </c>
      <c r="N648" s="646">
        <v>106271</v>
      </c>
      <c r="O648" s="646">
        <v>439</v>
      </c>
    </row>
    <row r="649" spans="1:15" ht="16" customHeight="1" thickBot="1">
      <c r="A649" s="126"/>
      <c r="B649" s="644"/>
      <c r="C649" s="645">
        <v>371</v>
      </c>
      <c r="D649" s="645" t="s">
        <v>394</v>
      </c>
      <c r="E649" s="645">
        <v>162</v>
      </c>
      <c r="F649" s="645" t="s">
        <v>1072</v>
      </c>
      <c r="G649" s="645" t="s">
        <v>557</v>
      </c>
      <c r="H649" s="645">
        <v>277</v>
      </c>
      <c r="I649" s="645">
        <v>439</v>
      </c>
      <c r="J649" s="645">
        <v>0.63100000000000001</v>
      </c>
      <c r="K649" s="645" t="s">
        <v>496</v>
      </c>
      <c r="L649" s="645" t="s">
        <v>624</v>
      </c>
      <c r="M649" s="645" t="s">
        <v>505</v>
      </c>
      <c r="N649" s="646">
        <v>44935</v>
      </c>
      <c r="O649" s="646">
        <v>162</v>
      </c>
    </row>
    <row r="650" spans="1:15" ht="16" customHeight="1" thickBot="1">
      <c r="A650" s="126"/>
      <c r="B650" s="644"/>
      <c r="C650" s="645">
        <v>371</v>
      </c>
      <c r="D650" s="645" t="s">
        <v>394</v>
      </c>
      <c r="E650" s="645">
        <v>508</v>
      </c>
      <c r="F650" s="645" t="s">
        <v>1073</v>
      </c>
      <c r="G650" s="645" t="s">
        <v>612</v>
      </c>
      <c r="H650" s="645">
        <v>393</v>
      </c>
      <c r="I650" s="645">
        <v>498</v>
      </c>
      <c r="J650" s="645">
        <v>0.78900000000000003</v>
      </c>
      <c r="K650" s="645" t="s">
        <v>496</v>
      </c>
      <c r="L650" s="645" t="s">
        <v>662</v>
      </c>
      <c r="M650" s="645" t="s">
        <v>498</v>
      </c>
      <c r="N650" s="646">
        <v>252900</v>
      </c>
      <c r="O650" s="646">
        <v>643</v>
      </c>
    </row>
    <row r="651" spans="1:15" ht="16" customHeight="1" thickBot="1">
      <c r="A651" s="126"/>
      <c r="B651" s="644"/>
      <c r="C651" s="645">
        <v>371</v>
      </c>
      <c r="D651" s="645" t="s">
        <v>394</v>
      </c>
      <c r="E651" s="645">
        <v>805</v>
      </c>
      <c r="F651" s="645" t="s">
        <v>741</v>
      </c>
      <c r="G651" s="645" t="s">
        <v>949</v>
      </c>
      <c r="H651" s="645">
        <v>183</v>
      </c>
      <c r="I651" s="645">
        <v>239</v>
      </c>
      <c r="J651" s="645">
        <v>0.76600000000000001</v>
      </c>
      <c r="K651" s="645" t="s">
        <v>496</v>
      </c>
      <c r="L651" s="645" t="s">
        <v>662</v>
      </c>
      <c r="M651" s="645" t="s">
        <v>498</v>
      </c>
      <c r="N651" s="646">
        <v>116675</v>
      </c>
      <c r="O651" s="646">
        <v>637</v>
      </c>
    </row>
    <row r="652" spans="1:15" ht="16" customHeight="1" thickBot="1">
      <c r="A652" s="126"/>
      <c r="B652" s="644"/>
      <c r="C652" s="648" t="s">
        <v>1523</v>
      </c>
      <c r="D652" s="648" t="s">
        <v>1523</v>
      </c>
      <c r="E652" s="648" t="s">
        <v>1523</v>
      </c>
      <c r="F652" s="648" t="s">
        <v>1523</v>
      </c>
      <c r="G652" s="648" t="s">
        <v>1523</v>
      </c>
      <c r="H652" s="648" t="s">
        <v>1523</v>
      </c>
      <c r="I652" s="648" t="s">
        <v>1523</v>
      </c>
      <c r="J652" s="648" t="s">
        <v>1523</v>
      </c>
      <c r="K652" s="648" t="s">
        <v>1523</v>
      </c>
      <c r="L652" s="648" t="s">
        <v>1523</v>
      </c>
      <c r="M652" s="648" t="s">
        <v>1523</v>
      </c>
      <c r="N652" s="648" t="s">
        <v>1523</v>
      </c>
      <c r="O652" s="648" t="s">
        <v>1523</v>
      </c>
    </row>
    <row r="653" spans="1:15" ht="16" customHeight="1" thickBot="1">
      <c r="A653" s="126"/>
      <c r="B653" s="644"/>
      <c r="C653" s="645">
        <v>372</v>
      </c>
      <c r="D653" s="645" t="s">
        <v>395</v>
      </c>
      <c r="E653" s="645">
        <v>806</v>
      </c>
      <c r="F653" s="645" t="s">
        <v>1075</v>
      </c>
      <c r="G653" s="645" t="s">
        <v>564</v>
      </c>
      <c r="H653" s="645">
        <v>266</v>
      </c>
      <c r="I653" s="645">
        <v>480</v>
      </c>
      <c r="J653" s="645">
        <v>0.55400000000000005</v>
      </c>
      <c r="K653" s="645" t="s">
        <v>496</v>
      </c>
      <c r="L653" s="645" t="s">
        <v>518</v>
      </c>
      <c r="M653" s="645" t="s">
        <v>509</v>
      </c>
      <c r="N653" s="646">
        <v>106253</v>
      </c>
      <c r="O653" s="646">
        <v>399</v>
      </c>
    </row>
    <row r="654" spans="1:15" ht="16" customHeight="1" thickBot="1">
      <c r="A654" s="126"/>
      <c r="B654" s="644"/>
      <c r="C654" s="645">
        <v>372</v>
      </c>
      <c r="D654" s="645" t="s">
        <v>395</v>
      </c>
      <c r="E654" s="645">
        <v>986</v>
      </c>
      <c r="F654" s="645" t="s">
        <v>1076</v>
      </c>
      <c r="G654" s="645" t="s">
        <v>554</v>
      </c>
      <c r="H654" s="645">
        <v>96</v>
      </c>
      <c r="I654" s="645">
        <v>220</v>
      </c>
      <c r="J654" s="645">
        <v>0.436</v>
      </c>
      <c r="K654" s="645" t="s">
        <v>496</v>
      </c>
      <c r="L654" s="645" t="s">
        <v>624</v>
      </c>
      <c r="M654" s="645" t="s">
        <v>498</v>
      </c>
      <c r="N654" s="646">
        <v>17463</v>
      </c>
      <c r="O654" s="646">
        <v>181</v>
      </c>
    </row>
    <row r="655" spans="1:15" ht="16" customHeight="1" thickBot="1">
      <c r="A655" s="126"/>
      <c r="B655" s="644"/>
      <c r="C655" s="648" t="s">
        <v>1523</v>
      </c>
      <c r="D655" s="648" t="s">
        <v>1523</v>
      </c>
      <c r="E655" s="648" t="s">
        <v>1523</v>
      </c>
      <c r="F655" s="648" t="s">
        <v>1523</v>
      </c>
      <c r="G655" s="648" t="s">
        <v>1523</v>
      </c>
      <c r="H655" s="648" t="s">
        <v>1523</v>
      </c>
      <c r="I655" s="648" t="s">
        <v>1523</v>
      </c>
      <c r="J655" s="648" t="s">
        <v>1523</v>
      </c>
      <c r="K655" s="648" t="s">
        <v>1523</v>
      </c>
      <c r="L655" s="648" t="s">
        <v>1523</v>
      </c>
      <c r="M655" s="648" t="s">
        <v>1523</v>
      </c>
      <c r="N655" s="648" t="s">
        <v>1523</v>
      </c>
      <c r="O655" s="648" t="s">
        <v>1523</v>
      </c>
    </row>
    <row r="656" spans="1:15" ht="16" customHeight="1" thickBot="1">
      <c r="A656" s="126"/>
      <c r="B656" s="644"/>
      <c r="C656" s="645">
        <v>373</v>
      </c>
      <c r="D656" s="645" t="s">
        <v>396</v>
      </c>
      <c r="E656" s="645">
        <v>165</v>
      </c>
      <c r="F656" s="645" t="s">
        <v>1077</v>
      </c>
      <c r="G656" s="645" t="s">
        <v>691</v>
      </c>
      <c r="H656" s="645">
        <v>272</v>
      </c>
      <c r="I656" s="645">
        <v>562</v>
      </c>
      <c r="J656" s="645">
        <v>0.48399999999999999</v>
      </c>
      <c r="K656" s="645" t="s">
        <v>496</v>
      </c>
      <c r="L656" s="645" t="s">
        <v>518</v>
      </c>
      <c r="M656" s="645" t="s">
        <v>498</v>
      </c>
      <c r="N656" s="646">
        <v>88184</v>
      </c>
      <c r="O656" s="646">
        <v>324</v>
      </c>
    </row>
    <row r="657" spans="1:15" ht="16" customHeight="1" thickBot="1">
      <c r="A657" s="126"/>
      <c r="B657" s="644"/>
      <c r="C657" s="645">
        <v>373</v>
      </c>
      <c r="D657" s="645" t="s">
        <v>396</v>
      </c>
      <c r="E657" s="645">
        <v>166</v>
      </c>
      <c r="F657" s="645" t="s">
        <v>1078</v>
      </c>
      <c r="G657" s="645" t="s">
        <v>557</v>
      </c>
      <c r="H657" s="645">
        <v>221</v>
      </c>
      <c r="I657" s="645">
        <v>453</v>
      </c>
      <c r="J657" s="645">
        <v>0.48799999999999999</v>
      </c>
      <c r="K657" s="645" t="s">
        <v>496</v>
      </c>
      <c r="L657" s="645" t="s">
        <v>497</v>
      </c>
      <c r="M657" s="645" t="s">
        <v>505</v>
      </c>
      <c r="N657" s="646">
        <v>0</v>
      </c>
      <c r="O657" s="646">
        <v>0</v>
      </c>
    </row>
    <row r="658" spans="1:15" ht="16" customHeight="1" thickBot="1">
      <c r="A658" s="126"/>
      <c r="B658" s="644"/>
      <c r="C658" s="645">
        <v>373</v>
      </c>
      <c r="D658" s="645" t="s">
        <v>396</v>
      </c>
      <c r="E658" s="645">
        <v>807</v>
      </c>
      <c r="F658" s="645" t="s">
        <v>1079</v>
      </c>
      <c r="G658" s="645" t="s">
        <v>564</v>
      </c>
      <c r="H658" s="645">
        <v>384</v>
      </c>
      <c r="I658" s="645">
        <v>704</v>
      </c>
      <c r="J658" s="645">
        <v>0.54500000000000004</v>
      </c>
      <c r="K658" s="645" t="s">
        <v>496</v>
      </c>
      <c r="L658" s="645" t="s">
        <v>518</v>
      </c>
      <c r="M658" s="645" t="s">
        <v>498</v>
      </c>
      <c r="N658" s="646">
        <v>160755</v>
      </c>
      <c r="O658" s="646">
        <v>418</v>
      </c>
    </row>
    <row r="659" spans="1:15" ht="16" customHeight="1" thickBot="1">
      <c r="A659" s="126"/>
      <c r="B659" s="644"/>
      <c r="C659" s="648" t="s">
        <v>1523</v>
      </c>
      <c r="D659" s="648" t="s">
        <v>1523</v>
      </c>
      <c r="E659" s="648" t="s">
        <v>1523</v>
      </c>
      <c r="F659" s="648" t="s">
        <v>1523</v>
      </c>
      <c r="G659" s="648" t="s">
        <v>1523</v>
      </c>
      <c r="H659" s="648" t="s">
        <v>1523</v>
      </c>
      <c r="I659" s="648" t="s">
        <v>1523</v>
      </c>
      <c r="J659" s="648" t="s">
        <v>1523</v>
      </c>
      <c r="K659" s="648" t="s">
        <v>1523</v>
      </c>
      <c r="L659" s="648" t="s">
        <v>1523</v>
      </c>
      <c r="M659" s="648" t="s">
        <v>1523</v>
      </c>
      <c r="N659" s="648" t="s">
        <v>1523</v>
      </c>
      <c r="O659" s="648" t="s">
        <v>1523</v>
      </c>
    </row>
    <row r="660" spans="1:15" ht="16" customHeight="1" thickBot="1">
      <c r="A660" s="126"/>
      <c r="B660" s="644"/>
      <c r="C660" s="645">
        <v>381</v>
      </c>
      <c r="D660" s="645" t="s">
        <v>397</v>
      </c>
      <c r="E660" s="645">
        <v>167</v>
      </c>
      <c r="F660" s="645" t="s">
        <v>1080</v>
      </c>
      <c r="G660" s="645" t="s">
        <v>554</v>
      </c>
      <c r="H660" s="645">
        <v>230</v>
      </c>
      <c r="I660" s="645">
        <v>314</v>
      </c>
      <c r="J660" s="645">
        <v>0.73199999999999998</v>
      </c>
      <c r="K660" s="645" t="s">
        <v>496</v>
      </c>
      <c r="L660" s="645" t="s">
        <v>518</v>
      </c>
      <c r="M660" s="645" t="s">
        <v>498</v>
      </c>
      <c r="N660" s="646">
        <v>95244</v>
      </c>
      <c r="O660" s="646">
        <v>414</v>
      </c>
    </row>
    <row r="661" spans="1:15" ht="16" customHeight="1" thickBot="1">
      <c r="A661" s="126"/>
      <c r="B661" s="644"/>
      <c r="C661" s="645">
        <v>381</v>
      </c>
      <c r="D661" s="645" t="s">
        <v>397</v>
      </c>
      <c r="E661" s="645">
        <v>168</v>
      </c>
      <c r="F661" s="645" t="s">
        <v>1081</v>
      </c>
      <c r="G661" s="645" t="s">
        <v>557</v>
      </c>
      <c r="H661" s="645">
        <v>215</v>
      </c>
      <c r="I661" s="645">
        <v>375</v>
      </c>
      <c r="J661" s="645">
        <v>0.57299999999999995</v>
      </c>
      <c r="K661" s="645" t="s">
        <v>496</v>
      </c>
      <c r="L661" s="645" t="s">
        <v>497</v>
      </c>
      <c r="M661" s="645" t="s">
        <v>505</v>
      </c>
      <c r="N661" s="646">
        <v>0</v>
      </c>
      <c r="O661" s="646">
        <v>0</v>
      </c>
    </row>
    <row r="662" spans="1:15" ht="16" customHeight="1" thickBot="1">
      <c r="A662" s="126"/>
      <c r="B662" s="644"/>
      <c r="C662" s="645">
        <v>381</v>
      </c>
      <c r="D662" s="645" t="s">
        <v>397</v>
      </c>
      <c r="E662" s="645">
        <v>808</v>
      </c>
      <c r="F662" s="645" t="s">
        <v>522</v>
      </c>
      <c r="G662" s="645" t="s">
        <v>612</v>
      </c>
      <c r="H662" s="645">
        <v>371</v>
      </c>
      <c r="I662" s="645">
        <v>518</v>
      </c>
      <c r="J662" s="645">
        <v>0.71599999999999997</v>
      </c>
      <c r="K662" s="645" t="s">
        <v>496</v>
      </c>
      <c r="L662" s="645" t="s">
        <v>518</v>
      </c>
      <c r="M662" s="645" t="s">
        <v>505</v>
      </c>
      <c r="N662" s="646">
        <v>108201</v>
      </c>
      <c r="O662" s="646">
        <v>291</v>
      </c>
    </row>
    <row r="663" spans="1:15" ht="16" customHeight="1" thickBot="1">
      <c r="A663" s="126"/>
      <c r="B663" s="644"/>
      <c r="C663" s="645">
        <v>381</v>
      </c>
      <c r="D663" s="645" t="s">
        <v>397</v>
      </c>
      <c r="E663" s="645">
        <v>849</v>
      </c>
      <c r="F663" s="645" t="s">
        <v>1082</v>
      </c>
      <c r="G663" s="645" t="s">
        <v>949</v>
      </c>
      <c r="H663" s="645">
        <v>182</v>
      </c>
      <c r="I663" s="645">
        <v>241</v>
      </c>
      <c r="J663" s="645">
        <v>0.755</v>
      </c>
      <c r="K663" s="645" t="s">
        <v>496</v>
      </c>
      <c r="L663" s="645" t="s">
        <v>518</v>
      </c>
      <c r="M663" s="645" t="s">
        <v>498</v>
      </c>
      <c r="N663" s="646">
        <v>76555</v>
      </c>
      <c r="O663" s="646">
        <v>420</v>
      </c>
    </row>
    <row r="664" spans="1:15" ht="16" customHeight="1" thickBot="1">
      <c r="A664" s="126"/>
      <c r="B664" s="644"/>
      <c r="C664" s="648" t="s">
        <v>1523</v>
      </c>
      <c r="D664" s="648" t="s">
        <v>1523</v>
      </c>
      <c r="E664" s="648" t="s">
        <v>1523</v>
      </c>
      <c r="F664" s="648" t="s">
        <v>1523</v>
      </c>
      <c r="G664" s="648" t="s">
        <v>1523</v>
      </c>
      <c r="H664" s="648" t="s">
        <v>1523</v>
      </c>
      <c r="I664" s="648" t="s">
        <v>1523</v>
      </c>
      <c r="J664" s="648" t="s">
        <v>1523</v>
      </c>
      <c r="K664" s="648" t="s">
        <v>1523</v>
      </c>
      <c r="L664" s="648" t="s">
        <v>1523</v>
      </c>
      <c r="M664" s="648" t="s">
        <v>1523</v>
      </c>
      <c r="N664" s="648" t="s">
        <v>1523</v>
      </c>
      <c r="O664" s="648" t="s">
        <v>1523</v>
      </c>
    </row>
    <row r="665" spans="1:15" ht="16" customHeight="1" thickBot="1">
      <c r="A665" s="126"/>
      <c r="B665" s="644"/>
      <c r="C665" s="645">
        <v>382</v>
      </c>
      <c r="D665" s="645" t="s">
        <v>398</v>
      </c>
      <c r="E665" s="645">
        <v>169</v>
      </c>
      <c r="F665" s="645" t="s">
        <v>1083</v>
      </c>
      <c r="G665" s="645" t="s">
        <v>623</v>
      </c>
      <c r="H665" s="647" t="s">
        <v>1523</v>
      </c>
      <c r="I665" s="647" t="s">
        <v>1523</v>
      </c>
      <c r="J665" s="647" t="s">
        <v>1523</v>
      </c>
      <c r="K665" s="645" t="s">
        <v>496</v>
      </c>
      <c r="L665" s="645" t="s">
        <v>518</v>
      </c>
      <c r="M665" s="645" t="s">
        <v>509</v>
      </c>
      <c r="N665" s="646">
        <v>13274</v>
      </c>
      <c r="O665" s="646">
        <v>150</v>
      </c>
    </row>
    <row r="666" spans="1:15" ht="16" customHeight="1" thickBot="1">
      <c r="A666" s="126"/>
      <c r="B666" s="644"/>
      <c r="C666" s="648" t="s">
        <v>1523</v>
      </c>
      <c r="D666" s="648" t="s">
        <v>1523</v>
      </c>
      <c r="E666" s="648" t="s">
        <v>1523</v>
      </c>
      <c r="F666" s="648" t="s">
        <v>1523</v>
      </c>
      <c r="G666" s="648" t="s">
        <v>1523</v>
      </c>
      <c r="H666" s="648" t="s">
        <v>1523</v>
      </c>
      <c r="I666" s="648" t="s">
        <v>1523</v>
      </c>
      <c r="J666" s="648" t="s">
        <v>1523</v>
      </c>
      <c r="K666" s="648" t="s">
        <v>1523</v>
      </c>
      <c r="L666" s="648" t="s">
        <v>1523</v>
      </c>
      <c r="M666" s="648" t="s">
        <v>1523</v>
      </c>
      <c r="N666" s="648" t="s">
        <v>1523</v>
      </c>
      <c r="O666" s="648" t="s">
        <v>1523</v>
      </c>
    </row>
    <row r="667" spans="1:15" ht="16" customHeight="1" thickBot="1">
      <c r="A667" s="126"/>
      <c r="B667" s="644"/>
      <c r="C667" s="645">
        <v>391</v>
      </c>
      <c r="D667" s="645" t="s">
        <v>400</v>
      </c>
      <c r="E667" s="645">
        <v>170</v>
      </c>
      <c r="F667" s="645" t="s">
        <v>1084</v>
      </c>
      <c r="G667" s="645" t="s">
        <v>554</v>
      </c>
      <c r="H667" s="645">
        <v>138</v>
      </c>
      <c r="I667" s="645">
        <v>250</v>
      </c>
      <c r="J667" s="645">
        <v>0.55200000000000005</v>
      </c>
      <c r="K667" s="645" t="s">
        <v>496</v>
      </c>
      <c r="L667" s="645" t="s">
        <v>497</v>
      </c>
      <c r="M667" s="645" t="s">
        <v>505</v>
      </c>
      <c r="N667" s="646">
        <v>0</v>
      </c>
      <c r="O667" s="646">
        <v>0</v>
      </c>
    </row>
    <row r="668" spans="1:15" ht="16" customHeight="1" thickBot="1">
      <c r="A668" s="126"/>
      <c r="B668" s="644"/>
      <c r="C668" s="645">
        <v>391</v>
      </c>
      <c r="D668" s="645" t="s">
        <v>400</v>
      </c>
      <c r="E668" s="645">
        <v>171</v>
      </c>
      <c r="F668" s="645" t="s">
        <v>1085</v>
      </c>
      <c r="G668" s="645" t="s">
        <v>557</v>
      </c>
      <c r="H668" s="645">
        <v>141</v>
      </c>
      <c r="I668" s="645">
        <v>358</v>
      </c>
      <c r="J668" s="645">
        <v>0.39400000000000002</v>
      </c>
      <c r="K668" s="645" t="s">
        <v>496</v>
      </c>
      <c r="L668" s="645" t="s">
        <v>497</v>
      </c>
      <c r="M668" s="645" t="s">
        <v>498</v>
      </c>
      <c r="N668" s="646">
        <v>0</v>
      </c>
      <c r="O668" s="646">
        <v>0</v>
      </c>
    </row>
    <row r="669" spans="1:15" ht="16" customHeight="1" thickBot="1">
      <c r="A669" s="126"/>
      <c r="B669" s="644"/>
      <c r="C669" s="645">
        <v>391</v>
      </c>
      <c r="D669" s="645" t="s">
        <v>400</v>
      </c>
      <c r="E669" s="645">
        <v>811</v>
      </c>
      <c r="F669" s="645" t="s">
        <v>1086</v>
      </c>
      <c r="G669" s="645" t="s">
        <v>564</v>
      </c>
      <c r="H669" s="645">
        <v>254</v>
      </c>
      <c r="I669" s="645">
        <v>470</v>
      </c>
      <c r="J669" s="645">
        <v>0.54</v>
      </c>
      <c r="K669" s="645" t="s">
        <v>496</v>
      </c>
      <c r="L669" s="645" t="s">
        <v>518</v>
      </c>
      <c r="M669" s="645" t="s">
        <v>498</v>
      </c>
      <c r="N669" s="646">
        <v>262698</v>
      </c>
      <c r="O669" s="646">
        <v>1034</v>
      </c>
    </row>
    <row r="670" spans="1:15" ht="16" customHeight="1" thickBot="1">
      <c r="A670" s="126"/>
      <c r="B670" s="644"/>
      <c r="C670" s="645">
        <v>391</v>
      </c>
      <c r="D670" s="645" t="s">
        <v>400</v>
      </c>
      <c r="E670" s="645">
        <v>812</v>
      </c>
      <c r="F670" s="645" t="s">
        <v>1087</v>
      </c>
      <c r="G670" s="645" t="s">
        <v>564</v>
      </c>
      <c r="H670" s="645">
        <v>20</v>
      </c>
      <c r="I670" s="645">
        <v>67</v>
      </c>
      <c r="J670" s="645">
        <v>0.29899999999999999</v>
      </c>
      <c r="K670" s="645" t="s">
        <v>501</v>
      </c>
      <c r="L670" s="645" t="s">
        <v>497</v>
      </c>
      <c r="M670" s="645" t="s">
        <v>498</v>
      </c>
      <c r="N670" s="646">
        <v>0</v>
      </c>
      <c r="O670" s="646">
        <v>0</v>
      </c>
    </row>
    <row r="671" spans="1:15" ht="16" customHeight="1" thickBot="1">
      <c r="A671" s="126"/>
      <c r="B671" s="644"/>
      <c r="C671" s="648" t="s">
        <v>1523</v>
      </c>
      <c r="D671" s="648" t="s">
        <v>1523</v>
      </c>
      <c r="E671" s="648" t="s">
        <v>1523</v>
      </c>
      <c r="F671" s="648" t="s">
        <v>1523</v>
      </c>
      <c r="G671" s="648" t="s">
        <v>1523</v>
      </c>
      <c r="H671" s="648" t="s">
        <v>1523</v>
      </c>
      <c r="I671" s="648" t="s">
        <v>1523</v>
      </c>
      <c r="J671" s="648" t="s">
        <v>1523</v>
      </c>
      <c r="K671" s="648" t="s">
        <v>1523</v>
      </c>
      <c r="L671" s="648" t="s">
        <v>1523</v>
      </c>
      <c r="M671" s="648" t="s">
        <v>1523</v>
      </c>
      <c r="N671" s="648" t="s">
        <v>1523</v>
      </c>
      <c r="O671" s="648" t="s">
        <v>1523</v>
      </c>
    </row>
    <row r="672" spans="1:15" ht="16" customHeight="1" thickBot="1">
      <c r="A672" s="126"/>
      <c r="B672" s="644"/>
      <c r="C672" s="645">
        <v>392</v>
      </c>
      <c r="D672" s="645" t="s">
        <v>401</v>
      </c>
      <c r="E672" s="645">
        <v>172</v>
      </c>
      <c r="F672" s="645" t="s">
        <v>1088</v>
      </c>
      <c r="G672" s="645" t="s">
        <v>546</v>
      </c>
      <c r="H672" s="645">
        <v>23</v>
      </c>
      <c r="I672" s="645">
        <v>50</v>
      </c>
      <c r="J672" s="645">
        <v>0.46</v>
      </c>
      <c r="K672" s="645" t="s">
        <v>496</v>
      </c>
      <c r="L672" s="645" t="s">
        <v>624</v>
      </c>
      <c r="M672" s="645" t="s">
        <v>498</v>
      </c>
      <c r="N672" s="646">
        <v>14918</v>
      </c>
      <c r="O672" s="646">
        <v>648</v>
      </c>
    </row>
    <row r="673" spans="1:15" ht="16" customHeight="1" thickBot="1">
      <c r="A673" s="126"/>
      <c r="B673" s="644"/>
      <c r="C673" s="645">
        <v>392</v>
      </c>
      <c r="D673" s="645" t="s">
        <v>401</v>
      </c>
      <c r="E673" s="645">
        <v>815</v>
      </c>
      <c r="F673" s="645" t="s">
        <v>1089</v>
      </c>
      <c r="G673" s="645" t="s">
        <v>512</v>
      </c>
      <c r="H673" s="645">
        <v>31</v>
      </c>
      <c r="I673" s="645">
        <v>58</v>
      </c>
      <c r="J673" s="645">
        <v>0.53400000000000003</v>
      </c>
      <c r="K673" s="645" t="s">
        <v>496</v>
      </c>
      <c r="L673" s="645" t="s">
        <v>624</v>
      </c>
      <c r="M673" s="645" t="s">
        <v>498</v>
      </c>
      <c r="N673" s="646">
        <v>20124</v>
      </c>
      <c r="O673" s="646">
        <v>649</v>
      </c>
    </row>
    <row r="674" spans="1:15" ht="16" customHeight="1" thickBot="1">
      <c r="A674" s="126"/>
      <c r="B674" s="644"/>
      <c r="C674" s="648" t="s">
        <v>1523</v>
      </c>
      <c r="D674" s="648" t="s">
        <v>1523</v>
      </c>
      <c r="E674" s="648" t="s">
        <v>1523</v>
      </c>
      <c r="F674" s="648" t="s">
        <v>1523</v>
      </c>
      <c r="G674" s="648" t="s">
        <v>1523</v>
      </c>
      <c r="H674" s="648" t="s">
        <v>1523</v>
      </c>
      <c r="I674" s="648" t="s">
        <v>1523</v>
      </c>
      <c r="J674" s="648" t="s">
        <v>1523</v>
      </c>
      <c r="K674" s="648" t="s">
        <v>1523</v>
      </c>
      <c r="L674" s="648" t="s">
        <v>1523</v>
      </c>
      <c r="M674" s="648" t="s">
        <v>1523</v>
      </c>
      <c r="N674" s="648" t="s">
        <v>1523</v>
      </c>
      <c r="O674" s="648" t="s">
        <v>1523</v>
      </c>
    </row>
    <row r="675" spans="1:15" ht="16" customHeight="1" thickBot="1">
      <c r="A675" s="126"/>
      <c r="B675" s="644"/>
      <c r="C675" s="645">
        <v>393</v>
      </c>
      <c r="D675" s="645" t="s">
        <v>402</v>
      </c>
      <c r="E675" s="645">
        <v>173</v>
      </c>
      <c r="F675" s="645" t="s">
        <v>1090</v>
      </c>
      <c r="G675" s="645" t="s">
        <v>512</v>
      </c>
      <c r="H675" s="645">
        <v>169</v>
      </c>
      <c r="I675" s="645">
        <v>265</v>
      </c>
      <c r="J675" s="645">
        <v>0.63800000000000001</v>
      </c>
      <c r="K675" s="645" t="s">
        <v>496</v>
      </c>
      <c r="L675" s="645" t="s">
        <v>518</v>
      </c>
      <c r="M675" s="645" t="s">
        <v>505</v>
      </c>
      <c r="N675" s="646">
        <v>100181</v>
      </c>
      <c r="O675" s="646">
        <v>592</v>
      </c>
    </row>
    <row r="676" spans="1:15" ht="16" customHeight="1" thickBot="1">
      <c r="A676" s="126"/>
      <c r="B676" s="644"/>
      <c r="C676" s="645">
        <v>393</v>
      </c>
      <c r="D676" s="645" t="s">
        <v>402</v>
      </c>
      <c r="E676" s="645">
        <v>174</v>
      </c>
      <c r="F676" s="645" t="s">
        <v>1091</v>
      </c>
      <c r="G676" s="645" t="s">
        <v>546</v>
      </c>
      <c r="H676" s="645">
        <v>90</v>
      </c>
      <c r="I676" s="645">
        <v>237</v>
      </c>
      <c r="J676" s="645">
        <v>0.38</v>
      </c>
      <c r="K676" s="645" t="s">
        <v>496</v>
      </c>
      <c r="L676" s="645" t="s">
        <v>497</v>
      </c>
      <c r="M676" s="645" t="s">
        <v>505</v>
      </c>
      <c r="N676" s="646">
        <v>0</v>
      </c>
      <c r="O676" s="646">
        <v>0</v>
      </c>
    </row>
    <row r="677" spans="1:15" ht="16" customHeight="1" thickBot="1">
      <c r="A677" s="126"/>
      <c r="B677" s="644"/>
      <c r="C677" s="648" t="s">
        <v>1523</v>
      </c>
      <c r="D677" s="648" t="s">
        <v>1523</v>
      </c>
      <c r="E677" s="648" t="s">
        <v>1523</v>
      </c>
      <c r="F677" s="648" t="s">
        <v>1523</v>
      </c>
      <c r="G677" s="648" t="s">
        <v>1523</v>
      </c>
      <c r="H677" s="648" t="s">
        <v>1523</v>
      </c>
      <c r="I677" s="648" t="s">
        <v>1523</v>
      </c>
      <c r="J677" s="648" t="s">
        <v>1523</v>
      </c>
      <c r="K677" s="648" t="s">
        <v>1523</v>
      </c>
      <c r="L677" s="648" t="s">
        <v>1523</v>
      </c>
      <c r="M677" s="648" t="s">
        <v>1523</v>
      </c>
      <c r="N677" s="648" t="s">
        <v>1523</v>
      </c>
      <c r="O677" s="648" t="s">
        <v>1523</v>
      </c>
    </row>
    <row r="678" spans="1:15" ht="16" customHeight="1" thickBot="1">
      <c r="A678" s="126"/>
      <c r="B678" s="644"/>
      <c r="C678" s="645">
        <v>394</v>
      </c>
      <c r="D678" s="645" t="s">
        <v>403</v>
      </c>
      <c r="E678" s="645">
        <v>820</v>
      </c>
      <c r="F678" s="645" t="s">
        <v>1092</v>
      </c>
      <c r="G678" s="645" t="s">
        <v>551</v>
      </c>
      <c r="H678" s="647" t="s">
        <v>1523</v>
      </c>
      <c r="I678" s="647" t="s">
        <v>1523</v>
      </c>
      <c r="J678" s="647" t="s">
        <v>1523</v>
      </c>
      <c r="K678" s="645" t="s">
        <v>496</v>
      </c>
      <c r="L678" s="645" t="s">
        <v>518</v>
      </c>
      <c r="M678" s="645" t="s">
        <v>509</v>
      </c>
      <c r="N678" s="646">
        <v>9481</v>
      </c>
      <c r="O678" s="646">
        <v>632</v>
      </c>
    </row>
    <row r="679" spans="1:15" ht="16" customHeight="1" thickBot="1">
      <c r="A679" s="126"/>
      <c r="B679" s="644"/>
      <c r="C679" s="648" t="s">
        <v>1523</v>
      </c>
      <c r="D679" s="648" t="s">
        <v>1523</v>
      </c>
      <c r="E679" s="648" t="s">
        <v>1523</v>
      </c>
      <c r="F679" s="648" t="s">
        <v>1523</v>
      </c>
      <c r="G679" s="648" t="s">
        <v>1523</v>
      </c>
      <c r="H679" s="648" t="s">
        <v>1523</v>
      </c>
      <c r="I679" s="648" t="s">
        <v>1523</v>
      </c>
      <c r="J679" s="648" t="s">
        <v>1523</v>
      </c>
      <c r="K679" s="648" t="s">
        <v>1523</v>
      </c>
      <c r="L679" s="648" t="s">
        <v>1523</v>
      </c>
      <c r="M679" s="648" t="s">
        <v>1523</v>
      </c>
      <c r="N679" s="648" t="s">
        <v>1523</v>
      </c>
      <c r="O679" s="648" t="s">
        <v>1523</v>
      </c>
    </row>
    <row r="680" spans="1:15" ht="16" customHeight="1" thickBot="1">
      <c r="A680" s="126"/>
      <c r="B680" s="644"/>
      <c r="C680" s="645">
        <v>401</v>
      </c>
      <c r="D680" s="645" t="s">
        <v>404</v>
      </c>
      <c r="E680" s="645">
        <v>175</v>
      </c>
      <c r="F680" s="645" t="s">
        <v>1093</v>
      </c>
      <c r="G680" s="645" t="s">
        <v>557</v>
      </c>
      <c r="H680" s="645">
        <v>158</v>
      </c>
      <c r="I680" s="645">
        <v>454</v>
      </c>
      <c r="J680" s="645">
        <v>0.34799999999999998</v>
      </c>
      <c r="K680" s="645" t="s">
        <v>610</v>
      </c>
      <c r="L680" s="645" t="s">
        <v>624</v>
      </c>
      <c r="M680" s="645" t="s">
        <v>505</v>
      </c>
      <c r="N680" s="646">
        <v>73160</v>
      </c>
      <c r="O680" s="646">
        <v>463</v>
      </c>
    </row>
    <row r="681" spans="1:15" ht="16" customHeight="1" thickBot="1">
      <c r="A681" s="126"/>
      <c r="B681" s="644"/>
      <c r="C681" s="645">
        <v>401</v>
      </c>
      <c r="D681" s="645" t="s">
        <v>404</v>
      </c>
      <c r="E681" s="645">
        <v>195</v>
      </c>
      <c r="F681" s="645" t="s">
        <v>1094</v>
      </c>
      <c r="G681" s="645" t="s">
        <v>554</v>
      </c>
      <c r="H681" s="645">
        <v>179</v>
      </c>
      <c r="I681" s="645">
        <v>384</v>
      </c>
      <c r="J681" s="645">
        <v>0.46600000000000003</v>
      </c>
      <c r="K681" s="645" t="s">
        <v>496</v>
      </c>
      <c r="L681" s="645" t="s">
        <v>518</v>
      </c>
      <c r="M681" s="645" t="s">
        <v>498</v>
      </c>
      <c r="N681" s="646">
        <v>11936</v>
      </c>
      <c r="O681" s="646">
        <v>66</v>
      </c>
    </row>
    <row r="682" spans="1:15" ht="16" customHeight="1" thickBot="1">
      <c r="A682" s="126"/>
      <c r="B682" s="644"/>
      <c r="C682" s="645">
        <v>401</v>
      </c>
      <c r="D682" s="645" t="s">
        <v>404</v>
      </c>
      <c r="E682" s="645">
        <v>249</v>
      </c>
      <c r="F682" s="645" t="s">
        <v>1095</v>
      </c>
      <c r="G682" s="645" t="s">
        <v>1096</v>
      </c>
      <c r="H682" s="645">
        <v>176</v>
      </c>
      <c r="I682" s="645">
        <v>322</v>
      </c>
      <c r="J682" s="645">
        <v>0.54700000000000004</v>
      </c>
      <c r="K682" s="645" t="s">
        <v>496</v>
      </c>
      <c r="L682" s="645" t="s">
        <v>518</v>
      </c>
      <c r="M682" s="645" t="s">
        <v>521</v>
      </c>
      <c r="N682" s="646">
        <v>143278</v>
      </c>
      <c r="O682" s="646">
        <v>814</v>
      </c>
    </row>
    <row r="683" spans="1:15" ht="16" customHeight="1" thickBot="1">
      <c r="A683" s="126"/>
      <c r="B683" s="644"/>
      <c r="C683" s="645">
        <v>401</v>
      </c>
      <c r="D683" s="645" t="s">
        <v>404</v>
      </c>
      <c r="E683" s="645">
        <v>822</v>
      </c>
      <c r="F683" s="645" t="s">
        <v>1097</v>
      </c>
      <c r="G683" s="645" t="s">
        <v>1096</v>
      </c>
      <c r="H683" s="645">
        <v>42</v>
      </c>
      <c r="I683" s="645">
        <v>92</v>
      </c>
      <c r="J683" s="645">
        <v>0.45700000000000002</v>
      </c>
      <c r="K683" s="645" t="s">
        <v>496</v>
      </c>
      <c r="L683" s="645" t="s">
        <v>518</v>
      </c>
      <c r="M683" s="645" t="s">
        <v>509</v>
      </c>
      <c r="N683" s="646">
        <v>27370</v>
      </c>
      <c r="O683" s="646">
        <v>651</v>
      </c>
    </row>
    <row r="684" spans="1:15" ht="16" customHeight="1" thickBot="1">
      <c r="A684" s="126"/>
      <c r="B684" s="644"/>
      <c r="C684" s="645">
        <v>401</v>
      </c>
      <c r="D684" s="645" t="s">
        <v>404</v>
      </c>
      <c r="E684" s="645">
        <v>823</v>
      </c>
      <c r="F684" s="645" t="s">
        <v>1098</v>
      </c>
      <c r="G684" s="645" t="s">
        <v>1096</v>
      </c>
      <c r="H684" s="645">
        <v>68</v>
      </c>
      <c r="I684" s="645">
        <v>187</v>
      </c>
      <c r="J684" s="645">
        <v>0.36399999999999999</v>
      </c>
      <c r="K684" s="645" t="s">
        <v>496</v>
      </c>
      <c r="L684" s="645" t="s">
        <v>518</v>
      </c>
      <c r="M684" s="645" t="s">
        <v>498</v>
      </c>
      <c r="N684" s="646">
        <v>43405</v>
      </c>
      <c r="O684" s="646">
        <v>638</v>
      </c>
    </row>
    <row r="685" spans="1:15" ht="16" customHeight="1" thickBot="1">
      <c r="A685" s="126"/>
      <c r="B685" s="644"/>
      <c r="C685" s="645">
        <v>401</v>
      </c>
      <c r="D685" s="645" t="s">
        <v>404</v>
      </c>
      <c r="E685" s="645">
        <v>1236</v>
      </c>
      <c r="F685" s="645" t="s">
        <v>1099</v>
      </c>
      <c r="G685" s="645" t="s">
        <v>949</v>
      </c>
      <c r="H685" s="645">
        <v>116</v>
      </c>
      <c r="I685" s="645">
        <v>251</v>
      </c>
      <c r="J685" s="645">
        <v>0.46200000000000002</v>
      </c>
      <c r="K685" s="645" t="s">
        <v>496</v>
      </c>
      <c r="L685" s="645" t="s">
        <v>518</v>
      </c>
      <c r="M685" s="645" t="s">
        <v>521</v>
      </c>
      <c r="N685" s="646">
        <v>55365</v>
      </c>
      <c r="O685" s="646">
        <v>477</v>
      </c>
    </row>
    <row r="686" spans="1:15" ht="16" customHeight="1" thickBot="1">
      <c r="A686" s="126"/>
      <c r="B686" s="644"/>
      <c r="C686" s="648" t="s">
        <v>1523</v>
      </c>
      <c r="D686" s="648" t="s">
        <v>1523</v>
      </c>
      <c r="E686" s="648" t="s">
        <v>1523</v>
      </c>
      <c r="F686" s="648" t="s">
        <v>1523</v>
      </c>
      <c r="G686" s="648" t="s">
        <v>1523</v>
      </c>
      <c r="H686" s="648" t="s">
        <v>1523</v>
      </c>
      <c r="I686" s="648" t="s">
        <v>1523</v>
      </c>
      <c r="J686" s="648" t="s">
        <v>1523</v>
      </c>
      <c r="K686" s="648" t="s">
        <v>1523</v>
      </c>
      <c r="L686" s="648" t="s">
        <v>1523</v>
      </c>
      <c r="M686" s="648" t="s">
        <v>1523</v>
      </c>
      <c r="N686" s="648" t="s">
        <v>1523</v>
      </c>
      <c r="O686" s="648" t="s">
        <v>1523</v>
      </c>
    </row>
    <row r="687" spans="1:15" ht="16" customHeight="1" thickBot="1">
      <c r="A687" s="126"/>
      <c r="B687" s="644"/>
      <c r="C687" s="645">
        <v>411</v>
      </c>
      <c r="D687" s="645" t="s">
        <v>405</v>
      </c>
      <c r="E687" s="645">
        <v>176</v>
      </c>
      <c r="F687" s="645" t="s">
        <v>1100</v>
      </c>
      <c r="G687" s="645" t="s">
        <v>554</v>
      </c>
      <c r="H687" s="645">
        <v>624</v>
      </c>
      <c r="I687" s="645">
        <v>945</v>
      </c>
      <c r="J687" s="645">
        <v>0.66</v>
      </c>
      <c r="K687" s="645" t="s">
        <v>496</v>
      </c>
      <c r="L687" s="645" t="s">
        <v>518</v>
      </c>
      <c r="M687" s="645" t="s">
        <v>505</v>
      </c>
      <c r="N687" s="646">
        <v>216072</v>
      </c>
      <c r="O687" s="646">
        <v>346</v>
      </c>
    </row>
    <row r="688" spans="1:15" ht="16" customHeight="1" thickBot="1">
      <c r="A688" s="126"/>
      <c r="B688" s="644"/>
      <c r="C688" s="645">
        <v>411</v>
      </c>
      <c r="D688" s="645" t="s">
        <v>405</v>
      </c>
      <c r="E688" s="645">
        <v>177</v>
      </c>
      <c r="F688" s="645" t="s">
        <v>1101</v>
      </c>
      <c r="G688" s="645" t="s">
        <v>554</v>
      </c>
      <c r="H688" s="645">
        <v>455</v>
      </c>
      <c r="I688" s="645">
        <v>907</v>
      </c>
      <c r="J688" s="645">
        <v>0.502</v>
      </c>
      <c r="K688" s="645" t="s">
        <v>496</v>
      </c>
      <c r="L688" s="645" t="s">
        <v>518</v>
      </c>
      <c r="M688" s="645" t="s">
        <v>505</v>
      </c>
      <c r="N688" s="646">
        <v>69382</v>
      </c>
      <c r="O688" s="646">
        <v>152</v>
      </c>
    </row>
    <row r="689" spans="1:15" ht="16" customHeight="1" thickBot="1">
      <c r="A689" s="126"/>
      <c r="B689" s="644"/>
      <c r="C689" s="645">
        <v>411</v>
      </c>
      <c r="D689" s="645" t="s">
        <v>405</v>
      </c>
      <c r="E689" s="645">
        <v>178</v>
      </c>
      <c r="F689" s="645" t="s">
        <v>1102</v>
      </c>
      <c r="G689" s="645" t="s">
        <v>557</v>
      </c>
      <c r="H689" s="645">
        <v>451</v>
      </c>
      <c r="I689" s="645">
        <v>1134</v>
      </c>
      <c r="J689" s="645">
        <v>0.39800000000000002</v>
      </c>
      <c r="K689" s="645" t="s">
        <v>496</v>
      </c>
      <c r="L689" s="645" t="s">
        <v>497</v>
      </c>
      <c r="M689" s="645" t="s">
        <v>509</v>
      </c>
      <c r="N689" s="646">
        <v>0</v>
      </c>
      <c r="O689" s="646">
        <v>0</v>
      </c>
    </row>
    <row r="690" spans="1:15" ht="16" customHeight="1" thickBot="1">
      <c r="A690" s="126"/>
      <c r="B690" s="644"/>
      <c r="C690" s="645">
        <v>411</v>
      </c>
      <c r="D690" s="645" t="s">
        <v>405</v>
      </c>
      <c r="E690" s="645">
        <v>515</v>
      </c>
      <c r="F690" s="645" t="s">
        <v>1103</v>
      </c>
      <c r="G690" s="645" t="s">
        <v>564</v>
      </c>
      <c r="H690" s="645">
        <v>592</v>
      </c>
      <c r="I690" s="645">
        <v>692</v>
      </c>
      <c r="J690" s="645">
        <v>0.85499999999999998</v>
      </c>
      <c r="K690" s="645" t="s">
        <v>496</v>
      </c>
      <c r="L690" s="645" t="s">
        <v>518</v>
      </c>
      <c r="M690" s="645" t="s">
        <v>505</v>
      </c>
      <c r="N690" s="646">
        <v>205000</v>
      </c>
      <c r="O690" s="646">
        <v>346</v>
      </c>
    </row>
    <row r="691" spans="1:15" ht="16" customHeight="1" thickBot="1">
      <c r="A691" s="126"/>
      <c r="B691" s="644"/>
      <c r="C691" s="645">
        <v>411</v>
      </c>
      <c r="D691" s="645" t="s">
        <v>405</v>
      </c>
      <c r="E691" s="645">
        <v>824</v>
      </c>
      <c r="F691" s="645" t="s">
        <v>1104</v>
      </c>
      <c r="G691" s="645" t="s">
        <v>564</v>
      </c>
      <c r="H691" s="645">
        <v>432</v>
      </c>
      <c r="I691" s="645">
        <v>800</v>
      </c>
      <c r="J691" s="645">
        <v>0.54</v>
      </c>
      <c r="K691" s="645" t="s">
        <v>496</v>
      </c>
      <c r="L691" s="645" t="s">
        <v>518</v>
      </c>
      <c r="M691" s="645" t="s">
        <v>509</v>
      </c>
      <c r="N691" s="646">
        <v>118500</v>
      </c>
      <c r="O691" s="646">
        <v>274</v>
      </c>
    </row>
    <row r="692" spans="1:15" ht="16" customHeight="1" thickBot="1">
      <c r="A692" s="126"/>
      <c r="B692" s="644"/>
      <c r="C692" s="645">
        <v>411</v>
      </c>
      <c r="D692" s="645" t="s">
        <v>405</v>
      </c>
      <c r="E692" s="645">
        <v>825</v>
      </c>
      <c r="F692" s="645" t="s">
        <v>1105</v>
      </c>
      <c r="G692" s="645" t="s">
        <v>564</v>
      </c>
      <c r="H692" s="645">
        <v>414</v>
      </c>
      <c r="I692" s="645">
        <v>739</v>
      </c>
      <c r="J692" s="645">
        <v>0.56000000000000005</v>
      </c>
      <c r="K692" s="645" t="s">
        <v>496</v>
      </c>
      <c r="L692" s="645" t="s">
        <v>518</v>
      </c>
      <c r="M692" s="645" t="s">
        <v>498</v>
      </c>
      <c r="N692" s="646">
        <v>114000</v>
      </c>
      <c r="O692" s="646">
        <v>275</v>
      </c>
    </row>
    <row r="693" spans="1:15" ht="16" customHeight="1" thickBot="1">
      <c r="A693" s="126"/>
      <c r="B693" s="644"/>
      <c r="C693" s="645">
        <v>411</v>
      </c>
      <c r="D693" s="645" t="s">
        <v>405</v>
      </c>
      <c r="E693" s="645">
        <v>826</v>
      </c>
      <c r="F693" s="645" t="s">
        <v>1106</v>
      </c>
      <c r="G693" s="645" t="s">
        <v>564</v>
      </c>
      <c r="H693" s="645">
        <v>255</v>
      </c>
      <c r="I693" s="645">
        <v>630</v>
      </c>
      <c r="J693" s="645">
        <v>0.40500000000000003</v>
      </c>
      <c r="K693" s="645" t="s">
        <v>496</v>
      </c>
      <c r="L693" s="645" t="s">
        <v>518</v>
      </c>
      <c r="M693" s="645" t="s">
        <v>509</v>
      </c>
      <c r="N693" s="646">
        <v>70000</v>
      </c>
      <c r="O693" s="646">
        <v>274</v>
      </c>
    </row>
    <row r="694" spans="1:15" ht="16" customHeight="1" thickBot="1">
      <c r="A694" s="126"/>
      <c r="B694" s="644"/>
      <c r="C694" s="645">
        <v>411</v>
      </c>
      <c r="D694" s="645" t="s">
        <v>405</v>
      </c>
      <c r="E694" s="645">
        <v>827</v>
      </c>
      <c r="F694" s="645" t="s">
        <v>989</v>
      </c>
      <c r="G694" s="645" t="s">
        <v>564</v>
      </c>
      <c r="H694" s="645">
        <v>480</v>
      </c>
      <c r="I694" s="645">
        <v>570</v>
      </c>
      <c r="J694" s="645">
        <v>0.84199999999999997</v>
      </c>
      <c r="K694" s="645" t="s">
        <v>496</v>
      </c>
      <c r="L694" s="645" t="s">
        <v>518</v>
      </c>
      <c r="M694" s="645" t="s">
        <v>521</v>
      </c>
      <c r="N694" s="646">
        <v>166500</v>
      </c>
      <c r="O694" s="646">
        <v>346</v>
      </c>
    </row>
    <row r="695" spans="1:15" ht="16" customHeight="1" thickBot="1">
      <c r="A695" s="126"/>
      <c r="B695" s="644"/>
      <c r="C695" s="645">
        <v>411</v>
      </c>
      <c r="D695" s="645" t="s">
        <v>405</v>
      </c>
      <c r="E695" s="645">
        <v>828</v>
      </c>
      <c r="F695" s="645" t="s">
        <v>1107</v>
      </c>
      <c r="G695" s="645" t="s">
        <v>564</v>
      </c>
      <c r="H695" s="645">
        <v>343</v>
      </c>
      <c r="I695" s="645">
        <v>394</v>
      </c>
      <c r="J695" s="645">
        <v>0.871</v>
      </c>
      <c r="K695" s="645" t="s">
        <v>496</v>
      </c>
      <c r="L695" s="645" t="s">
        <v>518</v>
      </c>
      <c r="M695" s="645" t="s">
        <v>505</v>
      </c>
      <c r="N695" s="646">
        <v>119000</v>
      </c>
      <c r="O695" s="646">
        <v>346</v>
      </c>
    </row>
    <row r="696" spans="1:15" ht="16" customHeight="1" thickBot="1">
      <c r="A696" s="126"/>
      <c r="B696" s="644"/>
      <c r="C696" s="645">
        <v>411</v>
      </c>
      <c r="D696" s="645" t="s">
        <v>405</v>
      </c>
      <c r="E696" s="645">
        <v>829</v>
      </c>
      <c r="F696" s="645" t="s">
        <v>806</v>
      </c>
      <c r="G696" s="645" t="s">
        <v>564</v>
      </c>
      <c r="H696" s="645">
        <v>495</v>
      </c>
      <c r="I696" s="645">
        <v>546</v>
      </c>
      <c r="J696" s="645">
        <v>0.90700000000000003</v>
      </c>
      <c r="K696" s="645" t="s">
        <v>496</v>
      </c>
      <c r="L696" s="645" t="s">
        <v>624</v>
      </c>
      <c r="M696" s="645" t="s">
        <v>521</v>
      </c>
      <c r="N696" s="646">
        <v>171500</v>
      </c>
      <c r="O696" s="646">
        <v>346</v>
      </c>
    </row>
    <row r="697" spans="1:15" ht="16" customHeight="1" thickBot="1">
      <c r="A697" s="126"/>
      <c r="B697" s="644"/>
      <c r="C697" s="645">
        <v>411</v>
      </c>
      <c r="D697" s="645" t="s">
        <v>405</v>
      </c>
      <c r="E697" s="645">
        <v>1066</v>
      </c>
      <c r="F697" s="645" t="s">
        <v>1108</v>
      </c>
      <c r="G697" s="645" t="s">
        <v>557</v>
      </c>
      <c r="H697" s="645">
        <v>142</v>
      </c>
      <c r="I697" s="645">
        <v>167</v>
      </c>
      <c r="J697" s="645">
        <v>0.85</v>
      </c>
      <c r="K697" s="645" t="s">
        <v>496</v>
      </c>
      <c r="L697" s="645" t="s">
        <v>518</v>
      </c>
      <c r="M697" s="645" t="s">
        <v>521</v>
      </c>
      <c r="N697" s="646">
        <v>45000</v>
      </c>
      <c r="O697" s="646">
        <v>316</v>
      </c>
    </row>
    <row r="698" spans="1:15" ht="16" customHeight="1" thickBot="1">
      <c r="A698" s="126"/>
      <c r="B698" s="644"/>
      <c r="C698" s="645">
        <v>411</v>
      </c>
      <c r="D698" s="645" t="s">
        <v>405</v>
      </c>
      <c r="E698" s="645">
        <v>1147</v>
      </c>
      <c r="F698" s="645" t="s">
        <v>1109</v>
      </c>
      <c r="G698" s="645" t="s">
        <v>546</v>
      </c>
      <c r="H698" s="645">
        <v>85</v>
      </c>
      <c r="I698" s="645">
        <v>110</v>
      </c>
      <c r="J698" s="645">
        <v>0.77300000000000002</v>
      </c>
      <c r="K698" s="645" t="s">
        <v>496</v>
      </c>
      <c r="L698" s="645" t="s">
        <v>624</v>
      </c>
      <c r="M698" s="645" t="s">
        <v>521</v>
      </c>
      <c r="N698" s="646">
        <v>30000</v>
      </c>
      <c r="O698" s="646">
        <v>352</v>
      </c>
    </row>
    <row r="699" spans="1:15" ht="16" customHeight="1" thickBot="1">
      <c r="A699" s="126"/>
      <c r="B699" s="644"/>
      <c r="C699" s="645">
        <v>411</v>
      </c>
      <c r="D699" s="645" t="s">
        <v>405</v>
      </c>
      <c r="E699" s="645">
        <v>1237</v>
      </c>
      <c r="F699" s="645" t="s">
        <v>1110</v>
      </c>
      <c r="G699" s="645" t="s">
        <v>557</v>
      </c>
      <c r="H699" s="645">
        <v>618</v>
      </c>
      <c r="I699" s="645">
        <v>1162</v>
      </c>
      <c r="J699" s="645">
        <v>0.53200000000000003</v>
      </c>
      <c r="K699" s="645" t="s">
        <v>496</v>
      </c>
      <c r="L699" s="645" t="s">
        <v>497</v>
      </c>
      <c r="M699" s="645" t="s">
        <v>505</v>
      </c>
      <c r="N699" s="646">
        <v>0</v>
      </c>
      <c r="O699" s="646">
        <v>0</v>
      </c>
    </row>
    <row r="700" spans="1:15" ht="16" customHeight="1" thickBot="1">
      <c r="A700" s="126"/>
      <c r="B700" s="644"/>
      <c r="C700" s="648" t="s">
        <v>1523</v>
      </c>
      <c r="D700" s="648" t="s">
        <v>1523</v>
      </c>
      <c r="E700" s="648" t="s">
        <v>1523</v>
      </c>
      <c r="F700" s="648" t="s">
        <v>1523</v>
      </c>
      <c r="G700" s="648" t="s">
        <v>1523</v>
      </c>
      <c r="H700" s="648" t="s">
        <v>1523</v>
      </c>
      <c r="I700" s="648" t="s">
        <v>1523</v>
      </c>
      <c r="J700" s="648" t="s">
        <v>1523</v>
      </c>
      <c r="K700" s="648" t="s">
        <v>1523</v>
      </c>
      <c r="L700" s="648" t="s">
        <v>1523</v>
      </c>
      <c r="M700" s="648" t="s">
        <v>1523</v>
      </c>
      <c r="N700" s="648" t="s">
        <v>1523</v>
      </c>
      <c r="O700" s="648" t="s">
        <v>1523</v>
      </c>
    </row>
    <row r="701" spans="1:15" ht="16" customHeight="1" thickBot="1">
      <c r="A701" s="126"/>
      <c r="B701" s="644"/>
      <c r="C701" s="645">
        <v>412</v>
      </c>
      <c r="D701" s="645" t="s">
        <v>406</v>
      </c>
      <c r="E701" s="645">
        <v>179</v>
      </c>
      <c r="F701" s="645" t="s">
        <v>1111</v>
      </c>
      <c r="G701" s="645" t="s">
        <v>554</v>
      </c>
      <c r="H701" s="645">
        <v>211</v>
      </c>
      <c r="I701" s="645">
        <v>294</v>
      </c>
      <c r="J701" s="645">
        <v>0.71799999999999997</v>
      </c>
      <c r="K701" s="645" t="s">
        <v>496</v>
      </c>
      <c r="L701" s="645" t="s">
        <v>662</v>
      </c>
      <c r="M701" s="645" t="s">
        <v>498</v>
      </c>
      <c r="N701" s="646">
        <v>112761</v>
      </c>
      <c r="O701" s="646">
        <v>534</v>
      </c>
    </row>
    <row r="702" spans="1:15" ht="16" customHeight="1" thickBot="1">
      <c r="A702" s="126"/>
      <c r="B702" s="644"/>
      <c r="C702" s="645">
        <v>412</v>
      </c>
      <c r="D702" s="645" t="s">
        <v>406</v>
      </c>
      <c r="E702" s="645">
        <v>180</v>
      </c>
      <c r="F702" s="645" t="s">
        <v>1112</v>
      </c>
      <c r="G702" s="645" t="s">
        <v>557</v>
      </c>
      <c r="H702" s="645">
        <v>224</v>
      </c>
      <c r="I702" s="645">
        <v>353</v>
      </c>
      <c r="J702" s="645">
        <v>0.63500000000000001</v>
      </c>
      <c r="K702" s="645" t="s">
        <v>496</v>
      </c>
      <c r="L702" s="645" t="s">
        <v>497</v>
      </c>
      <c r="M702" s="645" t="s">
        <v>505</v>
      </c>
      <c r="N702" s="646">
        <v>0</v>
      </c>
      <c r="O702" s="646">
        <v>0</v>
      </c>
    </row>
    <row r="703" spans="1:15" ht="16" customHeight="1" thickBot="1">
      <c r="A703" s="126"/>
      <c r="B703" s="644"/>
      <c r="C703" s="645">
        <v>412</v>
      </c>
      <c r="D703" s="645" t="s">
        <v>406</v>
      </c>
      <c r="E703" s="645">
        <v>830</v>
      </c>
      <c r="F703" s="645" t="s">
        <v>1113</v>
      </c>
      <c r="G703" s="645" t="s">
        <v>564</v>
      </c>
      <c r="H703" s="645">
        <v>491</v>
      </c>
      <c r="I703" s="645">
        <v>629</v>
      </c>
      <c r="J703" s="645">
        <v>0.78100000000000003</v>
      </c>
      <c r="K703" s="645" t="s">
        <v>496</v>
      </c>
      <c r="L703" s="645" t="s">
        <v>662</v>
      </c>
      <c r="M703" s="645" t="s">
        <v>498</v>
      </c>
      <c r="N703" s="646">
        <v>239426</v>
      </c>
      <c r="O703" s="646">
        <v>487</v>
      </c>
    </row>
    <row r="704" spans="1:15" ht="16" customHeight="1" thickBot="1">
      <c r="A704" s="126"/>
      <c r="B704" s="644"/>
      <c r="C704" s="648" t="s">
        <v>1523</v>
      </c>
      <c r="D704" s="648" t="s">
        <v>1523</v>
      </c>
      <c r="E704" s="648" t="s">
        <v>1523</v>
      </c>
      <c r="F704" s="648" t="s">
        <v>1523</v>
      </c>
      <c r="G704" s="648" t="s">
        <v>1523</v>
      </c>
      <c r="H704" s="648" t="s">
        <v>1523</v>
      </c>
      <c r="I704" s="648" t="s">
        <v>1523</v>
      </c>
      <c r="J704" s="648" t="s">
        <v>1523</v>
      </c>
      <c r="K704" s="648" t="s">
        <v>1523</v>
      </c>
      <c r="L704" s="648" t="s">
        <v>1523</v>
      </c>
      <c r="M704" s="648" t="s">
        <v>1523</v>
      </c>
      <c r="N704" s="648" t="s">
        <v>1523</v>
      </c>
      <c r="O704" s="648" t="s">
        <v>1523</v>
      </c>
    </row>
    <row r="705" spans="1:15" ht="16" customHeight="1" thickBot="1">
      <c r="A705" s="126"/>
      <c r="B705" s="644"/>
      <c r="C705" s="645">
        <v>413</v>
      </c>
      <c r="D705" s="645" t="s">
        <v>407</v>
      </c>
      <c r="E705" s="645">
        <v>181</v>
      </c>
      <c r="F705" s="645" t="s">
        <v>1114</v>
      </c>
      <c r="G705" s="645" t="s">
        <v>557</v>
      </c>
      <c r="H705" s="645">
        <v>186</v>
      </c>
      <c r="I705" s="645">
        <v>421</v>
      </c>
      <c r="J705" s="645">
        <v>0.442</v>
      </c>
      <c r="K705" s="645" t="s">
        <v>496</v>
      </c>
      <c r="L705" s="645" t="s">
        <v>497</v>
      </c>
      <c r="M705" s="645" t="s">
        <v>509</v>
      </c>
      <c r="N705" s="646">
        <v>0</v>
      </c>
      <c r="O705" s="646">
        <v>0</v>
      </c>
    </row>
    <row r="706" spans="1:15" ht="16" customHeight="1" thickBot="1">
      <c r="A706" s="126"/>
      <c r="B706" s="644"/>
      <c r="C706" s="645">
        <v>413</v>
      </c>
      <c r="D706" s="645" t="s">
        <v>407</v>
      </c>
      <c r="E706" s="645">
        <v>196</v>
      </c>
      <c r="F706" s="645" t="s">
        <v>1115</v>
      </c>
      <c r="G706" s="645" t="s">
        <v>596</v>
      </c>
      <c r="H706" s="645">
        <v>141</v>
      </c>
      <c r="I706" s="645">
        <v>253</v>
      </c>
      <c r="J706" s="645">
        <v>0.55700000000000005</v>
      </c>
      <c r="K706" s="645" t="s">
        <v>496</v>
      </c>
      <c r="L706" s="645" t="s">
        <v>624</v>
      </c>
      <c r="M706" s="645" t="s">
        <v>505</v>
      </c>
      <c r="N706" s="646">
        <v>60500</v>
      </c>
      <c r="O706" s="646">
        <v>429</v>
      </c>
    </row>
    <row r="707" spans="1:15" ht="16" customHeight="1" thickBot="1">
      <c r="A707" s="126"/>
      <c r="B707" s="644"/>
      <c r="C707" s="645">
        <v>413</v>
      </c>
      <c r="D707" s="645" t="s">
        <v>407</v>
      </c>
      <c r="E707" s="645">
        <v>831</v>
      </c>
      <c r="F707" s="645" t="s">
        <v>1116</v>
      </c>
      <c r="G707" s="645" t="s">
        <v>612</v>
      </c>
      <c r="H707" s="645">
        <v>243</v>
      </c>
      <c r="I707" s="645">
        <v>427</v>
      </c>
      <c r="J707" s="645">
        <v>0.56899999999999995</v>
      </c>
      <c r="K707" s="645" t="s">
        <v>496</v>
      </c>
      <c r="L707" s="645" t="s">
        <v>518</v>
      </c>
      <c r="M707" s="645" t="s">
        <v>505</v>
      </c>
      <c r="N707" s="646">
        <v>85000</v>
      </c>
      <c r="O707" s="646">
        <v>349</v>
      </c>
    </row>
    <row r="708" spans="1:15" ht="16" customHeight="1" thickBot="1">
      <c r="A708" s="126"/>
      <c r="B708" s="644"/>
      <c r="C708" s="645">
        <v>413</v>
      </c>
      <c r="D708" s="645" t="s">
        <v>407</v>
      </c>
      <c r="E708" s="645">
        <v>832</v>
      </c>
      <c r="F708" s="645" t="s">
        <v>1117</v>
      </c>
      <c r="G708" s="645" t="s">
        <v>564</v>
      </c>
      <c r="H708" s="645">
        <v>55</v>
      </c>
      <c r="I708" s="645">
        <v>68</v>
      </c>
      <c r="J708" s="645">
        <v>0.80900000000000005</v>
      </c>
      <c r="K708" s="645" t="s">
        <v>496</v>
      </c>
      <c r="L708" s="645" t="s">
        <v>518</v>
      </c>
      <c r="M708" s="645" t="s">
        <v>498</v>
      </c>
      <c r="N708" s="646">
        <v>26282</v>
      </c>
      <c r="O708" s="646">
        <v>477</v>
      </c>
    </row>
    <row r="709" spans="1:15" ht="16" customHeight="1" thickBot="1">
      <c r="A709" s="126"/>
      <c r="B709" s="644"/>
      <c r="C709" s="645">
        <v>413</v>
      </c>
      <c r="D709" s="645" t="s">
        <v>407</v>
      </c>
      <c r="E709" s="645">
        <v>1244</v>
      </c>
      <c r="F709" s="645" t="s">
        <v>1118</v>
      </c>
      <c r="G709" s="645" t="s">
        <v>618</v>
      </c>
      <c r="H709" s="645">
        <v>231</v>
      </c>
      <c r="I709" s="645">
        <v>376</v>
      </c>
      <c r="J709" s="645">
        <v>0.61399999999999999</v>
      </c>
      <c r="K709" s="645" t="s">
        <v>496</v>
      </c>
      <c r="L709" s="645" t="s">
        <v>518</v>
      </c>
      <c r="M709" s="645" t="s">
        <v>505</v>
      </c>
      <c r="N709" s="646">
        <v>80397</v>
      </c>
      <c r="O709" s="646">
        <v>348</v>
      </c>
    </row>
    <row r="710" spans="1:15" ht="16" customHeight="1" thickBot="1">
      <c r="A710" s="126"/>
      <c r="B710" s="644"/>
      <c r="C710" s="648" t="s">
        <v>1523</v>
      </c>
      <c r="D710" s="648" t="s">
        <v>1523</v>
      </c>
      <c r="E710" s="648" t="s">
        <v>1523</v>
      </c>
      <c r="F710" s="648" t="s">
        <v>1523</v>
      </c>
      <c r="G710" s="648" t="s">
        <v>1523</v>
      </c>
      <c r="H710" s="648" t="s">
        <v>1523</v>
      </c>
      <c r="I710" s="648" t="s">
        <v>1523</v>
      </c>
      <c r="J710" s="648" t="s">
        <v>1523</v>
      </c>
      <c r="K710" s="648" t="s">
        <v>1523</v>
      </c>
      <c r="L710" s="648" t="s">
        <v>1523</v>
      </c>
      <c r="M710" s="648" t="s">
        <v>1523</v>
      </c>
      <c r="N710" s="648" t="s">
        <v>1523</v>
      </c>
      <c r="O710" s="648" t="s">
        <v>1523</v>
      </c>
    </row>
    <row r="711" spans="1:15" ht="16" customHeight="1" thickBot="1">
      <c r="A711" s="126"/>
      <c r="B711" s="644"/>
      <c r="C711" s="645">
        <v>414</v>
      </c>
      <c r="D711" s="645" t="s">
        <v>408</v>
      </c>
      <c r="E711" s="645">
        <v>182</v>
      </c>
      <c r="F711" s="645" t="s">
        <v>1119</v>
      </c>
      <c r="G711" s="645" t="s">
        <v>557</v>
      </c>
      <c r="H711" s="645">
        <v>132</v>
      </c>
      <c r="I711" s="645">
        <v>455</v>
      </c>
      <c r="J711" s="645">
        <v>0.28999999999999998</v>
      </c>
      <c r="K711" s="645" t="s">
        <v>501</v>
      </c>
      <c r="L711" s="645" t="s">
        <v>497</v>
      </c>
      <c r="M711" s="645" t="s">
        <v>509</v>
      </c>
      <c r="N711" s="646">
        <v>0</v>
      </c>
      <c r="O711" s="646">
        <v>0</v>
      </c>
    </row>
    <row r="712" spans="1:15" ht="16" customHeight="1" thickBot="1">
      <c r="A712" s="126"/>
      <c r="B712" s="644"/>
      <c r="C712" s="645">
        <v>414</v>
      </c>
      <c r="D712" s="645" t="s">
        <v>408</v>
      </c>
      <c r="E712" s="645">
        <v>512</v>
      </c>
      <c r="F712" s="645" t="s">
        <v>1120</v>
      </c>
      <c r="G712" s="645" t="s">
        <v>554</v>
      </c>
      <c r="H712" s="645">
        <v>143</v>
      </c>
      <c r="I712" s="645">
        <v>399</v>
      </c>
      <c r="J712" s="645">
        <v>0.35799999999999998</v>
      </c>
      <c r="K712" s="645" t="s">
        <v>496</v>
      </c>
      <c r="L712" s="645" t="s">
        <v>624</v>
      </c>
      <c r="M712" s="645" t="s">
        <v>509</v>
      </c>
      <c r="N712" s="646">
        <v>54808</v>
      </c>
      <c r="O712" s="646">
        <v>383</v>
      </c>
    </row>
    <row r="713" spans="1:15" ht="16" customHeight="1" thickBot="1">
      <c r="A713" s="126"/>
      <c r="B713" s="644"/>
      <c r="C713" s="645">
        <v>414</v>
      </c>
      <c r="D713" s="645" t="s">
        <v>408</v>
      </c>
      <c r="E713" s="645">
        <v>833</v>
      </c>
      <c r="F713" s="645" t="s">
        <v>1121</v>
      </c>
      <c r="G713" s="645" t="s">
        <v>564</v>
      </c>
      <c r="H713" s="645">
        <v>366</v>
      </c>
      <c r="I713" s="645">
        <v>844</v>
      </c>
      <c r="J713" s="645">
        <v>0.434</v>
      </c>
      <c r="K713" s="645" t="s">
        <v>496</v>
      </c>
      <c r="L713" s="645" t="s">
        <v>624</v>
      </c>
      <c r="M713" s="645" t="s">
        <v>498</v>
      </c>
      <c r="N713" s="646">
        <v>251787</v>
      </c>
      <c r="O713" s="646">
        <v>687</v>
      </c>
    </row>
    <row r="714" spans="1:15" ht="16" customHeight="1" thickBot="1">
      <c r="A714" s="126"/>
      <c r="B714" s="644"/>
      <c r="C714" s="648" t="s">
        <v>1523</v>
      </c>
      <c r="D714" s="648" t="s">
        <v>1523</v>
      </c>
      <c r="E714" s="648" t="s">
        <v>1523</v>
      </c>
      <c r="F714" s="648" t="s">
        <v>1523</v>
      </c>
      <c r="G714" s="648" t="s">
        <v>1523</v>
      </c>
      <c r="H714" s="648" t="s">
        <v>1523</v>
      </c>
      <c r="I714" s="648" t="s">
        <v>1523</v>
      </c>
      <c r="J714" s="648" t="s">
        <v>1523</v>
      </c>
      <c r="K714" s="648" t="s">
        <v>1523</v>
      </c>
      <c r="L714" s="648" t="s">
        <v>1523</v>
      </c>
      <c r="M714" s="648" t="s">
        <v>1523</v>
      </c>
      <c r="N714" s="648" t="s">
        <v>1523</v>
      </c>
      <c r="O714" s="648" t="s">
        <v>1523</v>
      </c>
    </row>
    <row r="715" spans="1:15" ht="16" customHeight="1" thickBot="1">
      <c r="A715" s="126"/>
      <c r="B715" s="644"/>
      <c r="C715" s="645">
        <v>415</v>
      </c>
      <c r="D715" s="645" t="s">
        <v>409</v>
      </c>
      <c r="E715" s="645">
        <v>620</v>
      </c>
      <c r="F715" s="645" t="s">
        <v>1122</v>
      </c>
      <c r="G715" s="645" t="s">
        <v>546</v>
      </c>
      <c r="H715" s="645">
        <v>95</v>
      </c>
      <c r="I715" s="645">
        <v>139</v>
      </c>
      <c r="J715" s="645">
        <v>0.68300000000000005</v>
      </c>
      <c r="K715" s="645" t="s">
        <v>496</v>
      </c>
      <c r="L715" s="645" t="s">
        <v>497</v>
      </c>
      <c r="M715" s="645" t="s">
        <v>509</v>
      </c>
      <c r="N715" s="646">
        <v>0</v>
      </c>
      <c r="O715" s="646">
        <v>0</v>
      </c>
    </row>
    <row r="716" spans="1:15" ht="16" customHeight="1" thickBot="1">
      <c r="A716" s="126"/>
      <c r="B716" s="644"/>
      <c r="C716" s="645">
        <v>415</v>
      </c>
      <c r="D716" s="645" t="s">
        <v>409</v>
      </c>
      <c r="E716" s="645">
        <v>834</v>
      </c>
      <c r="F716" s="645" t="s">
        <v>1123</v>
      </c>
      <c r="G716" s="645" t="s">
        <v>512</v>
      </c>
      <c r="H716" s="645">
        <v>143</v>
      </c>
      <c r="I716" s="645">
        <v>184</v>
      </c>
      <c r="J716" s="645">
        <v>0.77700000000000002</v>
      </c>
      <c r="K716" s="645" t="s">
        <v>496</v>
      </c>
      <c r="L716" s="645" t="s">
        <v>518</v>
      </c>
      <c r="M716" s="645" t="s">
        <v>521</v>
      </c>
      <c r="N716" s="646">
        <v>144539</v>
      </c>
      <c r="O716" s="646">
        <v>1010</v>
      </c>
    </row>
    <row r="717" spans="1:15" ht="16" customHeight="1" thickBot="1">
      <c r="A717" s="126"/>
      <c r="B717" s="644"/>
      <c r="C717" s="648" t="s">
        <v>1523</v>
      </c>
      <c r="D717" s="648" t="s">
        <v>1523</v>
      </c>
      <c r="E717" s="648" t="s">
        <v>1523</v>
      </c>
      <c r="F717" s="648" t="s">
        <v>1523</v>
      </c>
      <c r="G717" s="648" t="s">
        <v>1523</v>
      </c>
      <c r="H717" s="648" t="s">
        <v>1523</v>
      </c>
      <c r="I717" s="648" t="s">
        <v>1523</v>
      </c>
      <c r="J717" s="648" t="s">
        <v>1523</v>
      </c>
      <c r="K717" s="648" t="s">
        <v>1523</v>
      </c>
      <c r="L717" s="648" t="s">
        <v>1523</v>
      </c>
      <c r="M717" s="648" t="s">
        <v>1523</v>
      </c>
      <c r="N717" s="648" t="s">
        <v>1523</v>
      </c>
      <c r="O717" s="648" t="s">
        <v>1523</v>
      </c>
    </row>
    <row r="718" spans="1:15" ht="16" customHeight="1" thickBot="1">
      <c r="A718" s="126"/>
      <c r="B718" s="644"/>
      <c r="C718" s="645">
        <v>417</v>
      </c>
      <c r="D718" s="645" t="s">
        <v>411</v>
      </c>
      <c r="E718" s="645">
        <v>185</v>
      </c>
      <c r="F718" s="645" t="s">
        <v>1124</v>
      </c>
      <c r="G718" s="645" t="s">
        <v>623</v>
      </c>
      <c r="H718" s="645">
        <v>176</v>
      </c>
      <c r="I718" s="645">
        <v>302</v>
      </c>
      <c r="J718" s="645">
        <v>0.58299999999999996</v>
      </c>
      <c r="K718" s="645" t="s">
        <v>496</v>
      </c>
      <c r="L718" s="645" t="s">
        <v>624</v>
      </c>
      <c r="M718" s="645" t="s">
        <v>509</v>
      </c>
      <c r="N718" s="646">
        <v>64159</v>
      </c>
      <c r="O718" s="646">
        <v>364</v>
      </c>
    </row>
    <row r="719" spans="1:15" ht="16" customHeight="1" thickBot="1">
      <c r="A719" s="126"/>
      <c r="B719" s="644"/>
      <c r="C719" s="648" t="s">
        <v>1523</v>
      </c>
      <c r="D719" s="648" t="s">
        <v>1523</v>
      </c>
      <c r="E719" s="648" t="s">
        <v>1523</v>
      </c>
      <c r="F719" s="648" t="s">
        <v>1523</v>
      </c>
      <c r="G719" s="648" t="s">
        <v>1523</v>
      </c>
      <c r="H719" s="648" t="s">
        <v>1523</v>
      </c>
      <c r="I719" s="648" t="s">
        <v>1523</v>
      </c>
      <c r="J719" s="648" t="s">
        <v>1523</v>
      </c>
      <c r="K719" s="648" t="s">
        <v>1523</v>
      </c>
      <c r="L719" s="648" t="s">
        <v>1523</v>
      </c>
      <c r="M719" s="648" t="s">
        <v>1523</v>
      </c>
      <c r="N719" s="648" t="s">
        <v>1523</v>
      </c>
      <c r="O719" s="648" t="s">
        <v>1523</v>
      </c>
    </row>
    <row r="720" spans="1:15" ht="16" customHeight="1" thickBot="1">
      <c r="A720" s="126"/>
      <c r="B720" s="644"/>
      <c r="C720" s="645">
        <v>418</v>
      </c>
      <c r="D720" s="645" t="s">
        <v>412</v>
      </c>
      <c r="E720" s="645">
        <v>1344</v>
      </c>
      <c r="F720" s="645" t="s">
        <v>1125</v>
      </c>
      <c r="G720" s="645" t="s">
        <v>1126</v>
      </c>
      <c r="H720" s="645">
        <v>220</v>
      </c>
      <c r="I720" s="645">
        <v>280</v>
      </c>
      <c r="J720" s="645">
        <v>0.78600000000000003</v>
      </c>
      <c r="K720" s="645" t="s">
        <v>496</v>
      </c>
      <c r="L720" s="645" t="s">
        <v>624</v>
      </c>
      <c r="M720" s="645" t="s">
        <v>509</v>
      </c>
      <c r="N720" s="646">
        <v>72132</v>
      </c>
      <c r="O720" s="646">
        <v>327</v>
      </c>
    </row>
    <row r="721" spans="1:15" ht="16" customHeight="1" thickBot="1">
      <c r="A721" s="126"/>
      <c r="B721" s="644"/>
      <c r="C721" s="648" t="s">
        <v>1523</v>
      </c>
      <c r="D721" s="648" t="s">
        <v>1523</v>
      </c>
      <c r="E721" s="648" t="s">
        <v>1523</v>
      </c>
      <c r="F721" s="648" t="s">
        <v>1523</v>
      </c>
      <c r="G721" s="648" t="s">
        <v>1523</v>
      </c>
      <c r="H721" s="648" t="s">
        <v>1523</v>
      </c>
      <c r="I721" s="648" t="s">
        <v>1523</v>
      </c>
      <c r="J721" s="648" t="s">
        <v>1523</v>
      </c>
      <c r="K721" s="648" t="s">
        <v>1523</v>
      </c>
      <c r="L721" s="648" t="s">
        <v>1523</v>
      </c>
      <c r="M721" s="648" t="s">
        <v>1523</v>
      </c>
      <c r="N721" s="648" t="s">
        <v>1523</v>
      </c>
      <c r="O721" s="648" t="s">
        <v>1523</v>
      </c>
    </row>
    <row r="722" spans="1:15" ht="16" customHeight="1" thickBot="1">
      <c r="A722" s="126"/>
      <c r="B722" s="644"/>
      <c r="C722" s="645">
        <v>421</v>
      </c>
      <c r="D722" s="645" t="s">
        <v>1534</v>
      </c>
      <c r="E722" s="645">
        <v>189</v>
      </c>
      <c r="F722" s="645" t="s">
        <v>1128</v>
      </c>
      <c r="G722" s="645" t="s">
        <v>557</v>
      </c>
      <c r="H722" s="645">
        <v>102</v>
      </c>
      <c r="I722" s="645">
        <v>278</v>
      </c>
      <c r="J722" s="645">
        <v>0.36699999999999999</v>
      </c>
      <c r="K722" s="645" t="s">
        <v>496</v>
      </c>
      <c r="L722" s="645" t="s">
        <v>497</v>
      </c>
      <c r="M722" s="645" t="s">
        <v>509</v>
      </c>
      <c r="N722" s="646">
        <v>0</v>
      </c>
      <c r="O722" s="646">
        <v>0</v>
      </c>
    </row>
    <row r="723" spans="1:15" ht="16" customHeight="1" thickBot="1">
      <c r="A723" s="126"/>
      <c r="B723" s="644"/>
      <c r="C723" s="645">
        <v>421</v>
      </c>
      <c r="D723" s="645" t="s">
        <v>1534</v>
      </c>
      <c r="E723" s="645">
        <v>236</v>
      </c>
      <c r="F723" s="645" t="s">
        <v>1129</v>
      </c>
      <c r="G723" s="645" t="s">
        <v>554</v>
      </c>
      <c r="H723" s="645">
        <v>92</v>
      </c>
      <c r="I723" s="645">
        <v>248</v>
      </c>
      <c r="J723" s="645">
        <v>0.371</v>
      </c>
      <c r="K723" s="645" t="s">
        <v>496</v>
      </c>
      <c r="L723" s="645" t="s">
        <v>497</v>
      </c>
      <c r="M723" s="645" t="s">
        <v>509</v>
      </c>
      <c r="N723" s="646">
        <v>0</v>
      </c>
      <c r="O723" s="646">
        <v>0</v>
      </c>
    </row>
    <row r="724" spans="1:15" ht="16" customHeight="1" thickBot="1">
      <c r="A724" s="126"/>
      <c r="B724" s="644"/>
      <c r="C724" s="645">
        <v>421</v>
      </c>
      <c r="D724" s="645" t="s">
        <v>1534</v>
      </c>
      <c r="E724" s="645">
        <v>837</v>
      </c>
      <c r="F724" s="645" t="s">
        <v>1130</v>
      </c>
      <c r="G724" s="645" t="s">
        <v>564</v>
      </c>
      <c r="H724" s="645">
        <v>141</v>
      </c>
      <c r="I724" s="645">
        <v>343</v>
      </c>
      <c r="J724" s="645">
        <v>0.41099999999999998</v>
      </c>
      <c r="K724" s="645" t="s">
        <v>496</v>
      </c>
      <c r="L724" s="645" t="s">
        <v>624</v>
      </c>
      <c r="M724" s="645" t="s">
        <v>509</v>
      </c>
      <c r="N724" s="646">
        <v>100935</v>
      </c>
      <c r="O724" s="646">
        <v>715</v>
      </c>
    </row>
    <row r="725" spans="1:15" ht="16" customHeight="1" thickBot="1">
      <c r="A725" s="126"/>
      <c r="B725" s="644"/>
      <c r="C725" s="645">
        <v>421</v>
      </c>
      <c r="D725" s="645" t="s">
        <v>1534</v>
      </c>
      <c r="E725" s="645">
        <v>988</v>
      </c>
      <c r="F725" s="645" t="s">
        <v>1131</v>
      </c>
      <c r="G725" s="645" t="s">
        <v>564</v>
      </c>
      <c r="H725" s="645">
        <v>60</v>
      </c>
      <c r="I725" s="645">
        <v>135</v>
      </c>
      <c r="J725" s="645">
        <v>0.44400000000000001</v>
      </c>
      <c r="K725" s="645" t="s">
        <v>496</v>
      </c>
      <c r="L725" s="645" t="s">
        <v>624</v>
      </c>
      <c r="M725" s="645" t="s">
        <v>509</v>
      </c>
      <c r="N725" s="646">
        <v>44593</v>
      </c>
      <c r="O725" s="646">
        <v>743</v>
      </c>
    </row>
    <row r="726" spans="1:15" ht="16" customHeight="1" thickBot="1">
      <c r="A726" s="126"/>
      <c r="B726" s="644"/>
      <c r="C726" s="648" t="s">
        <v>1523</v>
      </c>
      <c r="D726" s="648" t="s">
        <v>1523</v>
      </c>
      <c r="E726" s="648" t="s">
        <v>1523</v>
      </c>
      <c r="F726" s="648" t="s">
        <v>1523</v>
      </c>
      <c r="G726" s="648" t="s">
        <v>1523</v>
      </c>
      <c r="H726" s="648" t="s">
        <v>1523</v>
      </c>
      <c r="I726" s="648" t="s">
        <v>1523</v>
      </c>
      <c r="J726" s="648" t="s">
        <v>1523</v>
      </c>
      <c r="K726" s="648" t="s">
        <v>1523</v>
      </c>
      <c r="L726" s="648" t="s">
        <v>1523</v>
      </c>
      <c r="M726" s="648" t="s">
        <v>1523</v>
      </c>
      <c r="N726" s="648" t="s">
        <v>1523</v>
      </c>
      <c r="O726" s="648" t="s">
        <v>1523</v>
      </c>
    </row>
    <row r="727" spans="1:15" ht="16" customHeight="1" thickBot="1">
      <c r="A727" s="126"/>
      <c r="B727" s="644"/>
      <c r="C727" s="645">
        <v>422</v>
      </c>
      <c r="D727" s="645" t="s">
        <v>414</v>
      </c>
      <c r="E727" s="645">
        <v>190</v>
      </c>
      <c r="F727" s="645" t="s">
        <v>1132</v>
      </c>
      <c r="G727" s="645" t="s">
        <v>546</v>
      </c>
      <c r="H727" s="645">
        <v>75</v>
      </c>
      <c r="I727" s="645">
        <v>139</v>
      </c>
      <c r="J727" s="645">
        <v>0.54</v>
      </c>
      <c r="K727" s="645" t="s">
        <v>496</v>
      </c>
      <c r="L727" s="645" t="s">
        <v>497</v>
      </c>
      <c r="M727" s="645" t="s">
        <v>498</v>
      </c>
      <c r="N727" s="646">
        <v>0</v>
      </c>
      <c r="O727" s="646">
        <v>0</v>
      </c>
    </row>
    <row r="728" spans="1:15" ht="16" customHeight="1" thickBot="1">
      <c r="A728" s="126"/>
      <c r="B728" s="644"/>
      <c r="C728" s="645">
        <v>422</v>
      </c>
      <c r="D728" s="645" t="s">
        <v>414</v>
      </c>
      <c r="E728" s="645">
        <v>838</v>
      </c>
      <c r="F728" s="645" t="s">
        <v>1133</v>
      </c>
      <c r="G728" s="645" t="s">
        <v>512</v>
      </c>
      <c r="H728" s="645">
        <v>84</v>
      </c>
      <c r="I728" s="645">
        <v>140</v>
      </c>
      <c r="J728" s="645">
        <v>0.6</v>
      </c>
      <c r="K728" s="645" t="s">
        <v>496</v>
      </c>
      <c r="L728" s="645" t="s">
        <v>518</v>
      </c>
      <c r="M728" s="645" t="s">
        <v>498</v>
      </c>
      <c r="N728" s="646">
        <v>66822</v>
      </c>
      <c r="O728" s="646">
        <v>795</v>
      </c>
    </row>
    <row r="729" spans="1:15" ht="16" customHeight="1" thickBot="1">
      <c r="A729" s="126"/>
      <c r="B729" s="644"/>
      <c r="C729" s="648" t="s">
        <v>1523</v>
      </c>
      <c r="D729" s="648" t="s">
        <v>1523</v>
      </c>
      <c r="E729" s="648" t="s">
        <v>1523</v>
      </c>
      <c r="F729" s="648" t="s">
        <v>1523</v>
      </c>
      <c r="G729" s="648" t="s">
        <v>1523</v>
      </c>
      <c r="H729" s="648" t="s">
        <v>1523</v>
      </c>
      <c r="I729" s="648" t="s">
        <v>1523</v>
      </c>
      <c r="J729" s="648" t="s">
        <v>1523</v>
      </c>
      <c r="K729" s="648" t="s">
        <v>1523</v>
      </c>
      <c r="L729" s="648" t="s">
        <v>1523</v>
      </c>
      <c r="M729" s="648" t="s">
        <v>1523</v>
      </c>
      <c r="N729" s="648" t="s">
        <v>1523</v>
      </c>
      <c r="O729" s="648" t="s">
        <v>1523</v>
      </c>
    </row>
    <row r="730" spans="1:15" ht="16" customHeight="1" thickBot="1">
      <c r="A730" s="126"/>
      <c r="B730" s="644"/>
      <c r="C730" s="645">
        <v>431</v>
      </c>
      <c r="D730" s="645" t="s">
        <v>415</v>
      </c>
      <c r="E730" s="645">
        <v>191</v>
      </c>
      <c r="F730" s="645" t="s">
        <v>1134</v>
      </c>
      <c r="G730" s="645" t="s">
        <v>554</v>
      </c>
      <c r="H730" s="645">
        <v>205</v>
      </c>
      <c r="I730" s="645">
        <v>356</v>
      </c>
      <c r="J730" s="645">
        <v>0.57599999999999996</v>
      </c>
      <c r="K730" s="645" t="s">
        <v>496</v>
      </c>
      <c r="L730" s="645" t="s">
        <v>497</v>
      </c>
      <c r="M730" s="645" t="s">
        <v>498</v>
      </c>
      <c r="N730" s="646">
        <v>0</v>
      </c>
      <c r="O730" s="646">
        <v>0</v>
      </c>
    </row>
    <row r="731" spans="1:15" ht="16" customHeight="1" thickBot="1">
      <c r="A731" s="126"/>
      <c r="B731" s="644"/>
      <c r="C731" s="645">
        <v>431</v>
      </c>
      <c r="D731" s="645" t="s">
        <v>415</v>
      </c>
      <c r="E731" s="645">
        <v>192</v>
      </c>
      <c r="F731" s="645" t="s">
        <v>1135</v>
      </c>
      <c r="G731" s="645" t="s">
        <v>557</v>
      </c>
      <c r="H731" s="645">
        <v>254</v>
      </c>
      <c r="I731" s="645">
        <v>465</v>
      </c>
      <c r="J731" s="645">
        <v>0.54600000000000004</v>
      </c>
      <c r="K731" s="645" t="s">
        <v>496</v>
      </c>
      <c r="L731" s="645" t="s">
        <v>497</v>
      </c>
      <c r="M731" s="645" t="s">
        <v>505</v>
      </c>
      <c r="N731" s="646">
        <v>0</v>
      </c>
      <c r="O731" s="646">
        <v>0</v>
      </c>
    </row>
    <row r="732" spans="1:15" ht="16" customHeight="1" thickBot="1">
      <c r="A732" s="126"/>
      <c r="B732" s="644"/>
      <c r="C732" s="645">
        <v>431</v>
      </c>
      <c r="D732" s="645" t="s">
        <v>415</v>
      </c>
      <c r="E732" s="645">
        <v>839</v>
      </c>
      <c r="F732" s="645" t="s">
        <v>1136</v>
      </c>
      <c r="G732" s="645" t="s">
        <v>612</v>
      </c>
      <c r="H732" s="645">
        <v>270</v>
      </c>
      <c r="I732" s="645">
        <v>433</v>
      </c>
      <c r="J732" s="645">
        <v>0.624</v>
      </c>
      <c r="K732" s="645" t="s">
        <v>496</v>
      </c>
      <c r="L732" s="645" t="s">
        <v>518</v>
      </c>
      <c r="M732" s="645" t="s">
        <v>505</v>
      </c>
      <c r="N732" s="646">
        <v>161629</v>
      </c>
      <c r="O732" s="646">
        <v>598</v>
      </c>
    </row>
    <row r="733" spans="1:15" ht="16" customHeight="1" thickBot="1">
      <c r="A733" s="126"/>
      <c r="B733" s="644"/>
      <c r="C733" s="645">
        <v>431</v>
      </c>
      <c r="D733" s="645" t="s">
        <v>415</v>
      </c>
      <c r="E733" s="645">
        <v>840</v>
      </c>
      <c r="F733" s="645" t="s">
        <v>1137</v>
      </c>
      <c r="G733" s="645" t="s">
        <v>949</v>
      </c>
      <c r="H733" s="645">
        <v>137</v>
      </c>
      <c r="I733" s="645">
        <v>230</v>
      </c>
      <c r="J733" s="645">
        <v>0.59599999999999997</v>
      </c>
      <c r="K733" s="645" t="s">
        <v>496</v>
      </c>
      <c r="L733" s="645" t="s">
        <v>518</v>
      </c>
      <c r="M733" s="645" t="s">
        <v>509</v>
      </c>
      <c r="N733" s="646">
        <v>78493</v>
      </c>
      <c r="O733" s="646">
        <v>572</v>
      </c>
    </row>
    <row r="734" spans="1:15" ht="16" customHeight="1" thickBot="1">
      <c r="A734" s="126"/>
      <c r="B734" s="644"/>
      <c r="C734" s="648" t="s">
        <v>1523</v>
      </c>
      <c r="D734" s="648" t="s">
        <v>1523</v>
      </c>
      <c r="E734" s="648" t="s">
        <v>1523</v>
      </c>
      <c r="F734" s="648" t="s">
        <v>1523</v>
      </c>
      <c r="G734" s="648" t="s">
        <v>1523</v>
      </c>
      <c r="H734" s="648" t="s">
        <v>1523</v>
      </c>
      <c r="I734" s="648" t="s">
        <v>1523</v>
      </c>
      <c r="J734" s="648" t="s">
        <v>1523</v>
      </c>
      <c r="K734" s="648" t="s">
        <v>1523</v>
      </c>
      <c r="L734" s="648" t="s">
        <v>1523</v>
      </c>
      <c r="M734" s="648" t="s">
        <v>1523</v>
      </c>
      <c r="N734" s="648" t="s">
        <v>1523</v>
      </c>
      <c r="O734" s="648" t="s">
        <v>1523</v>
      </c>
    </row>
    <row r="735" spans="1:15" ht="16" customHeight="1" thickBot="1">
      <c r="A735" s="126"/>
      <c r="B735" s="644"/>
      <c r="C735" s="645">
        <v>432</v>
      </c>
      <c r="D735" s="645" t="s">
        <v>416</v>
      </c>
      <c r="E735" s="645">
        <v>193</v>
      </c>
      <c r="F735" s="645" t="s">
        <v>1138</v>
      </c>
      <c r="G735" s="645" t="s">
        <v>546</v>
      </c>
      <c r="H735" s="645">
        <v>23</v>
      </c>
      <c r="I735" s="645">
        <v>52</v>
      </c>
      <c r="J735" s="645">
        <v>0.442</v>
      </c>
      <c r="K735" s="645" t="s">
        <v>496</v>
      </c>
      <c r="L735" s="645" t="s">
        <v>497</v>
      </c>
      <c r="M735" s="645" t="s">
        <v>498</v>
      </c>
      <c r="N735" s="646">
        <v>0</v>
      </c>
      <c r="O735" s="646">
        <v>0</v>
      </c>
    </row>
    <row r="736" spans="1:15" ht="16" customHeight="1" thickBot="1">
      <c r="A736" s="126"/>
      <c r="B736" s="644"/>
      <c r="C736" s="645">
        <v>432</v>
      </c>
      <c r="D736" s="645" t="s">
        <v>416</v>
      </c>
      <c r="E736" s="645">
        <v>841</v>
      </c>
      <c r="F736" s="645" t="s">
        <v>1139</v>
      </c>
      <c r="G736" s="645" t="s">
        <v>512</v>
      </c>
      <c r="H736" s="645">
        <v>25</v>
      </c>
      <c r="I736" s="645">
        <v>48</v>
      </c>
      <c r="J736" s="645">
        <v>0.52100000000000002</v>
      </c>
      <c r="K736" s="645" t="s">
        <v>496</v>
      </c>
      <c r="L736" s="645" t="s">
        <v>518</v>
      </c>
      <c r="M736" s="645" t="s">
        <v>498</v>
      </c>
      <c r="N736" s="646">
        <v>38788</v>
      </c>
      <c r="O736" s="646">
        <v>1551</v>
      </c>
    </row>
    <row r="737" spans="1:15" ht="16" customHeight="1" thickBot="1">
      <c r="A737" s="126"/>
      <c r="B737" s="644"/>
      <c r="C737" s="648" t="s">
        <v>1523</v>
      </c>
      <c r="D737" s="648" t="s">
        <v>1523</v>
      </c>
      <c r="E737" s="648" t="s">
        <v>1523</v>
      </c>
      <c r="F737" s="648" t="s">
        <v>1523</v>
      </c>
      <c r="G737" s="648" t="s">
        <v>1523</v>
      </c>
      <c r="H737" s="648" t="s">
        <v>1523</v>
      </c>
      <c r="I737" s="648" t="s">
        <v>1523</v>
      </c>
      <c r="J737" s="648" t="s">
        <v>1523</v>
      </c>
      <c r="K737" s="648" t="s">
        <v>1523</v>
      </c>
      <c r="L737" s="648" t="s">
        <v>1523</v>
      </c>
      <c r="M737" s="648" t="s">
        <v>1523</v>
      </c>
      <c r="N737" s="648" t="s">
        <v>1523</v>
      </c>
      <c r="O737" s="648" t="s">
        <v>1523</v>
      </c>
    </row>
    <row r="738" spans="1:15" ht="16" customHeight="1" thickBot="1">
      <c r="A738" s="126"/>
      <c r="B738" s="644"/>
      <c r="C738" s="645">
        <v>433</v>
      </c>
      <c r="D738" s="645" t="s">
        <v>417</v>
      </c>
      <c r="E738" s="645">
        <v>286</v>
      </c>
      <c r="F738" s="645" t="s">
        <v>1140</v>
      </c>
      <c r="G738" s="645" t="s">
        <v>623</v>
      </c>
      <c r="H738" s="645">
        <v>88</v>
      </c>
      <c r="I738" s="645">
        <v>136</v>
      </c>
      <c r="J738" s="645">
        <v>0.64700000000000002</v>
      </c>
      <c r="K738" s="645" t="s">
        <v>496</v>
      </c>
      <c r="L738" s="645" t="s">
        <v>518</v>
      </c>
      <c r="M738" s="645" t="s">
        <v>509</v>
      </c>
      <c r="N738" s="646">
        <v>46269</v>
      </c>
      <c r="O738" s="646">
        <v>525</v>
      </c>
    </row>
    <row r="739" spans="1:15" ht="16" customHeight="1" thickBot="1">
      <c r="A739" s="126"/>
      <c r="B739" s="644"/>
      <c r="C739" s="648" t="s">
        <v>1523</v>
      </c>
      <c r="D739" s="648" t="s">
        <v>1523</v>
      </c>
      <c r="E739" s="648" t="s">
        <v>1523</v>
      </c>
      <c r="F739" s="648" t="s">
        <v>1523</v>
      </c>
      <c r="G739" s="648" t="s">
        <v>1523</v>
      </c>
      <c r="H739" s="648" t="s">
        <v>1523</v>
      </c>
      <c r="I739" s="648" t="s">
        <v>1523</v>
      </c>
      <c r="J739" s="648" t="s">
        <v>1523</v>
      </c>
      <c r="K739" s="648" t="s">
        <v>1523</v>
      </c>
      <c r="L739" s="648" t="s">
        <v>1523</v>
      </c>
      <c r="M739" s="648" t="s">
        <v>1523</v>
      </c>
      <c r="N739" s="648" t="s">
        <v>1523</v>
      </c>
      <c r="O739" s="648" t="s">
        <v>1523</v>
      </c>
    </row>
    <row r="740" spans="1:15" ht="16" customHeight="1" thickBot="1">
      <c r="A740" s="126"/>
      <c r="B740" s="644"/>
      <c r="C740" s="645">
        <v>451</v>
      </c>
      <c r="D740" s="645" t="s">
        <v>1535</v>
      </c>
      <c r="E740" s="645">
        <v>868</v>
      </c>
      <c r="F740" s="645" t="s">
        <v>418</v>
      </c>
      <c r="G740" s="645" t="s">
        <v>623</v>
      </c>
      <c r="H740" s="645">
        <v>131</v>
      </c>
      <c r="I740" s="645">
        <v>405</v>
      </c>
      <c r="J740" s="645">
        <v>0.32300000000000001</v>
      </c>
      <c r="K740" s="645" t="s">
        <v>496</v>
      </c>
      <c r="L740" s="645" t="s">
        <v>518</v>
      </c>
      <c r="M740" s="645" t="s">
        <v>509</v>
      </c>
      <c r="N740" s="646">
        <v>66358</v>
      </c>
      <c r="O740" s="646">
        <v>506</v>
      </c>
    </row>
    <row r="741" spans="1:15" ht="16" customHeight="1" thickBot="1">
      <c r="A741" s="126"/>
      <c r="B741" s="644"/>
      <c r="C741" s="648" t="s">
        <v>1523</v>
      </c>
      <c r="D741" s="648" t="s">
        <v>1523</v>
      </c>
      <c r="E741" s="648" t="s">
        <v>1523</v>
      </c>
      <c r="F741" s="648" t="s">
        <v>1523</v>
      </c>
      <c r="G741" s="648" t="s">
        <v>1523</v>
      </c>
      <c r="H741" s="648" t="s">
        <v>1523</v>
      </c>
      <c r="I741" s="648" t="s">
        <v>1523</v>
      </c>
      <c r="J741" s="648" t="s">
        <v>1523</v>
      </c>
      <c r="K741" s="648" t="s">
        <v>1523</v>
      </c>
      <c r="L741" s="648" t="s">
        <v>1523</v>
      </c>
      <c r="M741" s="648" t="s">
        <v>1523</v>
      </c>
      <c r="N741" s="648" t="s">
        <v>1523</v>
      </c>
      <c r="O741" s="648" t="s">
        <v>1523</v>
      </c>
    </row>
    <row r="742" spans="1:15" ht="16" customHeight="1" thickBot="1">
      <c r="A742" s="126"/>
      <c r="B742" s="644"/>
      <c r="C742" s="645">
        <v>452</v>
      </c>
      <c r="D742" s="645" t="s">
        <v>1536</v>
      </c>
      <c r="E742" s="645">
        <v>869</v>
      </c>
      <c r="F742" s="645" t="s">
        <v>419</v>
      </c>
      <c r="G742" s="645" t="s">
        <v>623</v>
      </c>
      <c r="H742" s="645">
        <v>2000</v>
      </c>
      <c r="I742" s="645">
        <v>2600</v>
      </c>
      <c r="J742" s="645">
        <v>0.76900000000000002</v>
      </c>
      <c r="K742" s="645" t="s">
        <v>496</v>
      </c>
      <c r="L742" s="645" t="s">
        <v>518</v>
      </c>
      <c r="M742" s="645" t="s">
        <v>498</v>
      </c>
      <c r="N742" s="646">
        <v>802413</v>
      </c>
      <c r="O742" s="646">
        <v>401</v>
      </c>
    </row>
    <row r="743" spans="1:15" ht="16" customHeight="1" thickBot="1">
      <c r="A743" s="126"/>
      <c r="B743" s="644"/>
      <c r="C743" s="645">
        <v>452</v>
      </c>
      <c r="D743" s="645" t="s">
        <v>1536</v>
      </c>
      <c r="E743" s="645">
        <v>1302</v>
      </c>
      <c r="F743" s="645" t="s">
        <v>1141</v>
      </c>
      <c r="G743" s="645" t="s">
        <v>557</v>
      </c>
      <c r="H743" s="645">
        <v>50</v>
      </c>
      <c r="I743" s="645">
        <v>85</v>
      </c>
      <c r="J743" s="645">
        <v>0.58799999999999997</v>
      </c>
      <c r="K743" s="645" t="s">
        <v>496</v>
      </c>
      <c r="L743" s="645" t="s">
        <v>497</v>
      </c>
      <c r="M743" s="645" t="s">
        <v>498</v>
      </c>
      <c r="N743" s="646">
        <v>0</v>
      </c>
      <c r="O743" s="646">
        <v>0</v>
      </c>
    </row>
    <row r="744" spans="1:15" ht="16" customHeight="1" thickBot="1">
      <c r="A744" s="126"/>
      <c r="B744" s="644"/>
      <c r="C744" s="648" t="s">
        <v>1523</v>
      </c>
      <c r="D744" s="648" t="s">
        <v>1523</v>
      </c>
      <c r="E744" s="648" t="s">
        <v>1523</v>
      </c>
      <c r="F744" s="648" t="s">
        <v>1523</v>
      </c>
      <c r="G744" s="648" t="s">
        <v>1523</v>
      </c>
      <c r="H744" s="648" t="s">
        <v>1523</v>
      </c>
      <c r="I744" s="648" t="s">
        <v>1523</v>
      </c>
      <c r="J744" s="648" t="s">
        <v>1523</v>
      </c>
      <c r="K744" s="648" t="s">
        <v>1523</v>
      </c>
      <c r="L744" s="648" t="s">
        <v>1523</v>
      </c>
      <c r="M744" s="648" t="s">
        <v>1523</v>
      </c>
      <c r="N744" s="648" t="s">
        <v>1523</v>
      </c>
      <c r="O744" s="648" t="s">
        <v>1523</v>
      </c>
    </row>
    <row r="745" spans="1:15" ht="16" customHeight="1" thickBot="1">
      <c r="A745" s="126"/>
      <c r="B745" s="644"/>
      <c r="C745" s="645">
        <v>454</v>
      </c>
      <c r="D745" s="645" t="s">
        <v>1537</v>
      </c>
      <c r="E745" s="645">
        <v>574</v>
      </c>
      <c r="F745" s="645" t="s">
        <v>421</v>
      </c>
      <c r="G745" s="645" t="s">
        <v>1145</v>
      </c>
      <c r="H745" s="645">
        <v>99</v>
      </c>
      <c r="I745" s="645">
        <v>248</v>
      </c>
      <c r="J745" s="645">
        <v>0.39900000000000002</v>
      </c>
      <c r="K745" s="645" t="s">
        <v>496</v>
      </c>
      <c r="L745" s="645" t="s">
        <v>518</v>
      </c>
      <c r="M745" s="645" t="s">
        <v>509</v>
      </c>
      <c r="N745" s="646">
        <v>45070</v>
      </c>
      <c r="O745" s="646">
        <v>455</v>
      </c>
    </row>
    <row r="746" spans="1:15" ht="16" customHeight="1" thickBot="1">
      <c r="A746" s="126"/>
      <c r="B746" s="644"/>
      <c r="C746" s="648" t="s">
        <v>1523</v>
      </c>
      <c r="D746" s="648" t="s">
        <v>1523</v>
      </c>
      <c r="E746" s="648" t="s">
        <v>1523</v>
      </c>
      <c r="F746" s="648" t="s">
        <v>1523</v>
      </c>
      <c r="G746" s="648" t="s">
        <v>1523</v>
      </c>
      <c r="H746" s="648" t="s">
        <v>1523</v>
      </c>
      <c r="I746" s="648" t="s">
        <v>1523</v>
      </c>
      <c r="J746" s="648" t="s">
        <v>1523</v>
      </c>
      <c r="K746" s="648" t="s">
        <v>1523</v>
      </c>
      <c r="L746" s="648" t="s">
        <v>1523</v>
      </c>
      <c r="M746" s="648" t="s">
        <v>1523</v>
      </c>
      <c r="N746" s="648" t="s">
        <v>1523</v>
      </c>
      <c r="O746" s="648" t="s">
        <v>1523</v>
      </c>
    </row>
    <row r="747" spans="1:15" ht="16" customHeight="1" thickBot="1">
      <c r="A747" s="126"/>
      <c r="B747" s="644"/>
      <c r="C747" s="645">
        <v>455</v>
      </c>
      <c r="D747" s="645" t="s">
        <v>1538</v>
      </c>
      <c r="E747" s="645">
        <v>575</v>
      </c>
      <c r="F747" s="645" t="s">
        <v>1539</v>
      </c>
      <c r="G747" s="645" t="s">
        <v>623</v>
      </c>
      <c r="H747" s="647" t="s">
        <v>1523</v>
      </c>
      <c r="I747" s="647" t="s">
        <v>1523</v>
      </c>
      <c r="J747" s="647" t="s">
        <v>1523</v>
      </c>
      <c r="K747" s="645" t="s">
        <v>496</v>
      </c>
      <c r="L747" s="645" t="s">
        <v>497</v>
      </c>
      <c r="M747" s="645" t="s">
        <v>509</v>
      </c>
      <c r="N747" s="646">
        <v>0</v>
      </c>
      <c r="O747" s="646">
        <v>0</v>
      </c>
    </row>
    <row r="748" spans="1:15" ht="16" customHeight="1" thickBot="1">
      <c r="A748" s="126"/>
      <c r="B748" s="644"/>
      <c r="C748" s="648" t="s">
        <v>1523</v>
      </c>
      <c r="D748" s="648" t="s">
        <v>1523</v>
      </c>
      <c r="E748" s="648" t="s">
        <v>1523</v>
      </c>
      <c r="F748" s="648" t="s">
        <v>1523</v>
      </c>
      <c r="G748" s="648" t="s">
        <v>1523</v>
      </c>
      <c r="H748" s="648" t="s">
        <v>1523</v>
      </c>
      <c r="I748" s="648" t="s">
        <v>1523</v>
      </c>
      <c r="J748" s="648" t="s">
        <v>1523</v>
      </c>
      <c r="K748" s="648" t="s">
        <v>1523</v>
      </c>
      <c r="L748" s="648" t="s">
        <v>1523</v>
      </c>
      <c r="M748" s="648" t="s">
        <v>1523</v>
      </c>
      <c r="N748" s="648" t="s">
        <v>1523</v>
      </c>
      <c r="O748" s="648" t="s">
        <v>1523</v>
      </c>
    </row>
    <row r="749" spans="1:15" ht="16" customHeight="1" thickBot="1">
      <c r="A749" s="126"/>
      <c r="B749" s="644"/>
      <c r="C749" s="645">
        <v>456</v>
      </c>
      <c r="D749" s="645" t="s">
        <v>1540</v>
      </c>
      <c r="E749" s="645">
        <v>576</v>
      </c>
      <c r="F749" s="645" t="s">
        <v>423</v>
      </c>
      <c r="G749" s="645" t="s">
        <v>551</v>
      </c>
      <c r="H749" s="645">
        <v>105</v>
      </c>
      <c r="I749" s="645">
        <v>274</v>
      </c>
      <c r="J749" s="645">
        <v>0.38300000000000001</v>
      </c>
      <c r="K749" s="645" t="s">
        <v>496</v>
      </c>
      <c r="L749" s="645" t="s">
        <v>624</v>
      </c>
      <c r="M749" s="645" t="s">
        <v>498</v>
      </c>
      <c r="N749" s="646">
        <v>53367</v>
      </c>
      <c r="O749" s="646">
        <v>508</v>
      </c>
    </row>
    <row r="750" spans="1:15" ht="16" customHeight="1" thickBot="1">
      <c r="A750" s="126"/>
      <c r="B750" s="644"/>
      <c r="C750" s="648" t="s">
        <v>1523</v>
      </c>
      <c r="D750" s="648" t="s">
        <v>1523</v>
      </c>
      <c r="E750" s="648" t="s">
        <v>1523</v>
      </c>
      <c r="F750" s="648" t="s">
        <v>1523</v>
      </c>
      <c r="G750" s="648" t="s">
        <v>1523</v>
      </c>
      <c r="H750" s="648" t="s">
        <v>1523</v>
      </c>
      <c r="I750" s="648" t="s">
        <v>1523</v>
      </c>
      <c r="J750" s="648" t="s">
        <v>1523</v>
      </c>
      <c r="K750" s="648" t="s">
        <v>1523</v>
      </c>
      <c r="L750" s="648" t="s">
        <v>1523</v>
      </c>
      <c r="M750" s="648" t="s">
        <v>1523</v>
      </c>
      <c r="N750" s="648" t="s">
        <v>1523</v>
      </c>
      <c r="O750" s="648" t="s">
        <v>1523</v>
      </c>
    </row>
    <row r="751" spans="1:15" ht="16" customHeight="1" thickBot="1">
      <c r="A751" s="126"/>
      <c r="B751" s="644"/>
      <c r="C751" s="645">
        <v>457</v>
      </c>
      <c r="D751" s="645" t="s">
        <v>1541</v>
      </c>
      <c r="E751" s="645">
        <v>578</v>
      </c>
      <c r="F751" s="645" t="s">
        <v>1148</v>
      </c>
      <c r="G751" s="645" t="s">
        <v>623</v>
      </c>
      <c r="H751" s="645">
        <v>678</v>
      </c>
      <c r="I751" s="645">
        <v>1322</v>
      </c>
      <c r="J751" s="645">
        <v>0.51300000000000001</v>
      </c>
      <c r="K751" s="645" t="s">
        <v>496</v>
      </c>
      <c r="L751" s="645" t="s">
        <v>518</v>
      </c>
      <c r="M751" s="645" t="s">
        <v>498</v>
      </c>
      <c r="N751" s="646">
        <v>176780</v>
      </c>
      <c r="O751" s="646">
        <v>260</v>
      </c>
    </row>
    <row r="752" spans="1:15" ht="16" customHeight="1" thickBot="1">
      <c r="A752" s="126"/>
      <c r="B752" s="644"/>
      <c r="C752" s="648" t="s">
        <v>1523</v>
      </c>
      <c r="D752" s="648" t="s">
        <v>1523</v>
      </c>
      <c r="E752" s="648" t="s">
        <v>1523</v>
      </c>
      <c r="F752" s="648" t="s">
        <v>1523</v>
      </c>
      <c r="G752" s="648" t="s">
        <v>1523</v>
      </c>
      <c r="H752" s="648" t="s">
        <v>1523</v>
      </c>
      <c r="I752" s="648" t="s">
        <v>1523</v>
      </c>
      <c r="J752" s="648" t="s">
        <v>1523</v>
      </c>
      <c r="K752" s="648" t="s">
        <v>1523</v>
      </c>
      <c r="L752" s="648" t="s">
        <v>1523</v>
      </c>
      <c r="M752" s="648" t="s">
        <v>1523</v>
      </c>
      <c r="N752" s="648" t="s">
        <v>1523</v>
      </c>
      <c r="O752" s="648" t="s">
        <v>1523</v>
      </c>
    </row>
    <row r="753" spans="1:15" ht="16" customHeight="1" thickBot="1">
      <c r="A753" s="126"/>
      <c r="B753" s="644"/>
      <c r="C753" s="645">
        <v>458</v>
      </c>
      <c r="D753" s="645" t="s">
        <v>1542</v>
      </c>
      <c r="E753" s="645">
        <v>587</v>
      </c>
      <c r="F753" s="645" t="s">
        <v>1150</v>
      </c>
      <c r="G753" s="645" t="s">
        <v>623</v>
      </c>
      <c r="H753" s="645">
        <v>158</v>
      </c>
      <c r="I753" s="645">
        <v>420</v>
      </c>
      <c r="J753" s="645">
        <v>0.376</v>
      </c>
      <c r="K753" s="645" t="s">
        <v>496</v>
      </c>
      <c r="L753" s="645" t="s">
        <v>624</v>
      </c>
      <c r="M753" s="645" t="s">
        <v>509</v>
      </c>
      <c r="N753" s="646">
        <v>65768</v>
      </c>
      <c r="O753" s="646">
        <v>416</v>
      </c>
    </row>
    <row r="754" spans="1:15" ht="16" customHeight="1" thickBot="1">
      <c r="A754" s="126"/>
      <c r="B754" s="644"/>
      <c r="C754" s="648" t="s">
        <v>1523</v>
      </c>
      <c r="D754" s="648" t="s">
        <v>1523</v>
      </c>
      <c r="E754" s="648" t="s">
        <v>1523</v>
      </c>
      <c r="F754" s="648" t="s">
        <v>1523</v>
      </c>
      <c r="G754" s="648" t="s">
        <v>1523</v>
      </c>
      <c r="H754" s="648" t="s">
        <v>1523</v>
      </c>
      <c r="I754" s="648" t="s">
        <v>1523</v>
      </c>
      <c r="J754" s="648" t="s">
        <v>1523</v>
      </c>
      <c r="K754" s="648" t="s">
        <v>1523</v>
      </c>
      <c r="L754" s="648" t="s">
        <v>1523</v>
      </c>
      <c r="M754" s="648" t="s">
        <v>1523</v>
      </c>
      <c r="N754" s="648" t="s">
        <v>1523</v>
      </c>
      <c r="O754" s="648" t="s">
        <v>1523</v>
      </c>
    </row>
    <row r="755" spans="1:15" ht="16" customHeight="1" thickBot="1">
      <c r="A755" s="126"/>
      <c r="B755" s="644"/>
      <c r="C755" s="645">
        <v>460</v>
      </c>
      <c r="D755" s="645" t="s">
        <v>1543</v>
      </c>
      <c r="E755" s="645">
        <v>641</v>
      </c>
      <c r="F755" s="645" t="s">
        <v>1152</v>
      </c>
      <c r="G755" s="645" t="s">
        <v>551</v>
      </c>
      <c r="H755" s="645">
        <v>115</v>
      </c>
      <c r="I755" s="645">
        <v>276</v>
      </c>
      <c r="J755" s="645">
        <v>0.41699999999999998</v>
      </c>
      <c r="K755" s="645" t="s">
        <v>496</v>
      </c>
      <c r="L755" s="645" t="s">
        <v>624</v>
      </c>
      <c r="M755" s="645" t="s">
        <v>498</v>
      </c>
      <c r="N755" s="646">
        <v>64514</v>
      </c>
      <c r="O755" s="646">
        <v>560</v>
      </c>
    </row>
    <row r="756" spans="1:15" ht="16" customHeight="1" thickBot="1">
      <c r="A756" s="126"/>
      <c r="B756" s="644"/>
      <c r="C756" s="648" t="s">
        <v>1523</v>
      </c>
      <c r="D756" s="648" t="s">
        <v>1523</v>
      </c>
      <c r="E756" s="648" t="s">
        <v>1523</v>
      </c>
      <c r="F756" s="648" t="s">
        <v>1523</v>
      </c>
      <c r="G756" s="648" t="s">
        <v>1523</v>
      </c>
      <c r="H756" s="648" t="s">
        <v>1523</v>
      </c>
      <c r="I756" s="648" t="s">
        <v>1523</v>
      </c>
      <c r="J756" s="648" t="s">
        <v>1523</v>
      </c>
      <c r="K756" s="648" t="s">
        <v>1523</v>
      </c>
      <c r="L756" s="648" t="s">
        <v>1523</v>
      </c>
      <c r="M756" s="648" t="s">
        <v>1523</v>
      </c>
      <c r="N756" s="648" t="s">
        <v>1523</v>
      </c>
      <c r="O756" s="648" t="s">
        <v>1523</v>
      </c>
    </row>
    <row r="757" spans="1:15" ht="16" customHeight="1" thickBot="1">
      <c r="A757" s="126"/>
      <c r="B757" s="644"/>
      <c r="C757" s="645">
        <v>461</v>
      </c>
      <c r="D757" s="645" t="s">
        <v>1544</v>
      </c>
      <c r="E757" s="645">
        <v>642</v>
      </c>
      <c r="F757" s="645" t="s">
        <v>426</v>
      </c>
      <c r="G757" s="645" t="s">
        <v>623</v>
      </c>
      <c r="H757" s="645">
        <v>177</v>
      </c>
      <c r="I757" s="645">
        <v>411</v>
      </c>
      <c r="J757" s="645">
        <v>0.43099999999999999</v>
      </c>
      <c r="K757" s="645" t="s">
        <v>496</v>
      </c>
      <c r="L757" s="645" t="s">
        <v>624</v>
      </c>
      <c r="M757" s="645" t="s">
        <v>509</v>
      </c>
      <c r="N757" s="646">
        <v>74863</v>
      </c>
      <c r="O757" s="646">
        <v>422</v>
      </c>
    </row>
    <row r="758" spans="1:15" ht="16" customHeight="1" thickBot="1">
      <c r="A758" s="126"/>
      <c r="B758" s="644"/>
      <c r="C758" s="648" t="s">
        <v>1523</v>
      </c>
      <c r="D758" s="648" t="s">
        <v>1523</v>
      </c>
      <c r="E758" s="648" t="s">
        <v>1523</v>
      </c>
      <c r="F758" s="648" t="s">
        <v>1523</v>
      </c>
      <c r="G758" s="648" t="s">
        <v>1523</v>
      </c>
      <c r="H758" s="648" t="s">
        <v>1523</v>
      </c>
      <c r="I758" s="648" t="s">
        <v>1523</v>
      </c>
      <c r="J758" s="648" t="s">
        <v>1523</v>
      </c>
      <c r="K758" s="648" t="s">
        <v>1523</v>
      </c>
      <c r="L758" s="648" t="s">
        <v>1523</v>
      </c>
      <c r="M758" s="648" t="s">
        <v>1523</v>
      </c>
      <c r="N758" s="648" t="s">
        <v>1523</v>
      </c>
      <c r="O758" s="648" t="s">
        <v>1523</v>
      </c>
    </row>
    <row r="759" spans="1:15" ht="16" customHeight="1" thickBot="1">
      <c r="A759" s="126"/>
      <c r="B759" s="644"/>
      <c r="C759" s="645">
        <v>462</v>
      </c>
      <c r="D759" s="645" t="s">
        <v>1545</v>
      </c>
      <c r="E759" s="645">
        <v>2512</v>
      </c>
      <c r="F759" s="645" t="s">
        <v>427</v>
      </c>
      <c r="G759" s="645" t="s">
        <v>623</v>
      </c>
      <c r="H759" s="645">
        <v>178</v>
      </c>
      <c r="I759" s="645">
        <v>655</v>
      </c>
      <c r="J759" s="645">
        <v>0.27200000000000002</v>
      </c>
      <c r="K759" s="645" t="s">
        <v>496</v>
      </c>
      <c r="L759" s="645" t="s">
        <v>518</v>
      </c>
      <c r="M759" s="645" t="s">
        <v>509</v>
      </c>
      <c r="N759" s="646">
        <v>62587</v>
      </c>
      <c r="O759" s="646">
        <v>351</v>
      </c>
    </row>
    <row r="760" spans="1:15" ht="16" customHeight="1" thickBot="1">
      <c r="A760" s="126"/>
      <c r="B760" s="644"/>
      <c r="C760" s="648" t="s">
        <v>1523</v>
      </c>
      <c r="D760" s="648" t="s">
        <v>1523</v>
      </c>
      <c r="E760" s="648" t="s">
        <v>1523</v>
      </c>
      <c r="F760" s="648" t="s">
        <v>1523</v>
      </c>
      <c r="G760" s="648" t="s">
        <v>1523</v>
      </c>
      <c r="H760" s="648" t="s">
        <v>1523</v>
      </c>
      <c r="I760" s="648" t="s">
        <v>1523</v>
      </c>
      <c r="J760" s="648" t="s">
        <v>1523</v>
      </c>
      <c r="K760" s="648" t="s">
        <v>1523</v>
      </c>
      <c r="L760" s="648" t="s">
        <v>1523</v>
      </c>
      <c r="M760" s="648" t="s">
        <v>1523</v>
      </c>
      <c r="N760" s="648" t="s">
        <v>1523</v>
      </c>
      <c r="O760" s="648" t="s">
        <v>1523</v>
      </c>
    </row>
    <row r="761" spans="1:15" ht="16" customHeight="1" thickBot="1">
      <c r="A761" s="126"/>
      <c r="B761" s="644"/>
      <c r="C761" s="645">
        <v>463</v>
      </c>
      <c r="D761" s="645" t="s">
        <v>1546</v>
      </c>
      <c r="E761" s="645">
        <v>888</v>
      </c>
      <c r="F761" s="645" t="s">
        <v>428</v>
      </c>
      <c r="G761" s="645" t="s">
        <v>1154</v>
      </c>
      <c r="H761" s="645">
        <v>248</v>
      </c>
      <c r="I761" s="645">
        <v>668</v>
      </c>
      <c r="J761" s="645">
        <v>0.371</v>
      </c>
      <c r="K761" s="645" t="s">
        <v>496</v>
      </c>
      <c r="L761" s="645" t="s">
        <v>624</v>
      </c>
      <c r="M761" s="645" t="s">
        <v>509</v>
      </c>
      <c r="N761" s="646">
        <v>73079</v>
      </c>
      <c r="O761" s="646">
        <v>294</v>
      </c>
    </row>
    <row r="762" spans="1:15" ht="16" customHeight="1" thickBot="1">
      <c r="A762" s="126"/>
      <c r="B762" s="644"/>
      <c r="C762" s="648" t="s">
        <v>1523</v>
      </c>
      <c r="D762" s="648" t="s">
        <v>1523</v>
      </c>
      <c r="E762" s="648" t="s">
        <v>1523</v>
      </c>
      <c r="F762" s="648" t="s">
        <v>1523</v>
      </c>
      <c r="G762" s="648" t="s">
        <v>1523</v>
      </c>
      <c r="H762" s="648" t="s">
        <v>1523</v>
      </c>
      <c r="I762" s="648" t="s">
        <v>1523</v>
      </c>
      <c r="J762" s="648" t="s">
        <v>1523</v>
      </c>
      <c r="K762" s="648" t="s">
        <v>1523</v>
      </c>
      <c r="L762" s="648" t="s">
        <v>1523</v>
      </c>
      <c r="M762" s="648" t="s">
        <v>1523</v>
      </c>
      <c r="N762" s="648" t="s">
        <v>1523</v>
      </c>
      <c r="O762" s="648" t="s">
        <v>1523</v>
      </c>
    </row>
    <row r="763" spans="1:15" ht="16" customHeight="1" thickBot="1">
      <c r="A763" s="126"/>
      <c r="B763" s="644"/>
      <c r="C763" s="645">
        <v>464</v>
      </c>
      <c r="D763" s="645" t="s">
        <v>1547</v>
      </c>
      <c r="E763" s="645">
        <v>2514</v>
      </c>
      <c r="F763" s="645" t="s">
        <v>429</v>
      </c>
      <c r="G763" s="645" t="s">
        <v>551</v>
      </c>
      <c r="H763" s="645">
        <v>143</v>
      </c>
      <c r="I763" s="645">
        <v>441</v>
      </c>
      <c r="J763" s="645">
        <v>0.32400000000000001</v>
      </c>
      <c r="K763" s="645" t="s">
        <v>496</v>
      </c>
      <c r="L763" s="645" t="s">
        <v>624</v>
      </c>
      <c r="M763" s="645" t="s">
        <v>509</v>
      </c>
      <c r="N763" s="646">
        <v>36156</v>
      </c>
      <c r="O763" s="646">
        <v>252</v>
      </c>
    </row>
    <row r="764" spans="1:15" ht="16" customHeight="1" thickBot="1">
      <c r="A764" s="126"/>
      <c r="B764" s="644"/>
      <c r="C764" s="648" t="s">
        <v>1523</v>
      </c>
      <c r="D764" s="648" t="s">
        <v>1523</v>
      </c>
      <c r="E764" s="648" t="s">
        <v>1523</v>
      </c>
      <c r="F764" s="648" t="s">
        <v>1523</v>
      </c>
      <c r="G764" s="648" t="s">
        <v>1523</v>
      </c>
      <c r="H764" s="648" t="s">
        <v>1523</v>
      </c>
      <c r="I764" s="648" t="s">
        <v>1523</v>
      </c>
      <c r="J764" s="648" t="s">
        <v>1523</v>
      </c>
      <c r="K764" s="648" t="s">
        <v>1523</v>
      </c>
      <c r="L764" s="648" t="s">
        <v>1523</v>
      </c>
      <c r="M764" s="648" t="s">
        <v>1523</v>
      </c>
      <c r="N764" s="648" t="s">
        <v>1523</v>
      </c>
      <c r="O764" s="648" t="s">
        <v>1523</v>
      </c>
    </row>
    <row r="765" spans="1:15" ht="16" customHeight="1" thickBot="1">
      <c r="A765" s="126"/>
      <c r="B765" s="644"/>
      <c r="C765" s="645">
        <v>465</v>
      </c>
      <c r="D765" s="645" t="s">
        <v>1548</v>
      </c>
      <c r="E765" s="645">
        <v>653</v>
      </c>
      <c r="F765" s="645" t="s">
        <v>430</v>
      </c>
      <c r="G765" s="645" t="s">
        <v>623</v>
      </c>
      <c r="H765" s="645">
        <v>158</v>
      </c>
      <c r="I765" s="645">
        <v>252</v>
      </c>
      <c r="J765" s="645">
        <v>0.627</v>
      </c>
      <c r="K765" s="645" t="s">
        <v>496</v>
      </c>
      <c r="L765" s="645" t="s">
        <v>624</v>
      </c>
      <c r="M765" s="645" t="s">
        <v>505</v>
      </c>
      <c r="N765" s="646">
        <v>60508</v>
      </c>
      <c r="O765" s="646">
        <v>382</v>
      </c>
    </row>
    <row r="766" spans="1:15" ht="16" customHeight="1" thickBot="1">
      <c r="A766" s="126"/>
      <c r="B766" s="644"/>
      <c r="C766" s="648" t="s">
        <v>1523</v>
      </c>
      <c r="D766" s="648" t="s">
        <v>1523</v>
      </c>
      <c r="E766" s="648" t="s">
        <v>1523</v>
      </c>
      <c r="F766" s="648" t="s">
        <v>1523</v>
      </c>
      <c r="G766" s="648" t="s">
        <v>1523</v>
      </c>
      <c r="H766" s="648" t="s">
        <v>1523</v>
      </c>
      <c r="I766" s="648" t="s">
        <v>1523</v>
      </c>
      <c r="J766" s="648" t="s">
        <v>1523</v>
      </c>
      <c r="K766" s="648" t="s">
        <v>1523</v>
      </c>
      <c r="L766" s="648" t="s">
        <v>1523</v>
      </c>
      <c r="M766" s="648" t="s">
        <v>1523</v>
      </c>
      <c r="N766" s="648" t="s">
        <v>1523</v>
      </c>
      <c r="O766" s="648" t="s">
        <v>1523</v>
      </c>
    </row>
    <row r="767" spans="1:15" ht="16" customHeight="1" thickBot="1">
      <c r="A767" s="126"/>
      <c r="B767" s="644"/>
      <c r="C767" s="645">
        <v>466</v>
      </c>
      <c r="D767" s="645" t="s">
        <v>1549</v>
      </c>
      <c r="E767" s="645">
        <v>654</v>
      </c>
      <c r="F767" s="645" t="s">
        <v>431</v>
      </c>
      <c r="G767" s="645" t="s">
        <v>557</v>
      </c>
      <c r="H767" s="645">
        <v>190</v>
      </c>
      <c r="I767" s="645">
        <v>400</v>
      </c>
      <c r="J767" s="645">
        <v>0.47499999999999998</v>
      </c>
      <c r="K767" s="645" t="s">
        <v>496</v>
      </c>
      <c r="L767" s="645" t="s">
        <v>624</v>
      </c>
      <c r="M767" s="645" t="s">
        <v>547</v>
      </c>
      <c r="N767" s="646">
        <v>50757</v>
      </c>
      <c r="O767" s="646">
        <v>267</v>
      </c>
    </row>
    <row r="768" spans="1:15" ht="16" customHeight="1" thickBot="1">
      <c r="A768" s="126"/>
      <c r="B768" s="644"/>
      <c r="C768" s="648" t="s">
        <v>1523</v>
      </c>
      <c r="D768" s="648" t="s">
        <v>1523</v>
      </c>
      <c r="E768" s="648" t="s">
        <v>1523</v>
      </c>
      <c r="F768" s="648" t="s">
        <v>1523</v>
      </c>
      <c r="G768" s="648" t="s">
        <v>1523</v>
      </c>
      <c r="H768" s="648" t="s">
        <v>1523</v>
      </c>
      <c r="I768" s="648" t="s">
        <v>1523</v>
      </c>
      <c r="J768" s="648" t="s">
        <v>1523</v>
      </c>
      <c r="K768" s="648" t="s">
        <v>1523</v>
      </c>
      <c r="L768" s="648" t="s">
        <v>1523</v>
      </c>
      <c r="M768" s="648" t="s">
        <v>1523</v>
      </c>
      <c r="N768" s="648" t="s">
        <v>1523</v>
      </c>
      <c r="O768" s="648" t="s">
        <v>1523</v>
      </c>
    </row>
    <row r="769" spans="1:15" ht="16" customHeight="1" thickBot="1">
      <c r="A769" s="126"/>
      <c r="B769" s="644"/>
      <c r="C769" s="645">
        <v>468</v>
      </c>
      <c r="D769" s="645" t="s">
        <v>1550</v>
      </c>
      <c r="E769" s="645">
        <v>1217</v>
      </c>
      <c r="F769" s="645" t="s">
        <v>1156</v>
      </c>
      <c r="G769" s="645" t="s">
        <v>1157</v>
      </c>
      <c r="H769" s="645">
        <v>132</v>
      </c>
      <c r="I769" s="645">
        <v>270</v>
      </c>
      <c r="J769" s="645">
        <v>0.48899999999999999</v>
      </c>
      <c r="K769" s="645" t="s">
        <v>496</v>
      </c>
      <c r="L769" s="645" t="s">
        <v>624</v>
      </c>
      <c r="M769" s="645" t="s">
        <v>498</v>
      </c>
      <c r="N769" s="646">
        <v>35645</v>
      </c>
      <c r="O769" s="646">
        <v>270</v>
      </c>
    </row>
    <row r="770" spans="1:15" ht="16" customHeight="1" thickBot="1">
      <c r="A770" s="126"/>
      <c r="B770" s="644"/>
      <c r="C770" s="648" t="s">
        <v>1523</v>
      </c>
      <c r="D770" s="648" t="s">
        <v>1523</v>
      </c>
      <c r="E770" s="648" t="s">
        <v>1523</v>
      </c>
      <c r="F770" s="648" t="s">
        <v>1523</v>
      </c>
      <c r="G770" s="648" t="s">
        <v>1523</v>
      </c>
      <c r="H770" s="648" t="s">
        <v>1523</v>
      </c>
      <c r="I770" s="648" t="s">
        <v>1523</v>
      </c>
      <c r="J770" s="648" t="s">
        <v>1523</v>
      </c>
      <c r="K770" s="648" t="s">
        <v>1523</v>
      </c>
      <c r="L770" s="648" t="s">
        <v>1523</v>
      </c>
      <c r="M770" s="648" t="s">
        <v>1523</v>
      </c>
      <c r="N770" s="648" t="s">
        <v>1523</v>
      </c>
      <c r="O770" s="648" t="s">
        <v>1523</v>
      </c>
    </row>
    <row r="771" spans="1:15" ht="16" customHeight="1" thickBot="1">
      <c r="A771" s="126"/>
      <c r="B771" s="644"/>
      <c r="C771" s="645">
        <v>470</v>
      </c>
      <c r="D771" s="645" t="s">
        <v>1551</v>
      </c>
      <c r="E771" s="645">
        <v>1232</v>
      </c>
      <c r="F771" s="645" t="s">
        <v>1552</v>
      </c>
      <c r="G771" s="645" t="s">
        <v>1553</v>
      </c>
      <c r="H771" s="647" t="s">
        <v>1523</v>
      </c>
      <c r="I771" s="647" t="s">
        <v>1523</v>
      </c>
      <c r="J771" s="647" t="s">
        <v>1523</v>
      </c>
      <c r="K771" s="647" t="s">
        <v>1523</v>
      </c>
      <c r="L771" s="645" t="s">
        <v>497</v>
      </c>
      <c r="M771" s="647" t="s">
        <v>1523</v>
      </c>
      <c r="N771" s="647" t="s">
        <v>1523</v>
      </c>
      <c r="O771" s="647" t="s">
        <v>1523</v>
      </c>
    </row>
    <row r="772" spans="1:15" ht="16" customHeight="1" thickBot="1">
      <c r="A772" s="126"/>
      <c r="B772" s="644"/>
      <c r="C772" s="648" t="s">
        <v>1523</v>
      </c>
      <c r="D772" s="648" t="s">
        <v>1523</v>
      </c>
      <c r="E772" s="648" t="s">
        <v>1523</v>
      </c>
      <c r="F772" s="648" t="s">
        <v>1523</v>
      </c>
      <c r="G772" s="648" t="s">
        <v>1523</v>
      </c>
      <c r="H772" s="648" t="s">
        <v>1523</v>
      </c>
      <c r="I772" s="648" t="s">
        <v>1523</v>
      </c>
      <c r="J772" s="648" t="s">
        <v>1523</v>
      </c>
      <c r="K772" s="648" t="s">
        <v>1523</v>
      </c>
      <c r="L772" s="648" t="s">
        <v>1523</v>
      </c>
      <c r="M772" s="648" t="s">
        <v>1523</v>
      </c>
      <c r="N772" s="648" t="s">
        <v>1523</v>
      </c>
      <c r="O772" s="648" t="s">
        <v>1523</v>
      </c>
    </row>
    <row r="773" spans="1:15" ht="16" customHeight="1" thickBot="1">
      <c r="A773" s="126"/>
      <c r="B773" s="644"/>
      <c r="C773" s="645">
        <v>472</v>
      </c>
      <c r="D773" s="645" t="s">
        <v>1554</v>
      </c>
      <c r="E773" s="645">
        <v>1234</v>
      </c>
      <c r="F773" s="645" t="s">
        <v>1159</v>
      </c>
      <c r="G773" s="645" t="s">
        <v>512</v>
      </c>
      <c r="H773" s="645">
        <v>51</v>
      </c>
      <c r="I773" s="645">
        <v>161</v>
      </c>
      <c r="J773" s="645">
        <v>0.317</v>
      </c>
      <c r="K773" s="645" t="s">
        <v>496</v>
      </c>
      <c r="L773" s="645" t="s">
        <v>624</v>
      </c>
      <c r="M773" s="645" t="s">
        <v>521</v>
      </c>
      <c r="N773" s="646">
        <v>23079</v>
      </c>
      <c r="O773" s="646">
        <v>452</v>
      </c>
    </row>
    <row r="774" spans="1:15" ht="16" customHeight="1" thickBot="1">
      <c r="A774" s="126"/>
      <c r="B774" s="644"/>
      <c r="C774" s="648" t="s">
        <v>1523</v>
      </c>
      <c r="D774" s="648" t="s">
        <v>1523</v>
      </c>
      <c r="E774" s="648" t="s">
        <v>1523</v>
      </c>
      <c r="F774" s="648" t="s">
        <v>1523</v>
      </c>
      <c r="G774" s="648" t="s">
        <v>1523</v>
      </c>
      <c r="H774" s="648" t="s">
        <v>1523</v>
      </c>
      <c r="I774" s="648" t="s">
        <v>1523</v>
      </c>
      <c r="J774" s="648" t="s">
        <v>1523</v>
      </c>
      <c r="K774" s="648" t="s">
        <v>1523</v>
      </c>
      <c r="L774" s="648" t="s">
        <v>1523</v>
      </c>
      <c r="M774" s="648" t="s">
        <v>1523</v>
      </c>
      <c r="N774" s="648" t="s">
        <v>1523</v>
      </c>
      <c r="O774" s="648" t="s">
        <v>1523</v>
      </c>
    </row>
    <row r="775" spans="1:15" ht="16" customHeight="1" thickBot="1">
      <c r="A775" s="126"/>
      <c r="B775" s="644"/>
      <c r="C775" s="645">
        <v>473</v>
      </c>
      <c r="D775" s="645" t="s">
        <v>1555</v>
      </c>
      <c r="E775" s="645">
        <v>1339</v>
      </c>
      <c r="F775" s="645" t="s">
        <v>1161</v>
      </c>
      <c r="G775" s="645" t="s">
        <v>997</v>
      </c>
      <c r="H775" s="645">
        <v>114</v>
      </c>
      <c r="I775" s="645">
        <v>381</v>
      </c>
      <c r="J775" s="645">
        <v>0.29899999999999999</v>
      </c>
      <c r="K775" s="645" t="s">
        <v>496</v>
      </c>
      <c r="L775" s="645" t="s">
        <v>624</v>
      </c>
      <c r="M775" s="645" t="s">
        <v>498</v>
      </c>
      <c r="N775" s="646">
        <v>37206</v>
      </c>
      <c r="O775" s="646">
        <v>326</v>
      </c>
    </row>
    <row r="776" spans="1:15" ht="16" customHeight="1" thickBot="1">
      <c r="A776" s="126"/>
      <c r="B776" s="644"/>
      <c r="C776" s="648" t="s">
        <v>1523</v>
      </c>
      <c r="D776" s="648" t="s">
        <v>1523</v>
      </c>
      <c r="E776" s="648" t="s">
        <v>1523</v>
      </c>
      <c r="F776" s="648" t="s">
        <v>1523</v>
      </c>
      <c r="G776" s="648" t="s">
        <v>1523</v>
      </c>
      <c r="H776" s="648" t="s">
        <v>1523</v>
      </c>
      <c r="I776" s="648" t="s">
        <v>1523</v>
      </c>
      <c r="J776" s="648" t="s">
        <v>1523</v>
      </c>
      <c r="K776" s="648" t="s">
        <v>1523</v>
      </c>
      <c r="L776" s="648" t="s">
        <v>1523</v>
      </c>
      <c r="M776" s="648" t="s">
        <v>1523</v>
      </c>
      <c r="N776" s="648" t="s">
        <v>1523</v>
      </c>
      <c r="O776" s="648" t="s">
        <v>1523</v>
      </c>
    </row>
    <row r="777" spans="1:15" ht="16" customHeight="1" thickBot="1">
      <c r="A777" s="126"/>
      <c r="B777" s="644"/>
      <c r="C777" s="645">
        <v>474</v>
      </c>
      <c r="D777" s="645" t="s">
        <v>1556</v>
      </c>
      <c r="E777" s="645">
        <v>1246</v>
      </c>
      <c r="F777" s="645" t="s">
        <v>1163</v>
      </c>
      <c r="G777" s="645" t="s">
        <v>693</v>
      </c>
      <c r="H777" s="645">
        <v>96</v>
      </c>
      <c r="I777" s="645">
        <v>209</v>
      </c>
      <c r="J777" s="645">
        <v>0.45900000000000002</v>
      </c>
      <c r="K777" s="645" t="s">
        <v>496</v>
      </c>
      <c r="L777" s="645" t="s">
        <v>624</v>
      </c>
      <c r="M777" s="645" t="s">
        <v>521</v>
      </c>
      <c r="N777" s="646">
        <v>37146</v>
      </c>
      <c r="O777" s="646">
        <v>386</v>
      </c>
    </row>
    <row r="778" spans="1:15" ht="16" customHeight="1" thickBot="1">
      <c r="A778" s="126"/>
      <c r="B778" s="644"/>
      <c r="C778" s="648" t="s">
        <v>1523</v>
      </c>
      <c r="D778" s="648" t="s">
        <v>1523</v>
      </c>
      <c r="E778" s="648" t="s">
        <v>1523</v>
      </c>
      <c r="F778" s="648" t="s">
        <v>1523</v>
      </c>
      <c r="G778" s="648" t="s">
        <v>1523</v>
      </c>
      <c r="H778" s="648" t="s">
        <v>1523</v>
      </c>
      <c r="I778" s="648" t="s">
        <v>1523</v>
      </c>
      <c r="J778" s="648" t="s">
        <v>1523</v>
      </c>
      <c r="K778" s="648" t="s">
        <v>1523</v>
      </c>
      <c r="L778" s="648" t="s">
        <v>1523</v>
      </c>
      <c r="M778" s="648" t="s">
        <v>1523</v>
      </c>
      <c r="N778" s="648" t="s">
        <v>1523</v>
      </c>
      <c r="O778" s="648" t="s">
        <v>1523</v>
      </c>
    </row>
    <row r="779" spans="1:15" ht="16" customHeight="1" thickBot="1">
      <c r="A779" s="126"/>
      <c r="B779" s="644"/>
      <c r="C779" s="645">
        <v>475</v>
      </c>
      <c r="D779" s="645" t="s">
        <v>1557</v>
      </c>
      <c r="E779" s="645">
        <v>1248</v>
      </c>
      <c r="F779" s="645" t="s">
        <v>243</v>
      </c>
      <c r="G779" s="645" t="s">
        <v>1145</v>
      </c>
      <c r="H779" s="645">
        <v>166</v>
      </c>
      <c r="I779" s="645">
        <v>949</v>
      </c>
      <c r="J779" s="645">
        <v>0.17499999999999999</v>
      </c>
      <c r="K779" s="645" t="s">
        <v>496</v>
      </c>
      <c r="L779" s="645" t="s">
        <v>624</v>
      </c>
      <c r="M779" s="645" t="s">
        <v>509</v>
      </c>
      <c r="N779" s="646">
        <v>60628</v>
      </c>
      <c r="O779" s="646">
        <v>365</v>
      </c>
    </row>
    <row r="780" spans="1:15" ht="16" customHeight="1" thickBot="1">
      <c r="A780" s="126"/>
      <c r="B780" s="644"/>
      <c r="C780" s="648" t="s">
        <v>1523</v>
      </c>
      <c r="D780" s="648" t="s">
        <v>1523</v>
      </c>
      <c r="E780" s="648" t="s">
        <v>1523</v>
      </c>
      <c r="F780" s="648" t="s">
        <v>1523</v>
      </c>
      <c r="G780" s="648" t="s">
        <v>1523</v>
      </c>
      <c r="H780" s="648" t="s">
        <v>1523</v>
      </c>
      <c r="I780" s="648" t="s">
        <v>1523</v>
      </c>
      <c r="J780" s="648" t="s">
        <v>1523</v>
      </c>
      <c r="K780" s="648" t="s">
        <v>1523</v>
      </c>
      <c r="L780" s="648" t="s">
        <v>1523</v>
      </c>
      <c r="M780" s="648" t="s">
        <v>1523</v>
      </c>
      <c r="N780" s="648" t="s">
        <v>1523</v>
      </c>
      <c r="O780" s="648" t="s">
        <v>1523</v>
      </c>
    </row>
    <row r="781" spans="1:15" ht="16" customHeight="1" thickBot="1">
      <c r="A781" s="126"/>
      <c r="B781" s="644"/>
      <c r="C781" s="645">
        <v>476</v>
      </c>
      <c r="D781" s="645" t="s">
        <v>1558</v>
      </c>
      <c r="E781" s="645">
        <v>1247</v>
      </c>
      <c r="F781" s="645" t="s">
        <v>1165</v>
      </c>
      <c r="G781" s="645" t="s">
        <v>623</v>
      </c>
      <c r="H781" s="645">
        <v>245</v>
      </c>
      <c r="I781" s="645">
        <v>383</v>
      </c>
      <c r="J781" s="645">
        <v>0.64</v>
      </c>
      <c r="K781" s="645" t="s">
        <v>496</v>
      </c>
      <c r="L781" s="645" t="s">
        <v>518</v>
      </c>
      <c r="M781" s="645" t="s">
        <v>547</v>
      </c>
      <c r="N781" s="646">
        <v>97568</v>
      </c>
      <c r="O781" s="646">
        <v>398</v>
      </c>
    </row>
    <row r="782" spans="1:15" ht="16" customHeight="1" thickBot="1">
      <c r="A782" s="126"/>
      <c r="B782" s="644"/>
      <c r="C782" s="648" t="s">
        <v>1523</v>
      </c>
      <c r="D782" s="648" t="s">
        <v>1523</v>
      </c>
      <c r="E782" s="648" t="s">
        <v>1523</v>
      </c>
      <c r="F782" s="648" t="s">
        <v>1523</v>
      </c>
      <c r="G782" s="648" t="s">
        <v>1523</v>
      </c>
      <c r="H782" s="648" t="s">
        <v>1523</v>
      </c>
      <c r="I782" s="648" t="s">
        <v>1523</v>
      </c>
      <c r="J782" s="648" t="s">
        <v>1523</v>
      </c>
      <c r="K782" s="648" t="s">
        <v>1523</v>
      </c>
      <c r="L782" s="648" t="s">
        <v>1523</v>
      </c>
      <c r="M782" s="648" t="s">
        <v>1523</v>
      </c>
      <c r="N782" s="648" t="s">
        <v>1523</v>
      </c>
      <c r="O782" s="648" t="s">
        <v>1523</v>
      </c>
    </row>
    <row r="783" spans="1:15" ht="16" customHeight="1" thickBot="1">
      <c r="A783" s="126"/>
      <c r="B783" s="644"/>
      <c r="C783" s="645">
        <v>477</v>
      </c>
      <c r="D783" s="645" t="s">
        <v>1559</v>
      </c>
      <c r="E783" s="645">
        <v>1294</v>
      </c>
      <c r="F783" s="645" t="s">
        <v>1166</v>
      </c>
      <c r="G783" s="645" t="s">
        <v>512</v>
      </c>
      <c r="H783" s="645">
        <v>246</v>
      </c>
      <c r="I783" s="645">
        <v>490</v>
      </c>
      <c r="J783" s="645">
        <v>0.502</v>
      </c>
      <c r="K783" s="645" t="s">
        <v>496</v>
      </c>
      <c r="L783" s="645" t="s">
        <v>518</v>
      </c>
      <c r="M783" s="645" t="s">
        <v>505</v>
      </c>
      <c r="N783" s="646">
        <v>45075</v>
      </c>
      <c r="O783" s="646">
        <v>183</v>
      </c>
    </row>
    <row r="784" spans="1:15" ht="16" customHeight="1" thickBot="1">
      <c r="A784" s="126"/>
      <c r="B784" s="644"/>
      <c r="C784" s="648" t="s">
        <v>1523</v>
      </c>
      <c r="D784" s="648" t="s">
        <v>1523</v>
      </c>
      <c r="E784" s="648" t="s">
        <v>1523</v>
      </c>
      <c r="F784" s="648" t="s">
        <v>1523</v>
      </c>
      <c r="G784" s="648" t="s">
        <v>1523</v>
      </c>
      <c r="H784" s="648" t="s">
        <v>1523</v>
      </c>
      <c r="I784" s="648" t="s">
        <v>1523</v>
      </c>
      <c r="J784" s="648" t="s">
        <v>1523</v>
      </c>
      <c r="K784" s="648" t="s">
        <v>1523</v>
      </c>
      <c r="L784" s="648" t="s">
        <v>1523</v>
      </c>
      <c r="M784" s="648" t="s">
        <v>1523</v>
      </c>
      <c r="N784" s="648" t="s">
        <v>1523</v>
      </c>
      <c r="O784" s="648" t="s">
        <v>1523</v>
      </c>
    </row>
    <row r="785" spans="1:15" ht="16" customHeight="1" thickBot="1">
      <c r="A785" s="126"/>
      <c r="B785" s="644"/>
      <c r="C785" s="645">
        <v>478</v>
      </c>
      <c r="D785" s="645" t="s">
        <v>1560</v>
      </c>
      <c r="E785" s="645">
        <v>1340</v>
      </c>
      <c r="F785" s="645" t="s">
        <v>246</v>
      </c>
      <c r="G785" s="645" t="s">
        <v>1168</v>
      </c>
      <c r="H785" s="645">
        <v>112</v>
      </c>
      <c r="I785" s="645">
        <v>291</v>
      </c>
      <c r="J785" s="645">
        <v>0.38500000000000001</v>
      </c>
      <c r="K785" s="645" t="s">
        <v>496</v>
      </c>
      <c r="L785" s="645" t="s">
        <v>624</v>
      </c>
      <c r="M785" s="645" t="s">
        <v>509</v>
      </c>
      <c r="N785" s="646">
        <v>47136</v>
      </c>
      <c r="O785" s="646">
        <v>420</v>
      </c>
    </row>
    <row r="786" spans="1:15" ht="16" customHeight="1" thickBot="1">
      <c r="A786" s="126"/>
      <c r="B786" s="644"/>
      <c r="C786" s="648" t="s">
        <v>1523</v>
      </c>
      <c r="D786" s="648" t="s">
        <v>1523</v>
      </c>
      <c r="E786" s="648" t="s">
        <v>1523</v>
      </c>
      <c r="F786" s="648" t="s">
        <v>1523</v>
      </c>
      <c r="G786" s="648" t="s">
        <v>1523</v>
      </c>
      <c r="H786" s="648" t="s">
        <v>1523</v>
      </c>
      <c r="I786" s="648" t="s">
        <v>1523</v>
      </c>
      <c r="J786" s="648" t="s">
        <v>1523</v>
      </c>
      <c r="K786" s="648" t="s">
        <v>1523</v>
      </c>
      <c r="L786" s="648" t="s">
        <v>1523</v>
      </c>
      <c r="M786" s="648" t="s">
        <v>1523</v>
      </c>
      <c r="N786" s="648" t="s">
        <v>1523</v>
      </c>
      <c r="O786" s="648" t="s">
        <v>1523</v>
      </c>
    </row>
    <row r="787" spans="1:15" ht="16" customHeight="1" thickBot="1">
      <c r="A787" s="126"/>
      <c r="B787" s="644"/>
      <c r="C787" s="645">
        <v>479</v>
      </c>
      <c r="D787" s="645" t="s">
        <v>1561</v>
      </c>
      <c r="E787" s="645">
        <v>1341</v>
      </c>
      <c r="F787" s="645" t="s">
        <v>247</v>
      </c>
      <c r="G787" s="645" t="s">
        <v>997</v>
      </c>
      <c r="H787" s="645">
        <v>101</v>
      </c>
      <c r="I787" s="645">
        <v>172</v>
      </c>
      <c r="J787" s="645">
        <v>0.58699999999999997</v>
      </c>
      <c r="K787" s="645" t="s">
        <v>496</v>
      </c>
      <c r="L787" s="645" t="s">
        <v>624</v>
      </c>
      <c r="M787" s="645" t="s">
        <v>547</v>
      </c>
      <c r="N787" s="646">
        <v>41138</v>
      </c>
      <c r="O787" s="646">
        <v>407</v>
      </c>
    </row>
    <row r="788" spans="1:15" ht="16" customHeight="1" thickBot="1">
      <c r="A788" s="126"/>
      <c r="B788" s="644"/>
      <c r="C788" s="648" t="s">
        <v>1523</v>
      </c>
      <c r="D788" s="648" t="s">
        <v>1523</v>
      </c>
      <c r="E788" s="648" t="s">
        <v>1523</v>
      </c>
      <c r="F788" s="648" t="s">
        <v>1523</v>
      </c>
      <c r="G788" s="648" t="s">
        <v>1523</v>
      </c>
      <c r="H788" s="648" t="s">
        <v>1523</v>
      </c>
      <c r="I788" s="648" t="s">
        <v>1523</v>
      </c>
      <c r="J788" s="648" t="s">
        <v>1523</v>
      </c>
      <c r="K788" s="648" t="s">
        <v>1523</v>
      </c>
      <c r="L788" s="648" t="s">
        <v>1523</v>
      </c>
      <c r="M788" s="648" t="s">
        <v>1523</v>
      </c>
      <c r="N788" s="648" t="s">
        <v>1523</v>
      </c>
      <c r="O788" s="648" t="s">
        <v>1523</v>
      </c>
    </row>
    <row r="789" spans="1:15" ht="16" customHeight="1" thickBot="1">
      <c r="A789" s="126"/>
      <c r="B789" s="644"/>
      <c r="C789" s="645">
        <v>480</v>
      </c>
      <c r="D789" s="645" t="s">
        <v>1562</v>
      </c>
      <c r="E789" s="645">
        <v>1342</v>
      </c>
      <c r="F789" s="645" t="s">
        <v>1563</v>
      </c>
      <c r="G789" s="645" t="s">
        <v>1168</v>
      </c>
      <c r="H789" s="647" t="s">
        <v>1523</v>
      </c>
      <c r="I789" s="647" t="s">
        <v>1523</v>
      </c>
      <c r="J789" s="647" t="s">
        <v>1523</v>
      </c>
      <c r="K789" s="645" t="s">
        <v>496</v>
      </c>
      <c r="L789" s="645" t="s">
        <v>497</v>
      </c>
      <c r="M789" s="645" t="s">
        <v>509</v>
      </c>
      <c r="N789" s="646">
        <v>0</v>
      </c>
      <c r="O789" s="647" t="s">
        <v>1523</v>
      </c>
    </row>
    <row r="790" spans="1:15" ht="16" customHeight="1" thickBot="1">
      <c r="A790" s="126"/>
      <c r="B790" s="644"/>
      <c r="C790" s="648" t="s">
        <v>1523</v>
      </c>
      <c r="D790" s="648" t="s">
        <v>1523</v>
      </c>
      <c r="E790" s="648" t="s">
        <v>1523</v>
      </c>
      <c r="F790" s="648" t="s">
        <v>1523</v>
      </c>
      <c r="G790" s="648" t="s">
        <v>1523</v>
      </c>
      <c r="H790" s="648" t="s">
        <v>1523</v>
      </c>
      <c r="I790" s="648" t="s">
        <v>1523</v>
      </c>
      <c r="J790" s="648" t="s">
        <v>1523</v>
      </c>
      <c r="K790" s="648" t="s">
        <v>1523</v>
      </c>
      <c r="L790" s="648" t="s">
        <v>1523</v>
      </c>
      <c r="M790" s="648" t="s">
        <v>1523</v>
      </c>
      <c r="N790" s="648" t="s">
        <v>1523</v>
      </c>
      <c r="O790" s="648" t="s">
        <v>1523</v>
      </c>
    </row>
    <row r="791" spans="1:15" ht="16" customHeight="1" thickBot="1">
      <c r="A791" s="126"/>
      <c r="B791" s="644"/>
      <c r="C791" s="645">
        <v>481</v>
      </c>
      <c r="D791" s="645" t="s">
        <v>1564</v>
      </c>
      <c r="E791" s="645">
        <v>1343</v>
      </c>
      <c r="F791" s="645" t="s">
        <v>1171</v>
      </c>
      <c r="G791" s="645" t="s">
        <v>1126</v>
      </c>
      <c r="H791" s="645">
        <v>350</v>
      </c>
      <c r="I791" s="645">
        <v>540</v>
      </c>
      <c r="J791" s="645">
        <v>0.64800000000000002</v>
      </c>
      <c r="K791" s="645" t="s">
        <v>496</v>
      </c>
      <c r="L791" s="645" t="s">
        <v>518</v>
      </c>
      <c r="M791" s="645" t="s">
        <v>521</v>
      </c>
      <c r="N791" s="646">
        <v>163010</v>
      </c>
      <c r="O791" s="646">
        <v>465</v>
      </c>
    </row>
    <row r="792" spans="1:15" ht="16" customHeight="1" thickBot="1">
      <c r="A792" s="126"/>
      <c r="B792" s="644"/>
      <c r="C792" s="648" t="s">
        <v>1523</v>
      </c>
      <c r="D792" s="648" t="s">
        <v>1523</v>
      </c>
      <c r="E792" s="648" t="s">
        <v>1523</v>
      </c>
      <c r="F792" s="648" t="s">
        <v>1523</v>
      </c>
      <c r="G792" s="648" t="s">
        <v>1523</v>
      </c>
      <c r="H792" s="648" t="s">
        <v>1523</v>
      </c>
      <c r="I792" s="648" t="s">
        <v>1523</v>
      </c>
      <c r="J792" s="648" t="s">
        <v>1523</v>
      </c>
      <c r="K792" s="648" t="s">
        <v>1523</v>
      </c>
      <c r="L792" s="648" t="s">
        <v>1523</v>
      </c>
      <c r="M792" s="648" t="s">
        <v>1523</v>
      </c>
      <c r="N792" s="648" t="s">
        <v>1523</v>
      </c>
      <c r="O792" s="648" t="s">
        <v>1523</v>
      </c>
    </row>
    <row r="793" spans="1:15" ht="16" customHeight="1" thickBot="1">
      <c r="A793" s="126"/>
      <c r="B793" s="644"/>
      <c r="C793" s="645">
        <v>482</v>
      </c>
      <c r="D793" s="645" t="s">
        <v>1565</v>
      </c>
      <c r="E793" s="645">
        <v>1346</v>
      </c>
      <c r="F793" s="645" t="s">
        <v>250</v>
      </c>
      <c r="G793" s="645" t="s">
        <v>1173</v>
      </c>
      <c r="H793" s="645">
        <v>70</v>
      </c>
      <c r="I793" s="645">
        <v>241</v>
      </c>
      <c r="J793" s="645">
        <v>0.28999999999999998</v>
      </c>
      <c r="K793" s="645" t="s">
        <v>496</v>
      </c>
      <c r="L793" s="645" t="s">
        <v>624</v>
      </c>
      <c r="M793" s="645" t="s">
        <v>509</v>
      </c>
      <c r="N793" s="646">
        <v>19442</v>
      </c>
      <c r="O793" s="646">
        <v>277</v>
      </c>
    </row>
    <row r="794" spans="1:15" ht="16" customHeight="1" thickBot="1">
      <c r="A794" s="126"/>
      <c r="B794" s="644"/>
      <c r="C794" s="648" t="s">
        <v>1523</v>
      </c>
      <c r="D794" s="648" t="s">
        <v>1523</v>
      </c>
      <c r="E794" s="648" t="s">
        <v>1523</v>
      </c>
      <c r="F794" s="648" t="s">
        <v>1523</v>
      </c>
      <c r="G794" s="648" t="s">
        <v>1523</v>
      </c>
      <c r="H794" s="648" t="s">
        <v>1523</v>
      </c>
      <c r="I794" s="648" t="s">
        <v>1523</v>
      </c>
      <c r="J794" s="648" t="s">
        <v>1523</v>
      </c>
      <c r="K794" s="648" t="s">
        <v>1523</v>
      </c>
      <c r="L794" s="648" t="s">
        <v>1523</v>
      </c>
      <c r="M794" s="648" t="s">
        <v>1523</v>
      </c>
      <c r="N794" s="648" t="s">
        <v>1523</v>
      </c>
      <c r="O794" s="648" t="s">
        <v>1523</v>
      </c>
    </row>
    <row r="795" spans="1:15" ht="16" customHeight="1" thickBot="1">
      <c r="A795" s="126"/>
      <c r="B795" s="644"/>
      <c r="C795" s="645">
        <v>483</v>
      </c>
      <c r="D795" s="645" t="s">
        <v>1566</v>
      </c>
      <c r="E795" s="645">
        <v>1347</v>
      </c>
      <c r="F795" s="645" t="s">
        <v>1175</v>
      </c>
      <c r="G795" s="645" t="s">
        <v>621</v>
      </c>
      <c r="H795" s="645">
        <v>92</v>
      </c>
      <c r="I795" s="645">
        <v>107</v>
      </c>
      <c r="J795" s="645">
        <v>0.86</v>
      </c>
      <c r="K795" s="645" t="s">
        <v>496</v>
      </c>
      <c r="L795" s="645" t="s">
        <v>624</v>
      </c>
      <c r="M795" s="645" t="s">
        <v>498</v>
      </c>
      <c r="N795" s="646">
        <v>25031</v>
      </c>
      <c r="O795" s="646">
        <v>272</v>
      </c>
    </row>
    <row r="796" spans="1:15" ht="16" customHeight="1" thickBot="1">
      <c r="A796" s="126"/>
      <c r="B796" s="644"/>
      <c r="C796" s="648" t="s">
        <v>1523</v>
      </c>
      <c r="D796" s="648" t="s">
        <v>1523</v>
      </c>
      <c r="E796" s="648" t="s">
        <v>1523</v>
      </c>
      <c r="F796" s="648" t="s">
        <v>1523</v>
      </c>
      <c r="G796" s="648" t="s">
        <v>1523</v>
      </c>
      <c r="H796" s="648" t="s">
        <v>1523</v>
      </c>
      <c r="I796" s="648" t="s">
        <v>1523</v>
      </c>
      <c r="J796" s="648" t="s">
        <v>1523</v>
      </c>
      <c r="K796" s="648" t="s">
        <v>1523</v>
      </c>
      <c r="L796" s="648" t="s">
        <v>1523</v>
      </c>
      <c r="M796" s="648" t="s">
        <v>1523</v>
      </c>
      <c r="N796" s="648" t="s">
        <v>1523</v>
      </c>
      <c r="O796" s="648" t="s">
        <v>1523</v>
      </c>
    </row>
    <row r="797" spans="1:15" ht="16" customHeight="1" thickBot="1">
      <c r="A797" s="126"/>
      <c r="B797" s="644"/>
      <c r="C797" s="645">
        <v>485</v>
      </c>
      <c r="D797" s="645" t="s">
        <v>1567</v>
      </c>
      <c r="E797" s="645">
        <v>1364</v>
      </c>
      <c r="F797" s="645" t="s">
        <v>1568</v>
      </c>
      <c r="G797" s="645" t="s">
        <v>1569</v>
      </c>
      <c r="H797" s="645">
        <v>54</v>
      </c>
      <c r="I797" s="645">
        <v>85</v>
      </c>
      <c r="J797" s="645">
        <v>0.63500000000000001</v>
      </c>
      <c r="K797" s="645" t="s">
        <v>496</v>
      </c>
      <c r="L797" s="645" t="s">
        <v>624</v>
      </c>
      <c r="M797" s="645" t="s">
        <v>509</v>
      </c>
      <c r="N797" s="646">
        <v>17152</v>
      </c>
      <c r="O797" s="646">
        <v>317</v>
      </c>
    </row>
    <row r="798" spans="1:15" ht="16" customHeight="1" thickBot="1">
      <c r="A798" s="126"/>
      <c r="B798" s="644"/>
      <c r="C798" s="648" t="s">
        <v>1523</v>
      </c>
      <c r="D798" s="648" t="s">
        <v>1523</v>
      </c>
      <c r="E798" s="648" t="s">
        <v>1523</v>
      </c>
      <c r="F798" s="648" t="s">
        <v>1523</v>
      </c>
      <c r="G798" s="648" t="s">
        <v>1523</v>
      </c>
      <c r="H798" s="648" t="s">
        <v>1523</v>
      </c>
      <c r="I798" s="648" t="s">
        <v>1523</v>
      </c>
      <c r="J798" s="648" t="s">
        <v>1523</v>
      </c>
      <c r="K798" s="648" t="s">
        <v>1523</v>
      </c>
      <c r="L798" s="648" t="s">
        <v>1523</v>
      </c>
      <c r="M798" s="648" t="s">
        <v>1523</v>
      </c>
      <c r="N798" s="648" t="s">
        <v>1523</v>
      </c>
      <c r="O798" s="648" t="s">
        <v>1523</v>
      </c>
    </row>
    <row r="799" spans="1:15" ht="16" customHeight="1" thickBot="1">
      <c r="A799" s="126"/>
      <c r="B799" s="644"/>
      <c r="C799" s="645">
        <v>487</v>
      </c>
      <c r="D799" s="645" t="s">
        <v>1570</v>
      </c>
      <c r="E799" s="645">
        <v>1365</v>
      </c>
      <c r="F799" s="645" t="s">
        <v>1177</v>
      </c>
      <c r="G799" s="645" t="s">
        <v>1178</v>
      </c>
      <c r="H799" s="645">
        <v>174</v>
      </c>
      <c r="I799" s="645">
        <v>355</v>
      </c>
      <c r="J799" s="645">
        <v>0.49</v>
      </c>
      <c r="K799" s="645" t="s">
        <v>496</v>
      </c>
      <c r="L799" s="645" t="s">
        <v>624</v>
      </c>
      <c r="M799" s="645" t="s">
        <v>509</v>
      </c>
      <c r="N799" s="646">
        <v>49463</v>
      </c>
      <c r="O799" s="646">
        <v>284</v>
      </c>
    </row>
    <row r="800" spans="1:15" ht="16" customHeight="1" thickBot="1">
      <c r="A800" s="126"/>
      <c r="B800" s="644"/>
      <c r="C800" s="648" t="s">
        <v>1523</v>
      </c>
      <c r="D800" s="648" t="s">
        <v>1523</v>
      </c>
      <c r="E800" s="648" t="s">
        <v>1523</v>
      </c>
      <c r="F800" s="648" t="s">
        <v>1523</v>
      </c>
      <c r="G800" s="648" t="s">
        <v>1523</v>
      </c>
      <c r="H800" s="648" t="s">
        <v>1523</v>
      </c>
      <c r="I800" s="648" t="s">
        <v>1523</v>
      </c>
      <c r="J800" s="648" t="s">
        <v>1523</v>
      </c>
      <c r="K800" s="648" t="s">
        <v>1523</v>
      </c>
      <c r="L800" s="648" t="s">
        <v>1523</v>
      </c>
      <c r="M800" s="648" t="s">
        <v>1523</v>
      </c>
      <c r="N800" s="648" t="s">
        <v>1523</v>
      </c>
      <c r="O800" s="648" t="s">
        <v>1523</v>
      </c>
    </row>
    <row r="801" spans="1:15" ht="16" customHeight="1" thickBot="1">
      <c r="A801" s="126"/>
      <c r="B801" s="644"/>
      <c r="C801" s="645">
        <v>488</v>
      </c>
      <c r="D801" s="645" t="s">
        <v>1571</v>
      </c>
      <c r="E801" s="645">
        <v>1367</v>
      </c>
      <c r="F801" s="645" t="s">
        <v>450</v>
      </c>
      <c r="G801" s="645" t="s">
        <v>706</v>
      </c>
      <c r="H801" s="645">
        <v>41</v>
      </c>
      <c r="I801" s="645">
        <v>130</v>
      </c>
      <c r="J801" s="645">
        <v>0.315</v>
      </c>
      <c r="K801" s="645" t="s">
        <v>496</v>
      </c>
      <c r="L801" s="645" t="s">
        <v>624</v>
      </c>
      <c r="M801" s="645" t="s">
        <v>509</v>
      </c>
      <c r="N801" s="646">
        <v>8345</v>
      </c>
      <c r="O801" s="646">
        <v>203</v>
      </c>
    </row>
    <row r="802" spans="1:15" ht="16" customHeight="1" thickBot="1">
      <c r="A802" s="126"/>
      <c r="B802" s="644"/>
      <c r="C802" s="648" t="s">
        <v>1523</v>
      </c>
      <c r="D802" s="648" t="s">
        <v>1523</v>
      </c>
      <c r="E802" s="648" t="s">
        <v>1523</v>
      </c>
      <c r="F802" s="648" t="s">
        <v>1523</v>
      </c>
      <c r="G802" s="648" t="s">
        <v>1523</v>
      </c>
      <c r="H802" s="648" t="s">
        <v>1523</v>
      </c>
      <c r="I802" s="648" t="s">
        <v>1523</v>
      </c>
      <c r="J802" s="648" t="s">
        <v>1523</v>
      </c>
      <c r="K802" s="648" t="s">
        <v>1523</v>
      </c>
      <c r="L802" s="648" t="s">
        <v>1523</v>
      </c>
      <c r="M802" s="648" t="s">
        <v>1523</v>
      </c>
      <c r="N802" s="648" t="s">
        <v>1523</v>
      </c>
      <c r="O802" s="648" t="s">
        <v>1523</v>
      </c>
    </row>
    <row r="803" spans="1:15" ht="16" customHeight="1" thickBot="1">
      <c r="A803" s="126"/>
      <c r="B803" s="644"/>
      <c r="C803" s="645">
        <v>489</v>
      </c>
      <c r="D803" s="645" t="s">
        <v>1572</v>
      </c>
      <c r="E803" s="645">
        <v>1368</v>
      </c>
      <c r="F803" s="645" t="s">
        <v>1180</v>
      </c>
      <c r="G803" s="645" t="s">
        <v>557</v>
      </c>
      <c r="H803" s="645">
        <v>50</v>
      </c>
      <c r="I803" s="645">
        <v>85</v>
      </c>
      <c r="J803" s="645">
        <v>0.58799999999999997</v>
      </c>
      <c r="K803" s="645" t="s">
        <v>496</v>
      </c>
      <c r="L803" s="645" t="s">
        <v>518</v>
      </c>
      <c r="M803" s="645" t="s">
        <v>509</v>
      </c>
      <c r="N803" s="646">
        <v>18313</v>
      </c>
      <c r="O803" s="646">
        <v>366</v>
      </c>
    </row>
    <row r="804" spans="1:15" ht="16" customHeight="1" thickBot="1">
      <c r="A804" s="126"/>
      <c r="B804" s="644"/>
      <c r="C804" s="648" t="s">
        <v>1523</v>
      </c>
      <c r="D804" s="648" t="s">
        <v>1523</v>
      </c>
      <c r="E804" s="648" t="s">
        <v>1523</v>
      </c>
      <c r="F804" s="648" t="s">
        <v>1523</v>
      </c>
      <c r="G804" s="648" t="s">
        <v>1523</v>
      </c>
      <c r="H804" s="648" t="s">
        <v>1523</v>
      </c>
      <c r="I804" s="648" t="s">
        <v>1523</v>
      </c>
      <c r="J804" s="648" t="s">
        <v>1523</v>
      </c>
      <c r="K804" s="648" t="s">
        <v>1523</v>
      </c>
      <c r="L804" s="648" t="s">
        <v>1523</v>
      </c>
      <c r="M804" s="648" t="s">
        <v>1523</v>
      </c>
      <c r="N804" s="648" t="s">
        <v>1523</v>
      </c>
      <c r="O804" s="648" t="s">
        <v>1523</v>
      </c>
    </row>
    <row r="805" spans="1:15" ht="16" customHeight="1" thickBot="1">
      <c r="B805" s="644"/>
      <c r="C805" s="645">
        <v>490</v>
      </c>
      <c r="D805" s="645" t="s">
        <v>1573</v>
      </c>
      <c r="E805" s="645">
        <v>1369</v>
      </c>
      <c r="F805" s="645" t="s">
        <v>1182</v>
      </c>
      <c r="G805" s="645" t="s">
        <v>623</v>
      </c>
      <c r="H805" s="645">
        <v>331</v>
      </c>
      <c r="I805" s="645">
        <v>635</v>
      </c>
      <c r="J805" s="645">
        <v>0.52100000000000002</v>
      </c>
      <c r="K805" s="645" t="s">
        <v>496</v>
      </c>
      <c r="L805" s="645" t="s">
        <v>518</v>
      </c>
      <c r="M805" s="645" t="s">
        <v>509</v>
      </c>
      <c r="N805" s="646">
        <v>150256</v>
      </c>
      <c r="O805" s="646">
        <v>453</v>
      </c>
    </row>
    <row r="806" spans="1:15" ht="16" customHeight="1" thickBot="1">
      <c r="B806" s="644"/>
      <c r="C806" s="645">
        <v>490</v>
      </c>
      <c r="D806" s="645" t="s">
        <v>1573</v>
      </c>
      <c r="E806" s="645">
        <v>1376</v>
      </c>
      <c r="F806" s="645" t="s">
        <v>1183</v>
      </c>
      <c r="G806" s="645" t="s">
        <v>1184</v>
      </c>
      <c r="H806" s="645">
        <v>16</v>
      </c>
      <c r="I806" s="645">
        <v>38</v>
      </c>
      <c r="J806" s="645">
        <v>0.42099999999999999</v>
      </c>
      <c r="K806" s="645" t="s">
        <v>496</v>
      </c>
      <c r="L806" s="645" t="s">
        <v>624</v>
      </c>
      <c r="M806" s="645" t="s">
        <v>509</v>
      </c>
      <c r="N806" s="646">
        <v>6912</v>
      </c>
      <c r="O806" s="646">
        <v>432</v>
      </c>
    </row>
    <row r="807" spans="1:15" ht="16" customHeight="1" thickBot="1">
      <c r="B807" s="644"/>
      <c r="C807" s="648" t="s">
        <v>1523</v>
      </c>
      <c r="D807" s="648" t="s">
        <v>1523</v>
      </c>
      <c r="E807" s="648" t="s">
        <v>1523</v>
      </c>
      <c r="F807" s="648" t="s">
        <v>1523</v>
      </c>
      <c r="G807" s="648" t="s">
        <v>1523</v>
      </c>
      <c r="H807" s="648" t="s">
        <v>1523</v>
      </c>
      <c r="I807" s="648" t="s">
        <v>1523</v>
      </c>
      <c r="J807" s="648" t="s">
        <v>1523</v>
      </c>
      <c r="K807" s="648" t="s">
        <v>1523</v>
      </c>
      <c r="L807" s="648" t="s">
        <v>1523</v>
      </c>
      <c r="M807" s="648" t="s">
        <v>1523</v>
      </c>
      <c r="N807" s="648" t="s">
        <v>1523</v>
      </c>
      <c r="O807" s="648" t="s">
        <v>1523</v>
      </c>
    </row>
    <row r="808" spans="1:15" ht="16" customHeight="1" thickBot="1">
      <c r="B808" s="644"/>
      <c r="C808" s="668">
        <v>25</v>
      </c>
      <c r="D808" s="645" t="s">
        <v>1574</v>
      </c>
      <c r="E808" s="645">
        <v>623</v>
      </c>
      <c r="F808" s="645" t="s">
        <v>457</v>
      </c>
      <c r="G808" s="645" t="s">
        <v>551</v>
      </c>
      <c r="H808" s="645">
        <v>144</v>
      </c>
      <c r="I808" s="645">
        <v>341</v>
      </c>
      <c r="J808" s="645">
        <v>0.42199999999999999</v>
      </c>
      <c r="K808" s="645" t="s">
        <v>496</v>
      </c>
      <c r="L808" s="645" t="s">
        <v>624</v>
      </c>
      <c r="M808" s="645" t="s">
        <v>509</v>
      </c>
      <c r="N808" s="646">
        <v>39986</v>
      </c>
      <c r="O808" s="647"/>
    </row>
    <row r="809" spans="1:15">
      <c r="B809" s="128"/>
      <c r="C809" s="128"/>
      <c r="D809" s="128"/>
      <c r="E809" s="128"/>
      <c r="F809" s="128"/>
      <c r="G809" s="128"/>
      <c r="H809" s="128"/>
      <c r="I809" s="128"/>
      <c r="J809" s="128"/>
      <c r="K809" s="128"/>
      <c r="L809" s="128"/>
      <c r="M809" s="128"/>
      <c r="N809" s="128"/>
      <c r="O809" s="128"/>
    </row>
  </sheetData>
  <autoFilter ref="R3:T147"/>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V804"/>
  <sheetViews>
    <sheetView workbookViewId="0">
      <selection activeCell="SS10" sqref="SS10"/>
    </sheetView>
  </sheetViews>
  <sheetFormatPr defaultRowHeight="14.5"/>
  <cols>
    <col min="2" max="3" width="13.7265625" customWidth="1"/>
    <col min="4" max="4" width="8.81640625" customWidth="1"/>
    <col min="5" max="5" width="13.7265625" customWidth="1"/>
    <col min="6" max="6" width="8.7265625" customWidth="1"/>
    <col min="7" max="7" width="12.54296875" customWidth="1"/>
    <col min="8" max="8" width="12.453125" customWidth="1"/>
    <col min="9" max="9" width="11" customWidth="1"/>
    <col min="10" max="11" width="11.453125" customWidth="1"/>
    <col min="12" max="12" width="16.54296875" customWidth="1"/>
    <col min="13" max="13" width="12.453125" customWidth="1"/>
    <col min="14" max="14" width="10.453125" customWidth="1"/>
    <col min="15" max="15" width="0" hidden="1" customWidth="1"/>
    <col min="16" max="16" width="23.26953125" customWidth="1"/>
    <col min="17" max="17" width="0" hidden="1" customWidth="1"/>
    <col min="20" max="22" width="12.1796875" customWidth="1"/>
    <col min="258" max="259" width="13.7265625" customWidth="1"/>
    <col min="260" max="260" width="8.81640625" customWidth="1"/>
    <col min="261" max="261" width="13.7265625" customWidth="1"/>
    <col min="262" max="262" width="8.7265625" customWidth="1"/>
    <col min="263" max="263" width="12.54296875" customWidth="1"/>
    <col min="264" max="264" width="12.453125" customWidth="1"/>
    <col min="265" max="265" width="11" customWidth="1"/>
    <col min="266" max="267" width="11.453125" customWidth="1"/>
    <col min="268" max="268" width="16.54296875" customWidth="1"/>
    <col min="269" max="269" width="12.453125" customWidth="1"/>
    <col min="270" max="270" width="10.453125" customWidth="1"/>
    <col min="271" max="271" width="0" hidden="1" customWidth="1"/>
    <col min="272" max="272" width="23.26953125" customWidth="1"/>
    <col min="273" max="273" width="0" hidden="1" customWidth="1"/>
    <col min="514" max="515" width="13.7265625" customWidth="1"/>
    <col min="516" max="516" width="8.81640625" customWidth="1"/>
    <col min="517" max="517" width="13.7265625" customWidth="1"/>
    <col min="518" max="518" width="8.7265625" customWidth="1"/>
    <col min="519" max="519" width="12.54296875" customWidth="1"/>
    <col min="520" max="520" width="12.453125" customWidth="1"/>
    <col min="521" max="521" width="11" customWidth="1"/>
    <col min="522" max="523" width="11.453125" customWidth="1"/>
    <col min="524" max="524" width="16.54296875" customWidth="1"/>
    <col min="525" max="525" width="12.453125" customWidth="1"/>
    <col min="526" max="526" width="10.453125" customWidth="1"/>
    <col min="527" max="527" width="0" hidden="1" customWidth="1"/>
    <col min="528" max="528" width="23.26953125" customWidth="1"/>
    <col min="529" max="529" width="0" hidden="1" customWidth="1"/>
    <col min="770" max="771" width="13.7265625" customWidth="1"/>
    <col min="772" max="772" width="8.81640625" customWidth="1"/>
    <col min="773" max="773" width="13.7265625" customWidth="1"/>
    <col min="774" max="774" width="8.7265625" customWidth="1"/>
    <col min="775" max="775" width="12.54296875" customWidth="1"/>
    <col min="776" max="776" width="12.453125" customWidth="1"/>
    <col min="777" max="777" width="11" customWidth="1"/>
    <col min="778" max="779" width="11.453125" customWidth="1"/>
    <col min="780" max="780" width="16.54296875" customWidth="1"/>
    <col min="781" max="781" width="12.453125" customWidth="1"/>
    <col min="782" max="782" width="10.453125" customWidth="1"/>
    <col min="783" max="783" width="0" hidden="1" customWidth="1"/>
    <col min="784" max="784" width="23.26953125" customWidth="1"/>
    <col min="785" max="785" width="0" hidden="1" customWidth="1"/>
    <col min="1026" max="1027" width="13.7265625" customWidth="1"/>
    <col min="1028" max="1028" width="8.81640625" customWidth="1"/>
    <col min="1029" max="1029" width="13.7265625" customWidth="1"/>
    <col min="1030" max="1030" width="8.7265625" customWidth="1"/>
    <col min="1031" max="1031" width="12.54296875" customWidth="1"/>
    <col min="1032" max="1032" width="12.453125" customWidth="1"/>
    <col min="1033" max="1033" width="11" customWidth="1"/>
    <col min="1034" max="1035" width="11.453125" customWidth="1"/>
    <col min="1036" max="1036" width="16.54296875" customWidth="1"/>
    <col min="1037" max="1037" width="12.453125" customWidth="1"/>
    <col min="1038" max="1038" width="10.453125" customWidth="1"/>
    <col min="1039" max="1039" width="0" hidden="1" customWidth="1"/>
    <col min="1040" max="1040" width="23.26953125" customWidth="1"/>
    <col min="1041" max="1041" width="0" hidden="1" customWidth="1"/>
    <col min="1282" max="1283" width="13.7265625" customWidth="1"/>
    <col min="1284" max="1284" width="8.81640625" customWidth="1"/>
    <col min="1285" max="1285" width="13.7265625" customWidth="1"/>
    <col min="1286" max="1286" width="8.7265625" customWidth="1"/>
    <col min="1287" max="1287" width="12.54296875" customWidth="1"/>
    <col min="1288" max="1288" width="12.453125" customWidth="1"/>
    <col min="1289" max="1289" width="11" customWidth="1"/>
    <col min="1290" max="1291" width="11.453125" customWidth="1"/>
    <col min="1292" max="1292" width="16.54296875" customWidth="1"/>
    <col min="1293" max="1293" width="12.453125" customWidth="1"/>
    <col min="1294" max="1294" width="10.453125" customWidth="1"/>
    <col min="1295" max="1295" width="0" hidden="1" customWidth="1"/>
    <col min="1296" max="1296" width="23.26953125" customWidth="1"/>
    <col min="1297" max="1297" width="0" hidden="1" customWidth="1"/>
    <col min="1538" max="1539" width="13.7265625" customWidth="1"/>
    <col min="1540" max="1540" width="8.81640625" customWidth="1"/>
    <col min="1541" max="1541" width="13.7265625" customWidth="1"/>
    <col min="1542" max="1542" width="8.7265625" customWidth="1"/>
    <col min="1543" max="1543" width="12.54296875" customWidth="1"/>
    <col min="1544" max="1544" width="12.453125" customWidth="1"/>
    <col min="1545" max="1545" width="11" customWidth="1"/>
    <col min="1546" max="1547" width="11.453125" customWidth="1"/>
    <col min="1548" max="1548" width="16.54296875" customWidth="1"/>
    <col min="1549" max="1549" width="12.453125" customWidth="1"/>
    <col min="1550" max="1550" width="10.453125" customWidth="1"/>
    <col min="1551" max="1551" width="0" hidden="1" customWidth="1"/>
    <col min="1552" max="1552" width="23.26953125" customWidth="1"/>
    <col min="1553" max="1553" width="0" hidden="1" customWidth="1"/>
    <col min="1794" max="1795" width="13.7265625" customWidth="1"/>
    <col min="1796" max="1796" width="8.81640625" customWidth="1"/>
    <col min="1797" max="1797" width="13.7265625" customWidth="1"/>
    <col min="1798" max="1798" width="8.7265625" customWidth="1"/>
    <col min="1799" max="1799" width="12.54296875" customWidth="1"/>
    <col min="1800" max="1800" width="12.453125" customWidth="1"/>
    <col min="1801" max="1801" width="11" customWidth="1"/>
    <col min="1802" max="1803" width="11.453125" customWidth="1"/>
    <col min="1804" max="1804" width="16.54296875" customWidth="1"/>
    <col min="1805" max="1805" width="12.453125" customWidth="1"/>
    <col min="1806" max="1806" width="10.453125" customWidth="1"/>
    <col min="1807" max="1807" width="0" hidden="1" customWidth="1"/>
    <col min="1808" max="1808" width="23.26953125" customWidth="1"/>
    <col min="1809" max="1809" width="0" hidden="1" customWidth="1"/>
    <col min="2050" max="2051" width="13.7265625" customWidth="1"/>
    <col min="2052" max="2052" width="8.81640625" customWidth="1"/>
    <col min="2053" max="2053" width="13.7265625" customWidth="1"/>
    <col min="2054" max="2054" width="8.7265625" customWidth="1"/>
    <col min="2055" max="2055" width="12.54296875" customWidth="1"/>
    <col min="2056" max="2056" width="12.453125" customWidth="1"/>
    <col min="2057" max="2057" width="11" customWidth="1"/>
    <col min="2058" max="2059" width="11.453125" customWidth="1"/>
    <col min="2060" max="2060" width="16.54296875" customWidth="1"/>
    <col min="2061" max="2061" width="12.453125" customWidth="1"/>
    <col min="2062" max="2062" width="10.453125" customWidth="1"/>
    <col min="2063" max="2063" width="0" hidden="1" customWidth="1"/>
    <col min="2064" max="2064" width="23.26953125" customWidth="1"/>
    <col min="2065" max="2065" width="0" hidden="1" customWidth="1"/>
    <col min="2306" max="2307" width="13.7265625" customWidth="1"/>
    <col min="2308" max="2308" width="8.81640625" customWidth="1"/>
    <col min="2309" max="2309" width="13.7265625" customWidth="1"/>
    <col min="2310" max="2310" width="8.7265625" customWidth="1"/>
    <col min="2311" max="2311" width="12.54296875" customWidth="1"/>
    <col min="2312" max="2312" width="12.453125" customWidth="1"/>
    <col min="2313" max="2313" width="11" customWidth="1"/>
    <col min="2314" max="2315" width="11.453125" customWidth="1"/>
    <col min="2316" max="2316" width="16.54296875" customWidth="1"/>
    <col min="2317" max="2317" width="12.453125" customWidth="1"/>
    <col min="2318" max="2318" width="10.453125" customWidth="1"/>
    <col min="2319" max="2319" width="0" hidden="1" customWidth="1"/>
    <col min="2320" max="2320" width="23.26953125" customWidth="1"/>
    <col min="2321" max="2321" width="0" hidden="1" customWidth="1"/>
    <col min="2562" max="2563" width="13.7265625" customWidth="1"/>
    <col min="2564" max="2564" width="8.81640625" customWidth="1"/>
    <col min="2565" max="2565" width="13.7265625" customWidth="1"/>
    <col min="2566" max="2566" width="8.7265625" customWidth="1"/>
    <col min="2567" max="2567" width="12.54296875" customWidth="1"/>
    <col min="2568" max="2568" width="12.453125" customWidth="1"/>
    <col min="2569" max="2569" width="11" customWidth="1"/>
    <col min="2570" max="2571" width="11.453125" customWidth="1"/>
    <col min="2572" max="2572" width="16.54296875" customWidth="1"/>
    <col min="2573" max="2573" width="12.453125" customWidth="1"/>
    <col min="2574" max="2574" width="10.453125" customWidth="1"/>
    <col min="2575" max="2575" width="0" hidden="1" customWidth="1"/>
    <col min="2576" max="2576" width="23.26953125" customWidth="1"/>
    <col min="2577" max="2577" width="0" hidden="1" customWidth="1"/>
    <col min="2818" max="2819" width="13.7265625" customWidth="1"/>
    <col min="2820" max="2820" width="8.81640625" customWidth="1"/>
    <col min="2821" max="2821" width="13.7265625" customWidth="1"/>
    <col min="2822" max="2822" width="8.7265625" customWidth="1"/>
    <col min="2823" max="2823" width="12.54296875" customWidth="1"/>
    <col min="2824" max="2824" width="12.453125" customWidth="1"/>
    <col min="2825" max="2825" width="11" customWidth="1"/>
    <col min="2826" max="2827" width="11.453125" customWidth="1"/>
    <col min="2828" max="2828" width="16.54296875" customWidth="1"/>
    <col min="2829" max="2829" width="12.453125" customWidth="1"/>
    <col min="2830" max="2830" width="10.453125" customWidth="1"/>
    <col min="2831" max="2831" width="0" hidden="1" customWidth="1"/>
    <col min="2832" max="2832" width="23.26953125" customWidth="1"/>
    <col min="2833" max="2833" width="0" hidden="1" customWidth="1"/>
    <col min="3074" max="3075" width="13.7265625" customWidth="1"/>
    <col min="3076" max="3076" width="8.81640625" customWidth="1"/>
    <col min="3077" max="3077" width="13.7265625" customWidth="1"/>
    <col min="3078" max="3078" width="8.7265625" customWidth="1"/>
    <col min="3079" max="3079" width="12.54296875" customWidth="1"/>
    <col min="3080" max="3080" width="12.453125" customWidth="1"/>
    <col min="3081" max="3081" width="11" customWidth="1"/>
    <col min="3082" max="3083" width="11.453125" customWidth="1"/>
    <col min="3084" max="3084" width="16.54296875" customWidth="1"/>
    <col min="3085" max="3085" width="12.453125" customWidth="1"/>
    <col min="3086" max="3086" width="10.453125" customWidth="1"/>
    <col min="3087" max="3087" width="0" hidden="1" customWidth="1"/>
    <col min="3088" max="3088" width="23.26953125" customWidth="1"/>
    <col min="3089" max="3089" width="0" hidden="1" customWidth="1"/>
    <col min="3330" max="3331" width="13.7265625" customWidth="1"/>
    <col min="3332" max="3332" width="8.81640625" customWidth="1"/>
    <col min="3333" max="3333" width="13.7265625" customWidth="1"/>
    <col min="3334" max="3334" width="8.7265625" customWidth="1"/>
    <col min="3335" max="3335" width="12.54296875" customWidth="1"/>
    <col min="3336" max="3336" width="12.453125" customWidth="1"/>
    <col min="3337" max="3337" width="11" customWidth="1"/>
    <col min="3338" max="3339" width="11.453125" customWidth="1"/>
    <col min="3340" max="3340" width="16.54296875" customWidth="1"/>
    <col min="3341" max="3341" width="12.453125" customWidth="1"/>
    <col min="3342" max="3342" width="10.453125" customWidth="1"/>
    <col min="3343" max="3343" width="0" hidden="1" customWidth="1"/>
    <col min="3344" max="3344" width="23.26953125" customWidth="1"/>
    <col min="3345" max="3345" width="0" hidden="1" customWidth="1"/>
    <col min="3586" max="3587" width="13.7265625" customWidth="1"/>
    <col min="3588" max="3588" width="8.81640625" customWidth="1"/>
    <col min="3589" max="3589" width="13.7265625" customWidth="1"/>
    <col min="3590" max="3590" width="8.7265625" customWidth="1"/>
    <col min="3591" max="3591" width="12.54296875" customWidth="1"/>
    <col min="3592" max="3592" width="12.453125" customWidth="1"/>
    <col min="3593" max="3593" width="11" customWidth="1"/>
    <col min="3594" max="3595" width="11.453125" customWidth="1"/>
    <col min="3596" max="3596" width="16.54296875" customWidth="1"/>
    <col min="3597" max="3597" width="12.453125" customWidth="1"/>
    <col min="3598" max="3598" width="10.453125" customWidth="1"/>
    <col min="3599" max="3599" width="0" hidden="1" customWidth="1"/>
    <col min="3600" max="3600" width="23.26953125" customWidth="1"/>
    <col min="3601" max="3601" width="0" hidden="1" customWidth="1"/>
    <col min="3842" max="3843" width="13.7265625" customWidth="1"/>
    <col min="3844" max="3844" width="8.81640625" customWidth="1"/>
    <col min="3845" max="3845" width="13.7265625" customWidth="1"/>
    <col min="3846" max="3846" width="8.7265625" customWidth="1"/>
    <col min="3847" max="3847" width="12.54296875" customWidth="1"/>
    <col min="3848" max="3848" width="12.453125" customWidth="1"/>
    <col min="3849" max="3849" width="11" customWidth="1"/>
    <col min="3850" max="3851" width="11.453125" customWidth="1"/>
    <col min="3852" max="3852" width="16.54296875" customWidth="1"/>
    <col min="3853" max="3853" width="12.453125" customWidth="1"/>
    <col min="3854" max="3854" width="10.453125" customWidth="1"/>
    <col min="3855" max="3855" width="0" hidden="1" customWidth="1"/>
    <col min="3856" max="3856" width="23.26953125" customWidth="1"/>
    <col min="3857" max="3857" width="0" hidden="1" customWidth="1"/>
    <col min="4098" max="4099" width="13.7265625" customWidth="1"/>
    <col min="4100" max="4100" width="8.81640625" customWidth="1"/>
    <col min="4101" max="4101" width="13.7265625" customWidth="1"/>
    <col min="4102" max="4102" width="8.7265625" customWidth="1"/>
    <col min="4103" max="4103" width="12.54296875" customWidth="1"/>
    <col min="4104" max="4104" width="12.453125" customWidth="1"/>
    <col min="4105" max="4105" width="11" customWidth="1"/>
    <col min="4106" max="4107" width="11.453125" customWidth="1"/>
    <col min="4108" max="4108" width="16.54296875" customWidth="1"/>
    <col min="4109" max="4109" width="12.453125" customWidth="1"/>
    <col min="4110" max="4110" width="10.453125" customWidth="1"/>
    <col min="4111" max="4111" width="0" hidden="1" customWidth="1"/>
    <col min="4112" max="4112" width="23.26953125" customWidth="1"/>
    <col min="4113" max="4113" width="0" hidden="1" customWidth="1"/>
    <col min="4354" max="4355" width="13.7265625" customWidth="1"/>
    <col min="4356" max="4356" width="8.81640625" customWidth="1"/>
    <col min="4357" max="4357" width="13.7265625" customWidth="1"/>
    <col min="4358" max="4358" width="8.7265625" customWidth="1"/>
    <col min="4359" max="4359" width="12.54296875" customWidth="1"/>
    <col min="4360" max="4360" width="12.453125" customWidth="1"/>
    <col min="4361" max="4361" width="11" customWidth="1"/>
    <col min="4362" max="4363" width="11.453125" customWidth="1"/>
    <col min="4364" max="4364" width="16.54296875" customWidth="1"/>
    <col min="4365" max="4365" width="12.453125" customWidth="1"/>
    <col min="4366" max="4366" width="10.453125" customWidth="1"/>
    <col min="4367" max="4367" width="0" hidden="1" customWidth="1"/>
    <col min="4368" max="4368" width="23.26953125" customWidth="1"/>
    <col min="4369" max="4369" width="0" hidden="1" customWidth="1"/>
    <col min="4610" max="4611" width="13.7265625" customWidth="1"/>
    <col min="4612" max="4612" width="8.81640625" customWidth="1"/>
    <col min="4613" max="4613" width="13.7265625" customWidth="1"/>
    <col min="4614" max="4614" width="8.7265625" customWidth="1"/>
    <col min="4615" max="4615" width="12.54296875" customWidth="1"/>
    <col min="4616" max="4616" width="12.453125" customWidth="1"/>
    <col min="4617" max="4617" width="11" customWidth="1"/>
    <col min="4618" max="4619" width="11.453125" customWidth="1"/>
    <col min="4620" max="4620" width="16.54296875" customWidth="1"/>
    <col min="4621" max="4621" width="12.453125" customWidth="1"/>
    <col min="4622" max="4622" width="10.453125" customWidth="1"/>
    <col min="4623" max="4623" width="0" hidden="1" customWidth="1"/>
    <col min="4624" max="4624" width="23.26953125" customWidth="1"/>
    <col min="4625" max="4625" width="0" hidden="1" customWidth="1"/>
    <col min="4866" max="4867" width="13.7265625" customWidth="1"/>
    <col min="4868" max="4868" width="8.81640625" customWidth="1"/>
    <col min="4869" max="4869" width="13.7265625" customWidth="1"/>
    <col min="4870" max="4870" width="8.7265625" customWidth="1"/>
    <col min="4871" max="4871" width="12.54296875" customWidth="1"/>
    <col min="4872" max="4872" width="12.453125" customWidth="1"/>
    <col min="4873" max="4873" width="11" customWidth="1"/>
    <col min="4874" max="4875" width="11.453125" customWidth="1"/>
    <col min="4876" max="4876" width="16.54296875" customWidth="1"/>
    <col min="4877" max="4877" width="12.453125" customWidth="1"/>
    <col min="4878" max="4878" width="10.453125" customWidth="1"/>
    <col min="4879" max="4879" width="0" hidden="1" customWidth="1"/>
    <col min="4880" max="4880" width="23.26953125" customWidth="1"/>
    <col min="4881" max="4881" width="0" hidden="1" customWidth="1"/>
    <col min="5122" max="5123" width="13.7265625" customWidth="1"/>
    <col min="5124" max="5124" width="8.81640625" customWidth="1"/>
    <col min="5125" max="5125" width="13.7265625" customWidth="1"/>
    <col min="5126" max="5126" width="8.7265625" customWidth="1"/>
    <col min="5127" max="5127" width="12.54296875" customWidth="1"/>
    <col min="5128" max="5128" width="12.453125" customWidth="1"/>
    <col min="5129" max="5129" width="11" customWidth="1"/>
    <col min="5130" max="5131" width="11.453125" customWidth="1"/>
    <col min="5132" max="5132" width="16.54296875" customWidth="1"/>
    <col min="5133" max="5133" width="12.453125" customWidth="1"/>
    <col min="5134" max="5134" width="10.453125" customWidth="1"/>
    <col min="5135" max="5135" width="0" hidden="1" customWidth="1"/>
    <col min="5136" max="5136" width="23.26953125" customWidth="1"/>
    <col min="5137" max="5137" width="0" hidden="1" customWidth="1"/>
    <col min="5378" max="5379" width="13.7265625" customWidth="1"/>
    <col min="5380" max="5380" width="8.81640625" customWidth="1"/>
    <col min="5381" max="5381" width="13.7265625" customWidth="1"/>
    <col min="5382" max="5382" width="8.7265625" customWidth="1"/>
    <col min="5383" max="5383" width="12.54296875" customWidth="1"/>
    <col min="5384" max="5384" width="12.453125" customWidth="1"/>
    <col min="5385" max="5385" width="11" customWidth="1"/>
    <col min="5386" max="5387" width="11.453125" customWidth="1"/>
    <col min="5388" max="5388" width="16.54296875" customWidth="1"/>
    <col min="5389" max="5389" width="12.453125" customWidth="1"/>
    <col min="5390" max="5390" width="10.453125" customWidth="1"/>
    <col min="5391" max="5391" width="0" hidden="1" customWidth="1"/>
    <col min="5392" max="5392" width="23.26953125" customWidth="1"/>
    <col min="5393" max="5393" width="0" hidden="1" customWidth="1"/>
    <col min="5634" max="5635" width="13.7265625" customWidth="1"/>
    <col min="5636" max="5636" width="8.81640625" customWidth="1"/>
    <col min="5637" max="5637" width="13.7265625" customWidth="1"/>
    <col min="5638" max="5638" width="8.7265625" customWidth="1"/>
    <col min="5639" max="5639" width="12.54296875" customWidth="1"/>
    <col min="5640" max="5640" width="12.453125" customWidth="1"/>
    <col min="5641" max="5641" width="11" customWidth="1"/>
    <col min="5642" max="5643" width="11.453125" customWidth="1"/>
    <col min="5644" max="5644" width="16.54296875" customWidth="1"/>
    <col min="5645" max="5645" width="12.453125" customWidth="1"/>
    <col min="5646" max="5646" width="10.453125" customWidth="1"/>
    <col min="5647" max="5647" width="0" hidden="1" customWidth="1"/>
    <col min="5648" max="5648" width="23.26953125" customWidth="1"/>
    <col min="5649" max="5649" width="0" hidden="1" customWidth="1"/>
    <col min="5890" max="5891" width="13.7265625" customWidth="1"/>
    <col min="5892" max="5892" width="8.81640625" customWidth="1"/>
    <col min="5893" max="5893" width="13.7265625" customWidth="1"/>
    <col min="5894" max="5894" width="8.7265625" customWidth="1"/>
    <col min="5895" max="5895" width="12.54296875" customWidth="1"/>
    <col min="5896" max="5896" width="12.453125" customWidth="1"/>
    <col min="5897" max="5897" width="11" customWidth="1"/>
    <col min="5898" max="5899" width="11.453125" customWidth="1"/>
    <col min="5900" max="5900" width="16.54296875" customWidth="1"/>
    <col min="5901" max="5901" width="12.453125" customWidth="1"/>
    <col min="5902" max="5902" width="10.453125" customWidth="1"/>
    <col min="5903" max="5903" width="0" hidden="1" customWidth="1"/>
    <col min="5904" max="5904" width="23.26953125" customWidth="1"/>
    <col min="5905" max="5905" width="0" hidden="1" customWidth="1"/>
    <col min="6146" max="6147" width="13.7265625" customWidth="1"/>
    <col min="6148" max="6148" width="8.81640625" customWidth="1"/>
    <col min="6149" max="6149" width="13.7265625" customWidth="1"/>
    <col min="6150" max="6150" width="8.7265625" customWidth="1"/>
    <col min="6151" max="6151" width="12.54296875" customWidth="1"/>
    <col min="6152" max="6152" width="12.453125" customWidth="1"/>
    <col min="6153" max="6153" width="11" customWidth="1"/>
    <col min="6154" max="6155" width="11.453125" customWidth="1"/>
    <col min="6156" max="6156" width="16.54296875" customWidth="1"/>
    <col min="6157" max="6157" width="12.453125" customWidth="1"/>
    <col min="6158" max="6158" width="10.453125" customWidth="1"/>
    <col min="6159" max="6159" width="0" hidden="1" customWidth="1"/>
    <col min="6160" max="6160" width="23.26953125" customWidth="1"/>
    <col min="6161" max="6161" width="0" hidden="1" customWidth="1"/>
    <col min="6402" max="6403" width="13.7265625" customWidth="1"/>
    <col min="6404" max="6404" width="8.81640625" customWidth="1"/>
    <col min="6405" max="6405" width="13.7265625" customWidth="1"/>
    <col min="6406" max="6406" width="8.7265625" customWidth="1"/>
    <col min="6407" max="6407" width="12.54296875" customWidth="1"/>
    <col min="6408" max="6408" width="12.453125" customWidth="1"/>
    <col min="6409" max="6409" width="11" customWidth="1"/>
    <col min="6410" max="6411" width="11.453125" customWidth="1"/>
    <col min="6412" max="6412" width="16.54296875" customWidth="1"/>
    <col min="6413" max="6413" width="12.453125" customWidth="1"/>
    <col min="6414" max="6414" width="10.453125" customWidth="1"/>
    <col min="6415" max="6415" width="0" hidden="1" customWidth="1"/>
    <col min="6416" max="6416" width="23.26953125" customWidth="1"/>
    <col min="6417" max="6417" width="0" hidden="1" customWidth="1"/>
    <col min="6658" max="6659" width="13.7265625" customWidth="1"/>
    <col min="6660" max="6660" width="8.81640625" customWidth="1"/>
    <col min="6661" max="6661" width="13.7265625" customWidth="1"/>
    <col min="6662" max="6662" width="8.7265625" customWidth="1"/>
    <col min="6663" max="6663" width="12.54296875" customWidth="1"/>
    <col min="6664" max="6664" width="12.453125" customWidth="1"/>
    <col min="6665" max="6665" width="11" customWidth="1"/>
    <col min="6666" max="6667" width="11.453125" customWidth="1"/>
    <col min="6668" max="6668" width="16.54296875" customWidth="1"/>
    <col min="6669" max="6669" width="12.453125" customWidth="1"/>
    <col min="6670" max="6670" width="10.453125" customWidth="1"/>
    <col min="6671" max="6671" width="0" hidden="1" customWidth="1"/>
    <col min="6672" max="6672" width="23.26953125" customWidth="1"/>
    <col min="6673" max="6673" width="0" hidden="1" customWidth="1"/>
    <col min="6914" max="6915" width="13.7265625" customWidth="1"/>
    <col min="6916" max="6916" width="8.81640625" customWidth="1"/>
    <col min="6917" max="6917" width="13.7265625" customWidth="1"/>
    <col min="6918" max="6918" width="8.7265625" customWidth="1"/>
    <col min="6919" max="6919" width="12.54296875" customWidth="1"/>
    <col min="6920" max="6920" width="12.453125" customWidth="1"/>
    <col min="6921" max="6921" width="11" customWidth="1"/>
    <col min="6922" max="6923" width="11.453125" customWidth="1"/>
    <col min="6924" max="6924" width="16.54296875" customWidth="1"/>
    <col min="6925" max="6925" width="12.453125" customWidth="1"/>
    <col min="6926" max="6926" width="10.453125" customWidth="1"/>
    <col min="6927" max="6927" width="0" hidden="1" customWidth="1"/>
    <col min="6928" max="6928" width="23.26953125" customWidth="1"/>
    <col min="6929" max="6929" width="0" hidden="1" customWidth="1"/>
    <col min="7170" max="7171" width="13.7265625" customWidth="1"/>
    <col min="7172" max="7172" width="8.81640625" customWidth="1"/>
    <col min="7173" max="7173" width="13.7265625" customWidth="1"/>
    <col min="7174" max="7174" width="8.7265625" customWidth="1"/>
    <col min="7175" max="7175" width="12.54296875" customWidth="1"/>
    <col min="7176" max="7176" width="12.453125" customWidth="1"/>
    <col min="7177" max="7177" width="11" customWidth="1"/>
    <col min="7178" max="7179" width="11.453125" customWidth="1"/>
    <col min="7180" max="7180" width="16.54296875" customWidth="1"/>
    <col min="7181" max="7181" width="12.453125" customWidth="1"/>
    <col min="7182" max="7182" width="10.453125" customWidth="1"/>
    <col min="7183" max="7183" width="0" hidden="1" customWidth="1"/>
    <col min="7184" max="7184" width="23.26953125" customWidth="1"/>
    <col min="7185" max="7185" width="0" hidden="1" customWidth="1"/>
    <col min="7426" max="7427" width="13.7265625" customWidth="1"/>
    <col min="7428" max="7428" width="8.81640625" customWidth="1"/>
    <col min="7429" max="7429" width="13.7265625" customWidth="1"/>
    <col min="7430" max="7430" width="8.7265625" customWidth="1"/>
    <col min="7431" max="7431" width="12.54296875" customWidth="1"/>
    <col min="7432" max="7432" width="12.453125" customWidth="1"/>
    <col min="7433" max="7433" width="11" customWidth="1"/>
    <col min="7434" max="7435" width="11.453125" customWidth="1"/>
    <col min="7436" max="7436" width="16.54296875" customWidth="1"/>
    <col min="7437" max="7437" width="12.453125" customWidth="1"/>
    <col min="7438" max="7438" width="10.453125" customWidth="1"/>
    <col min="7439" max="7439" width="0" hidden="1" customWidth="1"/>
    <col min="7440" max="7440" width="23.26953125" customWidth="1"/>
    <col min="7441" max="7441" width="0" hidden="1" customWidth="1"/>
    <col min="7682" max="7683" width="13.7265625" customWidth="1"/>
    <col min="7684" max="7684" width="8.81640625" customWidth="1"/>
    <col min="7685" max="7685" width="13.7265625" customWidth="1"/>
    <col min="7686" max="7686" width="8.7265625" customWidth="1"/>
    <col min="7687" max="7687" width="12.54296875" customWidth="1"/>
    <col min="7688" max="7688" width="12.453125" customWidth="1"/>
    <col min="7689" max="7689" width="11" customWidth="1"/>
    <col min="7690" max="7691" width="11.453125" customWidth="1"/>
    <col min="7692" max="7692" width="16.54296875" customWidth="1"/>
    <col min="7693" max="7693" width="12.453125" customWidth="1"/>
    <col min="7694" max="7694" width="10.453125" customWidth="1"/>
    <col min="7695" max="7695" width="0" hidden="1" customWidth="1"/>
    <col min="7696" max="7696" width="23.26953125" customWidth="1"/>
    <col min="7697" max="7697" width="0" hidden="1" customWidth="1"/>
    <col min="7938" max="7939" width="13.7265625" customWidth="1"/>
    <col min="7940" max="7940" width="8.81640625" customWidth="1"/>
    <col min="7941" max="7941" width="13.7265625" customWidth="1"/>
    <col min="7942" max="7942" width="8.7265625" customWidth="1"/>
    <col min="7943" max="7943" width="12.54296875" customWidth="1"/>
    <col min="7944" max="7944" width="12.453125" customWidth="1"/>
    <col min="7945" max="7945" width="11" customWidth="1"/>
    <col min="7946" max="7947" width="11.453125" customWidth="1"/>
    <col min="7948" max="7948" width="16.54296875" customWidth="1"/>
    <col min="7949" max="7949" width="12.453125" customWidth="1"/>
    <col min="7950" max="7950" width="10.453125" customWidth="1"/>
    <col min="7951" max="7951" width="0" hidden="1" customWidth="1"/>
    <col min="7952" max="7952" width="23.26953125" customWidth="1"/>
    <col min="7953" max="7953" width="0" hidden="1" customWidth="1"/>
    <col min="8194" max="8195" width="13.7265625" customWidth="1"/>
    <col min="8196" max="8196" width="8.81640625" customWidth="1"/>
    <col min="8197" max="8197" width="13.7265625" customWidth="1"/>
    <col min="8198" max="8198" width="8.7265625" customWidth="1"/>
    <col min="8199" max="8199" width="12.54296875" customWidth="1"/>
    <col min="8200" max="8200" width="12.453125" customWidth="1"/>
    <col min="8201" max="8201" width="11" customWidth="1"/>
    <col min="8202" max="8203" width="11.453125" customWidth="1"/>
    <col min="8204" max="8204" width="16.54296875" customWidth="1"/>
    <col min="8205" max="8205" width="12.453125" customWidth="1"/>
    <col min="8206" max="8206" width="10.453125" customWidth="1"/>
    <col min="8207" max="8207" width="0" hidden="1" customWidth="1"/>
    <col min="8208" max="8208" width="23.26953125" customWidth="1"/>
    <col min="8209" max="8209" width="0" hidden="1" customWidth="1"/>
    <col min="8450" max="8451" width="13.7265625" customWidth="1"/>
    <col min="8452" max="8452" width="8.81640625" customWidth="1"/>
    <col min="8453" max="8453" width="13.7265625" customWidth="1"/>
    <col min="8454" max="8454" width="8.7265625" customWidth="1"/>
    <col min="8455" max="8455" width="12.54296875" customWidth="1"/>
    <col min="8456" max="8456" width="12.453125" customWidth="1"/>
    <col min="8457" max="8457" width="11" customWidth="1"/>
    <col min="8458" max="8459" width="11.453125" customWidth="1"/>
    <col min="8460" max="8460" width="16.54296875" customWidth="1"/>
    <col min="8461" max="8461" width="12.453125" customWidth="1"/>
    <col min="8462" max="8462" width="10.453125" customWidth="1"/>
    <col min="8463" max="8463" width="0" hidden="1" customWidth="1"/>
    <col min="8464" max="8464" width="23.26953125" customWidth="1"/>
    <col min="8465" max="8465" width="0" hidden="1" customWidth="1"/>
    <col min="8706" max="8707" width="13.7265625" customWidth="1"/>
    <col min="8708" max="8708" width="8.81640625" customWidth="1"/>
    <col min="8709" max="8709" width="13.7265625" customWidth="1"/>
    <col min="8710" max="8710" width="8.7265625" customWidth="1"/>
    <col min="8711" max="8711" width="12.54296875" customWidth="1"/>
    <col min="8712" max="8712" width="12.453125" customWidth="1"/>
    <col min="8713" max="8713" width="11" customWidth="1"/>
    <col min="8714" max="8715" width="11.453125" customWidth="1"/>
    <col min="8716" max="8716" width="16.54296875" customWidth="1"/>
    <col min="8717" max="8717" width="12.453125" customWidth="1"/>
    <col min="8718" max="8718" width="10.453125" customWidth="1"/>
    <col min="8719" max="8719" width="0" hidden="1" customWidth="1"/>
    <col min="8720" max="8720" width="23.26953125" customWidth="1"/>
    <col min="8721" max="8721" width="0" hidden="1" customWidth="1"/>
    <col min="8962" max="8963" width="13.7265625" customWidth="1"/>
    <col min="8964" max="8964" width="8.81640625" customWidth="1"/>
    <col min="8965" max="8965" width="13.7265625" customWidth="1"/>
    <col min="8966" max="8966" width="8.7265625" customWidth="1"/>
    <col min="8967" max="8967" width="12.54296875" customWidth="1"/>
    <col min="8968" max="8968" width="12.453125" customWidth="1"/>
    <col min="8969" max="8969" width="11" customWidth="1"/>
    <col min="8970" max="8971" width="11.453125" customWidth="1"/>
    <col min="8972" max="8972" width="16.54296875" customWidth="1"/>
    <col min="8973" max="8973" width="12.453125" customWidth="1"/>
    <col min="8974" max="8974" width="10.453125" customWidth="1"/>
    <col min="8975" max="8975" width="0" hidden="1" customWidth="1"/>
    <col min="8976" max="8976" width="23.26953125" customWidth="1"/>
    <col min="8977" max="8977" width="0" hidden="1" customWidth="1"/>
    <col min="9218" max="9219" width="13.7265625" customWidth="1"/>
    <col min="9220" max="9220" width="8.81640625" customWidth="1"/>
    <col min="9221" max="9221" width="13.7265625" customWidth="1"/>
    <col min="9222" max="9222" width="8.7265625" customWidth="1"/>
    <col min="9223" max="9223" width="12.54296875" customWidth="1"/>
    <col min="9224" max="9224" width="12.453125" customWidth="1"/>
    <col min="9225" max="9225" width="11" customWidth="1"/>
    <col min="9226" max="9227" width="11.453125" customWidth="1"/>
    <col min="9228" max="9228" width="16.54296875" customWidth="1"/>
    <col min="9229" max="9229" width="12.453125" customWidth="1"/>
    <col min="9230" max="9230" width="10.453125" customWidth="1"/>
    <col min="9231" max="9231" width="0" hidden="1" customWidth="1"/>
    <col min="9232" max="9232" width="23.26953125" customWidth="1"/>
    <col min="9233" max="9233" width="0" hidden="1" customWidth="1"/>
    <col min="9474" max="9475" width="13.7265625" customWidth="1"/>
    <col min="9476" max="9476" width="8.81640625" customWidth="1"/>
    <col min="9477" max="9477" width="13.7265625" customWidth="1"/>
    <col min="9478" max="9478" width="8.7265625" customWidth="1"/>
    <col min="9479" max="9479" width="12.54296875" customWidth="1"/>
    <col min="9480" max="9480" width="12.453125" customWidth="1"/>
    <col min="9481" max="9481" width="11" customWidth="1"/>
    <col min="9482" max="9483" width="11.453125" customWidth="1"/>
    <col min="9484" max="9484" width="16.54296875" customWidth="1"/>
    <col min="9485" max="9485" width="12.453125" customWidth="1"/>
    <col min="9486" max="9486" width="10.453125" customWidth="1"/>
    <col min="9487" max="9487" width="0" hidden="1" customWidth="1"/>
    <col min="9488" max="9488" width="23.26953125" customWidth="1"/>
    <col min="9489" max="9489" width="0" hidden="1" customWidth="1"/>
    <col min="9730" max="9731" width="13.7265625" customWidth="1"/>
    <col min="9732" max="9732" width="8.81640625" customWidth="1"/>
    <col min="9733" max="9733" width="13.7265625" customWidth="1"/>
    <col min="9734" max="9734" width="8.7265625" customWidth="1"/>
    <col min="9735" max="9735" width="12.54296875" customWidth="1"/>
    <col min="9736" max="9736" width="12.453125" customWidth="1"/>
    <col min="9737" max="9737" width="11" customWidth="1"/>
    <col min="9738" max="9739" width="11.453125" customWidth="1"/>
    <col min="9740" max="9740" width="16.54296875" customWidth="1"/>
    <col min="9741" max="9741" width="12.453125" customWidth="1"/>
    <col min="9742" max="9742" width="10.453125" customWidth="1"/>
    <col min="9743" max="9743" width="0" hidden="1" customWidth="1"/>
    <col min="9744" max="9744" width="23.26953125" customWidth="1"/>
    <col min="9745" max="9745" width="0" hidden="1" customWidth="1"/>
    <col min="9986" max="9987" width="13.7265625" customWidth="1"/>
    <col min="9988" max="9988" width="8.81640625" customWidth="1"/>
    <col min="9989" max="9989" width="13.7265625" customWidth="1"/>
    <col min="9990" max="9990" width="8.7265625" customWidth="1"/>
    <col min="9991" max="9991" width="12.54296875" customWidth="1"/>
    <col min="9992" max="9992" width="12.453125" customWidth="1"/>
    <col min="9993" max="9993" width="11" customWidth="1"/>
    <col min="9994" max="9995" width="11.453125" customWidth="1"/>
    <col min="9996" max="9996" width="16.54296875" customWidth="1"/>
    <col min="9997" max="9997" width="12.453125" customWidth="1"/>
    <col min="9998" max="9998" width="10.453125" customWidth="1"/>
    <col min="9999" max="9999" width="0" hidden="1" customWidth="1"/>
    <col min="10000" max="10000" width="23.26953125" customWidth="1"/>
    <col min="10001" max="10001" width="0" hidden="1" customWidth="1"/>
    <col min="10242" max="10243" width="13.7265625" customWidth="1"/>
    <col min="10244" max="10244" width="8.81640625" customWidth="1"/>
    <col min="10245" max="10245" width="13.7265625" customWidth="1"/>
    <col min="10246" max="10246" width="8.7265625" customWidth="1"/>
    <col min="10247" max="10247" width="12.54296875" customWidth="1"/>
    <col min="10248" max="10248" width="12.453125" customWidth="1"/>
    <col min="10249" max="10249" width="11" customWidth="1"/>
    <col min="10250" max="10251" width="11.453125" customWidth="1"/>
    <col min="10252" max="10252" width="16.54296875" customWidth="1"/>
    <col min="10253" max="10253" width="12.453125" customWidth="1"/>
    <col min="10254" max="10254" width="10.453125" customWidth="1"/>
    <col min="10255" max="10255" width="0" hidden="1" customWidth="1"/>
    <col min="10256" max="10256" width="23.26953125" customWidth="1"/>
    <col min="10257" max="10257" width="0" hidden="1" customWidth="1"/>
    <col min="10498" max="10499" width="13.7265625" customWidth="1"/>
    <col min="10500" max="10500" width="8.81640625" customWidth="1"/>
    <col min="10501" max="10501" width="13.7265625" customWidth="1"/>
    <col min="10502" max="10502" width="8.7265625" customWidth="1"/>
    <col min="10503" max="10503" width="12.54296875" customWidth="1"/>
    <col min="10504" max="10504" width="12.453125" customWidth="1"/>
    <col min="10505" max="10505" width="11" customWidth="1"/>
    <col min="10506" max="10507" width="11.453125" customWidth="1"/>
    <col min="10508" max="10508" width="16.54296875" customWidth="1"/>
    <col min="10509" max="10509" width="12.453125" customWidth="1"/>
    <col min="10510" max="10510" width="10.453125" customWidth="1"/>
    <col min="10511" max="10511" width="0" hidden="1" customWidth="1"/>
    <col min="10512" max="10512" width="23.26953125" customWidth="1"/>
    <col min="10513" max="10513" width="0" hidden="1" customWidth="1"/>
    <col min="10754" max="10755" width="13.7265625" customWidth="1"/>
    <col min="10756" max="10756" width="8.81640625" customWidth="1"/>
    <col min="10757" max="10757" width="13.7265625" customWidth="1"/>
    <col min="10758" max="10758" width="8.7265625" customWidth="1"/>
    <col min="10759" max="10759" width="12.54296875" customWidth="1"/>
    <col min="10760" max="10760" width="12.453125" customWidth="1"/>
    <col min="10761" max="10761" width="11" customWidth="1"/>
    <col min="10762" max="10763" width="11.453125" customWidth="1"/>
    <col min="10764" max="10764" width="16.54296875" customWidth="1"/>
    <col min="10765" max="10765" width="12.453125" customWidth="1"/>
    <col min="10766" max="10766" width="10.453125" customWidth="1"/>
    <col min="10767" max="10767" width="0" hidden="1" customWidth="1"/>
    <col min="10768" max="10768" width="23.26953125" customWidth="1"/>
    <col min="10769" max="10769" width="0" hidden="1" customWidth="1"/>
    <col min="11010" max="11011" width="13.7265625" customWidth="1"/>
    <col min="11012" max="11012" width="8.81640625" customWidth="1"/>
    <col min="11013" max="11013" width="13.7265625" customWidth="1"/>
    <col min="11014" max="11014" width="8.7265625" customWidth="1"/>
    <col min="11015" max="11015" width="12.54296875" customWidth="1"/>
    <col min="11016" max="11016" width="12.453125" customWidth="1"/>
    <col min="11017" max="11017" width="11" customWidth="1"/>
    <col min="11018" max="11019" width="11.453125" customWidth="1"/>
    <col min="11020" max="11020" width="16.54296875" customWidth="1"/>
    <col min="11021" max="11021" width="12.453125" customWidth="1"/>
    <col min="11022" max="11022" width="10.453125" customWidth="1"/>
    <col min="11023" max="11023" width="0" hidden="1" customWidth="1"/>
    <col min="11024" max="11024" width="23.26953125" customWidth="1"/>
    <col min="11025" max="11025" width="0" hidden="1" customWidth="1"/>
    <col min="11266" max="11267" width="13.7265625" customWidth="1"/>
    <col min="11268" max="11268" width="8.81640625" customWidth="1"/>
    <col min="11269" max="11269" width="13.7265625" customWidth="1"/>
    <col min="11270" max="11270" width="8.7265625" customWidth="1"/>
    <col min="11271" max="11271" width="12.54296875" customWidth="1"/>
    <col min="11272" max="11272" width="12.453125" customWidth="1"/>
    <col min="11273" max="11273" width="11" customWidth="1"/>
    <col min="11274" max="11275" width="11.453125" customWidth="1"/>
    <col min="11276" max="11276" width="16.54296875" customWidth="1"/>
    <col min="11277" max="11277" width="12.453125" customWidth="1"/>
    <col min="11278" max="11278" width="10.453125" customWidth="1"/>
    <col min="11279" max="11279" width="0" hidden="1" customWidth="1"/>
    <col min="11280" max="11280" width="23.26953125" customWidth="1"/>
    <col min="11281" max="11281" width="0" hidden="1" customWidth="1"/>
    <col min="11522" max="11523" width="13.7265625" customWidth="1"/>
    <col min="11524" max="11524" width="8.81640625" customWidth="1"/>
    <col min="11525" max="11525" width="13.7265625" customWidth="1"/>
    <col min="11526" max="11526" width="8.7265625" customWidth="1"/>
    <col min="11527" max="11527" width="12.54296875" customWidth="1"/>
    <col min="11528" max="11528" width="12.453125" customWidth="1"/>
    <col min="11529" max="11529" width="11" customWidth="1"/>
    <col min="11530" max="11531" width="11.453125" customWidth="1"/>
    <col min="11532" max="11532" width="16.54296875" customWidth="1"/>
    <col min="11533" max="11533" width="12.453125" customWidth="1"/>
    <col min="11534" max="11534" width="10.453125" customWidth="1"/>
    <col min="11535" max="11535" width="0" hidden="1" customWidth="1"/>
    <col min="11536" max="11536" width="23.26953125" customWidth="1"/>
    <col min="11537" max="11537" width="0" hidden="1" customWidth="1"/>
    <col min="11778" max="11779" width="13.7265625" customWidth="1"/>
    <col min="11780" max="11780" width="8.81640625" customWidth="1"/>
    <col min="11781" max="11781" width="13.7265625" customWidth="1"/>
    <col min="11782" max="11782" width="8.7265625" customWidth="1"/>
    <col min="11783" max="11783" width="12.54296875" customWidth="1"/>
    <col min="11784" max="11784" width="12.453125" customWidth="1"/>
    <col min="11785" max="11785" width="11" customWidth="1"/>
    <col min="11786" max="11787" width="11.453125" customWidth="1"/>
    <col min="11788" max="11788" width="16.54296875" customWidth="1"/>
    <col min="11789" max="11789" width="12.453125" customWidth="1"/>
    <col min="11790" max="11790" width="10.453125" customWidth="1"/>
    <col min="11791" max="11791" width="0" hidden="1" customWidth="1"/>
    <col min="11792" max="11792" width="23.26953125" customWidth="1"/>
    <col min="11793" max="11793" width="0" hidden="1" customWidth="1"/>
    <col min="12034" max="12035" width="13.7265625" customWidth="1"/>
    <col min="12036" max="12036" width="8.81640625" customWidth="1"/>
    <col min="12037" max="12037" width="13.7265625" customWidth="1"/>
    <col min="12038" max="12038" width="8.7265625" customWidth="1"/>
    <col min="12039" max="12039" width="12.54296875" customWidth="1"/>
    <col min="12040" max="12040" width="12.453125" customWidth="1"/>
    <col min="12041" max="12041" width="11" customWidth="1"/>
    <col min="12042" max="12043" width="11.453125" customWidth="1"/>
    <col min="12044" max="12044" width="16.54296875" customWidth="1"/>
    <col min="12045" max="12045" width="12.453125" customWidth="1"/>
    <col min="12046" max="12046" width="10.453125" customWidth="1"/>
    <col min="12047" max="12047" width="0" hidden="1" customWidth="1"/>
    <col min="12048" max="12048" width="23.26953125" customWidth="1"/>
    <col min="12049" max="12049" width="0" hidden="1" customWidth="1"/>
    <col min="12290" max="12291" width="13.7265625" customWidth="1"/>
    <col min="12292" max="12292" width="8.81640625" customWidth="1"/>
    <col min="12293" max="12293" width="13.7265625" customWidth="1"/>
    <col min="12294" max="12294" width="8.7265625" customWidth="1"/>
    <col min="12295" max="12295" width="12.54296875" customWidth="1"/>
    <col min="12296" max="12296" width="12.453125" customWidth="1"/>
    <col min="12297" max="12297" width="11" customWidth="1"/>
    <col min="12298" max="12299" width="11.453125" customWidth="1"/>
    <col min="12300" max="12300" width="16.54296875" customWidth="1"/>
    <col min="12301" max="12301" width="12.453125" customWidth="1"/>
    <col min="12302" max="12302" width="10.453125" customWidth="1"/>
    <col min="12303" max="12303" width="0" hidden="1" customWidth="1"/>
    <col min="12304" max="12304" width="23.26953125" customWidth="1"/>
    <col min="12305" max="12305" width="0" hidden="1" customWidth="1"/>
    <col min="12546" max="12547" width="13.7265625" customWidth="1"/>
    <col min="12548" max="12548" width="8.81640625" customWidth="1"/>
    <col min="12549" max="12549" width="13.7265625" customWidth="1"/>
    <col min="12550" max="12550" width="8.7265625" customWidth="1"/>
    <col min="12551" max="12551" width="12.54296875" customWidth="1"/>
    <col min="12552" max="12552" width="12.453125" customWidth="1"/>
    <col min="12553" max="12553" width="11" customWidth="1"/>
    <col min="12554" max="12555" width="11.453125" customWidth="1"/>
    <col min="12556" max="12556" width="16.54296875" customWidth="1"/>
    <col min="12557" max="12557" width="12.453125" customWidth="1"/>
    <col min="12558" max="12558" width="10.453125" customWidth="1"/>
    <col min="12559" max="12559" width="0" hidden="1" customWidth="1"/>
    <col min="12560" max="12560" width="23.26953125" customWidth="1"/>
    <col min="12561" max="12561" width="0" hidden="1" customWidth="1"/>
    <col min="12802" max="12803" width="13.7265625" customWidth="1"/>
    <col min="12804" max="12804" width="8.81640625" customWidth="1"/>
    <col min="12805" max="12805" width="13.7265625" customWidth="1"/>
    <col min="12806" max="12806" width="8.7265625" customWidth="1"/>
    <col min="12807" max="12807" width="12.54296875" customWidth="1"/>
    <col min="12808" max="12808" width="12.453125" customWidth="1"/>
    <col min="12809" max="12809" width="11" customWidth="1"/>
    <col min="12810" max="12811" width="11.453125" customWidth="1"/>
    <col min="12812" max="12812" width="16.54296875" customWidth="1"/>
    <col min="12813" max="12813" width="12.453125" customWidth="1"/>
    <col min="12814" max="12814" width="10.453125" customWidth="1"/>
    <col min="12815" max="12815" width="0" hidden="1" customWidth="1"/>
    <col min="12816" max="12816" width="23.26953125" customWidth="1"/>
    <col min="12817" max="12817" width="0" hidden="1" customWidth="1"/>
    <col min="13058" max="13059" width="13.7265625" customWidth="1"/>
    <col min="13060" max="13060" width="8.81640625" customWidth="1"/>
    <col min="13061" max="13061" width="13.7265625" customWidth="1"/>
    <col min="13062" max="13062" width="8.7265625" customWidth="1"/>
    <col min="13063" max="13063" width="12.54296875" customWidth="1"/>
    <col min="13064" max="13064" width="12.453125" customWidth="1"/>
    <col min="13065" max="13065" width="11" customWidth="1"/>
    <col min="13066" max="13067" width="11.453125" customWidth="1"/>
    <col min="13068" max="13068" width="16.54296875" customWidth="1"/>
    <col min="13069" max="13069" width="12.453125" customWidth="1"/>
    <col min="13070" max="13070" width="10.453125" customWidth="1"/>
    <col min="13071" max="13071" width="0" hidden="1" customWidth="1"/>
    <col min="13072" max="13072" width="23.26953125" customWidth="1"/>
    <col min="13073" max="13073" width="0" hidden="1" customWidth="1"/>
    <col min="13314" max="13315" width="13.7265625" customWidth="1"/>
    <col min="13316" max="13316" width="8.81640625" customWidth="1"/>
    <col min="13317" max="13317" width="13.7265625" customWidth="1"/>
    <col min="13318" max="13318" width="8.7265625" customWidth="1"/>
    <col min="13319" max="13319" width="12.54296875" customWidth="1"/>
    <col min="13320" max="13320" width="12.453125" customWidth="1"/>
    <col min="13321" max="13321" width="11" customWidth="1"/>
    <col min="13322" max="13323" width="11.453125" customWidth="1"/>
    <col min="13324" max="13324" width="16.54296875" customWidth="1"/>
    <col min="13325" max="13325" width="12.453125" customWidth="1"/>
    <col min="13326" max="13326" width="10.453125" customWidth="1"/>
    <col min="13327" max="13327" width="0" hidden="1" customWidth="1"/>
    <col min="13328" max="13328" width="23.26953125" customWidth="1"/>
    <col min="13329" max="13329" width="0" hidden="1" customWidth="1"/>
    <col min="13570" max="13571" width="13.7265625" customWidth="1"/>
    <col min="13572" max="13572" width="8.81640625" customWidth="1"/>
    <col min="13573" max="13573" width="13.7265625" customWidth="1"/>
    <col min="13574" max="13574" width="8.7265625" customWidth="1"/>
    <col min="13575" max="13575" width="12.54296875" customWidth="1"/>
    <col min="13576" max="13576" width="12.453125" customWidth="1"/>
    <col min="13577" max="13577" width="11" customWidth="1"/>
    <col min="13578" max="13579" width="11.453125" customWidth="1"/>
    <col min="13580" max="13580" width="16.54296875" customWidth="1"/>
    <col min="13581" max="13581" width="12.453125" customWidth="1"/>
    <col min="13582" max="13582" width="10.453125" customWidth="1"/>
    <col min="13583" max="13583" width="0" hidden="1" customWidth="1"/>
    <col min="13584" max="13584" width="23.26953125" customWidth="1"/>
    <col min="13585" max="13585" width="0" hidden="1" customWidth="1"/>
    <col min="13826" max="13827" width="13.7265625" customWidth="1"/>
    <col min="13828" max="13828" width="8.81640625" customWidth="1"/>
    <col min="13829" max="13829" width="13.7265625" customWidth="1"/>
    <col min="13830" max="13830" width="8.7265625" customWidth="1"/>
    <col min="13831" max="13831" width="12.54296875" customWidth="1"/>
    <col min="13832" max="13832" width="12.453125" customWidth="1"/>
    <col min="13833" max="13833" width="11" customWidth="1"/>
    <col min="13834" max="13835" width="11.453125" customWidth="1"/>
    <col min="13836" max="13836" width="16.54296875" customWidth="1"/>
    <col min="13837" max="13837" width="12.453125" customWidth="1"/>
    <col min="13838" max="13838" width="10.453125" customWidth="1"/>
    <col min="13839" max="13839" width="0" hidden="1" customWidth="1"/>
    <col min="13840" max="13840" width="23.26953125" customWidth="1"/>
    <col min="13841" max="13841" width="0" hidden="1" customWidth="1"/>
    <col min="14082" max="14083" width="13.7265625" customWidth="1"/>
    <col min="14084" max="14084" width="8.81640625" customWidth="1"/>
    <col min="14085" max="14085" width="13.7265625" customWidth="1"/>
    <col min="14086" max="14086" width="8.7265625" customWidth="1"/>
    <col min="14087" max="14087" width="12.54296875" customWidth="1"/>
    <col min="14088" max="14088" width="12.453125" customWidth="1"/>
    <col min="14089" max="14089" width="11" customWidth="1"/>
    <col min="14090" max="14091" width="11.453125" customWidth="1"/>
    <col min="14092" max="14092" width="16.54296875" customWidth="1"/>
    <col min="14093" max="14093" width="12.453125" customWidth="1"/>
    <col min="14094" max="14094" width="10.453125" customWidth="1"/>
    <col min="14095" max="14095" width="0" hidden="1" customWidth="1"/>
    <col min="14096" max="14096" width="23.26953125" customWidth="1"/>
    <col min="14097" max="14097" width="0" hidden="1" customWidth="1"/>
    <col min="14338" max="14339" width="13.7265625" customWidth="1"/>
    <col min="14340" max="14340" width="8.81640625" customWidth="1"/>
    <col min="14341" max="14341" width="13.7265625" customWidth="1"/>
    <col min="14342" max="14342" width="8.7265625" customWidth="1"/>
    <col min="14343" max="14343" width="12.54296875" customWidth="1"/>
    <col min="14344" max="14344" width="12.453125" customWidth="1"/>
    <col min="14345" max="14345" width="11" customWidth="1"/>
    <col min="14346" max="14347" width="11.453125" customWidth="1"/>
    <col min="14348" max="14348" width="16.54296875" customWidth="1"/>
    <col min="14349" max="14349" width="12.453125" customWidth="1"/>
    <col min="14350" max="14350" width="10.453125" customWidth="1"/>
    <col min="14351" max="14351" width="0" hidden="1" customWidth="1"/>
    <col min="14352" max="14352" width="23.26953125" customWidth="1"/>
    <col min="14353" max="14353" width="0" hidden="1" customWidth="1"/>
    <col min="14594" max="14595" width="13.7265625" customWidth="1"/>
    <col min="14596" max="14596" width="8.81640625" customWidth="1"/>
    <col min="14597" max="14597" width="13.7265625" customWidth="1"/>
    <col min="14598" max="14598" width="8.7265625" customWidth="1"/>
    <col min="14599" max="14599" width="12.54296875" customWidth="1"/>
    <col min="14600" max="14600" width="12.453125" customWidth="1"/>
    <col min="14601" max="14601" width="11" customWidth="1"/>
    <col min="14602" max="14603" width="11.453125" customWidth="1"/>
    <col min="14604" max="14604" width="16.54296875" customWidth="1"/>
    <col min="14605" max="14605" width="12.453125" customWidth="1"/>
    <col min="14606" max="14606" width="10.453125" customWidth="1"/>
    <col min="14607" max="14607" width="0" hidden="1" customWidth="1"/>
    <col min="14608" max="14608" width="23.26953125" customWidth="1"/>
    <col min="14609" max="14609" width="0" hidden="1" customWidth="1"/>
    <col min="14850" max="14851" width="13.7265625" customWidth="1"/>
    <col min="14852" max="14852" width="8.81640625" customWidth="1"/>
    <col min="14853" max="14853" width="13.7265625" customWidth="1"/>
    <col min="14854" max="14854" width="8.7265625" customWidth="1"/>
    <col min="14855" max="14855" width="12.54296875" customWidth="1"/>
    <col min="14856" max="14856" width="12.453125" customWidth="1"/>
    <col min="14857" max="14857" width="11" customWidth="1"/>
    <col min="14858" max="14859" width="11.453125" customWidth="1"/>
    <col min="14860" max="14860" width="16.54296875" customWidth="1"/>
    <col min="14861" max="14861" width="12.453125" customWidth="1"/>
    <col min="14862" max="14862" width="10.453125" customWidth="1"/>
    <col min="14863" max="14863" width="0" hidden="1" customWidth="1"/>
    <col min="14864" max="14864" width="23.26953125" customWidth="1"/>
    <col min="14865" max="14865" width="0" hidden="1" customWidth="1"/>
    <col min="15106" max="15107" width="13.7265625" customWidth="1"/>
    <col min="15108" max="15108" width="8.81640625" customWidth="1"/>
    <col min="15109" max="15109" width="13.7265625" customWidth="1"/>
    <col min="15110" max="15110" width="8.7265625" customWidth="1"/>
    <col min="15111" max="15111" width="12.54296875" customWidth="1"/>
    <col min="15112" max="15112" width="12.453125" customWidth="1"/>
    <col min="15113" max="15113" width="11" customWidth="1"/>
    <col min="15114" max="15115" width="11.453125" customWidth="1"/>
    <col min="15116" max="15116" width="16.54296875" customWidth="1"/>
    <col min="15117" max="15117" width="12.453125" customWidth="1"/>
    <col min="15118" max="15118" width="10.453125" customWidth="1"/>
    <col min="15119" max="15119" width="0" hidden="1" customWidth="1"/>
    <col min="15120" max="15120" width="23.26953125" customWidth="1"/>
    <col min="15121" max="15121" width="0" hidden="1" customWidth="1"/>
    <col min="15362" max="15363" width="13.7265625" customWidth="1"/>
    <col min="15364" max="15364" width="8.81640625" customWidth="1"/>
    <col min="15365" max="15365" width="13.7265625" customWidth="1"/>
    <col min="15366" max="15366" width="8.7265625" customWidth="1"/>
    <col min="15367" max="15367" width="12.54296875" customWidth="1"/>
    <col min="15368" max="15368" width="12.453125" customWidth="1"/>
    <col min="15369" max="15369" width="11" customWidth="1"/>
    <col min="15370" max="15371" width="11.453125" customWidth="1"/>
    <col min="15372" max="15372" width="16.54296875" customWidth="1"/>
    <col min="15373" max="15373" width="12.453125" customWidth="1"/>
    <col min="15374" max="15374" width="10.453125" customWidth="1"/>
    <col min="15375" max="15375" width="0" hidden="1" customWidth="1"/>
    <col min="15376" max="15376" width="23.26953125" customWidth="1"/>
    <col min="15377" max="15377" width="0" hidden="1" customWidth="1"/>
    <col min="15618" max="15619" width="13.7265625" customWidth="1"/>
    <col min="15620" max="15620" width="8.81640625" customWidth="1"/>
    <col min="15621" max="15621" width="13.7265625" customWidth="1"/>
    <col min="15622" max="15622" width="8.7265625" customWidth="1"/>
    <col min="15623" max="15623" width="12.54296875" customWidth="1"/>
    <col min="15624" max="15624" width="12.453125" customWidth="1"/>
    <col min="15625" max="15625" width="11" customWidth="1"/>
    <col min="15626" max="15627" width="11.453125" customWidth="1"/>
    <col min="15628" max="15628" width="16.54296875" customWidth="1"/>
    <col min="15629" max="15629" width="12.453125" customWidth="1"/>
    <col min="15630" max="15630" width="10.453125" customWidth="1"/>
    <col min="15631" max="15631" width="0" hidden="1" customWidth="1"/>
    <col min="15632" max="15632" width="23.26953125" customWidth="1"/>
    <col min="15633" max="15633" width="0" hidden="1" customWidth="1"/>
    <col min="15874" max="15875" width="13.7265625" customWidth="1"/>
    <col min="15876" max="15876" width="8.81640625" customWidth="1"/>
    <col min="15877" max="15877" width="13.7265625" customWidth="1"/>
    <col min="15878" max="15878" width="8.7265625" customWidth="1"/>
    <col min="15879" max="15879" width="12.54296875" customWidth="1"/>
    <col min="15880" max="15880" width="12.453125" customWidth="1"/>
    <col min="15881" max="15881" width="11" customWidth="1"/>
    <col min="15882" max="15883" width="11.453125" customWidth="1"/>
    <col min="15884" max="15884" width="16.54296875" customWidth="1"/>
    <col min="15885" max="15885" width="12.453125" customWidth="1"/>
    <col min="15886" max="15886" width="10.453125" customWidth="1"/>
    <col min="15887" max="15887" width="0" hidden="1" customWidth="1"/>
    <col min="15888" max="15888" width="23.26953125" customWidth="1"/>
    <col min="15889" max="15889" width="0" hidden="1" customWidth="1"/>
    <col min="16130" max="16131" width="13.7265625" customWidth="1"/>
    <col min="16132" max="16132" width="8.81640625" customWidth="1"/>
    <col min="16133" max="16133" width="13.7265625" customWidth="1"/>
    <col min="16134" max="16134" width="8.7265625" customWidth="1"/>
    <col min="16135" max="16135" width="12.54296875" customWidth="1"/>
    <col min="16136" max="16136" width="12.453125" customWidth="1"/>
    <col min="16137" max="16137" width="11" customWidth="1"/>
    <col min="16138" max="16139" width="11.453125" customWidth="1"/>
    <col min="16140" max="16140" width="16.54296875" customWidth="1"/>
    <col min="16141" max="16141" width="12.453125" customWidth="1"/>
    <col min="16142" max="16142" width="10.453125" customWidth="1"/>
    <col min="16143" max="16143" width="0" hidden="1" customWidth="1"/>
    <col min="16144" max="16144" width="23.26953125" customWidth="1"/>
    <col min="16145" max="16145" width="0" hidden="1" customWidth="1"/>
  </cols>
  <sheetData>
    <row r="1" spans="2:22" ht="25.9" customHeight="1">
      <c r="B1" s="1080" t="s">
        <v>2730</v>
      </c>
      <c r="C1" s="1081"/>
      <c r="D1" s="1081"/>
      <c r="E1" s="1081"/>
      <c r="F1" s="1081"/>
      <c r="G1" s="1081"/>
      <c r="H1" s="1081"/>
      <c r="I1" s="1081"/>
      <c r="J1" s="1081"/>
      <c r="K1" s="1081"/>
      <c r="L1" s="1081"/>
      <c r="M1" s="1081"/>
      <c r="N1" s="1081"/>
      <c r="S1" t="s">
        <v>2730</v>
      </c>
    </row>
    <row r="2" spans="2:22" ht="19.399999999999999" customHeight="1">
      <c r="B2" s="1082" t="s">
        <v>2731</v>
      </c>
      <c r="C2" s="1081"/>
      <c r="D2" s="1081"/>
      <c r="E2" s="1081"/>
      <c r="F2" s="1081"/>
      <c r="G2" s="1081"/>
      <c r="H2" s="1081"/>
      <c r="I2" s="1081"/>
      <c r="J2" s="1081"/>
      <c r="K2" s="1081"/>
      <c r="L2" s="1081"/>
      <c r="M2" s="1081"/>
      <c r="N2" s="1081"/>
      <c r="S2" t="s">
        <v>2749</v>
      </c>
    </row>
    <row r="3" spans="2:22" ht="16.75" customHeight="1"/>
    <row r="4" spans="2:22" ht="42">
      <c r="B4" s="768" t="s">
        <v>95</v>
      </c>
      <c r="C4" s="768" t="s">
        <v>482</v>
      </c>
      <c r="D4" s="768" t="s">
        <v>483</v>
      </c>
      <c r="E4" s="768" t="s">
        <v>484</v>
      </c>
      <c r="F4" s="768" t="s">
        <v>485</v>
      </c>
      <c r="G4" s="769" t="s">
        <v>486</v>
      </c>
      <c r="H4" s="769" t="s">
        <v>487</v>
      </c>
      <c r="I4" s="769" t="s">
        <v>488</v>
      </c>
      <c r="J4" s="768" t="s">
        <v>489</v>
      </c>
      <c r="K4" s="768" t="s">
        <v>490</v>
      </c>
      <c r="L4" s="768" t="s">
        <v>491</v>
      </c>
      <c r="M4" s="769" t="s">
        <v>492</v>
      </c>
      <c r="N4" s="769" t="s">
        <v>493</v>
      </c>
      <c r="S4" t="s">
        <v>95</v>
      </c>
      <c r="T4" t="s">
        <v>1287</v>
      </c>
      <c r="U4" t="s">
        <v>1347</v>
      </c>
      <c r="V4" t="s">
        <v>2750</v>
      </c>
    </row>
    <row r="5" spans="2:22" ht="37.5">
      <c r="B5" s="774">
        <v>1</v>
      </c>
      <c r="C5" s="770" t="s">
        <v>303</v>
      </c>
      <c r="D5" s="770" t="s">
        <v>1583</v>
      </c>
      <c r="E5" s="770" t="s">
        <v>494</v>
      </c>
      <c r="F5" s="770" t="s">
        <v>495</v>
      </c>
      <c r="G5" s="770">
        <v>364</v>
      </c>
      <c r="H5" s="770">
        <v>781</v>
      </c>
      <c r="I5" s="771">
        <v>0.46600000000000003</v>
      </c>
      <c r="J5" s="770" t="s">
        <v>496</v>
      </c>
      <c r="K5" s="770" t="s">
        <v>497</v>
      </c>
      <c r="L5" s="770" t="s">
        <v>2732</v>
      </c>
      <c r="M5" s="772">
        <v>0</v>
      </c>
      <c r="N5" s="772">
        <v>0</v>
      </c>
      <c r="S5">
        <v>1</v>
      </c>
      <c r="T5">
        <f>SUMIF($B:$B, $S5, G:G)</f>
        <v>8988</v>
      </c>
      <c r="U5">
        <f>SUMIF($B:$B, $S5, H:H)</f>
        <v>25498</v>
      </c>
      <c r="V5" s="131">
        <f>IF(U5&gt;0, T5/U5, 0)</f>
        <v>0.3524982351556985</v>
      </c>
    </row>
    <row r="6" spans="2:22" ht="37.5">
      <c r="B6" s="774">
        <v>1</v>
      </c>
      <c r="C6" s="770" t="s">
        <v>303</v>
      </c>
      <c r="D6" s="770" t="s">
        <v>1584</v>
      </c>
      <c r="E6" s="770" t="s">
        <v>499</v>
      </c>
      <c r="F6" s="770" t="s">
        <v>495</v>
      </c>
      <c r="G6" s="770">
        <v>256</v>
      </c>
      <c r="H6" s="770">
        <v>629</v>
      </c>
      <c r="I6" s="771">
        <v>0.40699999999999997</v>
      </c>
      <c r="J6" s="770" t="s">
        <v>496</v>
      </c>
      <c r="K6" s="770" t="s">
        <v>497</v>
      </c>
      <c r="L6" s="770" t="s">
        <v>2732</v>
      </c>
      <c r="M6" s="772">
        <v>0</v>
      </c>
      <c r="N6" s="772">
        <v>0</v>
      </c>
      <c r="S6">
        <v>2</v>
      </c>
      <c r="T6">
        <f t="shared" ref="T6:T69" si="0">SUMIF($B:$B, $S6, G:G)</f>
        <v>9920</v>
      </c>
      <c r="U6">
        <f t="shared" ref="U6:U69" si="1">SUMIF($B:$B, $S6, H:H)</f>
        <v>36779</v>
      </c>
      <c r="V6" s="131">
        <f t="shared" ref="V6:V69" si="2">IF(U6&gt;0, T6/U6, 0)</f>
        <v>0.26971913320101143</v>
      </c>
    </row>
    <row r="7" spans="2:22" ht="37.5">
      <c r="B7" s="774">
        <v>1</v>
      </c>
      <c r="C7" s="770" t="s">
        <v>303</v>
      </c>
      <c r="D7" s="770" t="s">
        <v>1585</v>
      </c>
      <c r="E7" s="770" t="s">
        <v>500</v>
      </c>
      <c r="F7" s="770" t="s">
        <v>495</v>
      </c>
      <c r="G7" s="770">
        <v>170</v>
      </c>
      <c r="H7" s="770">
        <v>885</v>
      </c>
      <c r="I7" s="771">
        <v>0.192</v>
      </c>
      <c r="J7" s="770" t="s">
        <v>501</v>
      </c>
      <c r="K7" s="770" t="s">
        <v>497</v>
      </c>
      <c r="L7" s="770" t="s">
        <v>2732</v>
      </c>
      <c r="M7" s="772">
        <v>0</v>
      </c>
      <c r="N7" s="772">
        <v>0</v>
      </c>
      <c r="S7">
        <v>3</v>
      </c>
      <c r="T7">
        <f t="shared" si="0"/>
        <v>1898</v>
      </c>
      <c r="U7">
        <f t="shared" si="1"/>
        <v>4683</v>
      </c>
      <c r="V7" s="131">
        <f t="shared" si="2"/>
        <v>0.40529575058723039</v>
      </c>
    </row>
    <row r="8" spans="2:22" ht="37.5">
      <c r="B8" s="774">
        <v>1</v>
      </c>
      <c r="C8" s="770" t="s">
        <v>303</v>
      </c>
      <c r="D8" s="770" t="s">
        <v>1586</v>
      </c>
      <c r="E8" s="770" t="s">
        <v>502</v>
      </c>
      <c r="F8" s="770" t="s">
        <v>495</v>
      </c>
      <c r="G8" s="770">
        <v>299</v>
      </c>
      <c r="H8" s="770">
        <v>611</v>
      </c>
      <c r="I8" s="771">
        <v>0.48899999999999999</v>
      </c>
      <c r="J8" s="770" t="s">
        <v>496</v>
      </c>
      <c r="K8" s="770" t="s">
        <v>497</v>
      </c>
      <c r="L8" s="770" t="s">
        <v>2732</v>
      </c>
      <c r="M8" s="772">
        <v>0</v>
      </c>
      <c r="N8" s="772">
        <v>0</v>
      </c>
      <c r="S8">
        <v>11</v>
      </c>
      <c r="T8">
        <f t="shared" si="0"/>
        <v>103</v>
      </c>
      <c r="U8">
        <f t="shared" si="1"/>
        <v>158</v>
      </c>
      <c r="V8" s="131">
        <f t="shared" si="2"/>
        <v>0.65189873417721522</v>
      </c>
    </row>
    <row r="9" spans="2:22" ht="37.5">
      <c r="B9" s="774">
        <v>1</v>
      </c>
      <c r="C9" s="770" t="s">
        <v>303</v>
      </c>
      <c r="D9" s="770" t="s">
        <v>1587</v>
      </c>
      <c r="E9" s="770" t="s">
        <v>503</v>
      </c>
      <c r="F9" s="770" t="s">
        <v>504</v>
      </c>
      <c r="G9" s="770">
        <v>318</v>
      </c>
      <c r="H9" s="770">
        <v>1218</v>
      </c>
      <c r="I9" s="771">
        <v>0.26100000000000001</v>
      </c>
      <c r="J9" s="770" t="s">
        <v>501</v>
      </c>
      <c r="K9" s="770" t="s">
        <v>497</v>
      </c>
      <c r="L9" s="770" t="s">
        <v>2732</v>
      </c>
      <c r="M9" s="772">
        <v>0</v>
      </c>
      <c r="N9" s="772">
        <v>0</v>
      </c>
      <c r="S9">
        <v>13</v>
      </c>
      <c r="T9">
        <f t="shared" si="0"/>
        <v>139</v>
      </c>
      <c r="U9">
        <f t="shared" si="1"/>
        <v>257</v>
      </c>
      <c r="V9" s="131">
        <f t="shared" si="2"/>
        <v>0.54085603112840464</v>
      </c>
    </row>
    <row r="10" spans="2:22" ht="37.5">
      <c r="B10" s="774">
        <v>1</v>
      </c>
      <c r="C10" s="770" t="s">
        <v>303</v>
      </c>
      <c r="D10" s="770" t="s">
        <v>1588</v>
      </c>
      <c r="E10" s="770" t="s">
        <v>506</v>
      </c>
      <c r="F10" s="770" t="s">
        <v>504</v>
      </c>
      <c r="G10" s="770">
        <v>652</v>
      </c>
      <c r="H10" s="770">
        <v>1499</v>
      </c>
      <c r="I10" s="771">
        <v>0.435</v>
      </c>
      <c r="J10" s="770" t="s">
        <v>496</v>
      </c>
      <c r="K10" s="770" t="s">
        <v>497</v>
      </c>
      <c r="L10" s="770" t="s">
        <v>2732</v>
      </c>
      <c r="M10" s="772">
        <v>0</v>
      </c>
      <c r="N10" s="772">
        <v>0</v>
      </c>
      <c r="S10">
        <v>21</v>
      </c>
      <c r="T10">
        <f t="shared" si="0"/>
        <v>607</v>
      </c>
      <c r="U10">
        <f t="shared" si="1"/>
        <v>1256</v>
      </c>
      <c r="V10" s="131">
        <f t="shared" si="2"/>
        <v>0.48328025477707004</v>
      </c>
    </row>
    <row r="11" spans="2:22" ht="37.5">
      <c r="B11" s="774">
        <v>1</v>
      </c>
      <c r="C11" s="770" t="s">
        <v>303</v>
      </c>
      <c r="D11" s="770" t="s">
        <v>1589</v>
      </c>
      <c r="E11" s="770" t="s">
        <v>507</v>
      </c>
      <c r="F11" s="770" t="s">
        <v>504</v>
      </c>
      <c r="G11" s="770">
        <v>493</v>
      </c>
      <c r="H11" s="770">
        <v>1271</v>
      </c>
      <c r="I11" s="771">
        <v>0.38800000000000001</v>
      </c>
      <c r="J11" s="770" t="s">
        <v>496</v>
      </c>
      <c r="K11" s="770" t="s">
        <v>497</v>
      </c>
      <c r="L11" s="770" t="s">
        <v>2732</v>
      </c>
      <c r="M11" s="772">
        <v>0</v>
      </c>
      <c r="N11" s="772">
        <v>0</v>
      </c>
      <c r="S11">
        <v>25</v>
      </c>
      <c r="T11">
        <f t="shared" si="0"/>
        <v>6232</v>
      </c>
      <c r="U11">
        <f t="shared" si="1"/>
        <v>12604</v>
      </c>
      <c r="V11" s="131">
        <f t="shared" si="2"/>
        <v>0.49444620755315771</v>
      </c>
    </row>
    <row r="12" spans="2:22" ht="37.5">
      <c r="B12" s="774">
        <v>1</v>
      </c>
      <c r="C12" s="770" t="s">
        <v>303</v>
      </c>
      <c r="D12" s="770" t="s">
        <v>1590</v>
      </c>
      <c r="E12" s="770" t="s">
        <v>508</v>
      </c>
      <c r="F12" s="770" t="s">
        <v>495</v>
      </c>
      <c r="G12" s="770">
        <v>167</v>
      </c>
      <c r="H12" s="770">
        <v>666</v>
      </c>
      <c r="I12" s="771">
        <v>0.251</v>
      </c>
      <c r="J12" s="770" t="s">
        <v>501</v>
      </c>
      <c r="K12" s="770" t="s">
        <v>497</v>
      </c>
      <c r="L12" s="770" t="s">
        <v>2732</v>
      </c>
      <c r="M12" s="772">
        <v>0</v>
      </c>
      <c r="N12" s="772">
        <v>0</v>
      </c>
      <c r="S12">
        <v>33</v>
      </c>
      <c r="T12">
        <f t="shared" si="0"/>
        <v>509</v>
      </c>
      <c r="U12">
        <f t="shared" si="1"/>
        <v>1103</v>
      </c>
      <c r="V12" s="131">
        <f t="shared" si="2"/>
        <v>0.46146872166817771</v>
      </c>
    </row>
    <row r="13" spans="2:22" ht="37.5">
      <c r="B13" s="774">
        <v>1</v>
      </c>
      <c r="C13" s="770" t="s">
        <v>303</v>
      </c>
      <c r="D13" s="770" t="s">
        <v>1591</v>
      </c>
      <c r="E13" s="770" t="s">
        <v>1522</v>
      </c>
      <c r="F13" s="770" t="s">
        <v>495</v>
      </c>
      <c r="G13" s="770">
        <v>231</v>
      </c>
      <c r="H13" s="770">
        <v>642</v>
      </c>
      <c r="I13" s="771">
        <v>0.36</v>
      </c>
      <c r="J13" s="770" t="s">
        <v>496</v>
      </c>
      <c r="K13" s="770" t="s">
        <v>497</v>
      </c>
      <c r="L13" s="770" t="s">
        <v>2732</v>
      </c>
      <c r="M13" s="772">
        <v>0</v>
      </c>
      <c r="N13" s="772">
        <v>0</v>
      </c>
      <c r="S13">
        <v>41</v>
      </c>
      <c r="T13">
        <f t="shared" si="0"/>
        <v>465</v>
      </c>
      <c r="U13">
        <f t="shared" si="1"/>
        <v>917</v>
      </c>
      <c r="V13" s="131">
        <f t="shared" si="2"/>
        <v>0.50708833151581245</v>
      </c>
    </row>
    <row r="14" spans="2:22" ht="37.5">
      <c r="B14" s="774">
        <v>1</v>
      </c>
      <c r="C14" s="770" t="s">
        <v>303</v>
      </c>
      <c r="D14" s="770" t="s">
        <v>1592</v>
      </c>
      <c r="E14" s="770" t="s">
        <v>510</v>
      </c>
      <c r="F14" s="770" t="s">
        <v>504</v>
      </c>
      <c r="G14" s="770">
        <v>209</v>
      </c>
      <c r="H14" s="770">
        <v>1115</v>
      </c>
      <c r="I14" s="771">
        <v>0.187</v>
      </c>
      <c r="J14" s="770" t="s">
        <v>501</v>
      </c>
      <c r="K14" s="770" t="s">
        <v>497</v>
      </c>
      <c r="L14" s="770" t="s">
        <v>2732</v>
      </c>
      <c r="M14" s="772">
        <v>0</v>
      </c>
      <c r="N14" s="772">
        <v>0</v>
      </c>
      <c r="S14">
        <v>44</v>
      </c>
      <c r="T14">
        <f t="shared" si="0"/>
        <v>221</v>
      </c>
      <c r="U14">
        <f t="shared" si="1"/>
        <v>326</v>
      </c>
      <c r="V14" s="131">
        <f t="shared" si="2"/>
        <v>0.67791411042944782</v>
      </c>
    </row>
    <row r="15" spans="2:22" ht="37.5">
      <c r="B15" s="774">
        <v>1</v>
      </c>
      <c r="C15" s="770" t="s">
        <v>303</v>
      </c>
      <c r="D15" s="770" t="s">
        <v>1593</v>
      </c>
      <c r="E15" s="770" t="s">
        <v>511</v>
      </c>
      <c r="F15" s="770" t="s">
        <v>512</v>
      </c>
      <c r="G15" s="770">
        <v>125</v>
      </c>
      <c r="H15" s="770">
        <v>695</v>
      </c>
      <c r="I15" s="771">
        <v>0.18</v>
      </c>
      <c r="J15" s="770" t="s">
        <v>501</v>
      </c>
      <c r="K15" s="770" t="s">
        <v>497</v>
      </c>
      <c r="L15" s="770" t="s">
        <v>2732</v>
      </c>
      <c r="M15" s="772">
        <v>0</v>
      </c>
      <c r="N15" s="772">
        <v>0</v>
      </c>
      <c r="S15">
        <v>52</v>
      </c>
      <c r="T15">
        <f t="shared" si="0"/>
        <v>754</v>
      </c>
      <c r="U15">
        <f t="shared" si="1"/>
        <v>1693</v>
      </c>
      <c r="V15" s="131">
        <f t="shared" si="2"/>
        <v>0.44536326048434732</v>
      </c>
    </row>
    <row r="16" spans="2:22" ht="37.5">
      <c r="B16" s="774">
        <v>1</v>
      </c>
      <c r="C16" s="770" t="s">
        <v>303</v>
      </c>
      <c r="D16" s="770" t="s">
        <v>1594</v>
      </c>
      <c r="E16" s="770" t="s">
        <v>513</v>
      </c>
      <c r="F16" s="770" t="s">
        <v>512</v>
      </c>
      <c r="G16" s="770">
        <v>222</v>
      </c>
      <c r="H16" s="770">
        <v>607</v>
      </c>
      <c r="I16" s="771">
        <v>0.36599999999999999</v>
      </c>
      <c r="J16" s="770" t="s">
        <v>496</v>
      </c>
      <c r="K16" s="770" t="s">
        <v>497</v>
      </c>
      <c r="L16" s="770" t="s">
        <v>2732</v>
      </c>
      <c r="M16" s="772">
        <v>0</v>
      </c>
      <c r="N16" s="772">
        <v>0</v>
      </c>
      <c r="S16">
        <v>55</v>
      </c>
      <c r="T16">
        <f t="shared" si="0"/>
        <v>2091</v>
      </c>
      <c r="U16">
        <f t="shared" si="1"/>
        <v>3676</v>
      </c>
      <c r="V16" s="131">
        <f t="shared" si="2"/>
        <v>0.56882480957562565</v>
      </c>
    </row>
    <row r="17" spans="2:22" ht="37.5">
      <c r="B17" s="774">
        <v>1</v>
      </c>
      <c r="C17" s="770" t="s">
        <v>303</v>
      </c>
      <c r="D17" s="770" t="s">
        <v>1595</v>
      </c>
      <c r="E17" s="770" t="s">
        <v>514</v>
      </c>
      <c r="F17" s="770" t="s">
        <v>512</v>
      </c>
      <c r="G17" s="770">
        <v>196</v>
      </c>
      <c r="H17" s="770">
        <v>600</v>
      </c>
      <c r="I17" s="771">
        <v>0.32700000000000001</v>
      </c>
      <c r="J17" s="770" t="s">
        <v>501</v>
      </c>
      <c r="K17" s="770" t="s">
        <v>497</v>
      </c>
      <c r="L17" s="770" t="s">
        <v>2732</v>
      </c>
      <c r="M17" s="772">
        <v>0</v>
      </c>
      <c r="N17" s="772">
        <v>0</v>
      </c>
      <c r="S17">
        <v>58</v>
      </c>
      <c r="T17">
        <f t="shared" si="0"/>
        <v>504</v>
      </c>
      <c r="U17">
        <f t="shared" si="1"/>
        <v>717</v>
      </c>
      <c r="V17" s="131">
        <f t="shared" si="2"/>
        <v>0.70292887029288698</v>
      </c>
    </row>
    <row r="18" spans="2:22" ht="37.5">
      <c r="B18" s="774">
        <v>1</v>
      </c>
      <c r="C18" s="770" t="s">
        <v>303</v>
      </c>
      <c r="D18" s="770" t="s">
        <v>1596</v>
      </c>
      <c r="E18" s="770" t="s">
        <v>515</v>
      </c>
      <c r="F18" s="770" t="s">
        <v>512</v>
      </c>
      <c r="G18" s="770">
        <v>148</v>
      </c>
      <c r="H18" s="770">
        <v>506</v>
      </c>
      <c r="I18" s="771">
        <v>0.29199999999999998</v>
      </c>
      <c r="J18" s="770" t="s">
        <v>501</v>
      </c>
      <c r="K18" s="770" t="s">
        <v>497</v>
      </c>
      <c r="L18" s="770" t="s">
        <v>2732</v>
      </c>
      <c r="M18" s="772">
        <v>0</v>
      </c>
      <c r="N18" s="772">
        <v>0</v>
      </c>
      <c r="S18">
        <v>59</v>
      </c>
      <c r="T18">
        <f t="shared" si="0"/>
        <v>416</v>
      </c>
      <c r="U18">
        <f t="shared" si="1"/>
        <v>750</v>
      </c>
      <c r="V18" s="131">
        <f t="shared" si="2"/>
        <v>0.55466666666666664</v>
      </c>
    </row>
    <row r="19" spans="2:22" ht="37.5">
      <c r="B19" s="774">
        <v>1</v>
      </c>
      <c r="C19" s="770" t="s">
        <v>303</v>
      </c>
      <c r="D19" s="770" t="s">
        <v>1598</v>
      </c>
      <c r="E19" s="770" t="s">
        <v>516</v>
      </c>
      <c r="F19" s="770" t="s">
        <v>512</v>
      </c>
      <c r="G19" s="770">
        <v>18</v>
      </c>
      <c r="H19" s="770">
        <v>346</v>
      </c>
      <c r="I19" s="771">
        <v>5.1999999999999998E-2</v>
      </c>
      <c r="J19" s="770" t="s">
        <v>501</v>
      </c>
      <c r="K19" s="770" t="s">
        <v>497</v>
      </c>
      <c r="L19" s="770" t="s">
        <v>2732</v>
      </c>
      <c r="M19" s="772">
        <v>0</v>
      </c>
      <c r="N19" s="772">
        <v>0</v>
      </c>
      <c r="S19">
        <v>60</v>
      </c>
      <c r="T19">
        <f t="shared" si="0"/>
        <v>952</v>
      </c>
      <c r="U19">
        <f t="shared" si="1"/>
        <v>2221</v>
      </c>
      <c r="V19" s="131">
        <f t="shared" si="2"/>
        <v>0.42863574966231427</v>
      </c>
    </row>
    <row r="20" spans="2:22" ht="37.5">
      <c r="B20" s="774">
        <v>1</v>
      </c>
      <c r="C20" s="770" t="s">
        <v>303</v>
      </c>
      <c r="D20" s="770" t="s">
        <v>1599</v>
      </c>
      <c r="E20" s="770" t="s">
        <v>517</v>
      </c>
      <c r="F20" s="770" t="s">
        <v>512</v>
      </c>
      <c r="G20" s="770">
        <v>228</v>
      </c>
      <c r="H20" s="770">
        <v>378</v>
      </c>
      <c r="I20" s="771">
        <v>0.60299999999999998</v>
      </c>
      <c r="J20" s="770" t="s">
        <v>496</v>
      </c>
      <c r="K20" s="770" t="s">
        <v>518</v>
      </c>
      <c r="L20" s="770" t="s">
        <v>2732</v>
      </c>
      <c r="M20" s="772">
        <v>153900</v>
      </c>
      <c r="N20" s="772">
        <v>675</v>
      </c>
      <c r="S20">
        <v>61</v>
      </c>
      <c r="T20">
        <f t="shared" si="0"/>
        <v>1379</v>
      </c>
      <c r="U20">
        <f t="shared" si="1"/>
        <v>3309</v>
      </c>
      <c r="V20" s="131">
        <f t="shared" si="2"/>
        <v>0.41674221819280749</v>
      </c>
    </row>
    <row r="21" spans="2:22" ht="37.5">
      <c r="B21" s="774">
        <v>1</v>
      </c>
      <c r="C21" s="770" t="s">
        <v>303</v>
      </c>
      <c r="D21" s="770" t="s">
        <v>1600</v>
      </c>
      <c r="E21" s="770" t="s">
        <v>519</v>
      </c>
      <c r="F21" s="770" t="s">
        <v>512</v>
      </c>
      <c r="G21" s="770">
        <v>42</v>
      </c>
      <c r="H21" s="770">
        <v>311</v>
      </c>
      <c r="I21" s="771">
        <v>0.13500000000000001</v>
      </c>
      <c r="J21" s="770" t="s">
        <v>501</v>
      </c>
      <c r="K21" s="770" t="s">
        <v>497</v>
      </c>
      <c r="L21" s="770" t="s">
        <v>2732</v>
      </c>
      <c r="M21" s="772">
        <v>0</v>
      </c>
      <c r="N21" s="772">
        <v>0</v>
      </c>
      <c r="S21">
        <v>71</v>
      </c>
      <c r="T21">
        <f t="shared" si="0"/>
        <v>122</v>
      </c>
      <c r="U21">
        <f t="shared" si="1"/>
        <v>241</v>
      </c>
      <c r="V21" s="131">
        <f t="shared" si="2"/>
        <v>0.50622406639004147</v>
      </c>
    </row>
    <row r="22" spans="2:22" ht="37.5">
      <c r="B22" s="774">
        <v>1</v>
      </c>
      <c r="C22" s="770" t="s">
        <v>303</v>
      </c>
      <c r="D22" s="770" t="s">
        <v>1601</v>
      </c>
      <c r="E22" s="770" t="s">
        <v>520</v>
      </c>
      <c r="F22" s="770" t="s">
        <v>512</v>
      </c>
      <c r="G22" s="770">
        <v>299</v>
      </c>
      <c r="H22" s="770">
        <v>577</v>
      </c>
      <c r="I22" s="771">
        <v>0.51800000000000002</v>
      </c>
      <c r="J22" s="770" t="s">
        <v>496</v>
      </c>
      <c r="K22" s="770" t="s">
        <v>518</v>
      </c>
      <c r="L22" s="770" t="s">
        <v>2733</v>
      </c>
      <c r="M22" s="772">
        <v>270226</v>
      </c>
      <c r="N22" s="772">
        <v>903</v>
      </c>
      <c r="S22">
        <v>72</v>
      </c>
      <c r="T22">
        <f t="shared" si="0"/>
        <v>150</v>
      </c>
      <c r="U22">
        <f t="shared" si="1"/>
        <v>330</v>
      </c>
      <c r="V22" s="131">
        <f t="shared" si="2"/>
        <v>0.45454545454545453</v>
      </c>
    </row>
    <row r="23" spans="2:22" ht="37.5">
      <c r="B23" s="774">
        <v>1</v>
      </c>
      <c r="C23" s="770" t="s">
        <v>303</v>
      </c>
      <c r="D23" s="770" t="s">
        <v>1602</v>
      </c>
      <c r="E23" s="770" t="s">
        <v>522</v>
      </c>
      <c r="F23" s="770" t="s">
        <v>512</v>
      </c>
      <c r="G23" s="770">
        <v>214</v>
      </c>
      <c r="H23" s="770">
        <v>347</v>
      </c>
      <c r="I23" s="771">
        <v>0.61699999999999999</v>
      </c>
      <c r="J23" s="770" t="s">
        <v>496</v>
      </c>
      <c r="K23" s="770" t="s">
        <v>518</v>
      </c>
      <c r="L23" s="770" t="s">
        <v>2732</v>
      </c>
      <c r="M23" s="772">
        <v>144450</v>
      </c>
      <c r="N23" s="772">
        <v>675</v>
      </c>
      <c r="S23">
        <v>73</v>
      </c>
      <c r="T23">
        <f t="shared" si="0"/>
        <v>149</v>
      </c>
      <c r="U23">
        <f t="shared" si="1"/>
        <v>223</v>
      </c>
      <c r="V23" s="131">
        <f t="shared" si="2"/>
        <v>0.66816143497757852</v>
      </c>
    </row>
    <row r="24" spans="2:22" ht="37.5">
      <c r="B24" s="774">
        <v>1</v>
      </c>
      <c r="C24" s="770" t="s">
        <v>303</v>
      </c>
      <c r="D24" s="770" t="s">
        <v>1603</v>
      </c>
      <c r="E24" s="770" t="s">
        <v>523</v>
      </c>
      <c r="F24" s="770" t="s">
        <v>512</v>
      </c>
      <c r="G24" s="770">
        <v>137</v>
      </c>
      <c r="H24" s="770">
        <v>267</v>
      </c>
      <c r="I24" s="771">
        <v>0.51300000000000001</v>
      </c>
      <c r="J24" s="770" t="s">
        <v>496</v>
      </c>
      <c r="K24" s="770" t="s">
        <v>518</v>
      </c>
      <c r="L24" s="770" t="s">
        <v>2734</v>
      </c>
      <c r="M24" s="772">
        <v>92475</v>
      </c>
      <c r="N24" s="772">
        <v>675</v>
      </c>
      <c r="S24">
        <v>83</v>
      </c>
      <c r="T24">
        <f t="shared" si="0"/>
        <v>593</v>
      </c>
      <c r="U24">
        <f t="shared" si="1"/>
        <v>1070</v>
      </c>
      <c r="V24" s="131">
        <f t="shared" si="2"/>
        <v>0.5542056074766355</v>
      </c>
    </row>
    <row r="25" spans="2:22" ht="37.5">
      <c r="B25" s="774">
        <v>1</v>
      </c>
      <c r="C25" s="770" t="s">
        <v>303</v>
      </c>
      <c r="D25" s="770" t="s">
        <v>1604</v>
      </c>
      <c r="E25" s="770" t="s">
        <v>524</v>
      </c>
      <c r="F25" s="770" t="s">
        <v>512</v>
      </c>
      <c r="G25" s="770">
        <v>45</v>
      </c>
      <c r="H25" s="770">
        <v>331</v>
      </c>
      <c r="I25" s="771">
        <v>0.13600000000000001</v>
      </c>
      <c r="J25" s="770" t="s">
        <v>501</v>
      </c>
      <c r="K25" s="770" t="s">
        <v>497</v>
      </c>
      <c r="L25" s="770" t="s">
        <v>2732</v>
      </c>
      <c r="M25" s="772">
        <v>0</v>
      </c>
      <c r="N25" s="772">
        <v>0</v>
      </c>
      <c r="S25">
        <v>84</v>
      </c>
      <c r="T25">
        <f t="shared" si="0"/>
        <v>1581</v>
      </c>
      <c r="U25">
        <f t="shared" si="1"/>
        <v>3507</v>
      </c>
      <c r="V25" s="131">
        <f t="shared" si="2"/>
        <v>0.45081266039349871</v>
      </c>
    </row>
    <row r="26" spans="2:22" ht="37.5">
      <c r="B26" s="774">
        <v>1</v>
      </c>
      <c r="C26" s="770" t="s">
        <v>303</v>
      </c>
      <c r="D26" s="770" t="s">
        <v>1605</v>
      </c>
      <c r="E26" s="770" t="s">
        <v>525</v>
      </c>
      <c r="F26" s="770" t="s">
        <v>512</v>
      </c>
      <c r="G26" s="770">
        <v>120</v>
      </c>
      <c r="H26" s="770">
        <v>373</v>
      </c>
      <c r="I26" s="771">
        <v>0.32200000000000001</v>
      </c>
      <c r="J26" s="770" t="s">
        <v>501</v>
      </c>
      <c r="K26" s="770" t="s">
        <v>497</v>
      </c>
      <c r="L26" s="770" t="s">
        <v>2732</v>
      </c>
      <c r="M26" s="772">
        <v>0</v>
      </c>
      <c r="N26" s="772">
        <v>0</v>
      </c>
      <c r="S26">
        <v>91</v>
      </c>
      <c r="T26">
        <f t="shared" si="0"/>
        <v>4978</v>
      </c>
      <c r="U26">
        <f t="shared" si="1"/>
        <v>10058</v>
      </c>
      <c r="V26" s="131">
        <f t="shared" si="2"/>
        <v>0.49492940942533309</v>
      </c>
    </row>
    <row r="27" spans="2:22" ht="37.5">
      <c r="B27" s="774">
        <v>1</v>
      </c>
      <c r="C27" s="770" t="s">
        <v>303</v>
      </c>
      <c r="D27" s="770" t="s">
        <v>1606</v>
      </c>
      <c r="E27" s="770" t="s">
        <v>526</v>
      </c>
      <c r="F27" s="770" t="s">
        <v>512</v>
      </c>
      <c r="G27" s="770">
        <v>114</v>
      </c>
      <c r="H27" s="770">
        <v>252</v>
      </c>
      <c r="I27" s="771">
        <v>0.45200000000000001</v>
      </c>
      <c r="J27" s="770" t="s">
        <v>496</v>
      </c>
      <c r="K27" s="770" t="s">
        <v>518</v>
      </c>
      <c r="L27" s="770" t="s">
        <v>2732</v>
      </c>
      <c r="M27" s="772">
        <v>76950</v>
      </c>
      <c r="N27" s="772">
        <v>675</v>
      </c>
      <c r="S27">
        <v>92</v>
      </c>
      <c r="T27">
        <f t="shared" si="0"/>
        <v>27</v>
      </c>
      <c r="U27">
        <f t="shared" si="1"/>
        <v>49</v>
      </c>
      <c r="V27" s="131">
        <f t="shared" si="2"/>
        <v>0.55102040816326525</v>
      </c>
    </row>
    <row r="28" spans="2:22" ht="37.5">
      <c r="B28" s="774">
        <v>1</v>
      </c>
      <c r="C28" s="770" t="s">
        <v>303</v>
      </c>
      <c r="D28" s="770" t="s">
        <v>1607</v>
      </c>
      <c r="E28" s="770" t="s">
        <v>527</v>
      </c>
      <c r="F28" s="770" t="s">
        <v>512</v>
      </c>
      <c r="G28" s="770">
        <v>49</v>
      </c>
      <c r="H28" s="770">
        <v>351</v>
      </c>
      <c r="I28" s="771">
        <v>0.14000000000000001</v>
      </c>
      <c r="J28" s="770" t="s">
        <v>501</v>
      </c>
      <c r="K28" s="770" t="s">
        <v>497</v>
      </c>
      <c r="L28" s="770" t="s">
        <v>2732</v>
      </c>
      <c r="M28" s="772">
        <v>0</v>
      </c>
      <c r="N28" s="772">
        <v>0</v>
      </c>
      <c r="S28">
        <v>93</v>
      </c>
      <c r="T28">
        <f t="shared" si="0"/>
        <v>5055</v>
      </c>
      <c r="U28">
        <f t="shared" si="1"/>
        <v>11766</v>
      </c>
      <c r="V28" s="131">
        <f t="shared" si="2"/>
        <v>0.42962774094849565</v>
      </c>
    </row>
    <row r="29" spans="2:22" ht="37.5">
      <c r="B29" s="774">
        <v>1</v>
      </c>
      <c r="C29" s="770" t="s">
        <v>303</v>
      </c>
      <c r="D29" s="770" t="s">
        <v>1608</v>
      </c>
      <c r="E29" s="770" t="s">
        <v>528</v>
      </c>
      <c r="F29" s="770" t="s">
        <v>512</v>
      </c>
      <c r="G29" s="770">
        <v>130</v>
      </c>
      <c r="H29" s="770">
        <v>548</v>
      </c>
      <c r="I29" s="771">
        <v>0.23699999999999999</v>
      </c>
      <c r="J29" s="770" t="s">
        <v>501</v>
      </c>
      <c r="K29" s="770" t="s">
        <v>497</v>
      </c>
      <c r="L29" s="770" t="s">
        <v>2732</v>
      </c>
      <c r="M29" s="772">
        <v>0</v>
      </c>
      <c r="N29" s="772">
        <v>0</v>
      </c>
      <c r="S29">
        <v>101</v>
      </c>
      <c r="T29">
        <f t="shared" si="0"/>
        <v>815</v>
      </c>
      <c r="U29">
        <f t="shared" si="1"/>
        <v>1450</v>
      </c>
      <c r="V29" s="131">
        <f t="shared" si="2"/>
        <v>0.56206896551724139</v>
      </c>
    </row>
    <row r="30" spans="2:22" ht="37.5">
      <c r="B30" s="774">
        <v>1</v>
      </c>
      <c r="C30" s="770" t="s">
        <v>303</v>
      </c>
      <c r="D30" s="770" t="s">
        <v>1609</v>
      </c>
      <c r="E30" s="770" t="s">
        <v>529</v>
      </c>
      <c r="F30" s="770" t="s">
        <v>512</v>
      </c>
      <c r="G30" s="770">
        <v>175</v>
      </c>
      <c r="H30" s="770">
        <v>270</v>
      </c>
      <c r="I30" s="771">
        <v>0.64800000000000002</v>
      </c>
      <c r="J30" s="770" t="s">
        <v>496</v>
      </c>
      <c r="K30" s="770" t="s">
        <v>518</v>
      </c>
      <c r="L30" s="770" t="s">
        <v>2734</v>
      </c>
      <c r="M30" s="772">
        <v>118125</v>
      </c>
      <c r="N30" s="772">
        <v>675</v>
      </c>
      <c r="S30">
        <v>111</v>
      </c>
      <c r="T30">
        <f t="shared" si="0"/>
        <v>218</v>
      </c>
      <c r="U30">
        <f t="shared" si="1"/>
        <v>472</v>
      </c>
      <c r="V30" s="131">
        <f t="shared" si="2"/>
        <v>0.46186440677966101</v>
      </c>
    </row>
    <row r="31" spans="2:22" ht="37.5">
      <c r="B31" s="774">
        <v>1</v>
      </c>
      <c r="C31" s="770" t="s">
        <v>303</v>
      </c>
      <c r="D31" s="770" t="s">
        <v>1610</v>
      </c>
      <c r="E31" s="770" t="s">
        <v>530</v>
      </c>
      <c r="F31" s="770" t="s">
        <v>512</v>
      </c>
      <c r="G31" s="770">
        <v>117</v>
      </c>
      <c r="H31" s="770">
        <v>364</v>
      </c>
      <c r="I31" s="771">
        <v>0.32100000000000001</v>
      </c>
      <c r="J31" s="770" t="s">
        <v>501</v>
      </c>
      <c r="K31" s="770" t="s">
        <v>497</v>
      </c>
      <c r="L31" s="770" t="s">
        <v>2732</v>
      </c>
      <c r="M31" s="772">
        <v>0</v>
      </c>
      <c r="N31" s="772">
        <v>0</v>
      </c>
      <c r="S31">
        <v>121</v>
      </c>
      <c r="T31">
        <f t="shared" si="0"/>
        <v>51</v>
      </c>
      <c r="U31">
        <f t="shared" si="1"/>
        <v>125</v>
      </c>
      <c r="V31" s="131">
        <f t="shared" si="2"/>
        <v>0.40799999999999997</v>
      </c>
    </row>
    <row r="32" spans="2:22" ht="37.5">
      <c r="B32" s="774">
        <v>1</v>
      </c>
      <c r="C32" s="770" t="s">
        <v>303</v>
      </c>
      <c r="D32" s="770" t="s">
        <v>1611</v>
      </c>
      <c r="E32" s="770" t="s">
        <v>531</v>
      </c>
      <c r="F32" s="770" t="s">
        <v>512</v>
      </c>
      <c r="G32" s="770">
        <v>197</v>
      </c>
      <c r="H32" s="770">
        <v>455</v>
      </c>
      <c r="I32" s="771">
        <v>0.433</v>
      </c>
      <c r="J32" s="770" t="s">
        <v>496</v>
      </c>
      <c r="K32" s="770" t="s">
        <v>518</v>
      </c>
      <c r="L32" s="770" t="s">
        <v>2732</v>
      </c>
      <c r="M32" s="772">
        <v>132975</v>
      </c>
      <c r="N32" s="772">
        <v>675</v>
      </c>
      <c r="S32">
        <v>131</v>
      </c>
      <c r="T32">
        <f t="shared" si="0"/>
        <v>8121</v>
      </c>
      <c r="U32">
        <f t="shared" si="1"/>
        <v>13453</v>
      </c>
      <c r="V32" s="131">
        <f t="shared" si="2"/>
        <v>0.60365717683788001</v>
      </c>
    </row>
    <row r="33" spans="2:22" ht="37.5">
      <c r="B33" s="774">
        <v>1</v>
      </c>
      <c r="C33" s="770" t="s">
        <v>303</v>
      </c>
      <c r="D33" s="770" t="s">
        <v>1612</v>
      </c>
      <c r="E33" s="770" t="s">
        <v>532</v>
      </c>
      <c r="F33" s="770" t="s">
        <v>512</v>
      </c>
      <c r="G33" s="770">
        <v>244</v>
      </c>
      <c r="H33" s="770">
        <v>349</v>
      </c>
      <c r="I33" s="771">
        <v>0.69899999999999995</v>
      </c>
      <c r="J33" s="770" t="s">
        <v>496</v>
      </c>
      <c r="K33" s="770" t="s">
        <v>518</v>
      </c>
      <c r="L33" s="770" t="s">
        <v>2734</v>
      </c>
      <c r="M33" s="772">
        <v>164700</v>
      </c>
      <c r="N33" s="772">
        <v>675</v>
      </c>
      <c r="S33">
        <v>132</v>
      </c>
      <c r="T33">
        <f t="shared" si="0"/>
        <v>5199</v>
      </c>
      <c r="U33">
        <f t="shared" si="1"/>
        <v>6326</v>
      </c>
      <c r="V33" s="131">
        <f t="shared" si="2"/>
        <v>0.82184634840341453</v>
      </c>
    </row>
    <row r="34" spans="2:22" ht="50">
      <c r="B34" s="774">
        <v>1</v>
      </c>
      <c r="C34" s="770" t="s">
        <v>303</v>
      </c>
      <c r="D34" s="770" t="s">
        <v>1614</v>
      </c>
      <c r="E34" s="770" t="s">
        <v>533</v>
      </c>
      <c r="F34" s="770" t="s">
        <v>512</v>
      </c>
      <c r="G34" s="770">
        <v>151</v>
      </c>
      <c r="H34" s="770">
        <v>374</v>
      </c>
      <c r="I34" s="771">
        <v>0.40400000000000003</v>
      </c>
      <c r="J34" s="770" t="s">
        <v>496</v>
      </c>
      <c r="K34" s="770" t="s">
        <v>518</v>
      </c>
      <c r="L34" s="770" t="s">
        <v>2732</v>
      </c>
      <c r="M34" s="772">
        <v>101925</v>
      </c>
      <c r="N34" s="772">
        <v>675</v>
      </c>
      <c r="S34">
        <v>133</v>
      </c>
      <c r="T34">
        <f t="shared" si="0"/>
        <v>0</v>
      </c>
      <c r="U34">
        <f t="shared" si="1"/>
        <v>0</v>
      </c>
      <c r="V34" s="131">
        <f t="shared" si="2"/>
        <v>0</v>
      </c>
    </row>
    <row r="35" spans="2:22" ht="37.5">
      <c r="B35" s="774">
        <v>1</v>
      </c>
      <c r="C35" s="770" t="s">
        <v>303</v>
      </c>
      <c r="D35" s="770" t="s">
        <v>1616</v>
      </c>
      <c r="E35" s="770" t="s">
        <v>534</v>
      </c>
      <c r="F35" s="770" t="s">
        <v>512</v>
      </c>
      <c r="G35" s="770">
        <v>50</v>
      </c>
      <c r="H35" s="770">
        <v>343</v>
      </c>
      <c r="I35" s="771">
        <v>0.14599999999999999</v>
      </c>
      <c r="J35" s="770" t="s">
        <v>501</v>
      </c>
      <c r="K35" s="770" t="s">
        <v>497</v>
      </c>
      <c r="L35" s="770" t="s">
        <v>2732</v>
      </c>
      <c r="M35" s="772">
        <v>0</v>
      </c>
      <c r="N35" s="772">
        <v>0</v>
      </c>
      <c r="S35">
        <v>134</v>
      </c>
      <c r="T35">
        <f t="shared" si="0"/>
        <v>1740</v>
      </c>
      <c r="U35">
        <f t="shared" si="1"/>
        <v>3843</v>
      </c>
      <c r="V35" s="131">
        <f t="shared" si="2"/>
        <v>0.45277127244340359</v>
      </c>
    </row>
    <row r="36" spans="2:22" ht="37.5">
      <c r="B36" s="774">
        <v>1</v>
      </c>
      <c r="C36" s="770" t="s">
        <v>303</v>
      </c>
      <c r="D36" s="770" t="s">
        <v>1617</v>
      </c>
      <c r="E36" s="770" t="s">
        <v>535</v>
      </c>
      <c r="F36" s="770" t="s">
        <v>512</v>
      </c>
      <c r="G36" s="770">
        <v>99</v>
      </c>
      <c r="H36" s="770">
        <v>316</v>
      </c>
      <c r="I36" s="771">
        <v>0.313</v>
      </c>
      <c r="J36" s="770" t="s">
        <v>501</v>
      </c>
      <c r="K36" s="770" t="s">
        <v>497</v>
      </c>
      <c r="L36" s="770" t="s">
        <v>2732</v>
      </c>
      <c r="M36" s="772">
        <v>0</v>
      </c>
      <c r="N36" s="772">
        <v>0</v>
      </c>
      <c r="S36">
        <v>135</v>
      </c>
      <c r="T36">
        <f t="shared" si="0"/>
        <v>262</v>
      </c>
      <c r="U36">
        <f t="shared" si="1"/>
        <v>391</v>
      </c>
      <c r="V36" s="131">
        <f t="shared" si="2"/>
        <v>0.67007672634271098</v>
      </c>
    </row>
    <row r="37" spans="2:22" ht="37.5">
      <c r="B37" s="774">
        <v>1</v>
      </c>
      <c r="C37" s="770" t="s">
        <v>303</v>
      </c>
      <c r="D37" s="770" t="s">
        <v>1618</v>
      </c>
      <c r="E37" s="770" t="s">
        <v>536</v>
      </c>
      <c r="F37" s="770" t="s">
        <v>512</v>
      </c>
      <c r="G37" s="770">
        <v>274</v>
      </c>
      <c r="H37" s="770">
        <v>442</v>
      </c>
      <c r="I37" s="771">
        <v>0.62</v>
      </c>
      <c r="J37" s="770" t="s">
        <v>496</v>
      </c>
      <c r="K37" s="770" t="s">
        <v>518</v>
      </c>
      <c r="L37" s="770" t="s">
        <v>2734</v>
      </c>
      <c r="M37" s="772">
        <v>184950</v>
      </c>
      <c r="N37" s="772">
        <v>675</v>
      </c>
      <c r="S37">
        <v>136</v>
      </c>
      <c r="T37">
        <f t="shared" si="0"/>
        <v>406</v>
      </c>
      <c r="U37">
        <f t="shared" si="1"/>
        <v>801</v>
      </c>
      <c r="V37" s="131">
        <f t="shared" si="2"/>
        <v>0.50686641697877655</v>
      </c>
    </row>
    <row r="38" spans="2:22" ht="37.5">
      <c r="B38" s="774">
        <v>1</v>
      </c>
      <c r="C38" s="770" t="s">
        <v>303</v>
      </c>
      <c r="D38" s="770" t="s">
        <v>1619</v>
      </c>
      <c r="E38" s="770" t="s">
        <v>537</v>
      </c>
      <c r="F38" s="770" t="s">
        <v>512</v>
      </c>
      <c r="G38" s="770">
        <v>40</v>
      </c>
      <c r="H38" s="770">
        <v>255</v>
      </c>
      <c r="I38" s="771">
        <v>0.157</v>
      </c>
      <c r="J38" s="770" t="s">
        <v>501</v>
      </c>
      <c r="K38" s="770" t="s">
        <v>497</v>
      </c>
      <c r="L38" s="770" t="s">
        <v>2732</v>
      </c>
      <c r="M38" s="772">
        <v>0</v>
      </c>
      <c r="N38" s="772">
        <v>0</v>
      </c>
      <c r="S38">
        <v>137</v>
      </c>
      <c r="T38">
        <f t="shared" si="0"/>
        <v>487</v>
      </c>
      <c r="U38">
        <f t="shared" si="1"/>
        <v>705</v>
      </c>
      <c r="V38" s="131">
        <f t="shared" si="2"/>
        <v>0.69078014184397163</v>
      </c>
    </row>
    <row r="39" spans="2:22" ht="37.5">
      <c r="B39" s="774">
        <v>1</v>
      </c>
      <c r="C39" s="770" t="s">
        <v>303</v>
      </c>
      <c r="D39" s="770" t="s">
        <v>1620</v>
      </c>
      <c r="E39" s="770" t="s">
        <v>538</v>
      </c>
      <c r="F39" s="770" t="s">
        <v>512</v>
      </c>
      <c r="G39" s="770">
        <v>294</v>
      </c>
      <c r="H39" s="770">
        <v>493</v>
      </c>
      <c r="I39" s="771">
        <v>0.59599999999999997</v>
      </c>
      <c r="J39" s="770" t="s">
        <v>496</v>
      </c>
      <c r="K39" s="770" t="s">
        <v>518</v>
      </c>
      <c r="L39" s="770" t="s">
        <v>2734</v>
      </c>
      <c r="M39" s="772">
        <v>198450</v>
      </c>
      <c r="N39" s="772">
        <v>675</v>
      </c>
      <c r="S39">
        <v>139</v>
      </c>
      <c r="T39">
        <f t="shared" si="0"/>
        <v>4889</v>
      </c>
      <c r="U39">
        <f t="shared" si="1"/>
        <v>7315</v>
      </c>
      <c r="V39" s="131">
        <f t="shared" si="2"/>
        <v>0.66835269993164725</v>
      </c>
    </row>
    <row r="40" spans="2:22" ht="37.5">
      <c r="B40" s="774">
        <v>1</v>
      </c>
      <c r="C40" s="770" t="s">
        <v>303</v>
      </c>
      <c r="D40" s="770" t="s">
        <v>1621</v>
      </c>
      <c r="E40" s="770" t="s">
        <v>539</v>
      </c>
      <c r="F40" s="770" t="s">
        <v>512</v>
      </c>
      <c r="G40" s="770">
        <v>89</v>
      </c>
      <c r="H40" s="770">
        <v>670</v>
      </c>
      <c r="I40" s="771">
        <v>0.13300000000000001</v>
      </c>
      <c r="J40" s="770" t="s">
        <v>501</v>
      </c>
      <c r="K40" s="770" t="s">
        <v>497</v>
      </c>
      <c r="L40" s="770" t="s">
        <v>2732</v>
      </c>
      <c r="M40" s="772">
        <v>0</v>
      </c>
      <c r="N40" s="772">
        <v>0</v>
      </c>
      <c r="S40">
        <v>148</v>
      </c>
      <c r="T40">
        <f t="shared" si="0"/>
        <v>242</v>
      </c>
      <c r="U40">
        <f t="shared" si="1"/>
        <v>509</v>
      </c>
      <c r="V40" s="131">
        <f t="shared" si="2"/>
        <v>0.47544204322200395</v>
      </c>
    </row>
    <row r="41" spans="2:22" ht="37.5">
      <c r="B41" s="774">
        <v>1</v>
      </c>
      <c r="C41" s="770" t="s">
        <v>303</v>
      </c>
      <c r="D41" s="770" t="s">
        <v>1622</v>
      </c>
      <c r="E41" s="770" t="s">
        <v>540</v>
      </c>
      <c r="F41" s="770" t="s">
        <v>512</v>
      </c>
      <c r="G41" s="770">
        <v>309</v>
      </c>
      <c r="H41" s="770">
        <v>620</v>
      </c>
      <c r="I41" s="771">
        <v>0.498</v>
      </c>
      <c r="J41" s="770" t="s">
        <v>496</v>
      </c>
      <c r="K41" s="770" t="s">
        <v>518</v>
      </c>
      <c r="L41" s="770" t="s">
        <v>2734</v>
      </c>
      <c r="M41" s="772">
        <v>208575</v>
      </c>
      <c r="N41" s="772">
        <v>675</v>
      </c>
      <c r="S41">
        <v>149</v>
      </c>
      <c r="T41">
        <f t="shared" si="0"/>
        <v>80</v>
      </c>
      <c r="U41">
        <f t="shared" si="1"/>
        <v>195</v>
      </c>
      <c r="V41" s="131">
        <f t="shared" si="2"/>
        <v>0.41025641025641024</v>
      </c>
    </row>
    <row r="42" spans="2:22" ht="37.5">
      <c r="B42" s="774">
        <v>1</v>
      </c>
      <c r="C42" s="770" t="s">
        <v>303</v>
      </c>
      <c r="D42" s="770" t="s">
        <v>1627</v>
      </c>
      <c r="E42" s="770" t="s">
        <v>541</v>
      </c>
      <c r="F42" s="770" t="s">
        <v>512</v>
      </c>
      <c r="G42" s="770">
        <v>138</v>
      </c>
      <c r="H42" s="770">
        <v>411</v>
      </c>
      <c r="I42" s="771">
        <v>0.33600000000000002</v>
      </c>
      <c r="J42" s="770" t="s">
        <v>501</v>
      </c>
      <c r="K42" s="770" t="s">
        <v>497</v>
      </c>
      <c r="L42" s="770" t="s">
        <v>2732</v>
      </c>
      <c r="M42" s="772">
        <v>0</v>
      </c>
      <c r="N42" s="772">
        <v>0</v>
      </c>
      <c r="S42">
        <v>150</v>
      </c>
      <c r="T42">
        <f t="shared" si="0"/>
        <v>256</v>
      </c>
      <c r="U42">
        <f t="shared" si="1"/>
        <v>732</v>
      </c>
      <c r="V42" s="131">
        <f t="shared" si="2"/>
        <v>0.34972677595628415</v>
      </c>
    </row>
    <row r="43" spans="2:22" ht="37.5">
      <c r="B43" s="774">
        <v>1</v>
      </c>
      <c r="C43" s="770" t="s">
        <v>303</v>
      </c>
      <c r="D43" s="770" t="s">
        <v>1628</v>
      </c>
      <c r="E43" s="770" t="s">
        <v>542</v>
      </c>
      <c r="F43" s="770" t="s">
        <v>512</v>
      </c>
      <c r="G43" s="770">
        <v>165</v>
      </c>
      <c r="H43" s="770">
        <v>499</v>
      </c>
      <c r="I43" s="771">
        <v>0.33100000000000002</v>
      </c>
      <c r="J43" s="770" t="s">
        <v>501</v>
      </c>
      <c r="K43" s="770" t="s">
        <v>497</v>
      </c>
      <c r="L43" s="770" t="s">
        <v>2732</v>
      </c>
      <c r="M43" s="772">
        <v>0</v>
      </c>
      <c r="N43" s="772">
        <v>0</v>
      </c>
      <c r="S43">
        <v>151</v>
      </c>
      <c r="T43">
        <f t="shared" si="0"/>
        <v>2744</v>
      </c>
      <c r="U43">
        <f t="shared" si="1"/>
        <v>5149</v>
      </c>
      <c r="V43" s="131">
        <f t="shared" si="2"/>
        <v>0.53291901340066028</v>
      </c>
    </row>
    <row r="44" spans="2:22" ht="37.5">
      <c r="B44" s="774">
        <v>1</v>
      </c>
      <c r="C44" s="770" t="s">
        <v>303</v>
      </c>
      <c r="D44" s="770" t="s">
        <v>1629</v>
      </c>
      <c r="E44" s="770" t="s">
        <v>543</v>
      </c>
      <c r="F44" s="770" t="s">
        <v>512</v>
      </c>
      <c r="G44" s="770">
        <v>335</v>
      </c>
      <c r="H44" s="770">
        <v>548</v>
      </c>
      <c r="I44" s="771">
        <v>0.61099999999999999</v>
      </c>
      <c r="J44" s="770" t="s">
        <v>496</v>
      </c>
      <c r="K44" s="770" t="s">
        <v>518</v>
      </c>
      <c r="L44" s="770" t="s">
        <v>2734</v>
      </c>
      <c r="M44" s="772">
        <v>226125</v>
      </c>
      <c r="N44" s="772">
        <v>675</v>
      </c>
      <c r="S44">
        <v>161</v>
      </c>
      <c r="T44">
        <f t="shared" si="0"/>
        <v>121</v>
      </c>
      <c r="U44">
        <f t="shared" si="1"/>
        <v>159</v>
      </c>
      <c r="V44" s="131">
        <f t="shared" si="2"/>
        <v>0.76100628930817615</v>
      </c>
    </row>
    <row r="45" spans="2:22" ht="37.5">
      <c r="B45" s="774">
        <v>1</v>
      </c>
      <c r="C45" s="770" t="s">
        <v>303</v>
      </c>
      <c r="D45" s="770" t="s">
        <v>1630</v>
      </c>
      <c r="E45" s="770" t="s">
        <v>544</v>
      </c>
      <c r="F45" s="770" t="s">
        <v>512</v>
      </c>
      <c r="G45" s="770">
        <v>261</v>
      </c>
      <c r="H45" s="770">
        <v>522</v>
      </c>
      <c r="I45" s="771">
        <v>0.5</v>
      </c>
      <c r="J45" s="770" t="s">
        <v>496</v>
      </c>
      <c r="K45" s="770" t="s">
        <v>518</v>
      </c>
      <c r="L45" s="770" t="s">
        <v>2732</v>
      </c>
      <c r="M45" s="772">
        <v>176175</v>
      </c>
      <c r="N45" s="772">
        <v>675</v>
      </c>
      <c r="S45">
        <v>171</v>
      </c>
      <c r="T45">
        <f t="shared" si="0"/>
        <v>546</v>
      </c>
      <c r="U45">
        <f t="shared" si="1"/>
        <v>950</v>
      </c>
      <c r="V45" s="131">
        <f t="shared" si="2"/>
        <v>0.57473684210526321</v>
      </c>
    </row>
    <row r="46" spans="2:22" ht="37.5">
      <c r="B46" s="774">
        <v>1</v>
      </c>
      <c r="C46" s="770" t="s">
        <v>303</v>
      </c>
      <c r="D46" s="770" t="s">
        <v>1631</v>
      </c>
      <c r="E46" s="770" t="s">
        <v>545</v>
      </c>
      <c r="F46" s="770" t="s">
        <v>546</v>
      </c>
      <c r="G46" s="770">
        <v>279</v>
      </c>
      <c r="H46" s="770">
        <v>473</v>
      </c>
      <c r="I46" s="771">
        <v>0.59</v>
      </c>
      <c r="J46" s="770" t="s">
        <v>496</v>
      </c>
      <c r="K46" s="770" t="s">
        <v>518</v>
      </c>
      <c r="L46" s="770" t="s">
        <v>2735</v>
      </c>
      <c r="M46" s="772">
        <v>251482</v>
      </c>
      <c r="N46" s="772">
        <v>901</v>
      </c>
      <c r="S46">
        <v>181</v>
      </c>
      <c r="T46">
        <f t="shared" si="0"/>
        <v>136</v>
      </c>
      <c r="U46">
        <f t="shared" si="1"/>
        <v>357</v>
      </c>
      <c r="V46" s="131">
        <f t="shared" si="2"/>
        <v>0.38095238095238093</v>
      </c>
    </row>
    <row r="47" spans="2:22" ht="37.5">
      <c r="B47" s="774">
        <v>1</v>
      </c>
      <c r="C47" s="770" t="s">
        <v>303</v>
      </c>
      <c r="D47" s="770" t="s">
        <v>1633</v>
      </c>
      <c r="E47" s="770" t="s">
        <v>548</v>
      </c>
      <c r="F47" s="770" t="s">
        <v>495</v>
      </c>
      <c r="G47" s="770">
        <v>316</v>
      </c>
      <c r="H47" s="770">
        <v>890</v>
      </c>
      <c r="I47" s="771">
        <v>0.35499999999999998</v>
      </c>
      <c r="J47" s="770" t="s">
        <v>496</v>
      </c>
      <c r="K47" s="770" t="s">
        <v>497</v>
      </c>
      <c r="L47" s="770" t="s">
        <v>2732</v>
      </c>
      <c r="M47" s="772">
        <v>0</v>
      </c>
      <c r="N47" s="772">
        <v>0</v>
      </c>
      <c r="S47">
        <v>182</v>
      </c>
      <c r="T47">
        <f t="shared" si="0"/>
        <v>88</v>
      </c>
      <c r="U47">
        <f t="shared" si="1"/>
        <v>176</v>
      </c>
      <c r="V47" s="131">
        <f t="shared" si="2"/>
        <v>0.5</v>
      </c>
    </row>
    <row r="48" spans="2:22" ht="37.5">
      <c r="B48" s="774">
        <v>1</v>
      </c>
      <c r="C48" s="770" t="s">
        <v>303</v>
      </c>
      <c r="D48" s="770" t="s">
        <v>1634</v>
      </c>
      <c r="E48" s="770" t="s">
        <v>549</v>
      </c>
      <c r="F48" s="770" t="s">
        <v>495</v>
      </c>
      <c r="G48" s="770">
        <v>142</v>
      </c>
      <c r="H48" s="770">
        <v>647</v>
      </c>
      <c r="I48" s="771">
        <v>0.219</v>
      </c>
      <c r="J48" s="770" t="s">
        <v>501</v>
      </c>
      <c r="K48" s="770" t="s">
        <v>497</v>
      </c>
      <c r="L48" s="770" t="s">
        <v>2732</v>
      </c>
      <c r="M48" s="772">
        <v>0</v>
      </c>
      <c r="N48" s="772">
        <v>0</v>
      </c>
      <c r="S48">
        <v>192</v>
      </c>
      <c r="T48">
        <f t="shared" si="0"/>
        <v>290</v>
      </c>
      <c r="U48">
        <f t="shared" si="1"/>
        <v>430</v>
      </c>
      <c r="V48" s="131">
        <f t="shared" si="2"/>
        <v>0.67441860465116277</v>
      </c>
    </row>
    <row r="49" spans="2:22" ht="50">
      <c r="B49" s="774">
        <v>1</v>
      </c>
      <c r="C49" s="770" t="s">
        <v>303</v>
      </c>
      <c r="D49" s="770" t="s">
        <v>1635</v>
      </c>
      <c r="E49" s="770" t="s">
        <v>550</v>
      </c>
      <c r="F49" s="770" t="s">
        <v>512</v>
      </c>
      <c r="G49" s="770">
        <v>17</v>
      </c>
      <c r="H49" s="770">
        <v>375</v>
      </c>
      <c r="I49" s="771">
        <v>4.4999999999999998E-2</v>
      </c>
      <c r="J49" s="770" t="s">
        <v>501</v>
      </c>
      <c r="K49" s="770" t="s">
        <v>497</v>
      </c>
      <c r="L49" s="770" t="s">
        <v>2732</v>
      </c>
      <c r="M49" s="772">
        <v>0</v>
      </c>
      <c r="N49" s="772">
        <v>0</v>
      </c>
      <c r="S49">
        <v>193</v>
      </c>
      <c r="T49">
        <f t="shared" si="0"/>
        <v>2039</v>
      </c>
      <c r="U49">
        <f t="shared" si="1"/>
        <v>3910</v>
      </c>
      <c r="V49" s="131">
        <f t="shared" si="2"/>
        <v>0.52148337595907923</v>
      </c>
    </row>
    <row r="50" spans="2:22" ht="37.5">
      <c r="B50" s="774">
        <v>1</v>
      </c>
      <c r="C50" s="770" t="s">
        <v>303</v>
      </c>
      <c r="D50" s="770" t="s">
        <v>2586</v>
      </c>
      <c r="E50" s="770" t="s">
        <v>455</v>
      </c>
      <c r="F50" s="770" t="s">
        <v>551</v>
      </c>
      <c r="G50" s="770">
        <v>50</v>
      </c>
      <c r="H50" s="770">
        <v>376</v>
      </c>
      <c r="I50" s="771">
        <v>0.13300000000000001</v>
      </c>
      <c r="J50" s="770" t="s">
        <v>501</v>
      </c>
      <c r="K50" s="770" t="s">
        <v>497</v>
      </c>
      <c r="L50" s="770" t="s">
        <v>2732</v>
      </c>
      <c r="M50" s="772">
        <v>0</v>
      </c>
      <c r="N50" s="772">
        <v>0</v>
      </c>
      <c r="S50">
        <v>201</v>
      </c>
      <c r="T50">
        <f t="shared" si="0"/>
        <v>1047</v>
      </c>
      <c r="U50">
        <f t="shared" si="1"/>
        <v>2424</v>
      </c>
      <c r="V50" s="131">
        <f t="shared" si="2"/>
        <v>0.43193069306930693</v>
      </c>
    </row>
    <row r="51" spans="2:22">
      <c r="B51" s="773"/>
      <c r="C51" s="773"/>
      <c r="D51" s="773"/>
      <c r="E51" s="773"/>
      <c r="F51" s="773"/>
      <c r="G51" s="773"/>
      <c r="H51" s="773"/>
      <c r="I51" s="773"/>
      <c r="J51" s="773"/>
      <c r="K51" s="773"/>
      <c r="L51" s="773"/>
      <c r="M51" s="773"/>
      <c r="N51" s="773"/>
      <c r="S51">
        <v>202</v>
      </c>
      <c r="T51">
        <f t="shared" si="0"/>
        <v>327</v>
      </c>
      <c r="U51">
        <f t="shared" si="1"/>
        <v>684</v>
      </c>
      <c r="V51" s="131">
        <f t="shared" si="2"/>
        <v>0.47807017543859648</v>
      </c>
    </row>
    <row r="52" spans="2:22" ht="37.5">
      <c r="B52" s="774">
        <v>2</v>
      </c>
      <c r="C52" s="770" t="s">
        <v>552</v>
      </c>
      <c r="D52" s="770" t="s">
        <v>1638</v>
      </c>
      <c r="E52" s="770" t="s">
        <v>553</v>
      </c>
      <c r="F52" s="770" t="s">
        <v>554</v>
      </c>
      <c r="G52" s="770">
        <v>340</v>
      </c>
      <c r="H52" s="770">
        <v>1024</v>
      </c>
      <c r="I52" s="771">
        <v>0.33200000000000002</v>
      </c>
      <c r="J52" s="770" t="s">
        <v>496</v>
      </c>
      <c r="K52" s="770" t="s">
        <v>497</v>
      </c>
      <c r="L52" s="770" t="s">
        <v>2732</v>
      </c>
      <c r="M52" s="772">
        <v>0</v>
      </c>
      <c r="N52" s="772">
        <v>0</v>
      </c>
      <c r="S52">
        <v>215</v>
      </c>
      <c r="T52">
        <f t="shared" si="0"/>
        <v>1182</v>
      </c>
      <c r="U52">
        <f t="shared" si="1"/>
        <v>2160</v>
      </c>
      <c r="V52" s="131">
        <f t="shared" si="2"/>
        <v>0.54722222222222228</v>
      </c>
    </row>
    <row r="53" spans="2:22" ht="37.5">
      <c r="B53" s="774">
        <v>2</v>
      </c>
      <c r="C53" s="770" t="s">
        <v>552</v>
      </c>
      <c r="D53" s="770" t="s">
        <v>1639</v>
      </c>
      <c r="E53" s="770" t="s">
        <v>555</v>
      </c>
      <c r="F53" s="770" t="s">
        <v>554</v>
      </c>
      <c r="G53" s="770">
        <v>510</v>
      </c>
      <c r="H53" s="770">
        <v>1058</v>
      </c>
      <c r="I53" s="771">
        <v>0.48199999999999998</v>
      </c>
      <c r="J53" s="770" t="s">
        <v>496</v>
      </c>
      <c r="K53" s="770" t="s">
        <v>497</v>
      </c>
      <c r="L53" s="770" t="s">
        <v>2734</v>
      </c>
      <c r="M53" s="772">
        <v>0</v>
      </c>
      <c r="N53" s="772">
        <v>0</v>
      </c>
      <c r="S53">
        <v>221</v>
      </c>
      <c r="T53">
        <f t="shared" si="0"/>
        <v>1433</v>
      </c>
      <c r="U53">
        <f t="shared" si="1"/>
        <v>2493</v>
      </c>
      <c r="V53" s="131">
        <f t="shared" si="2"/>
        <v>0.57480946650621745</v>
      </c>
    </row>
    <row r="54" spans="2:22" ht="37.5">
      <c r="B54" s="774">
        <v>2</v>
      </c>
      <c r="C54" s="770" t="s">
        <v>552</v>
      </c>
      <c r="D54" s="770" t="s">
        <v>1640</v>
      </c>
      <c r="E54" s="770" t="s">
        <v>556</v>
      </c>
      <c r="F54" s="770" t="s">
        <v>557</v>
      </c>
      <c r="G54" s="770">
        <v>514</v>
      </c>
      <c r="H54" s="770">
        <v>1526</v>
      </c>
      <c r="I54" s="771">
        <v>0.33700000000000002</v>
      </c>
      <c r="J54" s="770" t="s">
        <v>496</v>
      </c>
      <c r="K54" s="770" t="s">
        <v>497</v>
      </c>
      <c r="L54" s="770" t="s">
        <v>2734</v>
      </c>
      <c r="M54" s="772">
        <v>0</v>
      </c>
      <c r="N54" s="772">
        <v>0</v>
      </c>
      <c r="S54">
        <v>231</v>
      </c>
      <c r="T54">
        <f t="shared" si="0"/>
        <v>864</v>
      </c>
      <c r="U54">
        <f t="shared" si="1"/>
        <v>1276</v>
      </c>
      <c r="V54" s="131">
        <f t="shared" si="2"/>
        <v>0.67711598746081503</v>
      </c>
    </row>
    <row r="55" spans="2:22" ht="37.5">
      <c r="B55" s="774">
        <v>2</v>
      </c>
      <c r="C55" s="770" t="s">
        <v>552</v>
      </c>
      <c r="D55" s="770" t="s">
        <v>1641</v>
      </c>
      <c r="E55" s="770" t="s">
        <v>558</v>
      </c>
      <c r="F55" s="770" t="s">
        <v>557</v>
      </c>
      <c r="G55" s="770">
        <v>482</v>
      </c>
      <c r="H55" s="770">
        <v>1688</v>
      </c>
      <c r="I55" s="771">
        <v>0.28599999999999998</v>
      </c>
      <c r="J55" s="770" t="s">
        <v>496</v>
      </c>
      <c r="K55" s="770" t="s">
        <v>497</v>
      </c>
      <c r="L55" s="770" t="s">
        <v>2732</v>
      </c>
      <c r="M55" s="772">
        <v>0</v>
      </c>
      <c r="N55" s="772">
        <v>0</v>
      </c>
      <c r="S55">
        <v>232</v>
      </c>
      <c r="T55">
        <f t="shared" si="0"/>
        <v>919</v>
      </c>
      <c r="U55">
        <f t="shared" si="1"/>
        <v>1183</v>
      </c>
      <c r="V55" s="131">
        <f t="shared" si="2"/>
        <v>0.77683854606931535</v>
      </c>
    </row>
    <row r="56" spans="2:22" ht="37.5">
      <c r="B56" s="774">
        <v>2</v>
      </c>
      <c r="C56" s="770" t="s">
        <v>552</v>
      </c>
      <c r="D56" s="770" t="s">
        <v>1642</v>
      </c>
      <c r="E56" s="770" t="s">
        <v>559</v>
      </c>
      <c r="F56" s="770" t="s">
        <v>554</v>
      </c>
      <c r="G56" s="770">
        <v>215</v>
      </c>
      <c r="H56" s="770">
        <v>1248</v>
      </c>
      <c r="I56" s="771">
        <v>0.17199999999999999</v>
      </c>
      <c r="J56" s="770" t="s">
        <v>501</v>
      </c>
      <c r="K56" s="770" t="s">
        <v>497</v>
      </c>
      <c r="L56" s="770" t="s">
        <v>2732</v>
      </c>
      <c r="M56" s="772">
        <v>0</v>
      </c>
      <c r="N56" s="772">
        <v>0</v>
      </c>
      <c r="S56">
        <v>233</v>
      </c>
      <c r="T56">
        <f t="shared" si="0"/>
        <v>236</v>
      </c>
      <c r="U56">
        <f t="shared" si="1"/>
        <v>332</v>
      </c>
      <c r="V56" s="131">
        <f t="shared" si="2"/>
        <v>0.71084337349397586</v>
      </c>
    </row>
    <row r="57" spans="2:22" ht="37.5">
      <c r="B57" s="774">
        <v>2</v>
      </c>
      <c r="C57" s="770" t="s">
        <v>552</v>
      </c>
      <c r="D57" s="770" t="s">
        <v>1643</v>
      </c>
      <c r="E57" s="770" t="s">
        <v>560</v>
      </c>
      <c r="F57" s="770" t="s">
        <v>557</v>
      </c>
      <c r="G57" s="770">
        <v>210</v>
      </c>
      <c r="H57" s="770">
        <v>1768</v>
      </c>
      <c r="I57" s="771">
        <v>0.11899999999999999</v>
      </c>
      <c r="J57" s="770" t="s">
        <v>501</v>
      </c>
      <c r="K57" s="770" t="s">
        <v>497</v>
      </c>
      <c r="L57" s="770" t="s">
        <v>2732</v>
      </c>
      <c r="M57" s="772">
        <v>0</v>
      </c>
      <c r="N57" s="772">
        <v>0</v>
      </c>
      <c r="S57">
        <v>234</v>
      </c>
      <c r="T57">
        <f t="shared" si="0"/>
        <v>100</v>
      </c>
      <c r="U57">
        <f t="shared" si="1"/>
        <v>122</v>
      </c>
      <c r="V57" s="131">
        <f t="shared" si="2"/>
        <v>0.81967213114754101</v>
      </c>
    </row>
    <row r="58" spans="2:22" ht="37.5">
      <c r="B58" s="774">
        <v>2</v>
      </c>
      <c r="C58" s="770" t="s">
        <v>552</v>
      </c>
      <c r="D58" s="770" t="s">
        <v>1644</v>
      </c>
      <c r="E58" s="770" t="s">
        <v>561</v>
      </c>
      <c r="F58" s="770" t="s">
        <v>554</v>
      </c>
      <c r="G58" s="770">
        <v>401</v>
      </c>
      <c r="H58" s="770">
        <v>1504</v>
      </c>
      <c r="I58" s="771">
        <v>0.26700000000000002</v>
      </c>
      <c r="J58" s="770" t="s">
        <v>501</v>
      </c>
      <c r="K58" s="770" t="s">
        <v>497</v>
      </c>
      <c r="L58" s="770" t="s">
        <v>2732</v>
      </c>
      <c r="M58" s="772">
        <v>0</v>
      </c>
      <c r="N58" s="772">
        <v>0</v>
      </c>
      <c r="S58">
        <v>242</v>
      </c>
      <c r="T58">
        <f t="shared" si="0"/>
        <v>156</v>
      </c>
      <c r="U58">
        <f t="shared" si="1"/>
        <v>409</v>
      </c>
      <c r="V58" s="131">
        <f t="shared" si="2"/>
        <v>0.38141809290953543</v>
      </c>
    </row>
    <row r="59" spans="2:22" ht="37.5">
      <c r="B59" s="774">
        <v>2</v>
      </c>
      <c r="C59" s="770" t="s">
        <v>552</v>
      </c>
      <c r="D59" s="770" t="s">
        <v>1645</v>
      </c>
      <c r="E59" s="770" t="s">
        <v>562</v>
      </c>
      <c r="F59" s="770" t="s">
        <v>554</v>
      </c>
      <c r="G59" s="770">
        <v>351</v>
      </c>
      <c r="H59" s="770">
        <v>1122</v>
      </c>
      <c r="I59" s="771">
        <v>0.313</v>
      </c>
      <c r="J59" s="770" t="s">
        <v>496</v>
      </c>
      <c r="K59" s="770" t="s">
        <v>497</v>
      </c>
      <c r="L59" s="770" t="s">
        <v>2732</v>
      </c>
      <c r="M59" s="772">
        <v>0</v>
      </c>
      <c r="N59" s="772">
        <v>0</v>
      </c>
      <c r="S59">
        <v>243</v>
      </c>
      <c r="T59">
        <f t="shared" si="0"/>
        <v>84</v>
      </c>
      <c r="U59">
        <f t="shared" si="1"/>
        <v>139</v>
      </c>
      <c r="V59" s="131">
        <f t="shared" si="2"/>
        <v>0.60431654676258995</v>
      </c>
    </row>
    <row r="60" spans="2:22" ht="37.5">
      <c r="B60" s="774">
        <v>2</v>
      </c>
      <c r="C60" s="770" t="s">
        <v>552</v>
      </c>
      <c r="D60" s="770" t="s">
        <v>1646</v>
      </c>
      <c r="E60" s="770" t="s">
        <v>563</v>
      </c>
      <c r="F60" s="770" t="s">
        <v>564</v>
      </c>
      <c r="G60" s="770">
        <v>258</v>
      </c>
      <c r="H60" s="770">
        <v>561</v>
      </c>
      <c r="I60" s="771">
        <v>0.46</v>
      </c>
      <c r="J60" s="770" t="s">
        <v>496</v>
      </c>
      <c r="K60" s="770" t="s">
        <v>518</v>
      </c>
      <c r="L60" s="770" t="s">
        <v>2733</v>
      </c>
      <c r="M60" s="772">
        <v>285600</v>
      </c>
      <c r="N60" s="772">
        <v>1106</v>
      </c>
      <c r="S60">
        <v>244</v>
      </c>
      <c r="T60">
        <f t="shared" si="0"/>
        <v>651</v>
      </c>
      <c r="U60">
        <f t="shared" si="1"/>
        <v>1262</v>
      </c>
      <c r="V60" s="131">
        <f t="shared" si="2"/>
        <v>0.51584786053882725</v>
      </c>
    </row>
    <row r="61" spans="2:22" ht="37.5">
      <c r="B61" s="774">
        <v>2</v>
      </c>
      <c r="C61" s="770" t="s">
        <v>552</v>
      </c>
      <c r="D61" s="770" t="s">
        <v>1647</v>
      </c>
      <c r="E61" s="770" t="s">
        <v>565</v>
      </c>
      <c r="F61" s="770" t="s">
        <v>564</v>
      </c>
      <c r="G61" s="770">
        <v>137</v>
      </c>
      <c r="H61" s="770">
        <v>479</v>
      </c>
      <c r="I61" s="771">
        <v>0.28599999999999998</v>
      </c>
      <c r="J61" s="770" t="s">
        <v>496</v>
      </c>
      <c r="K61" s="770" t="s">
        <v>497</v>
      </c>
      <c r="L61" s="770" t="s">
        <v>2732</v>
      </c>
      <c r="M61" s="772">
        <v>0</v>
      </c>
      <c r="N61" s="772">
        <v>0</v>
      </c>
      <c r="S61">
        <v>251</v>
      </c>
      <c r="T61">
        <f t="shared" si="0"/>
        <v>2205</v>
      </c>
      <c r="U61">
        <f t="shared" si="1"/>
        <v>5326</v>
      </c>
      <c r="V61" s="131">
        <f t="shared" si="2"/>
        <v>0.4140067592940293</v>
      </c>
    </row>
    <row r="62" spans="2:22" ht="37.5">
      <c r="B62" s="774">
        <v>2</v>
      </c>
      <c r="C62" s="770" t="s">
        <v>552</v>
      </c>
      <c r="D62" s="770" t="s">
        <v>1223</v>
      </c>
      <c r="E62" s="770" t="s">
        <v>566</v>
      </c>
      <c r="F62" s="770" t="s">
        <v>557</v>
      </c>
      <c r="G62" s="770"/>
      <c r="H62" s="770"/>
      <c r="I62" s="770"/>
      <c r="J62" s="770" t="s">
        <v>501</v>
      </c>
      <c r="K62" s="770" t="s">
        <v>497</v>
      </c>
      <c r="L62" s="770" t="s">
        <v>2732</v>
      </c>
      <c r="M62" s="772">
        <v>0</v>
      </c>
      <c r="N62" s="772">
        <v>0</v>
      </c>
      <c r="S62">
        <v>252</v>
      </c>
      <c r="T62">
        <f t="shared" si="0"/>
        <v>345</v>
      </c>
      <c r="U62">
        <f t="shared" si="1"/>
        <v>726</v>
      </c>
      <c r="V62" s="131">
        <f t="shared" si="2"/>
        <v>0.47520661157024796</v>
      </c>
    </row>
    <row r="63" spans="2:22" ht="37.5">
      <c r="B63" s="774">
        <v>2</v>
      </c>
      <c r="C63" s="770" t="s">
        <v>552</v>
      </c>
      <c r="D63" s="770" t="s">
        <v>1648</v>
      </c>
      <c r="E63" s="770" t="s">
        <v>567</v>
      </c>
      <c r="F63" s="770" t="s">
        <v>564</v>
      </c>
      <c r="G63" s="770">
        <v>129</v>
      </c>
      <c r="H63" s="770">
        <v>672</v>
      </c>
      <c r="I63" s="771">
        <v>0.192</v>
      </c>
      <c r="J63" s="770" t="s">
        <v>501</v>
      </c>
      <c r="K63" s="770" t="s">
        <v>497</v>
      </c>
      <c r="L63" s="770" t="s">
        <v>2732</v>
      </c>
      <c r="M63" s="772">
        <v>0</v>
      </c>
      <c r="N63" s="772">
        <v>0</v>
      </c>
      <c r="S63">
        <v>253</v>
      </c>
      <c r="T63">
        <f t="shared" si="0"/>
        <v>317</v>
      </c>
      <c r="U63">
        <f t="shared" si="1"/>
        <v>623</v>
      </c>
      <c r="V63" s="131">
        <f t="shared" si="2"/>
        <v>0.5088282504012841</v>
      </c>
    </row>
    <row r="64" spans="2:22" ht="37.5">
      <c r="B64" s="774">
        <v>2</v>
      </c>
      <c r="C64" s="770" t="s">
        <v>552</v>
      </c>
      <c r="D64" s="770" t="s">
        <v>1649</v>
      </c>
      <c r="E64" s="770" t="s">
        <v>568</v>
      </c>
      <c r="F64" s="770" t="s">
        <v>554</v>
      </c>
      <c r="G64" s="770">
        <v>187</v>
      </c>
      <c r="H64" s="770">
        <v>1004</v>
      </c>
      <c r="I64" s="771">
        <v>0.186</v>
      </c>
      <c r="J64" s="770" t="s">
        <v>501</v>
      </c>
      <c r="K64" s="770" t="s">
        <v>497</v>
      </c>
      <c r="L64" s="770" t="s">
        <v>2732</v>
      </c>
      <c r="M64" s="772">
        <v>0</v>
      </c>
      <c r="N64" s="772">
        <v>0</v>
      </c>
      <c r="S64">
        <v>261</v>
      </c>
      <c r="T64">
        <f t="shared" si="0"/>
        <v>2563</v>
      </c>
      <c r="U64">
        <f t="shared" si="1"/>
        <v>3792</v>
      </c>
      <c r="V64" s="131">
        <f t="shared" si="2"/>
        <v>0.67589662447257381</v>
      </c>
    </row>
    <row r="65" spans="2:22" ht="37.5">
      <c r="B65" s="774">
        <v>2</v>
      </c>
      <c r="C65" s="770" t="s">
        <v>552</v>
      </c>
      <c r="D65" s="770" t="s">
        <v>1650</v>
      </c>
      <c r="E65" s="770" t="s">
        <v>569</v>
      </c>
      <c r="F65" s="770" t="s">
        <v>564</v>
      </c>
      <c r="G65" s="770">
        <v>97</v>
      </c>
      <c r="H65" s="770">
        <v>707</v>
      </c>
      <c r="I65" s="771">
        <v>0.13700000000000001</v>
      </c>
      <c r="J65" s="770" t="s">
        <v>501</v>
      </c>
      <c r="K65" s="770" t="s">
        <v>497</v>
      </c>
      <c r="L65" s="770" t="s">
        <v>2732</v>
      </c>
      <c r="M65" s="772">
        <v>0</v>
      </c>
      <c r="N65" s="772">
        <v>0</v>
      </c>
      <c r="S65">
        <v>262</v>
      </c>
      <c r="T65">
        <f t="shared" si="0"/>
        <v>352</v>
      </c>
      <c r="U65">
        <f t="shared" si="1"/>
        <v>584</v>
      </c>
      <c r="V65" s="131">
        <f t="shared" si="2"/>
        <v>0.60273972602739723</v>
      </c>
    </row>
    <row r="66" spans="2:22" ht="37.5">
      <c r="B66" s="774">
        <v>2</v>
      </c>
      <c r="C66" s="770" t="s">
        <v>552</v>
      </c>
      <c r="D66" s="770" t="s">
        <v>1651</v>
      </c>
      <c r="E66" s="770" t="s">
        <v>570</v>
      </c>
      <c r="F66" s="770" t="s">
        <v>564</v>
      </c>
      <c r="G66" s="770">
        <v>286</v>
      </c>
      <c r="H66" s="770">
        <v>402</v>
      </c>
      <c r="I66" s="771">
        <v>0.71099999999999997</v>
      </c>
      <c r="J66" s="770" t="s">
        <v>496</v>
      </c>
      <c r="K66" s="770" t="s">
        <v>518</v>
      </c>
      <c r="L66" s="770" t="s">
        <v>2732</v>
      </c>
      <c r="M66" s="772">
        <v>342900</v>
      </c>
      <c r="N66" s="772">
        <v>1198</v>
      </c>
      <c r="S66">
        <v>271</v>
      </c>
      <c r="T66">
        <f t="shared" si="0"/>
        <v>4404</v>
      </c>
      <c r="U66">
        <f t="shared" si="1"/>
        <v>10531</v>
      </c>
      <c r="V66" s="131">
        <f t="shared" si="2"/>
        <v>0.41819390371284776</v>
      </c>
    </row>
    <row r="67" spans="2:22" ht="37.5">
      <c r="B67" s="774">
        <v>2</v>
      </c>
      <c r="C67" s="770" t="s">
        <v>552</v>
      </c>
      <c r="D67" s="770" t="s">
        <v>1652</v>
      </c>
      <c r="E67" s="770" t="s">
        <v>571</v>
      </c>
      <c r="F67" s="770" t="s">
        <v>564</v>
      </c>
      <c r="G67" s="770">
        <v>289</v>
      </c>
      <c r="H67" s="770">
        <v>587</v>
      </c>
      <c r="I67" s="771">
        <v>0.49199999999999999</v>
      </c>
      <c r="J67" s="770" t="s">
        <v>496</v>
      </c>
      <c r="K67" s="770" t="s">
        <v>518</v>
      </c>
      <c r="L67" s="770" t="s">
        <v>2733</v>
      </c>
      <c r="M67" s="772">
        <v>319964</v>
      </c>
      <c r="N67" s="772">
        <v>1107</v>
      </c>
      <c r="S67">
        <v>272</v>
      </c>
      <c r="T67">
        <f t="shared" si="0"/>
        <v>1865</v>
      </c>
      <c r="U67">
        <f t="shared" si="1"/>
        <v>4178</v>
      </c>
      <c r="V67" s="131">
        <f t="shared" si="2"/>
        <v>0.44638583054092867</v>
      </c>
    </row>
    <row r="68" spans="2:22" ht="37.5">
      <c r="B68" s="774">
        <v>2</v>
      </c>
      <c r="C68" s="770" t="s">
        <v>552</v>
      </c>
      <c r="D68" s="770" t="s">
        <v>1654</v>
      </c>
      <c r="E68" s="770" t="s">
        <v>572</v>
      </c>
      <c r="F68" s="770" t="s">
        <v>564</v>
      </c>
      <c r="G68" s="770">
        <v>134</v>
      </c>
      <c r="H68" s="770">
        <v>373</v>
      </c>
      <c r="I68" s="771">
        <v>0.35899999999999999</v>
      </c>
      <c r="J68" s="770" t="s">
        <v>496</v>
      </c>
      <c r="K68" s="770" t="s">
        <v>497</v>
      </c>
      <c r="L68" s="770" t="s">
        <v>2734</v>
      </c>
      <c r="M68" s="772">
        <v>0</v>
      </c>
      <c r="N68" s="772">
        <v>0</v>
      </c>
      <c r="S68">
        <v>273</v>
      </c>
      <c r="T68">
        <f t="shared" si="0"/>
        <v>2588</v>
      </c>
      <c r="U68">
        <f t="shared" si="1"/>
        <v>5431</v>
      </c>
      <c r="V68" s="131">
        <f t="shared" si="2"/>
        <v>0.47652366046768552</v>
      </c>
    </row>
    <row r="69" spans="2:22" ht="37.5">
      <c r="B69" s="774">
        <v>2</v>
      </c>
      <c r="C69" s="770" t="s">
        <v>552</v>
      </c>
      <c r="D69" s="770" t="s">
        <v>1655</v>
      </c>
      <c r="E69" s="770" t="s">
        <v>573</v>
      </c>
      <c r="F69" s="770" t="s">
        <v>564</v>
      </c>
      <c r="G69" s="770">
        <v>142</v>
      </c>
      <c r="H69" s="770">
        <v>471</v>
      </c>
      <c r="I69" s="771">
        <v>0.30099999999999999</v>
      </c>
      <c r="J69" s="770" t="s">
        <v>496</v>
      </c>
      <c r="K69" s="770" t="s">
        <v>497</v>
      </c>
      <c r="L69" s="770" t="s">
        <v>2732</v>
      </c>
      <c r="M69" s="772">
        <v>0</v>
      </c>
      <c r="N69" s="772">
        <v>0</v>
      </c>
      <c r="S69">
        <v>274</v>
      </c>
      <c r="T69">
        <f t="shared" si="0"/>
        <v>76</v>
      </c>
      <c r="U69">
        <f t="shared" si="1"/>
        <v>152</v>
      </c>
      <c r="V69" s="131">
        <f t="shared" si="2"/>
        <v>0.5</v>
      </c>
    </row>
    <row r="70" spans="2:22" ht="50">
      <c r="B70" s="774">
        <v>2</v>
      </c>
      <c r="C70" s="770" t="s">
        <v>552</v>
      </c>
      <c r="D70" s="770" t="s">
        <v>1656</v>
      </c>
      <c r="E70" s="770" t="s">
        <v>574</v>
      </c>
      <c r="F70" s="770" t="s">
        <v>564</v>
      </c>
      <c r="G70" s="770">
        <v>74</v>
      </c>
      <c r="H70" s="770">
        <v>449</v>
      </c>
      <c r="I70" s="771">
        <v>0.16500000000000001</v>
      </c>
      <c r="J70" s="770" t="s">
        <v>501</v>
      </c>
      <c r="K70" s="770" t="s">
        <v>497</v>
      </c>
      <c r="L70" s="770" t="s">
        <v>2732</v>
      </c>
      <c r="M70" s="772">
        <v>0</v>
      </c>
      <c r="N70" s="772">
        <v>0</v>
      </c>
      <c r="S70">
        <v>281</v>
      </c>
      <c r="T70">
        <f t="shared" ref="T70:T133" si="3">SUMIF($B:$B, $S70, G:G)</f>
        <v>755</v>
      </c>
      <c r="U70">
        <f t="shared" ref="U70:U133" si="4">SUMIF($B:$B, $S70, H:H)</f>
        <v>2416</v>
      </c>
      <c r="V70" s="131">
        <f t="shared" ref="V70:V133" si="5">IF(U70&gt;0, T70/U70, 0)</f>
        <v>0.3125</v>
      </c>
    </row>
    <row r="71" spans="2:22" ht="37.5">
      <c r="B71" s="774">
        <v>2</v>
      </c>
      <c r="C71" s="770" t="s">
        <v>552</v>
      </c>
      <c r="D71" s="770" t="s">
        <v>1658</v>
      </c>
      <c r="E71" s="770" t="s">
        <v>575</v>
      </c>
      <c r="F71" s="770" t="s">
        <v>564</v>
      </c>
      <c r="G71" s="770">
        <v>173</v>
      </c>
      <c r="H71" s="770">
        <v>400</v>
      </c>
      <c r="I71" s="771">
        <v>0.433</v>
      </c>
      <c r="J71" s="770" t="s">
        <v>496</v>
      </c>
      <c r="K71" s="770" t="s">
        <v>518</v>
      </c>
      <c r="L71" s="770" t="s">
        <v>2732</v>
      </c>
      <c r="M71" s="772">
        <v>188500</v>
      </c>
      <c r="N71" s="772">
        <v>1089</v>
      </c>
      <c r="S71">
        <v>282</v>
      </c>
      <c r="T71">
        <f t="shared" si="3"/>
        <v>67</v>
      </c>
      <c r="U71">
        <f t="shared" si="4"/>
        <v>318</v>
      </c>
      <c r="V71" s="131">
        <f t="shared" si="5"/>
        <v>0.21069182389937108</v>
      </c>
    </row>
    <row r="72" spans="2:22" ht="37.5">
      <c r="B72" s="774">
        <v>2</v>
      </c>
      <c r="C72" s="770" t="s">
        <v>552</v>
      </c>
      <c r="D72" s="770" t="s">
        <v>1660</v>
      </c>
      <c r="E72" s="770" t="s">
        <v>576</v>
      </c>
      <c r="F72" s="770" t="s">
        <v>564</v>
      </c>
      <c r="G72" s="770">
        <v>183</v>
      </c>
      <c r="H72" s="770">
        <v>479</v>
      </c>
      <c r="I72" s="771">
        <v>0.38200000000000001</v>
      </c>
      <c r="J72" s="770" t="s">
        <v>496</v>
      </c>
      <c r="K72" s="770" t="s">
        <v>497</v>
      </c>
      <c r="L72" s="770" t="s">
        <v>2734</v>
      </c>
      <c r="M72" s="772">
        <v>0</v>
      </c>
      <c r="N72" s="772">
        <v>0</v>
      </c>
      <c r="S72">
        <v>283</v>
      </c>
      <c r="T72">
        <f t="shared" si="3"/>
        <v>100</v>
      </c>
      <c r="U72">
        <f t="shared" si="4"/>
        <v>238</v>
      </c>
      <c r="V72" s="131">
        <f t="shared" si="5"/>
        <v>0.42016806722689076</v>
      </c>
    </row>
    <row r="73" spans="2:22" ht="37.5">
      <c r="B73" s="774">
        <v>2</v>
      </c>
      <c r="C73" s="770" t="s">
        <v>552</v>
      </c>
      <c r="D73" s="770" t="s">
        <v>1661</v>
      </c>
      <c r="E73" s="770" t="s">
        <v>577</v>
      </c>
      <c r="F73" s="770" t="s">
        <v>564</v>
      </c>
      <c r="G73" s="770">
        <v>254</v>
      </c>
      <c r="H73" s="770">
        <v>476</v>
      </c>
      <c r="I73" s="771">
        <v>0.53400000000000003</v>
      </c>
      <c r="J73" s="770" t="s">
        <v>496</v>
      </c>
      <c r="K73" s="770" t="s">
        <v>518</v>
      </c>
      <c r="L73" s="770" t="s">
        <v>2733</v>
      </c>
      <c r="M73" s="772">
        <v>283488</v>
      </c>
      <c r="N73" s="772">
        <v>1116</v>
      </c>
      <c r="S73">
        <v>285</v>
      </c>
      <c r="T73">
        <f t="shared" si="3"/>
        <v>197</v>
      </c>
      <c r="U73">
        <f t="shared" si="4"/>
        <v>448</v>
      </c>
      <c r="V73" s="131">
        <f t="shared" si="5"/>
        <v>0.43973214285714285</v>
      </c>
    </row>
    <row r="74" spans="2:22" ht="37.5">
      <c r="B74" s="774">
        <v>2</v>
      </c>
      <c r="C74" s="770" t="s">
        <v>552</v>
      </c>
      <c r="D74" s="770" t="s">
        <v>1662</v>
      </c>
      <c r="E74" s="770" t="s">
        <v>578</v>
      </c>
      <c r="F74" s="770" t="s">
        <v>564</v>
      </c>
      <c r="G74" s="770">
        <v>333</v>
      </c>
      <c r="H74" s="770">
        <v>452</v>
      </c>
      <c r="I74" s="771">
        <v>0.73699999999999999</v>
      </c>
      <c r="J74" s="770" t="s">
        <v>496</v>
      </c>
      <c r="K74" s="770" t="s">
        <v>518</v>
      </c>
      <c r="L74" s="770" t="s">
        <v>2733</v>
      </c>
      <c r="M74" s="772">
        <v>418500</v>
      </c>
      <c r="N74" s="772">
        <v>1256</v>
      </c>
      <c r="S74">
        <v>287</v>
      </c>
      <c r="T74">
        <f t="shared" si="3"/>
        <v>91</v>
      </c>
      <c r="U74">
        <f t="shared" si="4"/>
        <v>256</v>
      </c>
      <c r="V74" s="131">
        <f t="shared" si="5"/>
        <v>0.35546875</v>
      </c>
    </row>
    <row r="75" spans="2:22" ht="50">
      <c r="B75" s="774">
        <v>2</v>
      </c>
      <c r="C75" s="770" t="s">
        <v>552</v>
      </c>
      <c r="D75" s="770" t="s">
        <v>1663</v>
      </c>
      <c r="E75" s="770" t="s">
        <v>579</v>
      </c>
      <c r="F75" s="770" t="s">
        <v>564</v>
      </c>
      <c r="G75" s="770">
        <v>235</v>
      </c>
      <c r="H75" s="770">
        <v>428</v>
      </c>
      <c r="I75" s="771">
        <v>0.54900000000000004</v>
      </c>
      <c r="J75" s="770" t="s">
        <v>496</v>
      </c>
      <c r="K75" s="770" t="s">
        <v>518</v>
      </c>
      <c r="L75" s="770" t="s">
        <v>2733</v>
      </c>
      <c r="M75" s="772">
        <v>268000</v>
      </c>
      <c r="N75" s="772">
        <v>1140</v>
      </c>
      <c r="S75">
        <v>288</v>
      </c>
      <c r="T75">
        <f t="shared" si="3"/>
        <v>92</v>
      </c>
      <c r="U75">
        <f t="shared" si="4"/>
        <v>209</v>
      </c>
      <c r="V75" s="131">
        <f t="shared" si="5"/>
        <v>0.44019138755980863</v>
      </c>
    </row>
    <row r="76" spans="2:22" ht="37.5">
      <c r="B76" s="774">
        <v>2</v>
      </c>
      <c r="C76" s="770" t="s">
        <v>552</v>
      </c>
      <c r="D76" s="770" t="s">
        <v>1664</v>
      </c>
      <c r="E76" s="770" t="s">
        <v>580</v>
      </c>
      <c r="F76" s="770" t="s">
        <v>551</v>
      </c>
      <c r="G76" s="770">
        <v>118</v>
      </c>
      <c r="H76" s="770">
        <v>518</v>
      </c>
      <c r="I76" s="771">
        <v>0.22800000000000001</v>
      </c>
      <c r="J76" s="770" t="s">
        <v>501</v>
      </c>
      <c r="K76" s="770" t="s">
        <v>497</v>
      </c>
      <c r="L76" s="770" t="s">
        <v>2732</v>
      </c>
      <c r="M76" s="772">
        <v>0</v>
      </c>
      <c r="N76" s="772">
        <v>0</v>
      </c>
      <c r="S76">
        <v>291</v>
      </c>
      <c r="T76">
        <f t="shared" si="3"/>
        <v>481</v>
      </c>
      <c r="U76">
        <f t="shared" si="4"/>
        <v>765</v>
      </c>
      <c r="V76" s="131">
        <f t="shared" si="5"/>
        <v>0.62875816993464051</v>
      </c>
    </row>
    <row r="77" spans="2:22" ht="37.5">
      <c r="B77" s="774">
        <v>2</v>
      </c>
      <c r="C77" s="770" t="s">
        <v>552</v>
      </c>
      <c r="D77" s="770" t="s">
        <v>1665</v>
      </c>
      <c r="E77" s="770" t="s">
        <v>581</v>
      </c>
      <c r="F77" s="770" t="s">
        <v>564</v>
      </c>
      <c r="G77" s="770">
        <v>164</v>
      </c>
      <c r="H77" s="770">
        <v>447</v>
      </c>
      <c r="I77" s="771">
        <v>0.36699999999999999</v>
      </c>
      <c r="J77" s="770" t="s">
        <v>496</v>
      </c>
      <c r="K77" s="770" t="s">
        <v>497</v>
      </c>
      <c r="L77" s="770" t="s">
        <v>2732</v>
      </c>
      <c r="M77" s="772">
        <v>0</v>
      </c>
      <c r="N77" s="772">
        <v>0</v>
      </c>
      <c r="S77">
        <v>292</v>
      </c>
      <c r="T77">
        <f t="shared" si="3"/>
        <v>48</v>
      </c>
      <c r="U77">
        <f t="shared" si="4"/>
        <v>75</v>
      </c>
      <c r="V77" s="131">
        <f t="shared" si="5"/>
        <v>0.64</v>
      </c>
    </row>
    <row r="78" spans="2:22" ht="37.5">
      <c r="B78" s="774">
        <v>2</v>
      </c>
      <c r="C78" s="770" t="s">
        <v>552</v>
      </c>
      <c r="D78" s="770" t="s">
        <v>1666</v>
      </c>
      <c r="E78" s="770" t="s">
        <v>582</v>
      </c>
      <c r="F78" s="770" t="s">
        <v>564</v>
      </c>
      <c r="G78" s="770">
        <v>120</v>
      </c>
      <c r="H78" s="770">
        <v>551</v>
      </c>
      <c r="I78" s="771">
        <v>0.218</v>
      </c>
      <c r="J78" s="770" t="s">
        <v>501</v>
      </c>
      <c r="K78" s="770" t="s">
        <v>497</v>
      </c>
      <c r="L78" s="770" t="s">
        <v>2732</v>
      </c>
      <c r="M78" s="772">
        <v>0</v>
      </c>
      <c r="N78" s="772">
        <v>0</v>
      </c>
      <c r="S78">
        <v>302</v>
      </c>
      <c r="T78">
        <f t="shared" si="3"/>
        <v>71</v>
      </c>
      <c r="U78">
        <f t="shared" si="4"/>
        <v>149</v>
      </c>
      <c r="V78" s="131">
        <f t="shared" si="5"/>
        <v>0.47651006711409394</v>
      </c>
    </row>
    <row r="79" spans="2:22" ht="37.5">
      <c r="B79" s="774">
        <v>2</v>
      </c>
      <c r="C79" s="770" t="s">
        <v>552</v>
      </c>
      <c r="D79" s="770" t="s">
        <v>1667</v>
      </c>
      <c r="E79" s="770" t="s">
        <v>583</v>
      </c>
      <c r="F79" s="770" t="s">
        <v>564</v>
      </c>
      <c r="G79" s="770">
        <v>108</v>
      </c>
      <c r="H79" s="770">
        <v>558</v>
      </c>
      <c r="I79" s="771">
        <v>0.19400000000000001</v>
      </c>
      <c r="J79" s="770" t="s">
        <v>501</v>
      </c>
      <c r="K79" s="770" t="s">
        <v>497</v>
      </c>
      <c r="L79" s="770" t="s">
        <v>2732</v>
      </c>
      <c r="M79" s="772">
        <v>0</v>
      </c>
      <c r="N79" s="772">
        <v>0</v>
      </c>
      <c r="S79">
        <v>304</v>
      </c>
      <c r="T79">
        <f t="shared" si="3"/>
        <v>319</v>
      </c>
      <c r="U79">
        <f t="shared" si="4"/>
        <v>341</v>
      </c>
      <c r="V79" s="131">
        <f t="shared" si="5"/>
        <v>0.93548387096774188</v>
      </c>
    </row>
    <row r="80" spans="2:22" ht="37.5">
      <c r="B80" s="774">
        <v>2</v>
      </c>
      <c r="C80" s="770" t="s">
        <v>552</v>
      </c>
      <c r="D80" s="770" t="s">
        <v>1668</v>
      </c>
      <c r="E80" s="770" t="s">
        <v>584</v>
      </c>
      <c r="F80" s="770" t="s">
        <v>564</v>
      </c>
      <c r="G80" s="770">
        <v>117</v>
      </c>
      <c r="H80" s="770">
        <v>392</v>
      </c>
      <c r="I80" s="771">
        <v>0.29799999999999999</v>
      </c>
      <c r="J80" s="770" t="s">
        <v>496</v>
      </c>
      <c r="K80" s="770" t="s">
        <v>497</v>
      </c>
      <c r="L80" s="770" t="s">
        <v>2732</v>
      </c>
      <c r="M80" s="772">
        <v>0</v>
      </c>
      <c r="N80" s="772">
        <v>0</v>
      </c>
      <c r="S80">
        <v>305</v>
      </c>
      <c r="T80">
        <f t="shared" si="3"/>
        <v>86</v>
      </c>
      <c r="U80">
        <f t="shared" si="4"/>
        <v>164</v>
      </c>
      <c r="V80" s="131">
        <f t="shared" si="5"/>
        <v>0.52439024390243905</v>
      </c>
    </row>
    <row r="81" spans="2:22" ht="37.5">
      <c r="B81" s="774">
        <v>2</v>
      </c>
      <c r="C81" s="770" t="s">
        <v>552</v>
      </c>
      <c r="D81" s="770" t="s">
        <v>1669</v>
      </c>
      <c r="E81" s="770" t="s">
        <v>585</v>
      </c>
      <c r="F81" s="770" t="s">
        <v>564</v>
      </c>
      <c r="G81" s="770">
        <v>203</v>
      </c>
      <c r="H81" s="770">
        <v>615</v>
      </c>
      <c r="I81" s="771">
        <v>0.33</v>
      </c>
      <c r="J81" s="770" t="s">
        <v>496</v>
      </c>
      <c r="K81" s="770" t="s">
        <v>497</v>
      </c>
      <c r="L81" s="770" t="s">
        <v>2734</v>
      </c>
      <c r="M81" s="772">
        <v>0</v>
      </c>
      <c r="N81" s="772">
        <v>0</v>
      </c>
      <c r="S81">
        <v>312</v>
      </c>
      <c r="T81">
        <f t="shared" si="3"/>
        <v>348</v>
      </c>
      <c r="U81">
        <f t="shared" si="4"/>
        <v>498</v>
      </c>
      <c r="V81" s="131">
        <f t="shared" si="5"/>
        <v>0.6987951807228916</v>
      </c>
    </row>
    <row r="82" spans="2:22" ht="37.5">
      <c r="B82" s="774">
        <v>2</v>
      </c>
      <c r="C82" s="770" t="s">
        <v>552</v>
      </c>
      <c r="D82" s="770" t="s">
        <v>1670</v>
      </c>
      <c r="E82" s="770" t="s">
        <v>586</v>
      </c>
      <c r="F82" s="770" t="s">
        <v>564</v>
      </c>
      <c r="G82" s="770">
        <v>118</v>
      </c>
      <c r="H82" s="770">
        <v>687</v>
      </c>
      <c r="I82" s="771">
        <v>0.17199999999999999</v>
      </c>
      <c r="J82" s="770" t="s">
        <v>501</v>
      </c>
      <c r="K82" s="770" t="s">
        <v>497</v>
      </c>
      <c r="L82" s="770" t="s">
        <v>2732</v>
      </c>
      <c r="M82" s="772">
        <v>0</v>
      </c>
      <c r="N82" s="772">
        <v>0</v>
      </c>
      <c r="S82">
        <v>314</v>
      </c>
      <c r="T82">
        <f t="shared" si="3"/>
        <v>166</v>
      </c>
      <c r="U82">
        <f t="shared" si="4"/>
        <v>234</v>
      </c>
      <c r="V82" s="131">
        <f t="shared" si="5"/>
        <v>0.70940170940170943</v>
      </c>
    </row>
    <row r="83" spans="2:22" ht="37.5">
      <c r="B83" s="774">
        <v>2</v>
      </c>
      <c r="C83" s="770" t="s">
        <v>552</v>
      </c>
      <c r="D83" s="770" t="s">
        <v>1672</v>
      </c>
      <c r="E83" s="770" t="s">
        <v>587</v>
      </c>
      <c r="F83" s="770" t="s">
        <v>564</v>
      </c>
      <c r="G83" s="770">
        <v>113</v>
      </c>
      <c r="H83" s="770">
        <v>574</v>
      </c>
      <c r="I83" s="771">
        <v>0.19700000000000001</v>
      </c>
      <c r="J83" s="770" t="s">
        <v>501</v>
      </c>
      <c r="K83" s="770" t="s">
        <v>497</v>
      </c>
      <c r="L83" s="770" t="s">
        <v>2732</v>
      </c>
      <c r="M83" s="772">
        <v>0</v>
      </c>
      <c r="N83" s="772">
        <v>0</v>
      </c>
      <c r="S83">
        <v>316</v>
      </c>
      <c r="T83">
        <f t="shared" si="3"/>
        <v>66</v>
      </c>
      <c r="U83">
        <f t="shared" si="4"/>
        <v>133</v>
      </c>
      <c r="V83" s="131">
        <f t="shared" si="5"/>
        <v>0.49624060150375937</v>
      </c>
    </row>
    <row r="84" spans="2:22" ht="37.5">
      <c r="B84" s="774">
        <v>2</v>
      </c>
      <c r="C84" s="770" t="s">
        <v>552</v>
      </c>
      <c r="D84" s="770" t="s">
        <v>1673</v>
      </c>
      <c r="E84" s="770" t="s">
        <v>588</v>
      </c>
      <c r="F84" s="770" t="s">
        <v>564</v>
      </c>
      <c r="G84" s="770">
        <v>119</v>
      </c>
      <c r="H84" s="770">
        <v>643</v>
      </c>
      <c r="I84" s="771">
        <v>0.185</v>
      </c>
      <c r="J84" s="770" t="s">
        <v>501</v>
      </c>
      <c r="K84" s="770" t="s">
        <v>497</v>
      </c>
      <c r="L84" s="770" t="s">
        <v>2732</v>
      </c>
      <c r="M84" s="772">
        <v>0</v>
      </c>
      <c r="N84" s="772">
        <v>0</v>
      </c>
      <c r="S84">
        <v>321</v>
      </c>
      <c r="T84">
        <f t="shared" si="3"/>
        <v>2031</v>
      </c>
      <c r="U84">
        <f t="shared" si="4"/>
        <v>5182</v>
      </c>
      <c r="V84" s="131">
        <f t="shared" si="5"/>
        <v>0.3919336163643381</v>
      </c>
    </row>
    <row r="85" spans="2:22" ht="37.5">
      <c r="B85" s="774">
        <v>2</v>
      </c>
      <c r="C85" s="770" t="s">
        <v>552</v>
      </c>
      <c r="D85" s="770" t="s">
        <v>1674</v>
      </c>
      <c r="E85" s="770" t="s">
        <v>589</v>
      </c>
      <c r="F85" s="770" t="s">
        <v>564</v>
      </c>
      <c r="G85" s="770">
        <v>165</v>
      </c>
      <c r="H85" s="770">
        <v>504</v>
      </c>
      <c r="I85" s="771">
        <v>0.32700000000000001</v>
      </c>
      <c r="J85" s="770" t="s">
        <v>496</v>
      </c>
      <c r="K85" s="770" t="s">
        <v>497</v>
      </c>
      <c r="L85" s="770" t="s">
        <v>2732</v>
      </c>
      <c r="M85" s="772">
        <v>0</v>
      </c>
      <c r="N85" s="772">
        <v>0</v>
      </c>
      <c r="S85">
        <v>322</v>
      </c>
      <c r="T85">
        <f t="shared" si="3"/>
        <v>732</v>
      </c>
      <c r="U85">
        <f t="shared" si="4"/>
        <v>1579</v>
      </c>
      <c r="V85" s="131">
        <f t="shared" si="5"/>
        <v>0.46358454718176062</v>
      </c>
    </row>
    <row r="86" spans="2:22" ht="37.5">
      <c r="B86" s="774">
        <v>2</v>
      </c>
      <c r="C86" s="770" t="s">
        <v>552</v>
      </c>
      <c r="D86" s="770" t="s">
        <v>1675</v>
      </c>
      <c r="E86" s="770" t="s">
        <v>590</v>
      </c>
      <c r="F86" s="770" t="s">
        <v>564</v>
      </c>
      <c r="G86" s="770">
        <v>168</v>
      </c>
      <c r="H86" s="770">
        <v>778</v>
      </c>
      <c r="I86" s="771">
        <v>0.216</v>
      </c>
      <c r="J86" s="770" t="s">
        <v>501</v>
      </c>
      <c r="K86" s="770" t="s">
        <v>497</v>
      </c>
      <c r="L86" s="770" t="s">
        <v>2732</v>
      </c>
      <c r="M86" s="772">
        <v>0</v>
      </c>
      <c r="N86" s="772">
        <v>0</v>
      </c>
      <c r="S86">
        <v>331</v>
      </c>
      <c r="T86">
        <f t="shared" si="3"/>
        <v>2611</v>
      </c>
      <c r="U86">
        <f t="shared" si="4"/>
        <v>4112</v>
      </c>
      <c r="V86" s="131">
        <f t="shared" si="5"/>
        <v>0.63497081712062253</v>
      </c>
    </row>
    <row r="87" spans="2:22" ht="37.5">
      <c r="B87" s="774">
        <v>2</v>
      </c>
      <c r="C87" s="770" t="s">
        <v>552</v>
      </c>
      <c r="D87" s="770" t="s">
        <v>1677</v>
      </c>
      <c r="E87" s="770" t="s">
        <v>591</v>
      </c>
      <c r="F87" s="770" t="s">
        <v>564</v>
      </c>
      <c r="G87" s="770">
        <v>68</v>
      </c>
      <c r="H87" s="770">
        <v>432</v>
      </c>
      <c r="I87" s="771">
        <v>0.157</v>
      </c>
      <c r="J87" s="770" t="s">
        <v>501</v>
      </c>
      <c r="K87" s="770" t="s">
        <v>497</v>
      </c>
      <c r="L87" s="770" t="s">
        <v>2732</v>
      </c>
      <c r="M87" s="772">
        <v>0</v>
      </c>
      <c r="N87" s="772">
        <v>0</v>
      </c>
      <c r="S87">
        <v>340</v>
      </c>
      <c r="T87">
        <f t="shared" si="3"/>
        <v>1828</v>
      </c>
      <c r="U87">
        <f t="shared" si="4"/>
        <v>4676</v>
      </c>
      <c r="V87" s="131">
        <f t="shared" si="5"/>
        <v>0.39093242087254065</v>
      </c>
    </row>
    <row r="88" spans="2:22" ht="37.5">
      <c r="B88" s="774">
        <v>2</v>
      </c>
      <c r="C88" s="770" t="s">
        <v>552</v>
      </c>
      <c r="D88" s="770" t="s">
        <v>1678</v>
      </c>
      <c r="E88" s="770" t="s">
        <v>592</v>
      </c>
      <c r="F88" s="770" t="s">
        <v>557</v>
      </c>
      <c r="G88" s="770">
        <v>449</v>
      </c>
      <c r="H88" s="770">
        <v>2258</v>
      </c>
      <c r="I88" s="771">
        <v>0.19900000000000001</v>
      </c>
      <c r="J88" s="770" t="s">
        <v>501</v>
      </c>
      <c r="K88" s="770" t="s">
        <v>497</v>
      </c>
      <c r="L88" s="770" t="s">
        <v>2734</v>
      </c>
      <c r="M88" s="772">
        <v>0</v>
      </c>
      <c r="N88" s="772">
        <v>0</v>
      </c>
      <c r="S88">
        <v>341</v>
      </c>
      <c r="T88">
        <f t="shared" si="3"/>
        <v>477</v>
      </c>
      <c r="U88">
        <f t="shared" si="4"/>
        <v>536</v>
      </c>
      <c r="V88" s="131">
        <f t="shared" si="5"/>
        <v>0.8899253731343284</v>
      </c>
    </row>
    <row r="89" spans="2:22" ht="37.5">
      <c r="B89" s="774">
        <v>2</v>
      </c>
      <c r="C89" s="770" t="s">
        <v>552</v>
      </c>
      <c r="D89" s="770" t="s">
        <v>1224</v>
      </c>
      <c r="E89" s="770" t="s">
        <v>456</v>
      </c>
      <c r="F89" s="770" t="s">
        <v>557</v>
      </c>
      <c r="G89" s="770">
        <v>76</v>
      </c>
      <c r="H89" s="770">
        <v>373</v>
      </c>
      <c r="I89" s="771">
        <v>0.20399999999999999</v>
      </c>
      <c r="J89" s="770" t="s">
        <v>501</v>
      </c>
      <c r="K89" s="770" t="s">
        <v>497</v>
      </c>
      <c r="L89" s="770" t="s">
        <v>2732</v>
      </c>
      <c r="M89" s="772">
        <v>0</v>
      </c>
      <c r="N89" s="772">
        <v>0</v>
      </c>
      <c r="S89">
        <v>342</v>
      </c>
      <c r="T89">
        <f t="shared" si="3"/>
        <v>54</v>
      </c>
      <c r="U89">
        <f t="shared" si="4"/>
        <v>91</v>
      </c>
      <c r="V89" s="131">
        <f t="shared" si="5"/>
        <v>0.59340659340659341</v>
      </c>
    </row>
    <row r="90" spans="2:22" ht="37.5">
      <c r="B90" s="774">
        <v>2</v>
      </c>
      <c r="C90" s="770" t="s">
        <v>552</v>
      </c>
      <c r="D90" s="770" t="s">
        <v>1679</v>
      </c>
      <c r="E90" s="770" t="s">
        <v>593</v>
      </c>
      <c r="F90" s="770" t="s">
        <v>564</v>
      </c>
      <c r="G90" s="770">
        <v>487</v>
      </c>
      <c r="H90" s="770">
        <v>687</v>
      </c>
      <c r="I90" s="771">
        <v>0.70899999999999996</v>
      </c>
      <c r="J90" s="770" t="s">
        <v>496</v>
      </c>
      <c r="K90" s="770" t="s">
        <v>518</v>
      </c>
      <c r="L90" s="770" t="s">
        <v>2733</v>
      </c>
      <c r="M90" s="772">
        <v>555500</v>
      </c>
      <c r="N90" s="772">
        <v>1140</v>
      </c>
      <c r="S90">
        <v>351</v>
      </c>
      <c r="T90">
        <f t="shared" si="3"/>
        <v>425</v>
      </c>
      <c r="U90">
        <f t="shared" si="4"/>
        <v>909</v>
      </c>
      <c r="V90" s="131">
        <f t="shared" si="5"/>
        <v>0.46754675467546752</v>
      </c>
    </row>
    <row r="91" spans="2:22" ht="37.5">
      <c r="B91" s="774">
        <v>2</v>
      </c>
      <c r="C91" s="770" t="s">
        <v>552</v>
      </c>
      <c r="D91" s="770" t="s">
        <v>1680</v>
      </c>
      <c r="E91" s="770" t="s">
        <v>594</v>
      </c>
      <c r="F91" s="770" t="s">
        <v>564</v>
      </c>
      <c r="G91" s="770">
        <v>141</v>
      </c>
      <c r="H91" s="770">
        <v>698</v>
      </c>
      <c r="I91" s="771">
        <v>0.20200000000000001</v>
      </c>
      <c r="J91" s="770" t="s">
        <v>501</v>
      </c>
      <c r="K91" s="770" t="s">
        <v>497</v>
      </c>
      <c r="L91" s="770" t="s">
        <v>2732</v>
      </c>
      <c r="M91" s="772">
        <v>0</v>
      </c>
      <c r="N91" s="772">
        <v>0</v>
      </c>
      <c r="S91">
        <v>363</v>
      </c>
      <c r="T91">
        <f t="shared" si="3"/>
        <v>547</v>
      </c>
      <c r="U91">
        <f t="shared" si="4"/>
        <v>824</v>
      </c>
      <c r="V91" s="131">
        <f t="shared" si="5"/>
        <v>0.66383495145631066</v>
      </c>
    </row>
    <row r="92" spans="2:22" ht="37.5">
      <c r="B92" s="774">
        <v>2</v>
      </c>
      <c r="C92" s="770" t="s">
        <v>552</v>
      </c>
      <c r="D92" s="770" t="s">
        <v>1681</v>
      </c>
      <c r="E92" s="770" t="s">
        <v>595</v>
      </c>
      <c r="F92" s="770" t="s">
        <v>596</v>
      </c>
      <c r="G92" s="770">
        <v>67</v>
      </c>
      <c r="H92" s="770">
        <v>143</v>
      </c>
      <c r="I92" s="771">
        <v>0.46899999999999997</v>
      </c>
      <c r="J92" s="770" t="s">
        <v>496</v>
      </c>
      <c r="K92" s="770" t="s">
        <v>497</v>
      </c>
      <c r="L92" s="770" t="s">
        <v>2734</v>
      </c>
      <c r="M92" s="772">
        <v>0</v>
      </c>
      <c r="N92" s="772">
        <v>0</v>
      </c>
      <c r="S92">
        <v>365</v>
      </c>
      <c r="T92">
        <f t="shared" si="3"/>
        <v>224</v>
      </c>
      <c r="U92">
        <f t="shared" si="4"/>
        <v>350</v>
      </c>
      <c r="V92" s="131">
        <f t="shared" si="5"/>
        <v>0.64</v>
      </c>
    </row>
    <row r="93" spans="2:22" ht="37.5">
      <c r="B93" s="774">
        <v>2</v>
      </c>
      <c r="C93" s="770" t="s">
        <v>552</v>
      </c>
      <c r="D93" s="770" t="s">
        <v>1683</v>
      </c>
      <c r="E93" s="770" t="s">
        <v>597</v>
      </c>
      <c r="F93" s="770" t="s">
        <v>557</v>
      </c>
      <c r="G93" s="770">
        <v>79</v>
      </c>
      <c r="H93" s="770">
        <v>152</v>
      </c>
      <c r="I93" s="771">
        <v>0.52</v>
      </c>
      <c r="J93" s="770" t="s">
        <v>496</v>
      </c>
      <c r="K93" s="770" t="s">
        <v>497</v>
      </c>
      <c r="L93" s="770" t="s">
        <v>2732</v>
      </c>
      <c r="M93" s="772">
        <v>0</v>
      </c>
      <c r="N93" s="772">
        <v>0</v>
      </c>
      <c r="S93">
        <v>370</v>
      </c>
      <c r="T93">
        <f t="shared" si="3"/>
        <v>721</v>
      </c>
      <c r="U93">
        <f t="shared" si="4"/>
        <v>1185</v>
      </c>
      <c r="V93" s="131">
        <f t="shared" si="5"/>
        <v>0.60843881856540083</v>
      </c>
    </row>
    <row r="94" spans="2:22" ht="37.5">
      <c r="B94" s="774">
        <v>2</v>
      </c>
      <c r="C94" s="770" t="s">
        <v>552</v>
      </c>
      <c r="D94" s="770" t="s">
        <v>1685</v>
      </c>
      <c r="E94" s="770" t="s">
        <v>598</v>
      </c>
      <c r="F94" s="770" t="s">
        <v>557</v>
      </c>
      <c r="G94" s="770">
        <v>281</v>
      </c>
      <c r="H94" s="770">
        <v>2264</v>
      </c>
      <c r="I94" s="771">
        <v>0.124</v>
      </c>
      <c r="J94" s="770" t="s">
        <v>501</v>
      </c>
      <c r="K94" s="770" t="s">
        <v>497</v>
      </c>
      <c r="L94" s="770" t="s">
        <v>2732</v>
      </c>
      <c r="M94" s="772">
        <v>0</v>
      </c>
      <c r="N94" s="772">
        <v>0</v>
      </c>
      <c r="S94">
        <v>371</v>
      </c>
      <c r="T94">
        <f t="shared" si="3"/>
        <v>1207</v>
      </c>
      <c r="U94">
        <f t="shared" si="4"/>
        <v>1573</v>
      </c>
      <c r="V94" s="131">
        <f t="shared" si="5"/>
        <v>0.76732358550540369</v>
      </c>
    </row>
    <row r="95" spans="2:22" ht="37.5">
      <c r="B95" s="774">
        <v>2</v>
      </c>
      <c r="C95" s="770" t="s">
        <v>552</v>
      </c>
      <c r="D95" s="770" t="s">
        <v>1686</v>
      </c>
      <c r="E95" s="770" t="s">
        <v>599</v>
      </c>
      <c r="F95" s="770" t="s">
        <v>551</v>
      </c>
      <c r="G95" s="770">
        <v>112</v>
      </c>
      <c r="H95" s="770">
        <v>810</v>
      </c>
      <c r="I95" s="771">
        <v>0.13800000000000001</v>
      </c>
      <c r="J95" s="770" t="s">
        <v>501</v>
      </c>
      <c r="K95" s="770" t="s">
        <v>497</v>
      </c>
      <c r="L95" s="770" t="s">
        <v>2732</v>
      </c>
      <c r="M95" s="772">
        <v>0</v>
      </c>
      <c r="N95" s="772">
        <v>0</v>
      </c>
      <c r="S95">
        <v>372</v>
      </c>
      <c r="T95">
        <f t="shared" si="3"/>
        <v>458</v>
      </c>
      <c r="U95">
        <f t="shared" si="4"/>
        <v>990</v>
      </c>
      <c r="V95" s="131">
        <f t="shared" si="5"/>
        <v>0.46262626262626261</v>
      </c>
    </row>
    <row r="96" spans="2:22" ht="37.5">
      <c r="B96" s="774">
        <v>2</v>
      </c>
      <c r="C96" s="770" t="s">
        <v>552</v>
      </c>
      <c r="D96" s="770" t="s">
        <v>1687</v>
      </c>
      <c r="E96" s="770" t="s">
        <v>600</v>
      </c>
      <c r="F96" s="770" t="s">
        <v>557</v>
      </c>
      <c r="G96" s="770">
        <v>80</v>
      </c>
      <c r="H96" s="770">
        <v>136</v>
      </c>
      <c r="I96" s="771">
        <v>0.58799999999999997</v>
      </c>
      <c r="J96" s="770" t="s">
        <v>496</v>
      </c>
      <c r="K96" s="770" t="s">
        <v>497</v>
      </c>
      <c r="L96" s="770" t="s">
        <v>2732</v>
      </c>
      <c r="M96" s="772">
        <v>0</v>
      </c>
      <c r="N96" s="772">
        <v>0</v>
      </c>
      <c r="S96">
        <v>373</v>
      </c>
      <c r="T96">
        <f t="shared" si="3"/>
        <v>785</v>
      </c>
      <c r="U96">
        <f t="shared" si="4"/>
        <v>1683</v>
      </c>
      <c r="V96" s="131">
        <f t="shared" si="5"/>
        <v>0.46642899584076053</v>
      </c>
    </row>
    <row r="97" spans="2:22" ht="37.5">
      <c r="B97" s="774">
        <v>2</v>
      </c>
      <c r="C97" s="770" t="s">
        <v>552</v>
      </c>
      <c r="D97" s="770" t="s">
        <v>1689</v>
      </c>
      <c r="E97" s="770" t="s">
        <v>601</v>
      </c>
      <c r="F97" s="770" t="s">
        <v>596</v>
      </c>
      <c r="G97" s="770">
        <v>75</v>
      </c>
      <c r="H97" s="770">
        <v>146</v>
      </c>
      <c r="I97" s="771">
        <v>0.51400000000000001</v>
      </c>
      <c r="J97" s="770" t="s">
        <v>496</v>
      </c>
      <c r="K97" s="770" t="s">
        <v>497</v>
      </c>
      <c r="L97" s="770" t="s">
        <v>2734</v>
      </c>
      <c r="M97" s="772">
        <v>0</v>
      </c>
      <c r="N97" s="772">
        <v>0</v>
      </c>
      <c r="S97">
        <v>381</v>
      </c>
      <c r="T97">
        <f t="shared" si="3"/>
        <v>993</v>
      </c>
      <c r="U97">
        <f t="shared" si="4"/>
        <v>1448</v>
      </c>
      <c r="V97" s="131">
        <f t="shared" si="5"/>
        <v>0.68577348066298338</v>
      </c>
    </row>
    <row r="98" spans="2:22" ht="37.5">
      <c r="B98" s="774">
        <v>2</v>
      </c>
      <c r="C98" s="770" t="s">
        <v>552</v>
      </c>
      <c r="D98" s="770" t="s">
        <v>1691</v>
      </c>
      <c r="E98" s="770" t="s">
        <v>602</v>
      </c>
      <c r="F98" s="770" t="s">
        <v>557</v>
      </c>
      <c r="G98" s="770">
        <v>87</v>
      </c>
      <c r="H98" s="770">
        <v>168</v>
      </c>
      <c r="I98" s="771">
        <v>0.51800000000000002</v>
      </c>
      <c r="J98" s="770" t="s">
        <v>496</v>
      </c>
      <c r="K98" s="770" t="s">
        <v>497</v>
      </c>
      <c r="L98" s="770" t="s">
        <v>2734</v>
      </c>
      <c r="M98" s="772">
        <v>0</v>
      </c>
      <c r="N98" s="772">
        <v>0</v>
      </c>
      <c r="S98">
        <v>382</v>
      </c>
      <c r="T98">
        <f t="shared" si="3"/>
        <v>0</v>
      </c>
      <c r="U98">
        <f t="shared" si="4"/>
        <v>0</v>
      </c>
      <c r="V98" s="131">
        <f t="shared" si="5"/>
        <v>0</v>
      </c>
    </row>
    <row r="99" spans="2:22" ht="37.5">
      <c r="B99" s="774">
        <v>2</v>
      </c>
      <c r="C99" s="770" t="s">
        <v>552</v>
      </c>
      <c r="D99" s="770" t="s">
        <v>1693</v>
      </c>
      <c r="E99" s="770" t="s">
        <v>603</v>
      </c>
      <c r="F99" s="770" t="s">
        <v>557</v>
      </c>
      <c r="G99" s="770">
        <v>149</v>
      </c>
      <c r="H99" s="770">
        <v>856</v>
      </c>
      <c r="I99" s="771">
        <v>0.17399999999999999</v>
      </c>
      <c r="J99" s="770" t="s">
        <v>501</v>
      </c>
      <c r="K99" s="770" t="s">
        <v>497</v>
      </c>
      <c r="L99" s="770" t="s">
        <v>2732</v>
      </c>
      <c r="M99" s="772">
        <v>0</v>
      </c>
      <c r="N99" s="772">
        <v>0</v>
      </c>
      <c r="S99">
        <v>391</v>
      </c>
      <c r="T99">
        <f t="shared" si="3"/>
        <v>551</v>
      </c>
      <c r="U99">
        <f t="shared" si="4"/>
        <v>1104</v>
      </c>
      <c r="V99" s="131">
        <f t="shared" si="5"/>
        <v>0.49909420289855072</v>
      </c>
    </row>
    <row r="100" spans="2:22" ht="37.5">
      <c r="B100" s="774">
        <v>2</v>
      </c>
      <c r="C100" s="770" t="s">
        <v>552</v>
      </c>
      <c r="D100" s="770" t="s">
        <v>1694</v>
      </c>
      <c r="E100" s="770" t="s">
        <v>604</v>
      </c>
      <c r="F100" s="770" t="s">
        <v>564</v>
      </c>
      <c r="G100" s="770">
        <v>51</v>
      </c>
      <c r="H100" s="770">
        <v>569</v>
      </c>
      <c r="I100" s="771">
        <v>0.09</v>
      </c>
      <c r="J100" s="770" t="s">
        <v>501</v>
      </c>
      <c r="K100" s="770" t="s">
        <v>497</v>
      </c>
      <c r="L100" s="770" t="s">
        <v>2732</v>
      </c>
      <c r="M100" s="772">
        <v>0</v>
      </c>
      <c r="N100" s="772">
        <v>0</v>
      </c>
      <c r="S100">
        <v>392</v>
      </c>
      <c r="T100">
        <f t="shared" si="3"/>
        <v>49</v>
      </c>
      <c r="U100">
        <f t="shared" si="4"/>
        <v>107</v>
      </c>
      <c r="V100" s="131">
        <f t="shared" si="5"/>
        <v>0.45794392523364486</v>
      </c>
    </row>
    <row r="101" spans="2:22" ht="37.5">
      <c r="B101" s="774">
        <v>2</v>
      </c>
      <c r="C101" s="770" t="s">
        <v>552</v>
      </c>
      <c r="D101" s="770" t="s">
        <v>1701</v>
      </c>
      <c r="E101" s="770" t="s">
        <v>606</v>
      </c>
      <c r="F101" s="770" t="s">
        <v>551</v>
      </c>
      <c r="G101" s="770">
        <v>74</v>
      </c>
      <c r="H101" s="770">
        <v>734</v>
      </c>
      <c r="I101" s="771">
        <v>0.10100000000000001</v>
      </c>
      <c r="J101" s="770" t="s">
        <v>501</v>
      </c>
      <c r="K101" s="770" t="s">
        <v>497</v>
      </c>
      <c r="L101" s="770" t="s">
        <v>2732</v>
      </c>
      <c r="M101" s="772">
        <v>0</v>
      </c>
      <c r="N101" s="772">
        <v>0</v>
      </c>
      <c r="S101">
        <v>393</v>
      </c>
      <c r="T101">
        <f t="shared" si="3"/>
        <v>248</v>
      </c>
      <c r="U101">
        <f t="shared" si="4"/>
        <v>488</v>
      </c>
      <c r="V101" s="131">
        <f t="shared" si="5"/>
        <v>0.50819672131147542</v>
      </c>
    </row>
    <row r="102" spans="2:22" ht="37.5">
      <c r="B102" s="774">
        <v>2</v>
      </c>
      <c r="C102" s="770" t="s">
        <v>552</v>
      </c>
      <c r="D102" s="770" t="s">
        <v>1702</v>
      </c>
      <c r="E102" s="770" t="s">
        <v>607</v>
      </c>
      <c r="F102" s="770" t="s">
        <v>554</v>
      </c>
      <c r="G102" s="770">
        <v>197</v>
      </c>
      <c r="H102" s="770">
        <v>1208</v>
      </c>
      <c r="I102" s="771">
        <v>0.16300000000000001</v>
      </c>
      <c r="J102" s="770" t="s">
        <v>501</v>
      </c>
      <c r="K102" s="770" t="s">
        <v>497</v>
      </c>
      <c r="L102" s="770" t="s">
        <v>2732</v>
      </c>
      <c r="M102" s="772">
        <v>0</v>
      </c>
      <c r="N102" s="772">
        <v>0</v>
      </c>
      <c r="S102">
        <v>394</v>
      </c>
      <c r="T102">
        <f t="shared" si="3"/>
        <v>0</v>
      </c>
      <c r="U102">
        <f t="shared" si="4"/>
        <v>0</v>
      </c>
      <c r="V102" s="131">
        <f t="shared" si="5"/>
        <v>0</v>
      </c>
    </row>
    <row r="103" spans="2:22">
      <c r="B103" s="773"/>
      <c r="C103" s="773"/>
      <c r="D103" s="773"/>
      <c r="E103" s="773"/>
      <c r="F103" s="773"/>
      <c r="G103" s="773"/>
      <c r="H103" s="773"/>
      <c r="I103" s="773"/>
      <c r="J103" s="773"/>
      <c r="K103" s="773"/>
      <c r="L103" s="773"/>
      <c r="M103" s="773"/>
      <c r="N103" s="773"/>
      <c r="S103">
        <v>401</v>
      </c>
      <c r="T103">
        <f t="shared" si="3"/>
        <v>840</v>
      </c>
      <c r="U103">
        <f t="shared" si="4"/>
        <v>1798</v>
      </c>
      <c r="V103" s="131">
        <f t="shared" si="5"/>
        <v>0.46718576195773082</v>
      </c>
    </row>
    <row r="104" spans="2:22" ht="25">
      <c r="B104" s="774">
        <v>3</v>
      </c>
      <c r="C104" s="770" t="s">
        <v>305</v>
      </c>
      <c r="D104" s="770" t="s">
        <v>1703</v>
      </c>
      <c r="E104" s="770" t="s">
        <v>608</v>
      </c>
      <c r="F104" s="770" t="s">
        <v>596</v>
      </c>
      <c r="G104" s="770">
        <v>298</v>
      </c>
      <c r="H104" s="770">
        <v>832</v>
      </c>
      <c r="I104" s="771">
        <v>0.35799999999999998</v>
      </c>
      <c r="J104" s="770" t="s">
        <v>496</v>
      </c>
      <c r="K104" s="770" t="s">
        <v>497</v>
      </c>
      <c r="L104" s="770" t="s">
        <v>2734</v>
      </c>
      <c r="M104" s="772">
        <v>0</v>
      </c>
      <c r="N104" s="772">
        <v>0</v>
      </c>
      <c r="S104">
        <v>411</v>
      </c>
      <c r="T104">
        <f t="shared" si="3"/>
        <v>5352</v>
      </c>
      <c r="U104">
        <f t="shared" si="4"/>
        <v>9014</v>
      </c>
      <c r="V104" s="131">
        <f t="shared" si="5"/>
        <v>0.59374306634124696</v>
      </c>
    </row>
    <row r="105" spans="2:22" ht="25">
      <c r="B105" s="774">
        <v>3</v>
      </c>
      <c r="C105" s="770" t="s">
        <v>305</v>
      </c>
      <c r="D105" s="770" t="s">
        <v>1704</v>
      </c>
      <c r="E105" s="770" t="s">
        <v>609</v>
      </c>
      <c r="F105" s="770" t="s">
        <v>557</v>
      </c>
      <c r="G105" s="770">
        <v>486</v>
      </c>
      <c r="H105" s="770">
        <v>1436</v>
      </c>
      <c r="I105" s="771">
        <v>0.33800000000000002</v>
      </c>
      <c r="J105" s="770" t="s">
        <v>610</v>
      </c>
      <c r="K105" s="770" t="s">
        <v>497</v>
      </c>
      <c r="L105" s="770" t="s">
        <v>2734</v>
      </c>
      <c r="M105" s="772">
        <v>0</v>
      </c>
      <c r="N105" s="772">
        <v>0</v>
      </c>
      <c r="S105">
        <v>412</v>
      </c>
      <c r="T105">
        <f t="shared" si="3"/>
        <v>849</v>
      </c>
      <c r="U105">
        <f t="shared" si="4"/>
        <v>1274</v>
      </c>
      <c r="V105" s="131">
        <f t="shared" si="5"/>
        <v>0.66640502354788067</v>
      </c>
    </row>
    <row r="106" spans="2:22" ht="37.5">
      <c r="B106" s="774">
        <v>3</v>
      </c>
      <c r="C106" s="770" t="s">
        <v>305</v>
      </c>
      <c r="D106" s="770" t="s">
        <v>1705</v>
      </c>
      <c r="E106" s="770" t="s">
        <v>611</v>
      </c>
      <c r="F106" s="770" t="s">
        <v>612</v>
      </c>
      <c r="G106" s="770">
        <v>139</v>
      </c>
      <c r="H106" s="770">
        <v>282</v>
      </c>
      <c r="I106" s="771">
        <v>0.49299999999999999</v>
      </c>
      <c r="J106" s="770" t="s">
        <v>496</v>
      </c>
      <c r="K106" s="770" t="s">
        <v>518</v>
      </c>
      <c r="L106" s="770" t="s">
        <v>2732</v>
      </c>
      <c r="M106" s="772">
        <v>109053</v>
      </c>
      <c r="N106" s="772">
        <v>784</v>
      </c>
      <c r="S106">
        <v>413</v>
      </c>
      <c r="T106">
        <f t="shared" si="3"/>
        <v>752</v>
      </c>
      <c r="U106">
        <f t="shared" si="4"/>
        <v>1625</v>
      </c>
      <c r="V106" s="131">
        <f t="shared" si="5"/>
        <v>0.46276923076923077</v>
      </c>
    </row>
    <row r="107" spans="2:22" ht="37.5">
      <c r="B107" s="774">
        <v>3</v>
      </c>
      <c r="C107" s="770" t="s">
        <v>305</v>
      </c>
      <c r="D107" s="770" t="s">
        <v>1706</v>
      </c>
      <c r="E107" s="770" t="s">
        <v>613</v>
      </c>
      <c r="F107" s="770" t="s">
        <v>512</v>
      </c>
      <c r="G107" s="770">
        <v>323</v>
      </c>
      <c r="H107" s="770">
        <v>612</v>
      </c>
      <c r="I107" s="771">
        <v>0.52800000000000002</v>
      </c>
      <c r="J107" s="770" t="s">
        <v>496</v>
      </c>
      <c r="K107" s="770" t="s">
        <v>518</v>
      </c>
      <c r="L107" s="770" t="s">
        <v>2734</v>
      </c>
      <c r="M107" s="772">
        <v>308094</v>
      </c>
      <c r="N107" s="772">
        <v>953</v>
      </c>
      <c r="S107">
        <v>414</v>
      </c>
      <c r="T107">
        <f t="shared" si="3"/>
        <v>640</v>
      </c>
      <c r="U107">
        <f t="shared" si="4"/>
        <v>1861</v>
      </c>
      <c r="V107" s="131">
        <f t="shared" si="5"/>
        <v>0.34390112842557763</v>
      </c>
    </row>
    <row r="108" spans="2:22" ht="25">
      <c r="B108" s="774">
        <v>3</v>
      </c>
      <c r="C108" s="770" t="s">
        <v>305</v>
      </c>
      <c r="D108" s="770" t="s">
        <v>1707</v>
      </c>
      <c r="E108" s="770" t="s">
        <v>614</v>
      </c>
      <c r="F108" s="770" t="s">
        <v>612</v>
      </c>
      <c r="G108" s="770">
        <v>127</v>
      </c>
      <c r="H108" s="770">
        <v>254</v>
      </c>
      <c r="I108" s="771">
        <v>0.5</v>
      </c>
      <c r="J108" s="770" t="s">
        <v>496</v>
      </c>
      <c r="K108" s="770" t="s">
        <v>518</v>
      </c>
      <c r="L108" s="770" t="s">
        <v>2732</v>
      </c>
      <c r="M108" s="772">
        <v>111355</v>
      </c>
      <c r="N108" s="772">
        <v>876</v>
      </c>
      <c r="S108">
        <v>415</v>
      </c>
      <c r="T108">
        <f t="shared" si="3"/>
        <v>235</v>
      </c>
      <c r="U108">
        <f t="shared" si="4"/>
        <v>300</v>
      </c>
      <c r="V108" s="131">
        <f t="shared" si="5"/>
        <v>0.78333333333333333</v>
      </c>
    </row>
    <row r="109" spans="2:22" ht="37.5">
      <c r="B109" s="774">
        <v>3</v>
      </c>
      <c r="C109" s="770" t="s">
        <v>305</v>
      </c>
      <c r="D109" s="770" t="s">
        <v>1708</v>
      </c>
      <c r="E109" s="770" t="s">
        <v>615</v>
      </c>
      <c r="F109" s="770" t="s">
        <v>616</v>
      </c>
      <c r="G109" s="770">
        <v>100</v>
      </c>
      <c r="H109" s="770">
        <v>226</v>
      </c>
      <c r="I109" s="771">
        <v>0.442</v>
      </c>
      <c r="J109" s="770" t="s">
        <v>496</v>
      </c>
      <c r="K109" s="770" t="s">
        <v>624</v>
      </c>
      <c r="L109" s="770" t="s">
        <v>2734</v>
      </c>
      <c r="M109" s="772">
        <v>73113</v>
      </c>
      <c r="N109" s="772">
        <v>731</v>
      </c>
      <c r="S109">
        <v>417</v>
      </c>
      <c r="T109">
        <f t="shared" si="3"/>
        <v>198</v>
      </c>
      <c r="U109">
        <f t="shared" si="4"/>
        <v>303</v>
      </c>
      <c r="V109" s="131">
        <f t="shared" si="5"/>
        <v>0.65346534653465349</v>
      </c>
    </row>
    <row r="110" spans="2:22" ht="50">
      <c r="B110" s="774">
        <v>3</v>
      </c>
      <c r="C110" s="770" t="s">
        <v>305</v>
      </c>
      <c r="D110" s="770" t="s">
        <v>1709</v>
      </c>
      <c r="E110" s="770" t="s">
        <v>617</v>
      </c>
      <c r="F110" s="770" t="s">
        <v>618</v>
      </c>
      <c r="G110" s="770">
        <v>188</v>
      </c>
      <c r="H110" s="770">
        <v>410</v>
      </c>
      <c r="I110" s="771">
        <v>0.45900000000000002</v>
      </c>
      <c r="J110" s="770" t="s">
        <v>496</v>
      </c>
      <c r="K110" s="770" t="s">
        <v>624</v>
      </c>
      <c r="L110" s="770" t="s">
        <v>2734</v>
      </c>
      <c r="M110" s="772">
        <v>138853</v>
      </c>
      <c r="N110" s="772">
        <v>738</v>
      </c>
      <c r="S110">
        <v>418</v>
      </c>
      <c r="T110">
        <f t="shared" si="3"/>
        <v>230</v>
      </c>
      <c r="U110">
        <f t="shared" si="4"/>
        <v>306</v>
      </c>
      <c r="V110" s="131">
        <f t="shared" si="5"/>
        <v>0.75163398692810457</v>
      </c>
    </row>
    <row r="111" spans="2:22" ht="50">
      <c r="B111" s="774">
        <v>3</v>
      </c>
      <c r="C111" s="770" t="s">
        <v>305</v>
      </c>
      <c r="D111" s="770" t="s">
        <v>1711</v>
      </c>
      <c r="E111" s="770" t="s">
        <v>619</v>
      </c>
      <c r="F111" s="770" t="s">
        <v>512</v>
      </c>
      <c r="G111" s="770">
        <v>184</v>
      </c>
      <c r="H111" s="770">
        <v>516</v>
      </c>
      <c r="I111" s="771">
        <v>0.35699999999999998</v>
      </c>
      <c r="J111" s="770" t="s">
        <v>496</v>
      </c>
      <c r="K111" s="770" t="s">
        <v>518</v>
      </c>
      <c r="L111" s="770" t="s">
        <v>2734</v>
      </c>
      <c r="M111" s="772">
        <v>132791</v>
      </c>
      <c r="N111" s="772">
        <v>721</v>
      </c>
      <c r="S111">
        <v>421</v>
      </c>
      <c r="T111">
        <f t="shared" si="3"/>
        <v>350</v>
      </c>
      <c r="U111">
        <f t="shared" si="4"/>
        <v>1040</v>
      </c>
      <c r="V111" s="131">
        <f t="shared" si="5"/>
        <v>0.33653846153846156</v>
      </c>
    </row>
    <row r="112" spans="2:22" ht="25">
      <c r="B112" s="774">
        <v>3</v>
      </c>
      <c r="C112" s="770" t="s">
        <v>305</v>
      </c>
      <c r="D112" s="770" t="s">
        <v>1713</v>
      </c>
      <c r="E112" s="770" t="s">
        <v>620</v>
      </c>
      <c r="F112" s="770" t="s">
        <v>557</v>
      </c>
      <c r="G112" s="770">
        <v>53</v>
      </c>
      <c r="H112" s="770">
        <v>115</v>
      </c>
      <c r="I112" s="771">
        <v>0.46100000000000002</v>
      </c>
      <c r="J112" s="770" t="s">
        <v>496</v>
      </c>
      <c r="K112" s="770" t="s">
        <v>497</v>
      </c>
      <c r="L112" s="770" t="s">
        <v>2732</v>
      </c>
      <c r="M112" s="772">
        <v>0</v>
      </c>
      <c r="N112" s="772">
        <v>0</v>
      </c>
      <c r="S112">
        <v>422</v>
      </c>
      <c r="T112">
        <f t="shared" si="3"/>
        <v>159</v>
      </c>
      <c r="U112">
        <f t="shared" si="4"/>
        <v>265</v>
      </c>
      <c r="V112" s="131">
        <f t="shared" si="5"/>
        <v>0.6</v>
      </c>
    </row>
    <row r="113" spans="2:22">
      <c r="B113" s="773"/>
      <c r="C113" s="773"/>
      <c r="D113" s="773"/>
      <c r="E113" s="773"/>
      <c r="F113" s="773"/>
      <c r="G113" s="773"/>
      <c r="H113" s="773"/>
      <c r="I113" s="773"/>
      <c r="J113" s="773"/>
      <c r="K113" s="773"/>
      <c r="L113" s="773"/>
      <c r="M113" s="773"/>
      <c r="N113" s="773"/>
      <c r="S113">
        <v>431</v>
      </c>
      <c r="T113">
        <f t="shared" si="3"/>
        <v>964</v>
      </c>
      <c r="U113">
        <f t="shared" si="4"/>
        <v>1614</v>
      </c>
      <c r="V113" s="131">
        <f t="shared" si="5"/>
        <v>0.59727385377942999</v>
      </c>
    </row>
    <row r="114" spans="2:22" ht="50">
      <c r="B114" s="774">
        <v>11</v>
      </c>
      <c r="C114" s="770" t="s">
        <v>306</v>
      </c>
      <c r="D114" s="770" t="s">
        <v>1718</v>
      </c>
      <c r="E114" s="770" t="s">
        <v>622</v>
      </c>
      <c r="F114" s="770" t="s">
        <v>623</v>
      </c>
      <c r="G114" s="770">
        <v>103</v>
      </c>
      <c r="H114" s="770">
        <v>158</v>
      </c>
      <c r="I114" s="771">
        <v>0.65200000000000002</v>
      </c>
      <c r="J114" s="770" t="s">
        <v>496</v>
      </c>
      <c r="K114" s="770" t="s">
        <v>624</v>
      </c>
      <c r="L114" s="770" t="s">
        <v>2734</v>
      </c>
      <c r="M114" s="772">
        <v>51038</v>
      </c>
      <c r="N114" s="772">
        <v>495</v>
      </c>
      <c r="S114">
        <v>432</v>
      </c>
      <c r="T114">
        <f t="shared" si="3"/>
        <v>60</v>
      </c>
      <c r="U114">
        <f t="shared" si="4"/>
        <v>119</v>
      </c>
      <c r="V114" s="131">
        <f t="shared" si="5"/>
        <v>0.50420168067226889</v>
      </c>
    </row>
    <row r="115" spans="2:22">
      <c r="B115" s="773"/>
      <c r="C115" s="773"/>
      <c r="D115" s="773"/>
      <c r="E115" s="773"/>
      <c r="F115" s="773"/>
      <c r="G115" s="773"/>
      <c r="H115" s="773"/>
      <c r="I115" s="773"/>
      <c r="J115" s="773"/>
      <c r="K115" s="773"/>
      <c r="L115" s="773"/>
      <c r="M115" s="773"/>
      <c r="N115" s="773"/>
      <c r="S115">
        <v>433</v>
      </c>
      <c r="T115">
        <f t="shared" si="3"/>
        <v>75</v>
      </c>
      <c r="U115">
        <f t="shared" si="4"/>
        <v>123</v>
      </c>
      <c r="V115" s="131">
        <f t="shared" si="5"/>
        <v>0.6097560975609756</v>
      </c>
    </row>
    <row r="116" spans="2:22" ht="25">
      <c r="B116" s="774">
        <v>13</v>
      </c>
      <c r="C116" s="770" t="s">
        <v>307</v>
      </c>
      <c r="D116" s="770" t="s">
        <v>1720</v>
      </c>
      <c r="E116" s="770" t="s">
        <v>625</v>
      </c>
      <c r="F116" s="770" t="s">
        <v>546</v>
      </c>
      <c r="G116" s="770">
        <v>50</v>
      </c>
      <c r="H116" s="770">
        <v>102</v>
      </c>
      <c r="I116" s="771">
        <v>0.49</v>
      </c>
      <c r="J116" s="770" t="s">
        <v>496</v>
      </c>
      <c r="K116" s="770" t="s">
        <v>497</v>
      </c>
      <c r="L116" s="770" t="s">
        <v>2732</v>
      </c>
      <c r="M116" s="772">
        <v>0</v>
      </c>
      <c r="N116" s="772">
        <v>0</v>
      </c>
      <c r="S116">
        <v>451</v>
      </c>
      <c r="T116">
        <f t="shared" si="3"/>
        <v>146</v>
      </c>
      <c r="U116">
        <f t="shared" si="4"/>
        <v>404</v>
      </c>
      <c r="V116" s="131">
        <f t="shared" si="5"/>
        <v>0.36138613861386137</v>
      </c>
    </row>
    <row r="117" spans="2:22" ht="37.5">
      <c r="B117" s="774">
        <v>13</v>
      </c>
      <c r="C117" s="770" t="s">
        <v>307</v>
      </c>
      <c r="D117" s="770" t="s">
        <v>1721</v>
      </c>
      <c r="E117" s="770" t="s">
        <v>626</v>
      </c>
      <c r="F117" s="770" t="s">
        <v>512</v>
      </c>
      <c r="G117" s="770">
        <v>89</v>
      </c>
      <c r="H117" s="770">
        <v>155</v>
      </c>
      <c r="I117" s="771">
        <v>0.57399999999999995</v>
      </c>
      <c r="J117" s="770" t="s">
        <v>496</v>
      </c>
      <c r="K117" s="770" t="s">
        <v>624</v>
      </c>
      <c r="L117" s="770" t="s">
        <v>2734</v>
      </c>
      <c r="M117" s="772">
        <v>52481</v>
      </c>
      <c r="N117" s="772">
        <v>589</v>
      </c>
      <c r="S117">
        <v>452</v>
      </c>
      <c r="T117">
        <f t="shared" si="3"/>
        <v>1110</v>
      </c>
      <c r="U117">
        <f t="shared" si="4"/>
        <v>2069</v>
      </c>
      <c r="V117" s="131">
        <f t="shared" si="5"/>
        <v>0.53649105848235867</v>
      </c>
    </row>
    <row r="118" spans="2:22">
      <c r="B118" s="773"/>
      <c r="C118" s="773"/>
      <c r="D118" s="773"/>
      <c r="E118" s="773"/>
      <c r="F118" s="773"/>
      <c r="G118" s="773"/>
      <c r="H118" s="773"/>
      <c r="I118" s="773"/>
      <c r="J118" s="773"/>
      <c r="K118" s="773"/>
      <c r="L118" s="773"/>
      <c r="M118" s="773"/>
      <c r="N118" s="773"/>
      <c r="S118">
        <v>454</v>
      </c>
      <c r="T118">
        <f t="shared" si="3"/>
        <v>87</v>
      </c>
      <c r="U118">
        <f t="shared" si="4"/>
        <v>248</v>
      </c>
      <c r="V118" s="131">
        <f t="shared" si="5"/>
        <v>0.35080645161290325</v>
      </c>
    </row>
    <row r="119" spans="2:22" ht="37.5">
      <c r="B119" s="774">
        <v>21</v>
      </c>
      <c r="C119" s="770" t="s">
        <v>308</v>
      </c>
      <c r="D119" s="770" t="s">
        <v>1723</v>
      </c>
      <c r="E119" s="770" t="s">
        <v>627</v>
      </c>
      <c r="F119" s="770" t="s">
        <v>596</v>
      </c>
      <c r="G119" s="770">
        <v>91</v>
      </c>
      <c r="H119" s="770">
        <v>205</v>
      </c>
      <c r="I119" s="771">
        <v>0.44400000000000001</v>
      </c>
      <c r="J119" s="770" t="s">
        <v>496</v>
      </c>
      <c r="K119" s="770" t="s">
        <v>624</v>
      </c>
      <c r="L119" s="770" t="s">
        <v>2732</v>
      </c>
      <c r="M119" s="772">
        <v>32933</v>
      </c>
      <c r="N119" s="772">
        <v>361</v>
      </c>
      <c r="S119">
        <v>455</v>
      </c>
      <c r="T119">
        <f t="shared" si="3"/>
        <v>0</v>
      </c>
      <c r="U119">
        <f t="shared" si="4"/>
        <v>0</v>
      </c>
      <c r="V119" s="131">
        <f t="shared" si="5"/>
        <v>0</v>
      </c>
    </row>
    <row r="120" spans="2:22" ht="37.5">
      <c r="B120" s="774">
        <v>21</v>
      </c>
      <c r="C120" s="770" t="s">
        <v>308</v>
      </c>
      <c r="D120" s="770" t="s">
        <v>1724</v>
      </c>
      <c r="E120" s="770" t="s">
        <v>628</v>
      </c>
      <c r="F120" s="770" t="s">
        <v>546</v>
      </c>
      <c r="G120" s="770">
        <v>168</v>
      </c>
      <c r="H120" s="770">
        <v>332</v>
      </c>
      <c r="I120" s="771">
        <v>0.50600000000000001</v>
      </c>
      <c r="J120" s="770" t="s">
        <v>496</v>
      </c>
      <c r="K120" s="770" t="s">
        <v>497</v>
      </c>
      <c r="L120" s="770" t="s">
        <v>2732</v>
      </c>
      <c r="M120" s="772">
        <v>0</v>
      </c>
      <c r="N120" s="772">
        <v>0</v>
      </c>
      <c r="S120">
        <v>456</v>
      </c>
      <c r="T120">
        <f t="shared" si="3"/>
        <v>60</v>
      </c>
      <c r="U120">
        <f t="shared" si="4"/>
        <v>270</v>
      </c>
      <c r="V120" s="131">
        <f t="shared" si="5"/>
        <v>0.22222222222222221</v>
      </c>
    </row>
    <row r="121" spans="2:22" ht="37.5">
      <c r="B121" s="774">
        <v>21</v>
      </c>
      <c r="C121" s="770" t="s">
        <v>308</v>
      </c>
      <c r="D121" s="770" t="s">
        <v>1725</v>
      </c>
      <c r="E121" s="770" t="s">
        <v>629</v>
      </c>
      <c r="F121" s="770" t="s">
        <v>512</v>
      </c>
      <c r="G121" s="770">
        <v>23</v>
      </c>
      <c r="H121" s="770">
        <v>56</v>
      </c>
      <c r="I121" s="771">
        <v>0.41099999999999998</v>
      </c>
      <c r="J121" s="770" t="s">
        <v>496</v>
      </c>
      <c r="K121" s="770" t="s">
        <v>624</v>
      </c>
      <c r="L121" s="770" t="s">
        <v>2732</v>
      </c>
      <c r="M121" s="772">
        <v>8324</v>
      </c>
      <c r="N121" s="772">
        <v>361</v>
      </c>
      <c r="S121">
        <v>457</v>
      </c>
      <c r="T121">
        <f t="shared" si="3"/>
        <v>689</v>
      </c>
      <c r="U121">
        <f t="shared" si="4"/>
        <v>1307</v>
      </c>
      <c r="V121" s="131">
        <f t="shared" si="5"/>
        <v>0.52716143840856922</v>
      </c>
    </row>
    <row r="122" spans="2:22" ht="37.5">
      <c r="B122" s="774">
        <v>21</v>
      </c>
      <c r="C122" s="770" t="s">
        <v>308</v>
      </c>
      <c r="D122" s="770" t="s">
        <v>1726</v>
      </c>
      <c r="E122" s="770" t="s">
        <v>630</v>
      </c>
      <c r="F122" s="770" t="s">
        <v>512</v>
      </c>
      <c r="G122" s="770">
        <v>70</v>
      </c>
      <c r="H122" s="770">
        <v>119</v>
      </c>
      <c r="I122" s="771">
        <v>0.58799999999999997</v>
      </c>
      <c r="J122" s="770" t="s">
        <v>496</v>
      </c>
      <c r="K122" s="770" t="s">
        <v>624</v>
      </c>
      <c r="L122" s="770" t="s">
        <v>2734</v>
      </c>
      <c r="M122" s="772">
        <v>25334</v>
      </c>
      <c r="N122" s="772">
        <v>361</v>
      </c>
      <c r="S122">
        <v>458</v>
      </c>
      <c r="T122">
        <f t="shared" si="3"/>
        <v>150</v>
      </c>
      <c r="U122">
        <f t="shared" si="4"/>
        <v>417</v>
      </c>
      <c r="V122" s="131">
        <f t="shared" si="5"/>
        <v>0.35971223021582732</v>
      </c>
    </row>
    <row r="123" spans="2:22" ht="37.5">
      <c r="B123" s="774">
        <v>21</v>
      </c>
      <c r="C123" s="770" t="s">
        <v>308</v>
      </c>
      <c r="D123" s="770" t="s">
        <v>1727</v>
      </c>
      <c r="E123" s="770" t="s">
        <v>631</v>
      </c>
      <c r="F123" s="770" t="s">
        <v>512</v>
      </c>
      <c r="G123" s="770">
        <v>129</v>
      </c>
      <c r="H123" s="770">
        <v>264</v>
      </c>
      <c r="I123" s="771">
        <v>0.48899999999999999</v>
      </c>
      <c r="J123" s="770" t="s">
        <v>496</v>
      </c>
      <c r="K123" s="770" t="s">
        <v>624</v>
      </c>
      <c r="L123" s="770" t="s">
        <v>2732</v>
      </c>
      <c r="M123" s="772">
        <v>46686</v>
      </c>
      <c r="N123" s="772">
        <v>361</v>
      </c>
      <c r="S123">
        <v>460</v>
      </c>
      <c r="T123">
        <f t="shared" si="3"/>
        <v>179</v>
      </c>
      <c r="U123">
        <f t="shared" si="4"/>
        <v>488</v>
      </c>
      <c r="V123" s="131">
        <f t="shared" si="5"/>
        <v>0.36680327868852458</v>
      </c>
    </row>
    <row r="124" spans="2:22" ht="50">
      <c r="B124" s="774">
        <v>21</v>
      </c>
      <c r="C124" s="770" t="s">
        <v>308</v>
      </c>
      <c r="D124" s="770" t="s">
        <v>1728</v>
      </c>
      <c r="E124" s="770" t="s">
        <v>533</v>
      </c>
      <c r="F124" s="770" t="s">
        <v>512</v>
      </c>
      <c r="G124" s="770">
        <v>126</v>
      </c>
      <c r="H124" s="770">
        <v>280</v>
      </c>
      <c r="I124" s="771">
        <v>0.45</v>
      </c>
      <c r="J124" s="770" t="s">
        <v>496</v>
      </c>
      <c r="K124" s="770" t="s">
        <v>624</v>
      </c>
      <c r="L124" s="770" t="s">
        <v>2732</v>
      </c>
      <c r="M124" s="772">
        <v>45600</v>
      </c>
      <c r="N124" s="772">
        <v>361</v>
      </c>
      <c r="S124">
        <v>461</v>
      </c>
      <c r="T124">
        <f t="shared" si="3"/>
        <v>168</v>
      </c>
      <c r="U124">
        <f t="shared" si="4"/>
        <v>384</v>
      </c>
      <c r="V124" s="131">
        <f t="shared" si="5"/>
        <v>0.4375</v>
      </c>
    </row>
    <row r="125" spans="2:22">
      <c r="B125" s="773"/>
      <c r="C125" s="773"/>
      <c r="D125" s="773"/>
      <c r="E125" s="773"/>
      <c r="F125" s="773"/>
      <c r="G125" s="773"/>
      <c r="H125" s="773"/>
      <c r="I125" s="773"/>
      <c r="J125" s="773"/>
      <c r="K125" s="773"/>
      <c r="L125" s="773"/>
      <c r="M125" s="773"/>
      <c r="N125" s="773"/>
      <c r="S125">
        <v>462</v>
      </c>
      <c r="T125">
        <f t="shared" si="3"/>
        <v>192</v>
      </c>
      <c r="U125">
        <f t="shared" si="4"/>
        <v>680</v>
      </c>
      <c r="V125" s="131">
        <f t="shared" si="5"/>
        <v>0.28235294117647058</v>
      </c>
    </row>
    <row r="126" spans="2:22" ht="37.5">
      <c r="B126" s="774">
        <v>25</v>
      </c>
      <c r="C126" s="770" t="s">
        <v>309</v>
      </c>
      <c r="D126" s="770" t="s">
        <v>1730</v>
      </c>
      <c r="E126" s="770" t="s">
        <v>632</v>
      </c>
      <c r="F126" s="770" t="s">
        <v>554</v>
      </c>
      <c r="G126" s="770">
        <v>268</v>
      </c>
      <c r="H126" s="770">
        <v>735</v>
      </c>
      <c r="I126" s="771">
        <v>0.36499999999999999</v>
      </c>
      <c r="J126" s="770" t="s">
        <v>496</v>
      </c>
      <c r="K126" s="770" t="s">
        <v>497</v>
      </c>
      <c r="L126" s="770" t="s">
        <v>2732</v>
      </c>
      <c r="M126" s="772">
        <v>0</v>
      </c>
      <c r="N126" s="772">
        <v>0</v>
      </c>
      <c r="S126">
        <v>463</v>
      </c>
      <c r="T126">
        <f t="shared" si="3"/>
        <v>287</v>
      </c>
      <c r="U126">
        <f t="shared" si="4"/>
        <v>669</v>
      </c>
      <c r="V126" s="131">
        <f t="shared" si="5"/>
        <v>0.42899850523168909</v>
      </c>
    </row>
    <row r="127" spans="2:22" ht="37.5">
      <c r="B127" s="774">
        <v>25</v>
      </c>
      <c r="C127" s="770" t="s">
        <v>309</v>
      </c>
      <c r="D127" s="770" t="s">
        <v>1731</v>
      </c>
      <c r="E127" s="770" t="s">
        <v>633</v>
      </c>
      <c r="F127" s="770" t="s">
        <v>554</v>
      </c>
      <c r="G127" s="770">
        <v>364</v>
      </c>
      <c r="H127" s="770">
        <v>730</v>
      </c>
      <c r="I127" s="771">
        <v>0.499</v>
      </c>
      <c r="J127" s="770" t="s">
        <v>496</v>
      </c>
      <c r="K127" s="770" t="s">
        <v>497</v>
      </c>
      <c r="L127" s="770" t="s">
        <v>2734</v>
      </c>
      <c r="M127" s="772">
        <v>0</v>
      </c>
      <c r="N127" s="772">
        <v>0</v>
      </c>
      <c r="S127">
        <v>464</v>
      </c>
      <c r="T127">
        <f t="shared" si="3"/>
        <v>134</v>
      </c>
      <c r="U127">
        <f t="shared" si="4"/>
        <v>435</v>
      </c>
      <c r="V127" s="131">
        <f t="shared" si="5"/>
        <v>0.30804597701149428</v>
      </c>
    </row>
    <row r="128" spans="2:22" ht="25">
      <c r="B128" s="774">
        <v>25</v>
      </c>
      <c r="C128" s="770" t="s">
        <v>309</v>
      </c>
      <c r="D128" s="770" t="s">
        <v>1732</v>
      </c>
      <c r="E128" s="770" t="s">
        <v>634</v>
      </c>
      <c r="F128" s="770" t="s">
        <v>554</v>
      </c>
      <c r="G128" s="770">
        <v>310</v>
      </c>
      <c r="H128" s="770">
        <v>569</v>
      </c>
      <c r="I128" s="771">
        <v>0.54500000000000004</v>
      </c>
      <c r="J128" s="770" t="s">
        <v>496</v>
      </c>
      <c r="K128" s="770" t="s">
        <v>497</v>
      </c>
      <c r="L128" s="770" t="s">
        <v>2732</v>
      </c>
      <c r="M128" s="772">
        <v>0</v>
      </c>
      <c r="N128" s="772">
        <v>0</v>
      </c>
      <c r="S128">
        <v>465</v>
      </c>
      <c r="T128">
        <f t="shared" si="3"/>
        <v>140</v>
      </c>
      <c r="U128">
        <f t="shared" si="4"/>
        <v>243</v>
      </c>
      <c r="V128" s="131">
        <f t="shared" si="5"/>
        <v>0.5761316872427984</v>
      </c>
    </row>
    <row r="129" spans="2:22" ht="37.5">
      <c r="B129" s="774">
        <v>25</v>
      </c>
      <c r="C129" s="770" t="s">
        <v>309</v>
      </c>
      <c r="D129" s="770" t="s">
        <v>1733</v>
      </c>
      <c r="E129" s="770" t="s">
        <v>635</v>
      </c>
      <c r="F129" s="770" t="s">
        <v>554</v>
      </c>
      <c r="G129" s="770">
        <v>389</v>
      </c>
      <c r="H129" s="770">
        <v>663</v>
      </c>
      <c r="I129" s="771">
        <v>0.58699999999999997</v>
      </c>
      <c r="J129" s="770" t="s">
        <v>496</v>
      </c>
      <c r="K129" s="770" t="s">
        <v>497</v>
      </c>
      <c r="L129" s="770" t="s">
        <v>2732</v>
      </c>
      <c r="M129" s="772">
        <v>0</v>
      </c>
      <c r="N129" s="772">
        <v>0</v>
      </c>
      <c r="S129">
        <v>466</v>
      </c>
      <c r="T129">
        <f t="shared" si="3"/>
        <v>196</v>
      </c>
      <c r="U129">
        <f t="shared" si="4"/>
        <v>418</v>
      </c>
      <c r="V129" s="131">
        <f t="shared" si="5"/>
        <v>0.46889952153110048</v>
      </c>
    </row>
    <row r="130" spans="2:22" ht="25">
      <c r="B130" s="774">
        <v>25</v>
      </c>
      <c r="C130" s="770" t="s">
        <v>309</v>
      </c>
      <c r="D130" s="770" t="s">
        <v>1734</v>
      </c>
      <c r="E130" s="770" t="s">
        <v>636</v>
      </c>
      <c r="F130" s="770" t="s">
        <v>557</v>
      </c>
      <c r="G130" s="770">
        <v>470</v>
      </c>
      <c r="H130" s="770">
        <v>986</v>
      </c>
      <c r="I130" s="771">
        <v>0.47699999999999998</v>
      </c>
      <c r="J130" s="770" t="s">
        <v>496</v>
      </c>
      <c r="K130" s="770" t="s">
        <v>497</v>
      </c>
      <c r="L130" s="770" t="s">
        <v>2734</v>
      </c>
      <c r="M130" s="772">
        <v>0</v>
      </c>
      <c r="N130" s="772">
        <v>0</v>
      </c>
      <c r="S130">
        <v>468</v>
      </c>
      <c r="T130">
        <f t="shared" si="3"/>
        <v>89</v>
      </c>
      <c r="U130">
        <f t="shared" si="4"/>
        <v>230</v>
      </c>
      <c r="V130" s="131">
        <f t="shared" si="5"/>
        <v>0.38695652173913042</v>
      </c>
    </row>
    <row r="131" spans="2:22" ht="25">
      <c r="B131" s="774">
        <v>25</v>
      </c>
      <c r="C131" s="770" t="s">
        <v>309</v>
      </c>
      <c r="D131" s="770" t="s">
        <v>1735</v>
      </c>
      <c r="E131" s="770" t="s">
        <v>637</v>
      </c>
      <c r="F131" s="770" t="s">
        <v>557</v>
      </c>
      <c r="G131" s="770">
        <v>459</v>
      </c>
      <c r="H131" s="770">
        <v>1465</v>
      </c>
      <c r="I131" s="771">
        <v>0.313</v>
      </c>
      <c r="J131" s="770" t="s">
        <v>501</v>
      </c>
      <c r="K131" s="770" t="s">
        <v>497</v>
      </c>
      <c r="L131" s="770" t="s">
        <v>2734</v>
      </c>
      <c r="M131" s="772">
        <v>0</v>
      </c>
      <c r="N131" s="772">
        <v>0</v>
      </c>
      <c r="S131">
        <v>472</v>
      </c>
      <c r="T131">
        <f t="shared" si="3"/>
        <v>54</v>
      </c>
      <c r="U131">
        <f t="shared" si="4"/>
        <v>175</v>
      </c>
      <c r="V131" s="131">
        <f t="shared" si="5"/>
        <v>0.30857142857142855</v>
      </c>
    </row>
    <row r="132" spans="2:22" ht="37.5">
      <c r="B132" s="774">
        <v>25</v>
      </c>
      <c r="C132" s="770" t="s">
        <v>309</v>
      </c>
      <c r="D132" s="770" t="s">
        <v>1736</v>
      </c>
      <c r="E132" s="770" t="s">
        <v>638</v>
      </c>
      <c r="F132" s="770" t="s">
        <v>512</v>
      </c>
      <c r="G132" s="770">
        <v>103</v>
      </c>
      <c r="H132" s="770">
        <v>305</v>
      </c>
      <c r="I132" s="771">
        <v>0.33800000000000002</v>
      </c>
      <c r="J132" s="770" t="s">
        <v>496</v>
      </c>
      <c r="K132" s="770" t="s">
        <v>518</v>
      </c>
      <c r="L132" s="770" t="s">
        <v>2732</v>
      </c>
      <c r="M132" s="772">
        <v>52234</v>
      </c>
      <c r="N132" s="772">
        <v>507</v>
      </c>
      <c r="S132">
        <v>473</v>
      </c>
      <c r="T132">
        <f t="shared" si="3"/>
        <v>51</v>
      </c>
      <c r="U132">
        <f t="shared" si="4"/>
        <v>349</v>
      </c>
      <c r="V132" s="131">
        <f t="shared" si="5"/>
        <v>0.14613180515759314</v>
      </c>
    </row>
    <row r="133" spans="2:22" ht="37.5">
      <c r="B133" s="774">
        <v>25</v>
      </c>
      <c r="C133" s="770" t="s">
        <v>309</v>
      </c>
      <c r="D133" s="770" t="s">
        <v>1737</v>
      </c>
      <c r="E133" s="770" t="s">
        <v>639</v>
      </c>
      <c r="F133" s="770" t="s">
        <v>512</v>
      </c>
      <c r="G133" s="770">
        <v>242</v>
      </c>
      <c r="H133" s="770">
        <v>353</v>
      </c>
      <c r="I133" s="771">
        <v>0.68600000000000005</v>
      </c>
      <c r="J133" s="770" t="s">
        <v>496</v>
      </c>
      <c r="K133" s="770" t="s">
        <v>518</v>
      </c>
      <c r="L133" s="770" t="s">
        <v>2734</v>
      </c>
      <c r="M133" s="772">
        <v>136500</v>
      </c>
      <c r="N133" s="772">
        <v>564</v>
      </c>
      <c r="S133">
        <v>474</v>
      </c>
      <c r="T133">
        <f t="shared" si="3"/>
        <v>104</v>
      </c>
      <c r="U133">
        <f t="shared" si="4"/>
        <v>191</v>
      </c>
      <c r="V133" s="131">
        <f t="shared" si="5"/>
        <v>0.54450261780104714</v>
      </c>
    </row>
    <row r="134" spans="2:22" ht="37.5">
      <c r="B134" s="774">
        <v>25</v>
      </c>
      <c r="C134" s="770" t="s">
        <v>309</v>
      </c>
      <c r="D134" s="770" t="s">
        <v>1738</v>
      </c>
      <c r="E134" s="770" t="s">
        <v>640</v>
      </c>
      <c r="F134" s="770" t="s">
        <v>512</v>
      </c>
      <c r="G134" s="770">
        <v>310</v>
      </c>
      <c r="H134" s="770">
        <v>593</v>
      </c>
      <c r="I134" s="771">
        <v>0.52300000000000002</v>
      </c>
      <c r="J134" s="770" t="s">
        <v>496</v>
      </c>
      <c r="K134" s="770" t="s">
        <v>518</v>
      </c>
      <c r="L134" s="770" t="s">
        <v>2732</v>
      </c>
      <c r="M134" s="772">
        <v>171715</v>
      </c>
      <c r="N134" s="772">
        <v>553</v>
      </c>
      <c r="S134">
        <v>475</v>
      </c>
      <c r="T134">
        <f t="shared" ref="T134:T147" si="6">SUMIF($B:$B, $S134, G:G)</f>
        <v>180</v>
      </c>
      <c r="U134">
        <f t="shared" ref="U134:U147" si="7">SUMIF($B:$B, $S134, H:H)</f>
        <v>1020</v>
      </c>
      <c r="V134" s="131">
        <f t="shared" ref="V134:V147" si="8">IF(U134&gt;0, T134/U134, 0)</f>
        <v>0.17647058823529413</v>
      </c>
    </row>
    <row r="135" spans="2:22" ht="37.5">
      <c r="B135" s="774">
        <v>25</v>
      </c>
      <c r="C135" s="770" t="s">
        <v>309</v>
      </c>
      <c r="D135" s="770" t="s">
        <v>1739</v>
      </c>
      <c r="E135" s="770" t="s">
        <v>641</v>
      </c>
      <c r="F135" s="770" t="s">
        <v>564</v>
      </c>
      <c r="G135" s="770">
        <v>250</v>
      </c>
      <c r="H135" s="770">
        <v>521</v>
      </c>
      <c r="I135" s="771">
        <v>0.48</v>
      </c>
      <c r="J135" s="770" t="s">
        <v>496</v>
      </c>
      <c r="K135" s="770" t="s">
        <v>518</v>
      </c>
      <c r="L135" s="770" t="s">
        <v>2732</v>
      </c>
      <c r="M135" s="772">
        <v>134250</v>
      </c>
      <c r="N135" s="772">
        <v>537</v>
      </c>
      <c r="S135">
        <v>476</v>
      </c>
      <c r="T135">
        <f t="shared" si="6"/>
        <v>282</v>
      </c>
      <c r="U135">
        <f t="shared" si="7"/>
        <v>500</v>
      </c>
      <c r="V135" s="131">
        <f t="shared" si="8"/>
        <v>0.56399999999999995</v>
      </c>
    </row>
    <row r="136" spans="2:22" ht="37.5">
      <c r="B136" s="774">
        <v>25</v>
      </c>
      <c r="C136" s="770" t="s">
        <v>309</v>
      </c>
      <c r="D136" s="770" t="s">
        <v>1740</v>
      </c>
      <c r="E136" s="770" t="s">
        <v>642</v>
      </c>
      <c r="F136" s="770" t="s">
        <v>512</v>
      </c>
      <c r="G136" s="770">
        <v>128</v>
      </c>
      <c r="H136" s="770">
        <v>473</v>
      </c>
      <c r="I136" s="771">
        <v>0.27100000000000002</v>
      </c>
      <c r="J136" s="770" t="s">
        <v>501</v>
      </c>
      <c r="K136" s="770" t="s">
        <v>497</v>
      </c>
      <c r="L136" s="770" t="s">
        <v>2732</v>
      </c>
      <c r="M136" s="772">
        <v>0</v>
      </c>
      <c r="N136" s="772">
        <v>0</v>
      </c>
      <c r="S136">
        <v>477</v>
      </c>
      <c r="T136">
        <f t="shared" si="6"/>
        <v>273</v>
      </c>
      <c r="U136">
        <f t="shared" si="7"/>
        <v>568</v>
      </c>
      <c r="V136" s="131">
        <f t="shared" si="8"/>
        <v>0.48063380281690143</v>
      </c>
    </row>
    <row r="137" spans="2:22" ht="25">
      <c r="B137" s="774">
        <v>25</v>
      </c>
      <c r="C137" s="770" t="s">
        <v>309</v>
      </c>
      <c r="D137" s="770" t="s">
        <v>1741</v>
      </c>
      <c r="E137" s="770" t="s">
        <v>643</v>
      </c>
      <c r="F137" s="770" t="s">
        <v>564</v>
      </c>
      <c r="G137" s="770">
        <v>269</v>
      </c>
      <c r="H137" s="770">
        <v>493</v>
      </c>
      <c r="I137" s="771">
        <v>0.54600000000000004</v>
      </c>
      <c r="J137" s="770" t="s">
        <v>496</v>
      </c>
      <c r="K137" s="770" t="s">
        <v>518</v>
      </c>
      <c r="L137" s="770" t="s">
        <v>2732</v>
      </c>
      <c r="M137" s="772">
        <v>151547</v>
      </c>
      <c r="N137" s="772">
        <v>563</v>
      </c>
      <c r="S137">
        <v>478</v>
      </c>
      <c r="T137">
        <f t="shared" si="6"/>
        <v>113</v>
      </c>
      <c r="U137">
        <f t="shared" si="7"/>
        <v>295</v>
      </c>
      <c r="V137" s="131">
        <f t="shared" si="8"/>
        <v>0.38305084745762713</v>
      </c>
    </row>
    <row r="138" spans="2:22" ht="37.5">
      <c r="B138" s="774">
        <v>25</v>
      </c>
      <c r="C138" s="770" t="s">
        <v>309</v>
      </c>
      <c r="D138" s="770" t="s">
        <v>1742</v>
      </c>
      <c r="E138" s="770" t="s">
        <v>519</v>
      </c>
      <c r="F138" s="770" t="s">
        <v>512</v>
      </c>
      <c r="G138" s="770">
        <v>149</v>
      </c>
      <c r="H138" s="770">
        <v>219</v>
      </c>
      <c r="I138" s="771">
        <v>0.68</v>
      </c>
      <c r="J138" s="770" t="s">
        <v>496</v>
      </c>
      <c r="K138" s="770" t="s">
        <v>518</v>
      </c>
      <c r="L138" s="770" t="s">
        <v>2732</v>
      </c>
      <c r="M138" s="772">
        <v>83887</v>
      </c>
      <c r="N138" s="772">
        <v>563</v>
      </c>
      <c r="S138">
        <v>479</v>
      </c>
      <c r="T138">
        <f t="shared" si="6"/>
        <v>162</v>
      </c>
      <c r="U138">
        <f t="shared" si="7"/>
        <v>178</v>
      </c>
      <c r="V138" s="131">
        <f t="shared" si="8"/>
        <v>0.9101123595505618</v>
      </c>
    </row>
    <row r="139" spans="2:22" ht="37.5">
      <c r="B139" s="774">
        <v>25</v>
      </c>
      <c r="C139" s="770" t="s">
        <v>309</v>
      </c>
      <c r="D139" s="770" t="s">
        <v>1743</v>
      </c>
      <c r="E139" s="770" t="s">
        <v>644</v>
      </c>
      <c r="F139" s="770" t="s">
        <v>564</v>
      </c>
      <c r="G139" s="770">
        <v>243</v>
      </c>
      <c r="H139" s="770">
        <v>512</v>
      </c>
      <c r="I139" s="771">
        <v>0.47499999999999998</v>
      </c>
      <c r="J139" s="770" t="s">
        <v>496</v>
      </c>
      <c r="K139" s="770" t="s">
        <v>518</v>
      </c>
      <c r="L139" s="770" t="s">
        <v>2732</v>
      </c>
      <c r="M139" s="772">
        <v>123656</v>
      </c>
      <c r="N139" s="772">
        <v>508</v>
      </c>
      <c r="S139">
        <v>480</v>
      </c>
      <c r="T139">
        <f t="shared" si="6"/>
        <v>0</v>
      </c>
      <c r="U139">
        <f t="shared" si="7"/>
        <v>0</v>
      </c>
      <c r="V139" s="131">
        <f t="shared" si="8"/>
        <v>0</v>
      </c>
    </row>
    <row r="140" spans="2:22" ht="37.5">
      <c r="B140" s="774">
        <v>25</v>
      </c>
      <c r="C140" s="770" t="s">
        <v>309</v>
      </c>
      <c r="D140" s="770" t="s">
        <v>1744</v>
      </c>
      <c r="E140" s="770" t="s">
        <v>645</v>
      </c>
      <c r="F140" s="770" t="s">
        <v>564</v>
      </c>
      <c r="G140" s="770">
        <v>275</v>
      </c>
      <c r="H140" s="770">
        <v>484</v>
      </c>
      <c r="I140" s="771">
        <v>0.56799999999999995</v>
      </c>
      <c r="J140" s="770" t="s">
        <v>496</v>
      </c>
      <c r="K140" s="770" t="s">
        <v>518</v>
      </c>
      <c r="L140" s="770" t="s">
        <v>2732</v>
      </c>
      <c r="M140" s="772">
        <v>155825</v>
      </c>
      <c r="N140" s="772">
        <v>566</v>
      </c>
      <c r="S140">
        <v>481</v>
      </c>
      <c r="T140">
        <f t="shared" si="6"/>
        <v>385</v>
      </c>
      <c r="U140">
        <f t="shared" si="7"/>
        <v>540</v>
      </c>
      <c r="V140" s="131">
        <f t="shared" si="8"/>
        <v>0.71296296296296291</v>
      </c>
    </row>
    <row r="141" spans="2:22" ht="37.5">
      <c r="B141" s="774">
        <v>25</v>
      </c>
      <c r="C141" s="770" t="s">
        <v>309</v>
      </c>
      <c r="D141" s="770" t="s">
        <v>1745</v>
      </c>
      <c r="E141" s="770" t="s">
        <v>646</v>
      </c>
      <c r="F141" s="770" t="s">
        <v>512</v>
      </c>
      <c r="G141" s="770">
        <v>376</v>
      </c>
      <c r="H141" s="770">
        <v>529</v>
      </c>
      <c r="I141" s="771">
        <v>0.71099999999999997</v>
      </c>
      <c r="J141" s="770" t="s">
        <v>496</v>
      </c>
      <c r="K141" s="770" t="s">
        <v>518</v>
      </c>
      <c r="L141" s="770" t="s">
        <v>2732</v>
      </c>
      <c r="M141" s="772">
        <v>212688</v>
      </c>
      <c r="N141" s="772">
        <v>565</v>
      </c>
      <c r="S141">
        <v>482</v>
      </c>
      <c r="T141">
        <f t="shared" si="6"/>
        <v>76</v>
      </c>
      <c r="U141">
        <f t="shared" si="7"/>
        <v>266</v>
      </c>
      <c r="V141" s="131">
        <f t="shared" si="8"/>
        <v>0.2857142857142857</v>
      </c>
    </row>
    <row r="142" spans="2:22" ht="37.5">
      <c r="B142" s="774">
        <v>25</v>
      </c>
      <c r="C142" s="770" t="s">
        <v>309</v>
      </c>
      <c r="D142" s="770" t="s">
        <v>1746</v>
      </c>
      <c r="E142" s="770" t="s">
        <v>529</v>
      </c>
      <c r="F142" s="770" t="s">
        <v>564</v>
      </c>
      <c r="G142" s="770">
        <v>316</v>
      </c>
      <c r="H142" s="770">
        <v>406</v>
      </c>
      <c r="I142" s="771">
        <v>0.77800000000000002</v>
      </c>
      <c r="J142" s="770" t="s">
        <v>496</v>
      </c>
      <c r="K142" s="770" t="s">
        <v>518</v>
      </c>
      <c r="L142" s="770" t="s">
        <v>2734</v>
      </c>
      <c r="M142" s="772">
        <v>179908</v>
      </c>
      <c r="N142" s="772">
        <v>569</v>
      </c>
      <c r="S142">
        <v>483</v>
      </c>
      <c r="T142">
        <f t="shared" si="6"/>
        <v>95</v>
      </c>
      <c r="U142">
        <f t="shared" si="7"/>
        <v>105</v>
      </c>
      <c r="V142" s="131">
        <f t="shared" si="8"/>
        <v>0.90476190476190477</v>
      </c>
    </row>
    <row r="143" spans="2:22" ht="37.5">
      <c r="B143" s="774">
        <v>25</v>
      </c>
      <c r="C143" s="770" t="s">
        <v>309</v>
      </c>
      <c r="D143" s="770" t="s">
        <v>1747</v>
      </c>
      <c r="E143" s="770" t="s">
        <v>647</v>
      </c>
      <c r="F143" s="770" t="s">
        <v>512</v>
      </c>
      <c r="G143" s="770">
        <v>171</v>
      </c>
      <c r="H143" s="770">
        <v>278</v>
      </c>
      <c r="I143" s="771">
        <v>0.61499999999999999</v>
      </c>
      <c r="J143" s="770" t="s">
        <v>496</v>
      </c>
      <c r="K143" s="770" t="s">
        <v>518</v>
      </c>
      <c r="L143" s="770" t="s">
        <v>2732</v>
      </c>
      <c r="M143" s="772">
        <v>95710</v>
      </c>
      <c r="N143" s="772">
        <v>559</v>
      </c>
      <c r="S143">
        <v>485</v>
      </c>
      <c r="T143">
        <f t="shared" si="6"/>
        <v>53</v>
      </c>
      <c r="U143">
        <f t="shared" si="7"/>
        <v>90</v>
      </c>
      <c r="V143" s="131">
        <f t="shared" si="8"/>
        <v>0.58888888888888891</v>
      </c>
    </row>
    <row r="144" spans="2:22" ht="37.5">
      <c r="B144" s="774">
        <v>25</v>
      </c>
      <c r="C144" s="770" t="s">
        <v>309</v>
      </c>
      <c r="D144" s="770" t="s">
        <v>1748</v>
      </c>
      <c r="E144" s="770" t="s">
        <v>648</v>
      </c>
      <c r="F144" s="770" t="s">
        <v>512</v>
      </c>
      <c r="G144" s="770">
        <v>395</v>
      </c>
      <c r="H144" s="770">
        <v>547</v>
      </c>
      <c r="I144" s="771">
        <v>0.72199999999999998</v>
      </c>
      <c r="J144" s="770" t="s">
        <v>496</v>
      </c>
      <c r="K144" s="770" t="s">
        <v>518</v>
      </c>
      <c r="L144" s="770" t="s">
        <v>2732</v>
      </c>
      <c r="M144" s="772">
        <v>225545</v>
      </c>
      <c r="N144" s="772">
        <v>571</v>
      </c>
      <c r="S144">
        <v>487</v>
      </c>
      <c r="T144">
        <f t="shared" si="6"/>
        <v>180</v>
      </c>
      <c r="U144">
        <f t="shared" si="7"/>
        <v>365</v>
      </c>
      <c r="V144" s="131">
        <f t="shared" si="8"/>
        <v>0.49315068493150682</v>
      </c>
    </row>
    <row r="145" spans="2:22" ht="25">
      <c r="B145" s="774">
        <v>25</v>
      </c>
      <c r="C145" s="770" t="s">
        <v>309</v>
      </c>
      <c r="D145" s="770" t="s">
        <v>1749</v>
      </c>
      <c r="E145" s="770" t="s">
        <v>649</v>
      </c>
      <c r="F145" s="770" t="s">
        <v>557</v>
      </c>
      <c r="G145" s="770">
        <v>465</v>
      </c>
      <c r="H145" s="770">
        <v>1232</v>
      </c>
      <c r="I145" s="771">
        <v>0.377</v>
      </c>
      <c r="J145" s="770" t="s">
        <v>496</v>
      </c>
      <c r="K145" s="770" t="s">
        <v>497</v>
      </c>
      <c r="L145" s="770" t="s">
        <v>2734</v>
      </c>
      <c r="M145" s="772">
        <v>0</v>
      </c>
      <c r="N145" s="772">
        <v>0</v>
      </c>
      <c r="S145">
        <v>488</v>
      </c>
      <c r="T145">
        <f t="shared" si="6"/>
        <v>41</v>
      </c>
      <c r="U145">
        <f t="shared" si="7"/>
        <v>130</v>
      </c>
      <c r="V145" s="131">
        <f t="shared" si="8"/>
        <v>0.31538461538461537</v>
      </c>
    </row>
    <row r="146" spans="2:22" ht="25">
      <c r="B146" s="774">
        <v>25</v>
      </c>
      <c r="C146" s="770" t="s">
        <v>309</v>
      </c>
      <c r="D146" s="770" t="s">
        <v>1750</v>
      </c>
      <c r="E146" s="770" t="s">
        <v>650</v>
      </c>
      <c r="F146" s="770" t="s">
        <v>546</v>
      </c>
      <c r="G146" s="770"/>
      <c r="H146" s="770"/>
      <c r="I146" s="770"/>
      <c r="J146" s="770" t="s">
        <v>496</v>
      </c>
      <c r="K146" s="770" t="s">
        <v>518</v>
      </c>
      <c r="L146" s="770" t="s">
        <v>2732</v>
      </c>
      <c r="M146" s="772">
        <v>13512</v>
      </c>
      <c r="N146" s="772">
        <v>563</v>
      </c>
      <c r="S146">
        <v>489</v>
      </c>
      <c r="T146">
        <f t="shared" si="6"/>
        <v>0</v>
      </c>
      <c r="U146">
        <f t="shared" si="7"/>
        <v>0</v>
      </c>
      <c r="V146" s="131">
        <f t="shared" si="8"/>
        <v>0</v>
      </c>
    </row>
    <row r="147" spans="2:22" ht="50">
      <c r="B147" s="774">
        <v>25</v>
      </c>
      <c r="C147" s="770" t="s">
        <v>309</v>
      </c>
      <c r="D147" s="770" t="s">
        <v>1752</v>
      </c>
      <c r="E147" s="770" t="s">
        <v>651</v>
      </c>
      <c r="F147" s="770" t="s">
        <v>557</v>
      </c>
      <c r="G147" s="770">
        <v>142</v>
      </c>
      <c r="H147" s="770">
        <v>179</v>
      </c>
      <c r="I147" s="771">
        <v>0.79300000000000004</v>
      </c>
      <c r="J147" s="770" t="s">
        <v>496</v>
      </c>
      <c r="K147" s="770" t="s">
        <v>518</v>
      </c>
      <c r="L147" s="770" t="s">
        <v>2735</v>
      </c>
      <c r="M147" s="772">
        <v>79946</v>
      </c>
      <c r="N147" s="772">
        <v>563</v>
      </c>
      <c r="S147">
        <v>490</v>
      </c>
      <c r="T147">
        <f t="shared" si="6"/>
        <v>329</v>
      </c>
      <c r="U147">
        <f t="shared" si="7"/>
        <v>646</v>
      </c>
      <c r="V147" s="131">
        <f t="shared" si="8"/>
        <v>0.50928792569659442</v>
      </c>
    </row>
    <row r="148" spans="2:22">
      <c r="B148" s="773"/>
      <c r="C148" s="773"/>
      <c r="D148" s="773"/>
      <c r="E148" s="773"/>
      <c r="F148" s="773"/>
      <c r="G148" s="773"/>
      <c r="H148" s="773"/>
      <c r="I148" s="773"/>
      <c r="J148" s="773"/>
      <c r="K148" s="773"/>
      <c r="L148" s="773"/>
      <c r="M148" s="773"/>
      <c r="N148" s="773"/>
    </row>
    <row r="149" spans="2:22" ht="37.5">
      <c r="B149" s="774">
        <v>33</v>
      </c>
      <c r="C149" s="770" t="s">
        <v>310</v>
      </c>
      <c r="D149" s="770" t="s">
        <v>1757</v>
      </c>
      <c r="E149" s="770" t="s">
        <v>652</v>
      </c>
      <c r="F149" s="770" t="s">
        <v>554</v>
      </c>
      <c r="G149" s="770">
        <v>120</v>
      </c>
      <c r="H149" s="770">
        <v>254</v>
      </c>
      <c r="I149" s="771">
        <v>0.47199999999999998</v>
      </c>
      <c r="J149" s="770" t="s">
        <v>496</v>
      </c>
      <c r="K149" s="770" t="s">
        <v>518</v>
      </c>
      <c r="L149" s="770" t="s">
        <v>2734</v>
      </c>
      <c r="M149" s="772">
        <v>24000</v>
      </c>
      <c r="N149" s="772">
        <v>200</v>
      </c>
    </row>
    <row r="150" spans="2:22" ht="37.5">
      <c r="B150" s="774">
        <v>33</v>
      </c>
      <c r="C150" s="770" t="s">
        <v>310</v>
      </c>
      <c r="D150" s="770" t="s">
        <v>1758</v>
      </c>
      <c r="E150" s="770" t="s">
        <v>653</v>
      </c>
      <c r="F150" s="770" t="s">
        <v>557</v>
      </c>
      <c r="G150" s="770">
        <v>109</v>
      </c>
      <c r="H150" s="770">
        <v>304</v>
      </c>
      <c r="I150" s="771">
        <v>0.35899999999999999</v>
      </c>
      <c r="J150" s="770" t="s">
        <v>496</v>
      </c>
      <c r="K150" s="770" t="s">
        <v>497</v>
      </c>
      <c r="L150" s="770" t="s">
        <v>2732</v>
      </c>
      <c r="M150" s="772">
        <v>0</v>
      </c>
      <c r="N150" s="772">
        <v>0</v>
      </c>
    </row>
    <row r="151" spans="2:22" ht="37.5">
      <c r="B151" s="774">
        <v>33</v>
      </c>
      <c r="C151" s="770" t="s">
        <v>310</v>
      </c>
      <c r="D151" s="770" t="s">
        <v>1759</v>
      </c>
      <c r="E151" s="770" t="s">
        <v>654</v>
      </c>
      <c r="F151" s="770" t="s">
        <v>564</v>
      </c>
      <c r="G151" s="770">
        <v>189</v>
      </c>
      <c r="H151" s="770">
        <v>334</v>
      </c>
      <c r="I151" s="771">
        <v>0.56599999999999995</v>
      </c>
      <c r="J151" s="770" t="s">
        <v>496</v>
      </c>
      <c r="K151" s="770" t="s">
        <v>518</v>
      </c>
      <c r="L151" s="770" t="s">
        <v>2734</v>
      </c>
      <c r="M151" s="772">
        <v>96334</v>
      </c>
      <c r="N151" s="772">
        <v>509</v>
      </c>
    </row>
    <row r="152" spans="2:22" ht="37.5">
      <c r="B152" s="774">
        <v>33</v>
      </c>
      <c r="C152" s="770" t="s">
        <v>310</v>
      </c>
      <c r="D152" s="770" t="s">
        <v>1760</v>
      </c>
      <c r="E152" s="770" t="s">
        <v>655</v>
      </c>
      <c r="F152" s="770" t="s">
        <v>564</v>
      </c>
      <c r="G152" s="770">
        <v>27</v>
      </c>
      <c r="H152" s="770">
        <v>83</v>
      </c>
      <c r="I152" s="771">
        <v>0.32500000000000001</v>
      </c>
      <c r="J152" s="770" t="s">
        <v>496</v>
      </c>
      <c r="K152" s="770" t="s">
        <v>518</v>
      </c>
      <c r="L152" s="770" t="s">
        <v>2732</v>
      </c>
      <c r="M152" s="772">
        <v>14000</v>
      </c>
      <c r="N152" s="772">
        <v>518</v>
      </c>
    </row>
    <row r="153" spans="2:22" ht="37.5">
      <c r="B153" s="774">
        <v>33</v>
      </c>
      <c r="C153" s="770" t="s">
        <v>310</v>
      </c>
      <c r="D153" s="770" t="s">
        <v>1761</v>
      </c>
      <c r="E153" s="770" t="s">
        <v>656</v>
      </c>
      <c r="F153" s="770" t="s">
        <v>564</v>
      </c>
      <c r="G153" s="770">
        <v>64</v>
      </c>
      <c r="H153" s="770">
        <v>128</v>
      </c>
      <c r="I153" s="771">
        <v>0.5</v>
      </c>
      <c r="J153" s="770" t="s">
        <v>496</v>
      </c>
      <c r="K153" s="770" t="s">
        <v>518</v>
      </c>
      <c r="L153" s="770" t="s">
        <v>2734</v>
      </c>
      <c r="M153" s="772">
        <v>32000</v>
      </c>
      <c r="N153" s="772">
        <v>500</v>
      </c>
    </row>
    <row r="154" spans="2:22">
      <c r="B154" s="773"/>
      <c r="C154" s="773"/>
      <c r="D154" s="773"/>
      <c r="E154" s="773"/>
      <c r="F154" s="773"/>
      <c r="G154" s="773"/>
      <c r="H154" s="773"/>
      <c r="I154" s="773"/>
      <c r="J154" s="773"/>
      <c r="K154" s="773"/>
      <c r="L154" s="773"/>
      <c r="M154" s="773"/>
      <c r="N154" s="773"/>
    </row>
    <row r="155" spans="2:22" ht="37.5">
      <c r="B155" s="774">
        <v>41</v>
      </c>
      <c r="C155" s="770" t="s">
        <v>311</v>
      </c>
      <c r="D155" s="770" t="s">
        <v>1765</v>
      </c>
      <c r="E155" s="770" t="s">
        <v>657</v>
      </c>
      <c r="F155" s="770" t="s">
        <v>554</v>
      </c>
      <c r="G155" s="770">
        <v>97</v>
      </c>
      <c r="H155" s="770">
        <v>204</v>
      </c>
      <c r="I155" s="771">
        <v>0.47499999999999998</v>
      </c>
      <c r="J155" s="770" t="s">
        <v>496</v>
      </c>
      <c r="K155" s="770" t="s">
        <v>497</v>
      </c>
      <c r="L155" s="770" t="s">
        <v>2734</v>
      </c>
      <c r="M155" s="772">
        <v>0</v>
      </c>
      <c r="N155" s="772">
        <v>0</v>
      </c>
    </row>
    <row r="156" spans="2:22" ht="37.5">
      <c r="B156" s="774">
        <v>41</v>
      </c>
      <c r="C156" s="770" t="s">
        <v>311</v>
      </c>
      <c r="D156" s="770" t="s">
        <v>1766</v>
      </c>
      <c r="E156" s="770" t="s">
        <v>658</v>
      </c>
      <c r="F156" s="770" t="s">
        <v>557</v>
      </c>
      <c r="G156" s="770">
        <v>110</v>
      </c>
      <c r="H156" s="770">
        <v>278</v>
      </c>
      <c r="I156" s="771">
        <v>0.39600000000000002</v>
      </c>
      <c r="J156" s="770" t="s">
        <v>496</v>
      </c>
      <c r="K156" s="770" t="s">
        <v>497</v>
      </c>
      <c r="L156" s="770" t="s">
        <v>2734</v>
      </c>
      <c r="M156" s="772">
        <v>0</v>
      </c>
      <c r="N156" s="772">
        <v>0</v>
      </c>
    </row>
    <row r="157" spans="2:22" ht="37.5">
      <c r="B157" s="774">
        <v>41</v>
      </c>
      <c r="C157" s="770" t="s">
        <v>311</v>
      </c>
      <c r="D157" s="770" t="s">
        <v>1767</v>
      </c>
      <c r="E157" s="770" t="s">
        <v>659</v>
      </c>
      <c r="F157" s="770" t="s">
        <v>564</v>
      </c>
      <c r="G157" s="770">
        <v>192</v>
      </c>
      <c r="H157" s="770">
        <v>352</v>
      </c>
      <c r="I157" s="771">
        <v>0.54500000000000004</v>
      </c>
      <c r="J157" s="770" t="s">
        <v>496</v>
      </c>
      <c r="K157" s="770" t="s">
        <v>518</v>
      </c>
      <c r="L157" s="770" t="s">
        <v>2734</v>
      </c>
      <c r="M157" s="772">
        <v>110450</v>
      </c>
      <c r="N157" s="772">
        <v>575</v>
      </c>
    </row>
    <row r="158" spans="2:22" ht="37.5">
      <c r="B158" s="774">
        <v>41</v>
      </c>
      <c r="C158" s="770" t="s">
        <v>311</v>
      </c>
      <c r="D158" s="770" t="s">
        <v>1768</v>
      </c>
      <c r="E158" s="770" t="s">
        <v>660</v>
      </c>
      <c r="F158" s="770" t="s">
        <v>551</v>
      </c>
      <c r="G158" s="770">
        <v>66</v>
      </c>
      <c r="H158" s="770">
        <v>83</v>
      </c>
      <c r="I158" s="771">
        <v>0.79500000000000004</v>
      </c>
      <c r="J158" s="770" t="s">
        <v>496</v>
      </c>
      <c r="K158" s="770" t="s">
        <v>518</v>
      </c>
      <c r="L158" s="770" t="s">
        <v>2733</v>
      </c>
      <c r="M158" s="772">
        <v>38100</v>
      </c>
      <c r="N158" s="772">
        <v>577</v>
      </c>
    </row>
    <row r="159" spans="2:22">
      <c r="B159" s="773"/>
      <c r="C159" s="773"/>
      <c r="D159" s="773"/>
      <c r="E159" s="773"/>
      <c r="F159" s="773"/>
      <c r="G159" s="773"/>
      <c r="H159" s="773"/>
      <c r="I159" s="773"/>
      <c r="J159" s="773"/>
      <c r="K159" s="773"/>
      <c r="L159" s="773"/>
      <c r="M159" s="773"/>
      <c r="N159" s="773"/>
    </row>
    <row r="160" spans="2:22" ht="37.5">
      <c r="B160" s="774">
        <v>44</v>
      </c>
      <c r="C160" s="770" t="s">
        <v>312</v>
      </c>
      <c r="D160" s="770" t="s">
        <v>1773</v>
      </c>
      <c r="E160" s="770" t="s">
        <v>661</v>
      </c>
      <c r="F160" s="770" t="s">
        <v>546</v>
      </c>
      <c r="G160" s="770">
        <v>42</v>
      </c>
      <c r="H160" s="770">
        <v>87</v>
      </c>
      <c r="I160" s="771">
        <v>0.48299999999999998</v>
      </c>
      <c r="J160" s="770" t="s">
        <v>496</v>
      </c>
      <c r="K160" s="770" t="s">
        <v>662</v>
      </c>
      <c r="L160" s="770" t="s">
        <v>2734</v>
      </c>
      <c r="M160" s="772">
        <v>45744</v>
      </c>
      <c r="N160" s="772">
        <v>1089</v>
      </c>
    </row>
    <row r="161" spans="2:14" ht="37.5">
      <c r="B161" s="774">
        <v>44</v>
      </c>
      <c r="C161" s="770" t="s">
        <v>312</v>
      </c>
      <c r="D161" s="770" t="s">
        <v>1774</v>
      </c>
      <c r="E161" s="770" t="s">
        <v>2736</v>
      </c>
      <c r="F161" s="770" t="s">
        <v>495</v>
      </c>
      <c r="G161" s="770">
        <v>24</v>
      </c>
      <c r="H161" s="770">
        <v>44</v>
      </c>
      <c r="I161" s="771">
        <v>0.54500000000000004</v>
      </c>
      <c r="J161" s="770" t="s">
        <v>496</v>
      </c>
      <c r="K161" s="770" t="s">
        <v>662</v>
      </c>
      <c r="L161" s="770" t="s">
        <v>2734</v>
      </c>
      <c r="M161" s="772">
        <v>29419</v>
      </c>
      <c r="N161" s="772">
        <v>1225</v>
      </c>
    </row>
    <row r="162" spans="2:14" ht="37.5">
      <c r="B162" s="774">
        <v>44</v>
      </c>
      <c r="C162" s="770" t="s">
        <v>312</v>
      </c>
      <c r="D162" s="770" t="s">
        <v>1776</v>
      </c>
      <c r="E162" s="770" t="s">
        <v>663</v>
      </c>
      <c r="F162" s="770" t="s">
        <v>512</v>
      </c>
      <c r="G162" s="770">
        <v>155</v>
      </c>
      <c r="H162" s="770">
        <v>195</v>
      </c>
      <c r="I162" s="771">
        <v>0.79500000000000004</v>
      </c>
      <c r="J162" s="770" t="s">
        <v>496</v>
      </c>
      <c r="K162" s="770" t="s">
        <v>662</v>
      </c>
      <c r="L162" s="770" t="s">
        <v>2735</v>
      </c>
      <c r="M162" s="772">
        <v>133569</v>
      </c>
      <c r="N162" s="772">
        <v>861</v>
      </c>
    </row>
    <row r="163" spans="2:14">
      <c r="B163" s="773"/>
      <c r="C163" s="773"/>
      <c r="D163" s="773"/>
      <c r="E163" s="773"/>
      <c r="F163" s="773"/>
      <c r="G163" s="773"/>
      <c r="H163" s="773"/>
      <c r="I163" s="773"/>
      <c r="J163" s="773"/>
      <c r="K163" s="773"/>
      <c r="L163" s="773"/>
      <c r="M163" s="773"/>
      <c r="N163" s="773"/>
    </row>
    <row r="164" spans="2:14" ht="37.5">
      <c r="B164" s="774">
        <v>52</v>
      </c>
      <c r="C164" s="770" t="s">
        <v>313</v>
      </c>
      <c r="D164" s="770" t="s">
        <v>1778</v>
      </c>
      <c r="E164" s="770" t="s">
        <v>664</v>
      </c>
      <c r="F164" s="770" t="s">
        <v>596</v>
      </c>
      <c r="G164" s="770">
        <v>108</v>
      </c>
      <c r="H164" s="770">
        <v>231</v>
      </c>
      <c r="I164" s="771">
        <v>0.46800000000000003</v>
      </c>
      <c r="J164" s="770" t="s">
        <v>496</v>
      </c>
      <c r="K164" s="770" t="s">
        <v>624</v>
      </c>
      <c r="L164" s="770" t="s">
        <v>2735</v>
      </c>
      <c r="M164" s="772">
        <v>64759</v>
      </c>
      <c r="N164" s="772">
        <v>599</v>
      </c>
    </row>
    <row r="165" spans="2:14" ht="25">
      <c r="B165" s="774">
        <v>52</v>
      </c>
      <c r="C165" s="770" t="s">
        <v>313</v>
      </c>
      <c r="D165" s="770" t="s">
        <v>1779</v>
      </c>
      <c r="E165" s="770" t="s">
        <v>665</v>
      </c>
      <c r="F165" s="770" t="s">
        <v>557</v>
      </c>
      <c r="G165" s="770">
        <v>190</v>
      </c>
      <c r="H165" s="770">
        <v>546</v>
      </c>
      <c r="I165" s="771">
        <v>0.34799999999999998</v>
      </c>
      <c r="J165" s="770" t="s">
        <v>501</v>
      </c>
      <c r="K165" s="770" t="s">
        <v>497</v>
      </c>
      <c r="L165" s="770" t="s">
        <v>2734</v>
      </c>
      <c r="M165" s="772">
        <v>0</v>
      </c>
      <c r="N165" s="772">
        <v>0</v>
      </c>
    </row>
    <row r="166" spans="2:14" ht="37.5">
      <c r="B166" s="774">
        <v>52</v>
      </c>
      <c r="C166" s="770" t="s">
        <v>313</v>
      </c>
      <c r="D166" s="770" t="s">
        <v>1780</v>
      </c>
      <c r="E166" s="770" t="s">
        <v>539</v>
      </c>
      <c r="F166" s="770" t="s">
        <v>666</v>
      </c>
      <c r="G166" s="770">
        <v>132</v>
      </c>
      <c r="H166" s="770">
        <v>266</v>
      </c>
      <c r="I166" s="771">
        <v>0.496</v>
      </c>
      <c r="J166" s="770" t="s">
        <v>496</v>
      </c>
      <c r="K166" s="770" t="s">
        <v>518</v>
      </c>
      <c r="L166" s="770" t="s">
        <v>2732</v>
      </c>
      <c r="M166" s="772">
        <v>120648</v>
      </c>
      <c r="N166" s="772">
        <v>914</v>
      </c>
    </row>
    <row r="167" spans="2:14" ht="37.5">
      <c r="B167" s="774">
        <v>52</v>
      </c>
      <c r="C167" s="770" t="s">
        <v>313</v>
      </c>
      <c r="D167" s="770" t="s">
        <v>1781</v>
      </c>
      <c r="E167" s="770" t="s">
        <v>667</v>
      </c>
      <c r="F167" s="770" t="s">
        <v>668</v>
      </c>
      <c r="G167" s="770">
        <v>121</v>
      </c>
      <c r="H167" s="770">
        <v>261</v>
      </c>
      <c r="I167" s="771">
        <v>0.46400000000000002</v>
      </c>
      <c r="J167" s="770" t="s">
        <v>496</v>
      </c>
      <c r="K167" s="770" t="s">
        <v>518</v>
      </c>
      <c r="L167" s="770" t="s">
        <v>2732</v>
      </c>
      <c r="M167" s="772">
        <v>110620</v>
      </c>
      <c r="N167" s="772">
        <v>914</v>
      </c>
    </row>
    <row r="168" spans="2:14" ht="37.5">
      <c r="B168" s="774">
        <v>52</v>
      </c>
      <c r="C168" s="770" t="s">
        <v>313</v>
      </c>
      <c r="D168" s="770" t="s">
        <v>1782</v>
      </c>
      <c r="E168" s="770" t="s">
        <v>669</v>
      </c>
      <c r="F168" s="770" t="s">
        <v>2737</v>
      </c>
      <c r="G168" s="770">
        <v>75</v>
      </c>
      <c r="H168" s="770">
        <v>138</v>
      </c>
      <c r="I168" s="771">
        <v>0.54300000000000004</v>
      </c>
      <c r="J168" s="770" t="s">
        <v>496</v>
      </c>
      <c r="K168" s="770" t="s">
        <v>518</v>
      </c>
      <c r="L168" s="770" t="s">
        <v>2732</v>
      </c>
      <c r="M168" s="772">
        <v>68550</v>
      </c>
      <c r="N168" s="772">
        <v>914</v>
      </c>
    </row>
    <row r="169" spans="2:14" ht="37.5">
      <c r="B169" s="774">
        <v>52</v>
      </c>
      <c r="C169" s="770" t="s">
        <v>313</v>
      </c>
      <c r="D169" s="770" t="s">
        <v>1783</v>
      </c>
      <c r="E169" s="770" t="s">
        <v>670</v>
      </c>
      <c r="F169" s="770" t="s">
        <v>671</v>
      </c>
      <c r="G169" s="770">
        <v>128</v>
      </c>
      <c r="H169" s="770">
        <v>251</v>
      </c>
      <c r="I169" s="771">
        <v>0.51</v>
      </c>
      <c r="J169" s="770" t="s">
        <v>496</v>
      </c>
      <c r="K169" s="770" t="s">
        <v>624</v>
      </c>
      <c r="L169" s="770" t="s">
        <v>2734</v>
      </c>
      <c r="M169" s="772">
        <v>76752</v>
      </c>
      <c r="N169" s="772">
        <v>599</v>
      </c>
    </row>
    <row r="170" spans="2:14">
      <c r="B170" s="773"/>
      <c r="C170" s="773"/>
      <c r="D170" s="773"/>
      <c r="E170" s="773"/>
      <c r="F170" s="773"/>
      <c r="G170" s="773"/>
      <c r="H170" s="773"/>
      <c r="I170" s="773"/>
      <c r="J170" s="773"/>
      <c r="K170" s="773"/>
      <c r="L170" s="773"/>
      <c r="M170" s="773"/>
      <c r="N170" s="773"/>
    </row>
    <row r="171" spans="2:14" ht="37.5">
      <c r="B171" s="774">
        <v>55</v>
      </c>
      <c r="C171" s="770" t="s">
        <v>314</v>
      </c>
      <c r="D171" s="770" t="s">
        <v>1785</v>
      </c>
      <c r="E171" s="770" t="s">
        <v>672</v>
      </c>
      <c r="F171" s="770" t="s">
        <v>596</v>
      </c>
      <c r="G171" s="770">
        <v>315</v>
      </c>
      <c r="H171" s="770">
        <v>529</v>
      </c>
      <c r="I171" s="771">
        <v>0.59499999999999997</v>
      </c>
      <c r="J171" s="770" t="s">
        <v>496</v>
      </c>
      <c r="K171" s="770" t="s">
        <v>497</v>
      </c>
      <c r="L171" s="770" t="s">
        <v>2734</v>
      </c>
      <c r="M171" s="772">
        <v>0</v>
      </c>
      <c r="N171" s="772">
        <v>0</v>
      </c>
    </row>
    <row r="172" spans="2:14" ht="25">
      <c r="B172" s="774">
        <v>55</v>
      </c>
      <c r="C172" s="770" t="s">
        <v>314</v>
      </c>
      <c r="D172" s="770" t="s">
        <v>1786</v>
      </c>
      <c r="E172" s="770" t="s">
        <v>673</v>
      </c>
      <c r="F172" s="770" t="s">
        <v>557</v>
      </c>
      <c r="G172" s="770">
        <v>473</v>
      </c>
      <c r="H172" s="770">
        <v>1082</v>
      </c>
      <c r="I172" s="771">
        <v>0.437</v>
      </c>
      <c r="J172" s="770" t="s">
        <v>496</v>
      </c>
      <c r="K172" s="770" t="s">
        <v>497</v>
      </c>
      <c r="L172" s="770" t="s">
        <v>2734</v>
      </c>
      <c r="M172" s="772">
        <v>0</v>
      </c>
      <c r="N172" s="772">
        <v>0</v>
      </c>
    </row>
    <row r="173" spans="2:14" ht="37.5">
      <c r="B173" s="774">
        <v>55</v>
      </c>
      <c r="C173" s="770" t="s">
        <v>314</v>
      </c>
      <c r="D173" s="770" t="s">
        <v>1787</v>
      </c>
      <c r="E173" s="770" t="s">
        <v>674</v>
      </c>
      <c r="F173" s="770" t="s">
        <v>2738</v>
      </c>
      <c r="G173" s="770">
        <v>171</v>
      </c>
      <c r="H173" s="770">
        <v>286</v>
      </c>
      <c r="I173" s="771">
        <v>0.59799999999999998</v>
      </c>
      <c r="J173" s="770" t="s">
        <v>496</v>
      </c>
      <c r="K173" s="770" t="s">
        <v>624</v>
      </c>
      <c r="L173" s="770" t="s">
        <v>2734</v>
      </c>
      <c r="M173" s="772">
        <v>52839</v>
      </c>
      <c r="N173" s="772">
        <v>309</v>
      </c>
    </row>
    <row r="174" spans="2:14" ht="37.5">
      <c r="B174" s="774">
        <v>55</v>
      </c>
      <c r="C174" s="770" t="s">
        <v>314</v>
      </c>
      <c r="D174" s="770" t="s">
        <v>1789</v>
      </c>
      <c r="E174" s="770" t="s">
        <v>675</v>
      </c>
      <c r="F174" s="770" t="s">
        <v>676</v>
      </c>
      <c r="G174" s="770">
        <v>253</v>
      </c>
      <c r="H174" s="770">
        <v>324</v>
      </c>
      <c r="I174" s="771">
        <v>0.78100000000000003</v>
      </c>
      <c r="J174" s="770" t="s">
        <v>496</v>
      </c>
      <c r="K174" s="770" t="s">
        <v>518</v>
      </c>
      <c r="L174" s="770" t="s">
        <v>2734</v>
      </c>
      <c r="M174" s="772">
        <v>96140</v>
      </c>
      <c r="N174" s="772">
        <v>380</v>
      </c>
    </row>
    <row r="175" spans="2:14" ht="37.5">
      <c r="B175" s="774">
        <v>55</v>
      </c>
      <c r="C175" s="770" t="s">
        <v>314</v>
      </c>
      <c r="D175" s="770" t="s">
        <v>1791</v>
      </c>
      <c r="E175" s="770" t="s">
        <v>679</v>
      </c>
      <c r="F175" s="770" t="s">
        <v>564</v>
      </c>
      <c r="G175" s="770">
        <v>232</v>
      </c>
      <c r="H175" s="770">
        <v>380</v>
      </c>
      <c r="I175" s="771">
        <v>0.61099999999999999</v>
      </c>
      <c r="J175" s="770" t="s">
        <v>496</v>
      </c>
      <c r="K175" s="770" t="s">
        <v>518</v>
      </c>
      <c r="L175" s="770" t="s">
        <v>2734</v>
      </c>
      <c r="M175" s="772">
        <v>88160</v>
      </c>
      <c r="N175" s="772">
        <v>380</v>
      </c>
    </row>
    <row r="176" spans="2:14" ht="37.5">
      <c r="B176" s="774">
        <v>55</v>
      </c>
      <c r="C176" s="770" t="s">
        <v>314</v>
      </c>
      <c r="D176" s="770" t="s">
        <v>1792</v>
      </c>
      <c r="E176" s="770" t="s">
        <v>680</v>
      </c>
      <c r="F176" s="770" t="s">
        <v>681</v>
      </c>
      <c r="G176" s="770">
        <v>104</v>
      </c>
      <c r="H176" s="770">
        <v>224</v>
      </c>
      <c r="I176" s="771">
        <v>0.46400000000000002</v>
      </c>
      <c r="J176" s="770" t="s">
        <v>496</v>
      </c>
      <c r="K176" s="770" t="s">
        <v>518</v>
      </c>
      <c r="L176" s="770" t="s">
        <v>2732</v>
      </c>
      <c r="M176" s="772">
        <v>39520</v>
      </c>
      <c r="N176" s="772">
        <v>380</v>
      </c>
    </row>
    <row r="177" spans="2:14" ht="37.5">
      <c r="B177" s="774">
        <v>55</v>
      </c>
      <c r="C177" s="770" t="s">
        <v>314</v>
      </c>
      <c r="D177" s="770" t="s">
        <v>1793</v>
      </c>
      <c r="E177" s="770" t="s">
        <v>682</v>
      </c>
      <c r="F177" s="770" t="s">
        <v>676</v>
      </c>
      <c r="G177" s="770">
        <v>150</v>
      </c>
      <c r="H177" s="770">
        <v>282</v>
      </c>
      <c r="I177" s="771">
        <v>0.53200000000000003</v>
      </c>
      <c r="J177" s="770" t="s">
        <v>496</v>
      </c>
      <c r="K177" s="770" t="s">
        <v>518</v>
      </c>
      <c r="L177" s="770" t="s">
        <v>2734</v>
      </c>
      <c r="M177" s="772">
        <v>57000</v>
      </c>
      <c r="N177" s="772">
        <v>380</v>
      </c>
    </row>
    <row r="178" spans="2:14" ht="37.5">
      <c r="B178" s="774">
        <v>55</v>
      </c>
      <c r="C178" s="770" t="s">
        <v>314</v>
      </c>
      <c r="D178" s="770" t="s">
        <v>1794</v>
      </c>
      <c r="E178" s="770" t="s">
        <v>683</v>
      </c>
      <c r="F178" s="770" t="s">
        <v>564</v>
      </c>
      <c r="G178" s="770"/>
      <c r="H178" s="770"/>
      <c r="I178" s="770"/>
      <c r="J178" s="770" t="s">
        <v>496</v>
      </c>
      <c r="K178" s="770" t="s">
        <v>518</v>
      </c>
      <c r="L178" s="770" t="s">
        <v>2734</v>
      </c>
      <c r="M178" s="772">
        <v>53580</v>
      </c>
      <c r="N178" s="772">
        <v>380</v>
      </c>
    </row>
    <row r="179" spans="2:14" ht="37.5">
      <c r="B179" s="774">
        <v>55</v>
      </c>
      <c r="C179" s="770" t="s">
        <v>314</v>
      </c>
      <c r="D179" s="770" t="s">
        <v>1795</v>
      </c>
      <c r="E179" s="770" t="s">
        <v>684</v>
      </c>
      <c r="F179" s="770" t="s">
        <v>676</v>
      </c>
      <c r="G179" s="770">
        <v>250</v>
      </c>
      <c r="H179" s="770">
        <v>396</v>
      </c>
      <c r="I179" s="771">
        <v>0.63100000000000001</v>
      </c>
      <c r="J179" s="770" t="s">
        <v>496</v>
      </c>
      <c r="K179" s="770" t="s">
        <v>518</v>
      </c>
      <c r="L179" s="770" t="s">
        <v>2732</v>
      </c>
      <c r="M179" s="772">
        <v>95000</v>
      </c>
      <c r="N179" s="772">
        <v>380</v>
      </c>
    </row>
    <row r="180" spans="2:14" ht="37.5">
      <c r="B180" s="774">
        <v>55</v>
      </c>
      <c r="C180" s="770" t="s">
        <v>314</v>
      </c>
      <c r="D180" s="770" t="s">
        <v>1798</v>
      </c>
      <c r="E180" s="770" t="s">
        <v>685</v>
      </c>
      <c r="F180" s="770" t="s">
        <v>557</v>
      </c>
      <c r="G180" s="770">
        <v>143</v>
      </c>
      <c r="H180" s="770">
        <v>173</v>
      </c>
      <c r="I180" s="771">
        <v>0.82699999999999996</v>
      </c>
      <c r="J180" s="770" t="s">
        <v>496</v>
      </c>
      <c r="K180" s="770" t="s">
        <v>624</v>
      </c>
      <c r="L180" s="770" t="s">
        <v>2732</v>
      </c>
      <c r="M180" s="772">
        <v>43901</v>
      </c>
      <c r="N180" s="772">
        <v>307</v>
      </c>
    </row>
    <row r="181" spans="2:14">
      <c r="B181" s="773"/>
      <c r="C181" s="773"/>
      <c r="D181" s="773"/>
      <c r="E181" s="773"/>
      <c r="F181" s="773"/>
      <c r="G181" s="773"/>
      <c r="H181" s="773"/>
      <c r="I181" s="773"/>
      <c r="J181" s="773"/>
      <c r="K181" s="773"/>
      <c r="L181" s="773"/>
      <c r="M181" s="773"/>
      <c r="N181" s="773"/>
    </row>
    <row r="182" spans="2:14" ht="25">
      <c r="B182" s="774">
        <v>58</v>
      </c>
      <c r="C182" s="770" t="s">
        <v>315</v>
      </c>
      <c r="D182" s="770" t="s">
        <v>1801</v>
      </c>
      <c r="E182" s="770" t="s">
        <v>686</v>
      </c>
      <c r="F182" s="770" t="s">
        <v>557</v>
      </c>
      <c r="G182" s="770">
        <v>112</v>
      </c>
      <c r="H182" s="770">
        <v>156</v>
      </c>
      <c r="I182" s="771">
        <v>0.71799999999999997</v>
      </c>
      <c r="J182" s="770" t="s">
        <v>496</v>
      </c>
      <c r="K182" s="770" t="s">
        <v>624</v>
      </c>
      <c r="L182" s="770" t="s">
        <v>2734</v>
      </c>
      <c r="M182" s="772">
        <v>56930</v>
      </c>
      <c r="N182" s="772">
        <v>508</v>
      </c>
    </row>
    <row r="183" spans="2:14" ht="37.5">
      <c r="B183" s="774">
        <v>58</v>
      </c>
      <c r="C183" s="770" t="s">
        <v>315</v>
      </c>
      <c r="D183" s="770" t="s">
        <v>1802</v>
      </c>
      <c r="E183" s="770" t="s">
        <v>687</v>
      </c>
      <c r="F183" s="770" t="s">
        <v>564</v>
      </c>
      <c r="G183" s="770">
        <v>266</v>
      </c>
      <c r="H183" s="770">
        <v>370</v>
      </c>
      <c r="I183" s="771">
        <v>0.71899999999999997</v>
      </c>
      <c r="J183" s="770" t="s">
        <v>496</v>
      </c>
      <c r="K183" s="770" t="s">
        <v>518</v>
      </c>
      <c r="L183" s="770" t="s">
        <v>2734</v>
      </c>
      <c r="M183" s="772">
        <v>135213</v>
      </c>
      <c r="N183" s="772">
        <v>508</v>
      </c>
    </row>
    <row r="184" spans="2:14" ht="37.5">
      <c r="B184" s="774">
        <v>58</v>
      </c>
      <c r="C184" s="770" t="s">
        <v>315</v>
      </c>
      <c r="D184" s="770" t="s">
        <v>1803</v>
      </c>
      <c r="E184" s="770" t="s">
        <v>688</v>
      </c>
      <c r="F184" s="770" t="s">
        <v>554</v>
      </c>
      <c r="G184" s="770">
        <v>126</v>
      </c>
      <c r="H184" s="770">
        <v>191</v>
      </c>
      <c r="I184" s="771">
        <v>0.66</v>
      </c>
      <c r="J184" s="770" t="s">
        <v>496</v>
      </c>
      <c r="K184" s="770" t="s">
        <v>624</v>
      </c>
      <c r="L184" s="770" t="s">
        <v>2734</v>
      </c>
      <c r="M184" s="772">
        <v>64008</v>
      </c>
      <c r="N184" s="772">
        <v>508</v>
      </c>
    </row>
    <row r="185" spans="2:14">
      <c r="B185" s="773"/>
      <c r="C185" s="773"/>
      <c r="D185" s="773"/>
      <c r="E185" s="773"/>
      <c r="F185" s="773"/>
      <c r="G185" s="773"/>
      <c r="H185" s="773"/>
      <c r="I185" s="773"/>
      <c r="J185" s="773"/>
      <c r="K185" s="773"/>
      <c r="L185" s="773"/>
      <c r="M185" s="773"/>
      <c r="N185" s="773"/>
    </row>
    <row r="186" spans="2:14" ht="25">
      <c r="B186" s="774">
        <v>59</v>
      </c>
      <c r="C186" s="770" t="s">
        <v>316</v>
      </c>
      <c r="D186" s="770" t="s">
        <v>1805</v>
      </c>
      <c r="E186" s="770" t="s">
        <v>689</v>
      </c>
      <c r="F186" s="770" t="s">
        <v>557</v>
      </c>
      <c r="G186" s="770">
        <v>121</v>
      </c>
      <c r="H186" s="770">
        <v>228</v>
      </c>
      <c r="I186" s="771">
        <v>0.53100000000000003</v>
      </c>
      <c r="J186" s="770" t="s">
        <v>496</v>
      </c>
      <c r="K186" s="770" t="s">
        <v>624</v>
      </c>
      <c r="L186" s="770" t="s">
        <v>2734</v>
      </c>
      <c r="M186" s="772">
        <v>25441</v>
      </c>
      <c r="N186" s="772">
        <v>210</v>
      </c>
    </row>
    <row r="187" spans="2:14" ht="25">
      <c r="B187" s="774">
        <v>59</v>
      </c>
      <c r="C187" s="770" t="s">
        <v>316</v>
      </c>
      <c r="D187" s="770" t="s">
        <v>1806</v>
      </c>
      <c r="E187" s="770" t="s">
        <v>690</v>
      </c>
      <c r="F187" s="770" t="s">
        <v>691</v>
      </c>
      <c r="G187" s="770">
        <v>139</v>
      </c>
      <c r="H187" s="770">
        <v>237</v>
      </c>
      <c r="I187" s="771">
        <v>0.58599999999999997</v>
      </c>
      <c r="J187" s="770" t="s">
        <v>496</v>
      </c>
      <c r="K187" s="770" t="s">
        <v>518</v>
      </c>
      <c r="L187" s="770" t="s">
        <v>2734</v>
      </c>
      <c r="M187" s="772">
        <v>30211</v>
      </c>
      <c r="N187" s="772">
        <v>217</v>
      </c>
    </row>
    <row r="188" spans="2:14" ht="37.5">
      <c r="B188" s="774">
        <v>59</v>
      </c>
      <c r="C188" s="770" t="s">
        <v>316</v>
      </c>
      <c r="D188" s="770" t="s">
        <v>1807</v>
      </c>
      <c r="E188" s="770" t="s">
        <v>692</v>
      </c>
      <c r="F188" s="770" t="s">
        <v>693</v>
      </c>
      <c r="G188" s="770">
        <v>156</v>
      </c>
      <c r="H188" s="770">
        <v>285</v>
      </c>
      <c r="I188" s="771">
        <v>0.54700000000000004</v>
      </c>
      <c r="J188" s="770" t="s">
        <v>496</v>
      </c>
      <c r="K188" s="770" t="s">
        <v>518</v>
      </c>
      <c r="L188" s="770" t="s">
        <v>2734</v>
      </c>
      <c r="M188" s="772">
        <v>34640</v>
      </c>
      <c r="N188" s="772">
        <v>222</v>
      </c>
    </row>
    <row r="189" spans="2:14">
      <c r="B189" s="773"/>
      <c r="C189" s="773"/>
      <c r="D189" s="773"/>
      <c r="E189" s="773"/>
      <c r="F189" s="773"/>
      <c r="G189" s="773"/>
      <c r="H189" s="773"/>
      <c r="I189" s="773"/>
      <c r="J189" s="773"/>
      <c r="K189" s="773"/>
      <c r="L189" s="773"/>
      <c r="M189" s="773"/>
      <c r="N189" s="773"/>
    </row>
    <row r="190" spans="2:14" ht="37.5">
      <c r="B190" s="774">
        <v>60</v>
      </c>
      <c r="C190" s="770" t="s">
        <v>317</v>
      </c>
      <c r="D190" s="770" t="s">
        <v>1809</v>
      </c>
      <c r="E190" s="770" t="s">
        <v>694</v>
      </c>
      <c r="F190" s="770" t="s">
        <v>557</v>
      </c>
      <c r="G190" s="770">
        <v>216</v>
      </c>
      <c r="H190" s="770">
        <v>636</v>
      </c>
      <c r="I190" s="771">
        <v>0.34</v>
      </c>
      <c r="J190" s="770" t="s">
        <v>496</v>
      </c>
      <c r="K190" s="770" t="s">
        <v>624</v>
      </c>
      <c r="L190" s="770" t="s">
        <v>2734</v>
      </c>
      <c r="M190" s="772">
        <v>39124</v>
      </c>
      <c r="N190" s="772">
        <v>181</v>
      </c>
    </row>
    <row r="191" spans="2:14" ht="37.5">
      <c r="B191" s="774">
        <v>60</v>
      </c>
      <c r="C191" s="770" t="s">
        <v>317</v>
      </c>
      <c r="D191" s="770" t="s">
        <v>1810</v>
      </c>
      <c r="E191" s="770" t="s">
        <v>695</v>
      </c>
      <c r="F191" s="770" t="s">
        <v>596</v>
      </c>
      <c r="G191" s="770">
        <v>150</v>
      </c>
      <c r="H191" s="770">
        <v>341</v>
      </c>
      <c r="I191" s="771">
        <v>0.44</v>
      </c>
      <c r="J191" s="770" t="s">
        <v>496</v>
      </c>
      <c r="K191" s="770" t="s">
        <v>518</v>
      </c>
      <c r="L191" s="770" t="s">
        <v>2734</v>
      </c>
      <c r="M191" s="772">
        <v>54025</v>
      </c>
      <c r="N191" s="772">
        <v>360</v>
      </c>
    </row>
    <row r="192" spans="2:14" ht="37.5">
      <c r="B192" s="774">
        <v>60</v>
      </c>
      <c r="C192" s="770" t="s">
        <v>317</v>
      </c>
      <c r="D192" s="770" t="s">
        <v>1811</v>
      </c>
      <c r="E192" s="770" t="s">
        <v>696</v>
      </c>
      <c r="F192" s="770" t="s">
        <v>697</v>
      </c>
      <c r="G192" s="770">
        <v>255</v>
      </c>
      <c r="H192" s="770">
        <v>554</v>
      </c>
      <c r="I192" s="771">
        <v>0.46</v>
      </c>
      <c r="J192" s="770" t="s">
        <v>496</v>
      </c>
      <c r="K192" s="770" t="s">
        <v>518</v>
      </c>
      <c r="L192" s="770" t="s">
        <v>2734</v>
      </c>
      <c r="M192" s="772">
        <v>90143</v>
      </c>
      <c r="N192" s="772">
        <v>353</v>
      </c>
    </row>
    <row r="193" spans="2:14" ht="37.5">
      <c r="B193" s="774">
        <v>60</v>
      </c>
      <c r="C193" s="770" t="s">
        <v>317</v>
      </c>
      <c r="D193" s="770" t="s">
        <v>1812</v>
      </c>
      <c r="E193" s="770" t="s">
        <v>698</v>
      </c>
      <c r="F193" s="770" t="s">
        <v>671</v>
      </c>
      <c r="G193" s="770">
        <v>163</v>
      </c>
      <c r="H193" s="770">
        <v>355</v>
      </c>
      <c r="I193" s="771">
        <v>0.45900000000000002</v>
      </c>
      <c r="J193" s="770" t="s">
        <v>496</v>
      </c>
      <c r="K193" s="770" t="s">
        <v>518</v>
      </c>
      <c r="L193" s="770" t="s">
        <v>2734</v>
      </c>
      <c r="M193" s="772">
        <v>57621</v>
      </c>
      <c r="N193" s="772">
        <v>353</v>
      </c>
    </row>
    <row r="194" spans="2:14" ht="37.5">
      <c r="B194" s="774">
        <v>60</v>
      </c>
      <c r="C194" s="770" t="s">
        <v>317</v>
      </c>
      <c r="D194" s="770" t="s">
        <v>1813</v>
      </c>
      <c r="E194" s="770" t="s">
        <v>1814</v>
      </c>
      <c r="F194" s="770" t="s">
        <v>621</v>
      </c>
      <c r="G194" s="770">
        <v>168</v>
      </c>
      <c r="H194" s="770">
        <v>335</v>
      </c>
      <c r="I194" s="771">
        <v>0.501</v>
      </c>
      <c r="J194" s="770" t="s">
        <v>496</v>
      </c>
      <c r="K194" s="770" t="s">
        <v>518</v>
      </c>
      <c r="L194" s="770" t="s">
        <v>2734</v>
      </c>
      <c r="M194" s="772">
        <v>58388</v>
      </c>
      <c r="N194" s="772">
        <v>347</v>
      </c>
    </row>
    <row r="195" spans="2:14">
      <c r="B195" s="773"/>
      <c r="C195" s="773"/>
      <c r="D195" s="773"/>
      <c r="E195" s="773"/>
      <c r="F195" s="773"/>
      <c r="G195" s="773"/>
      <c r="H195" s="773"/>
      <c r="I195" s="773"/>
      <c r="J195" s="773"/>
      <c r="K195" s="773"/>
      <c r="L195" s="773"/>
      <c r="M195" s="773"/>
      <c r="N195" s="773"/>
    </row>
    <row r="196" spans="2:14" ht="37.5">
      <c r="B196" s="774">
        <v>61</v>
      </c>
      <c r="C196" s="770" t="s">
        <v>318</v>
      </c>
      <c r="D196" s="770" t="s">
        <v>1816</v>
      </c>
      <c r="E196" s="770" t="s">
        <v>700</v>
      </c>
      <c r="F196" s="770" t="s">
        <v>557</v>
      </c>
      <c r="G196" s="770">
        <v>286</v>
      </c>
      <c r="H196" s="770">
        <v>847</v>
      </c>
      <c r="I196" s="771">
        <v>0.33800000000000002</v>
      </c>
      <c r="J196" s="770" t="s">
        <v>501</v>
      </c>
      <c r="K196" s="770" t="s">
        <v>497</v>
      </c>
      <c r="L196" s="770" t="s">
        <v>2732</v>
      </c>
      <c r="M196" s="772">
        <v>0</v>
      </c>
      <c r="N196" s="772">
        <v>0</v>
      </c>
    </row>
    <row r="197" spans="2:14" ht="50">
      <c r="B197" s="774">
        <v>61</v>
      </c>
      <c r="C197" s="770" t="s">
        <v>318</v>
      </c>
      <c r="D197" s="770" t="s">
        <v>1817</v>
      </c>
      <c r="E197" s="770" t="s">
        <v>701</v>
      </c>
      <c r="F197" s="770" t="s">
        <v>623</v>
      </c>
      <c r="G197" s="770">
        <v>109</v>
      </c>
      <c r="H197" s="770">
        <v>238</v>
      </c>
      <c r="I197" s="771">
        <v>0.45800000000000002</v>
      </c>
      <c r="J197" s="770" t="s">
        <v>496</v>
      </c>
      <c r="K197" s="770" t="s">
        <v>518</v>
      </c>
      <c r="L197" s="770" t="s">
        <v>2732</v>
      </c>
      <c r="M197" s="772">
        <v>81480</v>
      </c>
      <c r="N197" s="772">
        <v>747</v>
      </c>
    </row>
    <row r="198" spans="2:14" ht="37.5">
      <c r="B198" s="774">
        <v>61</v>
      </c>
      <c r="C198" s="770" t="s">
        <v>318</v>
      </c>
      <c r="D198" s="770" t="s">
        <v>1818</v>
      </c>
      <c r="E198" s="770" t="s">
        <v>702</v>
      </c>
      <c r="F198" s="770" t="s">
        <v>564</v>
      </c>
      <c r="G198" s="770">
        <v>97</v>
      </c>
      <c r="H198" s="770">
        <v>219</v>
      </c>
      <c r="I198" s="771">
        <v>0.443</v>
      </c>
      <c r="J198" s="770" t="s">
        <v>496</v>
      </c>
      <c r="K198" s="770" t="s">
        <v>518</v>
      </c>
      <c r="L198" s="770" t="s">
        <v>2733</v>
      </c>
      <c r="M198" s="772">
        <v>68088</v>
      </c>
      <c r="N198" s="772">
        <v>701</v>
      </c>
    </row>
    <row r="199" spans="2:14" ht="37.5">
      <c r="B199" s="774">
        <v>61</v>
      </c>
      <c r="C199" s="770" t="s">
        <v>318</v>
      </c>
      <c r="D199" s="770" t="s">
        <v>1819</v>
      </c>
      <c r="E199" s="770" t="s">
        <v>703</v>
      </c>
      <c r="F199" s="770" t="s">
        <v>564</v>
      </c>
      <c r="G199" s="770">
        <v>122</v>
      </c>
      <c r="H199" s="770">
        <v>379</v>
      </c>
      <c r="I199" s="771">
        <v>0.32200000000000001</v>
      </c>
      <c r="J199" s="770" t="s">
        <v>501</v>
      </c>
      <c r="K199" s="770" t="s">
        <v>497</v>
      </c>
      <c r="L199" s="770" t="s">
        <v>2732</v>
      </c>
      <c r="M199" s="772">
        <v>0</v>
      </c>
      <c r="N199" s="772">
        <v>0</v>
      </c>
    </row>
    <row r="200" spans="2:14" ht="37.5">
      <c r="B200" s="774">
        <v>61</v>
      </c>
      <c r="C200" s="770" t="s">
        <v>318</v>
      </c>
      <c r="D200" s="770" t="s">
        <v>1820</v>
      </c>
      <c r="E200" s="770" t="s">
        <v>704</v>
      </c>
      <c r="F200" s="770" t="s">
        <v>564</v>
      </c>
      <c r="G200" s="770">
        <v>195</v>
      </c>
      <c r="H200" s="770">
        <v>442</v>
      </c>
      <c r="I200" s="771">
        <v>0.441</v>
      </c>
      <c r="J200" s="770" t="s">
        <v>496</v>
      </c>
      <c r="K200" s="770" t="s">
        <v>497</v>
      </c>
      <c r="L200" s="770" t="s">
        <v>2732</v>
      </c>
      <c r="M200" s="772">
        <v>0</v>
      </c>
      <c r="N200" s="772">
        <v>0</v>
      </c>
    </row>
    <row r="201" spans="2:14" ht="37.5">
      <c r="B201" s="774">
        <v>61</v>
      </c>
      <c r="C201" s="770" t="s">
        <v>318</v>
      </c>
      <c r="D201" s="770" t="s">
        <v>1821</v>
      </c>
      <c r="E201" s="770" t="s">
        <v>705</v>
      </c>
      <c r="F201" s="770" t="s">
        <v>706</v>
      </c>
      <c r="G201" s="770">
        <v>261</v>
      </c>
      <c r="H201" s="770">
        <v>415</v>
      </c>
      <c r="I201" s="771">
        <v>0.629</v>
      </c>
      <c r="J201" s="770" t="s">
        <v>496</v>
      </c>
      <c r="K201" s="770" t="s">
        <v>518</v>
      </c>
      <c r="L201" s="770" t="s">
        <v>2732</v>
      </c>
      <c r="M201" s="772">
        <v>206059</v>
      </c>
      <c r="N201" s="772">
        <v>789</v>
      </c>
    </row>
    <row r="202" spans="2:14" ht="37.5">
      <c r="B202" s="774">
        <v>61</v>
      </c>
      <c r="C202" s="770" t="s">
        <v>318</v>
      </c>
      <c r="D202" s="770" t="s">
        <v>1822</v>
      </c>
      <c r="E202" s="770" t="s">
        <v>707</v>
      </c>
      <c r="F202" s="770" t="s">
        <v>554</v>
      </c>
      <c r="G202" s="770">
        <v>289</v>
      </c>
      <c r="H202" s="770">
        <v>726</v>
      </c>
      <c r="I202" s="771">
        <v>0.39800000000000002</v>
      </c>
      <c r="J202" s="770" t="s">
        <v>496</v>
      </c>
      <c r="K202" s="770" t="s">
        <v>497</v>
      </c>
      <c r="L202" s="770" t="s">
        <v>2734</v>
      </c>
      <c r="M202" s="772">
        <v>0</v>
      </c>
      <c r="N202" s="772">
        <v>0</v>
      </c>
    </row>
    <row r="203" spans="2:14" ht="37.5">
      <c r="B203" s="774">
        <v>61</v>
      </c>
      <c r="C203" s="770" t="s">
        <v>318</v>
      </c>
      <c r="D203" s="770" t="s">
        <v>1823</v>
      </c>
      <c r="E203" s="770" t="s">
        <v>708</v>
      </c>
      <c r="F203" s="770" t="s">
        <v>557</v>
      </c>
      <c r="G203" s="770">
        <v>20</v>
      </c>
      <c r="H203" s="770">
        <v>43</v>
      </c>
      <c r="I203" s="771">
        <v>0.46500000000000002</v>
      </c>
      <c r="J203" s="770" t="s">
        <v>496</v>
      </c>
      <c r="K203" s="770" t="s">
        <v>497</v>
      </c>
      <c r="L203" s="770" t="s">
        <v>2732</v>
      </c>
      <c r="M203" s="772">
        <v>0</v>
      </c>
      <c r="N203" s="772">
        <v>0</v>
      </c>
    </row>
    <row r="204" spans="2:14">
      <c r="B204" s="773"/>
      <c r="C204" s="773"/>
      <c r="D204" s="773"/>
      <c r="E204" s="773"/>
      <c r="F204" s="773"/>
      <c r="G204" s="773"/>
      <c r="H204" s="773"/>
      <c r="I204" s="773"/>
      <c r="J204" s="773"/>
      <c r="K204" s="773"/>
      <c r="L204" s="773"/>
      <c r="M204" s="773"/>
      <c r="N204" s="773"/>
    </row>
    <row r="205" spans="2:14" ht="50">
      <c r="B205" s="774">
        <v>71</v>
      </c>
      <c r="C205" s="770" t="s">
        <v>319</v>
      </c>
      <c r="D205" s="770" t="s">
        <v>1826</v>
      </c>
      <c r="E205" s="770" t="s">
        <v>709</v>
      </c>
      <c r="F205" s="770" t="s">
        <v>623</v>
      </c>
      <c r="G205" s="770">
        <v>122</v>
      </c>
      <c r="H205" s="770">
        <v>241</v>
      </c>
      <c r="I205" s="771">
        <v>0.50600000000000001</v>
      </c>
      <c r="J205" s="770" t="s">
        <v>496</v>
      </c>
      <c r="K205" s="770" t="s">
        <v>624</v>
      </c>
      <c r="L205" s="770" t="s">
        <v>2732</v>
      </c>
      <c r="M205" s="772">
        <v>103710</v>
      </c>
      <c r="N205" s="772">
        <v>850</v>
      </c>
    </row>
    <row r="206" spans="2:14" ht="37.5">
      <c r="B206" s="774">
        <v>71</v>
      </c>
      <c r="C206" s="770" t="s">
        <v>319</v>
      </c>
      <c r="D206" s="770" t="s">
        <v>1827</v>
      </c>
      <c r="E206" s="770" t="s">
        <v>710</v>
      </c>
      <c r="F206" s="770" t="s">
        <v>512</v>
      </c>
      <c r="G206" s="770"/>
      <c r="H206" s="770"/>
      <c r="I206" s="770"/>
      <c r="J206" s="770" t="s">
        <v>496</v>
      </c>
      <c r="K206" s="770" t="s">
        <v>624</v>
      </c>
      <c r="L206" s="770" t="s">
        <v>2732</v>
      </c>
      <c r="M206" s="772">
        <v>2758</v>
      </c>
      <c r="N206" s="772">
        <v>919</v>
      </c>
    </row>
    <row r="207" spans="2:14">
      <c r="B207" s="773"/>
      <c r="C207" s="773"/>
      <c r="D207" s="773"/>
      <c r="E207" s="773"/>
      <c r="F207" s="773"/>
      <c r="G207" s="773"/>
      <c r="H207" s="773"/>
      <c r="I207" s="773"/>
      <c r="J207" s="773"/>
      <c r="K207" s="773"/>
      <c r="L207" s="773"/>
      <c r="M207" s="773"/>
      <c r="N207" s="773"/>
    </row>
    <row r="208" spans="2:14" ht="37.5">
      <c r="B208" s="774">
        <v>72</v>
      </c>
      <c r="C208" s="770" t="s">
        <v>320</v>
      </c>
      <c r="D208" s="770" t="s">
        <v>1829</v>
      </c>
      <c r="E208" s="770" t="s">
        <v>711</v>
      </c>
      <c r="F208" s="770" t="s">
        <v>512</v>
      </c>
      <c r="G208" s="770">
        <v>80</v>
      </c>
      <c r="H208" s="770">
        <v>165</v>
      </c>
      <c r="I208" s="771">
        <v>0.48499999999999999</v>
      </c>
      <c r="J208" s="770" t="s">
        <v>496</v>
      </c>
      <c r="K208" s="770" t="s">
        <v>518</v>
      </c>
      <c r="L208" s="770" t="s">
        <v>2732</v>
      </c>
      <c r="M208" s="772">
        <v>55176</v>
      </c>
      <c r="N208" s="772">
        <v>689</v>
      </c>
    </row>
    <row r="209" spans="2:14" ht="25">
      <c r="B209" s="774">
        <v>72</v>
      </c>
      <c r="C209" s="770" t="s">
        <v>320</v>
      </c>
      <c r="D209" s="770" t="s">
        <v>1830</v>
      </c>
      <c r="E209" s="770" t="s">
        <v>712</v>
      </c>
      <c r="F209" s="770" t="s">
        <v>546</v>
      </c>
      <c r="G209" s="770">
        <v>70</v>
      </c>
      <c r="H209" s="770">
        <v>165</v>
      </c>
      <c r="I209" s="771">
        <v>0.42399999999999999</v>
      </c>
      <c r="J209" s="770" t="s">
        <v>496</v>
      </c>
      <c r="K209" s="770" t="s">
        <v>497</v>
      </c>
      <c r="L209" s="770" t="s">
        <v>2732</v>
      </c>
      <c r="M209" s="772">
        <v>0</v>
      </c>
      <c r="N209" s="772">
        <v>0</v>
      </c>
    </row>
    <row r="210" spans="2:14">
      <c r="B210" s="773"/>
      <c r="C210" s="773"/>
      <c r="D210" s="773"/>
      <c r="E210" s="773"/>
      <c r="F210" s="773"/>
      <c r="G210" s="773"/>
      <c r="H210" s="773"/>
      <c r="I210" s="773"/>
      <c r="J210" s="773"/>
      <c r="K210" s="773"/>
      <c r="L210" s="773"/>
      <c r="M210" s="773"/>
      <c r="N210" s="773"/>
    </row>
    <row r="211" spans="2:14" ht="37.5">
      <c r="B211" s="774">
        <v>73</v>
      </c>
      <c r="C211" s="770" t="s">
        <v>321</v>
      </c>
      <c r="D211" s="770" t="s">
        <v>1832</v>
      </c>
      <c r="E211" s="770" t="s">
        <v>713</v>
      </c>
      <c r="F211" s="770" t="s">
        <v>564</v>
      </c>
      <c r="G211" s="770">
        <v>76</v>
      </c>
      <c r="H211" s="770">
        <v>98</v>
      </c>
      <c r="I211" s="771">
        <v>0.77600000000000002</v>
      </c>
      <c r="J211" s="770" t="s">
        <v>496</v>
      </c>
      <c r="K211" s="770" t="s">
        <v>624</v>
      </c>
      <c r="L211" s="770" t="s">
        <v>2732</v>
      </c>
      <c r="M211" s="772">
        <v>44589</v>
      </c>
      <c r="N211" s="772">
        <v>586</v>
      </c>
    </row>
    <row r="212" spans="2:14" ht="37.5">
      <c r="B212" s="774">
        <v>73</v>
      </c>
      <c r="C212" s="770" t="s">
        <v>321</v>
      </c>
      <c r="D212" s="770" t="s">
        <v>1833</v>
      </c>
      <c r="E212" s="770" t="s">
        <v>714</v>
      </c>
      <c r="F212" s="770" t="s">
        <v>715</v>
      </c>
      <c r="G212" s="770">
        <v>73</v>
      </c>
      <c r="H212" s="770">
        <v>125</v>
      </c>
      <c r="I212" s="771">
        <v>0.58399999999999996</v>
      </c>
      <c r="J212" s="770" t="s">
        <v>496</v>
      </c>
      <c r="K212" s="770" t="s">
        <v>497</v>
      </c>
      <c r="L212" s="770" t="s">
        <v>2734</v>
      </c>
      <c r="M212" s="772">
        <v>0</v>
      </c>
      <c r="N212" s="772">
        <v>0</v>
      </c>
    </row>
    <row r="213" spans="2:14">
      <c r="B213" s="773"/>
      <c r="C213" s="773"/>
      <c r="D213" s="773"/>
      <c r="E213" s="773"/>
      <c r="F213" s="773"/>
      <c r="G213" s="773"/>
      <c r="H213" s="773"/>
      <c r="I213" s="773"/>
      <c r="J213" s="773"/>
      <c r="K213" s="773"/>
      <c r="L213" s="773"/>
      <c r="M213" s="773"/>
      <c r="N213" s="773"/>
    </row>
    <row r="214" spans="2:14" ht="37.5">
      <c r="B214" s="774">
        <v>83</v>
      </c>
      <c r="C214" s="770" t="s">
        <v>322</v>
      </c>
      <c r="D214" s="770" t="s">
        <v>1835</v>
      </c>
      <c r="E214" s="770" t="s">
        <v>716</v>
      </c>
      <c r="F214" s="770" t="s">
        <v>596</v>
      </c>
      <c r="G214" s="770">
        <v>84</v>
      </c>
      <c r="H214" s="770">
        <v>165</v>
      </c>
      <c r="I214" s="771">
        <v>0.50900000000000001</v>
      </c>
      <c r="J214" s="770" t="s">
        <v>496</v>
      </c>
      <c r="K214" s="770" t="s">
        <v>497</v>
      </c>
      <c r="L214" s="770" t="s">
        <v>2734</v>
      </c>
      <c r="M214" s="772">
        <v>0</v>
      </c>
      <c r="N214" s="772">
        <v>0</v>
      </c>
    </row>
    <row r="215" spans="2:14" ht="37.5">
      <c r="B215" s="774">
        <v>83</v>
      </c>
      <c r="C215" s="770" t="s">
        <v>322</v>
      </c>
      <c r="D215" s="770" t="s">
        <v>1836</v>
      </c>
      <c r="E215" s="770" t="s">
        <v>717</v>
      </c>
      <c r="F215" s="770" t="s">
        <v>557</v>
      </c>
      <c r="G215" s="770">
        <v>153</v>
      </c>
      <c r="H215" s="770">
        <v>331</v>
      </c>
      <c r="I215" s="771">
        <v>0.46200000000000002</v>
      </c>
      <c r="J215" s="770" t="s">
        <v>496</v>
      </c>
      <c r="K215" s="770" t="s">
        <v>497</v>
      </c>
      <c r="L215" s="770" t="s">
        <v>2734</v>
      </c>
      <c r="M215" s="772">
        <v>0</v>
      </c>
      <c r="N215" s="772">
        <v>0</v>
      </c>
    </row>
    <row r="216" spans="2:14" ht="37.5">
      <c r="B216" s="774">
        <v>83</v>
      </c>
      <c r="C216" s="770" t="s">
        <v>322</v>
      </c>
      <c r="D216" s="770" t="s">
        <v>1837</v>
      </c>
      <c r="E216" s="770" t="s">
        <v>718</v>
      </c>
      <c r="F216" s="770" t="s">
        <v>512</v>
      </c>
      <c r="G216" s="770">
        <v>20</v>
      </c>
      <c r="H216" s="770">
        <v>39</v>
      </c>
      <c r="I216" s="771">
        <v>0.51300000000000001</v>
      </c>
      <c r="J216" s="770" t="s">
        <v>496</v>
      </c>
      <c r="K216" s="770" t="s">
        <v>518</v>
      </c>
      <c r="L216" s="770" t="s">
        <v>2732</v>
      </c>
      <c r="M216" s="772">
        <v>32500</v>
      </c>
      <c r="N216" s="772">
        <v>1625</v>
      </c>
    </row>
    <row r="217" spans="2:14" ht="37.5">
      <c r="B217" s="774">
        <v>83</v>
      </c>
      <c r="C217" s="770" t="s">
        <v>322</v>
      </c>
      <c r="D217" s="770" t="s">
        <v>1838</v>
      </c>
      <c r="E217" s="770" t="s">
        <v>719</v>
      </c>
      <c r="F217" s="770" t="s">
        <v>512</v>
      </c>
      <c r="G217" s="770">
        <v>246</v>
      </c>
      <c r="H217" s="770">
        <v>401</v>
      </c>
      <c r="I217" s="771">
        <v>0.61299999999999999</v>
      </c>
      <c r="J217" s="770" t="s">
        <v>496</v>
      </c>
      <c r="K217" s="770" t="s">
        <v>518</v>
      </c>
      <c r="L217" s="770" t="s">
        <v>2734</v>
      </c>
      <c r="M217" s="772">
        <v>399750</v>
      </c>
      <c r="N217" s="772">
        <v>1625</v>
      </c>
    </row>
    <row r="218" spans="2:14" ht="37.5">
      <c r="B218" s="774">
        <v>83</v>
      </c>
      <c r="C218" s="770" t="s">
        <v>322</v>
      </c>
      <c r="D218" s="770" t="s">
        <v>1839</v>
      </c>
      <c r="E218" s="770" t="s">
        <v>720</v>
      </c>
      <c r="F218" s="770" t="s">
        <v>512</v>
      </c>
      <c r="G218" s="770">
        <v>90</v>
      </c>
      <c r="H218" s="770">
        <v>134</v>
      </c>
      <c r="I218" s="771">
        <v>0.67200000000000004</v>
      </c>
      <c r="J218" s="770" t="s">
        <v>496</v>
      </c>
      <c r="K218" s="770" t="s">
        <v>518</v>
      </c>
      <c r="L218" s="770" t="s">
        <v>2732</v>
      </c>
      <c r="M218" s="772">
        <v>146250</v>
      </c>
      <c r="N218" s="772">
        <v>1625</v>
      </c>
    </row>
    <row r="219" spans="2:14" ht="37.5">
      <c r="B219" s="774">
        <v>83</v>
      </c>
      <c r="C219" s="770" t="s">
        <v>322</v>
      </c>
      <c r="D219" s="770" t="s">
        <v>1840</v>
      </c>
      <c r="E219" s="770" t="s">
        <v>2739</v>
      </c>
      <c r="F219" s="770" t="s">
        <v>557</v>
      </c>
      <c r="G219" s="770"/>
      <c r="H219" s="770"/>
      <c r="I219" s="770"/>
      <c r="J219" s="770" t="s">
        <v>496</v>
      </c>
      <c r="K219" s="770" t="s">
        <v>497</v>
      </c>
      <c r="L219" s="770" t="s">
        <v>2734</v>
      </c>
      <c r="M219" s="772">
        <v>0</v>
      </c>
      <c r="N219" s="772">
        <v>0</v>
      </c>
    </row>
    <row r="220" spans="2:14">
      <c r="B220" s="773"/>
      <c r="C220" s="773"/>
      <c r="D220" s="773"/>
      <c r="E220" s="773"/>
      <c r="F220" s="773"/>
      <c r="G220" s="773"/>
      <c r="H220" s="773"/>
      <c r="I220" s="773"/>
      <c r="J220" s="773"/>
      <c r="K220" s="773"/>
      <c r="L220" s="773"/>
      <c r="M220" s="773"/>
      <c r="N220" s="773"/>
    </row>
    <row r="221" spans="2:14" ht="50">
      <c r="B221" s="774">
        <v>84</v>
      </c>
      <c r="C221" s="770" t="s">
        <v>721</v>
      </c>
      <c r="D221" s="770" t="s">
        <v>1843</v>
      </c>
      <c r="E221" s="770" t="s">
        <v>722</v>
      </c>
      <c r="F221" s="770" t="s">
        <v>596</v>
      </c>
      <c r="G221" s="770">
        <v>203</v>
      </c>
      <c r="H221" s="770">
        <v>504</v>
      </c>
      <c r="I221" s="771">
        <v>0.40300000000000002</v>
      </c>
      <c r="J221" s="770" t="s">
        <v>496</v>
      </c>
      <c r="K221" s="770" t="s">
        <v>497</v>
      </c>
      <c r="L221" s="770" t="s">
        <v>2732</v>
      </c>
      <c r="M221" s="772">
        <v>0</v>
      </c>
      <c r="N221" s="772">
        <v>0</v>
      </c>
    </row>
    <row r="222" spans="2:14" ht="50">
      <c r="B222" s="774">
        <v>84</v>
      </c>
      <c r="C222" s="770" t="s">
        <v>721</v>
      </c>
      <c r="D222" s="770" t="s">
        <v>1844</v>
      </c>
      <c r="E222" s="770" t="s">
        <v>723</v>
      </c>
      <c r="F222" s="770" t="s">
        <v>546</v>
      </c>
      <c r="G222" s="770"/>
      <c r="H222" s="770"/>
      <c r="I222" s="770"/>
      <c r="J222" s="770" t="s">
        <v>501</v>
      </c>
      <c r="K222" s="770" t="s">
        <v>497</v>
      </c>
      <c r="L222" s="770" t="s">
        <v>2732</v>
      </c>
      <c r="M222" s="772">
        <v>0</v>
      </c>
      <c r="N222" s="770"/>
    </row>
    <row r="223" spans="2:14" ht="50">
      <c r="B223" s="774">
        <v>84</v>
      </c>
      <c r="C223" s="770" t="s">
        <v>721</v>
      </c>
      <c r="D223" s="770" t="s">
        <v>1845</v>
      </c>
      <c r="E223" s="770" t="s">
        <v>724</v>
      </c>
      <c r="F223" s="770" t="s">
        <v>546</v>
      </c>
      <c r="G223" s="770">
        <v>327</v>
      </c>
      <c r="H223" s="770">
        <v>985</v>
      </c>
      <c r="I223" s="771">
        <v>0.33200000000000002</v>
      </c>
      <c r="J223" s="770" t="s">
        <v>501</v>
      </c>
      <c r="K223" s="770" t="s">
        <v>497</v>
      </c>
      <c r="L223" s="770" t="s">
        <v>2732</v>
      </c>
      <c r="M223" s="772">
        <v>0</v>
      </c>
      <c r="N223" s="772">
        <v>0</v>
      </c>
    </row>
    <row r="224" spans="2:14" ht="50">
      <c r="B224" s="774">
        <v>84</v>
      </c>
      <c r="C224" s="770" t="s">
        <v>721</v>
      </c>
      <c r="D224" s="770" t="s">
        <v>1846</v>
      </c>
      <c r="E224" s="770" t="s">
        <v>725</v>
      </c>
      <c r="F224" s="770" t="s">
        <v>512</v>
      </c>
      <c r="G224" s="770">
        <v>229</v>
      </c>
      <c r="H224" s="770">
        <v>411</v>
      </c>
      <c r="I224" s="771">
        <v>0.55700000000000005</v>
      </c>
      <c r="J224" s="770" t="s">
        <v>496</v>
      </c>
      <c r="K224" s="770" t="s">
        <v>518</v>
      </c>
      <c r="L224" s="770" t="s">
        <v>2732</v>
      </c>
      <c r="M224" s="772">
        <v>106080</v>
      </c>
      <c r="N224" s="772">
        <v>463</v>
      </c>
    </row>
    <row r="225" spans="2:14" ht="50">
      <c r="B225" s="774">
        <v>84</v>
      </c>
      <c r="C225" s="770" t="s">
        <v>721</v>
      </c>
      <c r="D225" s="770" t="s">
        <v>1847</v>
      </c>
      <c r="E225" s="770" t="s">
        <v>726</v>
      </c>
      <c r="F225" s="770" t="s">
        <v>512</v>
      </c>
      <c r="G225" s="770">
        <v>47</v>
      </c>
      <c r="H225" s="770">
        <v>99</v>
      </c>
      <c r="I225" s="771">
        <v>0.47499999999999998</v>
      </c>
      <c r="J225" s="770" t="s">
        <v>496</v>
      </c>
      <c r="K225" s="770" t="s">
        <v>518</v>
      </c>
      <c r="L225" s="770" t="s">
        <v>2732</v>
      </c>
      <c r="M225" s="772">
        <v>19407</v>
      </c>
      <c r="N225" s="772">
        <v>412</v>
      </c>
    </row>
    <row r="226" spans="2:14" ht="50">
      <c r="B226" s="774">
        <v>84</v>
      </c>
      <c r="C226" s="770" t="s">
        <v>721</v>
      </c>
      <c r="D226" s="770" t="s">
        <v>1848</v>
      </c>
      <c r="E226" s="770" t="s">
        <v>727</v>
      </c>
      <c r="F226" s="770" t="s">
        <v>512</v>
      </c>
      <c r="G226" s="770">
        <v>150</v>
      </c>
      <c r="H226" s="770">
        <v>282</v>
      </c>
      <c r="I226" s="771">
        <v>0.53200000000000003</v>
      </c>
      <c r="J226" s="770" t="s">
        <v>496</v>
      </c>
      <c r="K226" s="770" t="s">
        <v>518</v>
      </c>
      <c r="L226" s="770" t="s">
        <v>2732</v>
      </c>
      <c r="M226" s="772">
        <v>66300</v>
      </c>
      <c r="N226" s="772">
        <v>442</v>
      </c>
    </row>
    <row r="227" spans="2:14" ht="50">
      <c r="B227" s="774">
        <v>84</v>
      </c>
      <c r="C227" s="770" t="s">
        <v>721</v>
      </c>
      <c r="D227" s="770" t="s">
        <v>1849</v>
      </c>
      <c r="E227" s="770" t="s">
        <v>728</v>
      </c>
      <c r="F227" s="770" t="s">
        <v>512</v>
      </c>
      <c r="G227" s="770">
        <v>306</v>
      </c>
      <c r="H227" s="770">
        <v>523</v>
      </c>
      <c r="I227" s="771">
        <v>0.58499999999999996</v>
      </c>
      <c r="J227" s="770" t="s">
        <v>496</v>
      </c>
      <c r="K227" s="770" t="s">
        <v>518</v>
      </c>
      <c r="L227" s="770" t="s">
        <v>2732</v>
      </c>
      <c r="M227" s="772">
        <v>154568</v>
      </c>
      <c r="N227" s="772">
        <v>505</v>
      </c>
    </row>
    <row r="228" spans="2:14" ht="50">
      <c r="B228" s="774">
        <v>84</v>
      </c>
      <c r="C228" s="770" t="s">
        <v>721</v>
      </c>
      <c r="D228" s="770" t="s">
        <v>1851</v>
      </c>
      <c r="E228" s="770" t="s">
        <v>729</v>
      </c>
      <c r="F228" s="770" t="s">
        <v>512</v>
      </c>
      <c r="G228" s="770">
        <v>51</v>
      </c>
      <c r="H228" s="770">
        <v>124</v>
      </c>
      <c r="I228" s="771">
        <v>0.41099999999999998</v>
      </c>
      <c r="J228" s="770" t="s">
        <v>496</v>
      </c>
      <c r="K228" s="770" t="s">
        <v>518</v>
      </c>
      <c r="L228" s="770" t="s">
        <v>2732</v>
      </c>
      <c r="M228" s="772">
        <v>20760</v>
      </c>
      <c r="N228" s="772">
        <v>407</v>
      </c>
    </row>
    <row r="229" spans="2:14" ht="50">
      <c r="B229" s="774">
        <v>84</v>
      </c>
      <c r="C229" s="770" t="s">
        <v>721</v>
      </c>
      <c r="D229" s="770" t="s">
        <v>1852</v>
      </c>
      <c r="E229" s="770" t="s">
        <v>519</v>
      </c>
      <c r="F229" s="770" t="s">
        <v>512</v>
      </c>
      <c r="G229" s="770">
        <v>118</v>
      </c>
      <c r="H229" s="770">
        <v>320</v>
      </c>
      <c r="I229" s="771">
        <v>0.36899999999999999</v>
      </c>
      <c r="J229" s="770" t="s">
        <v>496</v>
      </c>
      <c r="K229" s="770" t="s">
        <v>497</v>
      </c>
      <c r="L229" s="770" t="s">
        <v>2732</v>
      </c>
      <c r="M229" s="772">
        <v>0</v>
      </c>
      <c r="N229" s="772">
        <v>0</v>
      </c>
    </row>
    <row r="230" spans="2:14" ht="50">
      <c r="B230" s="774">
        <v>84</v>
      </c>
      <c r="C230" s="770" t="s">
        <v>721</v>
      </c>
      <c r="D230" s="770" t="s">
        <v>1853</v>
      </c>
      <c r="E230" s="770" t="s">
        <v>730</v>
      </c>
      <c r="F230" s="770" t="s">
        <v>512</v>
      </c>
      <c r="G230" s="770">
        <v>79</v>
      </c>
      <c r="H230" s="770">
        <v>159</v>
      </c>
      <c r="I230" s="771">
        <v>0.497</v>
      </c>
      <c r="J230" s="770" t="s">
        <v>496</v>
      </c>
      <c r="K230" s="770" t="s">
        <v>518</v>
      </c>
      <c r="L230" s="770" t="s">
        <v>2732</v>
      </c>
      <c r="M230" s="772">
        <v>32640</v>
      </c>
      <c r="N230" s="772">
        <v>413</v>
      </c>
    </row>
    <row r="231" spans="2:14" ht="50">
      <c r="B231" s="774">
        <v>84</v>
      </c>
      <c r="C231" s="770" t="s">
        <v>721</v>
      </c>
      <c r="D231" s="770" t="s">
        <v>1856</v>
      </c>
      <c r="E231" s="770" t="s">
        <v>731</v>
      </c>
      <c r="F231" s="770" t="s">
        <v>546</v>
      </c>
      <c r="G231" s="770">
        <v>71</v>
      </c>
      <c r="H231" s="770">
        <v>100</v>
      </c>
      <c r="I231" s="771">
        <v>0.71</v>
      </c>
      <c r="J231" s="770" t="s">
        <v>496</v>
      </c>
      <c r="K231" s="770" t="s">
        <v>518</v>
      </c>
      <c r="L231" s="770" t="s">
        <v>2735</v>
      </c>
      <c r="M231" s="772">
        <v>50054</v>
      </c>
      <c r="N231" s="772">
        <v>704</v>
      </c>
    </row>
    <row r="232" spans="2:14">
      <c r="B232" s="773"/>
      <c r="C232" s="773"/>
      <c r="D232" s="773"/>
      <c r="E232" s="773"/>
      <c r="F232" s="773"/>
      <c r="G232" s="773"/>
      <c r="H232" s="773"/>
      <c r="I232" s="773"/>
      <c r="J232" s="773"/>
      <c r="K232" s="773"/>
      <c r="L232" s="773"/>
      <c r="M232" s="773"/>
      <c r="N232" s="773"/>
    </row>
    <row r="233" spans="2:14" ht="37.5">
      <c r="B233" s="774">
        <v>91</v>
      </c>
      <c r="C233" s="770" t="s">
        <v>324</v>
      </c>
      <c r="D233" s="770" t="s">
        <v>1859</v>
      </c>
      <c r="E233" s="770" t="s">
        <v>732</v>
      </c>
      <c r="F233" s="770" t="s">
        <v>495</v>
      </c>
      <c r="G233" s="770">
        <v>433</v>
      </c>
      <c r="H233" s="770">
        <v>781</v>
      </c>
      <c r="I233" s="771">
        <v>0.55400000000000005</v>
      </c>
      <c r="J233" s="770" t="s">
        <v>496</v>
      </c>
      <c r="K233" s="770" t="s">
        <v>624</v>
      </c>
      <c r="L233" s="770" t="s">
        <v>2732</v>
      </c>
      <c r="M233" s="772">
        <v>86600</v>
      </c>
      <c r="N233" s="772">
        <v>200</v>
      </c>
    </row>
    <row r="234" spans="2:14" ht="37.5">
      <c r="B234" s="774">
        <v>91</v>
      </c>
      <c r="C234" s="770" t="s">
        <v>324</v>
      </c>
      <c r="D234" s="770" t="s">
        <v>1861</v>
      </c>
      <c r="E234" s="770" t="s">
        <v>733</v>
      </c>
      <c r="F234" s="770" t="s">
        <v>504</v>
      </c>
      <c r="G234" s="770">
        <v>475</v>
      </c>
      <c r="H234" s="770">
        <v>1161</v>
      </c>
      <c r="I234" s="771">
        <v>0.40899999999999997</v>
      </c>
      <c r="J234" s="770" t="s">
        <v>496</v>
      </c>
      <c r="K234" s="770" t="s">
        <v>497</v>
      </c>
      <c r="L234" s="770" t="s">
        <v>2734</v>
      </c>
      <c r="M234" s="772">
        <v>0</v>
      </c>
      <c r="N234" s="772">
        <v>0</v>
      </c>
    </row>
    <row r="235" spans="2:14" ht="37.5">
      <c r="B235" s="774">
        <v>91</v>
      </c>
      <c r="C235" s="770" t="s">
        <v>324</v>
      </c>
      <c r="D235" s="770" t="s">
        <v>1862</v>
      </c>
      <c r="E235" s="770" t="s">
        <v>734</v>
      </c>
      <c r="F235" s="770" t="s">
        <v>504</v>
      </c>
      <c r="G235" s="770">
        <v>351</v>
      </c>
      <c r="H235" s="770">
        <v>1193</v>
      </c>
      <c r="I235" s="771">
        <v>0.29399999999999998</v>
      </c>
      <c r="J235" s="770" t="s">
        <v>501</v>
      </c>
      <c r="K235" s="770" t="s">
        <v>497</v>
      </c>
      <c r="L235" s="770" t="s">
        <v>2734</v>
      </c>
      <c r="M235" s="772">
        <v>0</v>
      </c>
      <c r="N235" s="772">
        <v>0</v>
      </c>
    </row>
    <row r="236" spans="2:14" ht="37.5">
      <c r="B236" s="774">
        <v>91</v>
      </c>
      <c r="C236" s="770" t="s">
        <v>324</v>
      </c>
      <c r="D236" s="770" t="s">
        <v>1863</v>
      </c>
      <c r="E236" s="770" t="s">
        <v>735</v>
      </c>
      <c r="F236" s="770" t="s">
        <v>495</v>
      </c>
      <c r="G236" s="770">
        <v>371</v>
      </c>
      <c r="H236" s="770">
        <v>823</v>
      </c>
      <c r="I236" s="771">
        <v>0.45100000000000001</v>
      </c>
      <c r="J236" s="770" t="s">
        <v>496</v>
      </c>
      <c r="K236" s="770" t="s">
        <v>624</v>
      </c>
      <c r="L236" s="770" t="s">
        <v>2734</v>
      </c>
      <c r="M236" s="772">
        <v>74200</v>
      </c>
      <c r="N236" s="772">
        <v>200</v>
      </c>
    </row>
    <row r="237" spans="2:14" ht="37.5">
      <c r="B237" s="774">
        <v>91</v>
      </c>
      <c r="C237" s="770" t="s">
        <v>324</v>
      </c>
      <c r="D237" s="770" t="s">
        <v>1865</v>
      </c>
      <c r="E237" s="770" t="s">
        <v>534</v>
      </c>
      <c r="F237" s="770" t="s">
        <v>512</v>
      </c>
      <c r="G237" s="770">
        <v>194</v>
      </c>
      <c r="H237" s="770">
        <v>503</v>
      </c>
      <c r="I237" s="771">
        <v>0.38600000000000001</v>
      </c>
      <c r="J237" s="770" t="s">
        <v>496</v>
      </c>
      <c r="K237" s="770" t="s">
        <v>624</v>
      </c>
      <c r="L237" s="770" t="s">
        <v>2732</v>
      </c>
      <c r="M237" s="772">
        <v>71780</v>
      </c>
      <c r="N237" s="772">
        <v>370</v>
      </c>
    </row>
    <row r="238" spans="2:14" ht="37.5">
      <c r="B238" s="774">
        <v>91</v>
      </c>
      <c r="C238" s="770" t="s">
        <v>324</v>
      </c>
      <c r="D238" s="770" t="s">
        <v>1866</v>
      </c>
      <c r="E238" s="770" t="s">
        <v>523</v>
      </c>
      <c r="F238" s="770" t="s">
        <v>512</v>
      </c>
      <c r="G238" s="770">
        <v>238</v>
      </c>
      <c r="H238" s="770">
        <v>336</v>
      </c>
      <c r="I238" s="771">
        <v>0.70799999999999996</v>
      </c>
      <c r="J238" s="770" t="s">
        <v>496</v>
      </c>
      <c r="K238" s="770" t="s">
        <v>518</v>
      </c>
      <c r="L238" s="770" t="s">
        <v>2734</v>
      </c>
      <c r="M238" s="772">
        <v>97580</v>
      </c>
      <c r="N238" s="772">
        <v>410</v>
      </c>
    </row>
    <row r="239" spans="2:14" ht="37.5">
      <c r="B239" s="774">
        <v>91</v>
      </c>
      <c r="C239" s="770" t="s">
        <v>324</v>
      </c>
      <c r="D239" s="770" t="s">
        <v>1867</v>
      </c>
      <c r="E239" s="770" t="s">
        <v>736</v>
      </c>
      <c r="F239" s="770" t="s">
        <v>512</v>
      </c>
      <c r="G239" s="770">
        <v>273</v>
      </c>
      <c r="H239" s="770">
        <v>497</v>
      </c>
      <c r="I239" s="771">
        <v>0.54900000000000004</v>
      </c>
      <c r="J239" s="770" t="s">
        <v>496</v>
      </c>
      <c r="K239" s="770" t="s">
        <v>518</v>
      </c>
      <c r="L239" s="770" t="s">
        <v>2734</v>
      </c>
      <c r="M239" s="772">
        <v>106470</v>
      </c>
      <c r="N239" s="772">
        <v>390</v>
      </c>
    </row>
    <row r="240" spans="2:14" ht="37.5">
      <c r="B240" s="774">
        <v>91</v>
      </c>
      <c r="C240" s="770" t="s">
        <v>324</v>
      </c>
      <c r="D240" s="770" t="s">
        <v>1868</v>
      </c>
      <c r="E240" s="770" t="s">
        <v>737</v>
      </c>
      <c r="F240" s="770" t="s">
        <v>512</v>
      </c>
      <c r="G240" s="770">
        <v>346</v>
      </c>
      <c r="H240" s="770">
        <v>446</v>
      </c>
      <c r="I240" s="771">
        <v>0.77600000000000002</v>
      </c>
      <c r="J240" s="770" t="s">
        <v>496</v>
      </c>
      <c r="K240" s="770" t="s">
        <v>518</v>
      </c>
      <c r="L240" s="770" t="s">
        <v>2734</v>
      </c>
      <c r="M240" s="772">
        <v>148780</v>
      </c>
      <c r="N240" s="772">
        <v>430</v>
      </c>
    </row>
    <row r="241" spans="2:14" ht="37.5">
      <c r="B241" s="774">
        <v>91</v>
      </c>
      <c r="C241" s="770" t="s">
        <v>324</v>
      </c>
      <c r="D241" s="770" t="s">
        <v>1869</v>
      </c>
      <c r="E241" s="770" t="s">
        <v>738</v>
      </c>
      <c r="F241" s="770" t="s">
        <v>512</v>
      </c>
      <c r="G241" s="770">
        <v>244</v>
      </c>
      <c r="H241" s="770">
        <v>468</v>
      </c>
      <c r="I241" s="771">
        <v>0.52100000000000002</v>
      </c>
      <c r="J241" s="770" t="s">
        <v>496</v>
      </c>
      <c r="K241" s="770" t="s">
        <v>624</v>
      </c>
      <c r="L241" s="770" t="s">
        <v>2734</v>
      </c>
      <c r="M241" s="772">
        <v>90280</v>
      </c>
      <c r="N241" s="772">
        <v>370</v>
      </c>
    </row>
    <row r="242" spans="2:14" ht="37.5">
      <c r="B242" s="774">
        <v>91</v>
      </c>
      <c r="C242" s="770" t="s">
        <v>324</v>
      </c>
      <c r="D242" s="770" t="s">
        <v>1870</v>
      </c>
      <c r="E242" s="770" t="s">
        <v>739</v>
      </c>
      <c r="F242" s="770" t="s">
        <v>512</v>
      </c>
      <c r="G242" s="770">
        <v>245</v>
      </c>
      <c r="H242" s="770">
        <v>336</v>
      </c>
      <c r="I242" s="771">
        <v>0.72899999999999998</v>
      </c>
      <c r="J242" s="770" t="s">
        <v>496</v>
      </c>
      <c r="K242" s="770" t="s">
        <v>518</v>
      </c>
      <c r="L242" s="770" t="s">
        <v>2734</v>
      </c>
      <c r="M242" s="772">
        <v>100450</v>
      </c>
      <c r="N242" s="772">
        <v>410</v>
      </c>
    </row>
    <row r="243" spans="2:14" ht="37.5">
      <c r="B243" s="774">
        <v>91</v>
      </c>
      <c r="C243" s="770" t="s">
        <v>324</v>
      </c>
      <c r="D243" s="770" t="s">
        <v>1871</v>
      </c>
      <c r="E243" s="770" t="s">
        <v>740</v>
      </c>
      <c r="F243" s="770" t="s">
        <v>512</v>
      </c>
      <c r="G243" s="770">
        <v>252</v>
      </c>
      <c r="H243" s="770">
        <v>368</v>
      </c>
      <c r="I243" s="771">
        <v>0.68500000000000005</v>
      </c>
      <c r="J243" s="770" t="s">
        <v>496</v>
      </c>
      <c r="K243" s="770" t="s">
        <v>518</v>
      </c>
      <c r="L243" s="770" t="s">
        <v>2734</v>
      </c>
      <c r="M243" s="772">
        <v>103320</v>
      </c>
      <c r="N243" s="772">
        <v>410</v>
      </c>
    </row>
    <row r="244" spans="2:14" ht="37.5">
      <c r="B244" s="774">
        <v>91</v>
      </c>
      <c r="C244" s="770" t="s">
        <v>324</v>
      </c>
      <c r="D244" s="770" t="s">
        <v>1872</v>
      </c>
      <c r="E244" s="770" t="s">
        <v>741</v>
      </c>
      <c r="F244" s="770" t="s">
        <v>512</v>
      </c>
      <c r="G244" s="770">
        <v>209</v>
      </c>
      <c r="H244" s="770">
        <v>487</v>
      </c>
      <c r="I244" s="771">
        <v>0.42899999999999999</v>
      </c>
      <c r="J244" s="770" t="s">
        <v>496</v>
      </c>
      <c r="K244" s="770" t="s">
        <v>624</v>
      </c>
      <c r="L244" s="770" t="s">
        <v>2732</v>
      </c>
      <c r="M244" s="772">
        <v>77330</v>
      </c>
      <c r="N244" s="772">
        <v>370</v>
      </c>
    </row>
    <row r="245" spans="2:14" ht="37.5">
      <c r="B245" s="774">
        <v>91</v>
      </c>
      <c r="C245" s="770" t="s">
        <v>324</v>
      </c>
      <c r="D245" s="770" t="s">
        <v>1873</v>
      </c>
      <c r="E245" s="770" t="s">
        <v>742</v>
      </c>
      <c r="F245" s="770" t="s">
        <v>512</v>
      </c>
      <c r="G245" s="770">
        <v>386</v>
      </c>
      <c r="H245" s="770">
        <v>451</v>
      </c>
      <c r="I245" s="771">
        <v>0.85599999999999998</v>
      </c>
      <c r="J245" s="770" t="s">
        <v>496</v>
      </c>
      <c r="K245" s="770" t="s">
        <v>518</v>
      </c>
      <c r="L245" s="770" t="s">
        <v>2733</v>
      </c>
      <c r="M245" s="772">
        <v>173700</v>
      </c>
      <c r="N245" s="772">
        <v>450</v>
      </c>
    </row>
    <row r="246" spans="2:14" ht="37.5">
      <c r="B246" s="774">
        <v>91</v>
      </c>
      <c r="C246" s="770" t="s">
        <v>324</v>
      </c>
      <c r="D246" s="770" t="s">
        <v>1874</v>
      </c>
      <c r="E246" s="770" t="s">
        <v>743</v>
      </c>
      <c r="F246" s="770" t="s">
        <v>512</v>
      </c>
      <c r="G246" s="770">
        <v>385</v>
      </c>
      <c r="H246" s="770">
        <v>523</v>
      </c>
      <c r="I246" s="771">
        <v>0.73599999999999999</v>
      </c>
      <c r="J246" s="770" t="s">
        <v>496</v>
      </c>
      <c r="K246" s="770" t="s">
        <v>518</v>
      </c>
      <c r="L246" s="770" t="s">
        <v>2733</v>
      </c>
      <c r="M246" s="772">
        <v>157850</v>
      </c>
      <c r="N246" s="772">
        <v>410</v>
      </c>
    </row>
    <row r="247" spans="2:14" ht="37.5">
      <c r="B247" s="774">
        <v>91</v>
      </c>
      <c r="C247" s="770" t="s">
        <v>324</v>
      </c>
      <c r="D247" s="770" t="s">
        <v>1875</v>
      </c>
      <c r="E247" s="770" t="s">
        <v>744</v>
      </c>
      <c r="F247" s="770" t="s">
        <v>512</v>
      </c>
      <c r="G247" s="770">
        <v>300</v>
      </c>
      <c r="H247" s="770">
        <v>478</v>
      </c>
      <c r="I247" s="771">
        <v>0.628</v>
      </c>
      <c r="J247" s="770" t="s">
        <v>496</v>
      </c>
      <c r="K247" s="770" t="s">
        <v>518</v>
      </c>
      <c r="L247" s="770" t="s">
        <v>2734</v>
      </c>
      <c r="M247" s="772">
        <v>123000</v>
      </c>
      <c r="N247" s="772">
        <v>410</v>
      </c>
    </row>
    <row r="248" spans="2:14" ht="37.5">
      <c r="B248" s="774">
        <v>91</v>
      </c>
      <c r="C248" s="770" t="s">
        <v>324</v>
      </c>
      <c r="D248" s="770" t="s">
        <v>1876</v>
      </c>
      <c r="E248" s="770" t="s">
        <v>745</v>
      </c>
      <c r="F248" s="770" t="s">
        <v>512</v>
      </c>
      <c r="G248" s="770">
        <v>68</v>
      </c>
      <c r="H248" s="770">
        <v>591</v>
      </c>
      <c r="I248" s="771">
        <v>0.115</v>
      </c>
      <c r="J248" s="770" t="s">
        <v>501</v>
      </c>
      <c r="K248" s="770" t="s">
        <v>497</v>
      </c>
      <c r="L248" s="770" t="s">
        <v>2732</v>
      </c>
      <c r="M248" s="772">
        <v>0</v>
      </c>
      <c r="N248" s="772">
        <v>0</v>
      </c>
    </row>
    <row r="249" spans="2:14" ht="37.5">
      <c r="B249" s="774">
        <v>91</v>
      </c>
      <c r="C249" s="770" t="s">
        <v>324</v>
      </c>
      <c r="D249" s="770" t="s">
        <v>1877</v>
      </c>
      <c r="E249" s="770" t="s">
        <v>2740</v>
      </c>
      <c r="F249" s="770" t="s">
        <v>557</v>
      </c>
      <c r="G249" s="770">
        <v>88</v>
      </c>
      <c r="H249" s="770">
        <v>131</v>
      </c>
      <c r="I249" s="771">
        <v>0.67200000000000004</v>
      </c>
      <c r="J249" s="770" t="s">
        <v>496</v>
      </c>
      <c r="K249" s="770" t="s">
        <v>497</v>
      </c>
      <c r="L249" s="770" t="s">
        <v>2732</v>
      </c>
      <c r="M249" s="772">
        <v>0</v>
      </c>
      <c r="N249" s="772">
        <v>0</v>
      </c>
    </row>
    <row r="250" spans="2:14" ht="25">
      <c r="B250" s="774">
        <v>91</v>
      </c>
      <c r="C250" s="770" t="s">
        <v>324</v>
      </c>
      <c r="D250" s="770" t="s">
        <v>1881</v>
      </c>
      <c r="E250" s="770" t="s">
        <v>747</v>
      </c>
      <c r="F250" s="770" t="s">
        <v>557</v>
      </c>
      <c r="G250" s="770">
        <v>120</v>
      </c>
      <c r="H250" s="770">
        <v>485</v>
      </c>
      <c r="I250" s="771">
        <v>0.247</v>
      </c>
      <c r="J250" s="770" t="s">
        <v>501</v>
      </c>
      <c r="K250" s="770" t="s">
        <v>497</v>
      </c>
      <c r="L250" s="770" t="s">
        <v>2732</v>
      </c>
      <c r="M250" s="772">
        <v>0</v>
      </c>
      <c r="N250" s="772">
        <v>0</v>
      </c>
    </row>
    <row r="251" spans="2:14">
      <c r="B251" s="773"/>
      <c r="C251" s="773"/>
      <c r="D251" s="773"/>
      <c r="E251" s="773"/>
      <c r="F251" s="773"/>
      <c r="G251" s="773"/>
      <c r="H251" s="773"/>
      <c r="I251" s="773"/>
      <c r="J251" s="773"/>
      <c r="K251" s="773"/>
      <c r="L251" s="773"/>
      <c r="M251" s="773"/>
      <c r="N251" s="773"/>
    </row>
    <row r="252" spans="2:14" ht="37.5">
      <c r="B252" s="774">
        <v>92</v>
      </c>
      <c r="C252" s="770" t="s">
        <v>325</v>
      </c>
      <c r="D252" s="770" t="s">
        <v>1883</v>
      </c>
      <c r="E252" s="770" t="s">
        <v>748</v>
      </c>
      <c r="F252" s="770" t="s">
        <v>551</v>
      </c>
      <c r="G252" s="770">
        <v>27</v>
      </c>
      <c r="H252" s="770">
        <v>49</v>
      </c>
      <c r="I252" s="771">
        <v>0.55100000000000005</v>
      </c>
      <c r="J252" s="770" t="s">
        <v>496</v>
      </c>
      <c r="K252" s="770" t="s">
        <v>624</v>
      </c>
      <c r="L252" s="770" t="s">
        <v>2732</v>
      </c>
      <c r="M252" s="772">
        <v>8333</v>
      </c>
      <c r="N252" s="772">
        <v>308</v>
      </c>
    </row>
    <row r="253" spans="2:14">
      <c r="B253" s="773"/>
      <c r="C253" s="773"/>
      <c r="D253" s="773"/>
      <c r="E253" s="773"/>
      <c r="F253" s="773"/>
      <c r="G253" s="773"/>
      <c r="H253" s="773"/>
      <c r="I253" s="773"/>
      <c r="J253" s="773"/>
      <c r="K253" s="773"/>
      <c r="L253" s="773"/>
      <c r="M253" s="773"/>
      <c r="N253" s="773"/>
    </row>
    <row r="254" spans="2:14" ht="37.5">
      <c r="B254" s="774">
        <v>93</v>
      </c>
      <c r="C254" s="770" t="s">
        <v>326</v>
      </c>
      <c r="D254" s="770" t="s">
        <v>1889</v>
      </c>
      <c r="E254" s="770" t="s">
        <v>749</v>
      </c>
      <c r="F254" s="770" t="s">
        <v>596</v>
      </c>
      <c r="G254" s="770">
        <v>274</v>
      </c>
      <c r="H254" s="770">
        <v>844</v>
      </c>
      <c r="I254" s="771">
        <v>0.32500000000000001</v>
      </c>
      <c r="J254" s="770" t="s">
        <v>501</v>
      </c>
      <c r="K254" s="770" t="s">
        <v>497</v>
      </c>
      <c r="L254" s="770" t="s">
        <v>2732</v>
      </c>
      <c r="M254" s="772">
        <v>0</v>
      </c>
      <c r="N254" s="772">
        <v>0</v>
      </c>
    </row>
    <row r="255" spans="2:14" ht="37.5">
      <c r="B255" s="774">
        <v>93</v>
      </c>
      <c r="C255" s="770" t="s">
        <v>326</v>
      </c>
      <c r="D255" s="770" t="s">
        <v>1890</v>
      </c>
      <c r="E255" s="770" t="s">
        <v>750</v>
      </c>
      <c r="F255" s="770" t="s">
        <v>557</v>
      </c>
      <c r="G255" s="770">
        <v>604</v>
      </c>
      <c r="H255" s="770">
        <v>1481</v>
      </c>
      <c r="I255" s="771">
        <v>0.40799999999999997</v>
      </c>
      <c r="J255" s="770" t="s">
        <v>496</v>
      </c>
      <c r="K255" s="770" t="s">
        <v>497</v>
      </c>
      <c r="L255" s="770" t="s">
        <v>2734</v>
      </c>
      <c r="M255" s="772">
        <v>0</v>
      </c>
      <c r="N255" s="772">
        <v>0</v>
      </c>
    </row>
    <row r="256" spans="2:14" ht="37.5">
      <c r="B256" s="774">
        <v>93</v>
      </c>
      <c r="C256" s="770" t="s">
        <v>326</v>
      </c>
      <c r="D256" s="770" t="s">
        <v>1891</v>
      </c>
      <c r="E256" s="770" t="s">
        <v>751</v>
      </c>
      <c r="F256" s="770" t="s">
        <v>557</v>
      </c>
      <c r="G256" s="770">
        <v>394</v>
      </c>
      <c r="H256" s="770">
        <v>1612</v>
      </c>
      <c r="I256" s="771">
        <v>0.24399999999999999</v>
      </c>
      <c r="J256" s="770" t="s">
        <v>501</v>
      </c>
      <c r="K256" s="770" t="s">
        <v>497</v>
      </c>
      <c r="L256" s="770" t="s">
        <v>2732</v>
      </c>
      <c r="M256" s="772">
        <v>0</v>
      </c>
      <c r="N256" s="772">
        <v>0</v>
      </c>
    </row>
    <row r="257" spans="2:14" ht="50">
      <c r="B257" s="774">
        <v>93</v>
      </c>
      <c r="C257" s="770" t="s">
        <v>326</v>
      </c>
      <c r="D257" s="770" t="s">
        <v>1892</v>
      </c>
      <c r="E257" s="770" t="s">
        <v>752</v>
      </c>
      <c r="F257" s="770" t="s">
        <v>753</v>
      </c>
      <c r="G257" s="770">
        <v>478</v>
      </c>
      <c r="H257" s="770">
        <v>941</v>
      </c>
      <c r="I257" s="771">
        <v>0.50800000000000001</v>
      </c>
      <c r="J257" s="770" t="s">
        <v>496</v>
      </c>
      <c r="K257" s="770" t="s">
        <v>518</v>
      </c>
      <c r="L257" s="770" t="s">
        <v>2734</v>
      </c>
      <c r="M257" s="772">
        <v>66920</v>
      </c>
      <c r="N257" s="772">
        <v>140</v>
      </c>
    </row>
    <row r="258" spans="2:14" ht="37.5">
      <c r="B258" s="774">
        <v>93</v>
      </c>
      <c r="C258" s="770" t="s">
        <v>326</v>
      </c>
      <c r="D258" s="770" t="s">
        <v>1893</v>
      </c>
      <c r="E258" s="770" t="s">
        <v>754</v>
      </c>
      <c r="F258" s="770" t="s">
        <v>512</v>
      </c>
      <c r="G258" s="770">
        <v>485</v>
      </c>
      <c r="H258" s="770">
        <v>592</v>
      </c>
      <c r="I258" s="771">
        <v>0.81899999999999995</v>
      </c>
      <c r="J258" s="770" t="s">
        <v>496</v>
      </c>
      <c r="K258" s="770" t="s">
        <v>518</v>
      </c>
      <c r="L258" s="770" t="s">
        <v>2734</v>
      </c>
      <c r="M258" s="772">
        <v>80025</v>
      </c>
      <c r="N258" s="772">
        <v>165</v>
      </c>
    </row>
    <row r="259" spans="2:14" ht="37.5">
      <c r="B259" s="774">
        <v>93</v>
      </c>
      <c r="C259" s="770" t="s">
        <v>326</v>
      </c>
      <c r="D259" s="770" t="s">
        <v>1894</v>
      </c>
      <c r="E259" s="770" t="s">
        <v>755</v>
      </c>
      <c r="F259" s="770" t="s">
        <v>512</v>
      </c>
      <c r="G259" s="770">
        <v>272</v>
      </c>
      <c r="H259" s="770">
        <v>425</v>
      </c>
      <c r="I259" s="771">
        <v>0.64</v>
      </c>
      <c r="J259" s="770" t="s">
        <v>496</v>
      </c>
      <c r="K259" s="770" t="s">
        <v>518</v>
      </c>
      <c r="L259" s="770" t="s">
        <v>2734</v>
      </c>
      <c r="M259" s="772">
        <v>43520</v>
      </c>
      <c r="N259" s="772">
        <v>160</v>
      </c>
    </row>
    <row r="260" spans="2:14" ht="37.5">
      <c r="B260" s="774">
        <v>93</v>
      </c>
      <c r="C260" s="770" t="s">
        <v>326</v>
      </c>
      <c r="D260" s="770" t="s">
        <v>1895</v>
      </c>
      <c r="E260" s="770" t="s">
        <v>756</v>
      </c>
      <c r="F260" s="770" t="s">
        <v>512</v>
      </c>
      <c r="G260" s="770">
        <v>231</v>
      </c>
      <c r="H260" s="770">
        <v>484</v>
      </c>
      <c r="I260" s="771">
        <v>0.47699999999999998</v>
      </c>
      <c r="J260" s="770" t="s">
        <v>496</v>
      </c>
      <c r="K260" s="770" t="s">
        <v>518</v>
      </c>
      <c r="L260" s="770" t="s">
        <v>2732</v>
      </c>
      <c r="M260" s="772">
        <v>30030</v>
      </c>
      <c r="N260" s="772">
        <v>130</v>
      </c>
    </row>
    <row r="261" spans="2:14" ht="37.5">
      <c r="B261" s="774">
        <v>93</v>
      </c>
      <c r="C261" s="770" t="s">
        <v>326</v>
      </c>
      <c r="D261" s="770" t="s">
        <v>1896</v>
      </c>
      <c r="E261" s="770" t="s">
        <v>757</v>
      </c>
      <c r="F261" s="770" t="s">
        <v>512</v>
      </c>
      <c r="G261" s="770">
        <v>231</v>
      </c>
      <c r="H261" s="770">
        <v>484</v>
      </c>
      <c r="I261" s="771">
        <v>0.47699999999999998</v>
      </c>
      <c r="J261" s="770" t="s">
        <v>496</v>
      </c>
      <c r="K261" s="770" t="s">
        <v>624</v>
      </c>
      <c r="L261" s="770" t="s">
        <v>2732</v>
      </c>
      <c r="M261" s="772">
        <v>30030</v>
      </c>
      <c r="N261" s="772">
        <v>130</v>
      </c>
    </row>
    <row r="262" spans="2:14" ht="37.5">
      <c r="B262" s="774">
        <v>93</v>
      </c>
      <c r="C262" s="770" t="s">
        <v>326</v>
      </c>
      <c r="D262" s="770" t="s">
        <v>1897</v>
      </c>
      <c r="E262" s="770" t="s">
        <v>758</v>
      </c>
      <c r="F262" s="770" t="s">
        <v>512</v>
      </c>
      <c r="G262" s="770">
        <v>215</v>
      </c>
      <c r="H262" s="770">
        <v>389</v>
      </c>
      <c r="I262" s="771">
        <v>0.55300000000000005</v>
      </c>
      <c r="J262" s="770" t="s">
        <v>496</v>
      </c>
      <c r="K262" s="770" t="s">
        <v>518</v>
      </c>
      <c r="L262" s="770" t="s">
        <v>2732</v>
      </c>
      <c r="M262" s="772">
        <v>33325</v>
      </c>
      <c r="N262" s="772">
        <v>155</v>
      </c>
    </row>
    <row r="263" spans="2:14" ht="37.5">
      <c r="B263" s="774">
        <v>93</v>
      </c>
      <c r="C263" s="770" t="s">
        <v>326</v>
      </c>
      <c r="D263" s="770" t="s">
        <v>1898</v>
      </c>
      <c r="E263" s="770" t="s">
        <v>759</v>
      </c>
      <c r="F263" s="770" t="s">
        <v>512</v>
      </c>
      <c r="G263" s="770">
        <v>283</v>
      </c>
      <c r="H263" s="770">
        <v>564</v>
      </c>
      <c r="I263" s="771">
        <v>0.502</v>
      </c>
      <c r="J263" s="770" t="s">
        <v>496</v>
      </c>
      <c r="K263" s="770" t="s">
        <v>518</v>
      </c>
      <c r="L263" s="770" t="s">
        <v>2734</v>
      </c>
      <c r="M263" s="772">
        <v>39620</v>
      </c>
      <c r="N263" s="772">
        <v>140</v>
      </c>
    </row>
    <row r="264" spans="2:14" ht="37.5">
      <c r="B264" s="774">
        <v>93</v>
      </c>
      <c r="C264" s="770" t="s">
        <v>326</v>
      </c>
      <c r="D264" s="770" t="s">
        <v>1899</v>
      </c>
      <c r="E264" s="770" t="s">
        <v>760</v>
      </c>
      <c r="F264" s="770" t="s">
        <v>512</v>
      </c>
      <c r="G264" s="770">
        <v>159</v>
      </c>
      <c r="H264" s="770">
        <v>326</v>
      </c>
      <c r="I264" s="771">
        <v>0.48799999999999999</v>
      </c>
      <c r="J264" s="770" t="s">
        <v>496</v>
      </c>
      <c r="K264" s="770" t="s">
        <v>518</v>
      </c>
      <c r="L264" s="770" t="s">
        <v>2732</v>
      </c>
      <c r="M264" s="772">
        <v>20670</v>
      </c>
      <c r="N264" s="772">
        <v>130</v>
      </c>
    </row>
    <row r="265" spans="2:14" ht="37.5">
      <c r="B265" s="774">
        <v>93</v>
      </c>
      <c r="C265" s="770" t="s">
        <v>326</v>
      </c>
      <c r="D265" s="770" t="s">
        <v>1900</v>
      </c>
      <c r="E265" s="770" t="s">
        <v>761</v>
      </c>
      <c r="F265" s="770" t="s">
        <v>512</v>
      </c>
      <c r="G265" s="770">
        <v>168</v>
      </c>
      <c r="H265" s="770">
        <v>338</v>
      </c>
      <c r="I265" s="771">
        <v>0.497</v>
      </c>
      <c r="J265" s="770" t="s">
        <v>496</v>
      </c>
      <c r="K265" s="770" t="s">
        <v>518</v>
      </c>
      <c r="L265" s="770" t="s">
        <v>2732</v>
      </c>
      <c r="M265" s="772">
        <v>21840</v>
      </c>
      <c r="N265" s="772">
        <v>130</v>
      </c>
    </row>
    <row r="266" spans="2:14" ht="37.5">
      <c r="B266" s="774">
        <v>93</v>
      </c>
      <c r="C266" s="770" t="s">
        <v>326</v>
      </c>
      <c r="D266" s="770" t="s">
        <v>1903</v>
      </c>
      <c r="E266" s="770" t="s">
        <v>762</v>
      </c>
      <c r="F266" s="770" t="s">
        <v>512</v>
      </c>
      <c r="G266" s="770">
        <v>75</v>
      </c>
      <c r="H266" s="770">
        <v>564</v>
      </c>
      <c r="I266" s="771">
        <v>0.13300000000000001</v>
      </c>
      <c r="J266" s="770" t="s">
        <v>501</v>
      </c>
      <c r="K266" s="770" t="s">
        <v>497</v>
      </c>
      <c r="L266" s="770" t="s">
        <v>2732</v>
      </c>
      <c r="M266" s="772">
        <v>0</v>
      </c>
      <c r="N266" s="772">
        <v>0</v>
      </c>
    </row>
    <row r="267" spans="2:14" ht="37.5">
      <c r="B267" s="774">
        <v>93</v>
      </c>
      <c r="C267" s="770" t="s">
        <v>326</v>
      </c>
      <c r="D267" s="770" t="s">
        <v>1904</v>
      </c>
      <c r="E267" s="770" t="s">
        <v>763</v>
      </c>
      <c r="F267" s="770" t="s">
        <v>557</v>
      </c>
      <c r="G267" s="770">
        <v>119</v>
      </c>
      <c r="H267" s="770">
        <v>200</v>
      </c>
      <c r="I267" s="771">
        <v>0.59499999999999997</v>
      </c>
      <c r="J267" s="770" t="s">
        <v>496</v>
      </c>
      <c r="K267" s="770" t="s">
        <v>497</v>
      </c>
      <c r="L267" s="770" t="s">
        <v>2734</v>
      </c>
      <c r="M267" s="772">
        <v>0</v>
      </c>
      <c r="N267" s="772">
        <v>0</v>
      </c>
    </row>
    <row r="268" spans="2:14" ht="50">
      <c r="B268" s="774">
        <v>93</v>
      </c>
      <c r="C268" s="770" t="s">
        <v>326</v>
      </c>
      <c r="D268" s="770" t="s">
        <v>1907</v>
      </c>
      <c r="E268" s="770" t="s">
        <v>765</v>
      </c>
      <c r="F268" s="770" t="s">
        <v>623</v>
      </c>
      <c r="G268" s="770"/>
      <c r="H268" s="770"/>
      <c r="I268" s="770"/>
      <c r="J268" s="770" t="s">
        <v>501</v>
      </c>
      <c r="K268" s="770" t="s">
        <v>497</v>
      </c>
      <c r="L268" s="770" t="s">
        <v>2734</v>
      </c>
      <c r="M268" s="772">
        <v>0</v>
      </c>
      <c r="N268" s="772">
        <v>0</v>
      </c>
    </row>
    <row r="269" spans="2:14" ht="50">
      <c r="B269" s="774">
        <v>93</v>
      </c>
      <c r="C269" s="770" t="s">
        <v>326</v>
      </c>
      <c r="D269" s="770" t="s">
        <v>1909</v>
      </c>
      <c r="E269" s="770" t="s">
        <v>766</v>
      </c>
      <c r="F269" s="770" t="s">
        <v>512</v>
      </c>
      <c r="G269" s="770">
        <v>224</v>
      </c>
      <c r="H269" s="770">
        <v>517</v>
      </c>
      <c r="I269" s="771">
        <v>0.433</v>
      </c>
      <c r="J269" s="770" t="s">
        <v>496</v>
      </c>
      <c r="K269" s="770" t="s">
        <v>624</v>
      </c>
      <c r="L269" s="770" t="s">
        <v>2732</v>
      </c>
      <c r="M269" s="772">
        <v>26880</v>
      </c>
      <c r="N269" s="772">
        <v>120</v>
      </c>
    </row>
    <row r="270" spans="2:14" ht="37.5">
      <c r="B270" s="774">
        <v>93</v>
      </c>
      <c r="C270" s="770" t="s">
        <v>326</v>
      </c>
      <c r="D270" s="770" t="s">
        <v>1911</v>
      </c>
      <c r="E270" s="770" t="s">
        <v>767</v>
      </c>
      <c r="F270" s="770" t="s">
        <v>512</v>
      </c>
      <c r="G270" s="770">
        <v>58</v>
      </c>
      <c r="H270" s="770">
        <v>436</v>
      </c>
      <c r="I270" s="771">
        <v>0.13300000000000001</v>
      </c>
      <c r="J270" s="770" t="s">
        <v>501</v>
      </c>
      <c r="K270" s="770" t="s">
        <v>497</v>
      </c>
      <c r="L270" s="770" t="s">
        <v>2732</v>
      </c>
      <c r="M270" s="772">
        <v>0</v>
      </c>
      <c r="N270" s="772">
        <v>0</v>
      </c>
    </row>
    <row r="271" spans="2:14" ht="37.5">
      <c r="B271" s="774">
        <v>93</v>
      </c>
      <c r="C271" s="770" t="s">
        <v>326</v>
      </c>
      <c r="D271" s="770" t="s">
        <v>1912</v>
      </c>
      <c r="E271" s="770" t="s">
        <v>768</v>
      </c>
      <c r="F271" s="770" t="s">
        <v>546</v>
      </c>
      <c r="G271" s="770"/>
      <c r="H271" s="770"/>
      <c r="I271" s="770"/>
      <c r="J271" s="770" t="s">
        <v>501</v>
      </c>
      <c r="K271" s="770" t="s">
        <v>497</v>
      </c>
      <c r="L271" s="770" t="s">
        <v>2734</v>
      </c>
      <c r="M271" s="772">
        <v>0</v>
      </c>
      <c r="N271" s="772">
        <v>0</v>
      </c>
    </row>
    <row r="272" spans="2:14" ht="37.5">
      <c r="B272" s="774">
        <v>93</v>
      </c>
      <c r="C272" s="770" t="s">
        <v>326</v>
      </c>
      <c r="D272" s="770" t="s">
        <v>1915</v>
      </c>
      <c r="E272" s="770" t="s">
        <v>769</v>
      </c>
      <c r="F272" s="770" t="s">
        <v>621</v>
      </c>
      <c r="G272" s="770">
        <v>265</v>
      </c>
      <c r="H272" s="770">
        <v>556</v>
      </c>
      <c r="I272" s="771">
        <v>0.47699999999999998</v>
      </c>
      <c r="J272" s="770" t="s">
        <v>496</v>
      </c>
      <c r="K272" s="770" t="s">
        <v>518</v>
      </c>
      <c r="L272" s="770" t="s">
        <v>2732</v>
      </c>
      <c r="M272" s="772">
        <v>34450</v>
      </c>
      <c r="N272" s="772">
        <v>130</v>
      </c>
    </row>
    <row r="273" spans="2:14" ht="37.5">
      <c r="B273" s="774">
        <v>93</v>
      </c>
      <c r="C273" s="770" t="s">
        <v>326</v>
      </c>
      <c r="D273" s="770" t="s">
        <v>1916</v>
      </c>
      <c r="E273" s="770" t="s">
        <v>770</v>
      </c>
      <c r="F273" s="770" t="s">
        <v>512</v>
      </c>
      <c r="G273" s="770">
        <v>253</v>
      </c>
      <c r="H273" s="770">
        <v>425</v>
      </c>
      <c r="I273" s="771">
        <v>0.59499999999999997</v>
      </c>
      <c r="J273" s="770" t="s">
        <v>496</v>
      </c>
      <c r="K273" s="770" t="s">
        <v>518</v>
      </c>
      <c r="L273" s="770" t="s">
        <v>2734</v>
      </c>
      <c r="M273" s="772">
        <v>40480</v>
      </c>
      <c r="N273" s="772">
        <v>160</v>
      </c>
    </row>
    <row r="274" spans="2:14" ht="37.5">
      <c r="B274" s="774">
        <v>93</v>
      </c>
      <c r="C274" s="770" t="s">
        <v>326</v>
      </c>
      <c r="D274" s="770" t="s">
        <v>1917</v>
      </c>
      <c r="E274" s="770" t="s">
        <v>587</v>
      </c>
      <c r="F274" s="770" t="s">
        <v>512</v>
      </c>
      <c r="G274" s="770">
        <v>267</v>
      </c>
      <c r="H274" s="770">
        <v>588</v>
      </c>
      <c r="I274" s="771">
        <v>0.45400000000000001</v>
      </c>
      <c r="J274" s="770" t="s">
        <v>496</v>
      </c>
      <c r="K274" s="770" t="s">
        <v>518</v>
      </c>
      <c r="L274" s="770" t="s">
        <v>2732</v>
      </c>
      <c r="M274" s="772">
        <v>34710</v>
      </c>
      <c r="N274" s="772">
        <v>130</v>
      </c>
    </row>
    <row r="275" spans="2:14">
      <c r="B275" s="773"/>
      <c r="C275" s="773"/>
      <c r="D275" s="773"/>
      <c r="E275" s="773"/>
      <c r="F275" s="773"/>
      <c r="G275" s="773"/>
      <c r="H275" s="773"/>
      <c r="I275" s="773"/>
      <c r="J275" s="773"/>
      <c r="K275" s="773"/>
      <c r="L275" s="773"/>
      <c r="M275" s="773"/>
      <c r="N275" s="773"/>
    </row>
    <row r="276" spans="2:14" ht="37.5">
      <c r="B276" s="774">
        <v>101</v>
      </c>
      <c r="C276" s="770" t="s">
        <v>327</v>
      </c>
      <c r="D276" s="770" t="s">
        <v>1919</v>
      </c>
      <c r="E276" s="770" t="s">
        <v>771</v>
      </c>
      <c r="F276" s="770" t="s">
        <v>557</v>
      </c>
      <c r="G276" s="770">
        <v>196</v>
      </c>
      <c r="H276" s="770">
        <v>444</v>
      </c>
      <c r="I276" s="771">
        <v>0.441</v>
      </c>
      <c r="J276" s="770" t="s">
        <v>496</v>
      </c>
      <c r="K276" s="770" t="s">
        <v>497</v>
      </c>
      <c r="L276" s="770" t="s">
        <v>2734</v>
      </c>
      <c r="M276" s="772">
        <v>0</v>
      </c>
      <c r="N276" s="772">
        <v>0</v>
      </c>
    </row>
    <row r="277" spans="2:14" ht="50">
      <c r="B277" s="774">
        <v>101</v>
      </c>
      <c r="C277" s="770" t="s">
        <v>327</v>
      </c>
      <c r="D277" s="770" t="s">
        <v>1920</v>
      </c>
      <c r="E277" s="770" t="s">
        <v>772</v>
      </c>
      <c r="F277" s="770" t="s">
        <v>554</v>
      </c>
      <c r="G277" s="770">
        <v>176</v>
      </c>
      <c r="H277" s="770">
        <v>318</v>
      </c>
      <c r="I277" s="771">
        <v>0.55300000000000005</v>
      </c>
      <c r="J277" s="770" t="s">
        <v>496</v>
      </c>
      <c r="K277" s="770" t="s">
        <v>497</v>
      </c>
      <c r="L277" s="770" t="s">
        <v>2734</v>
      </c>
      <c r="M277" s="772">
        <v>0</v>
      </c>
      <c r="N277" s="772">
        <v>0</v>
      </c>
    </row>
    <row r="278" spans="2:14" ht="37.5">
      <c r="B278" s="774">
        <v>101</v>
      </c>
      <c r="C278" s="770" t="s">
        <v>327</v>
      </c>
      <c r="D278" s="770" t="s">
        <v>1921</v>
      </c>
      <c r="E278" s="770" t="s">
        <v>773</v>
      </c>
      <c r="F278" s="770" t="s">
        <v>564</v>
      </c>
      <c r="G278" s="770">
        <v>97</v>
      </c>
      <c r="H278" s="770">
        <v>124</v>
      </c>
      <c r="I278" s="771">
        <v>0.78200000000000003</v>
      </c>
      <c r="J278" s="770" t="s">
        <v>496</v>
      </c>
      <c r="K278" s="770" t="s">
        <v>518</v>
      </c>
      <c r="L278" s="770" t="s">
        <v>2734</v>
      </c>
      <c r="M278" s="772">
        <v>68579</v>
      </c>
      <c r="N278" s="772">
        <v>707</v>
      </c>
    </row>
    <row r="279" spans="2:14" ht="37.5">
      <c r="B279" s="774">
        <v>101</v>
      </c>
      <c r="C279" s="770" t="s">
        <v>327</v>
      </c>
      <c r="D279" s="770" t="s">
        <v>1922</v>
      </c>
      <c r="E279" s="770" t="s">
        <v>774</v>
      </c>
      <c r="F279" s="770" t="s">
        <v>512</v>
      </c>
      <c r="G279" s="770">
        <v>70</v>
      </c>
      <c r="H279" s="770">
        <v>142</v>
      </c>
      <c r="I279" s="771">
        <v>0.49299999999999999</v>
      </c>
      <c r="J279" s="770" t="s">
        <v>496</v>
      </c>
      <c r="K279" s="770" t="s">
        <v>518</v>
      </c>
      <c r="L279" s="770" t="s">
        <v>2732</v>
      </c>
      <c r="M279" s="772">
        <v>49420</v>
      </c>
      <c r="N279" s="772">
        <v>706</v>
      </c>
    </row>
    <row r="280" spans="2:14" ht="37.5">
      <c r="B280" s="774">
        <v>101</v>
      </c>
      <c r="C280" s="770" t="s">
        <v>327</v>
      </c>
      <c r="D280" s="770" t="s">
        <v>1923</v>
      </c>
      <c r="E280" s="770" t="s">
        <v>531</v>
      </c>
      <c r="F280" s="770" t="s">
        <v>564</v>
      </c>
      <c r="G280" s="770">
        <v>276</v>
      </c>
      <c r="H280" s="770">
        <v>422</v>
      </c>
      <c r="I280" s="771">
        <v>0.65400000000000003</v>
      </c>
      <c r="J280" s="770" t="s">
        <v>496</v>
      </c>
      <c r="K280" s="770" t="s">
        <v>518</v>
      </c>
      <c r="L280" s="770" t="s">
        <v>2732</v>
      </c>
      <c r="M280" s="772">
        <v>194856</v>
      </c>
      <c r="N280" s="772">
        <v>706</v>
      </c>
    </row>
    <row r="281" spans="2:14">
      <c r="B281" s="773"/>
      <c r="C281" s="773"/>
      <c r="D281" s="773"/>
      <c r="E281" s="773"/>
      <c r="F281" s="773"/>
      <c r="G281" s="773"/>
      <c r="H281" s="773"/>
      <c r="I281" s="773"/>
      <c r="J281" s="773"/>
      <c r="K281" s="773"/>
      <c r="L281" s="773"/>
      <c r="M281" s="773"/>
      <c r="N281" s="773"/>
    </row>
    <row r="282" spans="2:14" ht="50">
      <c r="B282" s="774">
        <v>111</v>
      </c>
      <c r="C282" s="770" t="s">
        <v>328</v>
      </c>
      <c r="D282" s="770" t="s">
        <v>1925</v>
      </c>
      <c r="E282" s="770" t="s">
        <v>775</v>
      </c>
      <c r="F282" s="770" t="s">
        <v>691</v>
      </c>
      <c r="G282" s="770">
        <v>66</v>
      </c>
      <c r="H282" s="770">
        <v>119</v>
      </c>
      <c r="I282" s="771">
        <v>0.55500000000000005</v>
      </c>
      <c r="J282" s="770" t="s">
        <v>496</v>
      </c>
      <c r="K282" s="770" t="s">
        <v>518</v>
      </c>
      <c r="L282" s="770" t="s">
        <v>2732</v>
      </c>
      <c r="M282" s="772">
        <v>21000</v>
      </c>
      <c r="N282" s="772">
        <v>318</v>
      </c>
    </row>
    <row r="283" spans="2:14" ht="37.5">
      <c r="B283" s="774">
        <v>111</v>
      </c>
      <c r="C283" s="770" t="s">
        <v>328</v>
      </c>
      <c r="D283" s="770" t="s">
        <v>1926</v>
      </c>
      <c r="E283" s="770" t="s">
        <v>776</v>
      </c>
      <c r="F283" s="770" t="s">
        <v>557</v>
      </c>
      <c r="G283" s="770">
        <v>24</v>
      </c>
      <c r="H283" s="770">
        <v>108</v>
      </c>
      <c r="I283" s="771">
        <v>0.222</v>
      </c>
      <c r="J283" s="770" t="s">
        <v>501</v>
      </c>
      <c r="K283" s="770" t="s">
        <v>497</v>
      </c>
      <c r="L283" s="770" t="s">
        <v>2732</v>
      </c>
      <c r="M283" s="772">
        <v>0</v>
      </c>
      <c r="N283" s="772">
        <v>0</v>
      </c>
    </row>
    <row r="284" spans="2:14" ht="37.5">
      <c r="B284" s="774">
        <v>111</v>
      </c>
      <c r="C284" s="770" t="s">
        <v>328</v>
      </c>
      <c r="D284" s="770" t="s">
        <v>1927</v>
      </c>
      <c r="E284" s="770" t="s">
        <v>777</v>
      </c>
      <c r="F284" s="770" t="s">
        <v>564</v>
      </c>
      <c r="G284" s="770">
        <v>16</v>
      </c>
      <c r="H284" s="770">
        <v>44</v>
      </c>
      <c r="I284" s="771">
        <v>0.36399999999999999</v>
      </c>
      <c r="J284" s="770" t="s">
        <v>496</v>
      </c>
      <c r="K284" s="770" t="s">
        <v>518</v>
      </c>
      <c r="L284" s="770" t="s">
        <v>2732</v>
      </c>
      <c r="M284" s="772">
        <v>5500</v>
      </c>
      <c r="N284" s="772">
        <v>343</v>
      </c>
    </row>
    <row r="285" spans="2:14" ht="37.5">
      <c r="B285" s="774">
        <v>111</v>
      </c>
      <c r="C285" s="770" t="s">
        <v>328</v>
      </c>
      <c r="D285" s="770" t="s">
        <v>1928</v>
      </c>
      <c r="E285" s="770" t="s">
        <v>778</v>
      </c>
      <c r="F285" s="770" t="s">
        <v>693</v>
      </c>
      <c r="G285" s="770">
        <v>112</v>
      </c>
      <c r="H285" s="770">
        <v>201</v>
      </c>
      <c r="I285" s="771">
        <v>0.55700000000000005</v>
      </c>
      <c r="J285" s="770" t="s">
        <v>496</v>
      </c>
      <c r="K285" s="770" t="s">
        <v>518</v>
      </c>
      <c r="L285" s="770" t="s">
        <v>2732</v>
      </c>
      <c r="M285" s="772">
        <v>40766</v>
      </c>
      <c r="N285" s="772">
        <v>363</v>
      </c>
    </row>
    <row r="286" spans="2:14">
      <c r="B286" s="773"/>
      <c r="C286" s="773"/>
      <c r="D286" s="773"/>
      <c r="E286" s="773"/>
      <c r="F286" s="773"/>
      <c r="G286" s="773"/>
      <c r="H286" s="773"/>
      <c r="I286" s="773"/>
      <c r="J286" s="773"/>
      <c r="K286" s="773"/>
      <c r="L286" s="773"/>
      <c r="M286" s="773"/>
      <c r="N286" s="773"/>
    </row>
    <row r="287" spans="2:14" ht="37.5">
      <c r="B287" s="774">
        <v>121</v>
      </c>
      <c r="C287" s="770" t="s">
        <v>329</v>
      </c>
      <c r="D287" s="770" t="s">
        <v>1930</v>
      </c>
      <c r="E287" s="770" t="s">
        <v>779</v>
      </c>
      <c r="F287" s="770" t="s">
        <v>557</v>
      </c>
      <c r="G287" s="770">
        <v>16</v>
      </c>
      <c r="H287" s="770">
        <v>33</v>
      </c>
      <c r="I287" s="771">
        <v>0.48499999999999999</v>
      </c>
      <c r="J287" s="770" t="s">
        <v>496</v>
      </c>
      <c r="K287" s="770" t="s">
        <v>624</v>
      </c>
      <c r="L287" s="770" t="s">
        <v>2732</v>
      </c>
      <c r="M287" s="772">
        <v>2100</v>
      </c>
      <c r="N287" s="772">
        <v>131</v>
      </c>
    </row>
    <row r="288" spans="2:14" ht="37.5">
      <c r="B288" s="774">
        <v>121</v>
      </c>
      <c r="C288" s="770" t="s">
        <v>329</v>
      </c>
      <c r="D288" s="770" t="s">
        <v>1931</v>
      </c>
      <c r="E288" s="770" t="s">
        <v>780</v>
      </c>
      <c r="F288" s="770" t="s">
        <v>551</v>
      </c>
      <c r="G288" s="770">
        <v>35</v>
      </c>
      <c r="H288" s="770">
        <v>92</v>
      </c>
      <c r="I288" s="771">
        <v>0.38</v>
      </c>
      <c r="J288" s="770" t="s">
        <v>496</v>
      </c>
      <c r="K288" s="770" t="s">
        <v>624</v>
      </c>
      <c r="L288" s="770" t="s">
        <v>2732</v>
      </c>
      <c r="M288" s="772">
        <v>23008</v>
      </c>
      <c r="N288" s="772">
        <v>657</v>
      </c>
    </row>
    <row r="289" spans="2:14">
      <c r="B289" s="773"/>
      <c r="C289" s="773"/>
      <c r="D289" s="773"/>
      <c r="E289" s="773"/>
      <c r="F289" s="773"/>
      <c r="G289" s="773"/>
      <c r="H289" s="773"/>
      <c r="I289" s="773"/>
      <c r="J289" s="773"/>
      <c r="K289" s="773"/>
      <c r="L289" s="773"/>
      <c r="M289" s="773"/>
      <c r="N289" s="773"/>
    </row>
    <row r="290" spans="2:14" ht="37.5">
      <c r="B290" s="774">
        <v>131</v>
      </c>
      <c r="C290" s="770" t="s">
        <v>330</v>
      </c>
      <c r="D290" s="770" t="s">
        <v>1932</v>
      </c>
      <c r="E290" s="770" t="s">
        <v>781</v>
      </c>
      <c r="F290" s="770" t="s">
        <v>554</v>
      </c>
      <c r="G290" s="770">
        <v>538</v>
      </c>
      <c r="H290" s="770">
        <v>691</v>
      </c>
      <c r="I290" s="771">
        <v>0.77900000000000003</v>
      </c>
      <c r="J290" s="770" t="s">
        <v>496</v>
      </c>
      <c r="K290" s="770" t="s">
        <v>518</v>
      </c>
      <c r="L290" s="770" t="s">
        <v>2733</v>
      </c>
      <c r="M290" s="772">
        <v>203000</v>
      </c>
      <c r="N290" s="772">
        <v>377</v>
      </c>
    </row>
    <row r="291" spans="2:14" ht="37.5">
      <c r="B291" s="774">
        <v>131</v>
      </c>
      <c r="C291" s="770" t="s">
        <v>330</v>
      </c>
      <c r="D291" s="770" t="s">
        <v>1933</v>
      </c>
      <c r="E291" s="770" t="s">
        <v>782</v>
      </c>
      <c r="F291" s="770" t="s">
        <v>554</v>
      </c>
      <c r="G291" s="770">
        <v>454</v>
      </c>
      <c r="H291" s="770">
        <v>857</v>
      </c>
      <c r="I291" s="771">
        <v>0.53</v>
      </c>
      <c r="J291" s="770" t="s">
        <v>496</v>
      </c>
      <c r="K291" s="770" t="s">
        <v>518</v>
      </c>
      <c r="L291" s="770" t="s">
        <v>2734</v>
      </c>
      <c r="M291" s="772">
        <v>143925</v>
      </c>
      <c r="N291" s="772">
        <v>317</v>
      </c>
    </row>
    <row r="292" spans="2:14" ht="37.5">
      <c r="B292" s="774">
        <v>131</v>
      </c>
      <c r="C292" s="770" t="s">
        <v>330</v>
      </c>
      <c r="D292" s="770" t="s">
        <v>1934</v>
      </c>
      <c r="E292" s="770" t="s">
        <v>783</v>
      </c>
      <c r="F292" s="770" t="s">
        <v>564</v>
      </c>
      <c r="G292" s="770">
        <v>521</v>
      </c>
      <c r="H292" s="770">
        <v>547</v>
      </c>
      <c r="I292" s="771">
        <v>0.95199999999999996</v>
      </c>
      <c r="J292" s="770" t="s">
        <v>496</v>
      </c>
      <c r="K292" s="770" t="s">
        <v>518</v>
      </c>
      <c r="L292" s="770" t="s">
        <v>2734</v>
      </c>
      <c r="M292" s="772">
        <v>194500</v>
      </c>
      <c r="N292" s="772">
        <v>373</v>
      </c>
    </row>
    <row r="293" spans="2:14" ht="37.5">
      <c r="B293" s="774">
        <v>131</v>
      </c>
      <c r="C293" s="770" t="s">
        <v>330</v>
      </c>
      <c r="D293" s="770" t="s">
        <v>1935</v>
      </c>
      <c r="E293" s="770" t="s">
        <v>784</v>
      </c>
      <c r="F293" s="770" t="s">
        <v>564</v>
      </c>
      <c r="G293" s="770"/>
      <c r="H293" s="770"/>
      <c r="I293" s="770"/>
      <c r="J293" s="770" t="s">
        <v>496</v>
      </c>
      <c r="K293" s="770" t="s">
        <v>518</v>
      </c>
      <c r="L293" s="770" t="s">
        <v>2734</v>
      </c>
      <c r="M293" s="772">
        <v>231000</v>
      </c>
      <c r="N293" s="772">
        <v>383</v>
      </c>
    </row>
    <row r="294" spans="2:14" ht="37.5">
      <c r="B294" s="774">
        <v>131</v>
      </c>
      <c r="C294" s="770" t="s">
        <v>330</v>
      </c>
      <c r="D294" s="770" t="s">
        <v>1936</v>
      </c>
      <c r="E294" s="770" t="s">
        <v>785</v>
      </c>
      <c r="F294" s="770" t="s">
        <v>564</v>
      </c>
      <c r="G294" s="770">
        <v>380</v>
      </c>
      <c r="H294" s="770">
        <v>465</v>
      </c>
      <c r="I294" s="771">
        <v>0.81699999999999995</v>
      </c>
      <c r="J294" s="770" t="s">
        <v>496</v>
      </c>
      <c r="K294" s="770" t="s">
        <v>518</v>
      </c>
      <c r="L294" s="770" t="s">
        <v>2734</v>
      </c>
      <c r="M294" s="772">
        <v>140500</v>
      </c>
      <c r="N294" s="772">
        <v>369</v>
      </c>
    </row>
    <row r="295" spans="2:14" ht="37.5">
      <c r="B295" s="774">
        <v>131</v>
      </c>
      <c r="C295" s="770" t="s">
        <v>330</v>
      </c>
      <c r="D295" s="770" t="s">
        <v>1937</v>
      </c>
      <c r="E295" s="770" t="s">
        <v>786</v>
      </c>
      <c r="F295" s="770" t="s">
        <v>564</v>
      </c>
      <c r="G295" s="770">
        <v>515</v>
      </c>
      <c r="H295" s="770">
        <v>543</v>
      </c>
      <c r="I295" s="771">
        <v>0.94799999999999995</v>
      </c>
      <c r="J295" s="770" t="s">
        <v>496</v>
      </c>
      <c r="K295" s="770" t="s">
        <v>518</v>
      </c>
      <c r="L295" s="770" t="s">
        <v>2734</v>
      </c>
      <c r="M295" s="772">
        <v>192000</v>
      </c>
      <c r="N295" s="772">
        <v>372</v>
      </c>
    </row>
    <row r="296" spans="2:14" ht="37.5">
      <c r="B296" s="774">
        <v>131</v>
      </c>
      <c r="C296" s="770" t="s">
        <v>330</v>
      </c>
      <c r="D296" s="770" t="s">
        <v>1938</v>
      </c>
      <c r="E296" s="770" t="s">
        <v>787</v>
      </c>
      <c r="F296" s="770" t="s">
        <v>564</v>
      </c>
      <c r="G296" s="770"/>
      <c r="H296" s="770"/>
      <c r="I296" s="770"/>
      <c r="J296" s="770" t="s">
        <v>496</v>
      </c>
      <c r="K296" s="770" t="s">
        <v>518</v>
      </c>
      <c r="L296" s="770" t="s">
        <v>2734</v>
      </c>
      <c r="M296" s="772">
        <v>156500</v>
      </c>
      <c r="N296" s="772">
        <v>383</v>
      </c>
    </row>
    <row r="297" spans="2:14" ht="37.5">
      <c r="B297" s="774">
        <v>131</v>
      </c>
      <c r="C297" s="770" t="s">
        <v>330</v>
      </c>
      <c r="D297" s="770" t="s">
        <v>1939</v>
      </c>
      <c r="E297" s="770" t="s">
        <v>788</v>
      </c>
      <c r="F297" s="770" t="s">
        <v>564</v>
      </c>
      <c r="G297" s="770">
        <v>236</v>
      </c>
      <c r="H297" s="770">
        <v>346</v>
      </c>
      <c r="I297" s="771">
        <v>0.68200000000000005</v>
      </c>
      <c r="J297" s="770" t="s">
        <v>496</v>
      </c>
      <c r="K297" s="770" t="s">
        <v>518</v>
      </c>
      <c r="L297" s="770" t="s">
        <v>2734</v>
      </c>
      <c r="M297" s="772">
        <v>85000</v>
      </c>
      <c r="N297" s="772">
        <v>360</v>
      </c>
    </row>
    <row r="298" spans="2:14" ht="37.5">
      <c r="B298" s="774">
        <v>131</v>
      </c>
      <c r="C298" s="770" t="s">
        <v>330</v>
      </c>
      <c r="D298" s="770" t="s">
        <v>1940</v>
      </c>
      <c r="E298" s="770" t="s">
        <v>526</v>
      </c>
      <c r="F298" s="770" t="s">
        <v>564</v>
      </c>
      <c r="G298" s="770">
        <v>213</v>
      </c>
      <c r="H298" s="770">
        <v>475</v>
      </c>
      <c r="I298" s="771">
        <v>0.44800000000000001</v>
      </c>
      <c r="J298" s="770" t="s">
        <v>496</v>
      </c>
      <c r="K298" s="770" t="s">
        <v>518</v>
      </c>
      <c r="L298" s="770" t="s">
        <v>2732</v>
      </c>
      <c r="M298" s="772">
        <v>69000</v>
      </c>
      <c r="N298" s="772">
        <v>323</v>
      </c>
    </row>
    <row r="299" spans="2:14" ht="37.5">
      <c r="B299" s="774">
        <v>131</v>
      </c>
      <c r="C299" s="770" t="s">
        <v>330</v>
      </c>
      <c r="D299" s="770" t="s">
        <v>1941</v>
      </c>
      <c r="E299" s="770" t="s">
        <v>789</v>
      </c>
      <c r="F299" s="770" t="s">
        <v>564</v>
      </c>
      <c r="G299" s="770">
        <v>253</v>
      </c>
      <c r="H299" s="770">
        <v>490</v>
      </c>
      <c r="I299" s="771">
        <v>0.51600000000000001</v>
      </c>
      <c r="J299" s="770" t="s">
        <v>496</v>
      </c>
      <c r="K299" s="770" t="s">
        <v>518</v>
      </c>
      <c r="L299" s="770" t="s">
        <v>2732</v>
      </c>
      <c r="M299" s="772">
        <v>85580</v>
      </c>
      <c r="N299" s="772">
        <v>338</v>
      </c>
    </row>
    <row r="300" spans="2:14" ht="37.5">
      <c r="B300" s="774">
        <v>131</v>
      </c>
      <c r="C300" s="770" t="s">
        <v>330</v>
      </c>
      <c r="D300" s="770" t="s">
        <v>1942</v>
      </c>
      <c r="E300" s="770" t="s">
        <v>524</v>
      </c>
      <c r="F300" s="770" t="s">
        <v>564</v>
      </c>
      <c r="G300" s="770">
        <v>315</v>
      </c>
      <c r="H300" s="770">
        <v>550</v>
      </c>
      <c r="I300" s="771">
        <v>0.57299999999999995</v>
      </c>
      <c r="J300" s="770" t="s">
        <v>496</v>
      </c>
      <c r="K300" s="770" t="s">
        <v>518</v>
      </c>
      <c r="L300" s="770" t="s">
        <v>2734</v>
      </c>
      <c r="M300" s="772">
        <v>111500</v>
      </c>
      <c r="N300" s="772">
        <v>353</v>
      </c>
    </row>
    <row r="301" spans="2:14" ht="50">
      <c r="B301" s="774">
        <v>131</v>
      </c>
      <c r="C301" s="770" t="s">
        <v>330</v>
      </c>
      <c r="D301" s="770" t="s">
        <v>1226</v>
      </c>
      <c r="E301" s="770" t="s">
        <v>458</v>
      </c>
      <c r="F301" s="770" t="s">
        <v>623</v>
      </c>
      <c r="G301" s="770">
        <v>346</v>
      </c>
      <c r="H301" s="770">
        <v>769</v>
      </c>
      <c r="I301" s="771">
        <v>0.45</v>
      </c>
      <c r="J301" s="770" t="s">
        <v>496</v>
      </c>
      <c r="K301" s="770" t="s">
        <v>518</v>
      </c>
      <c r="L301" s="770" t="s">
        <v>2732</v>
      </c>
      <c r="M301" s="772">
        <v>112000</v>
      </c>
      <c r="N301" s="772">
        <v>323</v>
      </c>
    </row>
    <row r="302" spans="2:14" ht="37.5">
      <c r="B302" s="774">
        <v>131</v>
      </c>
      <c r="C302" s="770" t="s">
        <v>330</v>
      </c>
      <c r="D302" s="770" t="s">
        <v>1943</v>
      </c>
      <c r="E302" s="770" t="s">
        <v>790</v>
      </c>
      <c r="F302" s="770" t="s">
        <v>564</v>
      </c>
      <c r="G302" s="770">
        <v>459</v>
      </c>
      <c r="H302" s="770">
        <v>650</v>
      </c>
      <c r="I302" s="771">
        <v>0.70599999999999996</v>
      </c>
      <c r="J302" s="770" t="s">
        <v>496</v>
      </c>
      <c r="K302" s="770" t="s">
        <v>518</v>
      </c>
      <c r="L302" s="770" t="s">
        <v>2732</v>
      </c>
      <c r="M302" s="772">
        <v>170000</v>
      </c>
      <c r="N302" s="772">
        <v>370</v>
      </c>
    </row>
    <row r="303" spans="2:14" ht="37.5">
      <c r="B303" s="774">
        <v>131</v>
      </c>
      <c r="C303" s="770" t="s">
        <v>330</v>
      </c>
      <c r="D303" s="770" t="s">
        <v>1944</v>
      </c>
      <c r="E303" s="770" t="s">
        <v>791</v>
      </c>
      <c r="F303" s="770" t="s">
        <v>557</v>
      </c>
      <c r="G303" s="770">
        <v>708</v>
      </c>
      <c r="H303" s="770">
        <v>1304</v>
      </c>
      <c r="I303" s="771">
        <v>0.54300000000000004</v>
      </c>
      <c r="J303" s="770" t="s">
        <v>496</v>
      </c>
      <c r="K303" s="770" t="s">
        <v>518</v>
      </c>
      <c r="L303" s="770" t="s">
        <v>2734</v>
      </c>
      <c r="M303" s="772">
        <v>231500</v>
      </c>
      <c r="N303" s="772">
        <v>326</v>
      </c>
    </row>
    <row r="304" spans="2:14" ht="37.5">
      <c r="B304" s="774">
        <v>131</v>
      </c>
      <c r="C304" s="770" t="s">
        <v>330</v>
      </c>
      <c r="D304" s="770" t="s">
        <v>1945</v>
      </c>
      <c r="E304" s="770" t="s">
        <v>792</v>
      </c>
      <c r="F304" s="770" t="s">
        <v>564</v>
      </c>
      <c r="G304" s="770">
        <v>269</v>
      </c>
      <c r="H304" s="770">
        <v>578</v>
      </c>
      <c r="I304" s="771">
        <v>0.46500000000000002</v>
      </c>
      <c r="J304" s="770" t="s">
        <v>496</v>
      </c>
      <c r="K304" s="770" t="s">
        <v>518</v>
      </c>
      <c r="L304" s="770" t="s">
        <v>2733</v>
      </c>
      <c r="M304" s="772">
        <v>87500</v>
      </c>
      <c r="N304" s="772">
        <v>325</v>
      </c>
    </row>
    <row r="305" spans="2:14" ht="37.5">
      <c r="B305" s="774">
        <v>131</v>
      </c>
      <c r="C305" s="770" t="s">
        <v>330</v>
      </c>
      <c r="D305" s="770" t="s">
        <v>1946</v>
      </c>
      <c r="E305" s="770" t="s">
        <v>793</v>
      </c>
      <c r="F305" s="770" t="s">
        <v>554</v>
      </c>
      <c r="G305" s="770">
        <v>454</v>
      </c>
      <c r="H305" s="770">
        <v>831</v>
      </c>
      <c r="I305" s="771">
        <v>0.54600000000000004</v>
      </c>
      <c r="J305" s="770" t="s">
        <v>496</v>
      </c>
      <c r="K305" s="770" t="s">
        <v>518</v>
      </c>
      <c r="L305" s="770" t="s">
        <v>2734</v>
      </c>
      <c r="M305" s="772">
        <v>148490</v>
      </c>
      <c r="N305" s="772">
        <v>327</v>
      </c>
    </row>
    <row r="306" spans="2:14" ht="37.5">
      <c r="B306" s="774">
        <v>131</v>
      </c>
      <c r="C306" s="770" t="s">
        <v>330</v>
      </c>
      <c r="D306" s="770" t="s">
        <v>1947</v>
      </c>
      <c r="E306" s="770" t="s">
        <v>794</v>
      </c>
      <c r="F306" s="770" t="s">
        <v>564</v>
      </c>
      <c r="G306" s="770"/>
      <c r="H306" s="770"/>
      <c r="I306" s="770"/>
      <c r="J306" s="770" t="s">
        <v>496</v>
      </c>
      <c r="K306" s="770" t="s">
        <v>518</v>
      </c>
      <c r="L306" s="770" t="s">
        <v>2733</v>
      </c>
      <c r="M306" s="772">
        <v>218000</v>
      </c>
      <c r="N306" s="772">
        <v>375</v>
      </c>
    </row>
    <row r="307" spans="2:14" ht="37.5">
      <c r="B307" s="774">
        <v>131</v>
      </c>
      <c r="C307" s="770" t="s">
        <v>330</v>
      </c>
      <c r="D307" s="770" t="s">
        <v>1948</v>
      </c>
      <c r="E307" s="770" t="s">
        <v>795</v>
      </c>
      <c r="F307" s="770" t="s">
        <v>557</v>
      </c>
      <c r="G307" s="770">
        <v>584</v>
      </c>
      <c r="H307" s="770">
        <v>1325</v>
      </c>
      <c r="I307" s="771">
        <v>0.441</v>
      </c>
      <c r="J307" s="770" t="s">
        <v>496</v>
      </c>
      <c r="K307" s="770" t="s">
        <v>518</v>
      </c>
      <c r="L307" s="770" t="s">
        <v>2734</v>
      </c>
      <c r="M307" s="772">
        <v>174269</v>
      </c>
      <c r="N307" s="772">
        <v>298</v>
      </c>
    </row>
    <row r="308" spans="2:14" ht="37.5">
      <c r="B308" s="774">
        <v>131</v>
      </c>
      <c r="C308" s="770" t="s">
        <v>330</v>
      </c>
      <c r="D308" s="770" t="s">
        <v>1949</v>
      </c>
      <c r="E308" s="770" t="s">
        <v>796</v>
      </c>
      <c r="F308" s="770" t="s">
        <v>564</v>
      </c>
      <c r="G308" s="770"/>
      <c r="H308" s="770"/>
      <c r="I308" s="770"/>
      <c r="J308" s="770" t="s">
        <v>496</v>
      </c>
      <c r="K308" s="770" t="s">
        <v>518</v>
      </c>
      <c r="L308" s="770" t="s">
        <v>2734</v>
      </c>
      <c r="M308" s="772">
        <v>182000</v>
      </c>
      <c r="N308" s="772">
        <v>383</v>
      </c>
    </row>
    <row r="309" spans="2:14" ht="37.5">
      <c r="B309" s="774">
        <v>131</v>
      </c>
      <c r="C309" s="770" t="s">
        <v>330</v>
      </c>
      <c r="D309" s="770" t="s">
        <v>1950</v>
      </c>
      <c r="E309" s="770" t="s">
        <v>797</v>
      </c>
      <c r="F309" s="770" t="s">
        <v>557</v>
      </c>
      <c r="G309" s="770">
        <v>830</v>
      </c>
      <c r="H309" s="770">
        <v>1446</v>
      </c>
      <c r="I309" s="771">
        <v>0.57399999999999995</v>
      </c>
      <c r="J309" s="770" t="s">
        <v>496</v>
      </c>
      <c r="K309" s="770" t="s">
        <v>518</v>
      </c>
      <c r="L309" s="770" t="s">
        <v>2734</v>
      </c>
      <c r="M309" s="772">
        <v>297000</v>
      </c>
      <c r="N309" s="772">
        <v>357</v>
      </c>
    </row>
    <row r="310" spans="2:14" ht="37.5">
      <c r="B310" s="774">
        <v>131</v>
      </c>
      <c r="C310" s="770" t="s">
        <v>330</v>
      </c>
      <c r="D310" s="770" t="s">
        <v>1951</v>
      </c>
      <c r="E310" s="770" t="s">
        <v>798</v>
      </c>
      <c r="F310" s="770" t="s">
        <v>554</v>
      </c>
      <c r="G310" s="770">
        <v>611</v>
      </c>
      <c r="H310" s="770">
        <v>968</v>
      </c>
      <c r="I310" s="771">
        <v>0.63100000000000001</v>
      </c>
      <c r="J310" s="770" t="s">
        <v>496</v>
      </c>
      <c r="K310" s="770" t="s">
        <v>518</v>
      </c>
      <c r="L310" s="770" t="s">
        <v>2734</v>
      </c>
      <c r="M310" s="772">
        <v>199760</v>
      </c>
      <c r="N310" s="772">
        <v>326</v>
      </c>
    </row>
    <row r="311" spans="2:14" ht="37.5">
      <c r="B311" s="774">
        <v>131</v>
      </c>
      <c r="C311" s="770" t="s">
        <v>330</v>
      </c>
      <c r="D311" s="770" t="s">
        <v>1952</v>
      </c>
      <c r="E311" s="770" t="s">
        <v>799</v>
      </c>
      <c r="F311" s="770" t="s">
        <v>557</v>
      </c>
      <c r="G311" s="770">
        <v>190</v>
      </c>
      <c r="H311" s="770">
        <v>214</v>
      </c>
      <c r="I311" s="771">
        <v>0.88800000000000001</v>
      </c>
      <c r="J311" s="770" t="s">
        <v>496</v>
      </c>
      <c r="K311" s="770" t="s">
        <v>518</v>
      </c>
      <c r="L311" s="770" t="s">
        <v>2735</v>
      </c>
      <c r="M311" s="772">
        <v>75000</v>
      </c>
      <c r="N311" s="772">
        <v>394</v>
      </c>
    </row>
    <row r="312" spans="2:14" ht="37.5">
      <c r="B312" s="774">
        <v>131</v>
      </c>
      <c r="C312" s="770" t="s">
        <v>330</v>
      </c>
      <c r="D312" s="770" t="s">
        <v>1954</v>
      </c>
      <c r="E312" s="770" t="s">
        <v>800</v>
      </c>
      <c r="F312" s="770" t="s">
        <v>564</v>
      </c>
      <c r="G312" s="770">
        <v>245</v>
      </c>
      <c r="H312" s="770">
        <v>404</v>
      </c>
      <c r="I312" s="771">
        <v>0.60599999999999998</v>
      </c>
      <c r="J312" s="770" t="s">
        <v>496</v>
      </c>
      <c r="K312" s="770" t="s">
        <v>518</v>
      </c>
      <c r="L312" s="770" t="s">
        <v>2734</v>
      </c>
      <c r="M312" s="772">
        <v>87000</v>
      </c>
      <c r="N312" s="772">
        <v>355</v>
      </c>
    </row>
    <row r="313" spans="2:14">
      <c r="B313" s="773"/>
      <c r="C313" s="773"/>
      <c r="D313" s="773"/>
      <c r="E313" s="773"/>
      <c r="F313" s="773"/>
      <c r="G313" s="773"/>
      <c r="H313" s="773"/>
      <c r="I313" s="773"/>
      <c r="J313" s="773"/>
      <c r="K313" s="773"/>
      <c r="L313" s="773"/>
      <c r="M313" s="773"/>
      <c r="N313" s="773"/>
    </row>
    <row r="314" spans="2:14" ht="37.5">
      <c r="B314" s="774">
        <v>132</v>
      </c>
      <c r="C314" s="770" t="s">
        <v>331</v>
      </c>
      <c r="D314" s="770" t="s">
        <v>1956</v>
      </c>
      <c r="E314" s="770" t="s">
        <v>801</v>
      </c>
      <c r="F314" s="770" t="s">
        <v>554</v>
      </c>
      <c r="G314" s="770">
        <v>599</v>
      </c>
      <c r="H314" s="770">
        <v>710</v>
      </c>
      <c r="I314" s="771">
        <v>0.84399999999999997</v>
      </c>
      <c r="J314" s="770" t="s">
        <v>496</v>
      </c>
      <c r="K314" s="770" t="s">
        <v>518</v>
      </c>
      <c r="L314" s="770" t="s">
        <v>2735</v>
      </c>
      <c r="M314" s="772">
        <v>254575</v>
      </c>
      <c r="N314" s="772">
        <v>425</v>
      </c>
    </row>
    <row r="315" spans="2:14" ht="37.5">
      <c r="B315" s="774">
        <v>132</v>
      </c>
      <c r="C315" s="770" t="s">
        <v>331</v>
      </c>
      <c r="D315" s="770" t="s">
        <v>1957</v>
      </c>
      <c r="E315" s="770" t="s">
        <v>802</v>
      </c>
      <c r="F315" s="770" t="s">
        <v>557</v>
      </c>
      <c r="G315" s="770">
        <v>942</v>
      </c>
      <c r="H315" s="770">
        <v>1318</v>
      </c>
      <c r="I315" s="771">
        <v>0.71499999999999997</v>
      </c>
      <c r="J315" s="770" t="s">
        <v>496</v>
      </c>
      <c r="K315" s="770" t="s">
        <v>518</v>
      </c>
      <c r="L315" s="770" t="s">
        <v>2734</v>
      </c>
      <c r="M315" s="772">
        <v>319155</v>
      </c>
      <c r="N315" s="772">
        <v>338</v>
      </c>
    </row>
    <row r="316" spans="2:14" ht="37.5">
      <c r="B316" s="774">
        <v>132</v>
      </c>
      <c r="C316" s="770" t="s">
        <v>331</v>
      </c>
      <c r="D316" s="770" t="s">
        <v>1958</v>
      </c>
      <c r="E316" s="770" t="s">
        <v>803</v>
      </c>
      <c r="F316" s="770" t="s">
        <v>564</v>
      </c>
      <c r="G316" s="770">
        <v>393</v>
      </c>
      <c r="H316" s="770">
        <v>516</v>
      </c>
      <c r="I316" s="771">
        <v>0.76200000000000001</v>
      </c>
      <c r="J316" s="770" t="s">
        <v>496</v>
      </c>
      <c r="K316" s="770" t="s">
        <v>518</v>
      </c>
      <c r="L316" s="770" t="s">
        <v>2734</v>
      </c>
      <c r="M316" s="772">
        <v>150912</v>
      </c>
      <c r="N316" s="772">
        <v>384</v>
      </c>
    </row>
    <row r="317" spans="2:14" ht="37.5">
      <c r="B317" s="774">
        <v>132</v>
      </c>
      <c r="C317" s="770" t="s">
        <v>331</v>
      </c>
      <c r="D317" s="770" t="s">
        <v>1959</v>
      </c>
      <c r="E317" s="770" t="s">
        <v>804</v>
      </c>
      <c r="F317" s="770" t="s">
        <v>554</v>
      </c>
      <c r="G317" s="770">
        <v>613</v>
      </c>
      <c r="H317" s="770">
        <v>679</v>
      </c>
      <c r="I317" s="771">
        <v>0.90300000000000002</v>
      </c>
      <c r="J317" s="770" t="s">
        <v>496</v>
      </c>
      <c r="K317" s="770" t="s">
        <v>518</v>
      </c>
      <c r="L317" s="770" t="s">
        <v>2734</v>
      </c>
      <c r="M317" s="772">
        <v>264816</v>
      </c>
      <c r="N317" s="772">
        <v>432</v>
      </c>
    </row>
    <row r="318" spans="2:14" ht="37.5">
      <c r="B318" s="774">
        <v>132</v>
      </c>
      <c r="C318" s="770" t="s">
        <v>331</v>
      </c>
      <c r="D318" s="770" t="s">
        <v>1960</v>
      </c>
      <c r="E318" s="770" t="s">
        <v>805</v>
      </c>
      <c r="F318" s="770" t="s">
        <v>564</v>
      </c>
      <c r="G318" s="770">
        <v>430</v>
      </c>
      <c r="H318" s="770">
        <v>589</v>
      </c>
      <c r="I318" s="771">
        <v>0.73</v>
      </c>
      <c r="J318" s="770" t="s">
        <v>496</v>
      </c>
      <c r="K318" s="770" t="s">
        <v>518</v>
      </c>
      <c r="L318" s="770" t="s">
        <v>2734</v>
      </c>
      <c r="M318" s="772">
        <v>165120</v>
      </c>
      <c r="N318" s="772">
        <v>384</v>
      </c>
    </row>
    <row r="319" spans="2:14" ht="37.5">
      <c r="B319" s="774">
        <v>132</v>
      </c>
      <c r="C319" s="770" t="s">
        <v>331</v>
      </c>
      <c r="D319" s="770" t="s">
        <v>1961</v>
      </c>
      <c r="E319" s="770" t="s">
        <v>519</v>
      </c>
      <c r="F319" s="770" t="s">
        <v>564</v>
      </c>
      <c r="G319" s="770">
        <v>542</v>
      </c>
      <c r="H319" s="770">
        <v>602</v>
      </c>
      <c r="I319" s="771">
        <v>0.9</v>
      </c>
      <c r="J319" s="770" t="s">
        <v>496</v>
      </c>
      <c r="K319" s="770" t="s">
        <v>518</v>
      </c>
      <c r="L319" s="770" t="s">
        <v>2733</v>
      </c>
      <c r="M319" s="772">
        <v>208128</v>
      </c>
      <c r="N319" s="772">
        <v>384</v>
      </c>
    </row>
    <row r="320" spans="2:14" ht="37.5">
      <c r="B320" s="774">
        <v>132</v>
      </c>
      <c r="C320" s="770" t="s">
        <v>331</v>
      </c>
      <c r="D320" s="770" t="s">
        <v>1962</v>
      </c>
      <c r="E320" s="770" t="s">
        <v>806</v>
      </c>
      <c r="F320" s="770" t="s">
        <v>564</v>
      </c>
      <c r="G320" s="770">
        <v>348</v>
      </c>
      <c r="H320" s="770">
        <v>406</v>
      </c>
      <c r="I320" s="771">
        <v>0.85699999999999998</v>
      </c>
      <c r="J320" s="770" t="s">
        <v>496</v>
      </c>
      <c r="K320" s="770" t="s">
        <v>518</v>
      </c>
      <c r="L320" s="770" t="s">
        <v>2734</v>
      </c>
      <c r="M320" s="772">
        <v>133632</v>
      </c>
      <c r="N320" s="772">
        <v>384</v>
      </c>
    </row>
    <row r="321" spans="2:14" ht="37.5">
      <c r="B321" s="774">
        <v>132</v>
      </c>
      <c r="C321" s="770" t="s">
        <v>331</v>
      </c>
      <c r="D321" s="770" t="s">
        <v>1963</v>
      </c>
      <c r="E321" s="770" t="s">
        <v>807</v>
      </c>
      <c r="F321" s="770" t="s">
        <v>564</v>
      </c>
      <c r="G321" s="770">
        <v>576</v>
      </c>
      <c r="H321" s="770">
        <v>680</v>
      </c>
      <c r="I321" s="771">
        <v>0.84699999999999998</v>
      </c>
      <c r="J321" s="770" t="s">
        <v>496</v>
      </c>
      <c r="K321" s="770" t="s">
        <v>518</v>
      </c>
      <c r="L321" s="770" t="s">
        <v>2734</v>
      </c>
      <c r="M321" s="772">
        <v>221184</v>
      </c>
      <c r="N321" s="772">
        <v>384</v>
      </c>
    </row>
    <row r="322" spans="2:14" ht="37.5">
      <c r="B322" s="774">
        <v>132</v>
      </c>
      <c r="C322" s="770" t="s">
        <v>331</v>
      </c>
      <c r="D322" s="770" t="s">
        <v>1964</v>
      </c>
      <c r="E322" s="770" t="s">
        <v>808</v>
      </c>
      <c r="F322" s="770" t="s">
        <v>564</v>
      </c>
      <c r="G322" s="770">
        <v>449</v>
      </c>
      <c r="H322" s="770">
        <v>501</v>
      </c>
      <c r="I322" s="771">
        <v>0.89600000000000002</v>
      </c>
      <c r="J322" s="770" t="s">
        <v>496</v>
      </c>
      <c r="K322" s="770" t="s">
        <v>518</v>
      </c>
      <c r="L322" s="770" t="s">
        <v>2733</v>
      </c>
      <c r="M322" s="772">
        <v>172416</v>
      </c>
      <c r="N322" s="772">
        <v>384</v>
      </c>
    </row>
    <row r="323" spans="2:14" ht="37.5">
      <c r="B323" s="774">
        <v>132</v>
      </c>
      <c r="C323" s="770" t="s">
        <v>331</v>
      </c>
      <c r="D323" s="770" t="s">
        <v>1967</v>
      </c>
      <c r="E323" s="770" t="s">
        <v>809</v>
      </c>
      <c r="F323" s="770" t="s">
        <v>546</v>
      </c>
      <c r="G323" s="770">
        <v>307</v>
      </c>
      <c r="H323" s="770">
        <v>325</v>
      </c>
      <c r="I323" s="771">
        <v>0.94499999999999995</v>
      </c>
      <c r="J323" s="770" t="s">
        <v>496</v>
      </c>
      <c r="K323" s="770" t="s">
        <v>518</v>
      </c>
      <c r="L323" s="770" t="s">
        <v>2735</v>
      </c>
      <c r="M323" s="772">
        <v>136615</v>
      </c>
      <c r="N323" s="772">
        <v>445</v>
      </c>
    </row>
    <row r="324" spans="2:14">
      <c r="B324" s="773"/>
      <c r="C324" s="773"/>
      <c r="D324" s="773"/>
      <c r="E324" s="773"/>
      <c r="F324" s="773"/>
      <c r="G324" s="773"/>
      <c r="H324" s="773"/>
      <c r="I324" s="773"/>
      <c r="J324" s="773"/>
      <c r="K324" s="773"/>
      <c r="L324" s="773"/>
      <c r="M324" s="773"/>
      <c r="N324" s="773"/>
    </row>
    <row r="325" spans="2:14" ht="37.5">
      <c r="B325" s="774">
        <v>133</v>
      </c>
      <c r="C325" s="770" t="s">
        <v>332</v>
      </c>
      <c r="D325" s="770" t="s">
        <v>1970</v>
      </c>
      <c r="E325" s="770" t="s">
        <v>810</v>
      </c>
      <c r="F325" s="770" t="s">
        <v>715</v>
      </c>
      <c r="G325" s="770"/>
      <c r="H325" s="770"/>
      <c r="I325" s="770"/>
      <c r="J325" s="770" t="s">
        <v>496</v>
      </c>
      <c r="K325" s="770" t="s">
        <v>518</v>
      </c>
      <c r="L325" s="770" t="s">
        <v>2732</v>
      </c>
      <c r="M325" s="772">
        <v>139299</v>
      </c>
      <c r="N325" s="772">
        <v>696</v>
      </c>
    </row>
    <row r="326" spans="2:14" ht="25">
      <c r="B326" s="774">
        <v>133</v>
      </c>
      <c r="C326" s="770" t="s">
        <v>332</v>
      </c>
      <c r="D326" s="770" t="s">
        <v>1972</v>
      </c>
      <c r="E326" s="770" t="s">
        <v>811</v>
      </c>
      <c r="F326" s="770" t="s">
        <v>706</v>
      </c>
      <c r="G326" s="770"/>
      <c r="H326" s="770"/>
      <c r="I326" s="770"/>
      <c r="J326" s="770" t="s">
        <v>496</v>
      </c>
      <c r="K326" s="770" t="s">
        <v>518</v>
      </c>
      <c r="L326" s="770" t="s">
        <v>2732</v>
      </c>
      <c r="M326" s="772">
        <v>145541</v>
      </c>
      <c r="N326" s="772">
        <v>539</v>
      </c>
    </row>
    <row r="327" spans="2:14">
      <c r="B327" s="773"/>
      <c r="C327" s="773"/>
      <c r="D327" s="773"/>
      <c r="E327" s="773"/>
      <c r="F327" s="773"/>
      <c r="G327" s="773"/>
      <c r="H327" s="773"/>
      <c r="I327" s="773"/>
      <c r="J327" s="773"/>
      <c r="K327" s="773"/>
      <c r="L327" s="773"/>
      <c r="M327" s="773"/>
      <c r="N327" s="773"/>
    </row>
    <row r="328" spans="2:14" ht="37.5">
      <c r="B328" s="774">
        <v>134</v>
      </c>
      <c r="C328" s="770" t="s">
        <v>333</v>
      </c>
      <c r="D328" s="770" t="s">
        <v>1975</v>
      </c>
      <c r="E328" s="770" t="s">
        <v>812</v>
      </c>
      <c r="F328" s="770" t="s">
        <v>554</v>
      </c>
      <c r="G328" s="770">
        <v>403</v>
      </c>
      <c r="H328" s="770">
        <v>880</v>
      </c>
      <c r="I328" s="771">
        <v>0.45800000000000002</v>
      </c>
      <c r="J328" s="770" t="s">
        <v>496</v>
      </c>
      <c r="K328" s="770" t="s">
        <v>497</v>
      </c>
      <c r="L328" s="770" t="s">
        <v>2734</v>
      </c>
      <c r="M328" s="772">
        <v>0</v>
      </c>
      <c r="N328" s="772">
        <v>0</v>
      </c>
    </row>
    <row r="329" spans="2:14" ht="25">
      <c r="B329" s="774">
        <v>134</v>
      </c>
      <c r="C329" s="770" t="s">
        <v>333</v>
      </c>
      <c r="D329" s="770" t="s">
        <v>1976</v>
      </c>
      <c r="E329" s="770" t="s">
        <v>813</v>
      </c>
      <c r="F329" s="770" t="s">
        <v>557</v>
      </c>
      <c r="G329" s="770">
        <v>469</v>
      </c>
      <c r="H329" s="770">
        <v>1128</v>
      </c>
      <c r="I329" s="771">
        <v>0.41599999999999998</v>
      </c>
      <c r="J329" s="770" t="s">
        <v>496</v>
      </c>
      <c r="K329" s="770" t="s">
        <v>497</v>
      </c>
      <c r="L329" s="770" t="s">
        <v>2734</v>
      </c>
      <c r="M329" s="772">
        <v>0</v>
      </c>
      <c r="N329" s="772">
        <v>0</v>
      </c>
    </row>
    <row r="330" spans="2:14" ht="37.5">
      <c r="B330" s="774">
        <v>134</v>
      </c>
      <c r="C330" s="770" t="s">
        <v>333</v>
      </c>
      <c r="D330" s="770" t="s">
        <v>1977</v>
      </c>
      <c r="E330" s="770" t="s">
        <v>814</v>
      </c>
      <c r="F330" s="770" t="s">
        <v>564</v>
      </c>
      <c r="G330" s="770">
        <v>262</v>
      </c>
      <c r="H330" s="770">
        <v>670</v>
      </c>
      <c r="I330" s="771">
        <v>0.39100000000000001</v>
      </c>
      <c r="J330" s="770" t="s">
        <v>496</v>
      </c>
      <c r="K330" s="770" t="s">
        <v>624</v>
      </c>
      <c r="L330" s="770" t="s">
        <v>2734</v>
      </c>
      <c r="M330" s="772">
        <v>130481</v>
      </c>
      <c r="N330" s="772">
        <v>498</v>
      </c>
    </row>
    <row r="331" spans="2:14" ht="37.5">
      <c r="B331" s="774">
        <v>134</v>
      </c>
      <c r="C331" s="770" t="s">
        <v>333</v>
      </c>
      <c r="D331" s="770" t="s">
        <v>1978</v>
      </c>
      <c r="E331" s="770" t="s">
        <v>815</v>
      </c>
      <c r="F331" s="770" t="s">
        <v>564</v>
      </c>
      <c r="G331" s="770">
        <v>319</v>
      </c>
      <c r="H331" s="770">
        <v>589</v>
      </c>
      <c r="I331" s="771">
        <v>0.54200000000000004</v>
      </c>
      <c r="J331" s="770" t="s">
        <v>496</v>
      </c>
      <c r="K331" s="770" t="s">
        <v>518</v>
      </c>
      <c r="L331" s="770" t="s">
        <v>2732</v>
      </c>
      <c r="M331" s="772">
        <v>162217</v>
      </c>
      <c r="N331" s="772">
        <v>508</v>
      </c>
    </row>
    <row r="332" spans="2:14" ht="25">
      <c r="B332" s="774">
        <v>134</v>
      </c>
      <c r="C332" s="770" t="s">
        <v>333</v>
      </c>
      <c r="D332" s="770" t="s">
        <v>1979</v>
      </c>
      <c r="E332" s="770" t="s">
        <v>816</v>
      </c>
      <c r="F332" s="770" t="s">
        <v>564</v>
      </c>
      <c r="G332" s="770">
        <v>218</v>
      </c>
      <c r="H332" s="770">
        <v>478</v>
      </c>
      <c r="I332" s="771">
        <v>0.45600000000000002</v>
      </c>
      <c r="J332" s="770" t="s">
        <v>496</v>
      </c>
      <c r="K332" s="770" t="s">
        <v>624</v>
      </c>
      <c r="L332" s="770" t="s">
        <v>2734</v>
      </c>
      <c r="M332" s="772">
        <v>110003</v>
      </c>
      <c r="N332" s="772">
        <v>504</v>
      </c>
    </row>
    <row r="333" spans="2:14" ht="25">
      <c r="B333" s="774">
        <v>134</v>
      </c>
      <c r="C333" s="770" t="s">
        <v>333</v>
      </c>
      <c r="D333" s="770" t="s">
        <v>1980</v>
      </c>
      <c r="E333" s="770" t="s">
        <v>817</v>
      </c>
      <c r="F333" s="770" t="s">
        <v>546</v>
      </c>
      <c r="G333" s="770">
        <v>69</v>
      </c>
      <c r="H333" s="770">
        <v>98</v>
      </c>
      <c r="I333" s="771">
        <v>0.70399999999999996</v>
      </c>
      <c r="J333" s="770" t="s">
        <v>496</v>
      </c>
      <c r="K333" s="770" t="s">
        <v>624</v>
      </c>
      <c r="L333" s="770" t="s">
        <v>2734</v>
      </c>
      <c r="M333" s="772">
        <v>38886</v>
      </c>
      <c r="N333" s="772">
        <v>563</v>
      </c>
    </row>
    <row r="334" spans="2:14">
      <c r="B334" s="773"/>
      <c r="C334" s="773"/>
      <c r="D334" s="773"/>
      <c r="E334" s="773"/>
      <c r="F334" s="773"/>
      <c r="G334" s="773"/>
      <c r="H334" s="773"/>
      <c r="I334" s="773"/>
      <c r="J334" s="773"/>
      <c r="K334" s="773"/>
      <c r="L334" s="773"/>
      <c r="M334" s="773"/>
      <c r="N334" s="773"/>
    </row>
    <row r="335" spans="2:14" ht="25">
      <c r="B335" s="774">
        <v>135</v>
      </c>
      <c r="C335" s="770" t="s">
        <v>334</v>
      </c>
      <c r="D335" s="770" t="s">
        <v>1983</v>
      </c>
      <c r="E335" s="770" t="s">
        <v>818</v>
      </c>
      <c r="F335" s="770" t="s">
        <v>546</v>
      </c>
      <c r="G335" s="770">
        <v>125</v>
      </c>
      <c r="H335" s="770">
        <v>198</v>
      </c>
      <c r="I335" s="771">
        <v>0.63100000000000001</v>
      </c>
      <c r="J335" s="770" t="s">
        <v>496</v>
      </c>
      <c r="K335" s="770" t="s">
        <v>518</v>
      </c>
      <c r="L335" s="770" t="s">
        <v>2734</v>
      </c>
      <c r="M335" s="772">
        <v>79733</v>
      </c>
      <c r="N335" s="772">
        <v>637</v>
      </c>
    </row>
    <row r="336" spans="2:14" ht="37.5">
      <c r="B336" s="774">
        <v>135</v>
      </c>
      <c r="C336" s="770" t="s">
        <v>334</v>
      </c>
      <c r="D336" s="770" t="s">
        <v>1984</v>
      </c>
      <c r="E336" s="770" t="s">
        <v>819</v>
      </c>
      <c r="F336" s="770" t="s">
        <v>512</v>
      </c>
      <c r="G336" s="770">
        <v>137</v>
      </c>
      <c r="H336" s="770">
        <v>193</v>
      </c>
      <c r="I336" s="771">
        <v>0.71</v>
      </c>
      <c r="J336" s="770" t="s">
        <v>496</v>
      </c>
      <c r="K336" s="770" t="s">
        <v>518</v>
      </c>
      <c r="L336" s="770" t="s">
        <v>2734</v>
      </c>
      <c r="M336" s="772">
        <v>77842</v>
      </c>
      <c r="N336" s="772">
        <v>568</v>
      </c>
    </row>
    <row r="337" spans="2:14">
      <c r="B337" s="773"/>
      <c r="C337" s="773"/>
      <c r="D337" s="773"/>
      <c r="E337" s="773"/>
      <c r="F337" s="773"/>
      <c r="G337" s="773"/>
      <c r="H337" s="773"/>
      <c r="I337" s="773"/>
      <c r="J337" s="773"/>
      <c r="K337" s="773"/>
      <c r="L337" s="773"/>
      <c r="M337" s="773"/>
      <c r="N337" s="773"/>
    </row>
    <row r="338" spans="2:14" ht="25">
      <c r="B338" s="774">
        <v>136</v>
      </c>
      <c r="C338" s="770" t="s">
        <v>335</v>
      </c>
      <c r="D338" s="770" t="s">
        <v>1986</v>
      </c>
      <c r="E338" s="770" t="s">
        <v>820</v>
      </c>
      <c r="F338" s="770" t="s">
        <v>821</v>
      </c>
      <c r="G338" s="770">
        <v>190</v>
      </c>
      <c r="H338" s="770">
        <v>390</v>
      </c>
      <c r="I338" s="771">
        <v>0.48699999999999999</v>
      </c>
      <c r="J338" s="770" t="s">
        <v>496</v>
      </c>
      <c r="K338" s="770" t="s">
        <v>497</v>
      </c>
      <c r="L338" s="770" t="s">
        <v>2734</v>
      </c>
      <c r="M338" s="772">
        <v>0</v>
      </c>
      <c r="N338" s="772">
        <v>0</v>
      </c>
    </row>
    <row r="339" spans="2:14" ht="37.5">
      <c r="B339" s="774">
        <v>136</v>
      </c>
      <c r="C339" s="770" t="s">
        <v>335</v>
      </c>
      <c r="D339" s="770" t="s">
        <v>1987</v>
      </c>
      <c r="E339" s="770" t="s">
        <v>822</v>
      </c>
      <c r="F339" s="770" t="s">
        <v>512</v>
      </c>
      <c r="G339" s="770">
        <v>216</v>
      </c>
      <c r="H339" s="770">
        <v>411</v>
      </c>
      <c r="I339" s="771">
        <v>0.52600000000000002</v>
      </c>
      <c r="J339" s="770" t="s">
        <v>496</v>
      </c>
      <c r="K339" s="770" t="s">
        <v>518</v>
      </c>
      <c r="L339" s="770" t="s">
        <v>2734</v>
      </c>
      <c r="M339" s="772">
        <v>165054</v>
      </c>
      <c r="N339" s="772">
        <v>764</v>
      </c>
    </row>
    <row r="340" spans="2:14">
      <c r="B340" s="773"/>
      <c r="C340" s="773"/>
      <c r="D340" s="773"/>
      <c r="E340" s="773"/>
      <c r="F340" s="773"/>
      <c r="G340" s="773"/>
      <c r="H340" s="773"/>
      <c r="I340" s="773"/>
      <c r="J340" s="773"/>
      <c r="K340" s="773"/>
      <c r="L340" s="773"/>
      <c r="M340" s="773"/>
      <c r="N340" s="773"/>
    </row>
    <row r="341" spans="2:14" ht="25">
      <c r="B341" s="774">
        <v>137</v>
      </c>
      <c r="C341" s="770" t="s">
        <v>336</v>
      </c>
      <c r="D341" s="770" t="s">
        <v>1990</v>
      </c>
      <c r="E341" s="770" t="s">
        <v>824</v>
      </c>
      <c r="F341" s="770" t="s">
        <v>691</v>
      </c>
      <c r="G341" s="770">
        <v>221</v>
      </c>
      <c r="H341" s="770">
        <v>320</v>
      </c>
      <c r="I341" s="771">
        <v>0.69099999999999995</v>
      </c>
      <c r="J341" s="770" t="s">
        <v>496</v>
      </c>
      <c r="K341" s="770" t="s">
        <v>518</v>
      </c>
      <c r="L341" s="770" t="s">
        <v>2734</v>
      </c>
      <c r="M341" s="772">
        <v>95886</v>
      </c>
      <c r="N341" s="772">
        <v>433</v>
      </c>
    </row>
    <row r="342" spans="2:14" ht="37.5">
      <c r="B342" s="774">
        <v>137</v>
      </c>
      <c r="C342" s="770" t="s">
        <v>336</v>
      </c>
      <c r="D342" s="770" t="s">
        <v>1991</v>
      </c>
      <c r="E342" s="770" t="s">
        <v>825</v>
      </c>
      <c r="F342" s="770" t="s">
        <v>693</v>
      </c>
      <c r="G342" s="770">
        <v>266</v>
      </c>
      <c r="H342" s="770">
        <v>385</v>
      </c>
      <c r="I342" s="771">
        <v>0.69099999999999995</v>
      </c>
      <c r="J342" s="770" t="s">
        <v>496</v>
      </c>
      <c r="K342" s="770" t="s">
        <v>518</v>
      </c>
      <c r="L342" s="770" t="s">
        <v>2732</v>
      </c>
      <c r="M342" s="772">
        <v>150434</v>
      </c>
      <c r="N342" s="772">
        <v>565</v>
      </c>
    </row>
    <row r="343" spans="2:14">
      <c r="B343" s="773"/>
      <c r="C343" s="773"/>
      <c r="D343" s="773"/>
      <c r="E343" s="773"/>
      <c r="F343" s="773"/>
      <c r="G343" s="773"/>
      <c r="H343" s="773"/>
      <c r="I343" s="773"/>
      <c r="J343" s="773"/>
      <c r="K343" s="773"/>
      <c r="L343" s="773"/>
      <c r="M343" s="773"/>
      <c r="N343" s="773"/>
    </row>
    <row r="344" spans="2:14" ht="37.5">
      <c r="B344" s="774">
        <v>139</v>
      </c>
      <c r="C344" s="770" t="s">
        <v>337</v>
      </c>
      <c r="D344" s="770" t="s">
        <v>1992</v>
      </c>
      <c r="E344" s="770" t="s">
        <v>826</v>
      </c>
      <c r="F344" s="770" t="s">
        <v>557</v>
      </c>
      <c r="G344" s="770">
        <v>626</v>
      </c>
      <c r="H344" s="770">
        <v>966</v>
      </c>
      <c r="I344" s="771">
        <v>0.64800000000000002</v>
      </c>
      <c r="J344" s="770" t="s">
        <v>496</v>
      </c>
      <c r="K344" s="770" t="s">
        <v>497</v>
      </c>
      <c r="L344" s="770" t="s">
        <v>2734</v>
      </c>
      <c r="M344" s="772">
        <v>0</v>
      </c>
      <c r="N344" s="772">
        <v>0</v>
      </c>
    </row>
    <row r="345" spans="2:14" ht="37.5">
      <c r="B345" s="774">
        <v>139</v>
      </c>
      <c r="C345" s="770" t="s">
        <v>337</v>
      </c>
      <c r="D345" s="770" t="s">
        <v>1993</v>
      </c>
      <c r="E345" s="770" t="s">
        <v>827</v>
      </c>
      <c r="F345" s="770" t="s">
        <v>564</v>
      </c>
      <c r="G345" s="770">
        <v>453</v>
      </c>
      <c r="H345" s="770">
        <v>654</v>
      </c>
      <c r="I345" s="771">
        <v>0.69299999999999995</v>
      </c>
      <c r="J345" s="770" t="s">
        <v>496</v>
      </c>
      <c r="K345" s="770" t="s">
        <v>518</v>
      </c>
      <c r="L345" s="770" t="s">
        <v>2732</v>
      </c>
      <c r="M345" s="772">
        <v>197000</v>
      </c>
      <c r="N345" s="772">
        <v>434</v>
      </c>
    </row>
    <row r="346" spans="2:14" ht="37.5">
      <c r="B346" s="774">
        <v>139</v>
      </c>
      <c r="C346" s="770" t="s">
        <v>337</v>
      </c>
      <c r="D346" s="770" t="s">
        <v>1994</v>
      </c>
      <c r="E346" s="770" t="s">
        <v>828</v>
      </c>
      <c r="F346" s="770" t="s">
        <v>564</v>
      </c>
      <c r="G346" s="770">
        <v>446</v>
      </c>
      <c r="H346" s="770">
        <v>668</v>
      </c>
      <c r="I346" s="771">
        <v>0.66800000000000004</v>
      </c>
      <c r="J346" s="770" t="s">
        <v>496</v>
      </c>
      <c r="K346" s="770" t="s">
        <v>518</v>
      </c>
      <c r="L346" s="770" t="s">
        <v>2734</v>
      </c>
      <c r="M346" s="772">
        <v>194000</v>
      </c>
      <c r="N346" s="772">
        <v>434</v>
      </c>
    </row>
    <row r="347" spans="2:14" ht="50">
      <c r="B347" s="774">
        <v>139</v>
      </c>
      <c r="C347" s="770" t="s">
        <v>337</v>
      </c>
      <c r="D347" s="770" t="s">
        <v>1995</v>
      </c>
      <c r="E347" s="770" t="s">
        <v>829</v>
      </c>
      <c r="F347" s="770" t="s">
        <v>564</v>
      </c>
      <c r="G347" s="770">
        <v>556</v>
      </c>
      <c r="H347" s="770">
        <v>755</v>
      </c>
      <c r="I347" s="771">
        <v>0.73599999999999999</v>
      </c>
      <c r="J347" s="770" t="s">
        <v>496</v>
      </c>
      <c r="K347" s="770" t="s">
        <v>518</v>
      </c>
      <c r="L347" s="770" t="s">
        <v>2734</v>
      </c>
      <c r="M347" s="772">
        <v>241500</v>
      </c>
      <c r="N347" s="772">
        <v>434</v>
      </c>
    </row>
    <row r="348" spans="2:14" ht="37.5">
      <c r="B348" s="774">
        <v>139</v>
      </c>
      <c r="C348" s="770" t="s">
        <v>337</v>
      </c>
      <c r="D348" s="770" t="s">
        <v>1997</v>
      </c>
      <c r="E348" s="770" t="s">
        <v>830</v>
      </c>
      <c r="F348" s="770" t="s">
        <v>564</v>
      </c>
      <c r="G348" s="770">
        <v>335</v>
      </c>
      <c r="H348" s="770">
        <v>640</v>
      </c>
      <c r="I348" s="771">
        <v>0.52300000000000002</v>
      </c>
      <c r="J348" s="770" t="s">
        <v>496</v>
      </c>
      <c r="K348" s="770" t="s">
        <v>518</v>
      </c>
      <c r="L348" s="770" t="s">
        <v>2732</v>
      </c>
      <c r="M348" s="772">
        <v>145500</v>
      </c>
      <c r="N348" s="772">
        <v>434</v>
      </c>
    </row>
    <row r="349" spans="2:14" ht="50">
      <c r="B349" s="774">
        <v>139</v>
      </c>
      <c r="C349" s="770" t="s">
        <v>337</v>
      </c>
      <c r="D349" s="770" t="s">
        <v>1228</v>
      </c>
      <c r="E349" s="770" t="s">
        <v>459</v>
      </c>
      <c r="F349" s="770" t="s">
        <v>623</v>
      </c>
      <c r="G349" s="770">
        <v>74</v>
      </c>
      <c r="H349" s="770">
        <v>174</v>
      </c>
      <c r="I349" s="771">
        <v>0.42499999999999999</v>
      </c>
      <c r="J349" s="770" t="s">
        <v>496</v>
      </c>
      <c r="K349" s="770" t="s">
        <v>624</v>
      </c>
      <c r="L349" s="770" t="s">
        <v>2732</v>
      </c>
      <c r="M349" s="772">
        <v>25000</v>
      </c>
      <c r="N349" s="772">
        <v>337</v>
      </c>
    </row>
    <row r="350" spans="2:14" ht="37.5">
      <c r="B350" s="774">
        <v>139</v>
      </c>
      <c r="C350" s="770" t="s">
        <v>337</v>
      </c>
      <c r="D350" s="770" t="s">
        <v>1998</v>
      </c>
      <c r="E350" s="770" t="s">
        <v>831</v>
      </c>
      <c r="F350" s="770" t="s">
        <v>554</v>
      </c>
      <c r="G350" s="770">
        <v>684</v>
      </c>
      <c r="H350" s="770">
        <v>1012</v>
      </c>
      <c r="I350" s="771">
        <v>0.67600000000000005</v>
      </c>
      <c r="J350" s="770" t="s">
        <v>496</v>
      </c>
      <c r="K350" s="770" t="s">
        <v>497</v>
      </c>
      <c r="L350" s="770" t="s">
        <v>2734</v>
      </c>
      <c r="M350" s="772">
        <v>0</v>
      </c>
      <c r="N350" s="772">
        <v>0</v>
      </c>
    </row>
    <row r="351" spans="2:14" ht="37.5">
      <c r="B351" s="774">
        <v>139</v>
      </c>
      <c r="C351" s="770" t="s">
        <v>337</v>
      </c>
      <c r="D351" s="770" t="s">
        <v>1999</v>
      </c>
      <c r="E351" s="770" t="s">
        <v>832</v>
      </c>
      <c r="F351" s="770" t="s">
        <v>564</v>
      </c>
      <c r="G351" s="770">
        <v>444</v>
      </c>
      <c r="H351" s="770">
        <v>670</v>
      </c>
      <c r="I351" s="771">
        <v>0.66300000000000003</v>
      </c>
      <c r="J351" s="770" t="s">
        <v>496</v>
      </c>
      <c r="K351" s="770" t="s">
        <v>518</v>
      </c>
      <c r="L351" s="770" t="s">
        <v>2732</v>
      </c>
      <c r="M351" s="772">
        <v>193000</v>
      </c>
      <c r="N351" s="772">
        <v>434</v>
      </c>
    </row>
    <row r="352" spans="2:14" ht="50">
      <c r="B352" s="774">
        <v>139</v>
      </c>
      <c r="C352" s="770" t="s">
        <v>337</v>
      </c>
      <c r="D352" s="770" t="s">
        <v>2000</v>
      </c>
      <c r="E352" s="770" t="s">
        <v>833</v>
      </c>
      <c r="F352" s="770" t="s">
        <v>564</v>
      </c>
      <c r="G352" s="770">
        <v>499</v>
      </c>
      <c r="H352" s="770">
        <v>722</v>
      </c>
      <c r="I352" s="771">
        <v>0.69099999999999995</v>
      </c>
      <c r="J352" s="770" t="s">
        <v>496</v>
      </c>
      <c r="K352" s="770" t="s">
        <v>518</v>
      </c>
      <c r="L352" s="770" t="s">
        <v>2732</v>
      </c>
      <c r="M352" s="772">
        <v>217000</v>
      </c>
      <c r="N352" s="772">
        <v>434</v>
      </c>
    </row>
    <row r="353" spans="2:14" ht="37.5">
      <c r="B353" s="774">
        <v>139</v>
      </c>
      <c r="C353" s="770" t="s">
        <v>337</v>
      </c>
      <c r="D353" s="770" t="s">
        <v>2002</v>
      </c>
      <c r="E353" s="770" t="s">
        <v>834</v>
      </c>
      <c r="F353" s="770" t="s">
        <v>554</v>
      </c>
      <c r="G353" s="770">
        <v>606</v>
      </c>
      <c r="H353" s="770">
        <v>842</v>
      </c>
      <c r="I353" s="771">
        <v>0.72</v>
      </c>
      <c r="J353" s="770" t="s">
        <v>496</v>
      </c>
      <c r="K353" s="770" t="s">
        <v>497</v>
      </c>
      <c r="L353" s="770" t="s">
        <v>2734</v>
      </c>
      <c r="M353" s="772">
        <v>0</v>
      </c>
      <c r="N353" s="772">
        <v>0</v>
      </c>
    </row>
    <row r="354" spans="2:14" ht="50">
      <c r="B354" s="774">
        <v>139</v>
      </c>
      <c r="C354" s="770" t="s">
        <v>337</v>
      </c>
      <c r="D354" s="770" t="s">
        <v>2003</v>
      </c>
      <c r="E354" s="770" t="s">
        <v>2741</v>
      </c>
      <c r="F354" s="770" t="s">
        <v>596</v>
      </c>
      <c r="G354" s="770">
        <v>65</v>
      </c>
      <c r="H354" s="770">
        <v>79</v>
      </c>
      <c r="I354" s="771">
        <v>0.82299999999999995</v>
      </c>
      <c r="J354" s="770" t="s">
        <v>496</v>
      </c>
      <c r="K354" s="770" t="s">
        <v>518</v>
      </c>
      <c r="L354" s="770" t="s">
        <v>2734</v>
      </c>
      <c r="M354" s="772">
        <v>28261</v>
      </c>
      <c r="N354" s="772">
        <v>434</v>
      </c>
    </row>
    <row r="355" spans="2:14" ht="37.5">
      <c r="B355" s="774">
        <v>139</v>
      </c>
      <c r="C355" s="770" t="s">
        <v>337</v>
      </c>
      <c r="D355" s="770" t="s">
        <v>2742</v>
      </c>
      <c r="E355" s="770" t="s">
        <v>2743</v>
      </c>
      <c r="F355" s="770" t="s">
        <v>551</v>
      </c>
      <c r="G355" s="770"/>
      <c r="H355" s="770"/>
      <c r="I355" s="770"/>
      <c r="J355" s="770" t="s">
        <v>501</v>
      </c>
      <c r="K355" s="770" t="s">
        <v>497</v>
      </c>
      <c r="L355" s="770" t="s">
        <v>2734</v>
      </c>
      <c r="M355" s="772">
        <v>0</v>
      </c>
      <c r="N355" s="772">
        <v>0</v>
      </c>
    </row>
    <row r="356" spans="2:14" ht="37.5">
      <c r="B356" s="774">
        <v>139</v>
      </c>
      <c r="C356" s="770" t="s">
        <v>337</v>
      </c>
      <c r="D356" s="770" t="s">
        <v>2005</v>
      </c>
      <c r="E356" s="770" t="s">
        <v>836</v>
      </c>
      <c r="F356" s="770" t="s">
        <v>557</v>
      </c>
      <c r="G356" s="770">
        <v>101</v>
      </c>
      <c r="H356" s="770">
        <v>133</v>
      </c>
      <c r="I356" s="771">
        <v>0.75900000000000001</v>
      </c>
      <c r="J356" s="770" t="s">
        <v>496</v>
      </c>
      <c r="K356" s="770" t="s">
        <v>624</v>
      </c>
      <c r="L356" s="770" t="s">
        <v>2733</v>
      </c>
      <c r="M356" s="772">
        <v>43900</v>
      </c>
      <c r="N356" s="772">
        <v>434</v>
      </c>
    </row>
    <row r="357" spans="2:14">
      <c r="B357" s="773"/>
      <c r="C357" s="773"/>
      <c r="D357" s="773"/>
      <c r="E357" s="773"/>
      <c r="F357" s="773"/>
      <c r="G357" s="773"/>
      <c r="H357" s="773"/>
      <c r="I357" s="773"/>
      <c r="J357" s="773"/>
      <c r="K357" s="773"/>
      <c r="L357" s="773"/>
      <c r="M357" s="773"/>
      <c r="N357" s="773"/>
    </row>
    <row r="358" spans="2:14" ht="25">
      <c r="B358" s="774">
        <v>148</v>
      </c>
      <c r="C358" s="770" t="s">
        <v>338</v>
      </c>
      <c r="D358" s="770" t="s">
        <v>2008</v>
      </c>
      <c r="E358" s="770" t="s">
        <v>837</v>
      </c>
      <c r="F358" s="770" t="s">
        <v>546</v>
      </c>
      <c r="G358" s="770">
        <v>100</v>
      </c>
      <c r="H358" s="770">
        <v>227</v>
      </c>
      <c r="I358" s="771">
        <v>0.441</v>
      </c>
      <c r="J358" s="770" t="s">
        <v>496</v>
      </c>
      <c r="K358" s="770" t="s">
        <v>497</v>
      </c>
      <c r="L358" s="770" t="s">
        <v>2732</v>
      </c>
      <c r="M358" s="772">
        <v>0</v>
      </c>
      <c r="N358" s="772">
        <v>0</v>
      </c>
    </row>
    <row r="359" spans="2:14" ht="37.5">
      <c r="B359" s="774">
        <v>148</v>
      </c>
      <c r="C359" s="770" t="s">
        <v>338</v>
      </c>
      <c r="D359" s="770" t="s">
        <v>2009</v>
      </c>
      <c r="E359" s="770" t="s">
        <v>838</v>
      </c>
      <c r="F359" s="770" t="s">
        <v>681</v>
      </c>
      <c r="G359" s="770">
        <v>46</v>
      </c>
      <c r="H359" s="770">
        <v>101</v>
      </c>
      <c r="I359" s="771">
        <v>0.45500000000000002</v>
      </c>
      <c r="J359" s="770" t="s">
        <v>496</v>
      </c>
      <c r="K359" s="770" t="s">
        <v>624</v>
      </c>
      <c r="L359" s="770" t="s">
        <v>2732</v>
      </c>
      <c r="M359" s="772">
        <v>18841</v>
      </c>
      <c r="N359" s="772">
        <v>409</v>
      </c>
    </row>
    <row r="360" spans="2:14" ht="37.5">
      <c r="B360" s="774">
        <v>148</v>
      </c>
      <c r="C360" s="770" t="s">
        <v>338</v>
      </c>
      <c r="D360" s="770" t="s">
        <v>2010</v>
      </c>
      <c r="E360" s="770" t="s">
        <v>839</v>
      </c>
      <c r="F360" s="770" t="s">
        <v>512</v>
      </c>
      <c r="G360" s="770">
        <v>96</v>
      </c>
      <c r="H360" s="770">
        <v>181</v>
      </c>
      <c r="I360" s="771">
        <v>0.53</v>
      </c>
      <c r="J360" s="770" t="s">
        <v>496</v>
      </c>
      <c r="K360" s="770" t="s">
        <v>518</v>
      </c>
      <c r="L360" s="770" t="s">
        <v>2732</v>
      </c>
      <c r="M360" s="772">
        <v>50000</v>
      </c>
      <c r="N360" s="772">
        <v>520</v>
      </c>
    </row>
    <row r="361" spans="2:14">
      <c r="B361" s="773"/>
      <c r="C361" s="773"/>
      <c r="D361" s="773"/>
      <c r="E361" s="773"/>
      <c r="F361" s="773"/>
      <c r="G361" s="773"/>
      <c r="H361" s="773"/>
      <c r="I361" s="773"/>
      <c r="J361" s="773"/>
      <c r="K361" s="773"/>
      <c r="L361" s="773"/>
      <c r="M361" s="773"/>
      <c r="N361" s="773"/>
    </row>
    <row r="362" spans="2:14" ht="37.5">
      <c r="B362" s="774">
        <v>149</v>
      </c>
      <c r="C362" s="770" t="s">
        <v>339</v>
      </c>
      <c r="D362" s="770" t="s">
        <v>2012</v>
      </c>
      <c r="E362" s="770" t="s">
        <v>840</v>
      </c>
      <c r="F362" s="770" t="s">
        <v>557</v>
      </c>
      <c r="G362" s="770">
        <v>33</v>
      </c>
      <c r="H362" s="770">
        <v>103</v>
      </c>
      <c r="I362" s="771">
        <v>0.32</v>
      </c>
      <c r="J362" s="770" t="s">
        <v>496</v>
      </c>
      <c r="K362" s="770" t="s">
        <v>624</v>
      </c>
      <c r="L362" s="770" t="s">
        <v>2732</v>
      </c>
      <c r="M362" s="772">
        <v>1596</v>
      </c>
      <c r="N362" s="772">
        <v>48</v>
      </c>
    </row>
    <row r="363" spans="2:14" ht="37.5">
      <c r="B363" s="774">
        <v>149</v>
      </c>
      <c r="C363" s="770" t="s">
        <v>339</v>
      </c>
      <c r="D363" s="770" t="s">
        <v>2013</v>
      </c>
      <c r="E363" s="770" t="s">
        <v>841</v>
      </c>
      <c r="F363" s="770" t="s">
        <v>551</v>
      </c>
      <c r="G363" s="770">
        <v>47</v>
      </c>
      <c r="H363" s="770">
        <v>92</v>
      </c>
      <c r="I363" s="771">
        <v>0.51100000000000001</v>
      </c>
      <c r="J363" s="770" t="s">
        <v>496</v>
      </c>
      <c r="K363" s="770" t="s">
        <v>624</v>
      </c>
      <c r="L363" s="770" t="s">
        <v>2732</v>
      </c>
      <c r="M363" s="772">
        <v>21379</v>
      </c>
      <c r="N363" s="772">
        <v>454</v>
      </c>
    </row>
    <row r="364" spans="2:14">
      <c r="B364" s="773"/>
      <c r="C364" s="773"/>
      <c r="D364" s="773"/>
      <c r="E364" s="773"/>
      <c r="F364" s="773"/>
      <c r="G364" s="773"/>
      <c r="H364" s="773"/>
      <c r="I364" s="773"/>
      <c r="J364" s="773"/>
      <c r="K364" s="773"/>
      <c r="L364" s="773"/>
      <c r="M364" s="773"/>
      <c r="N364" s="773"/>
    </row>
    <row r="365" spans="2:14" ht="37.5">
      <c r="B365" s="774">
        <v>150</v>
      </c>
      <c r="C365" s="770" t="s">
        <v>340</v>
      </c>
      <c r="D365" s="770" t="s">
        <v>2015</v>
      </c>
      <c r="E365" s="770" t="s">
        <v>842</v>
      </c>
      <c r="F365" s="770" t="s">
        <v>691</v>
      </c>
      <c r="G365" s="770">
        <v>111</v>
      </c>
      <c r="H365" s="770">
        <v>264</v>
      </c>
      <c r="I365" s="771">
        <v>0.42</v>
      </c>
      <c r="J365" s="770" t="s">
        <v>496</v>
      </c>
      <c r="K365" s="770" t="s">
        <v>497</v>
      </c>
      <c r="L365" s="770" t="s">
        <v>2734</v>
      </c>
      <c r="M365" s="772">
        <v>0</v>
      </c>
      <c r="N365" s="772">
        <v>0</v>
      </c>
    </row>
    <row r="366" spans="2:14" ht="37.5">
      <c r="B366" s="774">
        <v>150</v>
      </c>
      <c r="C366" s="770" t="s">
        <v>340</v>
      </c>
      <c r="D366" s="770" t="s">
        <v>2016</v>
      </c>
      <c r="E366" s="770" t="s">
        <v>843</v>
      </c>
      <c r="F366" s="770" t="s">
        <v>557</v>
      </c>
      <c r="G366" s="770">
        <v>50</v>
      </c>
      <c r="H366" s="770">
        <v>228</v>
      </c>
      <c r="I366" s="771">
        <v>0.219</v>
      </c>
      <c r="J366" s="770" t="s">
        <v>501</v>
      </c>
      <c r="K366" s="770" t="s">
        <v>497</v>
      </c>
      <c r="L366" s="770" t="s">
        <v>2732</v>
      </c>
      <c r="M366" s="772">
        <v>0</v>
      </c>
      <c r="N366" s="772">
        <v>0</v>
      </c>
    </row>
    <row r="367" spans="2:14" ht="37.5">
      <c r="B367" s="774">
        <v>150</v>
      </c>
      <c r="C367" s="770" t="s">
        <v>340</v>
      </c>
      <c r="D367" s="770" t="s">
        <v>2017</v>
      </c>
      <c r="E367" s="770" t="s">
        <v>844</v>
      </c>
      <c r="F367" s="770" t="s">
        <v>693</v>
      </c>
      <c r="G367" s="770">
        <v>95</v>
      </c>
      <c r="H367" s="770">
        <v>240</v>
      </c>
      <c r="I367" s="771">
        <v>0.39600000000000002</v>
      </c>
      <c r="J367" s="770" t="s">
        <v>496</v>
      </c>
      <c r="K367" s="770" t="s">
        <v>518</v>
      </c>
      <c r="L367" s="770" t="s">
        <v>2733</v>
      </c>
      <c r="M367" s="772">
        <v>61085</v>
      </c>
      <c r="N367" s="772">
        <v>643</v>
      </c>
    </row>
    <row r="368" spans="2:14">
      <c r="B368" s="773"/>
      <c r="C368" s="773"/>
      <c r="D368" s="773"/>
      <c r="E368" s="773"/>
      <c r="F368" s="773"/>
      <c r="G368" s="773"/>
      <c r="H368" s="773"/>
      <c r="I368" s="773"/>
      <c r="J368" s="773"/>
      <c r="K368" s="773"/>
      <c r="L368" s="773"/>
      <c r="M368" s="773"/>
      <c r="N368" s="773"/>
    </row>
    <row r="369" spans="2:14" ht="37.5">
      <c r="B369" s="774">
        <v>151</v>
      </c>
      <c r="C369" s="770" t="s">
        <v>341</v>
      </c>
      <c r="D369" s="770" t="s">
        <v>2020</v>
      </c>
      <c r="E369" s="770" t="s">
        <v>845</v>
      </c>
      <c r="F369" s="770" t="s">
        <v>596</v>
      </c>
      <c r="G369" s="770">
        <v>288</v>
      </c>
      <c r="H369" s="770">
        <v>518</v>
      </c>
      <c r="I369" s="771">
        <v>0.55600000000000005</v>
      </c>
      <c r="J369" s="770" t="s">
        <v>496</v>
      </c>
      <c r="K369" s="770" t="s">
        <v>518</v>
      </c>
      <c r="L369" s="770" t="s">
        <v>2733</v>
      </c>
      <c r="M369" s="772">
        <v>102612</v>
      </c>
      <c r="N369" s="772">
        <v>356</v>
      </c>
    </row>
    <row r="370" spans="2:14" ht="37.5">
      <c r="B370" s="774">
        <v>151</v>
      </c>
      <c r="C370" s="770" t="s">
        <v>341</v>
      </c>
      <c r="D370" s="770" t="s">
        <v>2021</v>
      </c>
      <c r="E370" s="770" t="s">
        <v>846</v>
      </c>
      <c r="F370" s="770" t="s">
        <v>557</v>
      </c>
      <c r="G370" s="770">
        <v>399</v>
      </c>
      <c r="H370" s="770">
        <v>909</v>
      </c>
      <c r="I370" s="771">
        <v>0.439</v>
      </c>
      <c r="J370" s="770" t="s">
        <v>496</v>
      </c>
      <c r="K370" s="770" t="s">
        <v>497</v>
      </c>
      <c r="L370" s="770" t="s">
        <v>2734</v>
      </c>
      <c r="M370" s="772">
        <v>0</v>
      </c>
      <c r="N370" s="772">
        <v>0</v>
      </c>
    </row>
    <row r="371" spans="2:14" ht="37.5">
      <c r="B371" s="774">
        <v>151</v>
      </c>
      <c r="C371" s="770" t="s">
        <v>341</v>
      </c>
      <c r="D371" s="770" t="s">
        <v>2022</v>
      </c>
      <c r="E371" s="770" t="s">
        <v>847</v>
      </c>
      <c r="F371" s="770" t="s">
        <v>546</v>
      </c>
      <c r="G371" s="770">
        <v>35</v>
      </c>
      <c r="H371" s="770">
        <v>77</v>
      </c>
      <c r="I371" s="771">
        <v>0.45500000000000002</v>
      </c>
      <c r="J371" s="770" t="s">
        <v>496</v>
      </c>
      <c r="K371" s="770" t="s">
        <v>518</v>
      </c>
      <c r="L371" s="770" t="s">
        <v>2734</v>
      </c>
      <c r="M371" s="772">
        <v>12470</v>
      </c>
      <c r="N371" s="772">
        <v>356</v>
      </c>
    </row>
    <row r="372" spans="2:14" ht="37.5">
      <c r="B372" s="774">
        <v>151</v>
      </c>
      <c r="C372" s="770" t="s">
        <v>341</v>
      </c>
      <c r="D372" s="770" t="s">
        <v>2023</v>
      </c>
      <c r="E372" s="770" t="s">
        <v>848</v>
      </c>
      <c r="F372" s="770" t="s">
        <v>546</v>
      </c>
      <c r="G372" s="770">
        <v>33</v>
      </c>
      <c r="H372" s="770">
        <v>65</v>
      </c>
      <c r="I372" s="771">
        <v>0.50800000000000001</v>
      </c>
      <c r="J372" s="770" t="s">
        <v>496</v>
      </c>
      <c r="K372" s="770" t="s">
        <v>518</v>
      </c>
      <c r="L372" s="770" t="s">
        <v>2734</v>
      </c>
      <c r="M372" s="772">
        <v>11758</v>
      </c>
      <c r="N372" s="772">
        <v>356</v>
      </c>
    </row>
    <row r="373" spans="2:14" ht="37.5">
      <c r="B373" s="774">
        <v>151</v>
      </c>
      <c r="C373" s="770" t="s">
        <v>341</v>
      </c>
      <c r="D373" s="770" t="s">
        <v>2024</v>
      </c>
      <c r="E373" s="770" t="s">
        <v>849</v>
      </c>
      <c r="F373" s="770" t="s">
        <v>557</v>
      </c>
      <c r="G373" s="770">
        <v>90</v>
      </c>
      <c r="H373" s="770">
        <v>327</v>
      </c>
      <c r="I373" s="771">
        <v>0.27500000000000002</v>
      </c>
      <c r="J373" s="770" t="s">
        <v>501</v>
      </c>
      <c r="K373" s="770" t="s">
        <v>497</v>
      </c>
      <c r="L373" s="770" t="s">
        <v>2734</v>
      </c>
      <c r="M373" s="772">
        <v>0</v>
      </c>
      <c r="N373" s="772">
        <v>0</v>
      </c>
    </row>
    <row r="374" spans="2:14" ht="37.5">
      <c r="B374" s="774">
        <v>151</v>
      </c>
      <c r="C374" s="770" t="s">
        <v>341</v>
      </c>
      <c r="D374" s="770" t="s">
        <v>2025</v>
      </c>
      <c r="E374" s="770" t="s">
        <v>850</v>
      </c>
      <c r="F374" s="770" t="s">
        <v>618</v>
      </c>
      <c r="G374" s="770">
        <v>556</v>
      </c>
      <c r="H374" s="770">
        <v>870</v>
      </c>
      <c r="I374" s="771">
        <v>0.63900000000000001</v>
      </c>
      <c r="J374" s="770" t="s">
        <v>496</v>
      </c>
      <c r="K374" s="770" t="s">
        <v>518</v>
      </c>
      <c r="L374" s="770" t="s">
        <v>2734</v>
      </c>
      <c r="M374" s="772">
        <v>198098</v>
      </c>
      <c r="N374" s="772">
        <v>356</v>
      </c>
    </row>
    <row r="375" spans="2:14" ht="37.5">
      <c r="B375" s="774">
        <v>151</v>
      </c>
      <c r="C375" s="770" t="s">
        <v>341</v>
      </c>
      <c r="D375" s="770" t="s">
        <v>2744</v>
      </c>
      <c r="E375" s="770" t="s">
        <v>851</v>
      </c>
      <c r="F375" s="770" t="s">
        <v>678</v>
      </c>
      <c r="G375" s="770">
        <v>15</v>
      </c>
      <c r="H375" s="770">
        <v>50</v>
      </c>
      <c r="I375" s="771">
        <v>0.3</v>
      </c>
      <c r="J375" s="770" t="s">
        <v>501</v>
      </c>
      <c r="K375" s="770" t="s">
        <v>497</v>
      </c>
      <c r="L375" s="770" t="s">
        <v>2732</v>
      </c>
      <c r="M375" s="772">
        <v>0</v>
      </c>
      <c r="N375" s="772">
        <v>0</v>
      </c>
    </row>
    <row r="376" spans="2:14" ht="37.5">
      <c r="B376" s="774">
        <v>151</v>
      </c>
      <c r="C376" s="770" t="s">
        <v>341</v>
      </c>
      <c r="D376" s="770" t="s">
        <v>2026</v>
      </c>
      <c r="E376" s="770" t="s">
        <v>852</v>
      </c>
      <c r="F376" s="770" t="s">
        <v>554</v>
      </c>
      <c r="G376" s="770">
        <v>92</v>
      </c>
      <c r="H376" s="770">
        <v>229</v>
      </c>
      <c r="I376" s="771">
        <v>0.40200000000000002</v>
      </c>
      <c r="J376" s="770" t="s">
        <v>496</v>
      </c>
      <c r="K376" s="770" t="s">
        <v>518</v>
      </c>
      <c r="L376" s="770" t="s">
        <v>2734</v>
      </c>
      <c r="M376" s="772">
        <v>32778</v>
      </c>
      <c r="N376" s="772">
        <v>356</v>
      </c>
    </row>
    <row r="377" spans="2:14" ht="37.5">
      <c r="B377" s="774">
        <v>151</v>
      </c>
      <c r="C377" s="770" t="s">
        <v>341</v>
      </c>
      <c r="D377" s="770" t="s">
        <v>2027</v>
      </c>
      <c r="E377" s="770" t="s">
        <v>853</v>
      </c>
      <c r="F377" s="770" t="s">
        <v>512</v>
      </c>
      <c r="G377" s="770"/>
      <c r="H377" s="770"/>
      <c r="I377" s="770"/>
      <c r="J377" s="770" t="s">
        <v>501</v>
      </c>
      <c r="K377" s="770" t="s">
        <v>497</v>
      </c>
      <c r="L377" s="770" t="s">
        <v>2732</v>
      </c>
      <c r="M377" s="772">
        <v>0</v>
      </c>
      <c r="N377" s="772">
        <v>0</v>
      </c>
    </row>
    <row r="378" spans="2:14" ht="37.5">
      <c r="B378" s="774">
        <v>151</v>
      </c>
      <c r="C378" s="770" t="s">
        <v>341</v>
      </c>
      <c r="D378" s="770" t="s">
        <v>2028</v>
      </c>
      <c r="E378" s="770" t="s">
        <v>854</v>
      </c>
      <c r="F378" s="770" t="s">
        <v>564</v>
      </c>
      <c r="G378" s="770">
        <v>200</v>
      </c>
      <c r="H378" s="770">
        <v>448</v>
      </c>
      <c r="I378" s="771">
        <v>0.44600000000000001</v>
      </c>
      <c r="J378" s="770" t="s">
        <v>496</v>
      </c>
      <c r="K378" s="770" t="s">
        <v>518</v>
      </c>
      <c r="L378" s="770" t="s">
        <v>2733</v>
      </c>
      <c r="M378" s="772">
        <v>71258</v>
      </c>
      <c r="N378" s="772">
        <v>356</v>
      </c>
    </row>
    <row r="379" spans="2:14" ht="37.5">
      <c r="B379" s="774">
        <v>151</v>
      </c>
      <c r="C379" s="770" t="s">
        <v>341</v>
      </c>
      <c r="D379" s="770" t="s">
        <v>2029</v>
      </c>
      <c r="E379" s="770" t="s">
        <v>855</v>
      </c>
      <c r="F379" s="770" t="s">
        <v>612</v>
      </c>
      <c r="G379" s="770">
        <v>361</v>
      </c>
      <c r="H379" s="770">
        <v>581</v>
      </c>
      <c r="I379" s="771">
        <v>0.621</v>
      </c>
      <c r="J379" s="770" t="s">
        <v>496</v>
      </c>
      <c r="K379" s="770" t="s">
        <v>518</v>
      </c>
      <c r="L379" s="770" t="s">
        <v>2734</v>
      </c>
      <c r="M379" s="772">
        <v>128621</v>
      </c>
      <c r="N379" s="772">
        <v>356</v>
      </c>
    </row>
    <row r="380" spans="2:14" ht="37.5">
      <c r="B380" s="774">
        <v>151</v>
      </c>
      <c r="C380" s="770" t="s">
        <v>341</v>
      </c>
      <c r="D380" s="770" t="s">
        <v>2030</v>
      </c>
      <c r="E380" s="770" t="s">
        <v>856</v>
      </c>
      <c r="F380" s="770" t="s">
        <v>512</v>
      </c>
      <c r="G380" s="770">
        <v>127</v>
      </c>
      <c r="H380" s="770">
        <v>206</v>
      </c>
      <c r="I380" s="771">
        <v>0.61699999999999999</v>
      </c>
      <c r="J380" s="770" t="s">
        <v>496</v>
      </c>
      <c r="K380" s="770" t="s">
        <v>518</v>
      </c>
      <c r="L380" s="770" t="s">
        <v>2734</v>
      </c>
      <c r="M380" s="772">
        <v>45249</v>
      </c>
      <c r="N380" s="772">
        <v>356</v>
      </c>
    </row>
    <row r="381" spans="2:14" ht="37.5">
      <c r="B381" s="774">
        <v>151</v>
      </c>
      <c r="C381" s="770" t="s">
        <v>341</v>
      </c>
      <c r="D381" s="770" t="s">
        <v>2031</v>
      </c>
      <c r="E381" s="770" t="s">
        <v>857</v>
      </c>
      <c r="F381" s="770" t="s">
        <v>512</v>
      </c>
      <c r="G381" s="770">
        <v>127</v>
      </c>
      <c r="H381" s="770">
        <v>227</v>
      </c>
      <c r="I381" s="771">
        <v>0.55900000000000005</v>
      </c>
      <c r="J381" s="770" t="s">
        <v>496</v>
      </c>
      <c r="K381" s="770" t="s">
        <v>518</v>
      </c>
      <c r="L381" s="770" t="s">
        <v>2732</v>
      </c>
      <c r="M381" s="772">
        <v>45249</v>
      </c>
      <c r="N381" s="772">
        <v>356</v>
      </c>
    </row>
    <row r="382" spans="2:14" ht="37.5">
      <c r="B382" s="774">
        <v>151</v>
      </c>
      <c r="C382" s="770" t="s">
        <v>341</v>
      </c>
      <c r="D382" s="770" t="s">
        <v>2032</v>
      </c>
      <c r="E382" s="770" t="s">
        <v>858</v>
      </c>
      <c r="F382" s="770" t="s">
        <v>612</v>
      </c>
      <c r="G382" s="770">
        <v>404</v>
      </c>
      <c r="H382" s="770">
        <v>601</v>
      </c>
      <c r="I382" s="771">
        <v>0.67200000000000004</v>
      </c>
      <c r="J382" s="770" t="s">
        <v>496</v>
      </c>
      <c r="K382" s="770" t="s">
        <v>518</v>
      </c>
      <c r="L382" s="770" t="s">
        <v>2734</v>
      </c>
      <c r="M382" s="772">
        <v>143942</v>
      </c>
      <c r="N382" s="772">
        <v>356</v>
      </c>
    </row>
    <row r="383" spans="2:14" ht="37.5">
      <c r="B383" s="774">
        <v>151</v>
      </c>
      <c r="C383" s="770" t="s">
        <v>341</v>
      </c>
      <c r="D383" s="770" t="s">
        <v>2033</v>
      </c>
      <c r="E383" s="770" t="s">
        <v>859</v>
      </c>
      <c r="F383" s="770" t="s">
        <v>564</v>
      </c>
      <c r="G383" s="770">
        <v>17</v>
      </c>
      <c r="H383" s="770">
        <v>41</v>
      </c>
      <c r="I383" s="771">
        <v>0.41499999999999998</v>
      </c>
      <c r="J383" s="770" t="s">
        <v>496</v>
      </c>
      <c r="K383" s="770" t="s">
        <v>497</v>
      </c>
      <c r="L383" s="770" t="s">
        <v>2732</v>
      </c>
      <c r="M383" s="772">
        <v>0</v>
      </c>
      <c r="N383" s="772">
        <v>0</v>
      </c>
    </row>
    <row r="384" spans="2:14" ht="37.5">
      <c r="B384" s="774">
        <v>151</v>
      </c>
      <c r="C384" s="770" t="s">
        <v>341</v>
      </c>
      <c r="D384" s="770" t="s">
        <v>2034</v>
      </c>
      <c r="E384" s="770" t="s">
        <v>860</v>
      </c>
      <c r="F384" s="770" t="s">
        <v>546</v>
      </c>
      <c r="G384" s="770"/>
      <c r="H384" s="770"/>
      <c r="I384" s="770"/>
      <c r="J384" s="770" t="s">
        <v>496</v>
      </c>
      <c r="K384" s="770" t="s">
        <v>518</v>
      </c>
      <c r="L384" s="770" t="s">
        <v>2734</v>
      </c>
      <c r="M384" s="772">
        <v>48099</v>
      </c>
      <c r="N384" s="772">
        <v>356</v>
      </c>
    </row>
    <row r="385" spans="2:14">
      <c r="B385" s="773"/>
      <c r="C385" s="773"/>
      <c r="D385" s="773"/>
      <c r="E385" s="773"/>
      <c r="F385" s="773"/>
      <c r="G385" s="773"/>
      <c r="H385" s="773"/>
      <c r="I385" s="773"/>
      <c r="J385" s="773"/>
      <c r="K385" s="773"/>
      <c r="L385" s="773"/>
      <c r="M385" s="773"/>
      <c r="N385" s="773"/>
    </row>
    <row r="386" spans="2:14" ht="37.5">
      <c r="B386" s="774">
        <v>161</v>
      </c>
      <c r="C386" s="770" t="s">
        <v>342</v>
      </c>
      <c r="D386" s="770" t="s">
        <v>2039</v>
      </c>
      <c r="E386" s="770" t="s">
        <v>861</v>
      </c>
      <c r="F386" s="770" t="s">
        <v>715</v>
      </c>
      <c r="G386" s="770">
        <v>61</v>
      </c>
      <c r="H386" s="770">
        <v>85</v>
      </c>
      <c r="I386" s="771">
        <v>0.71799999999999997</v>
      </c>
      <c r="J386" s="770" t="s">
        <v>496</v>
      </c>
      <c r="K386" s="770" t="s">
        <v>624</v>
      </c>
      <c r="L386" s="770" t="s">
        <v>2734</v>
      </c>
      <c r="M386" s="772">
        <v>14132</v>
      </c>
      <c r="N386" s="772">
        <v>231</v>
      </c>
    </row>
    <row r="387" spans="2:14" ht="37.5">
      <c r="B387" s="774">
        <v>161</v>
      </c>
      <c r="C387" s="770" t="s">
        <v>342</v>
      </c>
      <c r="D387" s="770" t="s">
        <v>2040</v>
      </c>
      <c r="E387" s="770" t="s">
        <v>862</v>
      </c>
      <c r="F387" s="770" t="s">
        <v>551</v>
      </c>
      <c r="G387" s="770">
        <v>60</v>
      </c>
      <c r="H387" s="770">
        <v>74</v>
      </c>
      <c r="I387" s="771">
        <v>0.81100000000000005</v>
      </c>
      <c r="J387" s="770" t="s">
        <v>496</v>
      </c>
      <c r="K387" s="770" t="s">
        <v>624</v>
      </c>
      <c r="L387" s="770" t="s">
        <v>2734</v>
      </c>
      <c r="M387" s="772">
        <v>22721</v>
      </c>
      <c r="N387" s="772">
        <v>378</v>
      </c>
    </row>
    <row r="388" spans="2:14">
      <c r="B388" s="773"/>
      <c r="C388" s="773"/>
      <c r="D388" s="773"/>
      <c r="E388" s="773"/>
      <c r="F388" s="773"/>
      <c r="G388" s="773"/>
      <c r="H388" s="773"/>
      <c r="I388" s="773"/>
      <c r="J388" s="773"/>
      <c r="K388" s="773"/>
      <c r="L388" s="773"/>
      <c r="M388" s="773"/>
      <c r="N388" s="773"/>
    </row>
    <row r="389" spans="2:14" ht="37.5">
      <c r="B389" s="774">
        <v>171</v>
      </c>
      <c r="C389" s="770" t="s">
        <v>343</v>
      </c>
      <c r="D389" s="770" t="s">
        <v>2042</v>
      </c>
      <c r="E389" s="770" t="s">
        <v>510</v>
      </c>
      <c r="F389" s="770" t="s">
        <v>546</v>
      </c>
      <c r="G389" s="770">
        <v>75</v>
      </c>
      <c r="H389" s="770">
        <v>114</v>
      </c>
      <c r="I389" s="771">
        <v>0.65800000000000003</v>
      </c>
      <c r="J389" s="770" t="s">
        <v>496</v>
      </c>
      <c r="K389" s="770" t="s">
        <v>518</v>
      </c>
      <c r="L389" s="770" t="s">
        <v>2734</v>
      </c>
      <c r="M389" s="772">
        <v>43180</v>
      </c>
      <c r="N389" s="772">
        <v>575</v>
      </c>
    </row>
    <row r="390" spans="2:14" ht="37.5">
      <c r="B390" s="774">
        <v>171</v>
      </c>
      <c r="C390" s="770" t="s">
        <v>343</v>
      </c>
      <c r="D390" s="770" t="s">
        <v>2043</v>
      </c>
      <c r="E390" s="770" t="s">
        <v>863</v>
      </c>
      <c r="F390" s="770" t="s">
        <v>546</v>
      </c>
      <c r="G390" s="770">
        <v>165</v>
      </c>
      <c r="H390" s="770">
        <v>352</v>
      </c>
      <c r="I390" s="771">
        <v>0.46899999999999997</v>
      </c>
      <c r="J390" s="770" t="s">
        <v>496</v>
      </c>
      <c r="K390" s="770" t="s">
        <v>497</v>
      </c>
      <c r="L390" s="770" t="s">
        <v>2734</v>
      </c>
      <c r="M390" s="772">
        <v>0</v>
      </c>
      <c r="N390" s="772">
        <v>0</v>
      </c>
    </row>
    <row r="391" spans="2:14" ht="37.5">
      <c r="B391" s="774">
        <v>171</v>
      </c>
      <c r="C391" s="770" t="s">
        <v>343</v>
      </c>
      <c r="D391" s="770" t="s">
        <v>2044</v>
      </c>
      <c r="E391" s="770" t="s">
        <v>864</v>
      </c>
      <c r="F391" s="770" t="s">
        <v>621</v>
      </c>
      <c r="G391" s="770">
        <v>230</v>
      </c>
      <c r="H391" s="770">
        <v>374</v>
      </c>
      <c r="I391" s="771">
        <v>0.61499999999999999</v>
      </c>
      <c r="J391" s="770" t="s">
        <v>496</v>
      </c>
      <c r="K391" s="770" t="s">
        <v>518</v>
      </c>
      <c r="L391" s="770" t="s">
        <v>2734</v>
      </c>
      <c r="M391" s="772">
        <v>95230</v>
      </c>
      <c r="N391" s="772">
        <v>414</v>
      </c>
    </row>
    <row r="392" spans="2:14" ht="37.5">
      <c r="B392" s="774">
        <v>171</v>
      </c>
      <c r="C392" s="770" t="s">
        <v>343</v>
      </c>
      <c r="D392" s="770" t="s">
        <v>2045</v>
      </c>
      <c r="E392" s="770" t="s">
        <v>865</v>
      </c>
      <c r="F392" s="770" t="s">
        <v>512</v>
      </c>
      <c r="G392" s="770"/>
      <c r="H392" s="770"/>
      <c r="I392" s="770"/>
      <c r="J392" s="770" t="s">
        <v>501</v>
      </c>
      <c r="K392" s="770" t="s">
        <v>497</v>
      </c>
      <c r="L392" s="770" t="s">
        <v>2732</v>
      </c>
      <c r="M392" s="772">
        <v>0</v>
      </c>
      <c r="N392" s="772">
        <v>0</v>
      </c>
    </row>
    <row r="393" spans="2:14" ht="37.5">
      <c r="B393" s="774">
        <v>171</v>
      </c>
      <c r="C393" s="770" t="s">
        <v>343</v>
      </c>
      <c r="D393" s="770" t="s">
        <v>2046</v>
      </c>
      <c r="E393" s="770" t="s">
        <v>866</v>
      </c>
      <c r="F393" s="770" t="s">
        <v>512</v>
      </c>
      <c r="G393" s="770"/>
      <c r="H393" s="770"/>
      <c r="I393" s="770"/>
      <c r="J393" s="770" t="s">
        <v>496</v>
      </c>
      <c r="K393" s="770" t="s">
        <v>497</v>
      </c>
      <c r="L393" s="770" t="s">
        <v>2732</v>
      </c>
      <c r="M393" s="772">
        <v>0</v>
      </c>
      <c r="N393" s="772">
        <v>0</v>
      </c>
    </row>
    <row r="394" spans="2:14" ht="37.5">
      <c r="B394" s="774">
        <v>171</v>
      </c>
      <c r="C394" s="770" t="s">
        <v>343</v>
      </c>
      <c r="D394" s="770" t="s">
        <v>2049</v>
      </c>
      <c r="E394" s="770" t="s">
        <v>868</v>
      </c>
      <c r="F394" s="770" t="s">
        <v>512</v>
      </c>
      <c r="G394" s="770">
        <v>76</v>
      </c>
      <c r="H394" s="770">
        <v>110</v>
      </c>
      <c r="I394" s="771">
        <v>0.69099999999999995</v>
      </c>
      <c r="J394" s="770" t="s">
        <v>496</v>
      </c>
      <c r="K394" s="770" t="s">
        <v>518</v>
      </c>
      <c r="L394" s="770" t="s">
        <v>2732</v>
      </c>
      <c r="M394" s="772">
        <v>74826</v>
      </c>
      <c r="N394" s="772">
        <v>984</v>
      </c>
    </row>
    <row r="395" spans="2:14">
      <c r="B395" s="773"/>
      <c r="C395" s="773"/>
      <c r="D395" s="773"/>
      <c r="E395" s="773"/>
      <c r="F395" s="773"/>
      <c r="G395" s="773"/>
      <c r="H395" s="773"/>
      <c r="I395" s="773"/>
      <c r="J395" s="773"/>
      <c r="K395" s="773"/>
      <c r="L395" s="773"/>
      <c r="M395" s="773"/>
      <c r="N395" s="773"/>
    </row>
    <row r="396" spans="2:14" ht="25">
      <c r="B396" s="774">
        <v>181</v>
      </c>
      <c r="C396" s="770" t="s">
        <v>344</v>
      </c>
      <c r="D396" s="770" t="s">
        <v>2051</v>
      </c>
      <c r="E396" s="770" t="s">
        <v>869</v>
      </c>
      <c r="F396" s="770" t="s">
        <v>546</v>
      </c>
      <c r="G396" s="770">
        <v>63</v>
      </c>
      <c r="H396" s="770">
        <v>191</v>
      </c>
      <c r="I396" s="771">
        <v>0.33</v>
      </c>
      <c r="J396" s="770" t="s">
        <v>501</v>
      </c>
      <c r="K396" s="770" t="s">
        <v>497</v>
      </c>
      <c r="L396" s="770" t="s">
        <v>2734</v>
      </c>
      <c r="M396" s="772">
        <v>0</v>
      </c>
      <c r="N396" s="772">
        <v>0</v>
      </c>
    </row>
    <row r="397" spans="2:14" ht="37.5">
      <c r="B397" s="774">
        <v>181</v>
      </c>
      <c r="C397" s="770" t="s">
        <v>344</v>
      </c>
      <c r="D397" s="770" t="s">
        <v>2052</v>
      </c>
      <c r="E397" s="770" t="s">
        <v>870</v>
      </c>
      <c r="F397" s="770" t="s">
        <v>551</v>
      </c>
      <c r="G397" s="770"/>
      <c r="H397" s="770"/>
      <c r="I397" s="770"/>
      <c r="J397" s="770" t="s">
        <v>501</v>
      </c>
      <c r="K397" s="770" t="s">
        <v>497</v>
      </c>
      <c r="L397" s="770" t="s">
        <v>2734</v>
      </c>
      <c r="M397" s="772">
        <v>0</v>
      </c>
      <c r="N397" s="772">
        <v>0</v>
      </c>
    </row>
    <row r="398" spans="2:14" ht="37.5">
      <c r="B398" s="774">
        <v>181</v>
      </c>
      <c r="C398" s="770" t="s">
        <v>344</v>
      </c>
      <c r="D398" s="770" t="s">
        <v>2053</v>
      </c>
      <c r="E398" s="770" t="s">
        <v>871</v>
      </c>
      <c r="F398" s="770" t="s">
        <v>512</v>
      </c>
      <c r="G398" s="770"/>
      <c r="H398" s="770"/>
      <c r="I398" s="770"/>
      <c r="J398" s="770" t="s">
        <v>496</v>
      </c>
      <c r="K398" s="770" t="s">
        <v>624</v>
      </c>
      <c r="L398" s="770" t="s">
        <v>2732</v>
      </c>
      <c r="M398" s="772">
        <v>3290</v>
      </c>
      <c r="N398" s="772">
        <v>470</v>
      </c>
    </row>
    <row r="399" spans="2:14" ht="37.5">
      <c r="B399" s="774">
        <v>181</v>
      </c>
      <c r="C399" s="770" t="s">
        <v>344</v>
      </c>
      <c r="D399" s="770" t="s">
        <v>2054</v>
      </c>
      <c r="E399" s="770" t="s">
        <v>872</v>
      </c>
      <c r="F399" s="770" t="s">
        <v>512</v>
      </c>
      <c r="G399" s="770">
        <v>73</v>
      </c>
      <c r="H399" s="770">
        <v>166</v>
      </c>
      <c r="I399" s="771">
        <v>0.44</v>
      </c>
      <c r="J399" s="770" t="s">
        <v>496</v>
      </c>
      <c r="K399" s="770" t="s">
        <v>518</v>
      </c>
      <c r="L399" s="770" t="s">
        <v>2733</v>
      </c>
      <c r="M399" s="772">
        <v>60640</v>
      </c>
      <c r="N399" s="772">
        <v>830</v>
      </c>
    </row>
    <row r="400" spans="2:14">
      <c r="B400" s="773"/>
      <c r="C400" s="773"/>
      <c r="D400" s="773"/>
      <c r="E400" s="773"/>
      <c r="F400" s="773"/>
      <c r="G400" s="773"/>
      <c r="H400" s="773"/>
      <c r="I400" s="773"/>
      <c r="J400" s="773"/>
      <c r="K400" s="773"/>
      <c r="L400" s="773"/>
      <c r="M400" s="773"/>
      <c r="N400" s="773"/>
    </row>
    <row r="401" spans="2:14" ht="25">
      <c r="B401" s="774">
        <v>182</v>
      </c>
      <c r="C401" s="770" t="s">
        <v>345</v>
      </c>
      <c r="D401" s="770" t="s">
        <v>2056</v>
      </c>
      <c r="E401" s="770" t="s">
        <v>1528</v>
      </c>
      <c r="F401" s="770" t="s">
        <v>546</v>
      </c>
      <c r="G401" s="770">
        <v>35</v>
      </c>
      <c r="H401" s="770">
        <v>71</v>
      </c>
      <c r="I401" s="771">
        <v>0.49299999999999999</v>
      </c>
      <c r="J401" s="770" t="s">
        <v>496</v>
      </c>
      <c r="K401" s="770" t="s">
        <v>497</v>
      </c>
      <c r="L401" s="770" t="s">
        <v>2732</v>
      </c>
      <c r="M401" s="772">
        <v>0</v>
      </c>
      <c r="N401" s="772">
        <v>0</v>
      </c>
    </row>
    <row r="402" spans="2:14" ht="37.5">
      <c r="B402" s="774">
        <v>182</v>
      </c>
      <c r="C402" s="770" t="s">
        <v>345</v>
      </c>
      <c r="D402" s="770" t="s">
        <v>2057</v>
      </c>
      <c r="E402" s="770" t="s">
        <v>873</v>
      </c>
      <c r="F402" s="770" t="s">
        <v>512</v>
      </c>
      <c r="G402" s="770">
        <v>53</v>
      </c>
      <c r="H402" s="770">
        <v>105</v>
      </c>
      <c r="I402" s="771">
        <v>0.505</v>
      </c>
      <c r="J402" s="770" t="s">
        <v>496</v>
      </c>
      <c r="K402" s="770" t="s">
        <v>624</v>
      </c>
      <c r="L402" s="770" t="s">
        <v>2732</v>
      </c>
      <c r="M402" s="772">
        <v>27055</v>
      </c>
      <c r="N402" s="772">
        <v>510</v>
      </c>
    </row>
    <row r="403" spans="2:14">
      <c r="B403" s="773"/>
      <c r="C403" s="773"/>
      <c r="D403" s="773"/>
      <c r="E403" s="773"/>
      <c r="F403" s="773"/>
      <c r="G403" s="773"/>
      <c r="H403" s="773"/>
      <c r="I403" s="773"/>
      <c r="J403" s="773"/>
      <c r="K403" s="773"/>
      <c r="L403" s="773"/>
      <c r="M403" s="773"/>
      <c r="N403" s="773"/>
    </row>
    <row r="404" spans="2:14" ht="37.5">
      <c r="B404" s="774">
        <v>192</v>
      </c>
      <c r="C404" s="770" t="s">
        <v>347</v>
      </c>
      <c r="D404" s="770" t="s">
        <v>2061</v>
      </c>
      <c r="E404" s="770" t="s">
        <v>875</v>
      </c>
      <c r="F404" s="770" t="s">
        <v>557</v>
      </c>
      <c r="G404" s="770">
        <v>86</v>
      </c>
      <c r="H404" s="770">
        <v>118</v>
      </c>
      <c r="I404" s="771">
        <v>0.72899999999999998</v>
      </c>
      <c r="J404" s="770" t="s">
        <v>496</v>
      </c>
      <c r="K404" s="770" t="s">
        <v>662</v>
      </c>
      <c r="L404" s="770" t="s">
        <v>2732</v>
      </c>
      <c r="M404" s="772">
        <v>53412</v>
      </c>
      <c r="N404" s="772">
        <v>621</v>
      </c>
    </row>
    <row r="405" spans="2:14" ht="37.5">
      <c r="B405" s="774">
        <v>192</v>
      </c>
      <c r="C405" s="770" t="s">
        <v>347</v>
      </c>
      <c r="D405" s="770" t="s">
        <v>2062</v>
      </c>
      <c r="E405" s="770" t="s">
        <v>876</v>
      </c>
      <c r="F405" s="770" t="s">
        <v>554</v>
      </c>
      <c r="G405" s="770">
        <v>74</v>
      </c>
      <c r="H405" s="770">
        <v>97</v>
      </c>
      <c r="I405" s="771">
        <v>0.76300000000000001</v>
      </c>
      <c r="J405" s="770" t="s">
        <v>496</v>
      </c>
      <c r="K405" s="770" t="s">
        <v>662</v>
      </c>
      <c r="L405" s="770" t="s">
        <v>2734</v>
      </c>
      <c r="M405" s="772">
        <v>45912</v>
      </c>
      <c r="N405" s="772">
        <v>620</v>
      </c>
    </row>
    <row r="406" spans="2:14" ht="37.5">
      <c r="B406" s="774">
        <v>192</v>
      </c>
      <c r="C406" s="770" t="s">
        <v>347</v>
      </c>
      <c r="D406" s="770" t="s">
        <v>2063</v>
      </c>
      <c r="E406" s="770" t="s">
        <v>877</v>
      </c>
      <c r="F406" s="770" t="s">
        <v>564</v>
      </c>
      <c r="G406" s="770">
        <v>130</v>
      </c>
      <c r="H406" s="770">
        <v>215</v>
      </c>
      <c r="I406" s="771">
        <v>0.60499999999999998</v>
      </c>
      <c r="J406" s="770" t="s">
        <v>496</v>
      </c>
      <c r="K406" s="770" t="s">
        <v>662</v>
      </c>
      <c r="L406" s="770" t="s">
        <v>2734</v>
      </c>
      <c r="M406" s="772">
        <v>80498</v>
      </c>
      <c r="N406" s="772">
        <v>619</v>
      </c>
    </row>
    <row r="407" spans="2:14">
      <c r="B407" s="773"/>
      <c r="C407" s="773"/>
      <c r="D407" s="773"/>
      <c r="E407" s="773"/>
      <c r="F407" s="773"/>
      <c r="G407" s="773"/>
      <c r="H407" s="773"/>
      <c r="I407" s="773"/>
      <c r="J407" s="773"/>
      <c r="K407" s="773"/>
      <c r="L407" s="773"/>
      <c r="M407" s="773"/>
      <c r="N407" s="773"/>
    </row>
    <row r="408" spans="2:14" ht="37.5">
      <c r="B408" s="774">
        <v>193</v>
      </c>
      <c r="C408" s="770" t="s">
        <v>348</v>
      </c>
      <c r="D408" s="770" t="s">
        <v>2065</v>
      </c>
      <c r="E408" s="770" t="s">
        <v>878</v>
      </c>
      <c r="F408" s="770" t="s">
        <v>596</v>
      </c>
      <c r="G408" s="770">
        <v>298</v>
      </c>
      <c r="H408" s="770">
        <v>572</v>
      </c>
      <c r="I408" s="771">
        <v>0.52100000000000002</v>
      </c>
      <c r="J408" s="770" t="s">
        <v>496</v>
      </c>
      <c r="K408" s="770" t="s">
        <v>518</v>
      </c>
      <c r="L408" s="770" t="s">
        <v>2734</v>
      </c>
      <c r="M408" s="772">
        <v>90000</v>
      </c>
      <c r="N408" s="772">
        <v>302</v>
      </c>
    </row>
    <row r="409" spans="2:14" ht="37.5">
      <c r="B409" s="774">
        <v>193</v>
      </c>
      <c r="C409" s="770" t="s">
        <v>348</v>
      </c>
      <c r="D409" s="770" t="s">
        <v>2066</v>
      </c>
      <c r="E409" s="770" t="s">
        <v>879</v>
      </c>
      <c r="F409" s="770" t="s">
        <v>557</v>
      </c>
      <c r="G409" s="770">
        <v>387</v>
      </c>
      <c r="H409" s="770">
        <v>911</v>
      </c>
      <c r="I409" s="771">
        <v>0.42499999999999999</v>
      </c>
      <c r="J409" s="770" t="s">
        <v>496</v>
      </c>
      <c r="K409" s="770" t="s">
        <v>497</v>
      </c>
      <c r="L409" s="770" t="s">
        <v>2734</v>
      </c>
      <c r="M409" s="772">
        <v>0</v>
      </c>
      <c r="N409" s="772">
        <v>0</v>
      </c>
    </row>
    <row r="410" spans="2:14" ht="37.5">
      <c r="B410" s="774">
        <v>193</v>
      </c>
      <c r="C410" s="770" t="s">
        <v>348</v>
      </c>
      <c r="D410" s="770" t="s">
        <v>2067</v>
      </c>
      <c r="E410" s="770" t="s">
        <v>880</v>
      </c>
      <c r="F410" s="770" t="s">
        <v>693</v>
      </c>
      <c r="G410" s="770">
        <v>318</v>
      </c>
      <c r="H410" s="770">
        <v>499</v>
      </c>
      <c r="I410" s="771">
        <v>0.63700000000000001</v>
      </c>
      <c r="J410" s="770" t="s">
        <v>496</v>
      </c>
      <c r="K410" s="770" t="s">
        <v>518</v>
      </c>
      <c r="L410" s="770" t="s">
        <v>2734</v>
      </c>
      <c r="M410" s="772">
        <v>200881</v>
      </c>
      <c r="N410" s="772">
        <v>631</v>
      </c>
    </row>
    <row r="411" spans="2:14" ht="37.5">
      <c r="B411" s="774">
        <v>193</v>
      </c>
      <c r="C411" s="770" t="s">
        <v>348</v>
      </c>
      <c r="D411" s="770" t="s">
        <v>2068</v>
      </c>
      <c r="E411" s="770" t="s">
        <v>881</v>
      </c>
      <c r="F411" s="770" t="s">
        <v>693</v>
      </c>
      <c r="G411" s="770">
        <v>284</v>
      </c>
      <c r="H411" s="770">
        <v>470</v>
      </c>
      <c r="I411" s="771">
        <v>0.60399999999999998</v>
      </c>
      <c r="J411" s="770" t="s">
        <v>496</v>
      </c>
      <c r="K411" s="770" t="s">
        <v>518</v>
      </c>
      <c r="L411" s="770" t="s">
        <v>2734</v>
      </c>
      <c r="M411" s="772">
        <v>140000</v>
      </c>
      <c r="N411" s="772">
        <v>492</v>
      </c>
    </row>
    <row r="412" spans="2:14" ht="37.5">
      <c r="B412" s="774">
        <v>193</v>
      </c>
      <c r="C412" s="770" t="s">
        <v>348</v>
      </c>
      <c r="D412" s="770" t="s">
        <v>2069</v>
      </c>
      <c r="E412" s="770" t="s">
        <v>882</v>
      </c>
      <c r="F412" s="770" t="s">
        <v>693</v>
      </c>
      <c r="G412" s="770">
        <v>241</v>
      </c>
      <c r="H412" s="770">
        <v>438</v>
      </c>
      <c r="I412" s="771">
        <v>0.55000000000000004</v>
      </c>
      <c r="J412" s="770" t="s">
        <v>496</v>
      </c>
      <c r="K412" s="770" t="s">
        <v>518</v>
      </c>
      <c r="L412" s="770" t="s">
        <v>2734</v>
      </c>
      <c r="M412" s="772">
        <v>118000</v>
      </c>
      <c r="N412" s="772">
        <v>489</v>
      </c>
    </row>
    <row r="413" spans="2:14" ht="37.5">
      <c r="B413" s="774">
        <v>193</v>
      </c>
      <c r="C413" s="770" t="s">
        <v>348</v>
      </c>
      <c r="D413" s="770" t="s">
        <v>2070</v>
      </c>
      <c r="E413" s="770" t="s">
        <v>883</v>
      </c>
      <c r="F413" s="770" t="s">
        <v>693</v>
      </c>
      <c r="G413" s="770">
        <v>84</v>
      </c>
      <c r="H413" s="770">
        <v>283</v>
      </c>
      <c r="I413" s="771">
        <v>0.29699999999999999</v>
      </c>
      <c r="J413" s="770" t="s">
        <v>501</v>
      </c>
      <c r="K413" s="770" t="s">
        <v>497</v>
      </c>
      <c r="L413" s="770" t="s">
        <v>2734</v>
      </c>
      <c r="M413" s="772">
        <v>0</v>
      </c>
      <c r="N413" s="772">
        <v>0</v>
      </c>
    </row>
    <row r="414" spans="2:14" ht="37.5">
      <c r="B414" s="774">
        <v>193</v>
      </c>
      <c r="C414" s="770" t="s">
        <v>348</v>
      </c>
      <c r="D414" s="770" t="s">
        <v>2071</v>
      </c>
      <c r="E414" s="770" t="s">
        <v>884</v>
      </c>
      <c r="F414" s="770" t="s">
        <v>551</v>
      </c>
      <c r="G414" s="770"/>
      <c r="H414" s="770"/>
      <c r="I414" s="770"/>
      <c r="J414" s="770" t="s">
        <v>501</v>
      </c>
      <c r="K414" s="770" t="s">
        <v>497</v>
      </c>
      <c r="L414" s="770" t="s">
        <v>2732</v>
      </c>
      <c r="M414" s="772">
        <v>0</v>
      </c>
      <c r="N414" s="772">
        <v>0</v>
      </c>
    </row>
    <row r="415" spans="2:14" ht="37.5">
      <c r="B415" s="774">
        <v>193</v>
      </c>
      <c r="C415" s="770" t="s">
        <v>348</v>
      </c>
      <c r="D415" s="770" t="s">
        <v>2072</v>
      </c>
      <c r="E415" s="770" t="s">
        <v>885</v>
      </c>
      <c r="F415" s="770" t="s">
        <v>671</v>
      </c>
      <c r="G415" s="770">
        <v>367</v>
      </c>
      <c r="H415" s="770">
        <v>647</v>
      </c>
      <c r="I415" s="771">
        <v>0.56699999999999995</v>
      </c>
      <c r="J415" s="770" t="s">
        <v>496</v>
      </c>
      <c r="K415" s="770" t="s">
        <v>518</v>
      </c>
      <c r="L415" s="770" t="s">
        <v>2734</v>
      </c>
      <c r="M415" s="772">
        <v>145000</v>
      </c>
      <c r="N415" s="772">
        <v>395</v>
      </c>
    </row>
    <row r="416" spans="2:14" ht="37.5">
      <c r="B416" s="774">
        <v>193</v>
      </c>
      <c r="C416" s="770" t="s">
        <v>348</v>
      </c>
      <c r="D416" s="770" t="s">
        <v>2073</v>
      </c>
      <c r="E416" s="770" t="s">
        <v>886</v>
      </c>
      <c r="F416" s="770" t="s">
        <v>557</v>
      </c>
      <c r="G416" s="770">
        <v>60</v>
      </c>
      <c r="H416" s="770">
        <v>90</v>
      </c>
      <c r="I416" s="771">
        <v>0.66700000000000004</v>
      </c>
      <c r="J416" s="770" t="s">
        <v>496</v>
      </c>
      <c r="K416" s="770" t="s">
        <v>497</v>
      </c>
      <c r="L416" s="770" t="s">
        <v>2734</v>
      </c>
      <c r="M416" s="772">
        <v>0</v>
      </c>
      <c r="N416" s="772">
        <v>0</v>
      </c>
    </row>
    <row r="417" spans="2:14">
      <c r="B417" s="773"/>
      <c r="C417" s="773"/>
      <c r="D417" s="773"/>
      <c r="E417" s="773"/>
      <c r="F417" s="773"/>
      <c r="G417" s="773"/>
      <c r="H417" s="773"/>
      <c r="I417" s="773"/>
      <c r="J417" s="773"/>
      <c r="K417" s="773"/>
      <c r="L417" s="773"/>
      <c r="M417" s="773"/>
      <c r="N417" s="773"/>
    </row>
    <row r="418" spans="2:14" ht="37.5">
      <c r="B418" s="774">
        <v>201</v>
      </c>
      <c r="C418" s="770" t="s">
        <v>349</v>
      </c>
      <c r="D418" s="770" t="s">
        <v>2076</v>
      </c>
      <c r="E418" s="770" t="s">
        <v>887</v>
      </c>
      <c r="F418" s="770" t="s">
        <v>557</v>
      </c>
      <c r="G418" s="770">
        <v>238</v>
      </c>
      <c r="H418" s="770">
        <v>732</v>
      </c>
      <c r="I418" s="771">
        <v>0.32500000000000001</v>
      </c>
      <c r="J418" s="770" t="s">
        <v>501</v>
      </c>
      <c r="K418" s="770" t="s">
        <v>497</v>
      </c>
      <c r="L418" s="770" t="s">
        <v>2734</v>
      </c>
      <c r="M418" s="772">
        <v>0</v>
      </c>
      <c r="N418" s="772">
        <v>0</v>
      </c>
    </row>
    <row r="419" spans="2:14" ht="37.5">
      <c r="B419" s="774">
        <v>201</v>
      </c>
      <c r="C419" s="770" t="s">
        <v>349</v>
      </c>
      <c r="D419" s="770" t="s">
        <v>2077</v>
      </c>
      <c r="E419" s="770" t="s">
        <v>888</v>
      </c>
      <c r="F419" s="770" t="s">
        <v>554</v>
      </c>
      <c r="G419" s="770">
        <v>249</v>
      </c>
      <c r="H419" s="770">
        <v>572</v>
      </c>
      <c r="I419" s="771">
        <v>0.435</v>
      </c>
      <c r="J419" s="770" t="s">
        <v>496</v>
      </c>
      <c r="K419" s="770" t="s">
        <v>662</v>
      </c>
      <c r="L419" s="770" t="s">
        <v>2734</v>
      </c>
      <c r="M419" s="772">
        <v>88557</v>
      </c>
      <c r="N419" s="772">
        <v>355</v>
      </c>
    </row>
    <row r="420" spans="2:14" ht="37.5">
      <c r="B420" s="774">
        <v>201</v>
      </c>
      <c r="C420" s="770" t="s">
        <v>349</v>
      </c>
      <c r="D420" s="770" t="s">
        <v>2078</v>
      </c>
      <c r="E420" s="770" t="s">
        <v>889</v>
      </c>
      <c r="F420" s="770" t="s">
        <v>890</v>
      </c>
      <c r="G420" s="770">
        <v>271</v>
      </c>
      <c r="H420" s="770">
        <v>552</v>
      </c>
      <c r="I420" s="771">
        <v>0.49099999999999999</v>
      </c>
      <c r="J420" s="770" t="s">
        <v>496</v>
      </c>
      <c r="K420" s="770" t="s">
        <v>662</v>
      </c>
      <c r="L420" s="770" t="s">
        <v>2734</v>
      </c>
      <c r="M420" s="772">
        <v>94405</v>
      </c>
      <c r="N420" s="772">
        <v>348</v>
      </c>
    </row>
    <row r="421" spans="2:14" ht="37.5">
      <c r="B421" s="774">
        <v>201</v>
      </c>
      <c r="C421" s="770" t="s">
        <v>349</v>
      </c>
      <c r="D421" s="770" t="s">
        <v>2079</v>
      </c>
      <c r="E421" s="770" t="s">
        <v>586</v>
      </c>
      <c r="F421" s="770" t="s">
        <v>697</v>
      </c>
      <c r="G421" s="770">
        <v>259</v>
      </c>
      <c r="H421" s="770">
        <v>504</v>
      </c>
      <c r="I421" s="771">
        <v>0.51400000000000001</v>
      </c>
      <c r="J421" s="770" t="s">
        <v>496</v>
      </c>
      <c r="K421" s="770" t="s">
        <v>662</v>
      </c>
      <c r="L421" s="770" t="s">
        <v>2732</v>
      </c>
      <c r="M421" s="772">
        <v>94057</v>
      </c>
      <c r="N421" s="772">
        <v>363</v>
      </c>
    </row>
    <row r="422" spans="2:14" ht="37.5">
      <c r="B422" s="774">
        <v>201</v>
      </c>
      <c r="C422" s="770" t="s">
        <v>349</v>
      </c>
      <c r="D422" s="770" t="s">
        <v>2080</v>
      </c>
      <c r="E422" s="770" t="s">
        <v>891</v>
      </c>
      <c r="F422" s="770" t="s">
        <v>557</v>
      </c>
      <c r="G422" s="770">
        <v>30</v>
      </c>
      <c r="H422" s="770">
        <v>64</v>
      </c>
      <c r="I422" s="771">
        <v>0.46899999999999997</v>
      </c>
      <c r="J422" s="770" t="s">
        <v>496</v>
      </c>
      <c r="K422" s="770" t="s">
        <v>497</v>
      </c>
      <c r="L422" s="770" t="s">
        <v>2732</v>
      </c>
      <c r="M422" s="772">
        <v>0</v>
      </c>
      <c r="N422" s="772">
        <v>0</v>
      </c>
    </row>
    <row r="423" spans="2:14">
      <c r="B423" s="773"/>
      <c r="C423" s="773"/>
      <c r="D423" s="773"/>
      <c r="E423" s="773"/>
      <c r="F423" s="773"/>
      <c r="G423" s="773"/>
      <c r="H423" s="773"/>
      <c r="I423" s="773"/>
      <c r="J423" s="773"/>
      <c r="K423" s="773"/>
      <c r="L423" s="773"/>
      <c r="M423" s="773"/>
      <c r="N423" s="773"/>
    </row>
    <row r="424" spans="2:14" ht="37.5">
      <c r="B424" s="774">
        <v>202</v>
      </c>
      <c r="C424" s="770" t="s">
        <v>350</v>
      </c>
      <c r="D424" s="770" t="s">
        <v>2083</v>
      </c>
      <c r="E424" s="770" t="s">
        <v>892</v>
      </c>
      <c r="F424" s="770" t="s">
        <v>554</v>
      </c>
      <c r="G424" s="770">
        <v>83</v>
      </c>
      <c r="H424" s="770">
        <v>164</v>
      </c>
      <c r="I424" s="771">
        <v>0.50600000000000001</v>
      </c>
      <c r="J424" s="770" t="s">
        <v>496</v>
      </c>
      <c r="K424" s="770" t="s">
        <v>662</v>
      </c>
      <c r="L424" s="770" t="s">
        <v>2732</v>
      </c>
      <c r="M424" s="772">
        <v>24479</v>
      </c>
      <c r="N424" s="772">
        <v>294</v>
      </c>
    </row>
    <row r="425" spans="2:14" ht="37.5">
      <c r="B425" s="774">
        <v>202</v>
      </c>
      <c r="C425" s="770" t="s">
        <v>350</v>
      </c>
      <c r="D425" s="770" t="s">
        <v>2085</v>
      </c>
      <c r="E425" s="770" t="s">
        <v>893</v>
      </c>
      <c r="F425" s="770" t="s">
        <v>557</v>
      </c>
      <c r="G425" s="770">
        <v>73</v>
      </c>
      <c r="H425" s="770">
        <v>190</v>
      </c>
      <c r="I425" s="771">
        <v>0.38400000000000001</v>
      </c>
      <c r="J425" s="770" t="s">
        <v>496</v>
      </c>
      <c r="K425" s="770" t="s">
        <v>662</v>
      </c>
      <c r="L425" s="770" t="s">
        <v>2732</v>
      </c>
      <c r="M425" s="772">
        <v>18495</v>
      </c>
      <c r="N425" s="772">
        <v>253</v>
      </c>
    </row>
    <row r="426" spans="2:14" ht="37.5">
      <c r="B426" s="774">
        <v>202</v>
      </c>
      <c r="C426" s="770" t="s">
        <v>350</v>
      </c>
      <c r="D426" s="770" t="s">
        <v>2086</v>
      </c>
      <c r="E426" s="770" t="s">
        <v>894</v>
      </c>
      <c r="F426" s="770" t="s">
        <v>564</v>
      </c>
      <c r="G426" s="770">
        <v>171</v>
      </c>
      <c r="H426" s="770">
        <v>330</v>
      </c>
      <c r="I426" s="771">
        <v>0.51800000000000002</v>
      </c>
      <c r="J426" s="770" t="s">
        <v>496</v>
      </c>
      <c r="K426" s="770" t="s">
        <v>662</v>
      </c>
      <c r="L426" s="770" t="s">
        <v>2734</v>
      </c>
      <c r="M426" s="772">
        <v>53756</v>
      </c>
      <c r="N426" s="772">
        <v>314</v>
      </c>
    </row>
    <row r="427" spans="2:14">
      <c r="B427" s="773"/>
      <c r="C427" s="773"/>
      <c r="D427" s="773"/>
      <c r="E427" s="773"/>
      <c r="F427" s="773"/>
      <c r="G427" s="773"/>
      <c r="H427" s="773"/>
      <c r="I427" s="773"/>
      <c r="J427" s="773"/>
      <c r="K427" s="773"/>
      <c r="L427" s="773"/>
      <c r="M427" s="773"/>
      <c r="N427" s="773"/>
    </row>
    <row r="428" spans="2:14" ht="37.5">
      <c r="B428" s="774">
        <v>215</v>
      </c>
      <c r="C428" s="770" t="s">
        <v>351</v>
      </c>
      <c r="D428" s="770" t="s">
        <v>2088</v>
      </c>
      <c r="E428" s="770" t="s">
        <v>895</v>
      </c>
      <c r="F428" s="770" t="s">
        <v>554</v>
      </c>
      <c r="G428" s="770">
        <v>198</v>
      </c>
      <c r="H428" s="770">
        <v>348</v>
      </c>
      <c r="I428" s="771">
        <v>0.56899999999999995</v>
      </c>
      <c r="J428" s="770" t="s">
        <v>496</v>
      </c>
      <c r="K428" s="770" t="s">
        <v>518</v>
      </c>
      <c r="L428" s="770" t="s">
        <v>2734</v>
      </c>
      <c r="M428" s="772">
        <v>93500</v>
      </c>
      <c r="N428" s="772">
        <v>472</v>
      </c>
    </row>
    <row r="429" spans="2:14" ht="37.5">
      <c r="B429" s="774">
        <v>215</v>
      </c>
      <c r="C429" s="770" t="s">
        <v>351</v>
      </c>
      <c r="D429" s="770" t="s">
        <v>2089</v>
      </c>
      <c r="E429" s="770" t="s">
        <v>896</v>
      </c>
      <c r="F429" s="770" t="s">
        <v>557</v>
      </c>
      <c r="G429" s="770">
        <v>204</v>
      </c>
      <c r="H429" s="770">
        <v>439</v>
      </c>
      <c r="I429" s="771">
        <v>0.46500000000000002</v>
      </c>
      <c r="J429" s="770" t="s">
        <v>496</v>
      </c>
      <c r="K429" s="770" t="s">
        <v>497</v>
      </c>
      <c r="L429" s="770" t="s">
        <v>2734</v>
      </c>
      <c r="M429" s="772">
        <v>0</v>
      </c>
      <c r="N429" s="772">
        <v>0</v>
      </c>
    </row>
    <row r="430" spans="2:14" ht="37.5">
      <c r="B430" s="774">
        <v>215</v>
      </c>
      <c r="C430" s="770" t="s">
        <v>351</v>
      </c>
      <c r="D430" s="770" t="s">
        <v>2090</v>
      </c>
      <c r="E430" s="770" t="s">
        <v>897</v>
      </c>
      <c r="F430" s="770" t="s">
        <v>715</v>
      </c>
      <c r="G430" s="770">
        <v>139</v>
      </c>
      <c r="H430" s="770">
        <v>310</v>
      </c>
      <c r="I430" s="771">
        <v>0.44800000000000001</v>
      </c>
      <c r="J430" s="770" t="s">
        <v>496</v>
      </c>
      <c r="K430" s="770" t="s">
        <v>497</v>
      </c>
      <c r="L430" s="770" t="s">
        <v>2734</v>
      </c>
      <c r="M430" s="772">
        <v>0</v>
      </c>
      <c r="N430" s="772">
        <v>0</v>
      </c>
    </row>
    <row r="431" spans="2:14" ht="37.5">
      <c r="B431" s="774">
        <v>215</v>
      </c>
      <c r="C431" s="770" t="s">
        <v>351</v>
      </c>
      <c r="D431" s="770" t="s">
        <v>2092</v>
      </c>
      <c r="E431" s="770" t="s">
        <v>898</v>
      </c>
      <c r="F431" s="770" t="s">
        <v>564</v>
      </c>
      <c r="G431" s="770">
        <v>393</v>
      </c>
      <c r="H431" s="770">
        <v>556</v>
      </c>
      <c r="I431" s="771">
        <v>0.70699999999999996</v>
      </c>
      <c r="J431" s="770" t="s">
        <v>496</v>
      </c>
      <c r="K431" s="770" t="s">
        <v>518</v>
      </c>
      <c r="L431" s="770" t="s">
        <v>2734</v>
      </c>
      <c r="M431" s="772">
        <v>195450</v>
      </c>
      <c r="N431" s="772">
        <v>497</v>
      </c>
    </row>
    <row r="432" spans="2:14" ht="37.5">
      <c r="B432" s="774">
        <v>215</v>
      </c>
      <c r="C432" s="770" t="s">
        <v>351</v>
      </c>
      <c r="D432" s="770" t="s">
        <v>2093</v>
      </c>
      <c r="E432" s="770" t="s">
        <v>899</v>
      </c>
      <c r="F432" s="770" t="s">
        <v>564</v>
      </c>
      <c r="G432" s="770">
        <v>45</v>
      </c>
      <c r="H432" s="770">
        <v>108</v>
      </c>
      <c r="I432" s="771">
        <v>0.41699999999999998</v>
      </c>
      <c r="J432" s="770" t="s">
        <v>496</v>
      </c>
      <c r="K432" s="770" t="s">
        <v>518</v>
      </c>
      <c r="L432" s="770" t="s">
        <v>2734</v>
      </c>
      <c r="M432" s="772">
        <v>21200</v>
      </c>
      <c r="N432" s="772">
        <v>471</v>
      </c>
    </row>
    <row r="433" spans="2:14" ht="37.5">
      <c r="B433" s="774">
        <v>215</v>
      </c>
      <c r="C433" s="770" t="s">
        <v>351</v>
      </c>
      <c r="D433" s="770" t="s">
        <v>2094</v>
      </c>
      <c r="E433" s="770" t="s">
        <v>900</v>
      </c>
      <c r="F433" s="770" t="s">
        <v>564</v>
      </c>
      <c r="G433" s="770">
        <v>143</v>
      </c>
      <c r="H433" s="770">
        <v>298</v>
      </c>
      <c r="I433" s="771">
        <v>0.48</v>
      </c>
      <c r="J433" s="770" t="s">
        <v>496</v>
      </c>
      <c r="K433" s="770" t="s">
        <v>518</v>
      </c>
      <c r="L433" s="770" t="s">
        <v>2732</v>
      </c>
      <c r="M433" s="772">
        <v>67400</v>
      </c>
      <c r="N433" s="772">
        <v>471</v>
      </c>
    </row>
    <row r="434" spans="2:14" ht="37.5">
      <c r="B434" s="774">
        <v>215</v>
      </c>
      <c r="C434" s="770" t="s">
        <v>351</v>
      </c>
      <c r="D434" s="770" t="s">
        <v>2095</v>
      </c>
      <c r="E434" s="770" t="s">
        <v>901</v>
      </c>
      <c r="F434" s="770" t="s">
        <v>564</v>
      </c>
      <c r="G434" s="770">
        <v>60</v>
      </c>
      <c r="H434" s="770">
        <v>101</v>
      </c>
      <c r="I434" s="771">
        <v>0.59399999999999997</v>
      </c>
      <c r="J434" s="770" t="s">
        <v>496</v>
      </c>
      <c r="K434" s="770" t="s">
        <v>518</v>
      </c>
      <c r="L434" s="770" t="s">
        <v>2732</v>
      </c>
      <c r="M434" s="772">
        <v>29038</v>
      </c>
      <c r="N434" s="772">
        <v>483</v>
      </c>
    </row>
    <row r="435" spans="2:14">
      <c r="B435" s="773"/>
      <c r="C435" s="773"/>
      <c r="D435" s="773"/>
      <c r="E435" s="773"/>
      <c r="F435" s="773"/>
      <c r="G435" s="773"/>
      <c r="H435" s="773"/>
      <c r="I435" s="773"/>
      <c r="J435" s="773"/>
      <c r="K435" s="773"/>
      <c r="L435" s="773"/>
      <c r="M435" s="773"/>
      <c r="N435" s="773"/>
    </row>
    <row r="436" spans="2:14" ht="37.5">
      <c r="B436" s="774">
        <v>221</v>
      </c>
      <c r="C436" s="770" t="s">
        <v>352</v>
      </c>
      <c r="D436" s="770" t="s">
        <v>2098</v>
      </c>
      <c r="E436" s="770" t="s">
        <v>902</v>
      </c>
      <c r="F436" s="770" t="s">
        <v>504</v>
      </c>
      <c r="G436" s="770">
        <v>309</v>
      </c>
      <c r="H436" s="770">
        <v>659</v>
      </c>
      <c r="I436" s="771">
        <v>0.46899999999999997</v>
      </c>
      <c r="J436" s="770" t="s">
        <v>496</v>
      </c>
      <c r="K436" s="770" t="s">
        <v>497</v>
      </c>
      <c r="L436" s="770" t="s">
        <v>2732</v>
      </c>
      <c r="M436" s="772">
        <v>0</v>
      </c>
      <c r="N436" s="772">
        <v>0</v>
      </c>
    </row>
    <row r="437" spans="2:14" ht="37.5">
      <c r="B437" s="774">
        <v>221</v>
      </c>
      <c r="C437" s="770" t="s">
        <v>352</v>
      </c>
      <c r="D437" s="770" t="s">
        <v>2099</v>
      </c>
      <c r="E437" s="770" t="s">
        <v>903</v>
      </c>
      <c r="F437" s="770" t="s">
        <v>691</v>
      </c>
      <c r="G437" s="770">
        <v>390</v>
      </c>
      <c r="H437" s="770">
        <v>671</v>
      </c>
      <c r="I437" s="771">
        <v>0.58099999999999996</v>
      </c>
      <c r="J437" s="770" t="s">
        <v>496</v>
      </c>
      <c r="K437" s="770" t="s">
        <v>518</v>
      </c>
      <c r="L437" s="770" t="s">
        <v>2734</v>
      </c>
      <c r="M437" s="772">
        <v>83580</v>
      </c>
      <c r="N437" s="772">
        <v>214</v>
      </c>
    </row>
    <row r="438" spans="2:14" ht="37.5">
      <c r="B438" s="774">
        <v>221</v>
      </c>
      <c r="C438" s="770" t="s">
        <v>352</v>
      </c>
      <c r="D438" s="770" t="s">
        <v>2101</v>
      </c>
      <c r="E438" s="770" t="s">
        <v>904</v>
      </c>
      <c r="F438" s="770" t="s">
        <v>905</v>
      </c>
      <c r="G438" s="770">
        <v>324</v>
      </c>
      <c r="H438" s="770">
        <v>529</v>
      </c>
      <c r="I438" s="771">
        <v>0.61199999999999999</v>
      </c>
      <c r="J438" s="770" t="s">
        <v>496</v>
      </c>
      <c r="K438" s="770" t="s">
        <v>518</v>
      </c>
      <c r="L438" s="770" t="s">
        <v>2734</v>
      </c>
      <c r="M438" s="772">
        <v>200624</v>
      </c>
      <c r="N438" s="772">
        <v>619</v>
      </c>
    </row>
    <row r="439" spans="2:14" ht="50">
      <c r="B439" s="774">
        <v>221</v>
      </c>
      <c r="C439" s="770" t="s">
        <v>352</v>
      </c>
      <c r="D439" s="770" t="s">
        <v>2103</v>
      </c>
      <c r="E439" s="770" t="s">
        <v>906</v>
      </c>
      <c r="F439" s="770" t="s">
        <v>706</v>
      </c>
      <c r="G439" s="770">
        <v>304</v>
      </c>
      <c r="H439" s="770">
        <v>496</v>
      </c>
      <c r="I439" s="771">
        <v>0.61299999999999999</v>
      </c>
      <c r="J439" s="770" t="s">
        <v>496</v>
      </c>
      <c r="K439" s="770" t="s">
        <v>518</v>
      </c>
      <c r="L439" s="770" t="s">
        <v>2732</v>
      </c>
      <c r="M439" s="772">
        <v>211157</v>
      </c>
      <c r="N439" s="772">
        <v>694</v>
      </c>
    </row>
    <row r="440" spans="2:14" ht="50">
      <c r="B440" s="774">
        <v>221</v>
      </c>
      <c r="C440" s="770" t="s">
        <v>352</v>
      </c>
      <c r="D440" s="770" t="s">
        <v>2105</v>
      </c>
      <c r="E440" s="770" t="s">
        <v>907</v>
      </c>
      <c r="F440" s="770" t="s">
        <v>621</v>
      </c>
      <c r="G440" s="770">
        <v>24</v>
      </c>
      <c r="H440" s="770">
        <v>43</v>
      </c>
      <c r="I440" s="771">
        <v>0.55800000000000005</v>
      </c>
      <c r="J440" s="770" t="s">
        <v>496</v>
      </c>
      <c r="K440" s="770" t="s">
        <v>518</v>
      </c>
      <c r="L440" s="770" t="s">
        <v>2732</v>
      </c>
      <c r="M440" s="772">
        <v>24923</v>
      </c>
      <c r="N440" s="772">
        <v>1038</v>
      </c>
    </row>
    <row r="441" spans="2:14" ht="37.5">
      <c r="B441" s="774">
        <v>221</v>
      </c>
      <c r="C441" s="770" t="s">
        <v>352</v>
      </c>
      <c r="D441" s="770" t="s">
        <v>2107</v>
      </c>
      <c r="E441" s="770" t="s">
        <v>908</v>
      </c>
      <c r="F441" s="770" t="s">
        <v>621</v>
      </c>
      <c r="G441" s="770"/>
      <c r="H441" s="770"/>
      <c r="I441" s="770"/>
      <c r="J441" s="770" t="s">
        <v>496</v>
      </c>
      <c r="K441" s="770" t="s">
        <v>518</v>
      </c>
      <c r="L441" s="770" t="s">
        <v>2732</v>
      </c>
      <c r="M441" s="772">
        <v>19888</v>
      </c>
      <c r="N441" s="772">
        <v>1420</v>
      </c>
    </row>
    <row r="442" spans="2:14" ht="37.5">
      <c r="B442" s="774">
        <v>221</v>
      </c>
      <c r="C442" s="770" t="s">
        <v>352</v>
      </c>
      <c r="D442" s="770" t="s">
        <v>2108</v>
      </c>
      <c r="E442" s="770" t="s">
        <v>909</v>
      </c>
      <c r="F442" s="770" t="s">
        <v>546</v>
      </c>
      <c r="G442" s="770"/>
      <c r="H442" s="770"/>
      <c r="I442" s="770"/>
      <c r="J442" s="770" t="s">
        <v>496</v>
      </c>
      <c r="K442" s="770" t="s">
        <v>497</v>
      </c>
      <c r="L442" s="770" t="s">
        <v>2732</v>
      </c>
      <c r="M442" s="772">
        <v>0</v>
      </c>
      <c r="N442" s="772">
        <v>0</v>
      </c>
    </row>
    <row r="443" spans="2:14" ht="37.5">
      <c r="B443" s="774">
        <v>221</v>
      </c>
      <c r="C443" s="770" t="s">
        <v>352</v>
      </c>
      <c r="D443" s="770" t="s">
        <v>2110</v>
      </c>
      <c r="E443" s="770" t="s">
        <v>910</v>
      </c>
      <c r="F443" s="770" t="s">
        <v>557</v>
      </c>
      <c r="G443" s="770">
        <v>82</v>
      </c>
      <c r="H443" s="770">
        <v>95</v>
      </c>
      <c r="I443" s="771">
        <v>0.86299999999999999</v>
      </c>
      <c r="J443" s="770" t="s">
        <v>496</v>
      </c>
      <c r="K443" s="770" t="s">
        <v>518</v>
      </c>
      <c r="L443" s="770" t="s">
        <v>2735</v>
      </c>
      <c r="M443" s="772">
        <v>25979</v>
      </c>
      <c r="N443" s="772">
        <v>316</v>
      </c>
    </row>
    <row r="444" spans="2:14">
      <c r="B444" s="773"/>
      <c r="C444" s="773"/>
      <c r="D444" s="773"/>
      <c r="E444" s="773"/>
      <c r="F444" s="773"/>
      <c r="G444" s="773"/>
      <c r="H444" s="773"/>
      <c r="I444" s="773"/>
      <c r="J444" s="773"/>
      <c r="K444" s="773"/>
      <c r="L444" s="773"/>
      <c r="M444" s="773"/>
      <c r="N444" s="773"/>
    </row>
    <row r="445" spans="2:14" ht="37.5">
      <c r="B445" s="774">
        <v>231</v>
      </c>
      <c r="C445" s="770" t="s">
        <v>353</v>
      </c>
      <c r="D445" s="770" t="s">
        <v>2113</v>
      </c>
      <c r="E445" s="770" t="s">
        <v>911</v>
      </c>
      <c r="F445" s="770" t="s">
        <v>691</v>
      </c>
      <c r="G445" s="770">
        <v>267</v>
      </c>
      <c r="H445" s="770">
        <v>406</v>
      </c>
      <c r="I445" s="771">
        <v>0.65800000000000003</v>
      </c>
      <c r="J445" s="770" t="s">
        <v>496</v>
      </c>
      <c r="K445" s="770" t="s">
        <v>624</v>
      </c>
      <c r="L445" s="770" t="s">
        <v>2734</v>
      </c>
      <c r="M445" s="772">
        <v>63693</v>
      </c>
      <c r="N445" s="772">
        <v>238</v>
      </c>
    </row>
    <row r="446" spans="2:14" ht="37.5">
      <c r="B446" s="774">
        <v>231</v>
      </c>
      <c r="C446" s="770" t="s">
        <v>353</v>
      </c>
      <c r="D446" s="770" t="s">
        <v>2114</v>
      </c>
      <c r="E446" s="770" t="s">
        <v>912</v>
      </c>
      <c r="F446" s="770" t="s">
        <v>557</v>
      </c>
      <c r="G446" s="770">
        <v>187</v>
      </c>
      <c r="H446" s="770">
        <v>355</v>
      </c>
      <c r="I446" s="771">
        <v>0.52700000000000002</v>
      </c>
      <c r="J446" s="770" t="s">
        <v>496</v>
      </c>
      <c r="K446" s="770" t="s">
        <v>497</v>
      </c>
      <c r="L446" s="770" t="s">
        <v>2734</v>
      </c>
      <c r="M446" s="772">
        <v>0</v>
      </c>
      <c r="N446" s="772">
        <v>0</v>
      </c>
    </row>
    <row r="447" spans="2:14" ht="37.5">
      <c r="B447" s="774">
        <v>231</v>
      </c>
      <c r="C447" s="770" t="s">
        <v>353</v>
      </c>
      <c r="D447" s="770" t="s">
        <v>2115</v>
      </c>
      <c r="E447" s="770" t="s">
        <v>913</v>
      </c>
      <c r="F447" s="770" t="s">
        <v>564</v>
      </c>
      <c r="G447" s="770">
        <v>410</v>
      </c>
      <c r="H447" s="770">
        <v>515</v>
      </c>
      <c r="I447" s="771">
        <v>0.79600000000000004</v>
      </c>
      <c r="J447" s="770" t="s">
        <v>496</v>
      </c>
      <c r="K447" s="770" t="s">
        <v>518</v>
      </c>
      <c r="L447" s="770" t="s">
        <v>2734</v>
      </c>
      <c r="M447" s="772">
        <v>219327</v>
      </c>
      <c r="N447" s="772">
        <v>534</v>
      </c>
    </row>
    <row r="448" spans="2:14">
      <c r="B448" s="773"/>
      <c r="C448" s="773"/>
      <c r="D448" s="773"/>
      <c r="E448" s="773"/>
      <c r="F448" s="773"/>
      <c r="G448" s="773"/>
      <c r="H448" s="773"/>
      <c r="I448" s="773"/>
      <c r="J448" s="773"/>
      <c r="K448" s="773"/>
      <c r="L448" s="773"/>
      <c r="M448" s="773"/>
      <c r="N448" s="773"/>
    </row>
    <row r="449" spans="2:14" ht="37.5">
      <c r="B449" s="774">
        <v>232</v>
      </c>
      <c r="C449" s="770" t="s">
        <v>354</v>
      </c>
      <c r="D449" s="770" t="s">
        <v>2116</v>
      </c>
      <c r="E449" s="770" t="s">
        <v>914</v>
      </c>
      <c r="F449" s="770" t="s">
        <v>691</v>
      </c>
      <c r="G449" s="770">
        <v>275</v>
      </c>
      <c r="H449" s="770">
        <v>351</v>
      </c>
      <c r="I449" s="771">
        <v>0.78300000000000003</v>
      </c>
      <c r="J449" s="770" t="s">
        <v>496</v>
      </c>
      <c r="K449" s="770" t="s">
        <v>518</v>
      </c>
      <c r="L449" s="770" t="s">
        <v>2733</v>
      </c>
      <c r="M449" s="772">
        <v>93592</v>
      </c>
      <c r="N449" s="772">
        <v>340</v>
      </c>
    </row>
    <row r="450" spans="2:14" ht="25">
      <c r="B450" s="774">
        <v>232</v>
      </c>
      <c r="C450" s="770" t="s">
        <v>354</v>
      </c>
      <c r="D450" s="770" t="s">
        <v>2117</v>
      </c>
      <c r="E450" s="770" t="s">
        <v>915</v>
      </c>
      <c r="F450" s="770" t="s">
        <v>557</v>
      </c>
      <c r="G450" s="770">
        <v>224</v>
      </c>
      <c r="H450" s="770">
        <v>309</v>
      </c>
      <c r="I450" s="771">
        <v>0.72499999999999998</v>
      </c>
      <c r="J450" s="770" t="s">
        <v>610</v>
      </c>
      <c r="K450" s="770" t="s">
        <v>497</v>
      </c>
      <c r="L450" s="770" t="s">
        <v>2734</v>
      </c>
      <c r="M450" s="772">
        <v>0</v>
      </c>
      <c r="N450" s="772">
        <v>0</v>
      </c>
    </row>
    <row r="451" spans="2:14" ht="37.5">
      <c r="B451" s="774">
        <v>232</v>
      </c>
      <c r="C451" s="770" t="s">
        <v>354</v>
      </c>
      <c r="D451" s="770" t="s">
        <v>2118</v>
      </c>
      <c r="E451" s="770" t="s">
        <v>916</v>
      </c>
      <c r="F451" s="770" t="s">
        <v>693</v>
      </c>
      <c r="G451" s="770">
        <v>420</v>
      </c>
      <c r="H451" s="770">
        <v>523</v>
      </c>
      <c r="I451" s="771">
        <v>0.80300000000000005</v>
      </c>
      <c r="J451" s="770" t="s">
        <v>496</v>
      </c>
      <c r="K451" s="770" t="s">
        <v>518</v>
      </c>
      <c r="L451" s="770" t="s">
        <v>2734</v>
      </c>
      <c r="M451" s="772">
        <v>136978</v>
      </c>
      <c r="N451" s="772">
        <v>326</v>
      </c>
    </row>
    <row r="452" spans="2:14">
      <c r="B452" s="773"/>
      <c r="C452" s="773"/>
      <c r="D452" s="773"/>
      <c r="E452" s="773"/>
      <c r="F452" s="773"/>
      <c r="G452" s="773"/>
      <c r="H452" s="773"/>
      <c r="I452" s="773"/>
      <c r="J452" s="773"/>
      <c r="K452" s="773"/>
      <c r="L452" s="773"/>
      <c r="M452" s="773"/>
      <c r="N452" s="773"/>
    </row>
    <row r="453" spans="2:14" ht="50">
      <c r="B453" s="774">
        <v>233</v>
      </c>
      <c r="C453" s="770" t="s">
        <v>355</v>
      </c>
      <c r="D453" s="770" t="s">
        <v>2122</v>
      </c>
      <c r="E453" s="770" t="s">
        <v>917</v>
      </c>
      <c r="F453" s="770" t="s">
        <v>623</v>
      </c>
      <c r="G453" s="770">
        <v>236</v>
      </c>
      <c r="H453" s="770">
        <v>332</v>
      </c>
      <c r="I453" s="771">
        <v>0.71099999999999997</v>
      </c>
      <c r="J453" s="770" t="s">
        <v>496</v>
      </c>
      <c r="K453" s="770" t="s">
        <v>518</v>
      </c>
      <c r="L453" s="770" t="s">
        <v>2734</v>
      </c>
      <c r="M453" s="772">
        <v>78987</v>
      </c>
      <c r="N453" s="772">
        <v>334</v>
      </c>
    </row>
    <row r="454" spans="2:14">
      <c r="B454" s="773"/>
      <c r="C454" s="773"/>
      <c r="D454" s="773"/>
      <c r="E454" s="773"/>
      <c r="F454" s="773"/>
      <c r="G454" s="773"/>
      <c r="H454" s="773"/>
      <c r="I454" s="773"/>
      <c r="J454" s="773"/>
      <c r="K454" s="773"/>
      <c r="L454" s="773"/>
      <c r="M454" s="773"/>
      <c r="N454" s="773"/>
    </row>
    <row r="455" spans="2:14" ht="50">
      <c r="B455" s="774">
        <v>234</v>
      </c>
      <c r="C455" s="770" t="s">
        <v>356</v>
      </c>
      <c r="D455" s="770" t="s">
        <v>2124</v>
      </c>
      <c r="E455" s="770" t="s">
        <v>918</v>
      </c>
      <c r="F455" s="770" t="s">
        <v>623</v>
      </c>
      <c r="G455" s="770">
        <v>100</v>
      </c>
      <c r="H455" s="770">
        <v>122</v>
      </c>
      <c r="I455" s="771">
        <v>0.82</v>
      </c>
      <c r="J455" s="770" t="s">
        <v>496</v>
      </c>
      <c r="K455" s="770" t="s">
        <v>624</v>
      </c>
      <c r="L455" s="770" t="s">
        <v>2734</v>
      </c>
      <c r="M455" s="772">
        <v>45920</v>
      </c>
      <c r="N455" s="772">
        <v>459</v>
      </c>
    </row>
    <row r="456" spans="2:14">
      <c r="B456" s="773"/>
      <c r="C456" s="773"/>
      <c r="D456" s="773"/>
      <c r="E456" s="773"/>
      <c r="F456" s="773"/>
      <c r="G456" s="773"/>
      <c r="H456" s="773"/>
      <c r="I456" s="773"/>
      <c r="J456" s="773"/>
      <c r="K456" s="773"/>
      <c r="L456" s="773"/>
      <c r="M456" s="773"/>
      <c r="N456" s="773"/>
    </row>
    <row r="457" spans="2:14" ht="50">
      <c r="B457" s="774">
        <v>242</v>
      </c>
      <c r="C457" s="770" t="s">
        <v>357</v>
      </c>
      <c r="D457" s="770" t="s">
        <v>2126</v>
      </c>
      <c r="E457" s="770" t="s">
        <v>919</v>
      </c>
      <c r="F457" s="770" t="s">
        <v>546</v>
      </c>
      <c r="G457" s="770">
        <v>74</v>
      </c>
      <c r="H457" s="770">
        <v>198</v>
      </c>
      <c r="I457" s="771">
        <v>0.374</v>
      </c>
      <c r="J457" s="770" t="s">
        <v>496</v>
      </c>
      <c r="K457" s="770" t="s">
        <v>497</v>
      </c>
      <c r="L457" s="770" t="s">
        <v>2732</v>
      </c>
      <c r="M457" s="772">
        <v>0</v>
      </c>
      <c r="N457" s="772">
        <v>0</v>
      </c>
    </row>
    <row r="458" spans="2:14" ht="37.5">
      <c r="B458" s="774">
        <v>242</v>
      </c>
      <c r="C458" s="770" t="s">
        <v>357</v>
      </c>
      <c r="D458" s="770" t="s">
        <v>2128</v>
      </c>
      <c r="E458" s="770" t="s">
        <v>920</v>
      </c>
      <c r="F458" s="770" t="s">
        <v>621</v>
      </c>
      <c r="G458" s="770">
        <v>82</v>
      </c>
      <c r="H458" s="770">
        <v>211</v>
      </c>
      <c r="I458" s="771">
        <v>0.38900000000000001</v>
      </c>
      <c r="J458" s="770" t="s">
        <v>496</v>
      </c>
      <c r="K458" s="770" t="s">
        <v>518</v>
      </c>
      <c r="L458" s="770" t="s">
        <v>2732</v>
      </c>
      <c r="M458" s="772">
        <v>77080</v>
      </c>
      <c r="N458" s="772">
        <v>940</v>
      </c>
    </row>
    <row r="459" spans="2:14">
      <c r="B459" s="773"/>
      <c r="C459" s="773"/>
      <c r="D459" s="773"/>
      <c r="E459" s="773"/>
      <c r="F459" s="773"/>
      <c r="G459" s="773"/>
      <c r="H459" s="773"/>
      <c r="I459" s="773"/>
      <c r="J459" s="773"/>
      <c r="K459" s="773"/>
      <c r="L459" s="773"/>
      <c r="M459" s="773"/>
      <c r="N459" s="773"/>
    </row>
    <row r="460" spans="2:14" ht="37.5">
      <c r="B460" s="774">
        <v>243</v>
      </c>
      <c r="C460" s="770" t="s">
        <v>358</v>
      </c>
      <c r="D460" s="770" t="s">
        <v>2130</v>
      </c>
      <c r="E460" s="770" t="s">
        <v>921</v>
      </c>
      <c r="F460" s="770" t="s">
        <v>512</v>
      </c>
      <c r="G460" s="770">
        <v>44</v>
      </c>
      <c r="H460" s="770">
        <v>73</v>
      </c>
      <c r="I460" s="771">
        <v>0.60299999999999998</v>
      </c>
      <c r="J460" s="770" t="s">
        <v>496</v>
      </c>
      <c r="K460" s="770" t="s">
        <v>518</v>
      </c>
      <c r="L460" s="770" t="s">
        <v>2732</v>
      </c>
      <c r="M460" s="772">
        <v>40000</v>
      </c>
      <c r="N460" s="772">
        <v>909</v>
      </c>
    </row>
    <row r="461" spans="2:14" ht="37.5">
      <c r="B461" s="774">
        <v>243</v>
      </c>
      <c r="C461" s="770" t="s">
        <v>358</v>
      </c>
      <c r="D461" s="770" t="s">
        <v>2131</v>
      </c>
      <c r="E461" s="770" t="s">
        <v>922</v>
      </c>
      <c r="F461" s="770" t="s">
        <v>546</v>
      </c>
      <c r="G461" s="770">
        <v>40</v>
      </c>
      <c r="H461" s="770">
        <v>66</v>
      </c>
      <c r="I461" s="771">
        <v>0.60599999999999998</v>
      </c>
      <c r="J461" s="770" t="s">
        <v>496</v>
      </c>
      <c r="K461" s="770" t="s">
        <v>518</v>
      </c>
      <c r="L461" s="770" t="s">
        <v>2732</v>
      </c>
      <c r="M461" s="772">
        <v>19487</v>
      </c>
      <c r="N461" s="772">
        <v>487</v>
      </c>
    </row>
    <row r="462" spans="2:14">
      <c r="B462" s="773"/>
      <c r="C462" s="773"/>
      <c r="D462" s="773"/>
      <c r="E462" s="773"/>
      <c r="F462" s="773"/>
      <c r="G462" s="773"/>
      <c r="H462" s="773"/>
      <c r="I462" s="773"/>
      <c r="J462" s="773"/>
      <c r="K462" s="773"/>
      <c r="L462" s="773"/>
      <c r="M462" s="773"/>
      <c r="N462" s="773"/>
    </row>
    <row r="463" spans="2:14" ht="37.5">
      <c r="B463" s="774">
        <v>244</v>
      </c>
      <c r="C463" s="770" t="s">
        <v>359</v>
      </c>
      <c r="D463" s="770" t="s">
        <v>2133</v>
      </c>
      <c r="E463" s="770" t="s">
        <v>923</v>
      </c>
      <c r="F463" s="770" t="s">
        <v>546</v>
      </c>
      <c r="G463" s="770">
        <v>136</v>
      </c>
      <c r="H463" s="770">
        <v>221</v>
      </c>
      <c r="I463" s="771">
        <v>0.61499999999999999</v>
      </c>
      <c r="J463" s="770" t="s">
        <v>496</v>
      </c>
      <c r="K463" s="770" t="s">
        <v>624</v>
      </c>
      <c r="L463" s="770" t="s">
        <v>2734</v>
      </c>
      <c r="M463" s="772">
        <v>88400</v>
      </c>
      <c r="N463" s="772">
        <v>650</v>
      </c>
    </row>
    <row r="464" spans="2:14" ht="37.5">
      <c r="B464" s="774">
        <v>244</v>
      </c>
      <c r="C464" s="770" t="s">
        <v>359</v>
      </c>
      <c r="D464" s="770" t="s">
        <v>2134</v>
      </c>
      <c r="E464" s="770" t="s">
        <v>924</v>
      </c>
      <c r="F464" s="770" t="s">
        <v>557</v>
      </c>
      <c r="G464" s="770">
        <v>96</v>
      </c>
      <c r="H464" s="770">
        <v>262</v>
      </c>
      <c r="I464" s="771">
        <v>0.36599999999999999</v>
      </c>
      <c r="J464" s="770" t="s">
        <v>496</v>
      </c>
      <c r="K464" s="770" t="s">
        <v>497</v>
      </c>
      <c r="L464" s="770" t="s">
        <v>2732</v>
      </c>
      <c r="M464" s="772">
        <v>0</v>
      </c>
      <c r="N464" s="772">
        <v>0</v>
      </c>
    </row>
    <row r="465" spans="2:14" ht="37.5">
      <c r="B465" s="774">
        <v>244</v>
      </c>
      <c r="C465" s="770" t="s">
        <v>359</v>
      </c>
      <c r="D465" s="770" t="s">
        <v>2135</v>
      </c>
      <c r="E465" s="770" t="s">
        <v>925</v>
      </c>
      <c r="F465" s="770" t="s">
        <v>512</v>
      </c>
      <c r="G465" s="770">
        <v>121</v>
      </c>
      <c r="H465" s="770">
        <v>169</v>
      </c>
      <c r="I465" s="771">
        <v>0.71599999999999997</v>
      </c>
      <c r="J465" s="770" t="s">
        <v>496</v>
      </c>
      <c r="K465" s="770" t="s">
        <v>518</v>
      </c>
      <c r="L465" s="770" t="s">
        <v>2732</v>
      </c>
      <c r="M465" s="772">
        <v>80000</v>
      </c>
      <c r="N465" s="772">
        <v>661</v>
      </c>
    </row>
    <row r="466" spans="2:14" ht="37.5">
      <c r="B466" s="774">
        <v>244</v>
      </c>
      <c r="C466" s="770" t="s">
        <v>359</v>
      </c>
      <c r="D466" s="770" t="s">
        <v>2136</v>
      </c>
      <c r="E466" s="770" t="s">
        <v>926</v>
      </c>
      <c r="F466" s="770" t="s">
        <v>551</v>
      </c>
      <c r="G466" s="770">
        <v>298</v>
      </c>
      <c r="H466" s="770">
        <v>610</v>
      </c>
      <c r="I466" s="771">
        <v>0.48899999999999999</v>
      </c>
      <c r="J466" s="770" t="s">
        <v>496</v>
      </c>
      <c r="K466" s="770" t="s">
        <v>518</v>
      </c>
      <c r="L466" s="770" t="s">
        <v>2734</v>
      </c>
      <c r="M466" s="772">
        <v>94827</v>
      </c>
      <c r="N466" s="772">
        <v>318</v>
      </c>
    </row>
    <row r="467" spans="2:14" ht="37.5">
      <c r="B467" s="774">
        <v>244</v>
      </c>
      <c r="C467" s="770" t="s">
        <v>359</v>
      </c>
      <c r="D467" s="770" t="s">
        <v>2138</v>
      </c>
      <c r="E467" s="770" t="s">
        <v>927</v>
      </c>
      <c r="F467" s="770" t="s">
        <v>551</v>
      </c>
      <c r="G467" s="770"/>
      <c r="H467" s="770"/>
      <c r="I467" s="770"/>
      <c r="J467" s="770" t="s">
        <v>496</v>
      </c>
      <c r="K467" s="770" t="s">
        <v>624</v>
      </c>
      <c r="L467" s="770" t="s">
        <v>2732</v>
      </c>
      <c r="M467" s="772">
        <v>2600</v>
      </c>
      <c r="N467" s="772">
        <v>650</v>
      </c>
    </row>
    <row r="468" spans="2:14">
      <c r="B468" s="773"/>
      <c r="C468" s="773"/>
      <c r="D468" s="773"/>
      <c r="E468" s="773"/>
      <c r="F468" s="773"/>
      <c r="G468" s="773"/>
      <c r="H468" s="773"/>
      <c r="I468" s="773"/>
      <c r="J468" s="773"/>
      <c r="K468" s="773"/>
      <c r="L468" s="773"/>
      <c r="M468" s="773"/>
      <c r="N468" s="773"/>
    </row>
    <row r="469" spans="2:14" ht="37.5">
      <c r="B469" s="774">
        <v>251</v>
      </c>
      <c r="C469" s="770" t="s">
        <v>1529</v>
      </c>
      <c r="D469" s="770" t="s">
        <v>2140</v>
      </c>
      <c r="E469" s="770" t="s">
        <v>928</v>
      </c>
      <c r="F469" s="770" t="s">
        <v>557</v>
      </c>
      <c r="G469" s="770">
        <v>465</v>
      </c>
      <c r="H469" s="770">
        <v>1377</v>
      </c>
      <c r="I469" s="771">
        <v>0.33800000000000002</v>
      </c>
      <c r="J469" s="770" t="s">
        <v>501</v>
      </c>
      <c r="K469" s="770" t="s">
        <v>497</v>
      </c>
      <c r="L469" s="770" t="s">
        <v>2734</v>
      </c>
      <c r="M469" s="772">
        <v>0</v>
      </c>
      <c r="N469" s="772">
        <v>0</v>
      </c>
    </row>
    <row r="470" spans="2:14" ht="37.5">
      <c r="B470" s="774">
        <v>251</v>
      </c>
      <c r="C470" s="770" t="s">
        <v>1529</v>
      </c>
      <c r="D470" s="770" t="s">
        <v>2142</v>
      </c>
      <c r="E470" s="770" t="s">
        <v>929</v>
      </c>
      <c r="F470" s="770" t="s">
        <v>564</v>
      </c>
      <c r="G470" s="770">
        <v>180</v>
      </c>
      <c r="H470" s="770">
        <v>243</v>
      </c>
      <c r="I470" s="771">
        <v>0.74099999999999999</v>
      </c>
      <c r="J470" s="770" t="s">
        <v>496</v>
      </c>
      <c r="K470" s="770" t="s">
        <v>518</v>
      </c>
      <c r="L470" s="770" t="s">
        <v>2734</v>
      </c>
      <c r="M470" s="772">
        <v>88436</v>
      </c>
      <c r="N470" s="772">
        <v>491</v>
      </c>
    </row>
    <row r="471" spans="2:14" ht="37.5">
      <c r="B471" s="774">
        <v>251</v>
      </c>
      <c r="C471" s="770" t="s">
        <v>1529</v>
      </c>
      <c r="D471" s="770" t="s">
        <v>2143</v>
      </c>
      <c r="E471" s="770" t="s">
        <v>930</v>
      </c>
      <c r="F471" s="770" t="s">
        <v>564</v>
      </c>
      <c r="G471" s="770">
        <v>168</v>
      </c>
      <c r="H471" s="770">
        <v>345</v>
      </c>
      <c r="I471" s="771">
        <v>0.48699999999999999</v>
      </c>
      <c r="J471" s="770" t="s">
        <v>496</v>
      </c>
      <c r="K471" s="770" t="s">
        <v>518</v>
      </c>
      <c r="L471" s="770" t="s">
        <v>2734</v>
      </c>
      <c r="M471" s="772">
        <v>78833</v>
      </c>
      <c r="N471" s="772">
        <v>469</v>
      </c>
    </row>
    <row r="472" spans="2:14" ht="37.5">
      <c r="B472" s="774">
        <v>251</v>
      </c>
      <c r="C472" s="770" t="s">
        <v>1529</v>
      </c>
      <c r="D472" s="770" t="s">
        <v>2144</v>
      </c>
      <c r="E472" s="770" t="s">
        <v>529</v>
      </c>
      <c r="F472" s="770" t="s">
        <v>931</v>
      </c>
      <c r="G472" s="770">
        <v>256</v>
      </c>
      <c r="H472" s="770">
        <v>670</v>
      </c>
      <c r="I472" s="771">
        <v>0.38200000000000001</v>
      </c>
      <c r="J472" s="770" t="s">
        <v>496</v>
      </c>
      <c r="K472" s="770" t="s">
        <v>624</v>
      </c>
      <c r="L472" s="770" t="s">
        <v>2732</v>
      </c>
      <c r="M472" s="772">
        <v>71204</v>
      </c>
      <c r="N472" s="772">
        <v>278</v>
      </c>
    </row>
    <row r="473" spans="2:14" ht="37.5">
      <c r="B473" s="774">
        <v>251</v>
      </c>
      <c r="C473" s="770" t="s">
        <v>1529</v>
      </c>
      <c r="D473" s="770" t="s">
        <v>2145</v>
      </c>
      <c r="E473" s="770" t="s">
        <v>932</v>
      </c>
      <c r="F473" s="770" t="s">
        <v>564</v>
      </c>
      <c r="G473" s="770">
        <v>123</v>
      </c>
      <c r="H473" s="770">
        <v>149</v>
      </c>
      <c r="I473" s="771">
        <v>0.82599999999999996</v>
      </c>
      <c r="J473" s="770" t="s">
        <v>496</v>
      </c>
      <c r="K473" s="770" t="s">
        <v>518</v>
      </c>
      <c r="L473" s="770" t="s">
        <v>2734</v>
      </c>
      <c r="M473" s="772">
        <v>86364</v>
      </c>
      <c r="N473" s="772">
        <v>702</v>
      </c>
    </row>
    <row r="474" spans="2:14" ht="37.5">
      <c r="B474" s="774">
        <v>251</v>
      </c>
      <c r="C474" s="770" t="s">
        <v>1529</v>
      </c>
      <c r="D474" s="770" t="s">
        <v>2146</v>
      </c>
      <c r="E474" s="770" t="s">
        <v>933</v>
      </c>
      <c r="F474" s="770" t="s">
        <v>564</v>
      </c>
      <c r="G474" s="770">
        <v>235</v>
      </c>
      <c r="H474" s="770">
        <v>694</v>
      </c>
      <c r="I474" s="771">
        <v>0.33900000000000002</v>
      </c>
      <c r="J474" s="770" t="s">
        <v>2745</v>
      </c>
      <c r="K474" s="770" t="s">
        <v>518</v>
      </c>
      <c r="L474" s="770" t="s">
        <v>2732</v>
      </c>
      <c r="M474" s="772">
        <v>62854</v>
      </c>
      <c r="N474" s="772">
        <v>267</v>
      </c>
    </row>
    <row r="475" spans="2:14" ht="37.5">
      <c r="B475" s="774">
        <v>251</v>
      </c>
      <c r="C475" s="770" t="s">
        <v>1529</v>
      </c>
      <c r="D475" s="770" t="s">
        <v>2148</v>
      </c>
      <c r="E475" s="770" t="s">
        <v>934</v>
      </c>
      <c r="F475" s="770" t="s">
        <v>557</v>
      </c>
      <c r="G475" s="770">
        <v>54</v>
      </c>
      <c r="H475" s="770">
        <v>79</v>
      </c>
      <c r="I475" s="771">
        <v>0.68400000000000005</v>
      </c>
      <c r="J475" s="770" t="s">
        <v>496</v>
      </c>
      <c r="K475" s="770" t="s">
        <v>497</v>
      </c>
      <c r="L475" s="770" t="s">
        <v>2734</v>
      </c>
      <c r="M475" s="772">
        <v>0</v>
      </c>
      <c r="N475" s="772">
        <v>0</v>
      </c>
    </row>
    <row r="476" spans="2:14" ht="37.5">
      <c r="B476" s="774">
        <v>251</v>
      </c>
      <c r="C476" s="770" t="s">
        <v>1529</v>
      </c>
      <c r="D476" s="770" t="s">
        <v>2150</v>
      </c>
      <c r="E476" s="770" t="s">
        <v>935</v>
      </c>
      <c r="F476" s="770" t="s">
        <v>554</v>
      </c>
      <c r="G476" s="770">
        <v>471</v>
      </c>
      <c r="H476" s="770">
        <v>1161</v>
      </c>
      <c r="I476" s="771">
        <v>0.40600000000000003</v>
      </c>
      <c r="J476" s="770" t="s">
        <v>496</v>
      </c>
      <c r="K476" s="770" t="s">
        <v>518</v>
      </c>
      <c r="L476" s="770" t="s">
        <v>2734</v>
      </c>
      <c r="M476" s="772">
        <v>123097</v>
      </c>
      <c r="N476" s="772">
        <v>261</v>
      </c>
    </row>
    <row r="477" spans="2:14" ht="50">
      <c r="B477" s="774">
        <v>251</v>
      </c>
      <c r="C477" s="770" t="s">
        <v>1529</v>
      </c>
      <c r="D477" s="770" t="s">
        <v>2152</v>
      </c>
      <c r="E477" s="770" t="s">
        <v>936</v>
      </c>
      <c r="F477" s="770" t="s">
        <v>937</v>
      </c>
      <c r="G477" s="770">
        <v>253</v>
      </c>
      <c r="H477" s="770">
        <v>608</v>
      </c>
      <c r="I477" s="771">
        <v>0.41599999999999998</v>
      </c>
      <c r="J477" s="770" t="s">
        <v>496</v>
      </c>
      <c r="K477" s="770" t="s">
        <v>624</v>
      </c>
      <c r="L477" s="770" t="s">
        <v>2732</v>
      </c>
      <c r="M477" s="772">
        <v>72173</v>
      </c>
      <c r="N477" s="772">
        <v>285</v>
      </c>
    </row>
    <row r="478" spans="2:14">
      <c r="B478" s="773"/>
      <c r="C478" s="773"/>
      <c r="D478" s="773"/>
      <c r="E478" s="773"/>
      <c r="F478" s="773"/>
      <c r="G478" s="773"/>
      <c r="H478" s="773"/>
      <c r="I478" s="773"/>
      <c r="J478" s="773"/>
      <c r="K478" s="773"/>
      <c r="L478" s="773"/>
      <c r="M478" s="773"/>
      <c r="N478" s="773"/>
    </row>
    <row r="479" spans="2:14" ht="37.5">
      <c r="B479" s="774">
        <v>252</v>
      </c>
      <c r="C479" s="770" t="s">
        <v>361</v>
      </c>
      <c r="D479" s="770" t="s">
        <v>2155</v>
      </c>
      <c r="E479" s="770" t="s">
        <v>938</v>
      </c>
      <c r="F479" s="770" t="s">
        <v>939</v>
      </c>
      <c r="G479" s="770">
        <v>170</v>
      </c>
      <c r="H479" s="770">
        <v>377</v>
      </c>
      <c r="I479" s="771">
        <v>0.45100000000000001</v>
      </c>
      <c r="J479" s="770" t="s">
        <v>496</v>
      </c>
      <c r="K479" s="770" t="s">
        <v>518</v>
      </c>
      <c r="L479" s="770" t="s">
        <v>2732</v>
      </c>
      <c r="M479" s="772">
        <v>31148</v>
      </c>
      <c r="N479" s="772">
        <v>183</v>
      </c>
    </row>
    <row r="480" spans="2:14" ht="25">
      <c r="B480" s="774">
        <v>252</v>
      </c>
      <c r="C480" s="770" t="s">
        <v>361</v>
      </c>
      <c r="D480" s="770" t="s">
        <v>2157</v>
      </c>
      <c r="E480" s="770" t="s">
        <v>940</v>
      </c>
      <c r="F480" s="770" t="s">
        <v>941</v>
      </c>
      <c r="G480" s="770">
        <v>175</v>
      </c>
      <c r="H480" s="770">
        <v>349</v>
      </c>
      <c r="I480" s="771">
        <v>0.501</v>
      </c>
      <c r="J480" s="770" t="s">
        <v>496</v>
      </c>
      <c r="K480" s="770" t="s">
        <v>518</v>
      </c>
      <c r="L480" s="770" t="s">
        <v>2734</v>
      </c>
      <c r="M480" s="772">
        <v>45677</v>
      </c>
      <c r="N480" s="772">
        <v>261</v>
      </c>
    </row>
    <row r="481" spans="2:14">
      <c r="B481" s="773"/>
      <c r="C481" s="773"/>
      <c r="D481" s="773"/>
      <c r="E481" s="773"/>
      <c r="F481" s="773"/>
      <c r="G481" s="773"/>
      <c r="H481" s="773"/>
      <c r="I481" s="773"/>
      <c r="J481" s="773"/>
      <c r="K481" s="773"/>
      <c r="L481" s="773"/>
      <c r="M481" s="773"/>
      <c r="N481" s="773"/>
    </row>
    <row r="482" spans="2:14" ht="37.5">
      <c r="B482" s="774">
        <v>253</v>
      </c>
      <c r="C482" s="770" t="s">
        <v>362</v>
      </c>
      <c r="D482" s="770" t="s">
        <v>2160</v>
      </c>
      <c r="E482" s="770" t="s">
        <v>942</v>
      </c>
      <c r="F482" s="770" t="s">
        <v>557</v>
      </c>
      <c r="G482" s="770">
        <v>91</v>
      </c>
      <c r="H482" s="770">
        <v>220</v>
      </c>
      <c r="I482" s="771">
        <v>0.41399999999999998</v>
      </c>
      <c r="J482" s="770" t="s">
        <v>496</v>
      </c>
      <c r="K482" s="770" t="s">
        <v>518</v>
      </c>
      <c r="L482" s="770" t="s">
        <v>2734</v>
      </c>
      <c r="M482" s="772">
        <v>9851</v>
      </c>
      <c r="N482" s="772">
        <v>108</v>
      </c>
    </row>
    <row r="483" spans="2:14" ht="37.5">
      <c r="B483" s="774">
        <v>253</v>
      </c>
      <c r="C483" s="770" t="s">
        <v>362</v>
      </c>
      <c r="D483" s="770" t="s">
        <v>2161</v>
      </c>
      <c r="E483" s="770" t="s">
        <v>943</v>
      </c>
      <c r="F483" s="770" t="s">
        <v>551</v>
      </c>
      <c r="G483" s="770">
        <v>144</v>
      </c>
      <c r="H483" s="770">
        <v>255</v>
      </c>
      <c r="I483" s="771">
        <v>0.56499999999999995</v>
      </c>
      <c r="J483" s="770" t="s">
        <v>496</v>
      </c>
      <c r="K483" s="770" t="s">
        <v>518</v>
      </c>
      <c r="L483" s="770" t="s">
        <v>2732</v>
      </c>
      <c r="M483" s="772">
        <v>90154</v>
      </c>
      <c r="N483" s="772">
        <v>626</v>
      </c>
    </row>
    <row r="484" spans="2:14" ht="37.5">
      <c r="B484" s="774">
        <v>253</v>
      </c>
      <c r="C484" s="770" t="s">
        <v>362</v>
      </c>
      <c r="D484" s="770" t="s">
        <v>2163</v>
      </c>
      <c r="E484" s="770" t="s">
        <v>944</v>
      </c>
      <c r="F484" s="770" t="s">
        <v>564</v>
      </c>
      <c r="G484" s="770">
        <v>28</v>
      </c>
      <c r="H484" s="770">
        <v>47</v>
      </c>
      <c r="I484" s="771">
        <v>0.59599999999999997</v>
      </c>
      <c r="J484" s="770" t="s">
        <v>496</v>
      </c>
      <c r="K484" s="770" t="s">
        <v>518</v>
      </c>
      <c r="L484" s="770" t="s">
        <v>2732</v>
      </c>
      <c r="M484" s="772">
        <v>22390</v>
      </c>
      <c r="N484" s="772">
        <v>799</v>
      </c>
    </row>
    <row r="485" spans="2:14" ht="50">
      <c r="B485" s="774">
        <v>253</v>
      </c>
      <c r="C485" s="770" t="s">
        <v>362</v>
      </c>
      <c r="D485" s="770" t="s">
        <v>2164</v>
      </c>
      <c r="E485" s="770" t="s">
        <v>1530</v>
      </c>
      <c r="F485" s="770" t="s">
        <v>596</v>
      </c>
      <c r="G485" s="770">
        <v>54</v>
      </c>
      <c r="H485" s="770">
        <v>101</v>
      </c>
      <c r="I485" s="771">
        <v>0.53500000000000003</v>
      </c>
      <c r="J485" s="770" t="s">
        <v>496</v>
      </c>
      <c r="K485" s="770" t="s">
        <v>518</v>
      </c>
      <c r="L485" s="770" t="s">
        <v>2732</v>
      </c>
      <c r="M485" s="772">
        <v>16578</v>
      </c>
      <c r="N485" s="772">
        <v>307</v>
      </c>
    </row>
    <row r="486" spans="2:14">
      <c r="B486" s="773"/>
      <c r="C486" s="773"/>
      <c r="D486" s="773"/>
      <c r="E486" s="773"/>
      <c r="F486" s="773"/>
      <c r="G486" s="773"/>
      <c r="H486" s="773"/>
      <c r="I486" s="773"/>
      <c r="J486" s="773"/>
      <c r="K486" s="773"/>
      <c r="L486" s="773"/>
      <c r="M486" s="773"/>
      <c r="N486" s="773"/>
    </row>
    <row r="487" spans="2:14" ht="37.5">
      <c r="B487" s="774">
        <v>261</v>
      </c>
      <c r="C487" s="770" t="s">
        <v>363</v>
      </c>
      <c r="D487" s="770" t="s">
        <v>2166</v>
      </c>
      <c r="E487" s="770" t="s">
        <v>945</v>
      </c>
      <c r="F487" s="770" t="s">
        <v>554</v>
      </c>
      <c r="G487" s="770">
        <v>596</v>
      </c>
      <c r="H487" s="770">
        <v>893</v>
      </c>
      <c r="I487" s="771">
        <v>0.66700000000000004</v>
      </c>
      <c r="J487" s="770" t="s">
        <v>496</v>
      </c>
      <c r="K487" s="770" t="s">
        <v>518</v>
      </c>
      <c r="L487" s="770" t="s">
        <v>2734</v>
      </c>
      <c r="M487" s="772">
        <v>84126</v>
      </c>
      <c r="N487" s="772">
        <v>141</v>
      </c>
    </row>
    <row r="488" spans="2:14" ht="25">
      <c r="B488" s="774">
        <v>261</v>
      </c>
      <c r="C488" s="770" t="s">
        <v>363</v>
      </c>
      <c r="D488" s="770" t="s">
        <v>2167</v>
      </c>
      <c r="E488" s="770" t="s">
        <v>946</v>
      </c>
      <c r="F488" s="770" t="s">
        <v>557</v>
      </c>
      <c r="G488" s="770">
        <v>578</v>
      </c>
      <c r="H488" s="770">
        <v>991</v>
      </c>
      <c r="I488" s="771">
        <v>0.58299999999999996</v>
      </c>
      <c r="J488" s="770" t="s">
        <v>496</v>
      </c>
      <c r="K488" s="770" t="s">
        <v>497</v>
      </c>
      <c r="L488" s="770" t="s">
        <v>2734</v>
      </c>
      <c r="M488" s="772">
        <v>0</v>
      </c>
      <c r="N488" s="772">
        <v>0</v>
      </c>
    </row>
    <row r="489" spans="2:14" ht="37.5">
      <c r="B489" s="774">
        <v>261</v>
      </c>
      <c r="C489" s="770" t="s">
        <v>363</v>
      </c>
      <c r="D489" s="770" t="s">
        <v>2170</v>
      </c>
      <c r="E489" s="770" t="s">
        <v>540</v>
      </c>
      <c r="F489" s="770" t="s">
        <v>612</v>
      </c>
      <c r="G489" s="770">
        <v>458</v>
      </c>
      <c r="H489" s="770">
        <v>661</v>
      </c>
      <c r="I489" s="771">
        <v>0.69299999999999995</v>
      </c>
      <c r="J489" s="770" t="s">
        <v>496</v>
      </c>
      <c r="K489" s="770" t="s">
        <v>518</v>
      </c>
      <c r="L489" s="770" t="s">
        <v>2734</v>
      </c>
      <c r="M489" s="772">
        <v>188652</v>
      </c>
      <c r="N489" s="772">
        <v>411</v>
      </c>
    </row>
    <row r="490" spans="2:14" ht="37.5">
      <c r="B490" s="774">
        <v>261</v>
      </c>
      <c r="C490" s="770" t="s">
        <v>363</v>
      </c>
      <c r="D490" s="770" t="s">
        <v>2171</v>
      </c>
      <c r="E490" s="770" t="s">
        <v>529</v>
      </c>
      <c r="F490" s="770" t="s">
        <v>947</v>
      </c>
      <c r="G490" s="770">
        <v>449</v>
      </c>
      <c r="H490" s="770">
        <v>610</v>
      </c>
      <c r="I490" s="771">
        <v>0.73599999999999999</v>
      </c>
      <c r="J490" s="770" t="s">
        <v>496</v>
      </c>
      <c r="K490" s="770" t="s">
        <v>518</v>
      </c>
      <c r="L490" s="770" t="s">
        <v>2734</v>
      </c>
      <c r="M490" s="772">
        <v>208552</v>
      </c>
      <c r="N490" s="772">
        <v>464</v>
      </c>
    </row>
    <row r="491" spans="2:14" ht="25">
      <c r="B491" s="774">
        <v>261</v>
      </c>
      <c r="C491" s="770" t="s">
        <v>363</v>
      </c>
      <c r="D491" s="770" t="s">
        <v>2174</v>
      </c>
      <c r="E491" s="770" t="s">
        <v>948</v>
      </c>
      <c r="F491" s="770" t="s">
        <v>949</v>
      </c>
      <c r="G491" s="770">
        <v>482</v>
      </c>
      <c r="H491" s="770">
        <v>637</v>
      </c>
      <c r="I491" s="771">
        <v>0.75700000000000001</v>
      </c>
      <c r="J491" s="770" t="s">
        <v>496</v>
      </c>
      <c r="K491" s="770" t="s">
        <v>518</v>
      </c>
      <c r="L491" s="770" t="s">
        <v>2733</v>
      </c>
      <c r="M491" s="772">
        <v>275687</v>
      </c>
      <c r="N491" s="772">
        <v>571</v>
      </c>
    </row>
    <row r="492" spans="2:14">
      <c r="B492" s="773"/>
      <c r="C492" s="773"/>
      <c r="D492" s="773"/>
      <c r="E492" s="773"/>
      <c r="F492" s="773"/>
      <c r="G492" s="773"/>
      <c r="H492" s="773"/>
      <c r="I492" s="773"/>
      <c r="J492" s="773"/>
      <c r="K492" s="773"/>
      <c r="L492" s="773"/>
      <c r="M492" s="773"/>
      <c r="N492" s="773"/>
    </row>
    <row r="493" spans="2:14" ht="50">
      <c r="B493" s="774">
        <v>262</v>
      </c>
      <c r="C493" s="770" t="s">
        <v>364</v>
      </c>
      <c r="D493" s="770" t="s">
        <v>2176</v>
      </c>
      <c r="E493" s="770" t="s">
        <v>950</v>
      </c>
      <c r="F493" s="770" t="s">
        <v>623</v>
      </c>
      <c r="G493" s="770">
        <v>352</v>
      </c>
      <c r="H493" s="770">
        <v>584</v>
      </c>
      <c r="I493" s="771">
        <v>0.60299999999999998</v>
      </c>
      <c r="J493" s="770" t="s">
        <v>496</v>
      </c>
      <c r="K493" s="770" t="s">
        <v>518</v>
      </c>
      <c r="L493" s="770" t="s">
        <v>2734</v>
      </c>
      <c r="M493" s="772">
        <v>103580</v>
      </c>
      <c r="N493" s="772">
        <v>294</v>
      </c>
    </row>
    <row r="494" spans="2:14">
      <c r="B494" s="773"/>
      <c r="C494" s="773"/>
      <c r="D494" s="773"/>
      <c r="E494" s="773"/>
      <c r="F494" s="773"/>
      <c r="G494" s="773"/>
      <c r="H494" s="773"/>
      <c r="I494" s="773"/>
      <c r="J494" s="773"/>
      <c r="K494" s="773"/>
      <c r="L494" s="773"/>
      <c r="M494" s="773"/>
      <c r="N494" s="773"/>
    </row>
    <row r="495" spans="2:14" ht="37.5">
      <c r="B495" s="774">
        <v>271</v>
      </c>
      <c r="C495" s="770" t="s">
        <v>951</v>
      </c>
      <c r="D495" s="770" t="s">
        <v>2178</v>
      </c>
      <c r="E495" s="770" t="s">
        <v>952</v>
      </c>
      <c r="F495" s="770" t="s">
        <v>554</v>
      </c>
      <c r="G495" s="770">
        <v>222</v>
      </c>
      <c r="H495" s="770">
        <v>775</v>
      </c>
      <c r="I495" s="771">
        <v>0.28599999999999998</v>
      </c>
      <c r="J495" s="770" t="s">
        <v>501</v>
      </c>
      <c r="K495" s="770" t="s">
        <v>497</v>
      </c>
      <c r="L495" s="770" t="s">
        <v>2732</v>
      </c>
      <c r="M495" s="772">
        <v>0</v>
      </c>
      <c r="N495" s="772">
        <v>0</v>
      </c>
    </row>
    <row r="496" spans="2:14" ht="37.5">
      <c r="B496" s="774">
        <v>271</v>
      </c>
      <c r="C496" s="770" t="s">
        <v>951</v>
      </c>
      <c r="D496" s="770" t="s">
        <v>2179</v>
      </c>
      <c r="E496" s="770" t="s">
        <v>953</v>
      </c>
      <c r="F496" s="770" t="s">
        <v>554</v>
      </c>
      <c r="G496" s="770">
        <v>383</v>
      </c>
      <c r="H496" s="770">
        <v>611</v>
      </c>
      <c r="I496" s="771">
        <v>0.627</v>
      </c>
      <c r="J496" s="770" t="s">
        <v>496</v>
      </c>
      <c r="K496" s="770" t="s">
        <v>518</v>
      </c>
      <c r="L496" s="770" t="s">
        <v>2734</v>
      </c>
      <c r="M496" s="772">
        <v>32000</v>
      </c>
      <c r="N496" s="772">
        <v>83</v>
      </c>
    </row>
    <row r="497" spans="2:14" ht="37.5">
      <c r="B497" s="774">
        <v>271</v>
      </c>
      <c r="C497" s="770" t="s">
        <v>951</v>
      </c>
      <c r="D497" s="770" t="s">
        <v>2181</v>
      </c>
      <c r="E497" s="770" t="s">
        <v>954</v>
      </c>
      <c r="F497" s="770" t="s">
        <v>557</v>
      </c>
      <c r="G497" s="770">
        <v>354</v>
      </c>
      <c r="H497" s="770">
        <v>1413</v>
      </c>
      <c r="I497" s="771">
        <v>0.251</v>
      </c>
      <c r="J497" s="770" t="s">
        <v>501</v>
      </c>
      <c r="K497" s="770" t="s">
        <v>497</v>
      </c>
      <c r="L497" s="770" t="s">
        <v>2734</v>
      </c>
      <c r="M497" s="772">
        <v>0</v>
      </c>
      <c r="N497" s="772">
        <v>0</v>
      </c>
    </row>
    <row r="498" spans="2:14" ht="37.5">
      <c r="B498" s="774">
        <v>271</v>
      </c>
      <c r="C498" s="770" t="s">
        <v>951</v>
      </c>
      <c r="D498" s="770" t="s">
        <v>2182</v>
      </c>
      <c r="E498" s="770" t="s">
        <v>955</v>
      </c>
      <c r="F498" s="770" t="s">
        <v>564</v>
      </c>
      <c r="G498" s="770">
        <v>260</v>
      </c>
      <c r="H498" s="770">
        <v>643</v>
      </c>
      <c r="I498" s="771">
        <v>0.40400000000000003</v>
      </c>
      <c r="J498" s="770" t="s">
        <v>496</v>
      </c>
      <c r="K498" s="770" t="s">
        <v>518</v>
      </c>
      <c r="L498" s="770" t="s">
        <v>2734</v>
      </c>
      <c r="M498" s="772">
        <v>119646</v>
      </c>
      <c r="N498" s="772">
        <v>460</v>
      </c>
    </row>
    <row r="499" spans="2:14" ht="37.5">
      <c r="B499" s="774">
        <v>271</v>
      </c>
      <c r="C499" s="770" t="s">
        <v>951</v>
      </c>
      <c r="D499" s="770" t="s">
        <v>2183</v>
      </c>
      <c r="E499" s="770" t="s">
        <v>956</v>
      </c>
      <c r="F499" s="770" t="s">
        <v>557</v>
      </c>
      <c r="G499" s="770">
        <v>584</v>
      </c>
      <c r="H499" s="770">
        <v>1583</v>
      </c>
      <c r="I499" s="771">
        <v>0.36899999999999999</v>
      </c>
      <c r="J499" s="770" t="s">
        <v>496</v>
      </c>
      <c r="K499" s="770" t="s">
        <v>497</v>
      </c>
      <c r="L499" s="770" t="s">
        <v>2734</v>
      </c>
      <c r="M499" s="772">
        <v>0</v>
      </c>
      <c r="N499" s="772">
        <v>0</v>
      </c>
    </row>
    <row r="500" spans="2:14" ht="37.5">
      <c r="B500" s="774">
        <v>271</v>
      </c>
      <c r="C500" s="770" t="s">
        <v>951</v>
      </c>
      <c r="D500" s="770" t="s">
        <v>2184</v>
      </c>
      <c r="E500" s="770" t="s">
        <v>957</v>
      </c>
      <c r="F500" s="770" t="s">
        <v>554</v>
      </c>
      <c r="G500" s="770">
        <v>351</v>
      </c>
      <c r="H500" s="770">
        <v>860</v>
      </c>
      <c r="I500" s="771">
        <v>0.40799999999999997</v>
      </c>
      <c r="J500" s="770" t="s">
        <v>496</v>
      </c>
      <c r="K500" s="770" t="s">
        <v>497</v>
      </c>
      <c r="L500" s="770" t="s">
        <v>2734</v>
      </c>
      <c r="M500" s="772">
        <v>0</v>
      </c>
      <c r="N500" s="772">
        <v>0</v>
      </c>
    </row>
    <row r="501" spans="2:14" ht="50">
      <c r="B501" s="774">
        <v>271</v>
      </c>
      <c r="C501" s="770" t="s">
        <v>951</v>
      </c>
      <c r="D501" s="770" t="s">
        <v>2185</v>
      </c>
      <c r="E501" s="770" t="s">
        <v>958</v>
      </c>
      <c r="F501" s="770" t="s">
        <v>564</v>
      </c>
      <c r="G501" s="770">
        <v>239</v>
      </c>
      <c r="H501" s="770">
        <v>658</v>
      </c>
      <c r="I501" s="771">
        <v>0.36299999999999999</v>
      </c>
      <c r="J501" s="770" t="s">
        <v>496</v>
      </c>
      <c r="K501" s="770" t="s">
        <v>497</v>
      </c>
      <c r="L501" s="770" t="s">
        <v>2732</v>
      </c>
      <c r="M501" s="772">
        <v>0</v>
      </c>
      <c r="N501" s="772">
        <v>0</v>
      </c>
    </row>
    <row r="502" spans="2:14" ht="37.5">
      <c r="B502" s="774">
        <v>271</v>
      </c>
      <c r="C502" s="770" t="s">
        <v>951</v>
      </c>
      <c r="D502" s="770" t="s">
        <v>2186</v>
      </c>
      <c r="E502" s="770" t="s">
        <v>959</v>
      </c>
      <c r="F502" s="770" t="s">
        <v>564</v>
      </c>
      <c r="G502" s="770">
        <v>264</v>
      </c>
      <c r="H502" s="770">
        <v>447</v>
      </c>
      <c r="I502" s="771">
        <v>0.59099999999999997</v>
      </c>
      <c r="J502" s="770" t="s">
        <v>496</v>
      </c>
      <c r="K502" s="770" t="s">
        <v>518</v>
      </c>
      <c r="L502" s="770" t="s">
        <v>2734</v>
      </c>
      <c r="M502" s="772">
        <v>168700</v>
      </c>
      <c r="N502" s="772">
        <v>639</v>
      </c>
    </row>
    <row r="503" spans="2:14" ht="37.5">
      <c r="B503" s="774">
        <v>271</v>
      </c>
      <c r="C503" s="770" t="s">
        <v>951</v>
      </c>
      <c r="D503" s="770" t="s">
        <v>2188</v>
      </c>
      <c r="E503" s="770" t="s">
        <v>960</v>
      </c>
      <c r="F503" s="770" t="s">
        <v>564</v>
      </c>
      <c r="G503" s="770">
        <v>297</v>
      </c>
      <c r="H503" s="770">
        <v>328</v>
      </c>
      <c r="I503" s="771">
        <v>0.90500000000000003</v>
      </c>
      <c r="J503" s="770" t="s">
        <v>496</v>
      </c>
      <c r="K503" s="770" t="s">
        <v>518</v>
      </c>
      <c r="L503" s="770" t="s">
        <v>2732</v>
      </c>
      <c r="M503" s="772">
        <v>243500</v>
      </c>
      <c r="N503" s="772">
        <v>819</v>
      </c>
    </row>
    <row r="504" spans="2:14" ht="37.5">
      <c r="B504" s="774">
        <v>271</v>
      </c>
      <c r="C504" s="770" t="s">
        <v>951</v>
      </c>
      <c r="D504" s="770" t="s">
        <v>2189</v>
      </c>
      <c r="E504" s="770" t="s">
        <v>961</v>
      </c>
      <c r="F504" s="770" t="s">
        <v>564</v>
      </c>
      <c r="G504" s="770">
        <v>282</v>
      </c>
      <c r="H504" s="770">
        <v>767</v>
      </c>
      <c r="I504" s="771">
        <v>0.36799999999999999</v>
      </c>
      <c r="J504" s="770" t="s">
        <v>496</v>
      </c>
      <c r="K504" s="770" t="s">
        <v>518</v>
      </c>
      <c r="L504" s="770" t="s">
        <v>2732</v>
      </c>
      <c r="M504" s="772">
        <v>130000</v>
      </c>
      <c r="N504" s="772">
        <v>460</v>
      </c>
    </row>
    <row r="505" spans="2:14" ht="37.5">
      <c r="B505" s="774">
        <v>271</v>
      </c>
      <c r="C505" s="770" t="s">
        <v>951</v>
      </c>
      <c r="D505" s="770" t="s">
        <v>2191</v>
      </c>
      <c r="E505" s="770" t="s">
        <v>962</v>
      </c>
      <c r="F505" s="770" t="s">
        <v>564</v>
      </c>
      <c r="G505" s="770">
        <v>109</v>
      </c>
      <c r="H505" s="770">
        <v>449</v>
      </c>
      <c r="I505" s="771">
        <v>0.24299999999999999</v>
      </c>
      <c r="J505" s="770" t="s">
        <v>501</v>
      </c>
      <c r="K505" s="770" t="s">
        <v>497</v>
      </c>
      <c r="L505" s="770" t="s">
        <v>2732</v>
      </c>
      <c r="M505" s="772">
        <v>0</v>
      </c>
      <c r="N505" s="772">
        <v>0</v>
      </c>
    </row>
    <row r="506" spans="2:14" ht="37.5">
      <c r="B506" s="774">
        <v>271</v>
      </c>
      <c r="C506" s="770" t="s">
        <v>951</v>
      </c>
      <c r="D506" s="770" t="s">
        <v>2192</v>
      </c>
      <c r="E506" s="770" t="s">
        <v>963</v>
      </c>
      <c r="F506" s="770" t="s">
        <v>564</v>
      </c>
      <c r="G506" s="770">
        <v>265</v>
      </c>
      <c r="H506" s="770">
        <v>627</v>
      </c>
      <c r="I506" s="771">
        <v>0.42299999999999999</v>
      </c>
      <c r="J506" s="770" t="s">
        <v>496</v>
      </c>
      <c r="K506" s="770" t="s">
        <v>518</v>
      </c>
      <c r="L506" s="770" t="s">
        <v>2732</v>
      </c>
      <c r="M506" s="772">
        <v>133000</v>
      </c>
      <c r="N506" s="772">
        <v>501</v>
      </c>
    </row>
    <row r="507" spans="2:14" ht="37.5">
      <c r="B507" s="774">
        <v>271</v>
      </c>
      <c r="C507" s="770" t="s">
        <v>951</v>
      </c>
      <c r="D507" s="770" t="s">
        <v>2193</v>
      </c>
      <c r="E507" s="770" t="s">
        <v>964</v>
      </c>
      <c r="F507" s="770" t="s">
        <v>564</v>
      </c>
      <c r="G507" s="770">
        <v>268</v>
      </c>
      <c r="H507" s="770">
        <v>422</v>
      </c>
      <c r="I507" s="771">
        <v>0.63500000000000001</v>
      </c>
      <c r="J507" s="770" t="s">
        <v>496</v>
      </c>
      <c r="K507" s="770" t="s">
        <v>518</v>
      </c>
      <c r="L507" s="770" t="s">
        <v>2732</v>
      </c>
      <c r="M507" s="772">
        <v>205480</v>
      </c>
      <c r="N507" s="772">
        <v>766</v>
      </c>
    </row>
    <row r="508" spans="2:14" ht="37.5">
      <c r="B508" s="774">
        <v>271</v>
      </c>
      <c r="C508" s="770" t="s">
        <v>951</v>
      </c>
      <c r="D508" s="770" t="s">
        <v>2194</v>
      </c>
      <c r="E508" s="770" t="s">
        <v>965</v>
      </c>
      <c r="F508" s="770" t="s">
        <v>512</v>
      </c>
      <c r="G508" s="770">
        <v>98</v>
      </c>
      <c r="H508" s="770">
        <v>359</v>
      </c>
      <c r="I508" s="771">
        <v>0.27300000000000002</v>
      </c>
      <c r="J508" s="770" t="s">
        <v>501</v>
      </c>
      <c r="K508" s="770" t="s">
        <v>497</v>
      </c>
      <c r="L508" s="770" t="s">
        <v>2732</v>
      </c>
      <c r="M508" s="772">
        <v>0</v>
      </c>
      <c r="N508" s="772">
        <v>0</v>
      </c>
    </row>
    <row r="509" spans="2:14" ht="37.5">
      <c r="B509" s="774">
        <v>271</v>
      </c>
      <c r="C509" s="770" t="s">
        <v>951</v>
      </c>
      <c r="D509" s="770" t="s">
        <v>2196</v>
      </c>
      <c r="E509" s="770" t="s">
        <v>966</v>
      </c>
      <c r="F509" s="770" t="s">
        <v>564</v>
      </c>
      <c r="G509" s="770">
        <v>311</v>
      </c>
      <c r="H509" s="770">
        <v>448</v>
      </c>
      <c r="I509" s="771">
        <v>0.69399999999999995</v>
      </c>
      <c r="J509" s="770" t="s">
        <v>496</v>
      </c>
      <c r="K509" s="770" t="s">
        <v>518</v>
      </c>
      <c r="L509" s="770" t="s">
        <v>2732</v>
      </c>
      <c r="M509" s="772">
        <v>241486</v>
      </c>
      <c r="N509" s="772">
        <v>776</v>
      </c>
    </row>
    <row r="510" spans="2:14" ht="37.5">
      <c r="B510" s="774">
        <v>271</v>
      </c>
      <c r="C510" s="770" t="s">
        <v>951</v>
      </c>
      <c r="D510" s="770" t="s">
        <v>2197</v>
      </c>
      <c r="E510" s="770" t="s">
        <v>967</v>
      </c>
      <c r="F510" s="770" t="s">
        <v>557</v>
      </c>
      <c r="G510" s="770">
        <v>117</v>
      </c>
      <c r="H510" s="770">
        <v>141</v>
      </c>
      <c r="I510" s="771">
        <v>0.83</v>
      </c>
      <c r="J510" s="770" t="s">
        <v>496</v>
      </c>
      <c r="K510" s="770" t="s">
        <v>518</v>
      </c>
      <c r="L510" s="770" t="s">
        <v>2733</v>
      </c>
      <c r="M510" s="772">
        <v>93857</v>
      </c>
      <c r="N510" s="772">
        <v>802</v>
      </c>
    </row>
    <row r="511" spans="2:14">
      <c r="B511" s="773"/>
      <c r="C511" s="773"/>
      <c r="D511" s="773"/>
      <c r="E511" s="773"/>
      <c r="F511" s="773"/>
      <c r="G511" s="773"/>
      <c r="H511" s="773"/>
      <c r="I511" s="773"/>
      <c r="J511" s="773"/>
      <c r="K511" s="773"/>
      <c r="L511" s="773"/>
      <c r="M511" s="773"/>
      <c r="N511" s="773"/>
    </row>
    <row r="512" spans="2:14" ht="37.5">
      <c r="B512" s="774">
        <v>272</v>
      </c>
      <c r="C512" s="770" t="s">
        <v>366</v>
      </c>
      <c r="D512" s="770" t="s">
        <v>2202</v>
      </c>
      <c r="E512" s="770" t="s">
        <v>968</v>
      </c>
      <c r="F512" s="770" t="s">
        <v>596</v>
      </c>
      <c r="G512" s="770">
        <v>184</v>
      </c>
      <c r="H512" s="770">
        <v>441</v>
      </c>
      <c r="I512" s="771">
        <v>0.41699999999999998</v>
      </c>
      <c r="J512" s="770" t="s">
        <v>496</v>
      </c>
      <c r="K512" s="770" t="s">
        <v>497</v>
      </c>
      <c r="L512" s="770" t="s">
        <v>2734</v>
      </c>
      <c r="M512" s="772">
        <v>0</v>
      </c>
      <c r="N512" s="772">
        <v>0</v>
      </c>
    </row>
    <row r="513" spans="2:14" ht="37.5">
      <c r="B513" s="774">
        <v>272</v>
      </c>
      <c r="C513" s="770" t="s">
        <v>366</v>
      </c>
      <c r="D513" s="770" t="s">
        <v>2203</v>
      </c>
      <c r="E513" s="770" t="s">
        <v>969</v>
      </c>
      <c r="F513" s="770" t="s">
        <v>557</v>
      </c>
      <c r="G513" s="770">
        <v>229</v>
      </c>
      <c r="H513" s="770">
        <v>771</v>
      </c>
      <c r="I513" s="771">
        <v>0.29699999999999999</v>
      </c>
      <c r="J513" s="770" t="s">
        <v>501</v>
      </c>
      <c r="K513" s="770" t="s">
        <v>497</v>
      </c>
      <c r="L513" s="770" t="s">
        <v>2734</v>
      </c>
      <c r="M513" s="772">
        <v>0</v>
      </c>
      <c r="N513" s="772">
        <v>0</v>
      </c>
    </row>
    <row r="514" spans="2:14" ht="37.5">
      <c r="B514" s="774">
        <v>272</v>
      </c>
      <c r="C514" s="770" t="s">
        <v>366</v>
      </c>
      <c r="D514" s="770" t="s">
        <v>2204</v>
      </c>
      <c r="E514" s="770" t="s">
        <v>970</v>
      </c>
      <c r="F514" s="770" t="s">
        <v>512</v>
      </c>
      <c r="G514" s="770">
        <v>182</v>
      </c>
      <c r="H514" s="770">
        <v>399</v>
      </c>
      <c r="I514" s="771">
        <v>0.45600000000000002</v>
      </c>
      <c r="J514" s="770" t="s">
        <v>496</v>
      </c>
      <c r="K514" s="770" t="s">
        <v>518</v>
      </c>
      <c r="L514" s="770" t="s">
        <v>2732</v>
      </c>
      <c r="M514" s="772">
        <v>113850</v>
      </c>
      <c r="N514" s="772">
        <v>625</v>
      </c>
    </row>
    <row r="515" spans="2:14" ht="37.5">
      <c r="B515" s="774">
        <v>272</v>
      </c>
      <c r="C515" s="770" t="s">
        <v>366</v>
      </c>
      <c r="D515" s="770" t="s">
        <v>2205</v>
      </c>
      <c r="E515" s="770" t="s">
        <v>971</v>
      </c>
      <c r="F515" s="770" t="s">
        <v>596</v>
      </c>
      <c r="G515" s="770">
        <v>134</v>
      </c>
      <c r="H515" s="770">
        <v>287</v>
      </c>
      <c r="I515" s="771">
        <v>0.46700000000000003</v>
      </c>
      <c r="J515" s="770" t="s">
        <v>496</v>
      </c>
      <c r="K515" s="770" t="s">
        <v>497</v>
      </c>
      <c r="L515" s="770" t="s">
        <v>2732</v>
      </c>
      <c r="M515" s="772">
        <v>0</v>
      </c>
      <c r="N515" s="772">
        <v>0</v>
      </c>
    </row>
    <row r="516" spans="2:14" ht="37.5">
      <c r="B516" s="774">
        <v>272</v>
      </c>
      <c r="C516" s="770" t="s">
        <v>366</v>
      </c>
      <c r="D516" s="770" t="s">
        <v>2206</v>
      </c>
      <c r="E516" s="770" t="s">
        <v>972</v>
      </c>
      <c r="F516" s="770" t="s">
        <v>557</v>
      </c>
      <c r="G516" s="770">
        <v>160</v>
      </c>
      <c r="H516" s="770">
        <v>495</v>
      </c>
      <c r="I516" s="771">
        <v>0.32300000000000001</v>
      </c>
      <c r="J516" s="770" t="s">
        <v>501</v>
      </c>
      <c r="K516" s="770" t="s">
        <v>497</v>
      </c>
      <c r="L516" s="770" t="s">
        <v>2732</v>
      </c>
      <c r="M516" s="772">
        <v>0</v>
      </c>
      <c r="N516" s="772">
        <v>0</v>
      </c>
    </row>
    <row r="517" spans="2:14" ht="37.5">
      <c r="B517" s="774">
        <v>272</v>
      </c>
      <c r="C517" s="770" t="s">
        <v>366</v>
      </c>
      <c r="D517" s="770" t="s">
        <v>2207</v>
      </c>
      <c r="E517" s="770" t="s">
        <v>973</v>
      </c>
      <c r="F517" s="770" t="s">
        <v>512</v>
      </c>
      <c r="G517" s="770">
        <v>188</v>
      </c>
      <c r="H517" s="770">
        <v>326</v>
      </c>
      <c r="I517" s="771">
        <v>0.57699999999999996</v>
      </c>
      <c r="J517" s="770" t="s">
        <v>496</v>
      </c>
      <c r="K517" s="770" t="s">
        <v>518</v>
      </c>
      <c r="L517" s="770" t="s">
        <v>2734</v>
      </c>
      <c r="M517" s="772">
        <v>136620</v>
      </c>
      <c r="N517" s="772">
        <v>726</v>
      </c>
    </row>
    <row r="518" spans="2:14" ht="37.5">
      <c r="B518" s="774">
        <v>272</v>
      </c>
      <c r="C518" s="770" t="s">
        <v>366</v>
      </c>
      <c r="D518" s="770" t="s">
        <v>2208</v>
      </c>
      <c r="E518" s="770" t="s">
        <v>974</v>
      </c>
      <c r="F518" s="770" t="s">
        <v>512</v>
      </c>
      <c r="G518" s="770">
        <v>245</v>
      </c>
      <c r="H518" s="770">
        <v>355</v>
      </c>
      <c r="I518" s="771">
        <v>0.69</v>
      </c>
      <c r="J518" s="770" t="s">
        <v>496</v>
      </c>
      <c r="K518" s="770" t="s">
        <v>518</v>
      </c>
      <c r="L518" s="770" t="s">
        <v>2734</v>
      </c>
      <c r="M518" s="772">
        <v>182160</v>
      </c>
      <c r="N518" s="772">
        <v>743</v>
      </c>
    </row>
    <row r="519" spans="2:14" ht="37.5">
      <c r="B519" s="774">
        <v>272</v>
      </c>
      <c r="C519" s="770" t="s">
        <v>366</v>
      </c>
      <c r="D519" s="770" t="s">
        <v>2209</v>
      </c>
      <c r="E519" s="770" t="s">
        <v>975</v>
      </c>
      <c r="F519" s="770" t="s">
        <v>512</v>
      </c>
      <c r="G519" s="770">
        <v>189</v>
      </c>
      <c r="H519" s="770">
        <v>321</v>
      </c>
      <c r="I519" s="771">
        <v>0.58899999999999997</v>
      </c>
      <c r="J519" s="770" t="s">
        <v>496</v>
      </c>
      <c r="K519" s="770" t="s">
        <v>518</v>
      </c>
      <c r="L519" s="770" t="s">
        <v>2732</v>
      </c>
      <c r="M519" s="772">
        <v>136620</v>
      </c>
      <c r="N519" s="772">
        <v>722</v>
      </c>
    </row>
    <row r="520" spans="2:14" ht="37.5">
      <c r="B520" s="774">
        <v>272</v>
      </c>
      <c r="C520" s="770" t="s">
        <v>366</v>
      </c>
      <c r="D520" s="770" t="s">
        <v>2210</v>
      </c>
      <c r="E520" s="770" t="s">
        <v>976</v>
      </c>
      <c r="F520" s="770" t="s">
        <v>512</v>
      </c>
      <c r="G520" s="770">
        <v>162</v>
      </c>
      <c r="H520" s="770">
        <v>369</v>
      </c>
      <c r="I520" s="771">
        <v>0.439</v>
      </c>
      <c r="J520" s="770" t="s">
        <v>496</v>
      </c>
      <c r="K520" s="770" t="s">
        <v>518</v>
      </c>
      <c r="L520" s="770" t="s">
        <v>2732</v>
      </c>
      <c r="M520" s="772">
        <v>113850</v>
      </c>
      <c r="N520" s="772">
        <v>702</v>
      </c>
    </row>
    <row r="521" spans="2:14" ht="37.5">
      <c r="B521" s="774">
        <v>272</v>
      </c>
      <c r="C521" s="770" t="s">
        <v>366</v>
      </c>
      <c r="D521" s="770" t="s">
        <v>2211</v>
      </c>
      <c r="E521" s="770" t="s">
        <v>977</v>
      </c>
      <c r="F521" s="770" t="s">
        <v>512</v>
      </c>
      <c r="G521" s="770">
        <v>130</v>
      </c>
      <c r="H521" s="770">
        <v>313</v>
      </c>
      <c r="I521" s="771">
        <v>0.41499999999999998</v>
      </c>
      <c r="J521" s="770" t="s">
        <v>496</v>
      </c>
      <c r="K521" s="770" t="s">
        <v>518</v>
      </c>
      <c r="L521" s="770" t="s">
        <v>2732</v>
      </c>
      <c r="M521" s="772">
        <v>75900</v>
      </c>
      <c r="N521" s="772">
        <v>583</v>
      </c>
    </row>
    <row r="522" spans="2:14" ht="37.5">
      <c r="B522" s="774">
        <v>272</v>
      </c>
      <c r="C522" s="770" t="s">
        <v>366</v>
      </c>
      <c r="D522" s="770" t="s">
        <v>2212</v>
      </c>
      <c r="E522" s="770" t="s">
        <v>978</v>
      </c>
      <c r="F522" s="770" t="s">
        <v>557</v>
      </c>
      <c r="G522" s="770">
        <v>62</v>
      </c>
      <c r="H522" s="770">
        <v>101</v>
      </c>
      <c r="I522" s="771">
        <v>0.61399999999999999</v>
      </c>
      <c r="J522" s="770" t="s">
        <v>496</v>
      </c>
      <c r="K522" s="770" t="s">
        <v>497</v>
      </c>
      <c r="L522" s="770" t="s">
        <v>2732</v>
      </c>
      <c r="M522" s="772">
        <v>0</v>
      </c>
      <c r="N522" s="772">
        <v>0</v>
      </c>
    </row>
    <row r="523" spans="2:14">
      <c r="B523" s="773"/>
      <c r="C523" s="773"/>
      <c r="D523" s="773"/>
      <c r="E523" s="773"/>
      <c r="F523" s="773"/>
      <c r="G523" s="773"/>
      <c r="H523" s="773"/>
      <c r="I523" s="773"/>
      <c r="J523" s="773"/>
      <c r="K523" s="773"/>
      <c r="L523" s="773"/>
      <c r="M523" s="773"/>
      <c r="N523" s="773"/>
    </row>
    <row r="524" spans="2:14" ht="37.5">
      <c r="B524" s="774">
        <v>273</v>
      </c>
      <c r="C524" s="770" t="s">
        <v>367</v>
      </c>
      <c r="D524" s="770" t="s">
        <v>2215</v>
      </c>
      <c r="E524" s="770" t="s">
        <v>979</v>
      </c>
      <c r="F524" s="770" t="s">
        <v>554</v>
      </c>
      <c r="G524" s="770">
        <v>358</v>
      </c>
      <c r="H524" s="770">
        <v>711</v>
      </c>
      <c r="I524" s="771">
        <v>0.504</v>
      </c>
      <c r="J524" s="770" t="s">
        <v>496</v>
      </c>
      <c r="K524" s="770" t="s">
        <v>497</v>
      </c>
      <c r="L524" s="770" t="s">
        <v>2734</v>
      </c>
      <c r="M524" s="772">
        <v>0</v>
      </c>
      <c r="N524" s="772">
        <v>0</v>
      </c>
    </row>
    <row r="525" spans="2:14" ht="25">
      <c r="B525" s="774">
        <v>273</v>
      </c>
      <c r="C525" s="770" t="s">
        <v>367</v>
      </c>
      <c r="D525" s="770" t="s">
        <v>2216</v>
      </c>
      <c r="E525" s="770" t="s">
        <v>980</v>
      </c>
      <c r="F525" s="770" t="s">
        <v>557</v>
      </c>
      <c r="G525" s="770">
        <v>565</v>
      </c>
      <c r="H525" s="770">
        <v>1404</v>
      </c>
      <c r="I525" s="771">
        <v>0.40200000000000002</v>
      </c>
      <c r="J525" s="770" t="s">
        <v>496</v>
      </c>
      <c r="K525" s="770" t="s">
        <v>497</v>
      </c>
      <c r="L525" s="770" t="s">
        <v>2734</v>
      </c>
      <c r="M525" s="772">
        <v>0</v>
      </c>
      <c r="N525" s="772">
        <v>0</v>
      </c>
    </row>
    <row r="526" spans="2:14" ht="37.5">
      <c r="B526" s="774">
        <v>273</v>
      </c>
      <c r="C526" s="770" t="s">
        <v>367</v>
      </c>
      <c r="D526" s="770" t="s">
        <v>2217</v>
      </c>
      <c r="E526" s="770" t="s">
        <v>981</v>
      </c>
      <c r="F526" s="770" t="s">
        <v>676</v>
      </c>
      <c r="G526" s="770">
        <v>196</v>
      </c>
      <c r="H526" s="770">
        <v>337</v>
      </c>
      <c r="I526" s="771">
        <v>0.58199999999999996</v>
      </c>
      <c r="J526" s="770" t="s">
        <v>496</v>
      </c>
      <c r="K526" s="770" t="s">
        <v>518</v>
      </c>
      <c r="L526" s="770" t="s">
        <v>2732</v>
      </c>
      <c r="M526" s="772">
        <v>160000</v>
      </c>
      <c r="N526" s="772">
        <v>816</v>
      </c>
    </row>
    <row r="527" spans="2:14" ht="37.5">
      <c r="B527" s="774">
        <v>273</v>
      </c>
      <c r="C527" s="770" t="s">
        <v>367</v>
      </c>
      <c r="D527" s="770" t="s">
        <v>2218</v>
      </c>
      <c r="E527" s="770" t="s">
        <v>982</v>
      </c>
      <c r="F527" s="770" t="s">
        <v>554</v>
      </c>
      <c r="G527" s="770">
        <v>279</v>
      </c>
      <c r="H527" s="770">
        <v>611</v>
      </c>
      <c r="I527" s="771">
        <v>0.45700000000000002</v>
      </c>
      <c r="J527" s="770" t="s">
        <v>496</v>
      </c>
      <c r="K527" s="770" t="s">
        <v>497</v>
      </c>
      <c r="L527" s="770" t="s">
        <v>2734</v>
      </c>
      <c r="M527" s="772">
        <v>0</v>
      </c>
      <c r="N527" s="772">
        <v>0</v>
      </c>
    </row>
    <row r="528" spans="2:14" ht="25">
      <c r="B528" s="774">
        <v>273</v>
      </c>
      <c r="C528" s="770" t="s">
        <v>367</v>
      </c>
      <c r="D528" s="770" t="s">
        <v>2219</v>
      </c>
      <c r="E528" s="770" t="s">
        <v>983</v>
      </c>
      <c r="F528" s="770" t="s">
        <v>681</v>
      </c>
      <c r="G528" s="770">
        <v>241</v>
      </c>
      <c r="H528" s="770">
        <v>525</v>
      </c>
      <c r="I528" s="771">
        <v>0.45900000000000002</v>
      </c>
      <c r="J528" s="770" t="s">
        <v>496</v>
      </c>
      <c r="K528" s="770" t="s">
        <v>518</v>
      </c>
      <c r="L528" s="770" t="s">
        <v>2732</v>
      </c>
      <c r="M528" s="772">
        <v>177000</v>
      </c>
      <c r="N528" s="772">
        <v>734</v>
      </c>
    </row>
    <row r="529" spans="2:14" ht="37.5">
      <c r="B529" s="774">
        <v>273</v>
      </c>
      <c r="C529" s="770" t="s">
        <v>367</v>
      </c>
      <c r="D529" s="770" t="s">
        <v>2220</v>
      </c>
      <c r="E529" s="770" t="s">
        <v>585</v>
      </c>
      <c r="F529" s="770" t="s">
        <v>681</v>
      </c>
      <c r="G529" s="770">
        <v>261</v>
      </c>
      <c r="H529" s="770">
        <v>475</v>
      </c>
      <c r="I529" s="771">
        <v>0.54900000000000004</v>
      </c>
      <c r="J529" s="770" t="s">
        <v>496</v>
      </c>
      <c r="K529" s="770" t="s">
        <v>518</v>
      </c>
      <c r="L529" s="770" t="s">
        <v>2732</v>
      </c>
      <c r="M529" s="772">
        <v>209547</v>
      </c>
      <c r="N529" s="772">
        <v>802</v>
      </c>
    </row>
    <row r="530" spans="2:14" ht="37.5">
      <c r="B530" s="774">
        <v>273</v>
      </c>
      <c r="C530" s="770" t="s">
        <v>367</v>
      </c>
      <c r="D530" s="770" t="s">
        <v>2221</v>
      </c>
      <c r="E530" s="770" t="s">
        <v>984</v>
      </c>
      <c r="F530" s="770" t="s">
        <v>681</v>
      </c>
      <c r="G530" s="770">
        <v>195</v>
      </c>
      <c r="H530" s="770">
        <v>362</v>
      </c>
      <c r="I530" s="771">
        <v>0.53900000000000003</v>
      </c>
      <c r="J530" s="770" t="s">
        <v>496</v>
      </c>
      <c r="K530" s="770" t="s">
        <v>518</v>
      </c>
      <c r="L530" s="770" t="s">
        <v>2734</v>
      </c>
      <c r="M530" s="772">
        <v>150000</v>
      </c>
      <c r="N530" s="772">
        <v>769</v>
      </c>
    </row>
    <row r="531" spans="2:14" ht="37.5">
      <c r="B531" s="774">
        <v>273</v>
      </c>
      <c r="C531" s="770" t="s">
        <v>367</v>
      </c>
      <c r="D531" s="770" t="s">
        <v>2222</v>
      </c>
      <c r="E531" s="770" t="s">
        <v>985</v>
      </c>
      <c r="F531" s="770" t="s">
        <v>986</v>
      </c>
      <c r="G531" s="770">
        <v>200</v>
      </c>
      <c r="H531" s="770">
        <v>398</v>
      </c>
      <c r="I531" s="771">
        <v>0.503</v>
      </c>
      <c r="J531" s="770" t="s">
        <v>496</v>
      </c>
      <c r="K531" s="770" t="s">
        <v>518</v>
      </c>
      <c r="L531" s="770" t="s">
        <v>2732</v>
      </c>
      <c r="M531" s="772">
        <v>152000</v>
      </c>
      <c r="N531" s="772">
        <v>760</v>
      </c>
    </row>
    <row r="532" spans="2:14" ht="25">
      <c r="B532" s="774">
        <v>273</v>
      </c>
      <c r="C532" s="770" t="s">
        <v>367</v>
      </c>
      <c r="D532" s="770" t="s">
        <v>2223</v>
      </c>
      <c r="E532" s="770" t="s">
        <v>1531</v>
      </c>
      <c r="F532" s="770" t="s">
        <v>557</v>
      </c>
      <c r="G532" s="770">
        <v>105</v>
      </c>
      <c r="H532" s="770">
        <v>200</v>
      </c>
      <c r="I532" s="771">
        <v>0.52500000000000002</v>
      </c>
      <c r="J532" s="770" t="s">
        <v>496</v>
      </c>
      <c r="K532" s="770" t="s">
        <v>497</v>
      </c>
      <c r="L532" s="770" t="s">
        <v>2732</v>
      </c>
      <c r="M532" s="772">
        <v>0</v>
      </c>
      <c r="N532" s="772">
        <v>0</v>
      </c>
    </row>
    <row r="533" spans="2:14" ht="37.5">
      <c r="B533" s="774">
        <v>273</v>
      </c>
      <c r="C533" s="770" t="s">
        <v>367</v>
      </c>
      <c r="D533" s="770" t="s">
        <v>2225</v>
      </c>
      <c r="E533" s="770" t="s">
        <v>987</v>
      </c>
      <c r="F533" s="770" t="s">
        <v>681</v>
      </c>
      <c r="G533" s="770">
        <v>188</v>
      </c>
      <c r="H533" s="770">
        <v>408</v>
      </c>
      <c r="I533" s="771">
        <v>0.46100000000000002</v>
      </c>
      <c r="J533" s="770" t="s">
        <v>496</v>
      </c>
      <c r="K533" s="770" t="s">
        <v>518</v>
      </c>
      <c r="L533" s="770" t="s">
        <v>2734</v>
      </c>
      <c r="M533" s="772">
        <v>142000</v>
      </c>
      <c r="N533" s="772">
        <v>755</v>
      </c>
    </row>
    <row r="534" spans="2:14">
      <c r="B534" s="773"/>
      <c r="C534" s="773"/>
      <c r="D534" s="773"/>
      <c r="E534" s="773"/>
      <c r="F534" s="773"/>
      <c r="G534" s="773"/>
      <c r="H534" s="773"/>
      <c r="I534" s="773"/>
      <c r="J534" s="773"/>
      <c r="K534" s="773"/>
      <c r="L534" s="773"/>
      <c r="M534" s="773"/>
      <c r="N534" s="773"/>
    </row>
    <row r="535" spans="2:14" ht="37.5">
      <c r="B535" s="774">
        <v>274</v>
      </c>
      <c r="C535" s="770" t="s">
        <v>368</v>
      </c>
      <c r="D535" s="770" t="s">
        <v>2227</v>
      </c>
      <c r="E535" s="770" t="s">
        <v>988</v>
      </c>
      <c r="F535" s="770" t="s">
        <v>715</v>
      </c>
      <c r="G535" s="770">
        <v>41</v>
      </c>
      <c r="H535" s="770">
        <v>99</v>
      </c>
      <c r="I535" s="771">
        <v>0.41399999999999998</v>
      </c>
      <c r="J535" s="770" t="s">
        <v>496</v>
      </c>
      <c r="K535" s="770" t="s">
        <v>497</v>
      </c>
      <c r="L535" s="770" t="s">
        <v>2732</v>
      </c>
      <c r="M535" s="772">
        <v>0</v>
      </c>
      <c r="N535" s="772">
        <v>0</v>
      </c>
    </row>
    <row r="536" spans="2:14" ht="37.5">
      <c r="B536" s="774">
        <v>274</v>
      </c>
      <c r="C536" s="770" t="s">
        <v>368</v>
      </c>
      <c r="D536" s="770" t="s">
        <v>2228</v>
      </c>
      <c r="E536" s="770" t="s">
        <v>989</v>
      </c>
      <c r="F536" s="770" t="s">
        <v>706</v>
      </c>
      <c r="G536" s="770">
        <v>35</v>
      </c>
      <c r="H536" s="770">
        <v>53</v>
      </c>
      <c r="I536" s="771">
        <v>0.66</v>
      </c>
      <c r="J536" s="770" t="s">
        <v>496</v>
      </c>
      <c r="K536" s="770" t="s">
        <v>518</v>
      </c>
      <c r="L536" s="770" t="s">
        <v>2733</v>
      </c>
      <c r="M536" s="772">
        <v>61862</v>
      </c>
      <c r="N536" s="772">
        <v>1767</v>
      </c>
    </row>
    <row r="537" spans="2:14">
      <c r="B537" s="773"/>
      <c r="C537" s="773"/>
      <c r="D537" s="773"/>
      <c r="E537" s="773"/>
      <c r="F537" s="773"/>
      <c r="G537" s="773"/>
      <c r="H537" s="773"/>
      <c r="I537" s="773"/>
      <c r="J537" s="773"/>
      <c r="K537" s="773"/>
      <c r="L537" s="773"/>
      <c r="M537" s="773"/>
      <c r="N537" s="773"/>
    </row>
    <row r="538" spans="2:14" ht="37.5">
      <c r="B538" s="774">
        <v>281</v>
      </c>
      <c r="C538" s="770" t="s">
        <v>369</v>
      </c>
      <c r="D538" s="770" t="s">
        <v>2229</v>
      </c>
      <c r="E538" s="770" t="s">
        <v>990</v>
      </c>
      <c r="F538" s="770" t="s">
        <v>554</v>
      </c>
      <c r="G538" s="770">
        <v>132</v>
      </c>
      <c r="H538" s="770">
        <v>476</v>
      </c>
      <c r="I538" s="771">
        <v>0.27700000000000002</v>
      </c>
      <c r="J538" s="770" t="s">
        <v>501</v>
      </c>
      <c r="K538" s="770" t="s">
        <v>497</v>
      </c>
      <c r="L538" s="770" t="s">
        <v>2732</v>
      </c>
      <c r="M538" s="772">
        <v>0</v>
      </c>
      <c r="N538" s="772">
        <v>0</v>
      </c>
    </row>
    <row r="539" spans="2:14" ht="37.5">
      <c r="B539" s="774">
        <v>281</v>
      </c>
      <c r="C539" s="770" t="s">
        <v>369</v>
      </c>
      <c r="D539" s="770" t="s">
        <v>2230</v>
      </c>
      <c r="E539" s="770" t="s">
        <v>991</v>
      </c>
      <c r="F539" s="770" t="s">
        <v>557</v>
      </c>
      <c r="G539" s="770">
        <v>174</v>
      </c>
      <c r="H539" s="770">
        <v>764</v>
      </c>
      <c r="I539" s="771">
        <v>0.22800000000000001</v>
      </c>
      <c r="J539" s="770" t="s">
        <v>501</v>
      </c>
      <c r="K539" s="770" t="s">
        <v>497</v>
      </c>
      <c r="L539" s="770" t="s">
        <v>2732</v>
      </c>
      <c r="M539" s="772">
        <v>0</v>
      </c>
      <c r="N539" s="772">
        <v>0</v>
      </c>
    </row>
    <row r="540" spans="2:14" ht="37.5">
      <c r="B540" s="774">
        <v>281</v>
      </c>
      <c r="C540" s="770" t="s">
        <v>369</v>
      </c>
      <c r="D540" s="770" t="s">
        <v>2232</v>
      </c>
      <c r="E540" s="770" t="s">
        <v>992</v>
      </c>
      <c r="F540" s="770" t="s">
        <v>557</v>
      </c>
      <c r="G540" s="770"/>
      <c r="H540" s="770"/>
      <c r="I540" s="770"/>
      <c r="J540" s="770" t="s">
        <v>496</v>
      </c>
      <c r="K540" s="770" t="s">
        <v>497</v>
      </c>
      <c r="L540" s="770" t="s">
        <v>2732</v>
      </c>
      <c r="M540" s="772">
        <v>0</v>
      </c>
      <c r="N540" s="772">
        <v>0</v>
      </c>
    </row>
    <row r="541" spans="2:14" ht="37.5">
      <c r="B541" s="774">
        <v>281</v>
      </c>
      <c r="C541" s="770" t="s">
        <v>369</v>
      </c>
      <c r="D541" s="770" t="s">
        <v>2234</v>
      </c>
      <c r="E541" s="770" t="s">
        <v>993</v>
      </c>
      <c r="F541" s="770" t="s">
        <v>937</v>
      </c>
      <c r="G541" s="770">
        <v>80</v>
      </c>
      <c r="H541" s="770">
        <v>173</v>
      </c>
      <c r="I541" s="771">
        <v>0.46200000000000002</v>
      </c>
      <c r="J541" s="770" t="s">
        <v>496</v>
      </c>
      <c r="K541" s="770" t="s">
        <v>518</v>
      </c>
      <c r="L541" s="770" t="s">
        <v>2732</v>
      </c>
      <c r="M541" s="772">
        <v>108733</v>
      </c>
      <c r="N541" s="772">
        <v>1359</v>
      </c>
    </row>
    <row r="542" spans="2:14" ht="50">
      <c r="B542" s="774">
        <v>281</v>
      </c>
      <c r="C542" s="770" t="s">
        <v>369</v>
      </c>
      <c r="D542" s="770" t="s">
        <v>2235</v>
      </c>
      <c r="E542" s="770" t="s">
        <v>994</v>
      </c>
      <c r="F542" s="770" t="s">
        <v>706</v>
      </c>
      <c r="G542" s="770">
        <v>87</v>
      </c>
      <c r="H542" s="770">
        <v>273</v>
      </c>
      <c r="I542" s="771">
        <v>0.31900000000000001</v>
      </c>
      <c r="J542" s="770" t="s">
        <v>496</v>
      </c>
      <c r="K542" s="770" t="s">
        <v>624</v>
      </c>
      <c r="L542" s="770" t="s">
        <v>2732</v>
      </c>
      <c r="M542" s="772">
        <v>101390</v>
      </c>
      <c r="N542" s="772">
        <v>1165</v>
      </c>
    </row>
    <row r="543" spans="2:14" ht="37.5">
      <c r="B543" s="774">
        <v>281</v>
      </c>
      <c r="C543" s="770" t="s">
        <v>369</v>
      </c>
      <c r="D543" s="770" t="s">
        <v>2237</v>
      </c>
      <c r="E543" s="770" t="s">
        <v>995</v>
      </c>
      <c r="F543" s="770" t="s">
        <v>931</v>
      </c>
      <c r="G543" s="770">
        <v>104</v>
      </c>
      <c r="H543" s="770">
        <v>201</v>
      </c>
      <c r="I543" s="771">
        <v>0.51700000000000002</v>
      </c>
      <c r="J543" s="770" t="s">
        <v>496</v>
      </c>
      <c r="K543" s="770" t="s">
        <v>624</v>
      </c>
      <c r="L543" s="770" t="s">
        <v>2732</v>
      </c>
      <c r="M543" s="772">
        <v>110881</v>
      </c>
      <c r="N543" s="772">
        <v>1066</v>
      </c>
    </row>
    <row r="544" spans="2:14" ht="50">
      <c r="B544" s="774">
        <v>281</v>
      </c>
      <c r="C544" s="770" t="s">
        <v>369</v>
      </c>
      <c r="D544" s="770" t="s">
        <v>2238</v>
      </c>
      <c r="E544" s="770" t="s">
        <v>996</v>
      </c>
      <c r="F544" s="770" t="s">
        <v>706</v>
      </c>
      <c r="G544" s="770">
        <v>120</v>
      </c>
      <c r="H544" s="770">
        <v>353</v>
      </c>
      <c r="I544" s="771">
        <v>0.34</v>
      </c>
      <c r="J544" s="770" t="s">
        <v>496</v>
      </c>
      <c r="K544" s="770" t="s">
        <v>497</v>
      </c>
      <c r="L544" s="770" t="s">
        <v>2732</v>
      </c>
      <c r="M544" s="772">
        <v>0</v>
      </c>
      <c r="N544" s="772">
        <v>0</v>
      </c>
    </row>
    <row r="545" spans="2:14" ht="37.5">
      <c r="B545" s="774">
        <v>281</v>
      </c>
      <c r="C545" s="770" t="s">
        <v>369</v>
      </c>
      <c r="D545" s="770" t="s">
        <v>1230</v>
      </c>
      <c r="E545" s="770" t="s">
        <v>460</v>
      </c>
      <c r="F545" s="770" t="s">
        <v>997</v>
      </c>
      <c r="G545" s="770">
        <v>58</v>
      </c>
      <c r="H545" s="770">
        <v>176</v>
      </c>
      <c r="I545" s="771">
        <v>0.33</v>
      </c>
      <c r="J545" s="770" t="s">
        <v>496</v>
      </c>
      <c r="K545" s="770" t="s">
        <v>497</v>
      </c>
      <c r="L545" s="770" t="s">
        <v>2732</v>
      </c>
      <c r="M545" s="772">
        <v>0</v>
      </c>
      <c r="N545" s="772">
        <v>0</v>
      </c>
    </row>
    <row r="546" spans="2:14">
      <c r="B546" s="773"/>
      <c r="C546" s="773"/>
      <c r="D546" s="773"/>
      <c r="E546" s="773"/>
      <c r="F546" s="773"/>
      <c r="G546" s="773"/>
      <c r="H546" s="773"/>
      <c r="I546" s="773"/>
      <c r="J546" s="773"/>
      <c r="K546" s="773"/>
      <c r="L546" s="773"/>
      <c r="M546" s="773"/>
      <c r="N546" s="773"/>
    </row>
    <row r="547" spans="2:14" ht="50">
      <c r="B547" s="774">
        <v>282</v>
      </c>
      <c r="C547" s="770" t="s">
        <v>370</v>
      </c>
      <c r="D547" s="770" t="s">
        <v>2240</v>
      </c>
      <c r="E547" s="770" t="s">
        <v>998</v>
      </c>
      <c r="F547" s="770" t="s">
        <v>623</v>
      </c>
      <c r="G547" s="770">
        <v>67</v>
      </c>
      <c r="H547" s="770">
        <v>318</v>
      </c>
      <c r="I547" s="771">
        <v>0.21099999999999999</v>
      </c>
      <c r="J547" s="770" t="s">
        <v>496</v>
      </c>
      <c r="K547" s="770" t="s">
        <v>624</v>
      </c>
      <c r="L547" s="770" t="s">
        <v>2732</v>
      </c>
      <c r="M547" s="772">
        <v>53215</v>
      </c>
      <c r="N547" s="772">
        <v>794</v>
      </c>
    </row>
    <row r="548" spans="2:14">
      <c r="B548" s="773"/>
      <c r="C548" s="773"/>
      <c r="D548" s="773"/>
      <c r="E548" s="773"/>
      <c r="F548" s="773"/>
      <c r="G548" s="773"/>
      <c r="H548" s="773"/>
      <c r="I548" s="773"/>
      <c r="J548" s="773"/>
      <c r="K548" s="773"/>
      <c r="L548" s="773"/>
      <c r="M548" s="773"/>
      <c r="N548" s="773"/>
    </row>
    <row r="549" spans="2:14" ht="37.5">
      <c r="B549" s="774">
        <v>283</v>
      </c>
      <c r="C549" s="770" t="s">
        <v>371</v>
      </c>
      <c r="D549" s="770" t="s">
        <v>2242</v>
      </c>
      <c r="E549" s="770" t="s">
        <v>999</v>
      </c>
      <c r="F549" s="770" t="s">
        <v>546</v>
      </c>
      <c r="G549" s="770">
        <v>43</v>
      </c>
      <c r="H549" s="770">
        <v>100</v>
      </c>
      <c r="I549" s="771">
        <v>0.43</v>
      </c>
      <c r="J549" s="770" t="s">
        <v>496</v>
      </c>
      <c r="K549" s="770" t="s">
        <v>497</v>
      </c>
      <c r="L549" s="770" t="s">
        <v>2732</v>
      </c>
      <c r="M549" s="772">
        <v>0</v>
      </c>
      <c r="N549" s="772">
        <v>0</v>
      </c>
    </row>
    <row r="550" spans="2:14" ht="37.5">
      <c r="B550" s="774">
        <v>283</v>
      </c>
      <c r="C550" s="770" t="s">
        <v>371</v>
      </c>
      <c r="D550" s="770" t="s">
        <v>2243</v>
      </c>
      <c r="E550" s="770" t="s">
        <v>1000</v>
      </c>
      <c r="F550" s="770" t="s">
        <v>512</v>
      </c>
      <c r="G550" s="770">
        <v>57</v>
      </c>
      <c r="H550" s="770">
        <v>138</v>
      </c>
      <c r="I550" s="771">
        <v>0.41299999999999998</v>
      </c>
      <c r="J550" s="770" t="s">
        <v>496</v>
      </c>
      <c r="K550" s="770" t="s">
        <v>518</v>
      </c>
      <c r="L550" s="770" t="s">
        <v>2732</v>
      </c>
      <c r="M550" s="772">
        <v>45476</v>
      </c>
      <c r="N550" s="772">
        <v>797</v>
      </c>
    </row>
    <row r="551" spans="2:14">
      <c r="B551" s="773"/>
      <c r="C551" s="773"/>
      <c r="D551" s="773"/>
      <c r="E551" s="773"/>
      <c r="F551" s="773"/>
      <c r="G551" s="773"/>
      <c r="H551" s="773"/>
      <c r="I551" s="773"/>
      <c r="J551" s="773"/>
      <c r="K551" s="773"/>
      <c r="L551" s="773"/>
      <c r="M551" s="773"/>
      <c r="N551" s="773"/>
    </row>
    <row r="552" spans="2:14" ht="37.5">
      <c r="B552" s="774">
        <v>285</v>
      </c>
      <c r="C552" s="770" t="s">
        <v>372</v>
      </c>
      <c r="D552" s="770" t="s">
        <v>2245</v>
      </c>
      <c r="E552" s="770" t="s">
        <v>1001</v>
      </c>
      <c r="F552" s="770" t="s">
        <v>546</v>
      </c>
      <c r="G552" s="770">
        <v>90</v>
      </c>
      <c r="H552" s="770">
        <v>212</v>
      </c>
      <c r="I552" s="771">
        <v>0.42499999999999999</v>
      </c>
      <c r="J552" s="770" t="s">
        <v>496</v>
      </c>
      <c r="K552" s="770" t="s">
        <v>497</v>
      </c>
      <c r="L552" s="770" t="s">
        <v>2734</v>
      </c>
      <c r="M552" s="772">
        <v>0</v>
      </c>
      <c r="N552" s="772">
        <v>0</v>
      </c>
    </row>
    <row r="553" spans="2:14" ht="37.5">
      <c r="B553" s="774">
        <v>285</v>
      </c>
      <c r="C553" s="770" t="s">
        <v>372</v>
      </c>
      <c r="D553" s="770" t="s">
        <v>2246</v>
      </c>
      <c r="E553" s="770" t="s">
        <v>1002</v>
      </c>
      <c r="F553" s="770" t="s">
        <v>512</v>
      </c>
      <c r="G553" s="770">
        <v>107</v>
      </c>
      <c r="H553" s="770">
        <v>236</v>
      </c>
      <c r="I553" s="771">
        <v>0.45300000000000001</v>
      </c>
      <c r="J553" s="770" t="s">
        <v>496</v>
      </c>
      <c r="K553" s="770" t="s">
        <v>518</v>
      </c>
      <c r="L553" s="770" t="s">
        <v>2734</v>
      </c>
      <c r="M553" s="772">
        <v>41913</v>
      </c>
      <c r="N553" s="772">
        <v>391</v>
      </c>
    </row>
    <row r="554" spans="2:14">
      <c r="B554" s="773"/>
      <c r="C554" s="773"/>
      <c r="D554" s="773"/>
      <c r="E554" s="773"/>
      <c r="F554" s="773"/>
      <c r="G554" s="773"/>
      <c r="H554" s="773"/>
      <c r="I554" s="773"/>
      <c r="J554" s="773"/>
      <c r="K554" s="773"/>
      <c r="L554" s="773"/>
      <c r="M554" s="773"/>
      <c r="N554" s="773"/>
    </row>
    <row r="555" spans="2:14" ht="37.5">
      <c r="B555" s="774">
        <v>287</v>
      </c>
      <c r="C555" s="770" t="s">
        <v>373</v>
      </c>
      <c r="D555" s="770" t="s">
        <v>2248</v>
      </c>
      <c r="E555" s="770" t="s">
        <v>1003</v>
      </c>
      <c r="F555" s="770" t="s">
        <v>512</v>
      </c>
      <c r="G555" s="770">
        <v>48</v>
      </c>
      <c r="H555" s="770">
        <v>124</v>
      </c>
      <c r="I555" s="771">
        <v>0.38700000000000001</v>
      </c>
      <c r="J555" s="770" t="s">
        <v>496</v>
      </c>
      <c r="K555" s="770" t="s">
        <v>518</v>
      </c>
      <c r="L555" s="770" t="s">
        <v>2734</v>
      </c>
      <c r="M555" s="772">
        <v>30633</v>
      </c>
      <c r="N555" s="772">
        <v>638</v>
      </c>
    </row>
    <row r="556" spans="2:14" ht="25">
      <c r="B556" s="774">
        <v>287</v>
      </c>
      <c r="C556" s="770" t="s">
        <v>373</v>
      </c>
      <c r="D556" s="770" t="s">
        <v>2249</v>
      </c>
      <c r="E556" s="770" t="s">
        <v>1004</v>
      </c>
      <c r="F556" s="770" t="s">
        <v>546</v>
      </c>
      <c r="G556" s="770">
        <v>43</v>
      </c>
      <c r="H556" s="770">
        <v>132</v>
      </c>
      <c r="I556" s="771">
        <v>0.32600000000000001</v>
      </c>
      <c r="J556" s="770" t="s">
        <v>501</v>
      </c>
      <c r="K556" s="770" t="s">
        <v>497</v>
      </c>
      <c r="L556" s="770" t="s">
        <v>2734</v>
      </c>
      <c r="M556" s="772">
        <v>0</v>
      </c>
      <c r="N556" s="772">
        <v>0</v>
      </c>
    </row>
    <row r="557" spans="2:14">
      <c r="B557" s="773"/>
      <c r="C557" s="773"/>
      <c r="D557" s="773"/>
      <c r="E557" s="773"/>
      <c r="F557" s="773"/>
      <c r="G557" s="773"/>
      <c r="H557" s="773"/>
      <c r="I557" s="773"/>
      <c r="J557" s="773"/>
      <c r="K557" s="773"/>
      <c r="L557" s="773"/>
      <c r="M557" s="773"/>
      <c r="N557" s="773"/>
    </row>
    <row r="558" spans="2:14" ht="37.5">
      <c r="B558" s="774">
        <v>288</v>
      </c>
      <c r="C558" s="770" t="s">
        <v>1532</v>
      </c>
      <c r="D558" s="770" t="s">
        <v>2251</v>
      </c>
      <c r="E558" s="770" t="s">
        <v>1005</v>
      </c>
      <c r="F558" s="770" t="s">
        <v>612</v>
      </c>
      <c r="G558" s="770">
        <v>27</v>
      </c>
      <c r="H558" s="770">
        <v>44</v>
      </c>
      <c r="I558" s="771">
        <v>0.61399999999999999</v>
      </c>
      <c r="J558" s="770" t="s">
        <v>496</v>
      </c>
      <c r="K558" s="770" t="s">
        <v>624</v>
      </c>
      <c r="L558" s="770" t="s">
        <v>2732</v>
      </c>
      <c r="M558" s="772">
        <v>15000</v>
      </c>
      <c r="N558" s="772">
        <v>555</v>
      </c>
    </row>
    <row r="559" spans="2:14" ht="37.5">
      <c r="B559" s="774">
        <v>288</v>
      </c>
      <c r="C559" s="770" t="s">
        <v>1532</v>
      </c>
      <c r="D559" s="770" t="s">
        <v>2252</v>
      </c>
      <c r="E559" s="770" t="s">
        <v>1006</v>
      </c>
      <c r="F559" s="770" t="s">
        <v>1007</v>
      </c>
      <c r="G559" s="770">
        <v>65</v>
      </c>
      <c r="H559" s="770">
        <v>165</v>
      </c>
      <c r="I559" s="771">
        <v>0.39400000000000002</v>
      </c>
      <c r="J559" s="770" t="s">
        <v>496</v>
      </c>
      <c r="K559" s="770" t="s">
        <v>624</v>
      </c>
      <c r="L559" s="770" t="s">
        <v>2734</v>
      </c>
      <c r="M559" s="772">
        <v>28180</v>
      </c>
      <c r="N559" s="772">
        <v>433</v>
      </c>
    </row>
    <row r="560" spans="2:14">
      <c r="B560" s="773"/>
      <c r="C560" s="773"/>
      <c r="D560" s="773"/>
      <c r="E560" s="773"/>
      <c r="F560" s="773"/>
      <c r="G560" s="773"/>
      <c r="H560" s="773"/>
      <c r="I560" s="773"/>
      <c r="J560" s="773"/>
      <c r="K560" s="773"/>
      <c r="L560" s="773"/>
      <c r="M560" s="773"/>
      <c r="N560" s="773"/>
    </row>
    <row r="561" spans="2:14" ht="37.5">
      <c r="B561" s="774">
        <v>291</v>
      </c>
      <c r="C561" s="770" t="s">
        <v>375</v>
      </c>
      <c r="D561" s="770" t="s">
        <v>2254</v>
      </c>
      <c r="E561" s="770" t="s">
        <v>1008</v>
      </c>
      <c r="F561" s="770" t="s">
        <v>715</v>
      </c>
      <c r="G561" s="770">
        <v>250</v>
      </c>
      <c r="H561" s="770">
        <v>420</v>
      </c>
      <c r="I561" s="771">
        <v>0.59499999999999997</v>
      </c>
      <c r="J561" s="770" t="s">
        <v>496</v>
      </c>
      <c r="K561" s="770" t="s">
        <v>624</v>
      </c>
      <c r="L561" s="770" t="s">
        <v>2732</v>
      </c>
      <c r="M561" s="772">
        <v>80838</v>
      </c>
      <c r="N561" s="772">
        <v>323</v>
      </c>
    </row>
    <row r="562" spans="2:14" ht="50">
      <c r="B562" s="774">
        <v>291</v>
      </c>
      <c r="C562" s="770" t="s">
        <v>375</v>
      </c>
      <c r="D562" s="770" t="s">
        <v>2255</v>
      </c>
      <c r="E562" s="770" t="s">
        <v>1009</v>
      </c>
      <c r="F562" s="770" t="s">
        <v>693</v>
      </c>
      <c r="G562" s="770">
        <v>231</v>
      </c>
      <c r="H562" s="770">
        <v>345</v>
      </c>
      <c r="I562" s="771">
        <v>0.67</v>
      </c>
      <c r="J562" s="770" t="s">
        <v>496</v>
      </c>
      <c r="K562" s="770" t="s">
        <v>624</v>
      </c>
      <c r="L562" s="770" t="s">
        <v>2734</v>
      </c>
      <c r="M562" s="772">
        <v>105508</v>
      </c>
      <c r="N562" s="772">
        <v>456</v>
      </c>
    </row>
    <row r="563" spans="2:14">
      <c r="B563" s="773"/>
      <c r="C563" s="773"/>
      <c r="D563" s="773"/>
      <c r="E563" s="773"/>
      <c r="F563" s="773"/>
      <c r="G563" s="773"/>
      <c r="H563" s="773"/>
      <c r="I563" s="773"/>
      <c r="J563" s="773"/>
      <c r="K563" s="773"/>
      <c r="L563" s="773"/>
      <c r="M563" s="773"/>
      <c r="N563" s="773"/>
    </row>
    <row r="564" spans="2:14" ht="50">
      <c r="B564" s="774">
        <v>292</v>
      </c>
      <c r="C564" s="770" t="s">
        <v>376</v>
      </c>
      <c r="D564" s="770" t="s">
        <v>2259</v>
      </c>
      <c r="E564" s="770" t="s">
        <v>1010</v>
      </c>
      <c r="F564" s="770" t="s">
        <v>623</v>
      </c>
      <c r="G564" s="770">
        <v>48</v>
      </c>
      <c r="H564" s="770">
        <v>75</v>
      </c>
      <c r="I564" s="771">
        <v>0.64</v>
      </c>
      <c r="J564" s="770" t="s">
        <v>496</v>
      </c>
      <c r="K564" s="770" t="s">
        <v>518</v>
      </c>
      <c r="L564" s="770" t="s">
        <v>2732</v>
      </c>
      <c r="M564" s="772">
        <v>20390</v>
      </c>
      <c r="N564" s="772">
        <v>424</v>
      </c>
    </row>
    <row r="565" spans="2:14" ht="37.5">
      <c r="B565" s="774">
        <v>292</v>
      </c>
      <c r="C565" s="770" t="s">
        <v>376</v>
      </c>
      <c r="D565" s="770" t="s">
        <v>2260</v>
      </c>
      <c r="E565" s="770" t="s">
        <v>647</v>
      </c>
      <c r="F565" s="770" t="s">
        <v>512</v>
      </c>
      <c r="G565" s="770"/>
      <c r="H565" s="770"/>
      <c r="I565" s="770"/>
      <c r="J565" s="770" t="s">
        <v>496</v>
      </c>
      <c r="K565" s="770" t="s">
        <v>518</v>
      </c>
      <c r="L565" s="770" t="s">
        <v>2732</v>
      </c>
      <c r="M565" s="772">
        <v>13680</v>
      </c>
      <c r="N565" s="772">
        <v>1052</v>
      </c>
    </row>
    <row r="566" spans="2:14">
      <c r="B566" s="773"/>
      <c r="C566" s="773"/>
      <c r="D566" s="773"/>
      <c r="E566" s="773"/>
      <c r="F566" s="773"/>
      <c r="G566" s="773"/>
      <c r="H566" s="773"/>
      <c r="I566" s="773"/>
      <c r="J566" s="773"/>
      <c r="K566" s="773"/>
      <c r="L566" s="773"/>
      <c r="M566" s="773"/>
      <c r="N566" s="773"/>
    </row>
    <row r="567" spans="2:14" ht="50">
      <c r="B567" s="774">
        <v>302</v>
      </c>
      <c r="C567" s="770" t="s">
        <v>377</v>
      </c>
      <c r="D567" s="770" t="s">
        <v>2262</v>
      </c>
      <c r="E567" s="770" t="s">
        <v>1011</v>
      </c>
      <c r="F567" s="770" t="s">
        <v>623</v>
      </c>
      <c r="G567" s="770">
        <v>71</v>
      </c>
      <c r="H567" s="770">
        <v>149</v>
      </c>
      <c r="I567" s="771">
        <v>0.47699999999999998</v>
      </c>
      <c r="J567" s="770" t="s">
        <v>496</v>
      </c>
      <c r="K567" s="770" t="s">
        <v>624</v>
      </c>
      <c r="L567" s="770" t="s">
        <v>2732</v>
      </c>
      <c r="M567" s="772">
        <v>25724</v>
      </c>
      <c r="N567" s="772">
        <v>362</v>
      </c>
    </row>
    <row r="568" spans="2:14">
      <c r="B568" s="773"/>
      <c r="C568" s="773"/>
      <c r="D568" s="773"/>
      <c r="E568" s="773"/>
      <c r="F568" s="773"/>
      <c r="G568" s="773"/>
      <c r="H568" s="773"/>
      <c r="I568" s="773"/>
      <c r="J568" s="773"/>
      <c r="K568" s="773"/>
      <c r="L568" s="773"/>
      <c r="M568" s="773"/>
      <c r="N568" s="773"/>
    </row>
    <row r="569" spans="2:14" ht="25">
      <c r="B569" s="774">
        <v>304</v>
      </c>
      <c r="C569" s="770" t="s">
        <v>378</v>
      </c>
      <c r="D569" s="770" t="s">
        <v>2264</v>
      </c>
      <c r="E569" s="770" t="s">
        <v>1012</v>
      </c>
      <c r="F569" s="770" t="s">
        <v>557</v>
      </c>
      <c r="G569" s="770"/>
      <c r="H569" s="770"/>
      <c r="I569" s="770"/>
      <c r="J569" s="770" t="s">
        <v>496</v>
      </c>
      <c r="K569" s="770" t="s">
        <v>518</v>
      </c>
      <c r="L569" s="770" t="s">
        <v>2734</v>
      </c>
      <c r="M569" s="772">
        <v>15000</v>
      </c>
      <c r="N569" s="772">
        <v>128</v>
      </c>
    </row>
    <row r="570" spans="2:14" ht="37.5">
      <c r="B570" s="774">
        <v>304</v>
      </c>
      <c r="C570" s="770" t="s">
        <v>378</v>
      </c>
      <c r="D570" s="770" t="s">
        <v>2265</v>
      </c>
      <c r="E570" s="770" t="s">
        <v>1013</v>
      </c>
      <c r="F570" s="770" t="s">
        <v>691</v>
      </c>
      <c r="G570" s="770">
        <v>137</v>
      </c>
      <c r="H570" s="770">
        <v>147</v>
      </c>
      <c r="I570" s="771">
        <v>0.93200000000000005</v>
      </c>
      <c r="J570" s="770" t="s">
        <v>496</v>
      </c>
      <c r="K570" s="770" t="s">
        <v>518</v>
      </c>
      <c r="L570" s="770" t="s">
        <v>2734</v>
      </c>
      <c r="M570" s="772">
        <v>62714</v>
      </c>
      <c r="N570" s="772">
        <v>457</v>
      </c>
    </row>
    <row r="571" spans="2:14" ht="37.5">
      <c r="B571" s="774">
        <v>304</v>
      </c>
      <c r="C571" s="770" t="s">
        <v>378</v>
      </c>
      <c r="D571" s="770" t="s">
        <v>2266</v>
      </c>
      <c r="E571" s="770" t="s">
        <v>1014</v>
      </c>
      <c r="F571" s="770" t="s">
        <v>693</v>
      </c>
      <c r="G571" s="770">
        <v>182</v>
      </c>
      <c r="H571" s="770">
        <v>194</v>
      </c>
      <c r="I571" s="771">
        <v>0.93799999999999994</v>
      </c>
      <c r="J571" s="770" t="s">
        <v>496</v>
      </c>
      <c r="K571" s="770" t="s">
        <v>518</v>
      </c>
      <c r="L571" s="770" t="s">
        <v>2732</v>
      </c>
      <c r="M571" s="772">
        <v>122295</v>
      </c>
      <c r="N571" s="772">
        <v>671</v>
      </c>
    </row>
    <row r="572" spans="2:14">
      <c r="B572" s="773"/>
      <c r="C572" s="773"/>
      <c r="D572" s="773"/>
      <c r="E572" s="773"/>
      <c r="F572" s="773"/>
      <c r="G572" s="773"/>
      <c r="H572" s="773"/>
      <c r="I572" s="773"/>
      <c r="J572" s="773"/>
      <c r="K572" s="773"/>
      <c r="L572" s="773"/>
      <c r="M572" s="773"/>
      <c r="N572" s="773"/>
    </row>
    <row r="573" spans="2:14" ht="50">
      <c r="B573" s="774">
        <v>305</v>
      </c>
      <c r="C573" s="770" t="s">
        <v>379</v>
      </c>
      <c r="D573" s="770" t="s">
        <v>2268</v>
      </c>
      <c r="E573" s="770" t="s">
        <v>1015</v>
      </c>
      <c r="F573" s="770" t="s">
        <v>623</v>
      </c>
      <c r="G573" s="770">
        <v>86</v>
      </c>
      <c r="H573" s="770">
        <v>164</v>
      </c>
      <c r="I573" s="771">
        <v>0.52400000000000002</v>
      </c>
      <c r="J573" s="770" t="s">
        <v>496</v>
      </c>
      <c r="K573" s="770" t="s">
        <v>518</v>
      </c>
      <c r="L573" s="770" t="s">
        <v>2734</v>
      </c>
      <c r="M573" s="772">
        <v>45034</v>
      </c>
      <c r="N573" s="772">
        <v>523</v>
      </c>
    </row>
    <row r="574" spans="2:14">
      <c r="B574" s="773"/>
      <c r="C574" s="773"/>
      <c r="D574" s="773"/>
      <c r="E574" s="773"/>
      <c r="F574" s="773"/>
      <c r="G574" s="773"/>
      <c r="H574" s="773"/>
      <c r="I574" s="773"/>
      <c r="J574" s="773"/>
      <c r="K574" s="773"/>
      <c r="L574" s="773"/>
      <c r="M574" s="773"/>
      <c r="N574" s="773"/>
    </row>
    <row r="575" spans="2:14" ht="37.5">
      <c r="B575" s="774">
        <v>312</v>
      </c>
      <c r="C575" s="770" t="s">
        <v>380</v>
      </c>
      <c r="D575" s="770" t="s">
        <v>2270</v>
      </c>
      <c r="E575" s="770" t="s">
        <v>1016</v>
      </c>
      <c r="F575" s="770" t="s">
        <v>554</v>
      </c>
      <c r="G575" s="770">
        <v>53</v>
      </c>
      <c r="H575" s="770">
        <v>73</v>
      </c>
      <c r="I575" s="771">
        <v>0.72599999999999998</v>
      </c>
      <c r="J575" s="770" t="s">
        <v>496</v>
      </c>
      <c r="K575" s="770" t="s">
        <v>497</v>
      </c>
      <c r="L575" s="770" t="s">
        <v>2735</v>
      </c>
      <c r="M575" s="772">
        <v>0</v>
      </c>
      <c r="N575" s="772">
        <v>0</v>
      </c>
    </row>
    <row r="576" spans="2:14" ht="37.5">
      <c r="B576" s="774">
        <v>312</v>
      </c>
      <c r="C576" s="770" t="s">
        <v>380</v>
      </c>
      <c r="D576" s="770" t="s">
        <v>2271</v>
      </c>
      <c r="E576" s="770" t="s">
        <v>1017</v>
      </c>
      <c r="F576" s="770" t="s">
        <v>557</v>
      </c>
      <c r="G576" s="770">
        <v>117</v>
      </c>
      <c r="H576" s="770">
        <v>183</v>
      </c>
      <c r="I576" s="771">
        <v>0.63900000000000001</v>
      </c>
      <c r="J576" s="770" t="s">
        <v>496</v>
      </c>
      <c r="K576" s="770" t="s">
        <v>497</v>
      </c>
      <c r="L576" s="770" t="s">
        <v>2734</v>
      </c>
      <c r="M576" s="772">
        <v>0</v>
      </c>
      <c r="N576" s="772">
        <v>0</v>
      </c>
    </row>
    <row r="577" spans="2:14" ht="37.5">
      <c r="B577" s="774">
        <v>312</v>
      </c>
      <c r="C577" s="770" t="s">
        <v>380</v>
      </c>
      <c r="D577" s="770" t="s">
        <v>2272</v>
      </c>
      <c r="E577" s="770" t="s">
        <v>1018</v>
      </c>
      <c r="F577" s="770" t="s">
        <v>512</v>
      </c>
      <c r="G577" s="770">
        <v>178</v>
      </c>
      <c r="H577" s="770">
        <v>242</v>
      </c>
      <c r="I577" s="771">
        <v>0.73599999999999999</v>
      </c>
      <c r="J577" s="770" t="s">
        <v>496</v>
      </c>
      <c r="K577" s="770" t="s">
        <v>518</v>
      </c>
      <c r="L577" s="770" t="s">
        <v>2735</v>
      </c>
      <c r="M577" s="772">
        <v>97510</v>
      </c>
      <c r="N577" s="772">
        <v>547</v>
      </c>
    </row>
    <row r="578" spans="2:14" ht="37.5">
      <c r="B578" s="774">
        <v>312</v>
      </c>
      <c r="C578" s="770" t="s">
        <v>380</v>
      </c>
      <c r="D578" s="770" t="s">
        <v>2273</v>
      </c>
      <c r="E578" s="770" t="s">
        <v>1533</v>
      </c>
      <c r="F578" s="770" t="s">
        <v>557</v>
      </c>
      <c r="G578" s="770"/>
      <c r="H578" s="770"/>
      <c r="I578" s="770"/>
      <c r="J578" s="770" t="s">
        <v>496</v>
      </c>
      <c r="K578" s="770" t="s">
        <v>624</v>
      </c>
      <c r="L578" s="770" t="s">
        <v>2734</v>
      </c>
      <c r="M578" s="772">
        <v>5080</v>
      </c>
      <c r="N578" s="772">
        <v>317</v>
      </c>
    </row>
    <row r="579" spans="2:14">
      <c r="B579" s="773"/>
      <c r="C579" s="773"/>
      <c r="D579" s="773"/>
      <c r="E579" s="773"/>
      <c r="F579" s="773"/>
      <c r="G579" s="773"/>
      <c r="H579" s="773"/>
      <c r="I579" s="773"/>
      <c r="J579" s="773"/>
      <c r="K579" s="773"/>
      <c r="L579" s="773"/>
      <c r="M579" s="773"/>
      <c r="N579" s="773"/>
    </row>
    <row r="580" spans="2:14" ht="50">
      <c r="B580" s="774">
        <v>314</v>
      </c>
      <c r="C580" s="770" t="s">
        <v>381</v>
      </c>
      <c r="D580" s="770" t="s">
        <v>2276</v>
      </c>
      <c r="E580" s="770" t="s">
        <v>1019</v>
      </c>
      <c r="F580" s="770" t="s">
        <v>623</v>
      </c>
      <c r="G580" s="770">
        <v>166</v>
      </c>
      <c r="H580" s="770">
        <v>234</v>
      </c>
      <c r="I580" s="771">
        <v>0.70899999999999996</v>
      </c>
      <c r="J580" s="770" t="s">
        <v>496</v>
      </c>
      <c r="K580" s="770" t="s">
        <v>518</v>
      </c>
      <c r="L580" s="770" t="s">
        <v>2734</v>
      </c>
      <c r="M580" s="772">
        <v>50394</v>
      </c>
      <c r="N580" s="772">
        <v>303</v>
      </c>
    </row>
    <row r="581" spans="2:14">
      <c r="B581" s="773"/>
      <c r="C581" s="773"/>
      <c r="D581" s="773"/>
      <c r="E581" s="773"/>
      <c r="F581" s="773"/>
      <c r="G581" s="773"/>
      <c r="H581" s="773"/>
      <c r="I581" s="773"/>
      <c r="J581" s="773"/>
      <c r="K581" s="773"/>
      <c r="L581" s="773"/>
      <c r="M581" s="773"/>
      <c r="N581" s="773"/>
    </row>
    <row r="582" spans="2:14" ht="50">
      <c r="B582" s="774">
        <v>316</v>
      </c>
      <c r="C582" s="770" t="s">
        <v>382</v>
      </c>
      <c r="D582" s="770" t="s">
        <v>2278</v>
      </c>
      <c r="E582" s="770" t="s">
        <v>1020</v>
      </c>
      <c r="F582" s="770" t="s">
        <v>623</v>
      </c>
      <c r="G582" s="770">
        <v>66</v>
      </c>
      <c r="H582" s="770">
        <v>133</v>
      </c>
      <c r="I582" s="771">
        <v>0.496</v>
      </c>
      <c r="J582" s="770" t="s">
        <v>496</v>
      </c>
      <c r="K582" s="770" t="s">
        <v>624</v>
      </c>
      <c r="L582" s="770" t="s">
        <v>2734</v>
      </c>
      <c r="M582" s="772">
        <v>49511</v>
      </c>
      <c r="N582" s="772">
        <v>750</v>
      </c>
    </row>
    <row r="583" spans="2:14">
      <c r="B583" s="773"/>
      <c r="C583" s="773"/>
      <c r="D583" s="773"/>
      <c r="E583" s="773"/>
      <c r="F583" s="773"/>
      <c r="G583" s="773"/>
      <c r="H583" s="773"/>
      <c r="I583" s="773"/>
      <c r="J583" s="773"/>
      <c r="K583" s="773"/>
      <c r="L583" s="773"/>
      <c r="M583" s="773"/>
      <c r="N583" s="773"/>
    </row>
    <row r="584" spans="2:14" ht="37.5">
      <c r="B584" s="774">
        <v>321</v>
      </c>
      <c r="C584" s="770" t="s">
        <v>383</v>
      </c>
      <c r="D584" s="770" t="s">
        <v>2280</v>
      </c>
      <c r="E584" s="770" t="s">
        <v>1021</v>
      </c>
      <c r="F584" s="770" t="s">
        <v>1022</v>
      </c>
      <c r="G584" s="770">
        <v>412</v>
      </c>
      <c r="H584" s="770">
        <v>1189</v>
      </c>
      <c r="I584" s="771">
        <v>0.34699999999999998</v>
      </c>
      <c r="J584" s="770" t="s">
        <v>496</v>
      </c>
      <c r="K584" s="770" t="s">
        <v>497</v>
      </c>
      <c r="L584" s="770" t="s">
        <v>2734</v>
      </c>
      <c r="M584" s="772">
        <v>0</v>
      </c>
      <c r="N584" s="772">
        <v>0</v>
      </c>
    </row>
    <row r="585" spans="2:14" ht="37.5">
      <c r="B585" s="774">
        <v>321</v>
      </c>
      <c r="C585" s="770" t="s">
        <v>383</v>
      </c>
      <c r="D585" s="770" t="s">
        <v>2281</v>
      </c>
      <c r="E585" s="770" t="s">
        <v>1023</v>
      </c>
      <c r="F585" s="770" t="s">
        <v>504</v>
      </c>
      <c r="G585" s="770">
        <v>303</v>
      </c>
      <c r="H585" s="770">
        <v>1073</v>
      </c>
      <c r="I585" s="771">
        <v>0.28199999999999997</v>
      </c>
      <c r="J585" s="770" t="s">
        <v>501</v>
      </c>
      <c r="K585" s="770" t="s">
        <v>497</v>
      </c>
      <c r="L585" s="770" t="s">
        <v>2734</v>
      </c>
      <c r="M585" s="772">
        <v>0</v>
      </c>
      <c r="N585" s="772">
        <v>0</v>
      </c>
    </row>
    <row r="586" spans="2:14" ht="37.5">
      <c r="B586" s="774">
        <v>321</v>
      </c>
      <c r="C586" s="770" t="s">
        <v>383</v>
      </c>
      <c r="D586" s="770" t="s">
        <v>2282</v>
      </c>
      <c r="E586" s="770" t="s">
        <v>1024</v>
      </c>
      <c r="F586" s="770" t="s">
        <v>1025</v>
      </c>
      <c r="G586" s="770">
        <v>339</v>
      </c>
      <c r="H586" s="770">
        <v>827</v>
      </c>
      <c r="I586" s="771">
        <v>0.41</v>
      </c>
      <c r="J586" s="770" t="s">
        <v>496</v>
      </c>
      <c r="K586" s="770" t="s">
        <v>518</v>
      </c>
      <c r="L586" s="770" t="s">
        <v>2732</v>
      </c>
      <c r="M586" s="772">
        <v>221297</v>
      </c>
      <c r="N586" s="772">
        <v>652</v>
      </c>
    </row>
    <row r="587" spans="2:14" ht="37.5">
      <c r="B587" s="774">
        <v>321</v>
      </c>
      <c r="C587" s="770" t="s">
        <v>383</v>
      </c>
      <c r="D587" s="770" t="s">
        <v>2283</v>
      </c>
      <c r="E587" s="770" t="s">
        <v>1026</v>
      </c>
      <c r="F587" s="770" t="s">
        <v>693</v>
      </c>
      <c r="G587" s="770">
        <v>203</v>
      </c>
      <c r="H587" s="770">
        <v>419</v>
      </c>
      <c r="I587" s="771">
        <v>0.48399999999999999</v>
      </c>
      <c r="J587" s="770" t="s">
        <v>496</v>
      </c>
      <c r="K587" s="770" t="s">
        <v>518</v>
      </c>
      <c r="L587" s="770" t="s">
        <v>2732</v>
      </c>
      <c r="M587" s="772">
        <v>102400</v>
      </c>
      <c r="N587" s="772">
        <v>504</v>
      </c>
    </row>
    <row r="588" spans="2:14" ht="37.5">
      <c r="B588" s="774">
        <v>321</v>
      </c>
      <c r="C588" s="770" t="s">
        <v>383</v>
      </c>
      <c r="D588" s="770" t="s">
        <v>2284</v>
      </c>
      <c r="E588" s="770" t="s">
        <v>806</v>
      </c>
      <c r="F588" s="770" t="s">
        <v>693</v>
      </c>
      <c r="G588" s="770">
        <v>148</v>
      </c>
      <c r="H588" s="770">
        <v>349</v>
      </c>
      <c r="I588" s="771">
        <v>0.42399999999999999</v>
      </c>
      <c r="J588" s="770" t="s">
        <v>496</v>
      </c>
      <c r="K588" s="770" t="s">
        <v>518</v>
      </c>
      <c r="L588" s="770" t="s">
        <v>2732</v>
      </c>
      <c r="M588" s="772">
        <v>74672</v>
      </c>
      <c r="N588" s="772">
        <v>504</v>
      </c>
    </row>
    <row r="589" spans="2:14" ht="37.5">
      <c r="B589" s="774">
        <v>321</v>
      </c>
      <c r="C589" s="770" t="s">
        <v>383</v>
      </c>
      <c r="D589" s="770" t="s">
        <v>2285</v>
      </c>
      <c r="E589" s="770" t="s">
        <v>527</v>
      </c>
      <c r="F589" s="770" t="s">
        <v>693</v>
      </c>
      <c r="G589" s="770">
        <v>141</v>
      </c>
      <c r="H589" s="770">
        <v>328</v>
      </c>
      <c r="I589" s="771">
        <v>0.43</v>
      </c>
      <c r="J589" s="770" t="s">
        <v>496</v>
      </c>
      <c r="K589" s="770" t="s">
        <v>518</v>
      </c>
      <c r="L589" s="770" t="s">
        <v>2732</v>
      </c>
      <c r="M589" s="772">
        <v>71183</v>
      </c>
      <c r="N589" s="772">
        <v>504</v>
      </c>
    </row>
    <row r="590" spans="2:14" ht="37.5">
      <c r="B590" s="774">
        <v>321</v>
      </c>
      <c r="C590" s="770" t="s">
        <v>383</v>
      </c>
      <c r="D590" s="770" t="s">
        <v>2286</v>
      </c>
      <c r="E590" s="770" t="s">
        <v>1027</v>
      </c>
      <c r="F590" s="770" t="s">
        <v>693</v>
      </c>
      <c r="G590" s="770">
        <v>167</v>
      </c>
      <c r="H590" s="770">
        <v>374</v>
      </c>
      <c r="I590" s="771">
        <v>0.44700000000000001</v>
      </c>
      <c r="J590" s="770" t="s">
        <v>496</v>
      </c>
      <c r="K590" s="770" t="s">
        <v>518</v>
      </c>
      <c r="L590" s="770" t="s">
        <v>2732</v>
      </c>
      <c r="M590" s="772">
        <v>84243</v>
      </c>
      <c r="N590" s="772">
        <v>504</v>
      </c>
    </row>
    <row r="591" spans="2:14" ht="37.5">
      <c r="B591" s="774">
        <v>321</v>
      </c>
      <c r="C591" s="770" t="s">
        <v>383</v>
      </c>
      <c r="D591" s="770" t="s">
        <v>2287</v>
      </c>
      <c r="E591" s="770" t="s">
        <v>1028</v>
      </c>
      <c r="F591" s="770" t="s">
        <v>693</v>
      </c>
      <c r="G591" s="770">
        <v>92</v>
      </c>
      <c r="H591" s="770">
        <v>203</v>
      </c>
      <c r="I591" s="771">
        <v>0.45300000000000001</v>
      </c>
      <c r="J591" s="770" t="s">
        <v>496</v>
      </c>
      <c r="K591" s="770" t="s">
        <v>518</v>
      </c>
      <c r="L591" s="770" t="s">
        <v>2732</v>
      </c>
      <c r="M591" s="772">
        <v>46425</v>
      </c>
      <c r="N591" s="772">
        <v>504</v>
      </c>
    </row>
    <row r="592" spans="2:14" ht="25">
      <c r="B592" s="774">
        <v>321</v>
      </c>
      <c r="C592" s="770" t="s">
        <v>383</v>
      </c>
      <c r="D592" s="770" t="s">
        <v>2288</v>
      </c>
      <c r="E592" s="770" t="s">
        <v>1029</v>
      </c>
      <c r="F592" s="770" t="s">
        <v>693</v>
      </c>
      <c r="G592" s="770">
        <v>168</v>
      </c>
      <c r="H592" s="770">
        <v>333</v>
      </c>
      <c r="I592" s="771">
        <v>0.505</v>
      </c>
      <c r="J592" s="770" t="s">
        <v>496</v>
      </c>
      <c r="K592" s="770" t="s">
        <v>518</v>
      </c>
      <c r="L592" s="770" t="s">
        <v>2734</v>
      </c>
      <c r="M592" s="772">
        <v>84741</v>
      </c>
      <c r="N592" s="772">
        <v>504</v>
      </c>
    </row>
    <row r="593" spans="2:14" ht="37.5">
      <c r="B593" s="774">
        <v>321</v>
      </c>
      <c r="C593" s="770" t="s">
        <v>383</v>
      </c>
      <c r="D593" s="770" t="s">
        <v>2289</v>
      </c>
      <c r="E593" s="770" t="s">
        <v>2746</v>
      </c>
      <c r="F593" s="770" t="s">
        <v>557</v>
      </c>
      <c r="G593" s="770">
        <v>58</v>
      </c>
      <c r="H593" s="770">
        <v>87</v>
      </c>
      <c r="I593" s="771">
        <v>0.66700000000000004</v>
      </c>
      <c r="J593" s="770" t="s">
        <v>496</v>
      </c>
      <c r="K593" s="770" t="s">
        <v>497</v>
      </c>
      <c r="L593" s="770" t="s">
        <v>2732</v>
      </c>
      <c r="M593" s="772">
        <v>0</v>
      </c>
      <c r="N593" s="772">
        <v>0</v>
      </c>
    </row>
    <row r="594" spans="2:14">
      <c r="B594" s="773"/>
      <c r="C594" s="773"/>
      <c r="D594" s="773"/>
      <c r="E594" s="773"/>
      <c r="F594" s="773"/>
      <c r="G594" s="773"/>
      <c r="H594" s="773"/>
      <c r="I594" s="773"/>
      <c r="J594" s="773"/>
      <c r="K594" s="773"/>
      <c r="L594" s="773"/>
      <c r="M594" s="773"/>
      <c r="N594" s="773"/>
    </row>
    <row r="595" spans="2:14" ht="37.5">
      <c r="B595" s="774">
        <v>322</v>
      </c>
      <c r="C595" s="770" t="s">
        <v>384</v>
      </c>
      <c r="D595" s="770" t="s">
        <v>2292</v>
      </c>
      <c r="E595" s="770" t="s">
        <v>1030</v>
      </c>
      <c r="F595" s="770" t="s">
        <v>557</v>
      </c>
      <c r="G595" s="770">
        <v>215</v>
      </c>
      <c r="H595" s="770">
        <v>539</v>
      </c>
      <c r="I595" s="771">
        <v>0.39900000000000002</v>
      </c>
      <c r="J595" s="770" t="s">
        <v>496</v>
      </c>
      <c r="K595" s="770" t="s">
        <v>497</v>
      </c>
      <c r="L595" s="770" t="s">
        <v>2732</v>
      </c>
      <c r="M595" s="772">
        <v>0</v>
      </c>
      <c r="N595" s="772">
        <v>0</v>
      </c>
    </row>
    <row r="596" spans="2:14" ht="37.5">
      <c r="B596" s="774">
        <v>322</v>
      </c>
      <c r="C596" s="770" t="s">
        <v>384</v>
      </c>
      <c r="D596" s="770" t="s">
        <v>2293</v>
      </c>
      <c r="E596" s="770" t="s">
        <v>1031</v>
      </c>
      <c r="F596" s="770" t="s">
        <v>618</v>
      </c>
      <c r="G596" s="770">
        <v>170</v>
      </c>
      <c r="H596" s="770">
        <v>340</v>
      </c>
      <c r="I596" s="771">
        <v>0.5</v>
      </c>
      <c r="J596" s="770" t="s">
        <v>496</v>
      </c>
      <c r="K596" s="770" t="s">
        <v>518</v>
      </c>
      <c r="L596" s="770" t="s">
        <v>2732</v>
      </c>
      <c r="M596" s="772">
        <v>76158</v>
      </c>
      <c r="N596" s="772">
        <v>447</v>
      </c>
    </row>
    <row r="597" spans="2:14" ht="37.5">
      <c r="B597" s="774">
        <v>322</v>
      </c>
      <c r="C597" s="770" t="s">
        <v>384</v>
      </c>
      <c r="D597" s="770" t="s">
        <v>2294</v>
      </c>
      <c r="E597" s="770" t="s">
        <v>1032</v>
      </c>
      <c r="F597" s="770" t="s">
        <v>596</v>
      </c>
      <c r="G597" s="770">
        <v>109</v>
      </c>
      <c r="H597" s="770">
        <v>240</v>
      </c>
      <c r="I597" s="771">
        <v>0.45400000000000001</v>
      </c>
      <c r="J597" s="770" t="s">
        <v>496</v>
      </c>
      <c r="K597" s="770" t="s">
        <v>497</v>
      </c>
      <c r="L597" s="770" t="s">
        <v>2732</v>
      </c>
      <c r="M597" s="772">
        <v>0</v>
      </c>
      <c r="N597" s="772">
        <v>0</v>
      </c>
    </row>
    <row r="598" spans="2:14" ht="37.5">
      <c r="B598" s="774">
        <v>322</v>
      </c>
      <c r="C598" s="770" t="s">
        <v>384</v>
      </c>
      <c r="D598" s="770" t="s">
        <v>2295</v>
      </c>
      <c r="E598" s="770" t="s">
        <v>1033</v>
      </c>
      <c r="F598" s="770" t="s">
        <v>612</v>
      </c>
      <c r="G598" s="770">
        <v>227</v>
      </c>
      <c r="H598" s="770">
        <v>439</v>
      </c>
      <c r="I598" s="771">
        <v>0.51700000000000002</v>
      </c>
      <c r="J598" s="770" t="s">
        <v>496</v>
      </c>
      <c r="K598" s="770" t="s">
        <v>518</v>
      </c>
      <c r="L598" s="770" t="s">
        <v>2734</v>
      </c>
      <c r="M598" s="772">
        <v>101574</v>
      </c>
      <c r="N598" s="772">
        <v>447</v>
      </c>
    </row>
    <row r="599" spans="2:14" ht="37.5">
      <c r="B599" s="774">
        <v>322</v>
      </c>
      <c r="C599" s="770" t="s">
        <v>384</v>
      </c>
      <c r="D599" s="770" t="s">
        <v>2296</v>
      </c>
      <c r="E599" s="770" t="s">
        <v>1034</v>
      </c>
      <c r="F599" s="770" t="s">
        <v>557</v>
      </c>
      <c r="G599" s="770">
        <v>11</v>
      </c>
      <c r="H599" s="770">
        <v>21</v>
      </c>
      <c r="I599" s="771">
        <v>0.52400000000000002</v>
      </c>
      <c r="J599" s="770" t="s">
        <v>496</v>
      </c>
      <c r="K599" s="770" t="s">
        <v>497</v>
      </c>
      <c r="L599" s="770" t="s">
        <v>2732</v>
      </c>
      <c r="M599" s="772">
        <v>0</v>
      </c>
      <c r="N599" s="772">
        <v>0</v>
      </c>
    </row>
    <row r="600" spans="2:14">
      <c r="B600" s="773"/>
      <c r="C600" s="773"/>
      <c r="D600" s="773"/>
      <c r="E600" s="773"/>
      <c r="F600" s="773"/>
      <c r="G600" s="773"/>
      <c r="H600" s="773"/>
      <c r="I600" s="773"/>
      <c r="J600" s="773"/>
      <c r="K600" s="773"/>
      <c r="L600" s="773"/>
      <c r="M600" s="773"/>
      <c r="N600" s="773"/>
    </row>
    <row r="601" spans="2:14" ht="37.5">
      <c r="B601" s="774">
        <v>331</v>
      </c>
      <c r="C601" s="770" t="s">
        <v>385</v>
      </c>
      <c r="D601" s="770" t="s">
        <v>2298</v>
      </c>
      <c r="E601" s="770" t="s">
        <v>1035</v>
      </c>
      <c r="F601" s="770" t="s">
        <v>554</v>
      </c>
      <c r="G601" s="770">
        <v>269</v>
      </c>
      <c r="H601" s="770">
        <v>404</v>
      </c>
      <c r="I601" s="771">
        <v>0.66600000000000004</v>
      </c>
      <c r="J601" s="770" t="s">
        <v>496</v>
      </c>
      <c r="K601" s="770" t="s">
        <v>497</v>
      </c>
      <c r="L601" s="770" t="s">
        <v>2734</v>
      </c>
      <c r="M601" s="772">
        <v>0</v>
      </c>
      <c r="N601" s="772">
        <v>0</v>
      </c>
    </row>
    <row r="602" spans="2:14" ht="37.5">
      <c r="B602" s="774">
        <v>331</v>
      </c>
      <c r="C602" s="770" t="s">
        <v>385</v>
      </c>
      <c r="D602" s="770" t="s">
        <v>2299</v>
      </c>
      <c r="E602" s="770" t="s">
        <v>1036</v>
      </c>
      <c r="F602" s="770" t="s">
        <v>554</v>
      </c>
      <c r="G602" s="770">
        <v>275</v>
      </c>
      <c r="H602" s="770">
        <v>442</v>
      </c>
      <c r="I602" s="771">
        <v>0.622</v>
      </c>
      <c r="J602" s="770" t="s">
        <v>496</v>
      </c>
      <c r="K602" s="770" t="s">
        <v>497</v>
      </c>
      <c r="L602" s="770" t="s">
        <v>2734</v>
      </c>
      <c r="M602" s="772">
        <v>0</v>
      </c>
      <c r="N602" s="772">
        <v>0</v>
      </c>
    </row>
    <row r="603" spans="2:14" ht="37.5">
      <c r="B603" s="774">
        <v>331</v>
      </c>
      <c r="C603" s="770" t="s">
        <v>385</v>
      </c>
      <c r="D603" s="770" t="s">
        <v>2300</v>
      </c>
      <c r="E603" s="770" t="s">
        <v>1037</v>
      </c>
      <c r="F603" s="770" t="s">
        <v>557</v>
      </c>
      <c r="G603" s="770">
        <v>507</v>
      </c>
      <c r="H603" s="770">
        <v>1015</v>
      </c>
      <c r="I603" s="771">
        <v>0.5</v>
      </c>
      <c r="J603" s="770" t="s">
        <v>496</v>
      </c>
      <c r="K603" s="770" t="s">
        <v>497</v>
      </c>
      <c r="L603" s="770" t="s">
        <v>2734</v>
      </c>
      <c r="M603" s="772">
        <v>0</v>
      </c>
      <c r="N603" s="772">
        <v>0</v>
      </c>
    </row>
    <row r="604" spans="2:14" ht="37.5">
      <c r="B604" s="774">
        <v>331</v>
      </c>
      <c r="C604" s="770" t="s">
        <v>385</v>
      </c>
      <c r="D604" s="770" t="s">
        <v>2301</v>
      </c>
      <c r="E604" s="770" t="s">
        <v>1038</v>
      </c>
      <c r="F604" s="770" t="s">
        <v>564</v>
      </c>
      <c r="G604" s="770">
        <v>340</v>
      </c>
      <c r="H604" s="770">
        <v>518</v>
      </c>
      <c r="I604" s="771">
        <v>0.65600000000000003</v>
      </c>
      <c r="J604" s="770" t="s">
        <v>496</v>
      </c>
      <c r="K604" s="770" t="s">
        <v>518</v>
      </c>
      <c r="L604" s="770" t="s">
        <v>2734</v>
      </c>
      <c r="M604" s="772">
        <v>158820</v>
      </c>
      <c r="N604" s="772">
        <v>467</v>
      </c>
    </row>
    <row r="605" spans="2:14" ht="37.5">
      <c r="B605" s="774">
        <v>331</v>
      </c>
      <c r="C605" s="770" t="s">
        <v>385</v>
      </c>
      <c r="D605" s="770" t="s">
        <v>2302</v>
      </c>
      <c r="E605" s="770" t="s">
        <v>659</v>
      </c>
      <c r="F605" s="770" t="s">
        <v>564</v>
      </c>
      <c r="G605" s="770">
        <v>352</v>
      </c>
      <c r="H605" s="770">
        <v>507</v>
      </c>
      <c r="I605" s="771">
        <v>0.69399999999999995</v>
      </c>
      <c r="J605" s="770" t="s">
        <v>496</v>
      </c>
      <c r="K605" s="770" t="s">
        <v>518</v>
      </c>
      <c r="L605" s="770" t="s">
        <v>2734</v>
      </c>
      <c r="M605" s="772">
        <v>164425</v>
      </c>
      <c r="N605" s="772">
        <v>467</v>
      </c>
    </row>
    <row r="606" spans="2:14" ht="37.5">
      <c r="B606" s="774">
        <v>331</v>
      </c>
      <c r="C606" s="770" t="s">
        <v>385</v>
      </c>
      <c r="D606" s="770" t="s">
        <v>2303</v>
      </c>
      <c r="E606" s="770" t="s">
        <v>1039</v>
      </c>
      <c r="F606" s="770" t="s">
        <v>564</v>
      </c>
      <c r="G606" s="770">
        <v>183</v>
      </c>
      <c r="H606" s="770">
        <v>319</v>
      </c>
      <c r="I606" s="771">
        <v>0.57399999999999995</v>
      </c>
      <c r="J606" s="770" t="s">
        <v>496</v>
      </c>
      <c r="K606" s="770" t="s">
        <v>518</v>
      </c>
      <c r="L606" s="770" t="s">
        <v>2732</v>
      </c>
      <c r="M606" s="772">
        <v>85480</v>
      </c>
      <c r="N606" s="772">
        <v>467</v>
      </c>
    </row>
    <row r="607" spans="2:14" ht="37.5">
      <c r="B607" s="774">
        <v>331</v>
      </c>
      <c r="C607" s="770" t="s">
        <v>385</v>
      </c>
      <c r="D607" s="770" t="s">
        <v>2304</v>
      </c>
      <c r="E607" s="770" t="s">
        <v>1040</v>
      </c>
      <c r="F607" s="770" t="s">
        <v>564</v>
      </c>
      <c r="G607" s="770">
        <v>540</v>
      </c>
      <c r="H607" s="770">
        <v>703</v>
      </c>
      <c r="I607" s="771">
        <v>0.76800000000000002</v>
      </c>
      <c r="J607" s="770" t="s">
        <v>496</v>
      </c>
      <c r="K607" s="770" t="s">
        <v>518</v>
      </c>
      <c r="L607" s="770" t="s">
        <v>2734</v>
      </c>
      <c r="M607" s="772">
        <v>252240</v>
      </c>
      <c r="N607" s="772">
        <v>467</v>
      </c>
    </row>
    <row r="608" spans="2:14" ht="37.5">
      <c r="B608" s="774">
        <v>331</v>
      </c>
      <c r="C608" s="770" t="s">
        <v>385</v>
      </c>
      <c r="D608" s="770" t="s">
        <v>2305</v>
      </c>
      <c r="E608" s="770" t="s">
        <v>1041</v>
      </c>
      <c r="F608" s="770" t="s">
        <v>546</v>
      </c>
      <c r="G608" s="770">
        <v>145</v>
      </c>
      <c r="H608" s="770">
        <v>204</v>
      </c>
      <c r="I608" s="771">
        <v>0.71099999999999997</v>
      </c>
      <c r="J608" s="770" t="s">
        <v>496</v>
      </c>
      <c r="K608" s="770" t="s">
        <v>518</v>
      </c>
      <c r="L608" s="770" t="s">
        <v>2735</v>
      </c>
      <c r="M608" s="772">
        <v>67730</v>
      </c>
      <c r="N608" s="772">
        <v>467</v>
      </c>
    </row>
    <row r="609" spans="2:14">
      <c r="B609" s="773"/>
      <c r="C609" s="773"/>
      <c r="D609" s="773"/>
      <c r="E609" s="773"/>
      <c r="F609" s="773"/>
      <c r="G609" s="773"/>
      <c r="H609" s="773"/>
      <c r="I609" s="773"/>
      <c r="J609" s="773"/>
      <c r="K609" s="773"/>
      <c r="L609" s="773"/>
      <c r="M609" s="773"/>
      <c r="N609" s="773"/>
    </row>
    <row r="610" spans="2:14" ht="37.5">
      <c r="B610" s="774">
        <v>340</v>
      </c>
      <c r="C610" s="770" t="s">
        <v>386</v>
      </c>
      <c r="D610" s="770" t="s">
        <v>2312</v>
      </c>
      <c r="E610" s="770" t="s">
        <v>1042</v>
      </c>
      <c r="F610" s="770" t="s">
        <v>495</v>
      </c>
      <c r="G610" s="770">
        <v>192</v>
      </c>
      <c r="H610" s="770">
        <v>534</v>
      </c>
      <c r="I610" s="771">
        <v>0.36</v>
      </c>
      <c r="J610" s="770" t="s">
        <v>496</v>
      </c>
      <c r="K610" s="770" t="s">
        <v>497</v>
      </c>
      <c r="L610" s="770" t="s">
        <v>2732</v>
      </c>
      <c r="M610" s="772">
        <v>0</v>
      </c>
      <c r="N610" s="772">
        <v>0</v>
      </c>
    </row>
    <row r="611" spans="2:14" ht="37.5">
      <c r="B611" s="774">
        <v>340</v>
      </c>
      <c r="C611" s="770" t="s">
        <v>386</v>
      </c>
      <c r="D611" s="770" t="s">
        <v>2313</v>
      </c>
      <c r="E611" s="770" t="s">
        <v>1043</v>
      </c>
      <c r="F611" s="770" t="s">
        <v>495</v>
      </c>
      <c r="G611" s="770">
        <v>220</v>
      </c>
      <c r="H611" s="770">
        <v>554</v>
      </c>
      <c r="I611" s="771">
        <v>0.39700000000000002</v>
      </c>
      <c r="J611" s="770" t="s">
        <v>496</v>
      </c>
      <c r="K611" s="770" t="s">
        <v>497</v>
      </c>
      <c r="L611" s="770" t="s">
        <v>2734</v>
      </c>
      <c r="M611" s="772">
        <v>0</v>
      </c>
      <c r="N611" s="772">
        <v>0</v>
      </c>
    </row>
    <row r="612" spans="2:14" ht="37.5">
      <c r="B612" s="774">
        <v>340</v>
      </c>
      <c r="C612" s="770" t="s">
        <v>386</v>
      </c>
      <c r="D612" s="770" t="s">
        <v>2314</v>
      </c>
      <c r="E612" s="770" t="s">
        <v>1044</v>
      </c>
      <c r="F612" s="770" t="s">
        <v>504</v>
      </c>
      <c r="G612" s="770">
        <v>250</v>
      </c>
      <c r="H612" s="770">
        <v>1008</v>
      </c>
      <c r="I612" s="771">
        <v>0.248</v>
      </c>
      <c r="J612" s="770" t="s">
        <v>501</v>
      </c>
      <c r="K612" s="770" t="s">
        <v>497</v>
      </c>
      <c r="L612" s="770" t="s">
        <v>2734</v>
      </c>
      <c r="M612" s="772">
        <v>0</v>
      </c>
      <c r="N612" s="772">
        <v>0</v>
      </c>
    </row>
    <row r="613" spans="2:14" ht="37.5">
      <c r="B613" s="774">
        <v>340</v>
      </c>
      <c r="C613" s="770" t="s">
        <v>386</v>
      </c>
      <c r="D613" s="770" t="s">
        <v>2318</v>
      </c>
      <c r="E613" s="770" t="s">
        <v>786</v>
      </c>
      <c r="F613" s="770" t="s">
        <v>512</v>
      </c>
      <c r="G613" s="770">
        <v>150</v>
      </c>
      <c r="H613" s="770">
        <v>392</v>
      </c>
      <c r="I613" s="771">
        <v>0.38300000000000001</v>
      </c>
      <c r="J613" s="770" t="s">
        <v>496</v>
      </c>
      <c r="K613" s="770" t="s">
        <v>624</v>
      </c>
      <c r="L613" s="770" t="s">
        <v>2732</v>
      </c>
      <c r="M613" s="772">
        <v>83709</v>
      </c>
      <c r="N613" s="772">
        <v>558</v>
      </c>
    </row>
    <row r="614" spans="2:14" ht="37.5">
      <c r="B614" s="774">
        <v>340</v>
      </c>
      <c r="C614" s="770" t="s">
        <v>386</v>
      </c>
      <c r="D614" s="770" t="s">
        <v>2319</v>
      </c>
      <c r="E614" s="770" t="s">
        <v>1045</v>
      </c>
      <c r="F614" s="770" t="s">
        <v>512</v>
      </c>
      <c r="G614" s="770">
        <v>139</v>
      </c>
      <c r="H614" s="770">
        <v>442</v>
      </c>
      <c r="I614" s="771">
        <v>0.314</v>
      </c>
      <c r="J614" s="770" t="s">
        <v>501</v>
      </c>
      <c r="K614" s="770" t="s">
        <v>497</v>
      </c>
      <c r="L614" s="770" t="s">
        <v>2732</v>
      </c>
      <c r="M614" s="772">
        <v>0</v>
      </c>
      <c r="N614" s="772">
        <v>0</v>
      </c>
    </row>
    <row r="615" spans="2:14" ht="37.5">
      <c r="B615" s="774">
        <v>340</v>
      </c>
      <c r="C615" s="770" t="s">
        <v>386</v>
      </c>
      <c r="D615" s="770" t="s">
        <v>2320</v>
      </c>
      <c r="E615" s="770" t="s">
        <v>1046</v>
      </c>
      <c r="F615" s="770" t="s">
        <v>512</v>
      </c>
      <c r="G615" s="770">
        <v>202</v>
      </c>
      <c r="H615" s="770">
        <v>330</v>
      </c>
      <c r="I615" s="771">
        <v>0.61199999999999999</v>
      </c>
      <c r="J615" s="770" t="s">
        <v>496</v>
      </c>
      <c r="K615" s="770" t="s">
        <v>518</v>
      </c>
      <c r="L615" s="770" t="s">
        <v>2734</v>
      </c>
      <c r="M615" s="772">
        <v>118033</v>
      </c>
      <c r="N615" s="772">
        <v>584</v>
      </c>
    </row>
    <row r="616" spans="2:14" ht="37.5">
      <c r="B616" s="774">
        <v>340</v>
      </c>
      <c r="C616" s="770" t="s">
        <v>386</v>
      </c>
      <c r="D616" s="770" t="s">
        <v>2321</v>
      </c>
      <c r="E616" s="770" t="s">
        <v>1047</v>
      </c>
      <c r="F616" s="770" t="s">
        <v>512</v>
      </c>
      <c r="G616" s="770">
        <v>168</v>
      </c>
      <c r="H616" s="770">
        <v>323</v>
      </c>
      <c r="I616" s="771">
        <v>0.52</v>
      </c>
      <c r="J616" s="770" t="s">
        <v>496</v>
      </c>
      <c r="K616" s="770" t="s">
        <v>624</v>
      </c>
      <c r="L616" s="770" t="s">
        <v>2734</v>
      </c>
      <c r="M616" s="772">
        <v>96090</v>
      </c>
      <c r="N616" s="772">
        <v>571</v>
      </c>
    </row>
    <row r="617" spans="2:14" ht="37.5">
      <c r="B617" s="774">
        <v>340</v>
      </c>
      <c r="C617" s="770" t="s">
        <v>386</v>
      </c>
      <c r="D617" s="770" t="s">
        <v>2322</v>
      </c>
      <c r="E617" s="770" t="s">
        <v>1048</v>
      </c>
      <c r="F617" s="770" t="s">
        <v>512</v>
      </c>
      <c r="G617" s="770">
        <v>114</v>
      </c>
      <c r="H617" s="770">
        <v>332</v>
      </c>
      <c r="I617" s="771">
        <v>0.34300000000000003</v>
      </c>
      <c r="J617" s="770" t="s">
        <v>501</v>
      </c>
      <c r="K617" s="770" t="s">
        <v>497</v>
      </c>
      <c r="L617" s="770" t="s">
        <v>2732</v>
      </c>
      <c r="M617" s="772">
        <v>0</v>
      </c>
      <c r="N617" s="772">
        <v>0</v>
      </c>
    </row>
    <row r="618" spans="2:14" ht="37.5">
      <c r="B618" s="774">
        <v>340</v>
      </c>
      <c r="C618" s="770" t="s">
        <v>386</v>
      </c>
      <c r="D618" s="770" t="s">
        <v>2323</v>
      </c>
      <c r="E618" s="770" t="s">
        <v>1049</v>
      </c>
      <c r="F618" s="770" t="s">
        <v>512</v>
      </c>
      <c r="G618" s="770">
        <v>168</v>
      </c>
      <c r="H618" s="770">
        <v>327</v>
      </c>
      <c r="I618" s="771">
        <v>0.51400000000000001</v>
      </c>
      <c r="J618" s="770" t="s">
        <v>496</v>
      </c>
      <c r="K618" s="770" t="s">
        <v>624</v>
      </c>
      <c r="L618" s="770" t="s">
        <v>2734</v>
      </c>
      <c r="M618" s="772">
        <v>94296</v>
      </c>
      <c r="N618" s="772">
        <v>561</v>
      </c>
    </row>
    <row r="619" spans="2:14" ht="37.5">
      <c r="B619" s="774">
        <v>340</v>
      </c>
      <c r="C619" s="770" t="s">
        <v>386</v>
      </c>
      <c r="D619" s="770" t="s">
        <v>2324</v>
      </c>
      <c r="E619" s="770" t="s">
        <v>1050</v>
      </c>
      <c r="F619" s="770" t="s">
        <v>512</v>
      </c>
      <c r="G619" s="770">
        <v>159</v>
      </c>
      <c r="H619" s="770">
        <v>326</v>
      </c>
      <c r="I619" s="771">
        <v>0.48799999999999999</v>
      </c>
      <c r="J619" s="770" t="s">
        <v>496</v>
      </c>
      <c r="K619" s="770" t="s">
        <v>624</v>
      </c>
      <c r="L619" s="770" t="s">
        <v>2734</v>
      </c>
      <c r="M619" s="772">
        <v>88827</v>
      </c>
      <c r="N619" s="772">
        <v>558</v>
      </c>
    </row>
    <row r="620" spans="2:14" ht="50">
      <c r="B620" s="774">
        <v>340</v>
      </c>
      <c r="C620" s="770" t="s">
        <v>386</v>
      </c>
      <c r="D620" s="770" t="s">
        <v>2325</v>
      </c>
      <c r="E620" s="770" t="s">
        <v>1051</v>
      </c>
      <c r="F620" s="770" t="s">
        <v>557</v>
      </c>
      <c r="G620" s="770">
        <v>66</v>
      </c>
      <c r="H620" s="770">
        <v>108</v>
      </c>
      <c r="I620" s="771">
        <v>0.61099999999999999</v>
      </c>
      <c r="J620" s="770" t="s">
        <v>496</v>
      </c>
      <c r="K620" s="770" t="s">
        <v>497</v>
      </c>
      <c r="L620" s="770" t="s">
        <v>2734</v>
      </c>
      <c r="M620" s="772">
        <v>0</v>
      </c>
      <c r="N620" s="772">
        <v>0</v>
      </c>
    </row>
    <row r="621" spans="2:14">
      <c r="B621" s="773"/>
      <c r="C621" s="773"/>
      <c r="D621" s="773"/>
      <c r="E621" s="773"/>
      <c r="F621" s="773"/>
      <c r="G621" s="773"/>
      <c r="H621" s="773"/>
      <c r="I621" s="773"/>
      <c r="J621" s="773"/>
      <c r="K621" s="773"/>
      <c r="L621" s="773"/>
      <c r="M621" s="773"/>
      <c r="N621" s="773"/>
    </row>
    <row r="622" spans="2:14" ht="25">
      <c r="B622" s="774">
        <v>341</v>
      </c>
      <c r="C622" s="770" t="s">
        <v>387</v>
      </c>
      <c r="D622" s="770" t="s">
        <v>2330</v>
      </c>
      <c r="E622" s="770" t="s">
        <v>1052</v>
      </c>
      <c r="F622" s="770" t="s">
        <v>715</v>
      </c>
      <c r="G622" s="770">
        <v>210</v>
      </c>
      <c r="H622" s="770">
        <v>241</v>
      </c>
      <c r="I622" s="771">
        <v>0.871</v>
      </c>
      <c r="J622" s="770" t="s">
        <v>496</v>
      </c>
      <c r="K622" s="770" t="s">
        <v>518</v>
      </c>
      <c r="L622" s="770" t="s">
        <v>2733</v>
      </c>
      <c r="M622" s="772">
        <v>2000</v>
      </c>
      <c r="N622" s="772">
        <v>9</v>
      </c>
    </row>
    <row r="623" spans="2:14" ht="37.5">
      <c r="B623" s="774">
        <v>341</v>
      </c>
      <c r="C623" s="770" t="s">
        <v>387</v>
      </c>
      <c r="D623" s="770" t="s">
        <v>2331</v>
      </c>
      <c r="E623" s="770" t="s">
        <v>1053</v>
      </c>
      <c r="F623" s="770" t="s">
        <v>564</v>
      </c>
      <c r="G623" s="770">
        <v>267</v>
      </c>
      <c r="H623" s="770">
        <v>295</v>
      </c>
      <c r="I623" s="771">
        <v>0.90500000000000003</v>
      </c>
      <c r="J623" s="770" t="s">
        <v>496</v>
      </c>
      <c r="K623" s="770" t="s">
        <v>518</v>
      </c>
      <c r="L623" s="770" t="s">
        <v>2735</v>
      </c>
      <c r="M623" s="772">
        <v>83927</v>
      </c>
      <c r="N623" s="772">
        <v>314</v>
      </c>
    </row>
    <row r="624" spans="2:14">
      <c r="B624" s="773"/>
      <c r="C624" s="773"/>
      <c r="D624" s="773"/>
      <c r="E624" s="773"/>
      <c r="F624" s="773"/>
      <c r="G624" s="773"/>
      <c r="H624" s="773"/>
      <c r="I624" s="773"/>
      <c r="J624" s="773"/>
      <c r="K624" s="773"/>
      <c r="L624" s="773"/>
      <c r="M624" s="773"/>
      <c r="N624" s="773"/>
    </row>
    <row r="625" spans="2:14" ht="50">
      <c r="B625" s="774">
        <v>342</v>
      </c>
      <c r="C625" s="770" t="s">
        <v>388</v>
      </c>
      <c r="D625" s="770" t="s">
        <v>2333</v>
      </c>
      <c r="E625" s="770" t="s">
        <v>1054</v>
      </c>
      <c r="F625" s="770" t="s">
        <v>623</v>
      </c>
      <c r="G625" s="770">
        <v>54</v>
      </c>
      <c r="H625" s="770">
        <v>91</v>
      </c>
      <c r="I625" s="771">
        <v>0.59299999999999997</v>
      </c>
      <c r="J625" s="770" t="s">
        <v>496</v>
      </c>
      <c r="K625" s="770" t="s">
        <v>518</v>
      </c>
      <c r="L625" s="770" t="s">
        <v>2734</v>
      </c>
      <c r="M625" s="772">
        <v>25861</v>
      </c>
      <c r="N625" s="772">
        <v>478</v>
      </c>
    </row>
    <row r="626" spans="2:14">
      <c r="B626" s="773"/>
      <c r="C626" s="773"/>
      <c r="D626" s="773"/>
      <c r="E626" s="773"/>
      <c r="F626" s="773"/>
      <c r="G626" s="773"/>
      <c r="H626" s="773"/>
      <c r="I626" s="773"/>
      <c r="J626" s="773"/>
      <c r="K626" s="773"/>
      <c r="L626" s="773"/>
      <c r="M626" s="773"/>
      <c r="N626" s="773"/>
    </row>
    <row r="627" spans="2:14" ht="37.5">
      <c r="B627" s="774">
        <v>351</v>
      </c>
      <c r="C627" s="770" t="s">
        <v>389</v>
      </c>
      <c r="D627" s="770" t="s">
        <v>2335</v>
      </c>
      <c r="E627" s="770" t="s">
        <v>1055</v>
      </c>
      <c r="F627" s="770" t="s">
        <v>557</v>
      </c>
      <c r="G627" s="770">
        <v>106</v>
      </c>
      <c r="H627" s="770">
        <v>275</v>
      </c>
      <c r="I627" s="771">
        <v>0.38500000000000001</v>
      </c>
      <c r="J627" s="770" t="s">
        <v>496</v>
      </c>
      <c r="K627" s="770" t="s">
        <v>497</v>
      </c>
      <c r="L627" s="770" t="s">
        <v>2734</v>
      </c>
      <c r="M627" s="772">
        <v>0</v>
      </c>
      <c r="N627" s="772">
        <v>0</v>
      </c>
    </row>
    <row r="628" spans="2:14" ht="37.5">
      <c r="B628" s="774">
        <v>351</v>
      </c>
      <c r="C628" s="770" t="s">
        <v>389</v>
      </c>
      <c r="D628" s="770" t="s">
        <v>2338</v>
      </c>
      <c r="E628" s="770" t="s">
        <v>1057</v>
      </c>
      <c r="F628" s="770" t="s">
        <v>554</v>
      </c>
      <c r="G628" s="770">
        <v>109</v>
      </c>
      <c r="H628" s="770">
        <v>213</v>
      </c>
      <c r="I628" s="771">
        <v>0.51200000000000001</v>
      </c>
      <c r="J628" s="770" t="s">
        <v>496</v>
      </c>
      <c r="K628" s="770" t="s">
        <v>497</v>
      </c>
      <c r="L628" s="770" t="s">
        <v>2732</v>
      </c>
      <c r="M628" s="772">
        <v>0</v>
      </c>
      <c r="N628" s="772">
        <v>0</v>
      </c>
    </row>
    <row r="629" spans="2:14" ht="37.5">
      <c r="B629" s="774">
        <v>351</v>
      </c>
      <c r="C629" s="770" t="s">
        <v>389</v>
      </c>
      <c r="D629" s="770" t="s">
        <v>2339</v>
      </c>
      <c r="E629" s="770" t="s">
        <v>1058</v>
      </c>
      <c r="F629" s="770" t="s">
        <v>612</v>
      </c>
      <c r="G629" s="770"/>
      <c r="H629" s="770"/>
      <c r="I629" s="770"/>
      <c r="J629" s="770" t="s">
        <v>496</v>
      </c>
      <c r="K629" s="770" t="s">
        <v>497</v>
      </c>
      <c r="L629" s="770" t="s">
        <v>2734</v>
      </c>
      <c r="M629" s="772">
        <v>0</v>
      </c>
      <c r="N629" s="772">
        <v>0</v>
      </c>
    </row>
    <row r="630" spans="2:14" ht="37.5">
      <c r="B630" s="774">
        <v>351</v>
      </c>
      <c r="C630" s="770" t="s">
        <v>389</v>
      </c>
      <c r="D630" s="770" t="s">
        <v>2340</v>
      </c>
      <c r="E630" s="770" t="s">
        <v>1059</v>
      </c>
      <c r="F630" s="770" t="s">
        <v>564</v>
      </c>
      <c r="G630" s="770">
        <v>210</v>
      </c>
      <c r="H630" s="770">
        <v>421</v>
      </c>
      <c r="I630" s="771">
        <v>0.499</v>
      </c>
      <c r="J630" s="770" t="s">
        <v>496</v>
      </c>
      <c r="K630" s="770" t="s">
        <v>518</v>
      </c>
      <c r="L630" s="770" t="s">
        <v>2732</v>
      </c>
      <c r="M630" s="772">
        <v>118390</v>
      </c>
      <c r="N630" s="772">
        <v>563</v>
      </c>
    </row>
    <row r="631" spans="2:14">
      <c r="B631" s="773"/>
      <c r="C631" s="773"/>
      <c r="D631" s="773"/>
      <c r="E631" s="773"/>
      <c r="F631" s="773"/>
      <c r="G631" s="773"/>
      <c r="H631" s="773"/>
      <c r="I631" s="773"/>
      <c r="J631" s="773"/>
      <c r="K631" s="773"/>
      <c r="L631" s="773"/>
      <c r="M631" s="773"/>
      <c r="N631" s="773"/>
    </row>
    <row r="632" spans="2:14" ht="37.5">
      <c r="B632" s="774">
        <v>363</v>
      </c>
      <c r="C632" s="770" t="s">
        <v>390</v>
      </c>
      <c r="D632" s="770" t="s">
        <v>2342</v>
      </c>
      <c r="E632" s="770" t="s">
        <v>1060</v>
      </c>
      <c r="F632" s="770" t="s">
        <v>557</v>
      </c>
      <c r="G632" s="770">
        <v>132</v>
      </c>
      <c r="H632" s="770">
        <v>225</v>
      </c>
      <c r="I632" s="771">
        <v>0.58699999999999997</v>
      </c>
      <c r="J632" s="770" t="s">
        <v>496</v>
      </c>
      <c r="K632" s="770" t="s">
        <v>518</v>
      </c>
      <c r="L632" s="770" t="s">
        <v>2732</v>
      </c>
      <c r="M632" s="772">
        <v>15837</v>
      </c>
      <c r="N632" s="772">
        <v>119</v>
      </c>
    </row>
    <row r="633" spans="2:14" ht="37.5">
      <c r="B633" s="774">
        <v>363</v>
      </c>
      <c r="C633" s="770" t="s">
        <v>390</v>
      </c>
      <c r="D633" s="770" t="s">
        <v>2343</v>
      </c>
      <c r="E633" s="770" t="s">
        <v>1061</v>
      </c>
      <c r="F633" s="770" t="s">
        <v>554</v>
      </c>
      <c r="G633" s="770">
        <v>166</v>
      </c>
      <c r="H633" s="770">
        <v>233</v>
      </c>
      <c r="I633" s="771">
        <v>0.71199999999999997</v>
      </c>
      <c r="J633" s="770" t="s">
        <v>496</v>
      </c>
      <c r="K633" s="770" t="s">
        <v>518</v>
      </c>
      <c r="L633" s="770" t="s">
        <v>2734</v>
      </c>
      <c r="M633" s="772">
        <v>123058</v>
      </c>
      <c r="N633" s="772">
        <v>741</v>
      </c>
    </row>
    <row r="634" spans="2:14" ht="37.5">
      <c r="B634" s="774">
        <v>363</v>
      </c>
      <c r="C634" s="770" t="s">
        <v>390</v>
      </c>
      <c r="D634" s="770" t="s">
        <v>2344</v>
      </c>
      <c r="E634" s="770" t="s">
        <v>1062</v>
      </c>
      <c r="F634" s="770" t="s">
        <v>564</v>
      </c>
      <c r="G634" s="770">
        <v>249</v>
      </c>
      <c r="H634" s="770">
        <v>366</v>
      </c>
      <c r="I634" s="771">
        <v>0.68</v>
      </c>
      <c r="J634" s="770" t="s">
        <v>496</v>
      </c>
      <c r="K634" s="770" t="s">
        <v>518</v>
      </c>
      <c r="L634" s="770" t="s">
        <v>2734</v>
      </c>
      <c r="M634" s="772">
        <v>85481</v>
      </c>
      <c r="N634" s="772">
        <v>343</v>
      </c>
    </row>
    <row r="635" spans="2:14">
      <c r="B635" s="773"/>
      <c r="C635" s="773"/>
      <c r="D635" s="773"/>
      <c r="E635" s="773"/>
      <c r="F635" s="773"/>
      <c r="G635" s="773"/>
      <c r="H635" s="773"/>
      <c r="I635" s="773"/>
      <c r="J635" s="773"/>
      <c r="K635" s="773"/>
      <c r="L635" s="773"/>
      <c r="M635" s="773"/>
      <c r="N635" s="773"/>
    </row>
    <row r="636" spans="2:14" ht="50">
      <c r="B636" s="774">
        <v>365</v>
      </c>
      <c r="C636" s="770" t="s">
        <v>1063</v>
      </c>
      <c r="D636" s="770" t="s">
        <v>2351</v>
      </c>
      <c r="E636" s="770" t="s">
        <v>1064</v>
      </c>
      <c r="F636" s="770" t="s">
        <v>715</v>
      </c>
      <c r="G636" s="770">
        <v>114</v>
      </c>
      <c r="H636" s="770">
        <v>167</v>
      </c>
      <c r="I636" s="771">
        <v>0.68300000000000005</v>
      </c>
      <c r="J636" s="770" t="s">
        <v>496</v>
      </c>
      <c r="K636" s="770" t="s">
        <v>518</v>
      </c>
      <c r="L636" s="770" t="s">
        <v>2733</v>
      </c>
      <c r="M636" s="772">
        <v>81206</v>
      </c>
      <c r="N636" s="772">
        <v>712</v>
      </c>
    </row>
    <row r="637" spans="2:14" ht="50">
      <c r="B637" s="774">
        <v>365</v>
      </c>
      <c r="C637" s="770" t="s">
        <v>1063</v>
      </c>
      <c r="D637" s="770" t="s">
        <v>2352</v>
      </c>
      <c r="E637" s="770" t="s">
        <v>1065</v>
      </c>
      <c r="F637" s="770" t="s">
        <v>1066</v>
      </c>
      <c r="G637" s="770">
        <v>45</v>
      </c>
      <c r="H637" s="770">
        <v>73</v>
      </c>
      <c r="I637" s="771">
        <v>0.61599999999999999</v>
      </c>
      <c r="J637" s="770" t="s">
        <v>496</v>
      </c>
      <c r="K637" s="770" t="s">
        <v>518</v>
      </c>
      <c r="L637" s="770" t="s">
        <v>2733</v>
      </c>
      <c r="M637" s="772">
        <v>36806</v>
      </c>
      <c r="N637" s="772">
        <v>817</v>
      </c>
    </row>
    <row r="638" spans="2:14" ht="50">
      <c r="B638" s="774">
        <v>365</v>
      </c>
      <c r="C638" s="770" t="s">
        <v>1063</v>
      </c>
      <c r="D638" s="770" t="s">
        <v>2353</v>
      </c>
      <c r="E638" s="770" t="s">
        <v>1067</v>
      </c>
      <c r="F638" s="770" t="s">
        <v>1066</v>
      </c>
      <c r="G638" s="770">
        <v>65</v>
      </c>
      <c r="H638" s="770">
        <v>110</v>
      </c>
      <c r="I638" s="771">
        <v>0.59099999999999997</v>
      </c>
      <c r="J638" s="770" t="s">
        <v>496</v>
      </c>
      <c r="K638" s="770" t="s">
        <v>518</v>
      </c>
      <c r="L638" s="770" t="s">
        <v>2734</v>
      </c>
      <c r="M638" s="772">
        <v>48607</v>
      </c>
      <c r="N638" s="772">
        <v>747</v>
      </c>
    </row>
    <row r="639" spans="2:14">
      <c r="B639" s="773"/>
      <c r="C639" s="773"/>
      <c r="D639" s="773"/>
      <c r="E639" s="773"/>
      <c r="F639" s="773"/>
      <c r="G639" s="773"/>
      <c r="H639" s="773"/>
      <c r="I639" s="773"/>
      <c r="J639" s="773"/>
      <c r="K639" s="773"/>
      <c r="L639" s="773"/>
      <c r="M639" s="773"/>
      <c r="N639" s="773"/>
    </row>
    <row r="640" spans="2:14" ht="37.5">
      <c r="B640" s="774">
        <v>370</v>
      </c>
      <c r="C640" s="770" t="s">
        <v>393</v>
      </c>
      <c r="D640" s="770" t="s">
        <v>2355</v>
      </c>
      <c r="E640" s="770" t="s">
        <v>1068</v>
      </c>
      <c r="F640" s="770" t="s">
        <v>557</v>
      </c>
      <c r="G640" s="770">
        <v>181</v>
      </c>
      <c r="H640" s="770">
        <v>347</v>
      </c>
      <c r="I640" s="771">
        <v>0.52200000000000002</v>
      </c>
      <c r="J640" s="770" t="s">
        <v>496</v>
      </c>
      <c r="K640" s="770" t="s">
        <v>518</v>
      </c>
      <c r="L640" s="770" t="s">
        <v>2732</v>
      </c>
      <c r="M640" s="772">
        <v>17602</v>
      </c>
      <c r="N640" s="772">
        <v>97</v>
      </c>
    </row>
    <row r="641" spans="2:14" ht="37.5">
      <c r="B641" s="774">
        <v>370</v>
      </c>
      <c r="C641" s="770" t="s">
        <v>393</v>
      </c>
      <c r="D641" s="770" t="s">
        <v>2356</v>
      </c>
      <c r="E641" s="770" t="s">
        <v>1069</v>
      </c>
      <c r="F641" s="770" t="s">
        <v>691</v>
      </c>
      <c r="G641" s="770">
        <v>262</v>
      </c>
      <c r="H641" s="770">
        <v>375</v>
      </c>
      <c r="I641" s="771">
        <v>0.69899999999999995</v>
      </c>
      <c r="J641" s="770" t="s">
        <v>496</v>
      </c>
      <c r="K641" s="770" t="s">
        <v>518</v>
      </c>
      <c r="L641" s="770" t="s">
        <v>2734</v>
      </c>
      <c r="M641" s="772">
        <v>114752</v>
      </c>
      <c r="N641" s="772">
        <v>437</v>
      </c>
    </row>
    <row r="642" spans="2:14" ht="37.5">
      <c r="B642" s="774">
        <v>370</v>
      </c>
      <c r="C642" s="770" t="s">
        <v>393</v>
      </c>
      <c r="D642" s="770" t="s">
        <v>2357</v>
      </c>
      <c r="E642" s="770" t="s">
        <v>1070</v>
      </c>
      <c r="F642" s="770" t="s">
        <v>693</v>
      </c>
      <c r="G642" s="770">
        <v>278</v>
      </c>
      <c r="H642" s="770">
        <v>463</v>
      </c>
      <c r="I642" s="771">
        <v>0.6</v>
      </c>
      <c r="J642" s="770" t="s">
        <v>496</v>
      </c>
      <c r="K642" s="770" t="s">
        <v>518</v>
      </c>
      <c r="L642" s="770" t="s">
        <v>2732</v>
      </c>
      <c r="M642" s="772">
        <v>86624</v>
      </c>
      <c r="N642" s="772">
        <v>311</v>
      </c>
    </row>
    <row r="643" spans="2:14">
      <c r="B643" s="773"/>
      <c r="C643" s="773"/>
      <c r="D643" s="773"/>
      <c r="E643" s="773"/>
      <c r="F643" s="773"/>
      <c r="G643" s="773"/>
      <c r="H643" s="773"/>
      <c r="I643" s="773"/>
      <c r="J643" s="773"/>
      <c r="K643" s="773"/>
      <c r="L643" s="773"/>
      <c r="M643" s="773"/>
      <c r="N643" s="773"/>
    </row>
    <row r="644" spans="2:14" ht="37.5">
      <c r="B644" s="774">
        <v>371</v>
      </c>
      <c r="C644" s="770" t="s">
        <v>394</v>
      </c>
      <c r="D644" s="770" t="s">
        <v>2359</v>
      </c>
      <c r="E644" s="770" t="s">
        <v>1071</v>
      </c>
      <c r="F644" s="770" t="s">
        <v>554</v>
      </c>
      <c r="G644" s="770">
        <v>254</v>
      </c>
      <c r="H644" s="770">
        <v>361</v>
      </c>
      <c r="I644" s="771">
        <v>0.70399999999999996</v>
      </c>
      <c r="J644" s="770" t="s">
        <v>496</v>
      </c>
      <c r="K644" s="770" t="s">
        <v>518</v>
      </c>
      <c r="L644" s="770" t="s">
        <v>2733</v>
      </c>
      <c r="M644" s="772">
        <v>95094</v>
      </c>
      <c r="N644" s="772">
        <v>374</v>
      </c>
    </row>
    <row r="645" spans="2:14" ht="25">
      <c r="B645" s="774">
        <v>371</v>
      </c>
      <c r="C645" s="770" t="s">
        <v>394</v>
      </c>
      <c r="D645" s="770" t="s">
        <v>2360</v>
      </c>
      <c r="E645" s="770" t="s">
        <v>1072</v>
      </c>
      <c r="F645" s="770" t="s">
        <v>557</v>
      </c>
      <c r="G645" s="770">
        <v>242</v>
      </c>
      <c r="H645" s="770">
        <v>440</v>
      </c>
      <c r="I645" s="771">
        <v>0.55000000000000004</v>
      </c>
      <c r="J645" s="770" t="s">
        <v>496</v>
      </c>
      <c r="K645" s="770" t="s">
        <v>624</v>
      </c>
      <c r="L645" s="770" t="s">
        <v>2734</v>
      </c>
      <c r="M645" s="772">
        <v>50379</v>
      </c>
      <c r="N645" s="772">
        <v>208</v>
      </c>
    </row>
    <row r="646" spans="2:14" ht="37.5">
      <c r="B646" s="774">
        <v>371</v>
      </c>
      <c r="C646" s="770" t="s">
        <v>394</v>
      </c>
      <c r="D646" s="770" t="s">
        <v>2361</v>
      </c>
      <c r="E646" s="770" t="s">
        <v>1073</v>
      </c>
      <c r="F646" s="770" t="s">
        <v>612</v>
      </c>
      <c r="G646" s="770">
        <v>506</v>
      </c>
      <c r="H646" s="770">
        <v>546</v>
      </c>
      <c r="I646" s="771">
        <v>0.92700000000000005</v>
      </c>
      <c r="J646" s="770" t="s">
        <v>496</v>
      </c>
      <c r="K646" s="770" t="s">
        <v>518</v>
      </c>
      <c r="L646" s="770" t="s">
        <v>2734</v>
      </c>
      <c r="M646" s="772">
        <v>202706</v>
      </c>
      <c r="N646" s="772">
        <v>400</v>
      </c>
    </row>
    <row r="647" spans="2:14" ht="37.5">
      <c r="B647" s="774">
        <v>371</v>
      </c>
      <c r="C647" s="770" t="s">
        <v>394</v>
      </c>
      <c r="D647" s="770" t="s">
        <v>2362</v>
      </c>
      <c r="E647" s="770" t="s">
        <v>741</v>
      </c>
      <c r="F647" s="770" t="s">
        <v>949</v>
      </c>
      <c r="G647" s="770">
        <v>205</v>
      </c>
      <c r="H647" s="770">
        <v>226</v>
      </c>
      <c r="I647" s="771">
        <v>0.90700000000000003</v>
      </c>
      <c r="J647" s="770" t="s">
        <v>496</v>
      </c>
      <c r="K647" s="770" t="s">
        <v>518</v>
      </c>
      <c r="L647" s="770" t="s">
        <v>2734</v>
      </c>
      <c r="M647" s="772">
        <v>79613</v>
      </c>
      <c r="N647" s="772">
        <v>388</v>
      </c>
    </row>
    <row r="648" spans="2:14">
      <c r="B648" s="773"/>
      <c r="C648" s="773"/>
      <c r="D648" s="773"/>
      <c r="E648" s="773"/>
      <c r="F648" s="773"/>
      <c r="G648" s="773"/>
      <c r="H648" s="773"/>
      <c r="I648" s="773"/>
      <c r="J648" s="773"/>
      <c r="K648" s="773"/>
      <c r="L648" s="773"/>
      <c r="M648" s="773"/>
      <c r="N648" s="773"/>
    </row>
    <row r="649" spans="2:14" ht="37.5">
      <c r="B649" s="774">
        <v>372</v>
      </c>
      <c r="C649" s="770" t="s">
        <v>395</v>
      </c>
      <c r="D649" s="770" t="s">
        <v>2368</v>
      </c>
      <c r="E649" s="770" t="s">
        <v>1074</v>
      </c>
      <c r="F649" s="770" t="s">
        <v>557</v>
      </c>
      <c r="G649" s="770">
        <v>96</v>
      </c>
      <c r="H649" s="770">
        <v>290</v>
      </c>
      <c r="I649" s="771">
        <v>0.33100000000000002</v>
      </c>
      <c r="J649" s="770" t="s">
        <v>496</v>
      </c>
      <c r="K649" s="770" t="s">
        <v>624</v>
      </c>
      <c r="L649" s="770" t="s">
        <v>2734</v>
      </c>
      <c r="M649" s="772">
        <v>24694</v>
      </c>
      <c r="N649" s="772">
        <v>257</v>
      </c>
    </row>
    <row r="650" spans="2:14" ht="37.5">
      <c r="B650" s="774">
        <v>372</v>
      </c>
      <c r="C650" s="770" t="s">
        <v>395</v>
      </c>
      <c r="D650" s="770" t="s">
        <v>2369</v>
      </c>
      <c r="E650" s="770" t="s">
        <v>1075</v>
      </c>
      <c r="F650" s="770" t="s">
        <v>564</v>
      </c>
      <c r="G650" s="770">
        <v>266</v>
      </c>
      <c r="H650" s="770">
        <v>480</v>
      </c>
      <c r="I650" s="771">
        <v>0.55400000000000005</v>
      </c>
      <c r="J650" s="770" t="s">
        <v>496</v>
      </c>
      <c r="K650" s="770" t="s">
        <v>518</v>
      </c>
      <c r="L650" s="770" t="s">
        <v>2732</v>
      </c>
      <c r="M650" s="772">
        <v>106569</v>
      </c>
      <c r="N650" s="772">
        <v>400</v>
      </c>
    </row>
    <row r="651" spans="2:14" ht="50">
      <c r="B651" s="774">
        <v>372</v>
      </c>
      <c r="C651" s="770" t="s">
        <v>395</v>
      </c>
      <c r="D651" s="770" t="s">
        <v>2370</v>
      </c>
      <c r="E651" s="770" t="s">
        <v>1076</v>
      </c>
      <c r="F651" s="770" t="s">
        <v>554</v>
      </c>
      <c r="G651" s="770">
        <v>96</v>
      </c>
      <c r="H651" s="770">
        <v>220</v>
      </c>
      <c r="I651" s="771">
        <v>0.436</v>
      </c>
      <c r="J651" s="770" t="s">
        <v>496</v>
      </c>
      <c r="K651" s="770" t="s">
        <v>624</v>
      </c>
      <c r="L651" s="770" t="s">
        <v>2732</v>
      </c>
      <c r="M651" s="772">
        <v>34500</v>
      </c>
      <c r="N651" s="772">
        <v>359</v>
      </c>
    </row>
    <row r="652" spans="2:14">
      <c r="B652" s="773"/>
      <c r="C652" s="773"/>
      <c r="D652" s="773"/>
      <c r="E652" s="773"/>
      <c r="F652" s="773"/>
      <c r="G652" s="773"/>
      <c r="H652" s="773"/>
      <c r="I652" s="773"/>
      <c r="J652" s="773"/>
      <c r="K652" s="773"/>
      <c r="L652" s="773"/>
      <c r="M652" s="773"/>
      <c r="N652" s="773"/>
    </row>
    <row r="653" spans="2:14" ht="37.5">
      <c r="B653" s="774">
        <v>373</v>
      </c>
      <c r="C653" s="770" t="s">
        <v>396</v>
      </c>
      <c r="D653" s="770" t="s">
        <v>2372</v>
      </c>
      <c r="E653" s="770" t="s">
        <v>1077</v>
      </c>
      <c r="F653" s="770" t="s">
        <v>691</v>
      </c>
      <c r="G653" s="770">
        <v>263</v>
      </c>
      <c r="H653" s="770">
        <v>540</v>
      </c>
      <c r="I653" s="771">
        <v>0.48699999999999999</v>
      </c>
      <c r="J653" s="770" t="s">
        <v>496</v>
      </c>
      <c r="K653" s="770" t="s">
        <v>518</v>
      </c>
      <c r="L653" s="770" t="s">
        <v>2734</v>
      </c>
      <c r="M653" s="772">
        <v>81023</v>
      </c>
      <c r="N653" s="772">
        <v>308</v>
      </c>
    </row>
    <row r="654" spans="2:14" ht="25">
      <c r="B654" s="774">
        <v>373</v>
      </c>
      <c r="C654" s="770" t="s">
        <v>396</v>
      </c>
      <c r="D654" s="770" t="s">
        <v>2373</v>
      </c>
      <c r="E654" s="770" t="s">
        <v>1078</v>
      </c>
      <c r="F654" s="770" t="s">
        <v>557</v>
      </c>
      <c r="G654" s="770">
        <v>189</v>
      </c>
      <c r="H654" s="770">
        <v>460</v>
      </c>
      <c r="I654" s="771">
        <v>0.41099999999999998</v>
      </c>
      <c r="J654" s="770" t="s">
        <v>496</v>
      </c>
      <c r="K654" s="770" t="s">
        <v>497</v>
      </c>
      <c r="L654" s="770" t="s">
        <v>2734</v>
      </c>
      <c r="M654" s="772">
        <v>0</v>
      </c>
      <c r="N654" s="772">
        <v>0</v>
      </c>
    </row>
    <row r="655" spans="2:14" ht="37.5">
      <c r="B655" s="774">
        <v>373</v>
      </c>
      <c r="C655" s="770" t="s">
        <v>396</v>
      </c>
      <c r="D655" s="770" t="s">
        <v>2374</v>
      </c>
      <c r="E655" s="770" t="s">
        <v>1079</v>
      </c>
      <c r="F655" s="770" t="s">
        <v>564</v>
      </c>
      <c r="G655" s="770">
        <v>333</v>
      </c>
      <c r="H655" s="770">
        <v>683</v>
      </c>
      <c r="I655" s="771">
        <v>0.48799999999999999</v>
      </c>
      <c r="J655" s="770" t="s">
        <v>496</v>
      </c>
      <c r="K655" s="770" t="s">
        <v>518</v>
      </c>
      <c r="L655" s="770" t="s">
        <v>2734</v>
      </c>
      <c r="M655" s="772">
        <v>157480</v>
      </c>
      <c r="N655" s="772">
        <v>472</v>
      </c>
    </row>
    <row r="656" spans="2:14">
      <c r="B656" s="773"/>
      <c r="C656" s="773"/>
      <c r="D656" s="773"/>
      <c r="E656" s="773"/>
      <c r="F656" s="773"/>
      <c r="G656" s="773"/>
      <c r="H656" s="773"/>
      <c r="I656" s="773"/>
      <c r="J656" s="773"/>
      <c r="K656" s="773"/>
      <c r="L656" s="773"/>
      <c r="M656" s="773"/>
      <c r="N656" s="773"/>
    </row>
    <row r="657" spans="2:14" ht="50">
      <c r="B657" s="774">
        <v>381</v>
      </c>
      <c r="C657" s="770" t="s">
        <v>397</v>
      </c>
      <c r="D657" s="770" t="s">
        <v>2378</v>
      </c>
      <c r="E657" s="770" t="s">
        <v>1080</v>
      </c>
      <c r="F657" s="770" t="s">
        <v>554</v>
      </c>
      <c r="G657" s="770">
        <v>228</v>
      </c>
      <c r="H657" s="770">
        <v>313</v>
      </c>
      <c r="I657" s="771">
        <v>0.72799999999999998</v>
      </c>
      <c r="J657" s="770" t="s">
        <v>496</v>
      </c>
      <c r="K657" s="770" t="s">
        <v>518</v>
      </c>
      <c r="L657" s="770" t="s">
        <v>2734</v>
      </c>
      <c r="M657" s="772">
        <v>85400</v>
      </c>
      <c r="N657" s="772">
        <v>374</v>
      </c>
    </row>
    <row r="658" spans="2:14" ht="37.5">
      <c r="B658" s="774">
        <v>381</v>
      </c>
      <c r="C658" s="770" t="s">
        <v>397</v>
      </c>
      <c r="D658" s="770" t="s">
        <v>2379</v>
      </c>
      <c r="E658" s="770" t="s">
        <v>1081</v>
      </c>
      <c r="F658" s="770" t="s">
        <v>557</v>
      </c>
      <c r="G658" s="770">
        <v>222</v>
      </c>
      <c r="H658" s="770">
        <v>387</v>
      </c>
      <c r="I658" s="771">
        <v>0.57399999999999995</v>
      </c>
      <c r="J658" s="770" t="s">
        <v>496</v>
      </c>
      <c r="K658" s="770" t="s">
        <v>497</v>
      </c>
      <c r="L658" s="770" t="s">
        <v>2734</v>
      </c>
      <c r="M658" s="772">
        <v>0</v>
      </c>
      <c r="N658" s="772">
        <v>0</v>
      </c>
    </row>
    <row r="659" spans="2:14" ht="37.5">
      <c r="B659" s="774">
        <v>381</v>
      </c>
      <c r="C659" s="770" t="s">
        <v>397</v>
      </c>
      <c r="D659" s="770" t="s">
        <v>2382</v>
      </c>
      <c r="E659" s="770" t="s">
        <v>522</v>
      </c>
      <c r="F659" s="770" t="s">
        <v>612</v>
      </c>
      <c r="G659" s="770">
        <v>364</v>
      </c>
      <c r="H659" s="770">
        <v>510</v>
      </c>
      <c r="I659" s="771">
        <v>0.71399999999999997</v>
      </c>
      <c r="J659" s="770" t="s">
        <v>496</v>
      </c>
      <c r="K659" s="770" t="s">
        <v>518</v>
      </c>
      <c r="L659" s="770" t="s">
        <v>2732</v>
      </c>
      <c r="M659" s="772">
        <v>110283</v>
      </c>
      <c r="N659" s="772">
        <v>302</v>
      </c>
    </row>
    <row r="660" spans="2:14" ht="37.5">
      <c r="B660" s="774">
        <v>381</v>
      </c>
      <c r="C660" s="770" t="s">
        <v>397</v>
      </c>
      <c r="D660" s="770" t="s">
        <v>2383</v>
      </c>
      <c r="E660" s="770" t="s">
        <v>1082</v>
      </c>
      <c r="F660" s="770" t="s">
        <v>949</v>
      </c>
      <c r="G660" s="770">
        <v>179</v>
      </c>
      <c r="H660" s="770">
        <v>238</v>
      </c>
      <c r="I660" s="771">
        <v>0.752</v>
      </c>
      <c r="J660" s="770" t="s">
        <v>496</v>
      </c>
      <c r="K660" s="770" t="s">
        <v>518</v>
      </c>
      <c r="L660" s="770" t="s">
        <v>2734</v>
      </c>
      <c r="M660" s="772">
        <v>103007</v>
      </c>
      <c r="N660" s="772">
        <v>575</v>
      </c>
    </row>
    <row r="661" spans="2:14">
      <c r="B661" s="773"/>
      <c r="C661" s="773"/>
      <c r="D661" s="773"/>
      <c r="E661" s="773"/>
      <c r="F661" s="773"/>
      <c r="G661" s="773"/>
      <c r="H661" s="773"/>
      <c r="I661" s="773"/>
      <c r="J661" s="773"/>
      <c r="K661" s="773"/>
      <c r="L661" s="773"/>
      <c r="M661" s="773"/>
      <c r="N661" s="773"/>
    </row>
    <row r="662" spans="2:14" ht="50">
      <c r="B662" s="774">
        <v>382</v>
      </c>
      <c r="C662" s="770" t="s">
        <v>398</v>
      </c>
      <c r="D662" s="770" t="s">
        <v>2386</v>
      </c>
      <c r="E662" s="770" t="s">
        <v>1083</v>
      </c>
      <c r="F662" s="770" t="s">
        <v>623</v>
      </c>
      <c r="G662" s="770"/>
      <c r="H662" s="770"/>
      <c r="I662" s="770"/>
      <c r="J662" s="770" t="s">
        <v>496</v>
      </c>
      <c r="K662" s="770" t="s">
        <v>518</v>
      </c>
      <c r="L662" s="770" t="s">
        <v>2732</v>
      </c>
      <c r="M662" s="772">
        <v>16693</v>
      </c>
      <c r="N662" s="772">
        <v>222</v>
      </c>
    </row>
    <row r="663" spans="2:14">
      <c r="B663" s="773"/>
      <c r="C663" s="773"/>
      <c r="D663" s="773"/>
      <c r="E663" s="773"/>
      <c r="F663" s="773"/>
      <c r="G663" s="773"/>
      <c r="H663" s="773"/>
      <c r="I663" s="773"/>
      <c r="J663" s="773"/>
      <c r="K663" s="773"/>
      <c r="L663" s="773"/>
      <c r="M663" s="773"/>
      <c r="N663" s="773"/>
    </row>
    <row r="664" spans="2:14" ht="37.5">
      <c r="B664" s="774">
        <v>391</v>
      </c>
      <c r="C664" s="770" t="s">
        <v>400</v>
      </c>
      <c r="D664" s="770" t="s">
        <v>2391</v>
      </c>
      <c r="E664" s="770" t="s">
        <v>1084</v>
      </c>
      <c r="F664" s="770" t="s">
        <v>554</v>
      </c>
      <c r="G664" s="770">
        <v>146</v>
      </c>
      <c r="H664" s="770">
        <v>270</v>
      </c>
      <c r="I664" s="771">
        <v>0.54100000000000004</v>
      </c>
      <c r="J664" s="770" t="s">
        <v>496</v>
      </c>
      <c r="K664" s="770" t="s">
        <v>497</v>
      </c>
      <c r="L664" s="770" t="s">
        <v>2734</v>
      </c>
      <c r="M664" s="772">
        <v>0</v>
      </c>
      <c r="N664" s="772">
        <v>0</v>
      </c>
    </row>
    <row r="665" spans="2:14" ht="37.5">
      <c r="B665" s="774">
        <v>391</v>
      </c>
      <c r="C665" s="770" t="s">
        <v>400</v>
      </c>
      <c r="D665" s="770" t="s">
        <v>2392</v>
      </c>
      <c r="E665" s="770" t="s">
        <v>1085</v>
      </c>
      <c r="F665" s="770" t="s">
        <v>557</v>
      </c>
      <c r="G665" s="770">
        <v>136</v>
      </c>
      <c r="H665" s="770">
        <v>338</v>
      </c>
      <c r="I665" s="771">
        <v>0.40200000000000002</v>
      </c>
      <c r="J665" s="770" t="s">
        <v>496</v>
      </c>
      <c r="K665" s="770" t="s">
        <v>497</v>
      </c>
      <c r="L665" s="770" t="s">
        <v>2734</v>
      </c>
      <c r="M665" s="772">
        <v>0</v>
      </c>
      <c r="N665" s="772">
        <v>0</v>
      </c>
    </row>
    <row r="666" spans="2:14" ht="37.5">
      <c r="B666" s="774">
        <v>391</v>
      </c>
      <c r="C666" s="770" t="s">
        <v>400</v>
      </c>
      <c r="D666" s="770" t="s">
        <v>2393</v>
      </c>
      <c r="E666" s="770" t="s">
        <v>1086</v>
      </c>
      <c r="F666" s="770" t="s">
        <v>564</v>
      </c>
      <c r="G666" s="770">
        <v>248</v>
      </c>
      <c r="H666" s="770">
        <v>431</v>
      </c>
      <c r="I666" s="771">
        <v>0.57499999999999996</v>
      </c>
      <c r="J666" s="770" t="s">
        <v>496</v>
      </c>
      <c r="K666" s="770" t="s">
        <v>518</v>
      </c>
      <c r="L666" s="770" t="s">
        <v>2734</v>
      </c>
      <c r="M666" s="772">
        <v>310024</v>
      </c>
      <c r="N666" s="772">
        <v>1250</v>
      </c>
    </row>
    <row r="667" spans="2:14" ht="37.5">
      <c r="B667" s="774">
        <v>391</v>
      </c>
      <c r="C667" s="770" t="s">
        <v>400</v>
      </c>
      <c r="D667" s="770" t="s">
        <v>2394</v>
      </c>
      <c r="E667" s="770" t="s">
        <v>1087</v>
      </c>
      <c r="F667" s="770" t="s">
        <v>564</v>
      </c>
      <c r="G667" s="770">
        <v>21</v>
      </c>
      <c r="H667" s="770">
        <v>65</v>
      </c>
      <c r="I667" s="771">
        <v>0.32300000000000001</v>
      </c>
      <c r="J667" s="770" t="s">
        <v>501</v>
      </c>
      <c r="K667" s="770" t="s">
        <v>497</v>
      </c>
      <c r="L667" s="770" t="s">
        <v>2734</v>
      </c>
      <c r="M667" s="772">
        <v>0</v>
      </c>
      <c r="N667" s="772">
        <v>0</v>
      </c>
    </row>
    <row r="668" spans="2:14">
      <c r="B668" s="773"/>
      <c r="C668" s="773"/>
      <c r="D668" s="773"/>
      <c r="E668" s="773"/>
      <c r="F668" s="773"/>
      <c r="G668" s="773"/>
      <c r="H668" s="773"/>
      <c r="I668" s="773"/>
      <c r="J668" s="773"/>
      <c r="K668" s="773"/>
      <c r="L668" s="773"/>
      <c r="M668" s="773"/>
      <c r="N668" s="773"/>
    </row>
    <row r="669" spans="2:14" ht="25">
      <c r="B669" s="774">
        <v>392</v>
      </c>
      <c r="C669" s="770" t="s">
        <v>401</v>
      </c>
      <c r="D669" s="770" t="s">
        <v>2396</v>
      </c>
      <c r="E669" s="770" t="s">
        <v>1088</v>
      </c>
      <c r="F669" s="770" t="s">
        <v>546</v>
      </c>
      <c r="G669" s="770">
        <v>19</v>
      </c>
      <c r="H669" s="770">
        <v>49</v>
      </c>
      <c r="I669" s="771">
        <v>0.38800000000000001</v>
      </c>
      <c r="J669" s="770" t="s">
        <v>496</v>
      </c>
      <c r="K669" s="770" t="s">
        <v>624</v>
      </c>
      <c r="L669" s="770" t="s">
        <v>2732</v>
      </c>
      <c r="M669" s="772">
        <v>22384</v>
      </c>
      <c r="N669" s="772">
        <v>1178</v>
      </c>
    </row>
    <row r="670" spans="2:14" ht="37.5">
      <c r="B670" s="774">
        <v>392</v>
      </c>
      <c r="C670" s="770" t="s">
        <v>401</v>
      </c>
      <c r="D670" s="770" t="s">
        <v>2397</v>
      </c>
      <c r="E670" s="770" t="s">
        <v>1089</v>
      </c>
      <c r="F670" s="770" t="s">
        <v>512</v>
      </c>
      <c r="G670" s="770">
        <v>30</v>
      </c>
      <c r="H670" s="770">
        <v>58</v>
      </c>
      <c r="I670" s="771">
        <v>0.51700000000000002</v>
      </c>
      <c r="J670" s="770" t="s">
        <v>496</v>
      </c>
      <c r="K670" s="770" t="s">
        <v>624</v>
      </c>
      <c r="L670" s="770" t="s">
        <v>2732</v>
      </c>
      <c r="M670" s="772">
        <v>23087</v>
      </c>
      <c r="N670" s="772">
        <v>769</v>
      </c>
    </row>
    <row r="671" spans="2:14">
      <c r="B671" s="773"/>
      <c r="C671" s="773"/>
      <c r="D671" s="773"/>
      <c r="E671" s="773"/>
      <c r="F671" s="773"/>
      <c r="G671" s="773"/>
      <c r="H671" s="773"/>
      <c r="I671" s="773"/>
      <c r="J671" s="773"/>
      <c r="K671" s="773"/>
      <c r="L671" s="773"/>
      <c r="M671" s="773"/>
      <c r="N671" s="773"/>
    </row>
    <row r="672" spans="2:14" ht="37.5">
      <c r="B672" s="774">
        <v>393</v>
      </c>
      <c r="C672" s="770" t="s">
        <v>402</v>
      </c>
      <c r="D672" s="770" t="s">
        <v>2399</v>
      </c>
      <c r="E672" s="770" t="s">
        <v>1090</v>
      </c>
      <c r="F672" s="770" t="s">
        <v>512</v>
      </c>
      <c r="G672" s="770">
        <v>163</v>
      </c>
      <c r="H672" s="770">
        <v>250</v>
      </c>
      <c r="I672" s="771">
        <v>0.65200000000000002</v>
      </c>
      <c r="J672" s="770" t="s">
        <v>496</v>
      </c>
      <c r="K672" s="770" t="s">
        <v>518</v>
      </c>
      <c r="L672" s="770" t="s">
        <v>2734</v>
      </c>
      <c r="M672" s="772">
        <v>94928</v>
      </c>
      <c r="N672" s="772">
        <v>582</v>
      </c>
    </row>
    <row r="673" spans="2:14" ht="37.5">
      <c r="B673" s="774">
        <v>393</v>
      </c>
      <c r="C673" s="770" t="s">
        <v>402</v>
      </c>
      <c r="D673" s="770" t="s">
        <v>2400</v>
      </c>
      <c r="E673" s="770" t="s">
        <v>1091</v>
      </c>
      <c r="F673" s="770" t="s">
        <v>546</v>
      </c>
      <c r="G673" s="770">
        <v>85</v>
      </c>
      <c r="H673" s="770">
        <v>238</v>
      </c>
      <c r="I673" s="771">
        <v>0.35699999999999998</v>
      </c>
      <c r="J673" s="770" t="s">
        <v>496</v>
      </c>
      <c r="K673" s="770" t="s">
        <v>497</v>
      </c>
      <c r="L673" s="770" t="s">
        <v>2734</v>
      </c>
      <c r="M673" s="772">
        <v>0</v>
      </c>
      <c r="N673" s="772">
        <v>0</v>
      </c>
    </row>
    <row r="674" spans="2:14">
      <c r="B674" s="773"/>
      <c r="C674" s="773"/>
      <c r="D674" s="773"/>
      <c r="E674" s="773"/>
      <c r="F674" s="773"/>
      <c r="G674" s="773"/>
      <c r="H674" s="773"/>
      <c r="I674" s="773"/>
      <c r="J674" s="773"/>
      <c r="K674" s="773"/>
      <c r="L674" s="773"/>
      <c r="M674" s="773"/>
      <c r="N674" s="773"/>
    </row>
    <row r="675" spans="2:14" ht="37.5">
      <c r="B675" s="774">
        <v>394</v>
      </c>
      <c r="C675" s="770" t="s">
        <v>403</v>
      </c>
      <c r="D675" s="770" t="s">
        <v>2402</v>
      </c>
      <c r="E675" s="770" t="s">
        <v>2747</v>
      </c>
      <c r="F675" s="770" t="s">
        <v>551</v>
      </c>
      <c r="G675" s="770"/>
      <c r="H675" s="770"/>
      <c r="I675" s="770"/>
      <c r="J675" s="770" t="s">
        <v>496</v>
      </c>
      <c r="K675" s="770" t="s">
        <v>518</v>
      </c>
      <c r="L675" s="770" t="s">
        <v>2732</v>
      </c>
      <c r="M675" s="772">
        <v>12792</v>
      </c>
      <c r="N675" s="772">
        <v>4264</v>
      </c>
    </row>
    <row r="676" spans="2:14">
      <c r="B676" s="773"/>
      <c r="C676" s="773"/>
      <c r="D676" s="773"/>
      <c r="E676" s="773"/>
      <c r="F676" s="773"/>
      <c r="G676" s="773"/>
      <c r="H676" s="773"/>
      <c r="I676" s="773"/>
      <c r="J676" s="773"/>
      <c r="K676" s="773"/>
      <c r="L676" s="773"/>
      <c r="M676" s="773"/>
      <c r="N676" s="773"/>
    </row>
    <row r="677" spans="2:14" ht="37.5">
      <c r="B677" s="774">
        <v>401</v>
      </c>
      <c r="C677" s="770" t="s">
        <v>404</v>
      </c>
      <c r="D677" s="770" t="s">
        <v>2405</v>
      </c>
      <c r="E677" s="770" t="s">
        <v>1093</v>
      </c>
      <c r="F677" s="770" t="s">
        <v>557</v>
      </c>
      <c r="G677" s="770">
        <v>219</v>
      </c>
      <c r="H677" s="770">
        <v>486</v>
      </c>
      <c r="I677" s="771">
        <v>0.45100000000000001</v>
      </c>
      <c r="J677" s="770" t="s">
        <v>610</v>
      </c>
      <c r="K677" s="770" t="s">
        <v>624</v>
      </c>
      <c r="L677" s="770" t="s">
        <v>2734</v>
      </c>
      <c r="M677" s="772">
        <v>59292</v>
      </c>
      <c r="N677" s="772">
        <v>270</v>
      </c>
    </row>
    <row r="678" spans="2:14" ht="37.5">
      <c r="B678" s="774">
        <v>401</v>
      </c>
      <c r="C678" s="770" t="s">
        <v>404</v>
      </c>
      <c r="D678" s="770" t="s">
        <v>2406</v>
      </c>
      <c r="E678" s="770" t="s">
        <v>1094</v>
      </c>
      <c r="F678" s="770" t="s">
        <v>554</v>
      </c>
      <c r="G678" s="770">
        <v>183</v>
      </c>
      <c r="H678" s="770">
        <v>405</v>
      </c>
      <c r="I678" s="771">
        <v>0.45200000000000001</v>
      </c>
      <c r="J678" s="770" t="s">
        <v>496</v>
      </c>
      <c r="K678" s="770" t="s">
        <v>518</v>
      </c>
      <c r="L678" s="770" t="s">
        <v>2734</v>
      </c>
      <c r="M678" s="772">
        <v>12932</v>
      </c>
      <c r="N678" s="772">
        <v>70</v>
      </c>
    </row>
    <row r="679" spans="2:14" ht="37.5">
      <c r="B679" s="774">
        <v>401</v>
      </c>
      <c r="C679" s="770" t="s">
        <v>404</v>
      </c>
      <c r="D679" s="770" t="s">
        <v>2407</v>
      </c>
      <c r="E679" s="770" t="s">
        <v>1095</v>
      </c>
      <c r="F679" s="770" t="s">
        <v>1096</v>
      </c>
      <c r="G679" s="770">
        <v>191</v>
      </c>
      <c r="H679" s="770">
        <v>335</v>
      </c>
      <c r="I679" s="771">
        <v>0.56999999999999995</v>
      </c>
      <c r="J679" s="770" t="s">
        <v>496</v>
      </c>
      <c r="K679" s="770" t="s">
        <v>518</v>
      </c>
      <c r="L679" s="770" t="s">
        <v>2733</v>
      </c>
      <c r="M679" s="772">
        <v>127480</v>
      </c>
      <c r="N679" s="772">
        <v>667</v>
      </c>
    </row>
    <row r="680" spans="2:14" ht="37.5">
      <c r="B680" s="774">
        <v>401</v>
      </c>
      <c r="C680" s="770" t="s">
        <v>404</v>
      </c>
      <c r="D680" s="770" t="s">
        <v>2408</v>
      </c>
      <c r="E680" s="770" t="s">
        <v>1097</v>
      </c>
      <c r="F680" s="770" t="s">
        <v>1096</v>
      </c>
      <c r="G680" s="770">
        <v>43</v>
      </c>
      <c r="H680" s="770">
        <v>97</v>
      </c>
      <c r="I680" s="771">
        <v>0.443</v>
      </c>
      <c r="J680" s="770" t="s">
        <v>496</v>
      </c>
      <c r="K680" s="770" t="s">
        <v>518</v>
      </c>
      <c r="L680" s="770" t="s">
        <v>2732</v>
      </c>
      <c r="M680" s="772">
        <v>28706</v>
      </c>
      <c r="N680" s="772">
        <v>667</v>
      </c>
    </row>
    <row r="681" spans="2:14" ht="37.5">
      <c r="B681" s="774">
        <v>401</v>
      </c>
      <c r="C681" s="770" t="s">
        <v>404</v>
      </c>
      <c r="D681" s="770" t="s">
        <v>2409</v>
      </c>
      <c r="E681" s="770" t="s">
        <v>1098</v>
      </c>
      <c r="F681" s="770" t="s">
        <v>1096</v>
      </c>
      <c r="G681" s="770">
        <v>73</v>
      </c>
      <c r="H681" s="770">
        <v>187</v>
      </c>
      <c r="I681" s="771">
        <v>0.39</v>
      </c>
      <c r="J681" s="770" t="s">
        <v>496</v>
      </c>
      <c r="K681" s="770" t="s">
        <v>518</v>
      </c>
      <c r="L681" s="770" t="s">
        <v>2732</v>
      </c>
      <c r="M681" s="772">
        <v>41311</v>
      </c>
      <c r="N681" s="772">
        <v>565</v>
      </c>
    </row>
    <row r="682" spans="2:14" ht="37.5">
      <c r="B682" s="774">
        <v>401</v>
      </c>
      <c r="C682" s="770" t="s">
        <v>404</v>
      </c>
      <c r="D682" s="770" t="s">
        <v>2410</v>
      </c>
      <c r="E682" s="770" t="s">
        <v>2748</v>
      </c>
      <c r="F682" s="770" t="s">
        <v>546</v>
      </c>
      <c r="G682" s="770">
        <v>13</v>
      </c>
      <c r="H682" s="770">
        <v>30</v>
      </c>
      <c r="I682" s="771">
        <v>0.433</v>
      </c>
      <c r="J682" s="770" t="s">
        <v>496</v>
      </c>
      <c r="K682" s="770" t="s">
        <v>518</v>
      </c>
      <c r="L682" s="770" t="s">
        <v>2732</v>
      </c>
      <c r="M682" s="772">
        <v>532</v>
      </c>
      <c r="N682" s="772">
        <v>40</v>
      </c>
    </row>
    <row r="683" spans="2:14" ht="50">
      <c r="B683" s="774">
        <v>401</v>
      </c>
      <c r="C683" s="770" t="s">
        <v>404</v>
      </c>
      <c r="D683" s="770" t="s">
        <v>2412</v>
      </c>
      <c r="E683" s="770" t="s">
        <v>1099</v>
      </c>
      <c r="F683" s="770" t="s">
        <v>949</v>
      </c>
      <c r="G683" s="770">
        <v>118</v>
      </c>
      <c r="H683" s="770">
        <v>258</v>
      </c>
      <c r="I683" s="771">
        <v>0.45700000000000002</v>
      </c>
      <c r="J683" s="770" t="s">
        <v>496</v>
      </c>
      <c r="K683" s="770" t="s">
        <v>518</v>
      </c>
      <c r="L683" s="770" t="s">
        <v>2733</v>
      </c>
      <c r="M683" s="772">
        <v>74779</v>
      </c>
      <c r="N683" s="772">
        <v>633</v>
      </c>
    </row>
    <row r="684" spans="2:14">
      <c r="B684" s="773"/>
      <c r="C684" s="773"/>
      <c r="D684" s="773"/>
      <c r="E684" s="773"/>
      <c r="F684" s="773"/>
      <c r="G684" s="773"/>
      <c r="H684" s="773"/>
      <c r="I684" s="773"/>
      <c r="J684" s="773"/>
      <c r="K684" s="773"/>
      <c r="L684" s="773"/>
      <c r="M684" s="773"/>
      <c r="N684" s="773"/>
    </row>
    <row r="685" spans="2:14" ht="37.5">
      <c r="B685" s="774">
        <v>411</v>
      </c>
      <c r="C685" s="770" t="s">
        <v>405</v>
      </c>
      <c r="D685" s="770" t="s">
        <v>2415</v>
      </c>
      <c r="E685" s="770" t="s">
        <v>1100</v>
      </c>
      <c r="F685" s="770" t="s">
        <v>554</v>
      </c>
      <c r="G685" s="770">
        <v>675</v>
      </c>
      <c r="H685" s="770">
        <v>1010</v>
      </c>
      <c r="I685" s="771">
        <v>0.66800000000000004</v>
      </c>
      <c r="J685" s="770" t="s">
        <v>496</v>
      </c>
      <c r="K685" s="770" t="s">
        <v>518</v>
      </c>
      <c r="L685" s="770" t="s">
        <v>2734</v>
      </c>
      <c r="M685" s="772">
        <v>225000</v>
      </c>
      <c r="N685" s="772">
        <v>333</v>
      </c>
    </row>
    <row r="686" spans="2:14" ht="37.5">
      <c r="B686" s="774">
        <v>411</v>
      </c>
      <c r="C686" s="770" t="s">
        <v>405</v>
      </c>
      <c r="D686" s="770" t="s">
        <v>2416</v>
      </c>
      <c r="E686" s="770" t="s">
        <v>1101</v>
      </c>
      <c r="F686" s="770" t="s">
        <v>554</v>
      </c>
      <c r="G686" s="770">
        <v>443</v>
      </c>
      <c r="H686" s="770">
        <v>955</v>
      </c>
      <c r="I686" s="771">
        <v>0.46400000000000002</v>
      </c>
      <c r="J686" s="770" t="s">
        <v>496</v>
      </c>
      <c r="K686" s="770" t="s">
        <v>518</v>
      </c>
      <c r="L686" s="770" t="s">
        <v>2732</v>
      </c>
      <c r="M686" s="772">
        <v>97000</v>
      </c>
      <c r="N686" s="772">
        <v>218</v>
      </c>
    </row>
    <row r="687" spans="2:14" ht="25">
      <c r="B687" s="774">
        <v>411</v>
      </c>
      <c r="C687" s="770" t="s">
        <v>405</v>
      </c>
      <c r="D687" s="770" t="s">
        <v>2417</v>
      </c>
      <c r="E687" s="770" t="s">
        <v>1102</v>
      </c>
      <c r="F687" s="770" t="s">
        <v>557</v>
      </c>
      <c r="G687" s="770">
        <v>470</v>
      </c>
      <c r="H687" s="770">
        <v>1175</v>
      </c>
      <c r="I687" s="771">
        <v>0.4</v>
      </c>
      <c r="J687" s="770" t="s">
        <v>496</v>
      </c>
      <c r="K687" s="770" t="s">
        <v>497</v>
      </c>
      <c r="L687" s="770" t="s">
        <v>2734</v>
      </c>
      <c r="M687" s="772">
        <v>0</v>
      </c>
      <c r="N687" s="772">
        <v>0</v>
      </c>
    </row>
    <row r="688" spans="2:14" ht="37.5">
      <c r="B688" s="774">
        <v>411</v>
      </c>
      <c r="C688" s="770" t="s">
        <v>405</v>
      </c>
      <c r="D688" s="770" t="s">
        <v>2418</v>
      </c>
      <c r="E688" s="770" t="s">
        <v>1103</v>
      </c>
      <c r="F688" s="770" t="s">
        <v>564</v>
      </c>
      <c r="G688" s="770">
        <v>556</v>
      </c>
      <c r="H688" s="770">
        <v>698</v>
      </c>
      <c r="I688" s="771">
        <v>0.79700000000000004</v>
      </c>
      <c r="J688" s="770" t="s">
        <v>496</v>
      </c>
      <c r="K688" s="770" t="s">
        <v>518</v>
      </c>
      <c r="L688" s="770" t="s">
        <v>2734</v>
      </c>
      <c r="M688" s="772">
        <v>201000</v>
      </c>
      <c r="N688" s="772">
        <v>361</v>
      </c>
    </row>
    <row r="689" spans="2:14" ht="37.5">
      <c r="B689" s="774">
        <v>411</v>
      </c>
      <c r="C689" s="770" t="s">
        <v>405</v>
      </c>
      <c r="D689" s="770" t="s">
        <v>2419</v>
      </c>
      <c r="E689" s="770" t="s">
        <v>1104</v>
      </c>
      <c r="F689" s="770" t="s">
        <v>564</v>
      </c>
      <c r="G689" s="770">
        <v>406</v>
      </c>
      <c r="H689" s="770">
        <v>793</v>
      </c>
      <c r="I689" s="771">
        <v>0.51200000000000001</v>
      </c>
      <c r="J689" s="770" t="s">
        <v>496</v>
      </c>
      <c r="K689" s="770" t="s">
        <v>518</v>
      </c>
      <c r="L689" s="770" t="s">
        <v>2734</v>
      </c>
      <c r="M689" s="772">
        <v>125000</v>
      </c>
      <c r="N689" s="772">
        <v>307</v>
      </c>
    </row>
    <row r="690" spans="2:14" ht="37.5">
      <c r="B690" s="774">
        <v>411</v>
      </c>
      <c r="C690" s="770" t="s">
        <v>405</v>
      </c>
      <c r="D690" s="770" t="s">
        <v>2420</v>
      </c>
      <c r="E690" s="770" t="s">
        <v>1105</v>
      </c>
      <c r="F690" s="770" t="s">
        <v>564</v>
      </c>
      <c r="G690" s="770">
        <v>439</v>
      </c>
      <c r="H690" s="770">
        <v>760</v>
      </c>
      <c r="I690" s="771">
        <v>0.57799999999999996</v>
      </c>
      <c r="J690" s="770" t="s">
        <v>496</v>
      </c>
      <c r="K690" s="770" t="s">
        <v>518</v>
      </c>
      <c r="L690" s="770" t="s">
        <v>2734</v>
      </c>
      <c r="M690" s="772">
        <v>135000</v>
      </c>
      <c r="N690" s="772">
        <v>307</v>
      </c>
    </row>
    <row r="691" spans="2:14" ht="37.5">
      <c r="B691" s="774">
        <v>411</v>
      </c>
      <c r="C691" s="770" t="s">
        <v>405</v>
      </c>
      <c r="D691" s="770" t="s">
        <v>2421</v>
      </c>
      <c r="E691" s="770" t="s">
        <v>1106</v>
      </c>
      <c r="F691" s="770" t="s">
        <v>564</v>
      </c>
      <c r="G691" s="770">
        <v>281</v>
      </c>
      <c r="H691" s="770">
        <v>653</v>
      </c>
      <c r="I691" s="771">
        <v>0.43</v>
      </c>
      <c r="J691" s="770" t="s">
        <v>496</v>
      </c>
      <c r="K691" s="770" t="s">
        <v>518</v>
      </c>
      <c r="L691" s="770" t="s">
        <v>2732</v>
      </c>
      <c r="M691" s="772">
        <v>75503</v>
      </c>
      <c r="N691" s="772">
        <v>268</v>
      </c>
    </row>
    <row r="692" spans="2:14" ht="37.5">
      <c r="B692" s="774">
        <v>411</v>
      </c>
      <c r="C692" s="770" t="s">
        <v>405</v>
      </c>
      <c r="D692" s="770" t="s">
        <v>2422</v>
      </c>
      <c r="E692" s="770" t="s">
        <v>989</v>
      </c>
      <c r="F692" s="770" t="s">
        <v>564</v>
      </c>
      <c r="G692" s="770">
        <v>424</v>
      </c>
      <c r="H692" s="770">
        <v>596</v>
      </c>
      <c r="I692" s="771">
        <v>0.71099999999999997</v>
      </c>
      <c r="J692" s="770" t="s">
        <v>496</v>
      </c>
      <c r="K692" s="770" t="s">
        <v>518</v>
      </c>
      <c r="L692" s="770" t="s">
        <v>2733</v>
      </c>
      <c r="M692" s="772">
        <v>153200</v>
      </c>
      <c r="N692" s="772">
        <v>361</v>
      </c>
    </row>
    <row r="693" spans="2:14" ht="37.5">
      <c r="B693" s="774">
        <v>411</v>
      </c>
      <c r="C693" s="770" t="s">
        <v>405</v>
      </c>
      <c r="D693" s="770" t="s">
        <v>2423</v>
      </c>
      <c r="E693" s="770" t="s">
        <v>1107</v>
      </c>
      <c r="F693" s="770" t="s">
        <v>564</v>
      </c>
      <c r="G693" s="770">
        <v>350</v>
      </c>
      <c r="H693" s="770">
        <v>387</v>
      </c>
      <c r="I693" s="771">
        <v>0.90400000000000003</v>
      </c>
      <c r="J693" s="770" t="s">
        <v>496</v>
      </c>
      <c r="K693" s="770" t="s">
        <v>518</v>
      </c>
      <c r="L693" s="770" t="s">
        <v>2734</v>
      </c>
      <c r="M693" s="772">
        <v>126500</v>
      </c>
      <c r="N693" s="772">
        <v>361</v>
      </c>
    </row>
    <row r="694" spans="2:14" ht="37.5">
      <c r="B694" s="774">
        <v>411</v>
      </c>
      <c r="C694" s="770" t="s">
        <v>405</v>
      </c>
      <c r="D694" s="770" t="s">
        <v>2424</v>
      </c>
      <c r="E694" s="770" t="s">
        <v>806</v>
      </c>
      <c r="F694" s="770" t="s">
        <v>564</v>
      </c>
      <c r="G694" s="770">
        <v>499</v>
      </c>
      <c r="H694" s="770">
        <v>537</v>
      </c>
      <c r="I694" s="771">
        <v>0.92900000000000005</v>
      </c>
      <c r="J694" s="770" t="s">
        <v>496</v>
      </c>
      <c r="K694" s="770" t="s">
        <v>518</v>
      </c>
      <c r="L694" s="770" t="s">
        <v>2733</v>
      </c>
      <c r="M694" s="772">
        <v>180500</v>
      </c>
      <c r="N694" s="772">
        <v>361</v>
      </c>
    </row>
    <row r="695" spans="2:14" ht="37.5">
      <c r="B695" s="774">
        <v>411</v>
      </c>
      <c r="C695" s="770" t="s">
        <v>405</v>
      </c>
      <c r="D695" s="770" t="s">
        <v>2425</v>
      </c>
      <c r="E695" s="770" t="s">
        <v>1108</v>
      </c>
      <c r="F695" s="770" t="s">
        <v>557</v>
      </c>
      <c r="G695" s="770">
        <v>130</v>
      </c>
      <c r="H695" s="770">
        <v>197</v>
      </c>
      <c r="I695" s="771">
        <v>0.66</v>
      </c>
      <c r="J695" s="770" t="s">
        <v>496</v>
      </c>
      <c r="K695" s="770" t="s">
        <v>518</v>
      </c>
      <c r="L695" s="770" t="s">
        <v>2732</v>
      </c>
      <c r="M695" s="772">
        <v>54200</v>
      </c>
      <c r="N695" s="772">
        <v>416</v>
      </c>
    </row>
    <row r="696" spans="2:14" ht="37.5">
      <c r="B696" s="774">
        <v>411</v>
      </c>
      <c r="C696" s="770" t="s">
        <v>405</v>
      </c>
      <c r="D696" s="770" t="s">
        <v>2427</v>
      </c>
      <c r="E696" s="770" t="s">
        <v>1109</v>
      </c>
      <c r="F696" s="770" t="s">
        <v>546</v>
      </c>
      <c r="G696" s="770">
        <v>64</v>
      </c>
      <c r="H696" s="770">
        <v>79</v>
      </c>
      <c r="I696" s="771">
        <v>0.81</v>
      </c>
      <c r="J696" s="770" t="s">
        <v>496</v>
      </c>
      <c r="K696" s="770" t="s">
        <v>518</v>
      </c>
      <c r="L696" s="770" t="s">
        <v>2733</v>
      </c>
      <c r="M696" s="772">
        <v>30000</v>
      </c>
      <c r="N696" s="772">
        <v>468</v>
      </c>
    </row>
    <row r="697" spans="2:14" ht="25">
      <c r="B697" s="774">
        <v>411</v>
      </c>
      <c r="C697" s="770" t="s">
        <v>405</v>
      </c>
      <c r="D697" s="770" t="s">
        <v>2429</v>
      </c>
      <c r="E697" s="770" t="s">
        <v>1110</v>
      </c>
      <c r="F697" s="770" t="s">
        <v>557</v>
      </c>
      <c r="G697" s="770">
        <v>615</v>
      </c>
      <c r="H697" s="770">
        <v>1174</v>
      </c>
      <c r="I697" s="771">
        <v>0.52400000000000002</v>
      </c>
      <c r="J697" s="770" t="s">
        <v>496</v>
      </c>
      <c r="K697" s="770" t="s">
        <v>497</v>
      </c>
      <c r="L697" s="770" t="s">
        <v>2734</v>
      </c>
      <c r="M697" s="772">
        <v>0</v>
      </c>
      <c r="N697" s="772">
        <v>0</v>
      </c>
    </row>
    <row r="698" spans="2:14">
      <c r="B698" s="773"/>
      <c r="C698" s="773"/>
      <c r="D698" s="773"/>
      <c r="E698" s="773"/>
      <c r="F698" s="773"/>
      <c r="G698" s="773"/>
      <c r="H698" s="773"/>
      <c r="I698" s="773"/>
      <c r="J698" s="773"/>
      <c r="K698" s="773"/>
      <c r="L698" s="773"/>
      <c r="M698" s="773"/>
      <c r="N698" s="773"/>
    </row>
    <row r="699" spans="2:14" ht="25">
      <c r="B699" s="774">
        <v>412</v>
      </c>
      <c r="C699" s="770" t="s">
        <v>406</v>
      </c>
      <c r="D699" s="770" t="s">
        <v>2432</v>
      </c>
      <c r="E699" s="770" t="s">
        <v>1111</v>
      </c>
      <c r="F699" s="770" t="s">
        <v>554</v>
      </c>
      <c r="G699" s="770">
        <v>203</v>
      </c>
      <c r="H699" s="770">
        <v>286</v>
      </c>
      <c r="I699" s="771">
        <v>0.71</v>
      </c>
      <c r="J699" s="770" t="s">
        <v>496</v>
      </c>
      <c r="K699" s="770" t="s">
        <v>662</v>
      </c>
      <c r="L699" s="770" t="s">
        <v>2734</v>
      </c>
      <c r="M699" s="772">
        <v>119138</v>
      </c>
      <c r="N699" s="772">
        <v>586</v>
      </c>
    </row>
    <row r="700" spans="2:14" ht="25">
      <c r="B700" s="774">
        <v>412</v>
      </c>
      <c r="C700" s="770" t="s">
        <v>406</v>
      </c>
      <c r="D700" s="770" t="s">
        <v>2433</v>
      </c>
      <c r="E700" s="770" t="s">
        <v>1112</v>
      </c>
      <c r="F700" s="770" t="s">
        <v>557</v>
      </c>
      <c r="G700" s="770">
        <v>184</v>
      </c>
      <c r="H700" s="770">
        <v>356</v>
      </c>
      <c r="I700" s="771">
        <v>0.51700000000000002</v>
      </c>
      <c r="J700" s="770" t="s">
        <v>496</v>
      </c>
      <c r="K700" s="770" t="s">
        <v>497</v>
      </c>
      <c r="L700" s="770" t="s">
        <v>2734</v>
      </c>
      <c r="M700" s="772">
        <v>0</v>
      </c>
      <c r="N700" s="772">
        <v>0</v>
      </c>
    </row>
    <row r="701" spans="2:14" ht="37.5">
      <c r="B701" s="774">
        <v>412</v>
      </c>
      <c r="C701" s="770" t="s">
        <v>406</v>
      </c>
      <c r="D701" s="770" t="s">
        <v>2434</v>
      </c>
      <c r="E701" s="770" t="s">
        <v>1113</v>
      </c>
      <c r="F701" s="770" t="s">
        <v>564</v>
      </c>
      <c r="G701" s="770">
        <v>462</v>
      </c>
      <c r="H701" s="770">
        <v>632</v>
      </c>
      <c r="I701" s="771">
        <v>0.73099999999999998</v>
      </c>
      <c r="J701" s="770" t="s">
        <v>496</v>
      </c>
      <c r="K701" s="770" t="s">
        <v>662</v>
      </c>
      <c r="L701" s="770" t="s">
        <v>2734</v>
      </c>
      <c r="M701" s="772">
        <v>219380</v>
      </c>
      <c r="N701" s="772">
        <v>474</v>
      </c>
    </row>
    <row r="702" spans="2:14">
      <c r="B702" s="773"/>
      <c r="C702" s="773"/>
      <c r="D702" s="773"/>
      <c r="E702" s="773"/>
      <c r="F702" s="773"/>
      <c r="G702" s="773"/>
      <c r="H702" s="773"/>
      <c r="I702" s="773"/>
      <c r="J702" s="773"/>
      <c r="K702" s="773"/>
      <c r="L702" s="773"/>
      <c r="M702" s="773"/>
      <c r="N702" s="773"/>
    </row>
    <row r="703" spans="2:14" ht="25">
      <c r="B703" s="774">
        <v>413</v>
      </c>
      <c r="C703" s="770" t="s">
        <v>407</v>
      </c>
      <c r="D703" s="770" t="s">
        <v>2436</v>
      </c>
      <c r="E703" s="770" t="s">
        <v>1114</v>
      </c>
      <c r="F703" s="770" t="s">
        <v>557</v>
      </c>
      <c r="G703" s="770">
        <v>158</v>
      </c>
      <c r="H703" s="770">
        <v>431</v>
      </c>
      <c r="I703" s="771">
        <v>0.36699999999999999</v>
      </c>
      <c r="J703" s="770" t="s">
        <v>496</v>
      </c>
      <c r="K703" s="770" t="s">
        <v>497</v>
      </c>
      <c r="L703" s="770" t="s">
        <v>2734</v>
      </c>
      <c r="M703" s="772">
        <v>0</v>
      </c>
      <c r="N703" s="772">
        <v>0</v>
      </c>
    </row>
    <row r="704" spans="2:14" ht="25">
      <c r="B704" s="774">
        <v>413</v>
      </c>
      <c r="C704" s="770" t="s">
        <v>407</v>
      </c>
      <c r="D704" s="770" t="s">
        <v>2437</v>
      </c>
      <c r="E704" s="770" t="s">
        <v>1115</v>
      </c>
      <c r="F704" s="770" t="s">
        <v>596</v>
      </c>
      <c r="G704" s="770">
        <v>132</v>
      </c>
      <c r="H704" s="770">
        <v>265</v>
      </c>
      <c r="I704" s="771">
        <v>0.498</v>
      </c>
      <c r="J704" s="770" t="s">
        <v>496</v>
      </c>
      <c r="K704" s="770" t="s">
        <v>624</v>
      </c>
      <c r="L704" s="770" t="s">
        <v>2734</v>
      </c>
      <c r="M704" s="772">
        <v>65042</v>
      </c>
      <c r="N704" s="772">
        <v>492</v>
      </c>
    </row>
    <row r="705" spans="2:14" ht="37.5">
      <c r="B705" s="774">
        <v>413</v>
      </c>
      <c r="C705" s="770" t="s">
        <v>407</v>
      </c>
      <c r="D705" s="770" t="s">
        <v>2438</v>
      </c>
      <c r="E705" s="770" t="s">
        <v>1116</v>
      </c>
      <c r="F705" s="770" t="s">
        <v>612</v>
      </c>
      <c r="G705" s="770">
        <v>224</v>
      </c>
      <c r="H705" s="770">
        <v>483</v>
      </c>
      <c r="I705" s="771">
        <v>0.46400000000000002</v>
      </c>
      <c r="J705" s="770" t="s">
        <v>496</v>
      </c>
      <c r="K705" s="770" t="s">
        <v>518</v>
      </c>
      <c r="L705" s="770" t="s">
        <v>2734</v>
      </c>
      <c r="M705" s="772">
        <v>87000</v>
      </c>
      <c r="N705" s="772">
        <v>388</v>
      </c>
    </row>
    <row r="706" spans="2:14" ht="37.5">
      <c r="B706" s="774">
        <v>413</v>
      </c>
      <c r="C706" s="770" t="s">
        <v>407</v>
      </c>
      <c r="D706" s="770" t="s">
        <v>2439</v>
      </c>
      <c r="E706" s="770" t="s">
        <v>1117</v>
      </c>
      <c r="F706" s="770" t="s">
        <v>564</v>
      </c>
      <c r="G706" s="770">
        <v>47</v>
      </c>
      <c r="H706" s="770">
        <v>62</v>
      </c>
      <c r="I706" s="771">
        <v>0.75800000000000001</v>
      </c>
      <c r="J706" s="770" t="s">
        <v>496</v>
      </c>
      <c r="K706" s="770" t="s">
        <v>518</v>
      </c>
      <c r="L706" s="770" t="s">
        <v>2732</v>
      </c>
      <c r="M706" s="772">
        <v>30599</v>
      </c>
      <c r="N706" s="772">
        <v>651</v>
      </c>
    </row>
    <row r="707" spans="2:14" ht="37.5">
      <c r="B707" s="774">
        <v>413</v>
      </c>
      <c r="C707" s="770" t="s">
        <v>407</v>
      </c>
      <c r="D707" s="770" t="s">
        <v>2440</v>
      </c>
      <c r="E707" s="770" t="s">
        <v>2441</v>
      </c>
      <c r="F707" s="770" t="s">
        <v>618</v>
      </c>
      <c r="G707" s="770">
        <v>191</v>
      </c>
      <c r="H707" s="770">
        <v>384</v>
      </c>
      <c r="I707" s="771">
        <v>0.497</v>
      </c>
      <c r="J707" s="770" t="s">
        <v>496</v>
      </c>
      <c r="K707" s="770" t="s">
        <v>518</v>
      </c>
      <c r="L707" s="770" t="s">
        <v>2734</v>
      </c>
      <c r="M707" s="772">
        <v>83000</v>
      </c>
      <c r="N707" s="772">
        <v>434</v>
      </c>
    </row>
    <row r="708" spans="2:14">
      <c r="B708" s="773"/>
      <c r="C708" s="773"/>
      <c r="D708" s="773"/>
      <c r="E708" s="773"/>
      <c r="F708" s="773"/>
      <c r="G708" s="773"/>
      <c r="H708" s="773"/>
      <c r="I708" s="773"/>
      <c r="J708" s="773"/>
      <c r="K708" s="773"/>
      <c r="L708" s="773"/>
      <c r="M708" s="773"/>
      <c r="N708" s="773"/>
    </row>
    <row r="709" spans="2:14" ht="25">
      <c r="B709" s="774">
        <v>414</v>
      </c>
      <c r="C709" s="770" t="s">
        <v>408</v>
      </c>
      <c r="D709" s="770" t="s">
        <v>2443</v>
      </c>
      <c r="E709" s="770" t="s">
        <v>1119</v>
      </c>
      <c r="F709" s="770" t="s">
        <v>557</v>
      </c>
      <c r="G709" s="770">
        <v>97</v>
      </c>
      <c r="H709" s="770">
        <v>477</v>
      </c>
      <c r="I709" s="771">
        <v>0.20300000000000001</v>
      </c>
      <c r="J709" s="770" t="s">
        <v>501</v>
      </c>
      <c r="K709" s="770" t="s">
        <v>497</v>
      </c>
      <c r="L709" s="770" t="s">
        <v>2732</v>
      </c>
      <c r="M709" s="772">
        <v>0</v>
      </c>
      <c r="N709" s="772">
        <v>0</v>
      </c>
    </row>
    <row r="710" spans="2:14" ht="37.5">
      <c r="B710" s="774">
        <v>414</v>
      </c>
      <c r="C710" s="770" t="s">
        <v>408</v>
      </c>
      <c r="D710" s="770" t="s">
        <v>2444</v>
      </c>
      <c r="E710" s="770" t="s">
        <v>1120</v>
      </c>
      <c r="F710" s="770" t="s">
        <v>554</v>
      </c>
      <c r="G710" s="770">
        <v>165</v>
      </c>
      <c r="H710" s="770">
        <v>441</v>
      </c>
      <c r="I710" s="771">
        <v>0.374</v>
      </c>
      <c r="J710" s="770" t="s">
        <v>496</v>
      </c>
      <c r="K710" s="770" t="s">
        <v>624</v>
      </c>
      <c r="L710" s="770" t="s">
        <v>2732</v>
      </c>
      <c r="M710" s="772">
        <v>28895</v>
      </c>
      <c r="N710" s="772">
        <v>175</v>
      </c>
    </row>
    <row r="711" spans="2:14" ht="37.5">
      <c r="B711" s="774">
        <v>414</v>
      </c>
      <c r="C711" s="770" t="s">
        <v>408</v>
      </c>
      <c r="D711" s="770" t="s">
        <v>2445</v>
      </c>
      <c r="E711" s="770" t="s">
        <v>1121</v>
      </c>
      <c r="F711" s="770" t="s">
        <v>564</v>
      </c>
      <c r="G711" s="770">
        <v>378</v>
      </c>
      <c r="H711" s="770">
        <v>943</v>
      </c>
      <c r="I711" s="771">
        <v>0.40100000000000002</v>
      </c>
      <c r="J711" s="770" t="s">
        <v>496</v>
      </c>
      <c r="K711" s="770" t="s">
        <v>624</v>
      </c>
      <c r="L711" s="770" t="s">
        <v>2732</v>
      </c>
      <c r="M711" s="772">
        <v>176032</v>
      </c>
      <c r="N711" s="772">
        <v>465</v>
      </c>
    </row>
    <row r="712" spans="2:14">
      <c r="B712" s="773"/>
      <c r="C712" s="773"/>
      <c r="D712" s="773"/>
      <c r="E712" s="773"/>
      <c r="F712" s="773"/>
      <c r="G712" s="773"/>
      <c r="H712" s="773"/>
      <c r="I712" s="773"/>
      <c r="J712" s="773"/>
      <c r="K712" s="773"/>
      <c r="L712" s="773"/>
      <c r="M712" s="773"/>
      <c r="N712" s="773"/>
    </row>
    <row r="713" spans="2:14" ht="25">
      <c r="B713" s="774">
        <v>415</v>
      </c>
      <c r="C713" s="770" t="s">
        <v>409</v>
      </c>
      <c r="D713" s="770" t="s">
        <v>2447</v>
      </c>
      <c r="E713" s="770" t="s">
        <v>1122</v>
      </c>
      <c r="F713" s="770" t="s">
        <v>546</v>
      </c>
      <c r="G713" s="770">
        <v>67</v>
      </c>
      <c r="H713" s="770">
        <v>100</v>
      </c>
      <c r="I713" s="771">
        <v>0.67</v>
      </c>
      <c r="J713" s="770" t="s">
        <v>496</v>
      </c>
      <c r="K713" s="770" t="s">
        <v>497</v>
      </c>
      <c r="L713" s="770" t="s">
        <v>2732</v>
      </c>
      <c r="M713" s="772">
        <v>0</v>
      </c>
      <c r="N713" s="772">
        <v>0</v>
      </c>
    </row>
    <row r="714" spans="2:14" ht="37.5">
      <c r="B714" s="774">
        <v>415</v>
      </c>
      <c r="C714" s="770" t="s">
        <v>409</v>
      </c>
      <c r="D714" s="770" t="s">
        <v>2448</v>
      </c>
      <c r="E714" s="770" t="s">
        <v>1123</v>
      </c>
      <c r="F714" s="770" t="s">
        <v>512</v>
      </c>
      <c r="G714" s="770">
        <v>168</v>
      </c>
      <c r="H714" s="770">
        <v>200</v>
      </c>
      <c r="I714" s="771">
        <v>0.84</v>
      </c>
      <c r="J714" s="770" t="s">
        <v>496</v>
      </c>
      <c r="K714" s="770" t="s">
        <v>518</v>
      </c>
      <c r="L714" s="770" t="s">
        <v>2735</v>
      </c>
      <c r="M714" s="772">
        <v>134510</v>
      </c>
      <c r="N714" s="772">
        <v>800</v>
      </c>
    </row>
    <row r="715" spans="2:14">
      <c r="B715" s="773"/>
      <c r="C715" s="773"/>
      <c r="D715" s="773"/>
      <c r="E715" s="773"/>
      <c r="F715" s="773"/>
      <c r="G715" s="773"/>
      <c r="H715" s="773"/>
      <c r="I715" s="773"/>
      <c r="J715" s="773"/>
      <c r="K715" s="773"/>
      <c r="L715" s="773"/>
      <c r="M715" s="773"/>
      <c r="N715" s="773"/>
    </row>
    <row r="716" spans="2:14" ht="50">
      <c r="B716" s="774">
        <v>417</v>
      </c>
      <c r="C716" s="770" t="s">
        <v>411</v>
      </c>
      <c r="D716" s="770" t="s">
        <v>2453</v>
      </c>
      <c r="E716" s="770" t="s">
        <v>1124</v>
      </c>
      <c r="F716" s="770" t="s">
        <v>623</v>
      </c>
      <c r="G716" s="770">
        <v>198</v>
      </c>
      <c r="H716" s="770">
        <v>303</v>
      </c>
      <c r="I716" s="771">
        <v>0.65300000000000002</v>
      </c>
      <c r="J716" s="770" t="s">
        <v>496</v>
      </c>
      <c r="K716" s="770" t="s">
        <v>624</v>
      </c>
      <c r="L716" s="770" t="s">
        <v>2734</v>
      </c>
      <c r="M716" s="772">
        <v>62492</v>
      </c>
      <c r="N716" s="772">
        <v>315</v>
      </c>
    </row>
    <row r="717" spans="2:14">
      <c r="B717" s="773"/>
      <c r="C717" s="773"/>
      <c r="D717" s="773"/>
      <c r="E717" s="773"/>
      <c r="F717" s="773"/>
      <c r="G717" s="773"/>
      <c r="H717" s="773"/>
      <c r="I717" s="773"/>
      <c r="J717" s="773"/>
      <c r="K717" s="773"/>
      <c r="L717" s="773"/>
      <c r="M717" s="773"/>
      <c r="N717" s="773"/>
    </row>
    <row r="718" spans="2:14" ht="50">
      <c r="B718" s="774">
        <v>418</v>
      </c>
      <c r="C718" s="770" t="s">
        <v>412</v>
      </c>
      <c r="D718" s="770" t="s">
        <v>2455</v>
      </c>
      <c r="E718" s="770" t="s">
        <v>1125</v>
      </c>
      <c r="F718" s="770" t="s">
        <v>1126</v>
      </c>
      <c r="G718" s="770">
        <v>230</v>
      </c>
      <c r="H718" s="770">
        <v>306</v>
      </c>
      <c r="I718" s="771">
        <v>0.752</v>
      </c>
      <c r="J718" s="770" t="s">
        <v>496</v>
      </c>
      <c r="K718" s="770" t="s">
        <v>624</v>
      </c>
      <c r="L718" s="770" t="s">
        <v>2732</v>
      </c>
      <c r="M718" s="772">
        <v>57075</v>
      </c>
      <c r="N718" s="772">
        <v>248</v>
      </c>
    </row>
    <row r="719" spans="2:14">
      <c r="B719" s="773"/>
      <c r="C719" s="773"/>
      <c r="D719" s="773"/>
      <c r="E719" s="773"/>
      <c r="F719" s="773"/>
      <c r="G719" s="773"/>
      <c r="H719" s="773"/>
      <c r="I719" s="773"/>
      <c r="J719" s="773"/>
      <c r="K719" s="773"/>
      <c r="L719" s="773"/>
      <c r="M719" s="773"/>
      <c r="N719" s="773"/>
    </row>
    <row r="720" spans="2:14" ht="50">
      <c r="B720" s="774">
        <v>421</v>
      </c>
      <c r="C720" s="770" t="s">
        <v>1534</v>
      </c>
      <c r="D720" s="770" t="s">
        <v>2458</v>
      </c>
      <c r="E720" s="770" t="s">
        <v>1128</v>
      </c>
      <c r="F720" s="770" t="s">
        <v>557</v>
      </c>
      <c r="G720" s="770">
        <v>69</v>
      </c>
      <c r="H720" s="770">
        <v>283</v>
      </c>
      <c r="I720" s="771">
        <v>0.24399999999999999</v>
      </c>
      <c r="J720" s="770" t="s">
        <v>501</v>
      </c>
      <c r="K720" s="770" t="s">
        <v>497</v>
      </c>
      <c r="L720" s="770" t="s">
        <v>2732</v>
      </c>
      <c r="M720" s="772">
        <v>0</v>
      </c>
      <c r="N720" s="772">
        <v>0</v>
      </c>
    </row>
    <row r="721" spans="2:14" ht="50">
      <c r="B721" s="774">
        <v>421</v>
      </c>
      <c r="C721" s="770" t="s">
        <v>1534</v>
      </c>
      <c r="D721" s="770" t="s">
        <v>2460</v>
      </c>
      <c r="E721" s="770" t="s">
        <v>1129</v>
      </c>
      <c r="F721" s="770" t="s">
        <v>554</v>
      </c>
      <c r="G721" s="770">
        <v>89</v>
      </c>
      <c r="H721" s="770">
        <v>259</v>
      </c>
      <c r="I721" s="771">
        <v>0.34399999999999997</v>
      </c>
      <c r="J721" s="770" t="s">
        <v>501</v>
      </c>
      <c r="K721" s="770" t="s">
        <v>497</v>
      </c>
      <c r="L721" s="770" t="s">
        <v>2732</v>
      </c>
      <c r="M721" s="772">
        <v>0</v>
      </c>
      <c r="N721" s="772">
        <v>0</v>
      </c>
    </row>
    <row r="722" spans="2:14" ht="50">
      <c r="B722" s="774">
        <v>421</v>
      </c>
      <c r="C722" s="770" t="s">
        <v>1534</v>
      </c>
      <c r="D722" s="770" t="s">
        <v>2461</v>
      </c>
      <c r="E722" s="770" t="s">
        <v>1130</v>
      </c>
      <c r="F722" s="770" t="s">
        <v>564</v>
      </c>
      <c r="G722" s="770">
        <v>124</v>
      </c>
      <c r="H722" s="770">
        <v>340</v>
      </c>
      <c r="I722" s="771">
        <v>0.36499999999999999</v>
      </c>
      <c r="J722" s="770" t="s">
        <v>496</v>
      </c>
      <c r="K722" s="770" t="s">
        <v>624</v>
      </c>
      <c r="L722" s="770" t="s">
        <v>2732</v>
      </c>
      <c r="M722" s="772">
        <v>99704</v>
      </c>
      <c r="N722" s="772">
        <v>804</v>
      </c>
    </row>
    <row r="723" spans="2:14" ht="50">
      <c r="B723" s="774">
        <v>421</v>
      </c>
      <c r="C723" s="770" t="s">
        <v>1534</v>
      </c>
      <c r="D723" s="770" t="s">
        <v>2462</v>
      </c>
      <c r="E723" s="770" t="s">
        <v>1131</v>
      </c>
      <c r="F723" s="770" t="s">
        <v>564</v>
      </c>
      <c r="G723" s="770">
        <v>68</v>
      </c>
      <c r="H723" s="770">
        <v>158</v>
      </c>
      <c r="I723" s="771">
        <v>0.43</v>
      </c>
      <c r="J723" s="770" t="s">
        <v>496</v>
      </c>
      <c r="K723" s="770" t="s">
        <v>624</v>
      </c>
      <c r="L723" s="770" t="s">
        <v>2732</v>
      </c>
      <c r="M723" s="772">
        <v>55000</v>
      </c>
      <c r="N723" s="772">
        <v>808</v>
      </c>
    </row>
    <row r="724" spans="2:14">
      <c r="B724" s="773"/>
      <c r="C724" s="773"/>
      <c r="D724" s="773"/>
      <c r="E724" s="773"/>
      <c r="F724" s="773"/>
      <c r="G724" s="773"/>
      <c r="H724" s="773"/>
      <c r="I724" s="773"/>
      <c r="J724" s="773"/>
      <c r="K724" s="773"/>
      <c r="L724" s="773"/>
      <c r="M724" s="773"/>
      <c r="N724" s="773"/>
    </row>
    <row r="725" spans="2:14" ht="25">
      <c r="B725" s="774">
        <v>422</v>
      </c>
      <c r="C725" s="770" t="s">
        <v>414</v>
      </c>
      <c r="D725" s="770" t="s">
        <v>2466</v>
      </c>
      <c r="E725" s="770" t="s">
        <v>1132</v>
      </c>
      <c r="F725" s="770" t="s">
        <v>546</v>
      </c>
      <c r="G725" s="770">
        <v>75</v>
      </c>
      <c r="H725" s="770">
        <v>135</v>
      </c>
      <c r="I725" s="771">
        <v>0.55600000000000005</v>
      </c>
      <c r="J725" s="770" t="s">
        <v>496</v>
      </c>
      <c r="K725" s="770" t="s">
        <v>497</v>
      </c>
      <c r="L725" s="770" t="s">
        <v>2734</v>
      </c>
      <c r="M725" s="772">
        <v>0</v>
      </c>
      <c r="N725" s="772">
        <v>0</v>
      </c>
    </row>
    <row r="726" spans="2:14" ht="37.5">
      <c r="B726" s="774">
        <v>422</v>
      </c>
      <c r="C726" s="770" t="s">
        <v>414</v>
      </c>
      <c r="D726" s="770" t="s">
        <v>2467</v>
      </c>
      <c r="E726" s="770" t="s">
        <v>1133</v>
      </c>
      <c r="F726" s="770" t="s">
        <v>512</v>
      </c>
      <c r="G726" s="770">
        <v>84</v>
      </c>
      <c r="H726" s="770">
        <v>130</v>
      </c>
      <c r="I726" s="771">
        <v>0.64600000000000002</v>
      </c>
      <c r="J726" s="770" t="s">
        <v>496</v>
      </c>
      <c r="K726" s="770" t="s">
        <v>518</v>
      </c>
      <c r="L726" s="770" t="s">
        <v>2732</v>
      </c>
      <c r="M726" s="772">
        <v>67274</v>
      </c>
      <c r="N726" s="772">
        <v>800</v>
      </c>
    </row>
    <row r="727" spans="2:14">
      <c r="B727" s="773"/>
      <c r="C727" s="773"/>
      <c r="D727" s="773"/>
      <c r="E727" s="773"/>
      <c r="F727" s="773"/>
      <c r="G727" s="773"/>
      <c r="H727" s="773"/>
      <c r="I727" s="773"/>
      <c r="J727" s="773"/>
      <c r="K727" s="773"/>
      <c r="L727" s="773"/>
      <c r="M727" s="773"/>
      <c r="N727" s="773"/>
    </row>
    <row r="728" spans="2:14" ht="37.5">
      <c r="B728" s="774">
        <v>431</v>
      </c>
      <c r="C728" s="770" t="s">
        <v>415</v>
      </c>
      <c r="D728" s="770" t="s">
        <v>2469</v>
      </c>
      <c r="E728" s="770" t="s">
        <v>1134</v>
      </c>
      <c r="F728" s="770" t="s">
        <v>554</v>
      </c>
      <c r="G728" s="770">
        <v>254</v>
      </c>
      <c r="H728" s="770">
        <v>418</v>
      </c>
      <c r="I728" s="771">
        <v>0.60799999999999998</v>
      </c>
      <c r="J728" s="770" t="s">
        <v>496</v>
      </c>
      <c r="K728" s="770" t="s">
        <v>497</v>
      </c>
      <c r="L728" s="770" t="s">
        <v>2734</v>
      </c>
      <c r="M728" s="772">
        <v>0</v>
      </c>
      <c r="N728" s="772">
        <v>0</v>
      </c>
    </row>
    <row r="729" spans="2:14" ht="25">
      <c r="B729" s="774">
        <v>431</v>
      </c>
      <c r="C729" s="770" t="s">
        <v>415</v>
      </c>
      <c r="D729" s="770" t="s">
        <v>2470</v>
      </c>
      <c r="E729" s="770" t="s">
        <v>1135</v>
      </c>
      <c r="F729" s="770" t="s">
        <v>557</v>
      </c>
      <c r="G729" s="770">
        <v>265</v>
      </c>
      <c r="H729" s="770">
        <v>485</v>
      </c>
      <c r="I729" s="771">
        <v>0.54600000000000004</v>
      </c>
      <c r="J729" s="770" t="s">
        <v>496</v>
      </c>
      <c r="K729" s="770" t="s">
        <v>497</v>
      </c>
      <c r="L729" s="770" t="s">
        <v>2734</v>
      </c>
      <c r="M729" s="772">
        <v>0</v>
      </c>
      <c r="N729" s="772">
        <v>0</v>
      </c>
    </row>
    <row r="730" spans="2:14" ht="37.5">
      <c r="B730" s="774">
        <v>431</v>
      </c>
      <c r="C730" s="770" t="s">
        <v>415</v>
      </c>
      <c r="D730" s="770" t="s">
        <v>2471</v>
      </c>
      <c r="E730" s="770" t="s">
        <v>1136</v>
      </c>
      <c r="F730" s="770" t="s">
        <v>612</v>
      </c>
      <c r="G730" s="770">
        <v>292</v>
      </c>
      <c r="H730" s="770">
        <v>454</v>
      </c>
      <c r="I730" s="771">
        <v>0.64300000000000002</v>
      </c>
      <c r="J730" s="770" t="s">
        <v>496</v>
      </c>
      <c r="K730" s="770" t="s">
        <v>518</v>
      </c>
      <c r="L730" s="770" t="s">
        <v>2732</v>
      </c>
      <c r="M730" s="772">
        <v>182636</v>
      </c>
      <c r="N730" s="772">
        <v>625</v>
      </c>
    </row>
    <row r="731" spans="2:14" ht="37.5">
      <c r="B731" s="774">
        <v>431</v>
      </c>
      <c r="C731" s="770" t="s">
        <v>415</v>
      </c>
      <c r="D731" s="770" t="s">
        <v>2472</v>
      </c>
      <c r="E731" s="770" t="s">
        <v>1137</v>
      </c>
      <c r="F731" s="770" t="s">
        <v>949</v>
      </c>
      <c r="G731" s="770">
        <v>153</v>
      </c>
      <c r="H731" s="770">
        <v>257</v>
      </c>
      <c r="I731" s="771">
        <v>0.59499999999999997</v>
      </c>
      <c r="J731" s="770" t="s">
        <v>496</v>
      </c>
      <c r="K731" s="770" t="s">
        <v>518</v>
      </c>
      <c r="L731" s="770" t="s">
        <v>2732</v>
      </c>
      <c r="M731" s="772">
        <v>104294</v>
      </c>
      <c r="N731" s="772">
        <v>681</v>
      </c>
    </row>
    <row r="732" spans="2:14">
      <c r="B732" s="773"/>
      <c r="C732" s="773"/>
      <c r="D732" s="773"/>
      <c r="E732" s="773"/>
      <c r="F732" s="773"/>
      <c r="G732" s="773"/>
      <c r="H732" s="773"/>
      <c r="I732" s="773"/>
      <c r="J732" s="773"/>
      <c r="K732" s="773"/>
      <c r="L732" s="773"/>
      <c r="M732" s="773"/>
      <c r="N732" s="773"/>
    </row>
    <row r="733" spans="2:14" ht="37.5">
      <c r="B733" s="774">
        <v>432</v>
      </c>
      <c r="C733" s="770" t="s">
        <v>416</v>
      </c>
      <c r="D733" s="770" t="s">
        <v>2476</v>
      </c>
      <c r="E733" s="770" t="s">
        <v>1138</v>
      </c>
      <c r="F733" s="770" t="s">
        <v>546</v>
      </c>
      <c r="G733" s="770">
        <v>29</v>
      </c>
      <c r="H733" s="770">
        <v>57</v>
      </c>
      <c r="I733" s="771">
        <v>0.50900000000000001</v>
      </c>
      <c r="J733" s="770" t="s">
        <v>496</v>
      </c>
      <c r="K733" s="770" t="s">
        <v>497</v>
      </c>
      <c r="L733" s="770" t="s">
        <v>2732</v>
      </c>
      <c r="M733" s="772">
        <v>0</v>
      </c>
      <c r="N733" s="772">
        <v>0</v>
      </c>
    </row>
    <row r="734" spans="2:14" ht="37.5">
      <c r="B734" s="774">
        <v>432</v>
      </c>
      <c r="C734" s="770" t="s">
        <v>416</v>
      </c>
      <c r="D734" s="770" t="s">
        <v>2477</v>
      </c>
      <c r="E734" s="770" t="s">
        <v>1139</v>
      </c>
      <c r="F734" s="770" t="s">
        <v>512</v>
      </c>
      <c r="G734" s="770">
        <v>31</v>
      </c>
      <c r="H734" s="770">
        <v>62</v>
      </c>
      <c r="I734" s="771">
        <v>0.5</v>
      </c>
      <c r="J734" s="770" t="s">
        <v>496</v>
      </c>
      <c r="K734" s="770" t="s">
        <v>518</v>
      </c>
      <c r="L734" s="770" t="s">
        <v>2732</v>
      </c>
      <c r="M734" s="772">
        <v>67714</v>
      </c>
      <c r="N734" s="772">
        <v>2184</v>
      </c>
    </row>
    <row r="735" spans="2:14">
      <c r="B735" s="773"/>
      <c r="C735" s="773"/>
      <c r="D735" s="773"/>
      <c r="E735" s="773"/>
      <c r="F735" s="773"/>
      <c r="G735" s="773"/>
      <c r="H735" s="773"/>
      <c r="I735" s="773"/>
      <c r="J735" s="773"/>
      <c r="K735" s="773"/>
      <c r="L735" s="773"/>
      <c r="M735" s="773"/>
      <c r="N735" s="773"/>
    </row>
    <row r="736" spans="2:14" ht="50">
      <c r="B736" s="774">
        <v>433</v>
      </c>
      <c r="C736" s="770" t="s">
        <v>417</v>
      </c>
      <c r="D736" s="770" t="s">
        <v>2479</v>
      </c>
      <c r="E736" s="770" t="s">
        <v>1140</v>
      </c>
      <c r="F736" s="770" t="s">
        <v>623</v>
      </c>
      <c r="G736" s="770">
        <v>75</v>
      </c>
      <c r="H736" s="770">
        <v>123</v>
      </c>
      <c r="I736" s="771">
        <v>0.61</v>
      </c>
      <c r="J736" s="770" t="s">
        <v>496</v>
      </c>
      <c r="K736" s="770" t="s">
        <v>518</v>
      </c>
      <c r="L736" s="770" t="s">
        <v>2732</v>
      </c>
      <c r="M736" s="772">
        <v>41991</v>
      </c>
      <c r="N736" s="772">
        <v>559</v>
      </c>
    </row>
    <row r="737" spans="2:14">
      <c r="B737" s="773"/>
      <c r="C737" s="773"/>
      <c r="D737" s="773"/>
      <c r="E737" s="773"/>
      <c r="F737" s="773"/>
      <c r="G737" s="773"/>
      <c r="H737" s="773"/>
      <c r="I737" s="773"/>
      <c r="J737" s="773"/>
      <c r="K737" s="773"/>
      <c r="L737" s="773"/>
      <c r="M737" s="773"/>
      <c r="N737" s="773"/>
    </row>
    <row r="738" spans="2:14" ht="50">
      <c r="B738" s="774">
        <v>451</v>
      </c>
      <c r="C738" s="770" t="s">
        <v>1535</v>
      </c>
      <c r="D738" s="770" t="s">
        <v>2483</v>
      </c>
      <c r="E738" s="770" t="s">
        <v>418</v>
      </c>
      <c r="F738" s="770" t="s">
        <v>623</v>
      </c>
      <c r="G738" s="770">
        <v>146</v>
      </c>
      <c r="H738" s="770">
        <v>404</v>
      </c>
      <c r="I738" s="771">
        <v>0.36099999999999999</v>
      </c>
      <c r="J738" s="770" t="s">
        <v>496</v>
      </c>
      <c r="K738" s="770" t="s">
        <v>518</v>
      </c>
      <c r="L738" s="770" t="s">
        <v>2732</v>
      </c>
      <c r="M738" s="772">
        <v>61357</v>
      </c>
      <c r="N738" s="772">
        <v>420</v>
      </c>
    </row>
    <row r="739" spans="2:14">
      <c r="B739" s="773"/>
      <c r="C739" s="773"/>
      <c r="D739" s="773"/>
      <c r="E739" s="773"/>
      <c r="F739" s="773"/>
      <c r="G739" s="773"/>
      <c r="H739" s="773"/>
      <c r="I739" s="773"/>
      <c r="J739" s="773"/>
      <c r="K739" s="773"/>
      <c r="L739" s="773"/>
      <c r="M739" s="773"/>
      <c r="N739" s="773"/>
    </row>
    <row r="740" spans="2:14" ht="50">
      <c r="B740" s="774">
        <v>452</v>
      </c>
      <c r="C740" s="770" t="s">
        <v>1536</v>
      </c>
      <c r="D740" s="770" t="s">
        <v>2485</v>
      </c>
      <c r="E740" s="770" t="s">
        <v>419</v>
      </c>
      <c r="F740" s="770" t="s">
        <v>623</v>
      </c>
      <c r="G740" s="770">
        <v>1110</v>
      </c>
      <c r="H740" s="770">
        <v>2069</v>
      </c>
      <c r="I740" s="771">
        <v>0.53600000000000003</v>
      </c>
      <c r="J740" s="770" t="s">
        <v>496</v>
      </c>
      <c r="K740" s="770" t="s">
        <v>518</v>
      </c>
      <c r="L740" s="770" t="s">
        <v>2734</v>
      </c>
      <c r="M740" s="772">
        <v>726616</v>
      </c>
      <c r="N740" s="772">
        <v>654</v>
      </c>
    </row>
    <row r="741" spans="2:14">
      <c r="B741" s="773"/>
      <c r="C741" s="773"/>
      <c r="D741" s="773"/>
      <c r="E741" s="773"/>
      <c r="F741" s="773"/>
      <c r="G741" s="773"/>
      <c r="H741" s="773"/>
      <c r="I741" s="773"/>
      <c r="J741" s="773"/>
      <c r="K741" s="773"/>
      <c r="L741" s="773"/>
      <c r="M741" s="773"/>
      <c r="N741" s="773"/>
    </row>
    <row r="742" spans="2:14" ht="50">
      <c r="B742" s="774">
        <v>454</v>
      </c>
      <c r="C742" s="770" t="s">
        <v>1537</v>
      </c>
      <c r="D742" s="770" t="s">
        <v>2494</v>
      </c>
      <c r="E742" s="770" t="s">
        <v>421</v>
      </c>
      <c r="F742" s="770" t="s">
        <v>1145</v>
      </c>
      <c r="G742" s="770">
        <v>87</v>
      </c>
      <c r="H742" s="770">
        <v>248</v>
      </c>
      <c r="I742" s="771">
        <v>0.35099999999999998</v>
      </c>
      <c r="J742" s="770" t="s">
        <v>496</v>
      </c>
      <c r="K742" s="770" t="s">
        <v>518</v>
      </c>
      <c r="L742" s="770" t="s">
        <v>2732</v>
      </c>
      <c r="M742" s="772">
        <v>35719</v>
      </c>
      <c r="N742" s="772">
        <v>410</v>
      </c>
    </row>
    <row r="743" spans="2:14">
      <c r="B743" s="773"/>
      <c r="C743" s="773"/>
      <c r="D743" s="773"/>
      <c r="E743" s="773"/>
      <c r="F743" s="773"/>
      <c r="G743" s="773"/>
      <c r="H743" s="773"/>
      <c r="I743" s="773"/>
      <c r="J743" s="773"/>
      <c r="K743" s="773"/>
      <c r="L743" s="773"/>
      <c r="M743" s="773"/>
      <c r="N743" s="773"/>
    </row>
    <row r="744" spans="2:14" ht="50">
      <c r="B744" s="774">
        <v>455</v>
      </c>
      <c r="C744" s="770" t="s">
        <v>1538</v>
      </c>
      <c r="D744" s="770" t="s">
        <v>2496</v>
      </c>
      <c r="E744" s="770" t="s">
        <v>1539</v>
      </c>
      <c r="F744" s="770" t="s">
        <v>623</v>
      </c>
      <c r="G744" s="770"/>
      <c r="H744" s="770"/>
      <c r="I744" s="770"/>
      <c r="J744" s="770" t="s">
        <v>496</v>
      </c>
      <c r="K744" s="770" t="s">
        <v>497</v>
      </c>
      <c r="L744" s="770" t="s">
        <v>2732</v>
      </c>
      <c r="M744" s="772">
        <v>0</v>
      </c>
      <c r="N744" s="770"/>
    </row>
    <row r="745" spans="2:14">
      <c r="B745" s="773"/>
      <c r="C745" s="773"/>
      <c r="D745" s="773"/>
      <c r="E745" s="773"/>
      <c r="F745" s="773"/>
      <c r="G745" s="773"/>
      <c r="H745" s="773"/>
      <c r="I745" s="773"/>
      <c r="J745" s="773"/>
      <c r="K745" s="773"/>
      <c r="L745" s="773"/>
      <c r="M745" s="773"/>
      <c r="N745" s="773"/>
    </row>
    <row r="746" spans="2:14" ht="50">
      <c r="B746" s="774">
        <v>456</v>
      </c>
      <c r="C746" s="770" t="s">
        <v>1540</v>
      </c>
      <c r="D746" s="770" t="s">
        <v>2500</v>
      </c>
      <c r="E746" s="770" t="s">
        <v>423</v>
      </c>
      <c r="F746" s="770" t="s">
        <v>551</v>
      </c>
      <c r="G746" s="770">
        <v>60</v>
      </c>
      <c r="H746" s="770">
        <v>270</v>
      </c>
      <c r="I746" s="771">
        <v>0.222</v>
      </c>
      <c r="J746" s="770" t="s">
        <v>496</v>
      </c>
      <c r="K746" s="770" t="s">
        <v>624</v>
      </c>
      <c r="L746" s="770" t="s">
        <v>2732</v>
      </c>
      <c r="M746" s="772">
        <v>61761</v>
      </c>
      <c r="N746" s="772">
        <v>1029</v>
      </c>
    </row>
    <row r="747" spans="2:14">
      <c r="B747" s="773"/>
      <c r="C747" s="773"/>
      <c r="D747" s="773"/>
      <c r="E747" s="773"/>
      <c r="F747" s="773"/>
      <c r="G747" s="773"/>
      <c r="H747" s="773"/>
      <c r="I747" s="773"/>
      <c r="J747" s="773"/>
      <c r="K747" s="773"/>
      <c r="L747" s="773"/>
      <c r="M747" s="773"/>
      <c r="N747" s="773"/>
    </row>
    <row r="748" spans="2:14" ht="50">
      <c r="B748" s="774">
        <v>457</v>
      </c>
      <c r="C748" s="770" t="s">
        <v>1541</v>
      </c>
      <c r="D748" s="770" t="s">
        <v>2502</v>
      </c>
      <c r="E748" s="770" t="s">
        <v>1148</v>
      </c>
      <c r="F748" s="770" t="s">
        <v>623</v>
      </c>
      <c r="G748" s="770">
        <v>689</v>
      </c>
      <c r="H748" s="770">
        <v>1307</v>
      </c>
      <c r="I748" s="771">
        <v>0.52700000000000002</v>
      </c>
      <c r="J748" s="770" t="s">
        <v>496</v>
      </c>
      <c r="K748" s="770" t="s">
        <v>518</v>
      </c>
      <c r="L748" s="770" t="s">
        <v>2734</v>
      </c>
      <c r="M748" s="772">
        <v>182370</v>
      </c>
      <c r="N748" s="772">
        <v>264</v>
      </c>
    </row>
    <row r="749" spans="2:14">
      <c r="B749" s="773"/>
      <c r="C749" s="773"/>
      <c r="D749" s="773"/>
      <c r="E749" s="773"/>
      <c r="F749" s="773"/>
      <c r="G749" s="773"/>
      <c r="H749" s="773"/>
      <c r="I749" s="773"/>
      <c r="J749" s="773"/>
      <c r="K749" s="773"/>
      <c r="L749" s="773"/>
      <c r="M749" s="773"/>
      <c r="N749" s="773"/>
    </row>
    <row r="750" spans="2:14" ht="50">
      <c r="B750" s="774">
        <v>458</v>
      </c>
      <c r="C750" s="770" t="s">
        <v>1542</v>
      </c>
      <c r="D750" s="770" t="s">
        <v>2505</v>
      </c>
      <c r="E750" s="770" t="s">
        <v>1150</v>
      </c>
      <c r="F750" s="770" t="s">
        <v>623</v>
      </c>
      <c r="G750" s="770">
        <v>150</v>
      </c>
      <c r="H750" s="770">
        <v>417</v>
      </c>
      <c r="I750" s="771">
        <v>0.36</v>
      </c>
      <c r="J750" s="770" t="s">
        <v>496</v>
      </c>
      <c r="K750" s="770" t="s">
        <v>624</v>
      </c>
      <c r="L750" s="770" t="s">
        <v>2732</v>
      </c>
      <c r="M750" s="772">
        <v>62645</v>
      </c>
      <c r="N750" s="772">
        <v>417</v>
      </c>
    </row>
    <row r="751" spans="2:14">
      <c r="B751" s="773"/>
      <c r="C751" s="773"/>
      <c r="D751" s="773"/>
      <c r="E751" s="773"/>
      <c r="F751" s="773"/>
      <c r="G751" s="773"/>
      <c r="H751" s="773"/>
      <c r="I751" s="773"/>
      <c r="J751" s="773"/>
      <c r="K751" s="773"/>
      <c r="L751" s="773"/>
      <c r="M751" s="773"/>
      <c r="N751" s="773"/>
    </row>
    <row r="752" spans="2:14" ht="37.5">
      <c r="B752" s="774">
        <v>460</v>
      </c>
      <c r="C752" s="770" t="s">
        <v>1543</v>
      </c>
      <c r="D752" s="770" t="s">
        <v>2507</v>
      </c>
      <c r="E752" s="770" t="s">
        <v>1152</v>
      </c>
      <c r="F752" s="770" t="s">
        <v>551</v>
      </c>
      <c r="G752" s="770">
        <v>179</v>
      </c>
      <c r="H752" s="770">
        <v>488</v>
      </c>
      <c r="I752" s="771">
        <v>0.36699999999999999</v>
      </c>
      <c r="J752" s="770" t="s">
        <v>496</v>
      </c>
      <c r="K752" s="770" t="s">
        <v>624</v>
      </c>
      <c r="L752" s="770" t="s">
        <v>2734</v>
      </c>
      <c r="M752" s="772">
        <v>72434</v>
      </c>
      <c r="N752" s="772">
        <v>404</v>
      </c>
    </row>
    <row r="753" spans="2:14">
      <c r="B753" s="773"/>
      <c r="C753" s="773"/>
      <c r="D753" s="773"/>
      <c r="E753" s="773"/>
      <c r="F753" s="773"/>
      <c r="G753" s="773"/>
      <c r="H753" s="773"/>
      <c r="I753" s="773"/>
      <c r="J753" s="773"/>
      <c r="K753" s="773"/>
      <c r="L753" s="773"/>
      <c r="M753" s="773"/>
      <c r="N753" s="773"/>
    </row>
    <row r="754" spans="2:14" ht="62.5">
      <c r="B754" s="774">
        <v>461</v>
      </c>
      <c r="C754" s="770" t="s">
        <v>1544</v>
      </c>
      <c r="D754" s="770" t="s">
        <v>2510</v>
      </c>
      <c r="E754" s="770" t="s">
        <v>426</v>
      </c>
      <c r="F754" s="770" t="s">
        <v>623</v>
      </c>
      <c r="G754" s="770">
        <v>168</v>
      </c>
      <c r="H754" s="770">
        <v>384</v>
      </c>
      <c r="I754" s="771">
        <v>0.438</v>
      </c>
      <c r="J754" s="770" t="s">
        <v>496</v>
      </c>
      <c r="K754" s="770" t="s">
        <v>624</v>
      </c>
      <c r="L754" s="770" t="s">
        <v>2732</v>
      </c>
      <c r="M754" s="772">
        <v>63664</v>
      </c>
      <c r="N754" s="772">
        <v>378</v>
      </c>
    </row>
    <row r="755" spans="2:14">
      <c r="B755" s="773"/>
      <c r="C755" s="773"/>
      <c r="D755" s="773"/>
      <c r="E755" s="773"/>
      <c r="F755" s="773"/>
      <c r="G755" s="773"/>
      <c r="H755" s="773"/>
      <c r="I755" s="773"/>
      <c r="J755" s="773"/>
      <c r="K755" s="773"/>
      <c r="L755" s="773"/>
      <c r="M755" s="773"/>
      <c r="N755" s="773"/>
    </row>
    <row r="756" spans="2:14" ht="50">
      <c r="B756" s="774">
        <v>462</v>
      </c>
      <c r="C756" s="770" t="s">
        <v>1545</v>
      </c>
      <c r="D756" s="770" t="s">
        <v>2512</v>
      </c>
      <c r="E756" s="770" t="s">
        <v>427</v>
      </c>
      <c r="F756" s="770" t="s">
        <v>623</v>
      </c>
      <c r="G756" s="770">
        <v>192</v>
      </c>
      <c r="H756" s="770">
        <v>680</v>
      </c>
      <c r="I756" s="771">
        <v>0.28199999999999997</v>
      </c>
      <c r="J756" s="770" t="s">
        <v>496</v>
      </c>
      <c r="K756" s="770" t="s">
        <v>518</v>
      </c>
      <c r="L756" s="770" t="s">
        <v>2732</v>
      </c>
      <c r="M756" s="772">
        <v>61996</v>
      </c>
      <c r="N756" s="772">
        <v>322</v>
      </c>
    </row>
    <row r="757" spans="2:14">
      <c r="B757" s="773"/>
      <c r="C757" s="773"/>
      <c r="D757" s="773"/>
      <c r="E757" s="773"/>
      <c r="F757" s="773"/>
      <c r="G757" s="773"/>
      <c r="H757" s="773"/>
      <c r="I757" s="773"/>
      <c r="J757" s="773"/>
      <c r="K757" s="773"/>
      <c r="L757" s="773"/>
      <c r="M757" s="773"/>
      <c r="N757" s="773"/>
    </row>
    <row r="758" spans="2:14" ht="62.5">
      <c r="B758" s="774">
        <v>463</v>
      </c>
      <c r="C758" s="770" t="s">
        <v>1546</v>
      </c>
      <c r="D758" s="770" t="s">
        <v>2514</v>
      </c>
      <c r="E758" s="770" t="s">
        <v>428</v>
      </c>
      <c r="F758" s="770" t="s">
        <v>1154</v>
      </c>
      <c r="G758" s="770">
        <v>287</v>
      </c>
      <c r="H758" s="770">
        <v>669</v>
      </c>
      <c r="I758" s="771">
        <v>0.42899999999999999</v>
      </c>
      <c r="J758" s="770" t="s">
        <v>496</v>
      </c>
      <c r="K758" s="770" t="s">
        <v>624</v>
      </c>
      <c r="L758" s="770" t="s">
        <v>2732</v>
      </c>
      <c r="M758" s="772">
        <v>73581</v>
      </c>
      <c r="N758" s="772">
        <v>256</v>
      </c>
    </row>
    <row r="759" spans="2:14">
      <c r="B759" s="773"/>
      <c r="C759" s="773"/>
      <c r="D759" s="773"/>
      <c r="E759" s="773"/>
      <c r="F759" s="773"/>
      <c r="G759" s="773"/>
      <c r="H759" s="773"/>
      <c r="I759" s="773"/>
      <c r="J759" s="773"/>
      <c r="K759" s="773"/>
      <c r="L759" s="773"/>
      <c r="M759" s="773"/>
      <c r="N759" s="773"/>
    </row>
    <row r="760" spans="2:14" ht="37.5">
      <c r="B760" s="774">
        <v>464</v>
      </c>
      <c r="C760" s="770" t="s">
        <v>1547</v>
      </c>
      <c r="D760" s="770" t="s">
        <v>2516</v>
      </c>
      <c r="E760" s="770" t="s">
        <v>429</v>
      </c>
      <c r="F760" s="770" t="s">
        <v>551</v>
      </c>
      <c r="G760" s="770">
        <v>134</v>
      </c>
      <c r="H760" s="770">
        <v>435</v>
      </c>
      <c r="I760" s="771">
        <v>0.308</v>
      </c>
      <c r="J760" s="770" t="s">
        <v>496</v>
      </c>
      <c r="K760" s="770" t="s">
        <v>624</v>
      </c>
      <c r="L760" s="770" t="s">
        <v>2732</v>
      </c>
      <c r="M760" s="772">
        <v>38701</v>
      </c>
      <c r="N760" s="772">
        <v>288</v>
      </c>
    </row>
    <row r="761" spans="2:14">
      <c r="B761" s="773"/>
      <c r="C761" s="773"/>
      <c r="D761" s="773"/>
      <c r="E761" s="773"/>
      <c r="F761" s="773"/>
      <c r="G761" s="773"/>
      <c r="H761" s="773"/>
      <c r="I761" s="773"/>
      <c r="J761" s="773"/>
      <c r="K761" s="773"/>
      <c r="L761" s="773"/>
      <c r="M761" s="773"/>
      <c r="N761" s="773"/>
    </row>
    <row r="762" spans="2:14" ht="50">
      <c r="B762" s="774">
        <v>465</v>
      </c>
      <c r="C762" s="770" t="s">
        <v>1548</v>
      </c>
      <c r="D762" s="770" t="s">
        <v>2518</v>
      </c>
      <c r="E762" s="770" t="s">
        <v>430</v>
      </c>
      <c r="F762" s="770" t="s">
        <v>623</v>
      </c>
      <c r="G762" s="770">
        <v>140</v>
      </c>
      <c r="H762" s="770">
        <v>243</v>
      </c>
      <c r="I762" s="771">
        <v>0.57599999999999996</v>
      </c>
      <c r="J762" s="770" t="s">
        <v>496</v>
      </c>
      <c r="K762" s="770" t="s">
        <v>624</v>
      </c>
      <c r="L762" s="770" t="s">
        <v>2734</v>
      </c>
      <c r="M762" s="772">
        <v>66271</v>
      </c>
      <c r="N762" s="772">
        <v>473</v>
      </c>
    </row>
    <row r="763" spans="2:14">
      <c r="B763" s="773"/>
      <c r="C763" s="773"/>
      <c r="D763" s="773"/>
      <c r="E763" s="773"/>
      <c r="F763" s="773"/>
      <c r="G763" s="773"/>
      <c r="H763" s="773"/>
      <c r="I763" s="773"/>
      <c r="J763" s="773"/>
      <c r="K763" s="773"/>
      <c r="L763" s="773"/>
      <c r="M763" s="773"/>
      <c r="N763" s="773"/>
    </row>
    <row r="764" spans="2:14" ht="37.5">
      <c r="B764" s="774">
        <v>466</v>
      </c>
      <c r="C764" s="770" t="s">
        <v>1549</v>
      </c>
      <c r="D764" s="770" t="s">
        <v>2520</v>
      </c>
      <c r="E764" s="770" t="s">
        <v>431</v>
      </c>
      <c r="F764" s="770" t="s">
        <v>557</v>
      </c>
      <c r="G764" s="770">
        <v>196</v>
      </c>
      <c r="H764" s="770">
        <v>418</v>
      </c>
      <c r="I764" s="771">
        <v>0.46899999999999997</v>
      </c>
      <c r="J764" s="770" t="s">
        <v>496</v>
      </c>
      <c r="K764" s="770" t="s">
        <v>518</v>
      </c>
      <c r="L764" s="770" t="s">
        <v>2734</v>
      </c>
      <c r="M764" s="772">
        <v>65022</v>
      </c>
      <c r="N764" s="772">
        <v>331</v>
      </c>
    </row>
    <row r="765" spans="2:14">
      <c r="B765" s="773"/>
      <c r="C765" s="773"/>
      <c r="D765" s="773"/>
      <c r="E765" s="773"/>
      <c r="F765" s="773"/>
      <c r="G765" s="773"/>
      <c r="H765" s="773"/>
      <c r="I765" s="773"/>
      <c r="J765" s="773"/>
      <c r="K765" s="773"/>
      <c r="L765" s="773"/>
      <c r="M765" s="773"/>
      <c r="N765" s="773"/>
    </row>
    <row r="766" spans="2:14" ht="62.5">
      <c r="B766" s="774">
        <v>468</v>
      </c>
      <c r="C766" s="770" t="s">
        <v>1550</v>
      </c>
      <c r="D766" s="770" t="s">
        <v>2522</v>
      </c>
      <c r="E766" s="770" t="s">
        <v>1156</v>
      </c>
      <c r="F766" s="770" t="s">
        <v>1157</v>
      </c>
      <c r="G766" s="770">
        <v>89</v>
      </c>
      <c r="H766" s="770">
        <v>230</v>
      </c>
      <c r="I766" s="771">
        <v>0.38700000000000001</v>
      </c>
      <c r="J766" s="770" t="s">
        <v>496</v>
      </c>
      <c r="K766" s="770" t="s">
        <v>624</v>
      </c>
      <c r="L766" s="770" t="s">
        <v>2734</v>
      </c>
      <c r="M766" s="772">
        <v>37878</v>
      </c>
      <c r="N766" s="772">
        <v>425</v>
      </c>
    </row>
    <row r="767" spans="2:14">
      <c r="B767" s="773"/>
      <c r="C767" s="773"/>
      <c r="D767" s="773"/>
      <c r="E767" s="773"/>
      <c r="F767" s="773"/>
      <c r="G767" s="773"/>
      <c r="H767" s="773"/>
      <c r="I767" s="773"/>
      <c r="J767" s="773"/>
      <c r="K767" s="773"/>
      <c r="L767" s="773"/>
      <c r="M767" s="773"/>
      <c r="N767" s="773"/>
    </row>
    <row r="768" spans="2:14" ht="62.5">
      <c r="B768" s="774">
        <v>472</v>
      </c>
      <c r="C768" s="770" t="s">
        <v>1554</v>
      </c>
      <c r="D768" s="770" t="s">
        <v>2534</v>
      </c>
      <c r="E768" s="770" t="s">
        <v>1159</v>
      </c>
      <c r="F768" s="770" t="s">
        <v>512</v>
      </c>
      <c r="G768" s="770">
        <v>54</v>
      </c>
      <c r="H768" s="770">
        <v>175</v>
      </c>
      <c r="I768" s="771">
        <v>0.309</v>
      </c>
      <c r="J768" s="770" t="s">
        <v>496</v>
      </c>
      <c r="K768" s="770" t="s">
        <v>624</v>
      </c>
      <c r="L768" s="770" t="s">
        <v>2733</v>
      </c>
      <c r="M768" s="772">
        <v>26663</v>
      </c>
      <c r="N768" s="772">
        <v>493</v>
      </c>
    </row>
    <row r="769" spans="2:14">
      <c r="B769" s="773"/>
      <c r="C769" s="773"/>
      <c r="D769" s="773"/>
      <c r="E769" s="773"/>
      <c r="F769" s="773"/>
      <c r="G769" s="773"/>
      <c r="H769" s="773"/>
      <c r="I769" s="773"/>
      <c r="J769" s="773"/>
      <c r="K769" s="773"/>
      <c r="L769" s="773"/>
      <c r="M769" s="773"/>
      <c r="N769" s="773"/>
    </row>
    <row r="770" spans="2:14" ht="37.5">
      <c r="B770" s="774">
        <v>473</v>
      </c>
      <c r="C770" s="770" t="s">
        <v>1555</v>
      </c>
      <c r="D770" s="770" t="s">
        <v>2537</v>
      </c>
      <c r="E770" s="770" t="s">
        <v>1161</v>
      </c>
      <c r="F770" s="770" t="s">
        <v>997</v>
      </c>
      <c r="G770" s="770">
        <v>51</v>
      </c>
      <c r="H770" s="770">
        <v>349</v>
      </c>
      <c r="I770" s="771">
        <v>0.14599999999999999</v>
      </c>
      <c r="J770" s="770" t="s">
        <v>496</v>
      </c>
      <c r="K770" s="770" t="s">
        <v>624</v>
      </c>
      <c r="L770" s="770" t="s">
        <v>2734</v>
      </c>
      <c r="M770" s="772">
        <v>30100</v>
      </c>
      <c r="N770" s="772">
        <v>590</v>
      </c>
    </row>
    <row r="771" spans="2:14">
      <c r="B771" s="773"/>
      <c r="C771" s="773"/>
      <c r="D771" s="773"/>
      <c r="E771" s="773"/>
      <c r="F771" s="773"/>
      <c r="G771" s="773"/>
      <c r="H771" s="773"/>
      <c r="I771" s="773"/>
      <c r="J771" s="773"/>
      <c r="K771" s="773"/>
      <c r="L771" s="773"/>
      <c r="M771" s="773"/>
      <c r="N771" s="773"/>
    </row>
    <row r="772" spans="2:14" ht="50">
      <c r="B772" s="774">
        <v>474</v>
      </c>
      <c r="C772" s="770" t="s">
        <v>1556</v>
      </c>
      <c r="D772" s="770" t="s">
        <v>2539</v>
      </c>
      <c r="E772" s="770" t="s">
        <v>1163</v>
      </c>
      <c r="F772" s="770" t="s">
        <v>693</v>
      </c>
      <c r="G772" s="770">
        <v>104</v>
      </c>
      <c r="H772" s="770">
        <v>191</v>
      </c>
      <c r="I772" s="771">
        <v>0.54500000000000004</v>
      </c>
      <c r="J772" s="770" t="s">
        <v>496</v>
      </c>
      <c r="K772" s="770" t="s">
        <v>624</v>
      </c>
      <c r="L772" s="770" t="s">
        <v>2733</v>
      </c>
      <c r="M772" s="772">
        <v>31479</v>
      </c>
      <c r="N772" s="772">
        <v>302</v>
      </c>
    </row>
    <row r="773" spans="2:14">
      <c r="B773" s="773"/>
      <c r="C773" s="773"/>
      <c r="D773" s="773"/>
      <c r="E773" s="773"/>
      <c r="F773" s="773"/>
      <c r="G773" s="773"/>
      <c r="H773" s="773"/>
      <c r="I773" s="773"/>
      <c r="J773" s="773"/>
      <c r="K773" s="773"/>
      <c r="L773" s="773"/>
      <c r="M773" s="773"/>
      <c r="N773" s="773"/>
    </row>
    <row r="774" spans="2:14" ht="87.5">
      <c r="B774" s="774">
        <v>475</v>
      </c>
      <c r="C774" s="770" t="s">
        <v>1557</v>
      </c>
      <c r="D774" s="770" t="s">
        <v>2541</v>
      </c>
      <c r="E774" s="770" t="s">
        <v>243</v>
      </c>
      <c r="F774" s="770" t="s">
        <v>1145</v>
      </c>
      <c r="G774" s="770">
        <v>180</v>
      </c>
      <c r="H774" s="770">
        <v>1020</v>
      </c>
      <c r="I774" s="771">
        <v>0.17599999999999999</v>
      </c>
      <c r="J774" s="770" t="s">
        <v>496</v>
      </c>
      <c r="K774" s="770" t="s">
        <v>624</v>
      </c>
      <c r="L774" s="770" t="s">
        <v>2732</v>
      </c>
      <c r="M774" s="772">
        <v>60877</v>
      </c>
      <c r="N774" s="772">
        <v>338</v>
      </c>
    </row>
    <row r="775" spans="2:14">
      <c r="B775" s="773"/>
      <c r="C775" s="773"/>
      <c r="D775" s="773"/>
      <c r="E775" s="773"/>
      <c r="F775" s="773"/>
      <c r="G775" s="773"/>
      <c r="H775" s="773"/>
      <c r="I775" s="773"/>
      <c r="J775" s="773"/>
      <c r="K775" s="773"/>
      <c r="L775" s="773"/>
      <c r="M775" s="773"/>
      <c r="N775" s="773"/>
    </row>
    <row r="776" spans="2:14" ht="62.5">
      <c r="B776" s="774">
        <v>476</v>
      </c>
      <c r="C776" s="770" t="s">
        <v>1558</v>
      </c>
      <c r="D776" s="770" t="s">
        <v>2543</v>
      </c>
      <c r="E776" s="770" t="s">
        <v>1165</v>
      </c>
      <c r="F776" s="770" t="s">
        <v>623</v>
      </c>
      <c r="G776" s="770">
        <v>282</v>
      </c>
      <c r="H776" s="770">
        <v>500</v>
      </c>
      <c r="I776" s="771">
        <v>0.56399999999999995</v>
      </c>
      <c r="J776" s="770" t="s">
        <v>496</v>
      </c>
      <c r="K776" s="770" t="s">
        <v>518</v>
      </c>
      <c r="L776" s="770" t="s">
        <v>2735</v>
      </c>
      <c r="M776" s="772">
        <v>112751</v>
      </c>
      <c r="N776" s="772">
        <v>399</v>
      </c>
    </row>
    <row r="777" spans="2:14">
      <c r="B777" s="773"/>
      <c r="C777" s="773"/>
      <c r="D777" s="773"/>
      <c r="E777" s="773"/>
      <c r="F777" s="773"/>
      <c r="G777" s="773"/>
      <c r="H777" s="773"/>
      <c r="I777" s="773"/>
      <c r="J777" s="773"/>
      <c r="K777" s="773"/>
      <c r="L777" s="773"/>
      <c r="M777" s="773"/>
      <c r="N777" s="773"/>
    </row>
    <row r="778" spans="2:14" ht="62.5">
      <c r="B778" s="774">
        <v>477</v>
      </c>
      <c r="C778" s="770" t="s">
        <v>1559</v>
      </c>
      <c r="D778" s="770" t="s">
        <v>2545</v>
      </c>
      <c r="E778" s="770" t="s">
        <v>1166</v>
      </c>
      <c r="F778" s="770" t="s">
        <v>512</v>
      </c>
      <c r="G778" s="770">
        <v>273</v>
      </c>
      <c r="H778" s="770">
        <v>568</v>
      </c>
      <c r="I778" s="771">
        <v>0.48099999999999998</v>
      </c>
      <c r="J778" s="770" t="s">
        <v>496</v>
      </c>
      <c r="K778" s="770" t="s">
        <v>518</v>
      </c>
      <c r="L778" s="770" t="s">
        <v>2734</v>
      </c>
      <c r="M778" s="772">
        <v>78307</v>
      </c>
      <c r="N778" s="772">
        <v>286</v>
      </c>
    </row>
    <row r="779" spans="2:14">
      <c r="B779" s="773"/>
      <c r="C779" s="773"/>
      <c r="D779" s="773"/>
      <c r="E779" s="773"/>
      <c r="F779" s="773"/>
      <c r="G779" s="773"/>
      <c r="H779" s="773"/>
      <c r="I779" s="773"/>
      <c r="J779" s="773"/>
      <c r="K779" s="773"/>
      <c r="L779" s="773"/>
      <c r="M779" s="773"/>
      <c r="N779" s="773"/>
    </row>
    <row r="780" spans="2:14" ht="37.5">
      <c r="B780" s="774">
        <v>478</v>
      </c>
      <c r="C780" s="770" t="s">
        <v>1560</v>
      </c>
      <c r="D780" s="770" t="s">
        <v>2548</v>
      </c>
      <c r="E780" s="770" t="s">
        <v>246</v>
      </c>
      <c r="F780" s="770" t="s">
        <v>1168</v>
      </c>
      <c r="G780" s="770">
        <v>113</v>
      </c>
      <c r="H780" s="770">
        <v>295</v>
      </c>
      <c r="I780" s="771">
        <v>0.38300000000000001</v>
      </c>
      <c r="J780" s="770" t="s">
        <v>496</v>
      </c>
      <c r="K780" s="770" t="s">
        <v>624</v>
      </c>
      <c r="L780" s="770" t="s">
        <v>2732</v>
      </c>
      <c r="M780" s="772">
        <v>44859</v>
      </c>
      <c r="N780" s="772">
        <v>396</v>
      </c>
    </row>
    <row r="781" spans="2:14">
      <c r="B781" s="773"/>
      <c r="C781" s="773"/>
      <c r="D781" s="773"/>
      <c r="E781" s="773"/>
      <c r="F781" s="773"/>
      <c r="G781" s="773"/>
      <c r="H781" s="773"/>
      <c r="I781" s="773"/>
      <c r="J781" s="773"/>
      <c r="K781" s="773"/>
      <c r="L781" s="773"/>
      <c r="M781" s="773"/>
      <c r="N781" s="773"/>
    </row>
    <row r="782" spans="2:14" ht="37.5">
      <c r="B782" s="774">
        <v>479</v>
      </c>
      <c r="C782" s="770" t="s">
        <v>1561</v>
      </c>
      <c r="D782" s="770" t="s">
        <v>2550</v>
      </c>
      <c r="E782" s="770" t="s">
        <v>247</v>
      </c>
      <c r="F782" s="770" t="s">
        <v>997</v>
      </c>
      <c r="G782" s="770">
        <v>162</v>
      </c>
      <c r="H782" s="770">
        <v>178</v>
      </c>
      <c r="I782" s="771">
        <v>0.91</v>
      </c>
      <c r="J782" s="770" t="s">
        <v>496</v>
      </c>
      <c r="K782" s="770" t="s">
        <v>624</v>
      </c>
      <c r="L782" s="770" t="s">
        <v>2733</v>
      </c>
      <c r="M782" s="772">
        <v>49808</v>
      </c>
      <c r="N782" s="772">
        <v>307</v>
      </c>
    </row>
    <row r="783" spans="2:14">
      <c r="B783" s="773"/>
      <c r="C783" s="773"/>
      <c r="D783" s="773"/>
      <c r="E783" s="773"/>
      <c r="F783" s="773"/>
      <c r="G783" s="773"/>
      <c r="H783" s="773"/>
      <c r="I783" s="773"/>
      <c r="J783" s="773"/>
      <c r="K783" s="773"/>
      <c r="L783" s="773"/>
      <c r="M783" s="773"/>
      <c r="N783" s="773"/>
    </row>
    <row r="784" spans="2:14" ht="50">
      <c r="B784" s="774">
        <v>480</v>
      </c>
      <c r="C784" s="770" t="s">
        <v>1562</v>
      </c>
      <c r="D784" s="770" t="s">
        <v>2552</v>
      </c>
      <c r="E784" s="770" t="s">
        <v>1563</v>
      </c>
      <c r="F784" s="770" t="s">
        <v>1168</v>
      </c>
      <c r="G784" s="770"/>
      <c r="H784" s="770"/>
      <c r="I784" s="770"/>
      <c r="J784" s="770" t="s">
        <v>496</v>
      </c>
      <c r="K784" s="770" t="s">
        <v>497</v>
      </c>
      <c r="L784" s="770" t="s">
        <v>2732</v>
      </c>
      <c r="M784" s="772">
        <v>0</v>
      </c>
      <c r="N784" s="770"/>
    </row>
    <row r="785" spans="2:14">
      <c r="B785" s="773"/>
      <c r="C785" s="773"/>
      <c r="D785" s="773"/>
      <c r="E785" s="773"/>
      <c r="F785" s="773"/>
      <c r="G785" s="773"/>
      <c r="H785" s="773"/>
      <c r="I785" s="773"/>
      <c r="J785" s="773"/>
      <c r="K785" s="773"/>
      <c r="L785" s="773"/>
      <c r="M785" s="773"/>
      <c r="N785" s="773"/>
    </row>
    <row r="786" spans="2:14" ht="50">
      <c r="B786" s="774">
        <v>481</v>
      </c>
      <c r="C786" s="770" t="s">
        <v>1564</v>
      </c>
      <c r="D786" s="770" t="s">
        <v>2555</v>
      </c>
      <c r="E786" s="770" t="s">
        <v>1171</v>
      </c>
      <c r="F786" s="770" t="s">
        <v>1126</v>
      </c>
      <c r="G786" s="770">
        <v>385</v>
      </c>
      <c r="H786" s="770">
        <v>540</v>
      </c>
      <c r="I786" s="771">
        <v>0.71299999999999997</v>
      </c>
      <c r="J786" s="770" t="s">
        <v>496</v>
      </c>
      <c r="K786" s="770" t="s">
        <v>518</v>
      </c>
      <c r="L786" s="770" t="s">
        <v>2733</v>
      </c>
      <c r="M786" s="772">
        <v>143258</v>
      </c>
      <c r="N786" s="772">
        <v>372</v>
      </c>
    </row>
    <row r="787" spans="2:14">
      <c r="B787" s="773"/>
      <c r="C787" s="773"/>
      <c r="D787" s="773"/>
      <c r="E787" s="773"/>
      <c r="F787" s="773"/>
      <c r="G787" s="773"/>
      <c r="H787" s="773"/>
      <c r="I787" s="773"/>
      <c r="J787" s="773"/>
      <c r="K787" s="773"/>
      <c r="L787" s="773"/>
      <c r="M787" s="773"/>
      <c r="N787" s="773"/>
    </row>
    <row r="788" spans="2:14" ht="50">
      <c r="B788" s="774">
        <v>482</v>
      </c>
      <c r="C788" s="770" t="s">
        <v>1565</v>
      </c>
      <c r="D788" s="770" t="s">
        <v>2557</v>
      </c>
      <c r="E788" s="770" t="s">
        <v>250</v>
      </c>
      <c r="F788" s="770" t="s">
        <v>1173</v>
      </c>
      <c r="G788" s="770">
        <v>76</v>
      </c>
      <c r="H788" s="770">
        <v>266</v>
      </c>
      <c r="I788" s="771">
        <v>0.28599999999999998</v>
      </c>
      <c r="J788" s="770" t="s">
        <v>496</v>
      </c>
      <c r="K788" s="770" t="s">
        <v>624</v>
      </c>
      <c r="L788" s="770" t="s">
        <v>2732</v>
      </c>
      <c r="M788" s="772">
        <v>27501</v>
      </c>
      <c r="N788" s="772">
        <v>361</v>
      </c>
    </row>
    <row r="789" spans="2:14">
      <c r="B789" s="773"/>
      <c r="C789" s="773"/>
      <c r="D789" s="773"/>
      <c r="E789" s="773"/>
      <c r="F789" s="773"/>
      <c r="G789" s="773"/>
      <c r="H789" s="773"/>
      <c r="I789" s="773"/>
      <c r="J789" s="773"/>
      <c r="K789" s="773"/>
      <c r="L789" s="773"/>
      <c r="M789" s="773"/>
      <c r="N789" s="773"/>
    </row>
    <row r="790" spans="2:14" ht="37.5">
      <c r="B790" s="774">
        <v>483</v>
      </c>
      <c r="C790" s="770" t="s">
        <v>1566</v>
      </c>
      <c r="D790" s="770" t="s">
        <v>2559</v>
      </c>
      <c r="E790" s="770" t="s">
        <v>1175</v>
      </c>
      <c r="F790" s="770" t="s">
        <v>621</v>
      </c>
      <c r="G790" s="770">
        <v>95</v>
      </c>
      <c r="H790" s="770">
        <v>105</v>
      </c>
      <c r="I790" s="771">
        <v>0.90500000000000003</v>
      </c>
      <c r="J790" s="770" t="s">
        <v>496</v>
      </c>
      <c r="K790" s="770" t="s">
        <v>624</v>
      </c>
      <c r="L790" s="770" t="s">
        <v>2734</v>
      </c>
      <c r="M790" s="772">
        <v>24866</v>
      </c>
      <c r="N790" s="772">
        <v>261</v>
      </c>
    </row>
    <row r="791" spans="2:14">
      <c r="B791" s="773"/>
      <c r="C791" s="773"/>
      <c r="D791" s="773"/>
      <c r="E791" s="773"/>
      <c r="F791" s="773"/>
      <c r="G791" s="773"/>
      <c r="H791" s="773"/>
      <c r="I791" s="773"/>
      <c r="J791" s="773"/>
      <c r="K791" s="773"/>
      <c r="L791" s="773"/>
      <c r="M791" s="773"/>
      <c r="N791" s="773"/>
    </row>
    <row r="792" spans="2:14" ht="62.5">
      <c r="B792" s="774">
        <v>485</v>
      </c>
      <c r="C792" s="770" t="s">
        <v>1567</v>
      </c>
      <c r="D792" s="770" t="s">
        <v>2560</v>
      </c>
      <c r="E792" s="770" t="s">
        <v>1568</v>
      </c>
      <c r="F792" s="770" t="s">
        <v>1569</v>
      </c>
      <c r="G792" s="770">
        <v>53</v>
      </c>
      <c r="H792" s="770">
        <v>90</v>
      </c>
      <c r="I792" s="771">
        <v>0.58899999999999997</v>
      </c>
      <c r="J792" s="770" t="s">
        <v>496</v>
      </c>
      <c r="K792" s="770" t="s">
        <v>624</v>
      </c>
      <c r="L792" s="770" t="s">
        <v>2734</v>
      </c>
      <c r="M792" s="772">
        <v>17254</v>
      </c>
      <c r="N792" s="772">
        <v>325</v>
      </c>
    </row>
    <row r="793" spans="2:14">
      <c r="B793" s="773"/>
      <c r="C793" s="773"/>
      <c r="D793" s="773"/>
      <c r="E793" s="773"/>
      <c r="F793" s="773"/>
      <c r="G793" s="773"/>
      <c r="H793" s="773"/>
      <c r="I793" s="773"/>
      <c r="J793" s="773"/>
      <c r="K793" s="773"/>
      <c r="L793" s="773"/>
      <c r="M793" s="773"/>
      <c r="N793" s="773"/>
    </row>
    <row r="794" spans="2:14" ht="37.5">
      <c r="B794" s="774">
        <v>487</v>
      </c>
      <c r="C794" s="770" t="s">
        <v>1570</v>
      </c>
      <c r="D794" s="770" t="s">
        <v>2569</v>
      </c>
      <c r="E794" s="770" t="s">
        <v>1177</v>
      </c>
      <c r="F794" s="770" t="s">
        <v>1178</v>
      </c>
      <c r="G794" s="770">
        <v>180</v>
      </c>
      <c r="H794" s="770">
        <v>365</v>
      </c>
      <c r="I794" s="771">
        <v>0.49299999999999999</v>
      </c>
      <c r="J794" s="770" t="s">
        <v>496</v>
      </c>
      <c r="K794" s="770" t="s">
        <v>624</v>
      </c>
      <c r="L794" s="770" t="s">
        <v>2734</v>
      </c>
      <c r="M794" s="772">
        <v>64036</v>
      </c>
      <c r="N794" s="772">
        <v>355</v>
      </c>
    </row>
    <row r="795" spans="2:14">
      <c r="B795" s="773"/>
      <c r="C795" s="773"/>
      <c r="D795" s="773"/>
      <c r="E795" s="773"/>
      <c r="F795" s="773"/>
      <c r="G795" s="773"/>
      <c r="H795" s="773"/>
      <c r="I795" s="773"/>
      <c r="J795" s="773"/>
      <c r="K795" s="773"/>
      <c r="L795" s="773"/>
      <c r="M795" s="773"/>
      <c r="N795" s="773"/>
    </row>
    <row r="796" spans="2:14" ht="50">
      <c r="B796" s="774">
        <v>488</v>
      </c>
      <c r="C796" s="770" t="s">
        <v>1571</v>
      </c>
      <c r="D796" s="770" t="s">
        <v>2573</v>
      </c>
      <c r="E796" s="770" t="s">
        <v>450</v>
      </c>
      <c r="F796" s="770" t="s">
        <v>706</v>
      </c>
      <c r="G796" s="770">
        <v>41</v>
      </c>
      <c r="H796" s="770">
        <v>130</v>
      </c>
      <c r="I796" s="771">
        <v>0.315</v>
      </c>
      <c r="J796" s="770" t="s">
        <v>496</v>
      </c>
      <c r="K796" s="770" t="s">
        <v>624</v>
      </c>
      <c r="L796" s="770" t="s">
        <v>2734</v>
      </c>
      <c r="M796" s="772">
        <v>11902</v>
      </c>
      <c r="N796" s="772">
        <v>290</v>
      </c>
    </row>
    <row r="797" spans="2:14">
      <c r="B797" s="773"/>
      <c r="C797" s="773"/>
      <c r="D797" s="773"/>
      <c r="E797" s="773"/>
      <c r="F797" s="773"/>
      <c r="G797" s="773"/>
      <c r="H797" s="773"/>
      <c r="I797" s="773"/>
      <c r="J797" s="773"/>
      <c r="K797" s="773"/>
      <c r="L797" s="773"/>
      <c r="M797" s="773"/>
      <c r="N797" s="773"/>
    </row>
    <row r="798" spans="2:14" ht="62.5">
      <c r="B798" s="774">
        <v>489</v>
      </c>
      <c r="C798" s="770" t="s">
        <v>1572</v>
      </c>
      <c r="D798" s="770" t="s">
        <v>2575</v>
      </c>
      <c r="E798" s="770" t="s">
        <v>1180</v>
      </c>
      <c r="F798" s="770" t="s">
        <v>557</v>
      </c>
      <c r="G798" s="770"/>
      <c r="H798" s="770"/>
      <c r="I798" s="770"/>
      <c r="J798" s="770" t="s">
        <v>501</v>
      </c>
      <c r="K798" s="770" t="s">
        <v>497</v>
      </c>
      <c r="L798" s="770"/>
      <c r="M798" s="772">
        <v>0</v>
      </c>
      <c r="N798" s="770"/>
    </row>
    <row r="799" spans="2:14">
      <c r="B799" s="773"/>
      <c r="C799" s="773"/>
      <c r="D799" s="773"/>
      <c r="E799" s="773"/>
      <c r="F799" s="773"/>
      <c r="G799" s="773"/>
      <c r="H799" s="773"/>
      <c r="I799" s="773"/>
      <c r="J799" s="773"/>
      <c r="K799" s="773"/>
      <c r="L799" s="773"/>
      <c r="M799" s="773"/>
      <c r="N799" s="773"/>
    </row>
    <row r="800" spans="2:14" ht="50">
      <c r="B800" s="774">
        <v>490</v>
      </c>
      <c r="C800" s="770" t="s">
        <v>1573</v>
      </c>
      <c r="D800" s="770" t="s">
        <v>2578</v>
      </c>
      <c r="E800" s="770" t="s">
        <v>1182</v>
      </c>
      <c r="F800" s="770" t="s">
        <v>623</v>
      </c>
      <c r="G800" s="770">
        <v>289</v>
      </c>
      <c r="H800" s="770">
        <v>575</v>
      </c>
      <c r="I800" s="771">
        <v>0.503</v>
      </c>
      <c r="J800" s="770" t="s">
        <v>496</v>
      </c>
      <c r="K800" s="770" t="s">
        <v>518</v>
      </c>
      <c r="L800" s="770" t="s">
        <v>2732</v>
      </c>
      <c r="M800" s="772">
        <v>142313</v>
      </c>
      <c r="N800" s="772">
        <v>492</v>
      </c>
    </row>
    <row r="801" spans="2:14" ht="50">
      <c r="B801" s="774">
        <v>490</v>
      </c>
      <c r="C801" s="770" t="s">
        <v>1573</v>
      </c>
      <c r="D801" s="770" t="s">
        <v>2579</v>
      </c>
      <c r="E801" s="770" t="s">
        <v>1183</v>
      </c>
      <c r="F801" s="770" t="s">
        <v>1184</v>
      </c>
      <c r="G801" s="770">
        <v>40</v>
      </c>
      <c r="H801" s="770">
        <v>71</v>
      </c>
      <c r="I801" s="771">
        <v>0.56299999999999994</v>
      </c>
      <c r="J801" s="770" t="s">
        <v>496</v>
      </c>
      <c r="K801" s="770" t="s">
        <v>518</v>
      </c>
      <c r="L801" s="770" t="s">
        <v>2732</v>
      </c>
      <c r="M801" s="772">
        <v>21587</v>
      </c>
      <c r="N801" s="772">
        <v>539</v>
      </c>
    </row>
    <row r="802" spans="2:14" ht="15" thickBot="1">
      <c r="B802" s="773"/>
      <c r="C802" s="773"/>
      <c r="D802" s="773"/>
      <c r="E802" s="773"/>
      <c r="F802" s="773"/>
      <c r="G802" s="773"/>
      <c r="H802" s="773"/>
      <c r="I802" s="773"/>
      <c r="J802" s="773"/>
      <c r="K802" s="773"/>
      <c r="L802" s="773"/>
      <c r="M802" s="773"/>
      <c r="N802" s="773"/>
    </row>
    <row r="803" spans="2:14" ht="63" thickBot="1">
      <c r="B803" s="668">
        <v>25</v>
      </c>
      <c r="C803" s="770" t="s">
        <v>1574</v>
      </c>
      <c r="D803" s="770" t="s">
        <v>2592</v>
      </c>
      <c r="E803" s="770" t="s">
        <v>457</v>
      </c>
      <c r="F803" s="770" t="s">
        <v>551</v>
      </c>
      <c r="G803" s="770">
        <v>138</v>
      </c>
      <c r="H803" s="770">
        <v>332</v>
      </c>
      <c r="I803" s="771">
        <v>0.41599999999999998</v>
      </c>
      <c r="J803" s="770" t="s">
        <v>496</v>
      </c>
      <c r="K803" s="770" t="s">
        <v>624</v>
      </c>
      <c r="L803" s="770" t="s">
        <v>2732</v>
      </c>
      <c r="M803" s="772">
        <v>50492</v>
      </c>
      <c r="N803" s="772">
        <v>365</v>
      </c>
    </row>
    <row r="804" spans="2:14">
      <c r="B804" s="773"/>
      <c r="C804" s="773"/>
      <c r="D804" s="773"/>
      <c r="E804" s="773"/>
      <c r="F804" s="773"/>
      <c r="G804" s="773"/>
      <c r="H804" s="773"/>
      <c r="I804" s="773"/>
      <c r="J804" s="773"/>
      <c r="K804" s="773"/>
      <c r="L804" s="773"/>
      <c r="M804" s="773"/>
      <c r="N804" s="773"/>
    </row>
  </sheetData>
  <mergeCells count="2">
    <mergeCell ref="B1:N1"/>
    <mergeCell ref="B2:N2"/>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894"/>
  <sheetViews>
    <sheetView topLeftCell="G1" workbookViewId="0">
      <selection activeCell="SS10" sqref="SS10"/>
    </sheetView>
  </sheetViews>
  <sheetFormatPr defaultRowHeight="14.5"/>
  <cols>
    <col min="2" max="2" width="9.1796875" style="136"/>
    <col min="3" max="3" width="34.54296875" customWidth="1"/>
    <col min="4" max="4" width="9.1796875" style="136" customWidth="1"/>
    <col min="5" max="5" width="39" customWidth="1"/>
    <col min="6" max="6" width="12.453125" style="650" customWidth="1"/>
    <col min="8" max="8" width="9.1796875" style="136"/>
    <col min="9" max="9" width="34.54296875" customWidth="1"/>
    <col min="10" max="10" width="9.1796875" style="136"/>
    <col min="11" max="11" width="39" customWidth="1"/>
    <col min="12" max="12" width="12.453125" style="650" customWidth="1"/>
    <col min="14" max="17" width="9.1796875" style="145"/>
    <col min="18" max="18" width="9.1796875" style="731"/>
    <col min="19" max="19" width="9.1796875" style="145"/>
  </cols>
  <sheetData>
    <row r="1" spans="2:24">
      <c r="H1" s="1083" t="s">
        <v>2624</v>
      </c>
      <c r="I1" s="1083"/>
      <c r="J1" s="1083"/>
      <c r="K1" s="1083"/>
      <c r="L1" s="1083"/>
      <c r="N1" s="145" t="s">
        <v>2719</v>
      </c>
    </row>
    <row r="2" spans="2:24">
      <c r="B2" s="136" t="s">
        <v>1577</v>
      </c>
      <c r="C2" t="s">
        <v>1578</v>
      </c>
      <c r="D2" s="136" t="s">
        <v>1579</v>
      </c>
      <c r="E2" t="s">
        <v>1580</v>
      </c>
      <c r="F2" s="650" t="s">
        <v>1581</v>
      </c>
      <c r="H2" s="136" t="s">
        <v>1577</v>
      </c>
      <c r="I2" t="s">
        <v>1578</v>
      </c>
      <c r="J2" s="136" t="s">
        <v>1579</v>
      </c>
      <c r="K2" t="s">
        <v>1580</v>
      </c>
      <c r="L2" s="650" t="s">
        <v>1581</v>
      </c>
      <c r="R2" s="731" t="s">
        <v>2720</v>
      </c>
      <c r="S2" s="145" t="s">
        <v>2721</v>
      </c>
    </row>
    <row r="3" spans="2:24">
      <c r="B3" s="140">
        <v>1</v>
      </c>
      <c r="C3" t="s">
        <v>303</v>
      </c>
      <c r="D3" s="136" t="s">
        <v>1583</v>
      </c>
      <c r="E3" t="s">
        <v>494</v>
      </c>
      <c r="F3" s="650">
        <v>166</v>
      </c>
      <c r="H3" s="140">
        <v>1</v>
      </c>
      <c r="I3" t="s">
        <v>303</v>
      </c>
      <c r="J3" s="136" t="s">
        <v>1583</v>
      </c>
      <c r="K3" t="s">
        <v>494</v>
      </c>
      <c r="L3" s="650">
        <v>166</v>
      </c>
      <c r="N3" s="145">
        <v>1</v>
      </c>
      <c r="O3" s="145" t="s">
        <v>303</v>
      </c>
      <c r="R3" s="731">
        <v>3175</v>
      </c>
      <c r="S3" s="145">
        <f>IF(ISNUMBER(R3),R3, 5)</f>
        <v>3175</v>
      </c>
    </row>
    <row r="4" spans="2:24">
      <c r="B4" s="140">
        <v>1</v>
      </c>
      <c r="C4" t="s">
        <v>303</v>
      </c>
      <c r="D4" s="136" t="s">
        <v>1584</v>
      </c>
      <c r="E4" t="s">
        <v>499</v>
      </c>
      <c r="F4" s="650">
        <v>107</v>
      </c>
      <c r="H4" s="140">
        <v>1</v>
      </c>
      <c r="I4" t="s">
        <v>303</v>
      </c>
      <c r="J4" s="136" t="s">
        <v>1584</v>
      </c>
      <c r="K4" t="s">
        <v>499</v>
      </c>
      <c r="L4" s="650">
        <v>107</v>
      </c>
      <c r="N4" s="145">
        <v>2</v>
      </c>
      <c r="O4" s="145" t="s">
        <v>552</v>
      </c>
      <c r="R4" s="731">
        <v>1932</v>
      </c>
      <c r="S4" s="145">
        <f t="shared" ref="S4:S67" si="0">IF(ISNUMBER(R4),R4, 5)</f>
        <v>1932</v>
      </c>
    </row>
    <row r="5" spans="2:24">
      <c r="B5" s="140">
        <v>1</v>
      </c>
      <c r="C5" t="s">
        <v>303</v>
      </c>
      <c r="D5" s="136" t="s">
        <v>1585</v>
      </c>
      <c r="E5" t="s">
        <v>500</v>
      </c>
      <c r="F5" s="650">
        <v>53</v>
      </c>
      <c r="H5" s="140">
        <v>1</v>
      </c>
      <c r="I5" t="s">
        <v>303</v>
      </c>
      <c r="J5" s="136" t="s">
        <v>1585</v>
      </c>
      <c r="K5" t="s">
        <v>500</v>
      </c>
      <c r="L5" s="650">
        <v>53</v>
      </c>
      <c r="N5" s="145">
        <v>3</v>
      </c>
      <c r="O5" s="145" t="s">
        <v>552</v>
      </c>
      <c r="R5" s="731">
        <v>183</v>
      </c>
      <c r="S5" s="145">
        <f t="shared" si="0"/>
        <v>183</v>
      </c>
    </row>
    <row r="6" spans="2:24" ht="15" thickBot="1">
      <c r="B6" s="140">
        <v>1</v>
      </c>
      <c r="C6" t="s">
        <v>303</v>
      </c>
      <c r="D6" s="136" t="s">
        <v>1586</v>
      </c>
      <c r="E6" t="s">
        <v>502</v>
      </c>
      <c r="F6" s="650">
        <v>108</v>
      </c>
      <c r="H6" s="140">
        <v>1</v>
      </c>
      <c r="I6" t="s">
        <v>303</v>
      </c>
      <c r="J6" s="136" t="s">
        <v>1586</v>
      </c>
      <c r="K6" t="s">
        <v>502</v>
      </c>
      <c r="L6" s="650">
        <v>108</v>
      </c>
      <c r="N6" s="145">
        <v>11</v>
      </c>
      <c r="O6" s="145" t="s">
        <v>552</v>
      </c>
      <c r="R6" s="731" t="s">
        <v>1186</v>
      </c>
      <c r="S6" s="145">
        <f t="shared" si="0"/>
        <v>5</v>
      </c>
    </row>
    <row r="7" spans="2:24">
      <c r="B7" s="140">
        <v>1</v>
      </c>
      <c r="C7" t="s">
        <v>303</v>
      </c>
      <c r="D7" s="136" t="s">
        <v>1587</v>
      </c>
      <c r="E7" t="s">
        <v>503</v>
      </c>
      <c r="F7" s="650">
        <v>122</v>
      </c>
      <c r="H7" s="140">
        <v>1</v>
      </c>
      <c r="I7" t="s">
        <v>303</v>
      </c>
      <c r="J7" s="136" t="s">
        <v>1587</v>
      </c>
      <c r="K7" t="s">
        <v>503</v>
      </c>
      <c r="L7" s="650">
        <v>122</v>
      </c>
      <c r="N7" s="145">
        <v>13</v>
      </c>
      <c r="O7" s="145" t="s">
        <v>552</v>
      </c>
      <c r="R7" s="731" t="s">
        <v>1186</v>
      </c>
      <c r="S7" s="145">
        <f t="shared" si="0"/>
        <v>5</v>
      </c>
      <c r="U7" s="1084" t="s">
        <v>2729</v>
      </c>
      <c r="V7" s="1085"/>
      <c r="W7" s="1085"/>
      <c r="X7" s="1086"/>
    </row>
    <row r="8" spans="2:24">
      <c r="B8" s="140">
        <v>1</v>
      </c>
      <c r="C8" t="s">
        <v>303</v>
      </c>
      <c r="D8" s="136" t="s">
        <v>1588</v>
      </c>
      <c r="E8" t="s">
        <v>506</v>
      </c>
      <c r="F8" s="650">
        <v>278</v>
      </c>
      <c r="H8" s="140">
        <v>1</v>
      </c>
      <c r="I8" t="s">
        <v>303</v>
      </c>
      <c r="J8" s="136" t="s">
        <v>1588</v>
      </c>
      <c r="K8" t="s">
        <v>506</v>
      </c>
      <c r="L8" s="650">
        <v>278</v>
      </c>
      <c r="N8" s="145">
        <v>21</v>
      </c>
      <c r="O8" s="145" t="s">
        <v>552</v>
      </c>
      <c r="R8" s="731" t="s">
        <v>1186</v>
      </c>
      <c r="S8" s="145">
        <f t="shared" si="0"/>
        <v>5</v>
      </c>
      <c r="U8" s="1087"/>
      <c r="V8" s="1088"/>
      <c r="W8" s="1088"/>
      <c r="X8" s="1089"/>
    </row>
    <row r="9" spans="2:24">
      <c r="B9" s="140">
        <v>1</v>
      </c>
      <c r="C9" t="s">
        <v>303</v>
      </c>
      <c r="D9" s="136" t="s">
        <v>1589</v>
      </c>
      <c r="E9" t="s">
        <v>507</v>
      </c>
      <c r="F9" s="650">
        <v>182</v>
      </c>
      <c r="H9" s="140">
        <v>1</v>
      </c>
      <c r="I9" t="s">
        <v>303</v>
      </c>
      <c r="J9" s="136" t="s">
        <v>1589</v>
      </c>
      <c r="K9" t="s">
        <v>507</v>
      </c>
      <c r="L9" s="650">
        <v>182</v>
      </c>
      <c r="N9" s="145">
        <v>25</v>
      </c>
      <c r="O9" s="145" t="s">
        <v>552</v>
      </c>
      <c r="R9" s="731">
        <v>139</v>
      </c>
      <c r="S9" s="145">
        <f t="shared" si="0"/>
        <v>139</v>
      </c>
      <c r="U9" s="1087"/>
      <c r="V9" s="1088"/>
      <c r="W9" s="1088"/>
      <c r="X9" s="1089"/>
    </row>
    <row r="10" spans="2:24">
      <c r="B10" s="140">
        <v>1</v>
      </c>
      <c r="C10" t="s">
        <v>303</v>
      </c>
      <c r="D10" s="136" t="s">
        <v>1590</v>
      </c>
      <c r="E10" t="s">
        <v>508</v>
      </c>
      <c r="F10" s="650">
        <v>45</v>
      </c>
      <c r="H10" s="140">
        <v>1</v>
      </c>
      <c r="I10" t="s">
        <v>303</v>
      </c>
      <c r="J10" s="136" t="s">
        <v>1590</v>
      </c>
      <c r="K10" t="s">
        <v>508</v>
      </c>
      <c r="L10" s="650">
        <v>45</v>
      </c>
      <c r="N10" s="145">
        <v>33</v>
      </c>
      <c r="O10" s="145" t="s">
        <v>552</v>
      </c>
      <c r="R10" s="731" t="s">
        <v>1186</v>
      </c>
      <c r="S10" s="145">
        <f t="shared" si="0"/>
        <v>5</v>
      </c>
      <c r="U10" s="1087"/>
      <c r="V10" s="1088"/>
      <c r="W10" s="1088"/>
      <c r="X10" s="1089"/>
    </row>
    <row r="11" spans="2:24">
      <c r="B11" s="140">
        <v>1</v>
      </c>
      <c r="C11" t="s">
        <v>303</v>
      </c>
      <c r="D11" s="136" t="s">
        <v>1591</v>
      </c>
      <c r="E11" t="s">
        <v>1522</v>
      </c>
      <c r="F11" s="650">
        <v>40</v>
      </c>
      <c r="H11" s="140">
        <v>1</v>
      </c>
      <c r="I11" t="s">
        <v>303</v>
      </c>
      <c r="J11" s="136" t="s">
        <v>1591</v>
      </c>
      <c r="K11" t="s">
        <v>1522</v>
      </c>
      <c r="L11" s="650">
        <v>40</v>
      </c>
      <c r="N11" s="145">
        <v>41</v>
      </c>
      <c r="O11" s="145" t="s">
        <v>552</v>
      </c>
      <c r="R11" s="731" t="s">
        <v>1186</v>
      </c>
      <c r="S11" s="145">
        <f t="shared" si="0"/>
        <v>5</v>
      </c>
      <c r="U11" s="1087"/>
      <c r="V11" s="1088"/>
      <c r="W11" s="1088"/>
      <c r="X11" s="1089"/>
    </row>
    <row r="12" spans="2:24" ht="15" thickBot="1">
      <c r="B12" s="140">
        <v>1</v>
      </c>
      <c r="C12" t="s">
        <v>303</v>
      </c>
      <c r="D12" s="136" t="s">
        <v>1592</v>
      </c>
      <c r="E12" t="s">
        <v>510</v>
      </c>
      <c r="F12" s="650">
        <v>87</v>
      </c>
      <c r="H12" s="140">
        <v>1</v>
      </c>
      <c r="I12" t="s">
        <v>303</v>
      </c>
      <c r="J12" s="136" t="s">
        <v>1592</v>
      </c>
      <c r="K12" t="s">
        <v>510</v>
      </c>
      <c r="L12" s="650">
        <v>87</v>
      </c>
      <c r="N12" s="145">
        <v>44</v>
      </c>
      <c r="O12" s="145" t="s">
        <v>552</v>
      </c>
      <c r="R12" s="731" t="s">
        <v>1186</v>
      </c>
      <c r="S12" s="145">
        <f t="shared" si="0"/>
        <v>5</v>
      </c>
      <c r="U12" s="1090"/>
      <c r="V12" s="1091"/>
      <c r="W12" s="1091"/>
      <c r="X12" s="1092"/>
    </row>
    <row r="13" spans="2:24">
      <c r="B13" s="140">
        <v>1</v>
      </c>
      <c r="C13" t="s">
        <v>303</v>
      </c>
      <c r="D13" s="136" t="s">
        <v>1593</v>
      </c>
      <c r="E13" t="s">
        <v>511</v>
      </c>
      <c r="F13" s="650">
        <v>20</v>
      </c>
      <c r="H13" s="140">
        <v>1</v>
      </c>
      <c r="I13" t="s">
        <v>303</v>
      </c>
      <c r="J13" s="136" t="s">
        <v>1593</v>
      </c>
      <c r="K13" t="s">
        <v>511</v>
      </c>
      <c r="L13" s="650">
        <v>20</v>
      </c>
      <c r="N13" s="145">
        <v>52</v>
      </c>
      <c r="O13" s="145" t="s">
        <v>552</v>
      </c>
      <c r="R13" s="731">
        <v>201</v>
      </c>
      <c r="S13" s="145">
        <f t="shared" si="0"/>
        <v>201</v>
      </c>
    </row>
    <row r="14" spans="2:24">
      <c r="B14" s="140">
        <v>1</v>
      </c>
      <c r="C14" t="s">
        <v>303</v>
      </c>
      <c r="D14" s="136" t="s">
        <v>1594</v>
      </c>
      <c r="E14" t="s">
        <v>513</v>
      </c>
      <c r="F14" s="650">
        <v>13</v>
      </c>
      <c r="H14" s="140">
        <v>1</v>
      </c>
      <c r="I14" t="s">
        <v>303</v>
      </c>
      <c r="J14" s="136" t="s">
        <v>1594</v>
      </c>
      <c r="K14" t="s">
        <v>513</v>
      </c>
      <c r="L14" s="650">
        <v>13</v>
      </c>
      <c r="N14" s="145">
        <v>55</v>
      </c>
      <c r="O14" s="145" t="s">
        <v>552</v>
      </c>
      <c r="R14" s="731">
        <v>715</v>
      </c>
      <c r="S14" s="145">
        <f t="shared" si="0"/>
        <v>715</v>
      </c>
    </row>
    <row r="15" spans="2:24">
      <c r="B15" s="140">
        <v>1</v>
      </c>
      <c r="C15" t="s">
        <v>303</v>
      </c>
      <c r="D15" s="136" t="s">
        <v>1595</v>
      </c>
      <c r="E15" t="s">
        <v>514</v>
      </c>
      <c r="F15" s="650">
        <v>19</v>
      </c>
      <c r="H15" s="140">
        <v>1</v>
      </c>
      <c r="I15" t="s">
        <v>303</v>
      </c>
      <c r="J15" s="136" t="s">
        <v>1595</v>
      </c>
      <c r="K15" t="s">
        <v>514</v>
      </c>
      <c r="L15" s="650">
        <v>19</v>
      </c>
      <c r="N15" s="145">
        <v>58</v>
      </c>
      <c r="O15" s="145" t="s">
        <v>552</v>
      </c>
      <c r="R15" s="731">
        <v>348</v>
      </c>
      <c r="S15" s="145">
        <f t="shared" si="0"/>
        <v>348</v>
      </c>
    </row>
    <row r="16" spans="2:24">
      <c r="B16" s="140">
        <v>1</v>
      </c>
      <c r="C16" t="s">
        <v>303</v>
      </c>
      <c r="D16" s="136" t="s">
        <v>1596</v>
      </c>
      <c r="E16" t="s">
        <v>1597</v>
      </c>
      <c r="F16" s="650">
        <v>37</v>
      </c>
      <c r="H16" s="140">
        <v>1</v>
      </c>
      <c r="I16" t="s">
        <v>303</v>
      </c>
      <c r="J16" s="136" t="s">
        <v>1596</v>
      </c>
      <c r="K16" t="s">
        <v>1597</v>
      </c>
      <c r="L16" s="650">
        <v>37</v>
      </c>
      <c r="N16" s="145">
        <v>59</v>
      </c>
      <c r="O16" s="145" t="s">
        <v>552</v>
      </c>
      <c r="R16" s="731">
        <v>29</v>
      </c>
      <c r="S16" s="145">
        <f t="shared" si="0"/>
        <v>29</v>
      </c>
    </row>
    <row r="17" spans="2:19">
      <c r="B17" s="140">
        <v>1</v>
      </c>
      <c r="C17" t="s">
        <v>303</v>
      </c>
      <c r="D17" s="136" t="s">
        <v>1598</v>
      </c>
      <c r="E17" t="s">
        <v>516</v>
      </c>
      <c r="F17" s="650" t="s">
        <v>1186</v>
      </c>
      <c r="H17" s="140">
        <v>1</v>
      </c>
      <c r="I17" t="s">
        <v>303</v>
      </c>
      <c r="J17" s="136" t="s">
        <v>1598</v>
      </c>
      <c r="K17" t="s">
        <v>516</v>
      </c>
      <c r="L17" s="650" t="s">
        <v>1186</v>
      </c>
      <c r="N17" s="145">
        <v>60</v>
      </c>
      <c r="O17" s="145" t="s">
        <v>552</v>
      </c>
      <c r="R17" s="731">
        <v>154</v>
      </c>
      <c r="S17" s="145">
        <f t="shared" si="0"/>
        <v>154</v>
      </c>
    </row>
    <row r="18" spans="2:19">
      <c r="B18" s="140">
        <v>1</v>
      </c>
      <c r="C18" t="s">
        <v>303</v>
      </c>
      <c r="D18" s="136" t="s">
        <v>1599</v>
      </c>
      <c r="E18" t="s">
        <v>517</v>
      </c>
      <c r="F18" s="650">
        <v>89</v>
      </c>
      <c r="H18" s="140">
        <v>1</v>
      </c>
      <c r="I18" t="s">
        <v>303</v>
      </c>
      <c r="J18" s="136" t="s">
        <v>1599</v>
      </c>
      <c r="K18" t="s">
        <v>517</v>
      </c>
      <c r="L18" s="650">
        <v>89</v>
      </c>
      <c r="N18" s="145">
        <v>61</v>
      </c>
      <c r="O18" s="145" t="s">
        <v>552</v>
      </c>
      <c r="R18" s="731">
        <v>1079</v>
      </c>
      <c r="S18" s="145">
        <f t="shared" si="0"/>
        <v>1079</v>
      </c>
    </row>
    <row r="19" spans="2:19">
      <c r="B19" s="140">
        <v>1</v>
      </c>
      <c r="C19" t="s">
        <v>303</v>
      </c>
      <c r="D19" s="136" t="s">
        <v>1600</v>
      </c>
      <c r="E19" t="s">
        <v>519</v>
      </c>
      <c r="F19" s="650" t="s">
        <v>1186</v>
      </c>
      <c r="H19" s="140">
        <v>1</v>
      </c>
      <c r="I19" t="s">
        <v>303</v>
      </c>
      <c r="J19" s="136" t="s">
        <v>1600</v>
      </c>
      <c r="K19" t="s">
        <v>519</v>
      </c>
      <c r="L19" s="650" t="s">
        <v>1186</v>
      </c>
      <c r="N19" s="145">
        <v>71</v>
      </c>
      <c r="O19" s="145" t="s">
        <v>552</v>
      </c>
      <c r="R19" s="731" t="s">
        <v>1186</v>
      </c>
      <c r="S19" s="145">
        <f t="shared" si="0"/>
        <v>5</v>
      </c>
    </row>
    <row r="20" spans="2:19">
      <c r="B20" s="140">
        <v>1</v>
      </c>
      <c r="C20" t="s">
        <v>303</v>
      </c>
      <c r="D20" s="136" t="s">
        <v>1601</v>
      </c>
      <c r="E20" t="s">
        <v>520</v>
      </c>
      <c r="F20" s="650">
        <v>159</v>
      </c>
      <c r="H20" s="140">
        <v>1</v>
      </c>
      <c r="I20" t="s">
        <v>303</v>
      </c>
      <c r="J20" s="136" t="s">
        <v>1601</v>
      </c>
      <c r="K20" t="s">
        <v>520</v>
      </c>
      <c r="L20" s="650">
        <v>159</v>
      </c>
      <c r="N20" s="145">
        <v>72</v>
      </c>
      <c r="O20" s="145" t="s">
        <v>552</v>
      </c>
      <c r="R20" s="731" t="s">
        <v>1186</v>
      </c>
      <c r="S20" s="145">
        <f t="shared" si="0"/>
        <v>5</v>
      </c>
    </row>
    <row r="21" spans="2:19">
      <c r="B21" s="140">
        <v>1</v>
      </c>
      <c r="C21" t="s">
        <v>303</v>
      </c>
      <c r="D21" s="136" t="s">
        <v>1602</v>
      </c>
      <c r="E21" t="s">
        <v>522</v>
      </c>
      <c r="F21" s="650">
        <v>68</v>
      </c>
      <c r="H21" s="140">
        <v>1</v>
      </c>
      <c r="I21" t="s">
        <v>303</v>
      </c>
      <c r="J21" s="136" t="s">
        <v>1602</v>
      </c>
      <c r="K21" t="s">
        <v>522</v>
      </c>
      <c r="L21" s="650">
        <v>68</v>
      </c>
      <c r="N21" s="145">
        <v>73</v>
      </c>
      <c r="O21" s="145" t="s">
        <v>552</v>
      </c>
      <c r="R21" s="731" t="s">
        <v>1186</v>
      </c>
      <c r="S21" s="145">
        <f t="shared" si="0"/>
        <v>5</v>
      </c>
    </row>
    <row r="22" spans="2:19">
      <c r="B22" s="140">
        <v>1</v>
      </c>
      <c r="C22" t="s">
        <v>303</v>
      </c>
      <c r="D22" s="136" t="s">
        <v>1603</v>
      </c>
      <c r="E22" t="s">
        <v>523</v>
      </c>
      <c r="F22" s="650">
        <v>21</v>
      </c>
      <c r="H22" s="140">
        <v>1</v>
      </c>
      <c r="I22" t="s">
        <v>303</v>
      </c>
      <c r="J22" s="136" t="s">
        <v>1603</v>
      </c>
      <c r="K22" t="s">
        <v>523</v>
      </c>
      <c r="L22" s="650">
        <v>21</v>
      </c>
      <c r="N22" s="145">
        <v>83</v>
      </c>
      <c r="O22" s="145" t="s">
        <v>552</v>
      </c>
      <c r="R22" s="731" t="s">
        <v>1186</v>
      </c>
      <c r="S22" s="145">
        <f t="shared" si="0"/>
        <v>5</v>
      </c>
    </row>
    <row r="23" spans="2:19">
      <c r="B23" s="140">
        <v>1</v>
      </c>
      <c r="C23" t="s">
        <v>303</v>
      </c>
      <c r="D23" s="136" t="s">
        <v>1604</v>
      </c>
      <c r="E23" t="s">
        <v>524</v>
      </c>
      <c r="F23" s="650" t="s">
        <v>1186</v>
      </c>
      <c r="H23" s="140">
        <v>1</v>
      </c>
      <c r="I23" t="s">
        <v>303</v>
      </c>
      <c r="J23" s="136" t="s">
        <v>1604</v>
      </c>
      <c r="K23" t="s">
        <v>524</v>
      </c>
      <c r="L23" s="650" t="s">
        <v>1186</v>
      </c>
      <c r="N23" s="145">
        <v>84</v>
      </c>
      <c r="O23" s="145" t="s">
        <v>552</v>
      </c>
      <c r="R23" s="731">
        <v>18</v>
      </c>
      <c r="S23" s="145">
        <f t="shared" si="0"/>
        <v>18</v>
      </c>
    </row>
    <row r="24" spans="2:19">
      <c r="B24" s="140">
        <v>1</v>
      </c>
      <c r="C24" t="s">
        <v>303</v>
      </c>
      <c r="D24" s="136" t="s">
        <v>1605</v>
      </c>
      <c r="E24" t="s">
        <v>525</v>
      </c>
      <c r="F24" s="650" t="s">
        <v>1186</v>
      </c>
      <c r="H24" s="140">
        <v>1</v>
      </c>
      <c r="I24" t="s">
        <v>303</v>
      </c>
      <c r="J24" s="136" t="s">
        <v>1605</v>
      </c>
      <c r="K24" t="s">
        <v>525</v>
      </c>
      <c r="L24" s="650" t="s">
        <v>1186</v>
      </c>
      <c r="N24" s="145">
        <v>91</v>
      </c>
      <c r="O24" s="145" t="s">
        <v>552</v>
      </c>
      <c r="R24" s="731">
        <v>1032</v>
      </c>
      <c r="S24" s="145">
        <f t="shared" si="0"/>
        <v>1032</v>
      </c>
    </row>
    <row r="25" spans="2:19">
      <c r="B25" s="140">
        <v>1</v>
      </c>
      <c r="C25" t="s">
        <v>303</v>
      </c>
      <c r="D25" s="136" t="s">
        <v>1606</v>
      </c>
      <c r="E25" t="s">
        <v>526</v>
      </c>
      <c r="F25" s="650">
        <v>13</v>
      </c>
      <c r="H25" s="140">
        <v>1</v>
      </c>
      <c r="I25" t="s">
        <v>303</v>
      </c>
      <c r="J25" s="136" t="s">
        <v>1606</v>
      </c>
      <c r="K25" t="s">
        <v>526</v>
      </c>
      <c r="L25" s="650">
        <v>13</v>
      </c>
      <c r="N25" s="145">
        <v>92</v>
      </c>
      <c r="O25" s="145" t="s">
        <v>552</v>
      </c>
      <c r="R25" s="731" t="s">
        <v>1186</v>
      </c>
      <c r="S25" s="145">
        <f t="shared" si="0"/>
        <v>5</v>
      </c>
    </row>
    <row r="26" spans="2:19">
      <c r="B26" s="140">
        <v>1</v>
      </c>
      <c r="C26" t="s">
        <v>303</v>
      </c>
      <c r="D26" s="136" t="s">
        <v>1607</v>
      </c>
      <c r="E26" t="s">
        <v>527</v>
      </c>
      <c r="F26" s="650">
        <v>17</v>
      </c>
      <c r="H26" s="140">
        <v>1</v>
      </c>
      <c r="I26" t="s">
        <v>303</v>
      </c>
      <c r="J26" s="136" t="s">
        <v>1607</v>
      </c>
      <c r="K26" t="s">
        <v>527</v>
      </c>
      <c r="L26" s="650">
        <v>17</v>
      </c>
      <c r="N26" s="145">
        <v>93</v>
      </c>
      <c r="O26" s="145" t="s">
        <v>552</v>
      </c>
      <c r="R26" s="731">
        <v>643</v>
      </c>
      <c r="S26" s="145">
        <f t="shared" si="0"/>
        <v>643</v>
      </c>
    </row>
    <row r="27" spans="2:19">
      <c r="B27" s="140">
        <v>1</v>
      </c>
      <c r="C27" t="s">
        <v>303</v>
      </c>
      <c r="D27" s="136" t="s">
        <v>1608</v>
      </c>
      <c r="E27" t="s">
        <v>528</v>
      </c>
      <c r="F27" s="650">
        <v>14</v>
      </c>
      <c r="H27" s="140">
        <v>1</v>
      </c>
      <c r="I27" t="s">
        <v>303</v>
      </c>
      <c r="J27" s="136" t="s">
        <v>1608</v>
      </c>
      <c r="K27" t="s">
        <v>528</v>
      </c>
      <c r="L27" s="650">
        <v>14</v>
      </c>
      <c r="N27" s="145">
        <v>101</v>
      </c>
      <c r="O27" s="145" t="s">
        <v>552</v>
      </c>
      <c r="R27" s="731">
        <v>10</v>
      </c>
      <c r="S27" s="145">
        <f t="shared" si="0"/>
        <v>10</v>
      </c>
    </row>
    <row r="28" spans="2:19">
      <c r="B28" s="140">
        <v>1</v>
      </c>
      <c r="C28" t="s">
        <v>303</v>
      </c>
      <c r="D28" s="136" t="s">
        <v>1609</v>
      </c>
      <c r="E28" t="s">
        <v>529</v>
      </c>
      <c r="F28" s="650">
        <v>92</v>
      </c>
      <c r="H28" s="140">
        <v>1</v>
      </c>
      <c r="I28" t="s">
        <v>303</v>
      </c>
      <c r="J28" s="136" t="s">
        <v>1609</v>
      </c>
      <c r="K28" t="s">
        <v>529</v>
      </c>
      <c r="L28" s="650">
        <v>92</v>
      </c>
      <c r="N28" s="145">
        <v>111</v>
      </c>
      <c r="O28" s="145" t="s">
        <v>552</v>
      </c>
      <c r="R28" s="731">
        <v>17</v>
      </c>
      <c r="S28" s="145">
        <f t="shared" si="0"/>
        <v>17</v>
      </c>
    </row>
    <row r="29" spans="2:19">
      <c r="B29" s="140">
        <v>1</v>
      </c>
      <c r="C29" t="s">
        <v>303</v>
      </c>
      <c r="D29" s="136" t="s">
        <v>1610</v>
      </c>
      <c r="E29" t="s">
        <v>530</v>
      </c>
      <c r="F29" s="650">
        <v>46</v>
      </c>
      <c r="H29" s="140">
        <v>1</v>
      </c>
      <c r="I29" t="s">
        <v>303</v>
      </c>
      <c r="J29" s="136" t="s">
        <v>1610</v>
      </c>
      <c r="K29" t="s">
        <v>530</v>
      </c>
      <c r="L29" s="650">
        <v>46</v>
      </c>
      <c r="N29" s="145">
        <v>121</v>
      </c>
      <c r="O29" s="145" t="s">
        <v>552</v>
      </c>
      <c r="R29" s="731" t="s">
        <v>1186</v>
      </c>
      <c r="S29" s="145">
        <f t="shared" si="0"/>
        <v>5</v>
      </c>
    </row>
    <row r="30" spans="2:19">
      <c r="B30" s="140">
        <v>1</v>
      </c>
      <c r="C30" t="s">
        <v>303</v>
      </c>
      <c r="D30" s="136" t="s">
        <v>1611</v>
      </c>
      <c r="E30" t="s">
        <v>531</v>
      </c>
      <c r="F30" s="650">
        <v>32</v>
      </c>
      <c r="H30" s="140">
        <v>1</v>
      </c>
      <c r="I30" t="s">
        <v>303</v>
      </c>
      <c r="J30" s="136" t="s">
        <v>1611</v>
      </c>
      <c r="K30" t="s">
        <v>531</v>
      </c>
      <c r="L30" s="650">
        <v>32</v>
      </c>
      <c r="N30" s="145">
        <v>131</v>
      </c>
      <c r="O30" s="145" t="s">
        <v>552</v>
      </c>
      <c r="R30" s="731">
        <v>2283</v>
      </c>
      <c r="S30" s="145">
        <f t="shared" si="0"/>
        <v>2283</v>
      </c>
    </row>
    <row r="31" spans="2:19">
      <c r="B31" s="140">
        <v>1</v>
      </c>
      <c r="C31" t="s">
        <v>303</v>
      </c>
      <c r="D31" s="136" t="s">
        <v>1612</v>
      </c>
      <c r="E31" t="s">
        <v>1613</v>
      </c>
      <c r="F31" s="650">
        <v>107</v>
      </c>
      <c r="H31" s="140">
        <v>1</v>
      </c>
      <c r="I31" t="s">
        <v>303</v>
      </c>
      <c r="J31" s="136" t="s">
        <v>1612</v>
      </c>
      <c r="K31" t="s">
        <v>1613</v>
      </c>
      <c r="L31" s="650">
        <v>107</v>
      </c>
      <c r="N31" s="145">
        <v>132</v>
      </c>
      <c r="O31" s="145" t="s">
        <v>552</v>
      </c>
      <c r="R31" s="731">
        <v>1711</v>
      </c>
      <c r="S31" s="145">
        <f t="shared" si="0"/>
        <v>1711</v>
      </c>
    </row>
    <row r="32" spans="2:19">
      <c r="B32" s="140">
        <v>1</v>
      </c>
      <c r="C32" t="s">
        <v>303</v>
      </c>
      <c r="D32" s="136" t="s">
        <v>1614</v>
      </c>
      <c r="E32" t="s">
        <v>1615</v>
      </c>
      <c r="F32" s="650">
        <v>31</v>
      </c>
      <c r="H32" s="140">
        <v>1</v>
      </c>
      <c r="I32" t="s">
        <v>303</v>
      </c>
      <c r="J32" s="136" t="s">
        <v>1614</v>
      </c>
      <c r="K32" t="s">
        <v>1615</v>
      </c>
      <c r="L32" s="650">
        <v>31</v>
      </c>
      <c r="N32" s="145">
        <v>133</v>
      </c>
      <c r="O32" s="145" t="s">
        <v>552</v>
      </c>
      <c r="R32" s="731">
        <v>147</v>
      </c>
      <c r="S32" s="145">
        <f t="shared" si="0"/>
        <v>147</v>
      </c>
    </row>
    <row r="33" spans="2:19">
      <c r="B33" s="140">
        <v>1</v>
      </c>
      <c r="C33" t="s">
        <v>303</v>
      </c>
      <c r="D33" s="136" t="s">
        <v>1616</v>
      </c>
      <c r="E33" t="s">
        <v>534</v>
      </c>
      <c r="F33" s="650" t="s">
        <v>1186</v>
      </c>
      <c r="H33" s="140">
        <v>1</v>
      </c>
      <c r="I33" t="s">
        <v>303</v>
      </c>
      <c r="J33" s="136" t="s">
        <v>1616</v>
      </c>
      <c r="K33" t="s">
        <v>534</v>
      </c>
      <c r="L33" s="650" t="s">
        <v>1186</v>
      </c>
      <c r="N33" s="145">
        <v>134</v>
      </c>
      <c r="O33" s="145" t="s">
        <v>552</v>
      </c>
      <c r="R33" s="731">
        <v>140</v>
      </c>
      <c r="S33" s="145">
        <f t="shared" si="0"/>
        <v>140</v>
      </c>
    </row>
    <row r="34" spans="2:19">
      <c r="B34" s="140">
        <v>1</v>
      </c>
      <c r="C34" t="s">
        <v>303</v>
      </c>
      <c r="D34" s="136" t="s">
        <v>1617</v>
      </c>
      <c r="E34" t="s">
        <v>535</v>
      </c>
      <c r="F34" s="650">
        <v>14</v>
      </c>
      <c r="H34" s="140">
        <v>1</v>
      </c>
      <c r="I34" t="s">
        <v>303</v>
      </c>
      <c r="J34" s="136" t="s">
        <v>1617</v>
      </c>
      <c r="K34" t="s">
        <v>535</v>
      </c>
      <c r="L34" s="650">
        <v>14</v>
      </c>
      <c r="N34" s="145">
        <v>135</v>
      </c>
      <c r="O34" s="145" t="s">
        <v>552</v>
      </c>
      <c r="R34" s="731">
        <v>55</v>
      </c>
      <c r="S34" s="145">
        <f t="shared" si="0"/>
        <v>55</v>
      </c>
    </row>
    <row r="35" spans="2:19">
      <c r="B35" s="140">
        <v>1</v>
      </c>
      <c r="C35" t="s">
        <v>303</v>
      </c>
      <c r="D35" s="136" t="s">
        <v>1618</v>
      </c>
      <c r="E35" t="s">
        <v>536</v>
      </c>
      <c r="F35" s="650">
        <v>90</v>
      </c>
      <c r="H35" s="140">
        <v>1</v>
      </c>
      <c r="I35" t="s">
        <v>303</v>
      </c>
      <c r="J35" s="136" t="s">
        <v>1618</v>
      </c>
      <c r="K35" t="s">
        <v>536</v>
      </c>
      <c r="L35" s="650">
        <v>90</v>
      </c>
      <c r="N35" s="145">
        <v>136</v>
      </c>
      <c r="O35" s="145" t="s">
        <v>552</v>
      </c>
      <c r="R35" s="731">
        <v>121</v>
      </c>
      <c r="S35" s="145">
        <f t="shared" si="0"/>
        <v>121</v>
      </c>
    </row>
    <row r="36" spans="2:19">
      <c r="B36" s="140">
        <v>1</v>
      </c>
      <c r="C36" t="s">
        <v>303</v>
      </c>
      <c r="D36" s="136" t="s">
        <v>1619</v>
      </c>
      <c r="E36" t="s">
        <v>537</v>
      </c>
      <c r="F36" s="650" t="s">
        <v>1186</v>
      </c>
      <c r="H36" s="140">
        <v>1</v>
      </c>
      <c r="I36" t="s">
        <v>303</v>
      </c>
      <c r="J36" s="136" t="s">
        <v>1619</v>
      </c>
      <c r="K36" t="s">
        <v>537</v>
      </c>
      <c r="L36" s="650" t="s">
        <v>1186</v>
      </c>
      <c r="N36" s="145">
        <v>137</v>
      </c>
      <c r="O36" s="145" t="s">
        <v>552</v>
      </c>
      <c r="R36" s="731">
        <v>148</v>
      </c>
      <c r="S36" s="145">
        <f t="shared" si="0"/>
        <v>148</v>
      </c>
    </row>
    <row r="37" spans="2:19">
      <c r="B37" s="140">
        <v>1</v>
      </c>
      <c r="C37" t="s">
        <v>303</v>
      </c>
      <c r="D37" s="136" t="s">
        <v>1620</v>
      </c>
      <c r="E37" t="s">
        <v>538</v>
      </c>
      <c r="F37" s="650">
        <v>181</v>
      </c>
      <c r="H37" s="140">
        <v>1</v>
      </c>
      <c r="I37" t="s">
        <v>303</v>
      </c>
      <c r="J37" s="136" t="s">
        <v>1620</v>
      </c>
      <c r="K37" t="s">
        <v>538</v>
      </c>
      <c r="L37" s="650">
        <v>181</v>
      </c>
      <c r="N37" s="145">
        <v>139</v>
      </c>
      <c r="O37" s="145" t="s">
        <v>552</v>
      </c>
      <c r="R37" s="731">
        <v>1608</v>
      </c>
      <c r="S37" s="145">
        <f t="shared" si="0"/>
        <v>1608</v>
      </c>
    </row>
    <row r="38" spans="2:19">
      <c r="B38" s="140">
        <v>1</v>
      </c>
      <c r="C38" t="s">
        <v>303</v>
      </c>
      <c r="D38" s="136" t="s">
        <v>1621</v>
      </c>
      <c r="E38" t="s">
        <v>539</v>
      </c>
      <c r="F38" s="650">
        <v>43</v>
      </c>
      <c r="H38" s="140">
        <v>1</v>
      </c>
      <c r="I38" t="s">
        <v>303</v>
      </c>
      <c r="J38" s="136" t="s">
        <v>1621</v>
      </c>
      <c r="K38" t="s">
        <v>539</v>
      </c>
      <c r="L38" s="650">
        <v>43</v>
      </c>
      <c r="N38" s="145">
        <v>148</v>
      </c>
      <c r="O38" s="145" t="s">
        <v>552</v>
      </c>
      <c r="R38" s="731" t="s">
        <v>1186</v>
      </c>
      <c r="S38" s="145">
        <f t="shared" si="0"/>
        <v>5</v>
      </c>
    </row>
    <row r="39" spans="2:19">
      <c r="B39" s="140">
        <v>1</v>
      </c>
      <c r="C39" t="s">
        <v>303</v>
      </c>
      <c r="D39" s="136" t="s">
        <v>1622</v>
      </c>
      <c r="E39" t="s">
        <v>540</v>
      </c>
      <c r="F39" s="650">
        <v>192</v>
      </c>
      <c r="H39" s="140">
        <v>1</v>
      </c>
      <c r="I39" t="s">
        <v>303</v>
      </c>
      <c r="J39" s="136" t="s">
        <v>1622</v>
      </c>
      <c r="K39" t="s">
        <v>540</v>
      </c>
      <c r="L39" s="650">
        <v>192</v>
      </c>
      <c r="N39" s="145">
        <v>149</v>
      </c>
      <c r="O39" s="145" t="s">
        <v>552</v>
      </c>
      <c r="R39" s="731" t="s">
        <v>1186</v>
      </c>
      <c r="S39" s="145">
        <f t="shared" si="0"/>
        <v>5</v>
      </c>
    </row>
    <row r="40" spans="2:19">
      <c r="B40" s="140">
        <v>1</v>
      </c>
      <c r="C40" t="s">
        <v>303</v>
      </c>
      <c r="D40" s="136" t="s">
        <v>1623</v>
      </c>
      <c r="E40" t="s">
        <v>1624</v>
      </c>
      <c r="F40" s="650" t="s">
        <v>1186</v>
      </c>
      <c r="H40" s="140">
        <v>1</v>
      </c>
      <c r="I40" t="s">
        <v>303</v>
      </c>
      <c r="J40" s="136" t="s">
        <v>1623</v>
      </c>
      <c r="K40" t="s">
        <v>1624</v>
      </c>
      <c r="L40" s="650" t="s">
        <v>1186</v>
      </c>
      <c r="N40" s="145">
        <v>150</v>
      </c>
      <c r="O40" s="145" t="s">
        <v>552</v>
      </c>
      <c r="R40" s="731" t="s">
        <v>1186</v>
      </c>
      <c r="S40" s="145">
        <f t="shared" si="0"/>
        <v>5</v>
      </c>
    </row>
    <row r="41" spans="2:19">
      <c r="B41" s="140">
        <v>1</v>
      </c>
      <c r="C41" t="s">
        <v>303</v>
      </c>
      <c r="D41" s="136" t="s">
        <v>1625</v>
      </c>
      <c r="E41" t="s">
        <v>1626</v>
      </c>
      <c r="F41" s="650" t="s">
        <v>1186</v>
      </c>
      <c r="H41" s="140">
        <v>1</v>
      </c>
      <c r="I41" t="s">
        <v>303</v>
      </c>
      <c r="J41" s="136" t="s">
        <v>1625</v>
      </c>
      <c r="K41" t="s">
        <v>1626</v>
      </c>
      <c r="L41" s="650" t="s">
        <v>1186</v>
      </c>
      <c r="N41" s="145">
        <v>151</v>
      </c>
      <c r="O41" s="145" t="s">
        <v>552</v>
      </c>
      <c r="R41" s="731">
        <v>792</v>
      </c>
      <c r="S41" s="145">
        <f t="shared" si="0"/>
        <v>792</v>
      </c>
    </row>
    <row r="42" spans="2:19">
      <c r="B42" s="140">
        <v>1</v>
      </c>
      <c r="C42" t="s">
        <v>303</v>
      </c>
      <c r="D42" s="136" t="s">
        <v>1627</v>
      </c>
      <c r="E42" t="s">
        <v>541</v>
      </c>
      <c r="F42" s="650">
        <v>24</v>
      </c>
      <c r="H42" s="140">
        <v>1</v>
      </c>
      <c r="I42" t="s">
        <v>303</v>
      </c>
      <c r="J42" s="136" t="s">
        <v>1627</v>
      </c>
      <c r="K42" t="s">
        <v>541</v>
      </c>
      <c r="L42" s="650">
        <v>24</v>
      </c>
      <c r="N42" s="145">
        <v>161</v>
      </c>
      <c r="O42" s="145" t="s">
        <v>552</v>
      </c>
      <c r="R42" s="731">
        <v>22</v>
      </c>
      <c r="S42" s="145">
        <f t="shared" si="0"/>
        <v>22</v>
      </c>
    </row>
    <row r="43" spans="2:19">
      <c r="B43" s="140">
        <v>1</v>
      </c>
      <c r="C43" t="s">
        <v>303</v>
      </c>
      <c r="D43" s="136" t="s">
        <v>1628</v>
      </c>
      <c r="E43" t="s">
        <v>542</v>
      </c>
      <c r="F43" s="650">
        <v>141</v>
      </c>
      <c r="H43" s="140">
        <v>1</v>
      </c>
      <c r="I43" t="s">
        <v>303</v>
      </c>
      <c r="J43" s="136" t="s">
        <v>1628</v>
      </c>
      <c r="K43" t="s">
        <v>542</v>
      </c>
      <c r="L43" s="650">
        <v>141</v>
      </c>
      <c r="N43" s="145">
        <v>171</v>
      </c>
      <c r="O43" s="145" t="s">
        <v>552</v>
      </c>
      <c r="R43" s="731" t="s">
        <v>1186</v>
      </c>
      <c r="S43" s="145">
        <f t="shared" si="0"/>
        <v>5</v>
      </c>
    </row>
    <row r="44" spans="2:19">
      <c r="B44" s="140">
        <v>1</v>
      </c>
      <c r="C44" t="s">
        <v>303</v>
      </c>
      <c r="D44" s="136" t="s">
        <v>1629</v>
      </c>
      <c r="E44" t="s">
        <v>543</v>
      </c>
      <c r="F44" s="650">
        <v>155</v>
      </c>
      <c r="H44" s="140">
        <v>1</v>
      </c>
      <c r="I44" t="s">
        <v>303</v>
      </c>
      <c r="J44" s="136" t="s">
        <v>1629</v>
      </c>
      <c r="K44" t="s">
        <v>543</v>
      </c>
      <c r="L44" s="650">
        <v>155</v>
      </c>
      <c r="N44" s="145">
        <v>181</v>
      </c>
      <c r="O44" s="145" t="s">
        <v>552</v>
      </c>
      <c r="R44" s="731" t="s">
        <v>1186</v>
      </c>
      <c r="S44" s="145">
        <f t="shared" si="0"/>
        <v>5</v>
      </c>
    </row>
    <row r="45" spans="2:19">
      <c r="B45" s="140">
        <v>1</v>
      </c>
      <c r="C45" t="s">
        <v>303</v>
      </c>
      <c r="D45" s="136" t="s">
        <v>1630</v>
      </c>
      <c r="E45" t="s">
        <v>544</v>
      </c>
      <c r="F45" s="650">
        <v>127</v>
      </c>
      <c r="H45" s="140">
        <v>1</v>
      </c>
      <c r="I45" t="s">
        <v>303</v>
      </c>
      <c r="J45" s="136" t="s">
        <v>1630</v>
      </c>
      <c r="K45" t="s">
        <v>544</v>
      </c>
      <c r="L45" s="650">
        <v>127</v>
      </c>
      <c r="N45" s="145">
        <v>182</v>
      </c>
      <c r="O45" s="145" t="s">
        <v>552</v>
      </c>
      <c r="R45" s="731" t="s">
        <v>1186</v>
      </c>
      <c r="S45" s="145">
        <f t="shared" si="0"/>
        <v>5</v>
      </c>
    </row>
    <row r="46" spans="2:19">
      <c r="B46" s="140">
        <v>1</v>
      </c>
      <c r="C46" t="s">
        <v>303</v>
      </c>
      <c r="D46" s="136" t="s">
        <v>1631</v>
      </c>
      <c r="E46" t="s">
        <v>1632</v>
      </c>
      <c r="F46" s="650">
        <v>64</v>
      </c>
      <c r="H46" s="140">
        <v>1</v>
      </c>
      <c r="I46" t="s">
        <v>303</v>
      </c>
      <c r="J46" s="136" t="s">
        <v>1631</v>
      </c>
      <c r="K46" t="s">
        <v>1632</v>
      </c>
      <c r="L46" s="650">
        <v>64</v>
      </c>
      <c r="N46" s="145">
        <v>191</v>
      </c>
      <c r="O46" s="145" t="s">
        <v>552</v>
      </c>
      <c r="R46" s="731" t="s">
        <v>1186</v>
      </c>
      <c r="S46" s="145">
        <f t="shared" si="0"/>
        <v>5</v>
      </c>
    </row>
    <row r="47" spans="2:19">
      <c r="B47" s="140">
        <v>1</v>
      </c>
      <c r="C47" t="s">
        <v>303</v>
      </c>
      <c r="D47" s="136" t="s">
        <v>1633</v>
      </c>
      <c r="E47" t="s">
        <v>548</v>
      </c>
      <c r="F47" s="650">
        <v>93</v>
      </c>
      <c r="H47" s="140">
        <v>1</v>
      </c>
      <c r="I47" t="s">
        <v>303</v>
      </c>
      <c r="J47" s="136" t="s">
        <v>1633</v>
      </c>
      <c r="K47" t="s">
        <v>548</v>
      </c>
      <c r="L47" s="650">
        <v>93</v>
      </c>
      <c r="N47" s="145">
        <v>192</v>
      </c>
      <c r="O47" s="145" t="s">
        <v>552</v>
      </c>
      <c r="R47" s="731">
        <v>130</v>
      </c>
      <c r="S47" s="145">
        <f t="shared" si="0"/>
        <v>130</v>
      </c>
    </row>
    <row r="48" spans="2:19">
      <c r="B48" s="140">
        <v>1</v>
      </c>
      <c r="C48" t="s">
        <v>303</v>
      </c>
      <c r="D48" s="136" t="s">
        <v>1634</v>
      </c>
      <c r="E48" t="s">
        <v>549</v>
      </c>
      <c r="F48" s="650">
        <v>52</v>
      </c>
      <c r="H48" s="140">
        <v>1</v>
      </c>
      <c r="I48" t="s">
        <v>303</v>
      </c>
      <c r="J48" s="136" t="s">
        <v>1634</v>
      </c>
      <c r="K48" t="s">
        <v>549</v>
      </c>
      <c r="L48" s="650">
        <v>52</v>
      </c>
      <c r="N48" s="145">
        <v>193</v>
      </c>
      <c r="O48" s="145" t="s">
        <v>552</v>
      </c>
      <c r="R48" s="731">
        <v>348</v>
      </c>
      <c r="S48" s="145">
        <f t="shared" si="0"/>
        <v>348</v>
      </c>
    </row>
    <row r="49" spans="2:19">
      <c r="B49" s="140">
        <v>1</v>
      </c>
      <c r="C49" t="s">
        <v>303</v>
      </c>
      <c r="D49" s="136" t="s">
        <v>1635</v>
      </c>
      <c r="E49" t="s">
        <v>550</v>
      </c>
      <c r="F49" s="650" t="s">
        <v>1186</v>
      </c>
      <c r="H49" s="140">
        <v>1</v>
      </c>
      <c r="I49" t="s">
        <v>303</v>
      </c>
      <c r="J49" s="136" t="s">
        <v>1635</v>
      </c>
      <c r="K49" t="s">
        <v>550</v>
      </c>
      <c r="L49" s="650" t="s">
        <v>1186</v>
      </c>
      <c r="N49" s="145">
        <v>201</v>
      </c>
      <c r="O49" s="145" t="s">
        <v>552</v>
      </c>
      <c r="R49" s="731">
        <v>121</v>
      </c>
      <c r="S49" s="145">
        <f t="shared" si="0"/>
        <v>121</v>
      </c>
    </row>
    <row r="50" spans="2:19">
      <c r="B50" s="140">
        <v>1</v>
      </c>
      <c r="C50" t="s">
        <v>303</v>
      </c>
      <c r="D50" s="136" t="s">
        <v>1636</v>
      </c>
      <c r="E50" t="s">
        <v>1637</v>
      </c>
      <c r="F50" s="650" t="s">
        <v>1186</v>
      </c>
      <c r="H50" s="140">
        <v>1</v>
      </c>
      <c r="I50" t="s">
        <v>303</v>
      </c>
      <c r="J50" s="136" t="s">
        <v>1636</v>
      </c>
      <c r="K50" t="s">
        <v>1637</v>
      </c>
      <c r="L50" s="650" t="s">
        <v>1186</v>
      </c>
      <c r="N50" s="145">
        <v>202</v>
      </c>
      <c r="O50" s="145" t="s">
        <v>552</v>
      </c>
      <c r="R50" s="731" t="s">
        <v>1186</v>
      </c>
      <c r="S50" s="145">
        <f t="shared" si="0"/>
        <v>5</v>
      </c>
    </row>
    <row r="51" spans="2:19">
      <c r="B51" s="140">
        <v>1</v>
      </c>
      <c r="C51" t="s">
        <v>303</v>
      </c>
      <c r="F51" s="650">
        <v>3175</v>
      </c>
      <c r="H51" s="140">
        <v>1</v>
      </c>
      <c r="I51" t="s">
        <v>303</v>
      </c>
      <c r="L51" s="650">
        <v>3175</v>
      </c>
      <c r="N51" s="145">
        <v>215</v>
      </c>
      <c r="O51" s="145" t="s">
        <v>552</v>
      </c>
      <c r="R51" s="731">
        <v>274</v>
      </c>
      <c r="S51" s="145">
        <f t="shared" si="0"/>
        <v>274</v>
      </c>
    </row>
    <row r="52" spans="2:19">
      <c r="B52" s="140">
        <v>2</v>
      </c>
      <c r="C52" t="s">
        <v>552</v>
      </c>
      <c r="D52" s="136" t="s">
        <v>1638</v>
      </c>
      <c r="E52" t="s">
        <v>553</v>
      </c>
      <c r="F52" s="650">
        <v>54</v>
      </c>
      <c r="H52" s="140">
        <v>2</v>
      </c>
      <c r="I52" t="s">
        <v>552</v>
      </c>
      <c r="J52" s="136" t="s">
        <v>1638</v>
      </c>
      <c r="K52" t="s">
        <v>553</v>
      </c>
      <c r="L52" s="650">
        <v>54</v>
      </c>
      <c r="N52" s="145">
        <v>221</v>
      </c>
      <c r="O52" s="145" t="s">
        <v>552</v>
      </c>
      <c r="R52" s="731">
        <v>153</v>
      </c>
      <c r="S52" s="145">
        <f t="shared" si="0"/>
        <v>153</v>
      </c>
    </row>
    <row r="53" spans="2:19">
      <c r="B53" s="140">
        <v>2</v>
      </c>
      <c r="C53" t="s">
        <v>552</v>
      </c>
      <c r="D53" s="136" t="s">
        <v>1639</v>
      </c>
      <c r="E53" t="s">
        <v>555</v>
      </c>
      <c r="F53" s="650">
        <v>92</v>
      </c>
      <c r="H53" s="140">
        <v>2</v>
      </c>
      <c r="I53" t="s">
        <v>552</v>
      </c>
      <c r="J53" s="136" t="s">
        <v>1639</v>
      </c>
      <c r="K53" t="s">
        <v>555</v>
      </c>
      <c r="L53" s="650">
        <v>92</v>
      </c>
      <c r="N53" s="145">
        <v>231</v>
      </c>
      <c r="O53" s="145" t="s">
        <v>552</v>
      </c>
      <c r="R53" s="731">
        <v>214</v>
      </c>
      <c r="S53" s="145">
        <f t="shared" si="0"/>
        <v>214</v>
      </c>
    </row>
    <row r="54" spans="2:19">
      <c r="B54" s="140">
        <v>2</v>
      </c>
      <c r="C54" t="s">
        <v>552</v>
      </c>
      <c r="D54" s="136" t="s">
        <v>1640</v>
      </c>
      <c r="E54" t="s">
        <v>556</v>
      </c>
      <c r="F54" s="650">
        <v>102</v>
      </c>
      <c r="H54" s="140">
        <v>2</v>
      </c>
      <c r="I54" t="s">
        <v>552</v>
      </c>
      <c r="J54" s="136" t="s">
        <v>1640</v>
      </c>
      <c r="K54" t="s">
        <v>556</v>
      </c>
      <c r="L54" s="650">
        <v>102</v>
      </c>
      <c r="N54" s="145">
        <v>232</v>
      </c>
      <c r="O54" s="145" t="s">
        <v>552</v>
      </c>
      <c r="R54" s="731">
        <v>454</v>
      </c>
      <c r="S54" s="145">
        <f t="shared" si="0"/>
        <v>454</v>
      </c>
    </row>
    <row r="55" spans="2:19">
      <c r="B55" s="140">
        <v>2</v>
      </c>
      <c r="C55" t="s">
        <v>552</v>
      </c>
      <c r="D55" s="136" t="s">
        <v>1641</v>
      </c>
      <c r="E55" t="s">
        <v>558</v>
      </c>
      <c r="F55" s="650">
        <v>186</v>
      </c>
      <c r="H55" s="140">
        <v>2</v>
      </c>
      <c r="I55" t="s">
        <v>552</v>
      </c>
      <c r="J55" s="136" t="s">
        <v>1641</v>
      </c>
      <c r="K55" t="s">
        <v>558</v>
      </c>
      <c r="L55" s="650">
        <v>186</v>
      </c>
      <c r="N55" s="145">
        <v>233</v>
      </c>
      <c r="O55" s="145" t="s">
        <v>552</v>
      </c>
      <c r="R55" s="731">
        <v>30</v>
      </c>
      <c r="S55" s="145">
        <f t="shared" si="0"/>
        <v>30</v>
      </c>
    </row>
    <row r="56" spans="2:19">
      <c r="B56" s="140">
        <v>2</v>
      </c>
      <c r="C56" t="s">
        <v>552</v>
      </c>
      <c r="D56" s="136" t="s">
        <v>1642</v>
      </c>
      <c r="E56" t="s">
        <v>559</v>
      </c>
      <c r="F56" s="650">
        <v>33</v>
      </c>
      <c r="H56" s="140">
        <v>2</v>
      </c>
      <c r="I56" t="s">
        <v>552</v>
      </c>
      <c r="J56" s="136" t="s">
        <v>1642</v>
      </c>
      <c r="K56" t="s">
        <v>559</v>
      </c>
      <c r="L56" s="650">
        <v>33</v>
      </c>
      <c r="N56" s="145">
        <v>234</v>
      </c>
      <c r="O56" s="145" t="s">
        <v>552</v>
      </c>
      <c r="R56" s="731">
        <v>33</v>
      </c>
      <c r="S56" s="145">
        <f t="shared" si="0"/>
        <v>33</v>
      </c>
    </row>
    <row r="57" spans="2:19">
      <c r="B57" s="140">
        <v>2</v>
      </c>
      <c r="C57" t="s">
        <v>552</v>
      </c>
      <c r="D57" s="136" t="s">
        <v>1643</v>
      </c>
      <c r="E57" t="s">
        <v>560</v>
      </c>
      <c r="F57" s="650">
        <v>40</v>
      </c>
      <c r="H57" s="140">
        <v>2</v>
      </c>
      <c r="I57" t="s">
        <v>552</v>
      </c>
      <c r="J57" s="136" t="s">
        <v>1643</v>
      </c>
      <c r="K57" t="s">
        <v>560</v>
      </c>
      <c r="L57" s="650">
        <v>40</v>
      </c>
      <c r="N57" s="145">
        <v>242</v>
      </c>
      <c r="O57" s="145" t="s">
        <v>552</v>
      </c>
      <c r="R57" s="731" t="s">
        <v>1186</v>
      </c>
      <c r="S57" s="145">
        <f t="shared" si="0"/>
        <v>5</v>
      </c>
    </row>
    <row r="58" spans="2:19">
      <c r="B58" s="140">
        <v>2</v>
      </c>
      <c r="C58" t="s">
        <v>552</v>
      </c>
      <c r="D58" s="136" t="s">
        <v>1644</v>
      </c>
      <c r="E58" t="s">
        <v>561</v>
      </c>
      <c r="F58" s="650">
        <v>95</v>
      </c>
      <c r="H58" s="140">
        <v>2</v>
      </c>
      <c r="I58" t="s">
        <v>552</v>
      </c>
      <c r="J58" s="136" t="s">
        <v>1644</v>
      </c>
      <c r="K58" t="s">
        <v>561</v>
      </c>
      <c r="L58" s="650">
        <v>95</v>
      </c>
      <c r="N58" s="145">
        <v>243</v>
      </c>
      <c r="O58" s="145" t="s">
        <v>552</v>
      </c>
      <c r="R58" s="731" t="s">
        <v>1186</v>
      </c>
      <c r="S58" s="145">
        <f t="shared" si="0"/>
        <v>5</v>
      </c>
    </row>
    <row r="59" spans="2:19">
      <c r="B59" s="140">
        <v>2</v>
      </c>
      <c r="C59" t="s">
        <v>552</v>
      </c>
      <c r="D59" s="136" t="s">
        <v>1645</v>
      </c>
      <c r="E59" t="s">
        <v>562</v>
      </c>
      <c r="F59" s="650">
        <v>139</v>
      </c>
      <c r="H59" s="140">
        <v>2</v>
      </c>
      <c r="I59" t="s">
        <v>552</v>
      </c>
      <c r="J59" s="136" t="s">
        <v>1645</v>
      </c>
      <c r="K59" t="s">
        <v>562</v>
      </c>
      <c r="L59" s="650">
        <v>139</v>
      </c>
      <c r="N59" s="145">
        <v>244</v>
      </c>
      <c r="O59" s="145" t="s">
        <v>552</v>
      </c>
      <c r="R59" s="731" t="s">
        <v>1186</v>
      </c>
      <c r="S59" s="145">
        <f t="shared" si="0"/>
        <v>5</v>
      </c>
    </row>
    <row r="60" spans="2:19">
      <c r="B60" s="140">
        <v>2</v>
      </c>
      <c r="C60" t="s">
        <v>552</v>
      </c>
      <c r="D60" s="136" t="s">
        <v>1646</v>
      </c>
      <c r="E60" t="s">
        <v>563</v>
      </c>
      <c r="F60" s="650">
        <v>59</v>
      </c>
      <c r="H60" s="140">
        <v>2</v>
      </c>
      <c r="I60" t="s">
        <v>552</v>
      </c>
      <c r="J60" s="136" t="s">
        <v>1646</v>
      </c>
      <c r="K60" t="s">
        <v>563</v>
      </c>
      <c r="L60" s="650">
        <v>59</v>
      </c>
      <c r="N60" s="145">
        <v>251</v>
      </c>
      <c r="O60" s="145" t="s">
        <v>552</v>
      </c>
      <c r="R60" s="731">
        <v>378</v>
      </c>
      <c r="S60" s="145">
        <f t="shared" si="0"/>
        <v>378</v>
      </c>
    </row>
    <row r="61" spans="2:19">
      <c r="B61" s="140">
        <v>2</v>
      </c>
      <c r="C61" t="s">
        <v>552</v>
      </c>
      <c r="D61" s="136" t="s">
        <v>1647</v>
      </c>
      <c r="E61" t="s">
        <v>565</v>
      </c>
      <c r="F61" s="650">
        <v>19</v>
      </c>
      <c r="H61" s="140">
        <v>2</v>
      </c>
      <c r="I61" t="s">
        <v>552</v>
      </c>
      <c r="J61" s="136" t="s">
        <v>1647</v>
      </c>
      <c r="K61" t="s">
        <v>565</v>
      </c>
      <c r="L61" s="650">
        <v>19</v>
      </c>
      <c r="N61" s="145">
        <v>252</v>
      </c>
      <c r="O61" s="145" t="s">
        <v>552</v>
      </c>
      <c r="R61" s="731">
        <v>17</v>
      </c>
      <c r="S61" s="145">
        <f t="shared" si="0"/>
        <v>17</v>
      </c>
    </row>
    <row r="62" spans="2:19">
      <c r="B62" s="140">
        <v>2</v>
      </c>
      <c r="C62" t="s">
        <v>552</v>
      </c>
      <c r="D62" s="136" t="s">
        <v>1648</v>
      </c>
      <c r="E62" t="s">
        <v>567</v>
      </c>
      <c r="F62" s="650">
        <v>15</v>
      </c>
      <c r="H62" s="140">
        <v>2</v>
      </c>
      <c r="I62" t="s">
        <v>552</v>
      </c>
      <c r="J62" s="136" t="s">
        <v>1648</v>
      </c>
      <c r="K62" t="s">
        <v>567</v>
      </c>
      <c r="L62" s="650">
        <v>15</v>
      </c>
      <c r="N62" s="145">
        <v>253</v>
      </c>
      <c r="O62" s="145" t="s">
        <v>552</v>
      </c>
      <c r="R62" s="731">
        <v>120</v>
      </c>
      <c r="S62" s="145">
        <f t="shared" si="0"/>
        <v>120</v>
      </c>
    </row>
    <row r="63" spans="2:19">
      <c r="B63" s="140">
        <v>2</v>
      </c>
      <c r="C63" t="s">
        <v>552</v>
      </c>
      <c r="D63" s="136" t="s">
        <v>1649</v>
      </c>
      <c r="E63" t="s">
        <v>568</v>
      </c>
      <c r="F63" s="650">
        <v>33</v>
      </c>
      <c r="H63" s="140">
        <v>2</v>
      </c>
      <c r="I63" t="s">
        <v>552</v>
      </c>
      <c r="J63" s="136" t="s">
        <v>1649</v>
      </c>
      <c r="K63" t="s">
        <v>568</v>
      </c>
      <c r="L63" s="650">
        <v>33</v>
      </c>
      <c r="N63" s="145">
        <v>261</v>
      </c>
      <c r="O63" s="145" t="s">
        <v>552</v>
      </c>
      <c r="R63" s="731">
        <v>1357</v>
      </c>
      <c r="S63" s="145">
        <f t="shared" si="0"/>
        <v>1357</v>
      </c>
    </row>
    <row r="64" spans="2:19">
      <c r="B64" s="140">
        <v>2</v>
      </c>
      <c r="C64" t="s">
        <v>552</v>
      </c>
      <c r="D64" s="136" t="s">
        <v>1650</v>
      </c>
      <c r="E64" t="s">
        <v>569</v>
      </c>
      <c r="F64" s="650" t="s">
        <v>1186</v>
      </c>
      <c r="H64" s="140">
        <v>2</v>
      </c>
      <c r="I64" t="s">
        <v>552</v>
      </c>
      <c r="J64" s="136" t="s">
        <v>1650</v>
      </c>
      <c r="K64" t="s">
        <v>569</v>
      </c>
      <c r="L64" s="650" t="s">
        <v>1186</v>
      </c>
      <c r="N64" s="145">
        <v>262</v>
      </c>
      <c r="O64" s="145" t="s">
        <v>552</v>
      </c>
      <c r="R64" s="731">
        <v>210</v>
      </c>
      <c r="S64" s="145">
        <f t="shared" si="0"/>
        <v>210</v>
      </c>
    </row>
    <row r="65" spans="2:19">
      <c r="B65" s="140">
        <v>2</v>
      </c>
      <c r="C65" t="s">
        <v>552</v>
      </c>
      <c r="D65" s="136" t="s">
        <v>1651</v>
      </c>
      <c r="E65" t="s">
        <v>570</v>
      </c>
      <c r="F65" s="650">
        <v>79</v>
      </c>
      <c r="H65" s="140">
        <v>2</v>
      </c>
      <c r="I65" t="s">
        <v>552</v>
      </c>
      <c r="J65" s="136" t="s">
        <v>1651</v>
      </c>
      <c r="K65" t="s">
        <v>570</v>
      </c>
      <c r="L65" s="650">
        <v>79</v>
      </c>
      <c r="N65" s="145">
        <v>271</v>
      </c>
      <c r="O65" s="145" t="s">
        <v>552</v>
      </c>
      <c r="R65" s="731">
        <v>66</v>
      </c>
      <c r="S65" s="145">
        <f t="shared" si="0"/>
        <v>66</v>
      </c>
    </row>
    <row r="66" spans="2:19">
      <c r="B66" s="140">
        <v>2</v>
      </c>
      <c r="C66" t="s">
        <v>552</v>
      </c>
      <c r="D66" s="136" t="s">
        <v>1652</v>
      </c>
      <c r="E66" t="s">
        <v>1653</v>
      </c>
      <c r="F66" s="650">
        <v>72</v>
      </c>
      <c r="H66" s="140">
        <v>2</v>
      </c>
      <c r="I66" t="s">
        <v>552</v>
      </c>
      <c r="J66" s="136" t="s">
        <v>1652</v>
      </c>
      <c r="K66" t="s">
        <v>1653</v>
      </c>
      <c r="L66" s="650">
        <v>72</v>
      </c>
      <c r="N66" s="145">
        <v>272</v>
      </c>
      <c r="O66" s="145" t="s">
        <v>552</v>
      </c>
      <c r="R66" s="731" t="s">
        <v>1186</v>
      </c>
      <c r="S66" s="145">
        <f t="shared" si="0"/>
        <v>5</v>
      </c>
    </row>
    <row r="67" spans="2:19">
      <c r="B67" s="140">
        <v>2</v>
      </c>
      <c r="C67" t="s">
        <v>552</v>
      </c>
      <c r="D67" s="136" t="s">
        <v>1654</v>
      </c>
      <c r="E67" t="s">
        <v>572</v>
      </c>
      <c r="F67" s="650">
        <v>12</v>
      </c>
      <c r="H67" s="140">
        <v>2</v>
      </c>
      <c r="I67" t="s">
        <v>552</v>
      </c>
      <c r="J67" s="136" t="s">
        <v>1654</v>
      </c>
      <c r="K67" t="s">
        <v>572</v>
      </c>
      <c r="L67" s="650">
        <v>12</v>
      </c>
      <c r="N67" s="145">
        <v>273</v>
      </c>
      <c r="O67" s="145" t="s">
        <v>552</v>
      </c>
      <c r="R67" s="731">
        <v>22</v>
      </c>
      <c r="S67" s="145">
        <f t="shared" si="0"/>
        <v>22</v>
      </c>
    </row>
    <row r="68" spans="2:19">
      <c r="B68" s="140">
        <v>2</v>
      </c>
      <c r="C68" t="s">
        <v>552</v>
      </c>
      <c r="D68" s="136" t="s">
        <v>1655</v>
      </c>
      <c r="E68" t="s">
        <v>573</v>
      </c>
      <c r="F68" s="650">
        <v>12</v>
      </c>
      <c r="H68" s="140">
        <v>2</v>
      </c>
      <c r="I68" t="s">
        <v>552</v>
      </c>
      <c r="J68" s="136" t="s">
        <v>1655</v>
      </c>
      <c r="K68" t="s">
        <v>573</v>
      </c>
      <c r="L68" s="650">
        <v>12</v>
      </c>
      <c r="N68" s="145">
        <v>274</v>
      </c>
      <c r="O68" s="145" t="s">
        <v>552</v>
      </c>
      <c r="R68" s="731" t="s">
        <v>1186</v>
      </c>
      <c r="S68" s="145">
        <f t="shared" ref="S68:S131" si="1">IF(ISNUMBER(R68),R68, 5)</f>
        <v>5</v>
      </c>
    </row>
    <row r="69" spans="2:19">
      <c r="B69" s="140">
        <v>2</v>
      </c>
      <c r="C69" t="s">
        <v>552</v>
      </c>
      <c r="D69" s="136" t="s">
        <v>1656</v>
      </c>
      <c r="E69" t="s">
        <v>1657</v>
      </c>
      <c r="F69" s="650" t="s">
        <v>1186</v>
      </c>
      <c r="H69" s="140">
        <v>2</v>
      </c>
      <c r="I69" t="s">
        <v>552</v>
      </c>
      <c r="J69" s="136" t="s">
        <v>1656</v>
      </c>
      <c r="K69" t="s">
        <v>1657</v>
      </c>
      <c r="L69" s="650" t="s">
        <v>1186</v>
      </c>
      <c r="N69" s="145">
        <v>281</v>
      </c>
      <c r="O69" s="145" t="s">
        <v>552</v>
      </c>
      <c r="R69" s="731">
        <v>49</v>
      </c>
      <c r="S69" s="145">
        <f t="shared" si="1"/>
        <v>49</v>
      </c>
    </row>
    <row r="70" spans="2:19">
      <c r="B70" s="140">
        <v>2</v>
      </c>
      <c r="C70" t="s">
        <v>552</v>
      </c>
      <c r="D70" s="136" t="s">
        <v>1658</v>
      </c>
      <c r="E70" t="s">
        <v>1659</v>
      </c>
      <c r="F70" s="650">
        <v>13</v>
      </c>
      <c r="H70" s="140">
        <v>2</v>
      </c>
      <c r="I70" t="s">
        <v>552</v>
      </c>
      <c r="J70" s="136" t="s">
        <v>1658</v>
      </c>
      <c r="K70" t="s">
        <v>1659</v>
      </c>
      <c r="L70" s="650">
        <v>13</v>
      </c>
      <c r="N70" s="145">
        <v>282</v>
      </c>
      <c r="O70" s="145" t="s">
        <v>552</v>
      </c>
      <c r="R70" s="731" t="s">
        <v>1186</v>
      </c>
      <c r="S70" s="145">
        <f t="shared" si="1"/>
        <v>5</v>
      </c>
    </row>
    <row r="71" spans="2:19">
      <c r="B71" s="140">
        <v>2</v>
      </c>
      <c r="C71" t="s">
        <v>552</v>
      </c>
      <c r="D71" s="136" t="s">
        <v>1660</v>
      </c>
      <c r="E71" t="s">
        <v>576</v>
      </c>
      <c r="F71" s="650">
        <v>21</v>
      </c>
      <c r="H71" s="140">
        <v>2</v>
      </c>
      <c r="I71" t="s">
        <v>552</v>
      </c>
      <c r="J71" s="136" t="s">
        <v>1660</v>
      </c>
      <c r="K71" t="s">
        <v>576</v>
      </c>
      <c r="L71" s="650">
        <v>21</v>
      </c>
      <c r="N71" s="145">
        <v>283</v>
      </c>
      <c r="O71" s="145" t="s">
        <v>552</v>
      </c>
      <c r="R71" s="731" t="s">
        <v>1186</v>
      </c>
      <c r="S71" s="145">
        <f t="shared" si="1"/>
        <v>5</v>
      </c>
    </row>
    <row r="72" spans="2:19">
      <c r="B72" s="140">
        <v>2</v>
      </c>
      <c r="C72" t="s">
        <v>552</v>
      </c>
      <c r="D72" s="136" t="s">
        <v>1661</v>
      </c>
      <c r="E72" t="s">
        <v>577</v>
      </c>
      <c r="F72" s="650">
        <v>63</v>
      </c>
      <c r="H72" s="140">
        <v>2</v>
      </c>
      <c r="I72" t="s">
        <v>552</v>
      </c>
      <c r="J72" s="136" t="s">
        <v>1661</v>
      </c>
      <c r="K72" t="s">
        <v>577</v>
      </c>
      <c r="L72" s="650">
        <v>63</v>
      </c>
      <c r="N72" s="145">
        <v>285</v>
      </c>
      <c r="O72" s="145" t="s">
        <v>552</v>
      </c>
      <c r="R72" s="731" t="s">
        <v>1186</v>
      </c>
      <c r="S72" s="145">
        <f t="shared" si="1"/>
        <v>5</v>
      </c>
    </row>
    <row r="73" spans="2:19">
      <c r="B73" s="140">
        <v>2</v>
      </c>
      <c r="C73" t="s">
        <v>552</v>
      </c>
      <c r="D73" s="136" t="s">
        <v>1662</v>
      </c>
      <c r="E73" t="s">
        <v>578</v>
      </c>
      <c r="F73" s="650">
        <v>19</v>
      </c>
      <c r="H73" s="140">
        <v>2</v>
      </c>
      <c r="I73" t="s">
        <v>552</v>
      </c>
      <c r="J73" s="136" t="s">
        <v>1662</v>
      </c>
      <c r="K73" t="s">
        <v>578</v>
      </c>
      <c r="L73" s="650">
        <v>19</v>
      </c>
      <c r="N73" s="145">
        <v>287</v>
      </c>
      <c r="O73" s="145" t="s">
        <v>552</v>
      </c>
      <c r="R73" s="731" t="s">
        <v>1186</v>
      </c>
      <c r="S73" s="145">
        <f t="shared" si="1"/>
        <v>5</v>
      </c>
    </row>
    <row r="74" spans="2:19">
      <c r="B74" s="140">
        <v>2</v>
      </c>
      <c r="C74" t="s">
        <v>552</v>
      </c>
      <c r="D74" s="136" t="s">
        <v>1663</v>
      </c>
      <c r="E74" t="s">
        <v>579</v>
      </c>
      <c r="F74" s="650">
        <v>84</v>
      </c>
      <c r="H74" s="140">
        <v>2</v>
      </c>
      <c r="I74" t="s">
        <v>552</v>
      </c>
      <c r="J74" s="136" t="s">
        <v>1663</v>
      </c>
      <c r="K74" t="s">
        <v>579</v>
      </c>
      <c r="L74" s="650">
        <v>84</v>
      </c>
      <c r="N74" s="145">
        <v>288</v>
      </c>
      <c r="O74" s="145" t="s">
        <v>552</v>
      </c>
      <c r="R74" s="731" t="s">
        <v>1186</v>
      </c>
      <c r="S74" s="145">
        <f t="shared" si="1"/>
        <v>5</v>
      </c>
    </row>
    <row r="75" spans="2:19">
      <c r="B75" s="140">
        <v>2</v>
      </c>
      <c r="C75" t="s">
        <v>552</v>
      </c>
      <c r="D75" s="136" t="s">
        <v>1664</v>
      </c>
      <c r="E75" t="s">
        <v>580</v>
      </c>
      <c r="F75" s="650">
        <v>11</v>
      </c>
      <c r="H75" s="140">
        <v>2</v>
      </c>
      <c r="I75" t="s">
        <v>552</v>
      </c>
      <c r="J75" s="136" t="s">
        <v>1664</v>
      </c>
      <c r="K75" t="s">
        <v>580</v>
      </c>
      <c r="L75" s="650">
        <v>11</v>
      </c>
      <c r="N75" s="145">
        <v>291</v>
      </c>
      <c r="O75" s="145" t="s">
        <v>552</v>
      </c>
      <c r="R75" s="731" t="s">
        <v>1186</v>
      </c>
      <c r="S75" s="145">
        <f t="shared" si="1"/>
        <v>5</v>
      </c>
    </row>
    <row r="76" spans="2:19">
      <c r="B76" s="140">
        <v>2</v>
      </c>
      <c r="C76" t="s">
        <v>552</v>
      </c>
      <c r="D76" s="136" t="s">
        <v>1665</v>
      </c>
      <c r="E76" t="s">
        <v>581</v>
      </c>
      <c r="F76" s="650">
        <v>46</v>
      </c>
      <c r="H76" s="140">
        <v>2</v>
      </c>
      <c r="I76" t="s">
        <v>552</v>
      </c>
      <c r="J76" s="136" t="s">
        <v>1665</v>
      </c>
      <c r="K76" t="s">
        <v>581</v>
      </c>
      <c r="L76" s="650">
        <v>46</v>
      </c>
      <c r="N76" s="145">
        <v>292</v>
      </c>
      <c r="O76" s="145" t="s">
        <v>552</v>
      </c>
      <c r="R76" s="731" t="s">
        <v>1186</v>
      </c>
      <c r="S76" s="145">
        <f t="shared" si="1"/>
        <v>5</v>
      </c>
    </row>
    <row r="77" spans="2:19">
      <c r="B77" s="140">
        <v>2</v>
      </c>
      <c r="C77" t="s">
        <v>552</v>
      </c>
      <c r="D77" s="136" t="s">
        <v>1666</v>
      </c>
      <c r="E77" t="s">
        <v>582</v>
      </c>
      <c r="F77" s="650">
        <v>10</v>
      </c>
      <c r="H77" s="140">
        <v>2</v>
      </c>
      <c r="I77" t="s">
        <v>552</v>
      </c>
      <c r="J77" s="136" t="s">
        <v>1666</v>
      </c>
      <c r="K77" t="s">
        <v>582</v>
      </c>
      <c r="L77" s="650">
        <v>10</v>
      </c>
      <c r="N77" s="145">
        <v>302</v>
      </c>
      <c r="O77" s="145" t="s">
        <v>552</v>
      </c>
      <c r="R77" s="731" t="s">
        <v>1186</v>
      </c>
      <c r="S77" s="145">
        <f t="shared" si="1"/>
        <v>5</v>
      </c>
    </row>
    <row r="78" spans="2:19">
      <c r="B78" s="140">
        <v>2</v>
      </c>
      <c r="C78" t="s">
        <v>552</v>
      </c>
      <c r="D78" s="136" t="s">
        <v>1667</v>
      </c>
      <c r="E78" t="s">
        <v>583</v>
      </c>
      <c r="F78" s="650">
        <v>16</v>
      </c>
      <c r="H78" s="140">
        <v>2</v>
      </c>
      <c r="I78" t="s">
        <v>552</v>
      </c>
      <c r="J78" s="136" t="s">
        <v>1667</v>
      </c>
      <c r="K78" t="s">
        <v>583</v>
      </c>
      <c r="L78" s="650">
        <v>16</v>
      </c>
      <c r="N78" s="145">
        <v>304</v>
      </c>
      <c r="O78" s="145" t="s">
        <v>552</v>
      </c>
      <c r="R78" s="731" t="s">
        <v>1186</v>
      </c>
      <c r="S78" s="145">
        <f t="shared" si="1"/>
        <v>5</v>
      </c>
    </row>
    <row r="79" spans="2:19">
      <c r="B79" s="140">
        <v>2</v>
      </c>
      <c r="C79" t="s">
        <v>552</v>
      </c>
      <c r="D79" s="136" t="s">
        <v>1668</v>
      </c>
      <c r="E79" t="s">
        <v>584</v>
      </c>
      <c r="F79" s="650" t="s">
        <v>1186</v>
      </c>
      <c r="H79" s="140">
        <v>2</v>
      </c>
      <c r="I79" t="s">
        <v>552</v>
      </c>
      <c r="J79" s="136" t="s">
        <v>1668</v>
      </c>
      <c r="K79" t="s">
        <v>584</v>
      </c>
      <c r="L79" s="650" t="s">
        <v>1186</v>
      </c>
      <c r="N79" s="145">
        <v>305</v>
      </c>
      <c r="O79" s="145" t="s">
        <v>552</v>
      </c>
      <c r="R79" s="731" t="s">
        <v>1186</v>
      </c>
      <c r="S79" s="145">
        <f t="shared" si="1"/>
        <v>5</v>
      </c>
    </row>
    <row r="80" spans="2:19">
      <c r="B80" s="140">
        <v>2</v>
      </c>
      <c r="C80" t="s">
        <v>552</v>
      </c>
      <c r="D80" s="136" t="s">
        <v>1669</v>
      </c>
      <c r="E80" t="s">
        <v>585</v>
      </c>
      <c r="F80" s="650">
        <v>12</v>
      </c>
      <c r="H80" s="140">
        <v>2</v>
      </c>
      <c r="I80" t="s">
        <v>552</v>
      </c>
      <c r="J80" s="136" t="s">
        <v>1669</v>
      </c>
      <c r="K80" t="s">
        <v>585</v>
      </c>
      <c r="L80" s="650">
        <v>12</v>
      </c>
      <c r="N80" s="145">
        <v>312</v>
      </c>
      <c r="O80" s="145" t="s">
        <v>552</v>
      </c>
      <c r="R80" s="731">
        <v>203</v>
      </c>
      <c r="S80" s="145">
        <f t="shared" si="1"/>
        <v>203</v>
      </c>
    </row>
    <row r="81" spans="2:19">
      <c r="B81" s="140">
        <v>2</v>
      </c>
      <c r="C81" t="s">
        <v>552</v>
      </c>
      <c r="D81" s="136" t="s">
        <v>1670</v>
      </c>
      <c r="E81" t="s">
        <v>1671</v>
      </c>
      <c r="F81" s="650">
        <v>11</v>
      </c>
      <c r="H81" s="140">
        <v>2</v>
      </c>
      <c r="I81" t="s">
        <v>552</v>
      </c>
      <c r="J81" s="136" t="s">
        <v>1670</v>
      </c>
      <c r="K81" t="s">
        <v>1671</v>
      </c>
      <c r="L81" s="650">
        <v>11</v>
      </c>
      <c r="N81" s="145">
        <v>314</v>
      </c>
      <c r="O81" s="145" t="s">
        <v>552</v>
      </c>
      <c r="R81" s="731">
        <v>31</v>
      </c>
      <c r="S81" s="145">
        <f t="shared" si="1"/>
        <v>31</v>
      </c>
    </row>
    <row r="82" spans="2:19">
      <c r="B82" s="140">
        <v>2</v>
      </c>
      <c r="C82" t="s">
        <v>552</v>
      </c>
      <c r="D82" s="136" t="s">
        <v>1672</v>
      </c>
      <c r="E82" t="s">
        <v>587</v>
      </c>
      <c r="F82" s="650" t="s">
        <v>1186</v>
      </c>
      <c r="H82" s="140">
        <v>2</v>
      </c>
      <c r="I82" t="s">
        <v>552</v>
      </c>
      <c r="J82" s="136" t="s">
        <v>1672</v>
      </c>
      <c r="K82" t="s">
        <v>587</v>
      </c>
      <c r="L82" s="650" t="s">
        <v>1186</v>
      </c>
      <c r="N82" s="145">
        <v>316</v>
      </c>
      <c r="O82" s="145" t="s">
        <v>552</v>
      </c>
      <c r="R82" s="731">
        <v>33</v>
      </c>
      <c r="S82" s="145">
        <f t="shared" si="1"/>
        <v>33</v>
      </c>
    </row>
    <row r="83" spans="2:19">
      <c r="B83" s="140">
        <v>2</v>
      </c>
      <c r="C83" t="s">
        <v>552</v>
      </c>
      <c r="D83" s="136" t="s">
        <v>1673</v>
      </c>
      <c r="E83" t="s">
        <v>588</v>
      </c>
      <c r="F83" s="650" t="s">
        <v>1186</v>
      </c>
      <c r="H83" s="140">
        <v>2</v>
      </c>
      <c r="I83" t="s">
        <v>552</v>
      </c>
      <c r="J83" s="136" t="s">
        <v>1673</v>
      </c>
      <c r="K83" t="s">
        <v>588</v>
      </c>
      <c r="L83" s="650" t="s">
        <v>1186</v>
      </c>
      <c r="N83" s="145">
        <v>321</v>
      </c>
      <c r="O83" s="145" t="s">
        <v>552</v>
      </c>
      <c r="R83" s="731">
        <v>232</v>
      </c>
      <c r="S83" s="145">
        <f t="shared" si="1"/>
        <v>232</v>
      </c>
    </row>
    <row r="84" spans="2:19">
      <c r="B84" s="140">
        <v>2</v>
      </c>
      <c r="C84" t="s">
        <v>552</v>
      </c>
      <c r="D84" s="136" t="s">
        <v>1674</v>
      </c>
      <c r="E84" t="s">
        <v>589</v>
      </c>
      <c r="F84" s="650" t="s">
        <v>1186</v>
      </c>
      <c r="H84" s="140">
        <v>2</v>
      </c>
      <c r="I84" t="s">
        <v>552</v>
      </c>
      <c r="J84" s="136" t="s">
        <v>1674</v>
      </c>
      <c r="K84" t="s">
        <v>589</v>
      </c>
      <c r="L84" s="650" t="s">
        <v>1186</v>
      </c>
      <c r="N84" s="145">
        <v>322</v>
      </c>
      <c r="O84" s="145" t="s">
        <v>552</v>
      </c>
      <c r="R84" s="731">
        <v>73</v>
      </c>
      <c r="S84" s="145">
        <f t="shared" si="1"/>
        <v>73</v>
      </c>
    </row>
    <row r="85" spans="2:19">
      <c r="B85" s="140">
        <v>2</v>
      </c>
      <c r="C85" t="s">
        <v>552</v>
      </c>
      <c r="D85" s="136" t="s">
        <v>1675</v>
      </c>
      <c r="E85" t="s">
        <v>1676</v>
      </c>
      <c r="F85" s="650">
        <v>21</v>
      </c>
      <c r="H85" s="140">
        <v>2</v>
      </c>
      <c r="I85" t="s">
        <v>552</v>
      </c>
      <c r="J85" s="136" t="s">
        <v>1675</v>
      </c>
      <c r="K85" t="s">
        <v>1676</v>
      </c>
      <c r="L85" s="650">
        <v>21</v>
      </c>
      <c r="N85" s="145">
        <v>331</v>
      </c>
      <c r="O85" s="145" t="s">
        <v>552</v>
      </c>
      <c r="R85" s="731">
        <v>757</v>
      </c>
      <c r="S85" s="145">
        <f t="shared" si="1"/>
        <v>757</v>
      </c>
    </row>
    <row r="86" spans="2:19">
      <c r="B86" s="140">
        <v>2</v>
      </c>
      <c r="C86" t="s">
        <v>552</v>
      </c>
      <c r="D86" s="136" t="s">
        <v>1677</v>
      </c>
      <c r="E86" t="s">
        <v>591</v>
      </c>
      <c r="F86" s="650" t="s">
        <v>1186</v>
      </c>
      <c r="H86" s="140">
        <v>2</v>
      </c>
      <c r="I86" t="s">
        <v>552</v>
      </c>
      <c r="J86" s="136" t="s">
        <v>1677</v>
      </c>
      <c r="K86" t="s">
        <v>591</v>
      </c>
      <c r="L86" s="650" t="s">
        <v>1186</v>
      </c>
      <c r="N86" s="145">
        <v>340</v>
      </c>
      <c r="O86" s="145" t="s">
        <v>552</v>
      </c>
      <c r="R86" s="731">
        <v>19</v>
      </c>
      <c r="S86" s="145">
        <f t="shared" si="1"/>
        <v>19</v>
      </c>
    </row>
    <row r="87" spans="2:19">
      <c r="B87" s="140">
        <v>2</v>
      </c>
      <c r="C87" t="s">
        <v>552</v>
      </c>
      <c r="D87" s="136" t="s">
        <v>1678</v>
      </c>
      <c r="E87" t="s">
        <v>592</v>
      </c>
      <c r="F87" s="650">
        <v>121</v>
      </c>
      <c r="H87" s="140">
        <v>2</v>
      </c>
      <c r="I87" t="s">
        <v>552</v>
      </c>
      <c r="J87" s="136" t="s">
        <v>1678</v>
      </c>
      <c r="K87" t="s">
        <v>592</v>
      </c>
      <c r="L87" s="650">
        <v>121</v>
      </c>
      <c r="N87" s="145">
        <v>341</v>
      </c>
      <c r="O87" s="145" t="s">
        <v>552</v>
      </c>
      <c r="R87" s="731" t="s">
        <v>1186</v>
      </c>
      <c r="S87" s="145">
        <f t="shared" si="1"/>
        <v>5</v>
      </c>
    </row>
    <row r="88" spans="2:19">
      <c r="B88" s="140">
        <v>2</v>
      </c>
      <c r="C88" t="s">
        <v>552</v>
      </c>
      <c r="D88" s="136" t="s">
        <v>1679</v>
      </c>
      <c r="E88" t="s">
        <v>593</v>
      </c>
      <c r="F88" s="650">
        <v>102</v>
      </c>
      <c r="H88" s="140">
        <v>2</v>
      </c>
      <c r="I88" t="s">
        <v>552</v>
      </c>
      <c r="J88" s="136" t="s">
        <v>1679</v>
      </c>
      <c r="K88" t="s">
        <v>593</v>
      </c>
      <c r="L88" s="650">
        <v>102</v>
      </c>
      <c r="N88" s="145">
        <v>342</v>
      </c>
      <c r="O88" s="145" t="s">
        <v>552</v>
      </c>
      <c r="R88" s="731" t="s">
        <v>1186</v>
      </c>
      <c r="S88" s="145">
        <f t="shared" si="1"/>
        <v>5</v>
      </c>
    </row>
    <row r="89" spans="2:19">
      <c r="B89" s="140">
        <v>2</v>
      </c>
      <c r="C89" t="s">
        <v>552</v>
      </c>
      <c r="D89" s="136" t="s">
        <v>1680</v>
      </c>
      <c r="E89" t="s">
        <v>594</v>
      </c>
      <c r="F89" s="650">
        <v>66</v>
      </c>
      <c r="H89" s="140">
        <v>2</v>
      </c>
      <c r="I89" t="s">
        <v>552</v>
      </c>
      <c r="J89" s="136" t="s">
        <v>1680</v>
      </c>
      <c r="K89" t="s">
        <v>594</v>
      </c>
      <c r="L89" s="650">
        <v>66</v>
      </c>
      <c r="N89" s="145">
        <v>351</v>
      </c>
      <c r="O89" s="145" t="s">
        <v>552</v>
      </c>
      <c r="R89" s="731" t="s">
        <v>1186</v>
      </c>
      <c r="S89" s="145">
        <f t="shared" si="1"/>
        <v>5</v>
      </c>
    </row>
    <row r="90" spans="2:19">
      <c r="B90" s="140">
        <v>2</v>
      </c>
      <c r="C90" t="s">
        <v>552</v>
      </c>
      <c r="D90" s="136" t="s">
        <v>1681</v>
      </c>
      <c r="E90" t="s">
        <v>1682</v>
      </c>
      <c r="F90" s="650" t="s">
        <v>1186</v>
      </c>
      <c r="H90" s="140">
        <v>2</v>
      </c>
      <c r="I90" t="s">
        <v>552</v>
      </c>
      <c r="J90" s="136" t="s">
        <v>1681</v>
      </c>
      <c r="K90" t="s">
        <v>1682</v>
      </c>
      <c r="L90" s="650" t="s">
        <v>1186</v>
      </c>
      <c r="N90" s="145">
        <v>363</v>
      </c>
      <c r="O90" s="145" t="s">
        <v>552</v>
      </c>
      <c r="R90" s="731">
        <v>233</v>
      </c>
      <c r="S90" s="145">
        <f t="shared" si="1"/>
        <v>233</v>
      </c>
    </row>
    <row r="91" spans="2:19">
      <c r="B91" s="140">
        <v>2</v>
      </c>
      <c r="C91" t="s">
        <v>552</v>
      </c>
      <c r="D91" s="136" t="s">
        <v>1683</v>
      </c>
      <c r="E91" t="s">
        <v>1684</v>
      </c>
      <c r="F91" s="650" t="s">
        <v>1186</v>
      </c>
      <c r="H91" s="140">
        <v>2</v>
      </c>
      <c r="I91" t="s">
        <v>552</v>
      </c>
      <c r="J91" s="136" t="s">
        <v>1683</v>
      </c>
      <c r="K91" t="s">
        <v>1684</v>
      </c>
      <c r="L91" s="650" t="s">
        <v>1186</v>
      </c>
      <c r="N91" s="145">
        <v>364</v>
      </c>
      <c r="O91" s="145" t="s">
        <v>552</v>
      </c>
      <c r="R91" s="731" t="s">
        <v>1186</v>
      </c>
      <c r="S91" s="145">
        <f t="shared" si="1"/>
        <v>5</v>
      </c>
    </row>
    <row r="92" spans="2:19">
      <c r="B92" s="140">
        <v>2</v>
      </c>
      <c r="C92" t="s">
        <v>552</v>
      </c>
      <c r="D92" s="136" t="s">
        <v>1685</v>
      </c>
      <c r="E92" t="s">
        <v>598</v>
      </c>
      <c r="F92" s="650">
        <v>57</v>
      </c>
      <c r="H92" s="140">
        <v>2</v>
      </c>
      <c r="I92" t="s">
        <v>552</v>
      </c>
      <c r="J92" s="136" t="s">
        <v>1685</v>
      </c>
      <c r="K92" t="s">
        <v>598</v>
      </c>
      <c r="L92" s="650">
        <v>57</v>
      </c>
      <c r="N92" s="145">
        <v>365</v>
      </c>
      <c r="O92" s="145" t="s">
        <v>552</v>
      </c>
      <c r="R92" s="731">
        <v>57</v>
      </c>
      <c r="S92" s="145">
        <f t="shared" si="1"/>
        <v>57</v>
      </c>
    </row>
    <row r="93" spans="2:19">
      <c r="B93" s="140">
        <v>2</v>
      </c>
      <c r="C93" t="s">
        <v>552</v>
      </c>
      <c r="D93" s="136" t="s">
        <v>1686</v>
      </c>
      <c r="E93" t="s">
        <v>599</v>
      </c>
      <c r="F93" s="650">
        <v>19</v>
      </c>
      <c r="H93" s="140">
        <v>2</v>
      </c>
      <c r="I93" t="s">
        <v>552</v>
      </c>
      <c r="J93" s="136" t="s">
        <v>1686</v>
      </c>
      <c r="K93" t="s">
        <v>599</v>
      </c>
      <c r="L93" s="650">
        <v>19</v>
      </c>
      <c r="N93" s="145">
        <v>370</v>
      </c>
      <c r="O93" s="145" t="s">
        <v>552</v>
      </c>
      <c r="R93" s="731">
        <v>266</v>
      </c>
      <c r="S93" s="145">
        <f t="shared" si="1"/>
        <v>266</v>
      </c>
    </row>
    <row r="94" spans="2:19">
      <c r="B94" s="140">
        <v>2</v>
      </c>
      <c r="C94" t="s">
        <v>552</v>
      </c>
      <c r="D94" s="136" t="s">
        <v>1687</v>
      </c>
      <c r="E94" t="s">
        <v>1688</v>
      </c>
      <c r="F94" s="650">
        <v>10</v>
      </c>
      <c r="H94" s="140">
        <v>2</v>
      </c>
      <c r="I94" t="s">
        <v>552</v>
      </c>
      <c r="J94" s="136" t="s">
        <v>1687</v>
      </c>
      <c r="K94" t="s">
        <v>1688</v>
      </c>
      <c r="L94" s="650">
        <v>10</v>
      </c>
      <c r="N94" s="145">
        <v>371</v>
      </c>
      <c r="O94" s="145" t="s">
        <v>552</v>
      </c>
      <c r="R94" s="731">
        <v>214</v>
      </c>
      <c r="S94" s="145">
        <f t="shared" si="1"/>
        <v>214</v>
      </c>
    </row>
    <row r="95" spans="2:19">
      <c r="B95" s="140">
        <v>2</v>
      </c>
      <c r="C95" t="s">
        <v>552</v>
      </c>
      <c r="D95" s="136" t="s">
        <v>1689</v>
      </c>
      <c r="E95" t="s">
        <v>1690</v>
      </c>
      <c r="F95" s="650" t="s">
        <v>1186</v>
      </c>
      <c r="H95" s="140">
        <v>2</v>
      </c>
      <c r="I95" t="s">
        <v>552</v>
      </c>
      <c r="J95" s="136" t="s">
        <v>1689</v>
      </c>
      <c r="K95" t="s">
        <v>1690</v>
      </c>
      <c r="L95" s="650" t="s">
        <v>1186</v>
      </c>
      <c r="N95" s="145">
        <v>372</v>
      </c>
      <c r="O95" s="145" t="s">
        <v>552</v>
      </c>
      <c r="R95" s="731">
        <v>22</v>
      </c>
      <c r="S95" s="145">
        <f t="shared" si="1"/>
        <v>22</v>
      </c>
    </row>
    <row r="96" spans="2:19">
      <c r="B96" s="140">
        <v>2</v>
      </c>
      <c r="C96" t="s">
        <v>552</v>
      </c>
      <c r="D96" s="136" t="s">
        <v>1691</v>
      </c>
      <c r="E96" t="s">
        <v>1692</v>
      </c>
      <c r="F96" s="650" t="s">
        <v>1186</v>
      </c>
      <c r="H96" s="140">
        <v>2</v>
      </c>
      <c r="I96" t="s">
        <v>552</v>
      </c>
      <c r="J96" s="136" t="s">
        <v>1691</v>
      </c>
      <c r="K96" t="s">
        <v>1692</v>
      </c>
      <c r="L96" s="650" t="s">
        <v>1186</v>
      </c>
      <c r="N96" s="145">
        <v>373</v>
      </c>
      <c r="O96" s="145" t="s">
        <v>552</v>
      </c>
      <c r="R96" s="731">
        <v>213</v>
      </c>
      <c r="S96" s="145">
        <f t="shared" si="1"/>
        <v>213</v>
      </c>
    </row>
    <row r="97" spans="2:19">
      <c r="B97" s="140">
        <v>2</v>
      </c>
      <c r="C97" t="s">
        <v>552</v>
      </c>
      <c r="D97" s="136" t="s">
        <v>1693</v>
      </c>
      <c r="E97" t="s">
        <v>603</v>
      </c>
      <c r="F97" s="650">
        <v>54</v>
      </c>
      <c r="H97" s="140">
        <v>2</v>
      </c>
      <c r="I97" t="s">
        <v>552</v>
      </c>
      <c r="J97" s="136" t="s">
        <v>1693</v>
      </c>
      <c r="K97" t="s">
        <v>603</v>
      </c>
      <c r="L97" s="650">
        <v>54</v>
      </c>
      <c r="N97" s="145">
        <v>381</v>
      </c>
      <c r="O97" s="145" t="s">
        <v>552</v>
      </c>
      <c r="R97" s="731">
        <v>530</v>
      </c>
      <c r="S97" s="145">
        <f t="shared" si="1"/>
        <v>530</v>
      </c>
    </row>
    <row r="98" spans="2:19">
      <c r="B98" s="140">
        <v>2</v>
      </c>
      <c r="C98" t="s">
        <v>552</v>
      </c>
      <c r="D98" s="136" t="s">
        <v>1694</v>
      </c>
      <c r="E98" t="s">
        <v>604</v>
      </c>
      <c r="F98" s="650">
        <v>10</v>
      </c>
      <c r="H98" s="140">
        <v>2</v>
      </c>
      <c r="I98" t="s">
        <v>552</v>
      </c>
      <c r="J98" s="136" t="s">
        <v>1694</v>
      </c>
      <c r="K98" t="s">
        <v>604</v>
      </c>
      <c r="L98" s="650">
        <v>10</v>
      </c>
      <c r="N98" s="145">
        <v>382</v>
      </c>
      <c r="O98" s="145" t="s">
        <v>552</v>
      </c>
      <c r="R98" s="731" t="s">
        <v>1186</v>
      </c>
      <c r="S98" s="145">
        <f t="shared" si="1"/>
        <v>5</v>
      </c>
    </row>
    <row r="99" spans="2:19">
      <c r="B99" s="140">
        <v>2</v>
      </c>
      <c r="C99" t="s">
        <v>552</v>
      </c>
      <c r="D99" s="136" t="s">
        <v>1695</v>
      </c>
      <c r="E99" t="s">
        <v>1696</v>
      </c>
      <c r="F99" s="650" t="s">
        <v>1186</v>
      </c>
      <c r="H99" s="140">
        <v>2</v>
      </c>
      <c r="I99" t="s">
        <v>552</v>
      </c>
      <c r="J99" s="136" t="s">
        <v>1695</v>
      </c>
      <c r="K99" t="s">
        <v>1696</v>
      </c>
      <c r="L99" s="650" t="s">
        <v>1186</v>
      </c>
      <c r="N99" s="145">
        <v>383</v>
      </c>
      <c r="O99" s="145" t="s">
        <v>552</v>
      </c>
      <c r="R99" s="731" t="s">
        <v>1186</v>
      </c>
      <c r="S99" s="145">
        <f t="shared" si="1"/>
        <v>5</v>
      </c>
    </row>
    <row r="100" spans="2:19">
      <c r="B100" s="140">
        <v>2</v>
      </c>
      <c r="C100" t="s">
        <v>552</v>
      </c>
      <c r="D100" s="136" t="s">
        <v>1697</v>
      </c>
      <c r="E100" t="s">
        <v>1524</v>
      </c>
      <c r="F100" s="650">
        <v>11</v>
      </c>
      <c r="H100" s="140">
        <v>2</v>
      </c>
      <c r="I100" t="s">
        <v>552</v>
      </c>
      <c r="J100" s="136" t="s">
        <v>1697</v>
      </c>
      <c r="K100" t="s">
        <v>1524</v>
      </c>
      <c r="L100" s="650">
        <v>11</v>
      </c>
      <c r="N100" s="145">
        <v>391</v>
      </c>
      <c r="O100" s="145" t="s">
        <v>552</v>
      </c>
      <c r="R100" s="731" t="s">
        <v>1186</v>
      </c>
      <c r="S100" s="145">
        <f t="shared" si="1"/>
        <v>5</v>
      </c>
    </row>
    <row r="101" spans="2:19">
      <c r="B101" s="140">
        <v>2</v>
      </c>
      <c r="C101" t="s">
        <v>552</v>
      </c>
      <c r="D101" s="136" t="s">
        <v>1698</v>
      </c>
      <c r="E101" t="s">
        <v>1699</v>
      </c>
      <c r="F101" s="650" t="s">
        <v>1186</v>
      </c>
      <c r="H101" s="140">
        <v>2</v>
      </c>
      <c r="I101" t="s">
        <v>552</v>
      </c>
      <c r="J101" s="136" t="s">
        <v>1698</v>
      </c>
      <c r="K101" t="s">
        <v>1699</v>
      </c>
      <c r="L101" s="650" t="s">
        <v>1186</v>
      </c>
      <c r="N101" s="145">
        <v>392</v>
      </c>
      <c r="O101" s="145" t="s">
        <v>552</v>
      </c>
      <c r="R101" s="731" t="s">
        <v>1186</v>
      </c>
      <c r="S101" s="145">
        <f t="shared" si="1"/>
        <v>5</v>
      </c>
    </row>
    <row r="102" spans="2:19">
      <c r="B102" s="140">
        <v>2</v>
      </c>
      <c r="C102" t="s">
        <v>552</v>
      </c>
      <c r="D102" s="136" t="s">
        <v>1700</v>
      </c>
      <c r="E102" t="s">
        <v>1526</v>
      </c>
      <c r="F102" s="650" t="s">
        <v>1186</v>
      </c>
      <c r="H102" s="140">
        <v>2</v>
      </c>
      <c r="I102" t="s">
        <v>552</v>
      </c>
      <c r="J102" s="136" t="s">
        <v>1700</v>
      </c>
      <c r="K102" t="s">
        <v>1526</v>
      </c>
      <c r="L102" s="650" t="s">
        <v>1186</v>
      </c>
      <c r="N102" s="145">
        <v>393</v>
      </c>
      <c r="O102" s="145" t="s">
        <v>552</v>
      </c>
      <c r="R102" s="731" t="s">
        <v>1186</v>
      </c>
      <c r="S102" s="145">
        <f t="shared" si="1"/>
        <v>5</v>
      </c>
    </row>
    <row r="103" spans="2:19">
      <c r="B103" s="140">
        <v>2</v>
      </c>
      <c r="C103" t="s">
        <v>552</v>
      </c>
      <c r="D103" s="136" t="s">
        <v>1701</v>
      </c>
      <c r="E103" t="s">
        <v>606</v>
      </c>
      <c r="F103" s="650" t="s">
        <v>1186</v>
      </c>
      <c r="H103" s="140">
        <v>2</v>
      </c>
      <c r="I103" t="s">
        <v>552</v>
      </c>
      <c r="J103" s="136" t="s">
        <v>1701</v>
      </c>
      <c r="K103" t="s">
        <v>606</v>
      </c>
      <c r="L103" s="650" t="s">
        <v>1186</v>
      </c>
      <c r="N103" s="145">
        <v>394</v>
      </c>
      <c r="O103" s="145" t="s">
        <v>552</v>
      </c>
      <c r="R103" s="731" t="s">
        <v>1186</v>
      </c>
      <c r="S103" s="145">
        <f t="shared" si="1"/>
        <v>5</v>
      </c>
    </row>
    <row r="104" spans="2:19">
      <c r="B104" s="140">
        <v>2</v>
      </c>
      <c r="C104" t="s">
        <v>552</v>
      </c>
      <c r="D104" s="136" t="s">
        <v>1702</v>
      </c>
      <c r="E104" t="s">
        <v>607</v>
      </c>
      <c r="F104" s="650">
        <v>50</v>
      </c>
      <c r="H104" s="140">
        <v>2</v>
      </c>
      <c r="I104" t="s">
        <v>552</v>
      </c>
      <c r="J104" s="136" t="s">
        <v>1702</v>
      </c>
      <c r="K104" t="s">
        <v>607</v>
      </c>
      <c r="L104" s="650">
        <v>50</v>
      </c>
      <c r="N104" s="145">
        <v>401</v>
      </c>
      <c r="O104" s="145" t="s">
        <v>552</v>
      </c>
      <c r="R104" s="731">
        <v>305</v>
      </c>
      <c r="S104" s="145">
        <f t="shared" si="1"/>
        <v>305</v>
      </c>
    </row>
    <row r="105" spans="2:19">
      <c r="B105" s="140">
        <v>2</v>
      </c>
      <c r="C105" t="s">
        <v>552</v>
      </c>
      <c r="F105" s="650">
        <v>1932</v>
      </c>
      <c r="H105" s="140">
        <v>2</v>
      </c>
      <c r="I105" t="s">
        <v>552</v>
      </c>
      <c r="L105" s="650">
        <v>1932</v>
      </c>
      <c r="N105" s="145">
        <v>411</v>
      </c>
      <c r="O105" s="145" t="s">
        <v>552</v>
      </c>
      <c r="R105" s="731">
        <v>872</v>
      </c>
      <c r="S105" s="145">
        <f t="shared" si="1"/>
        <v>872</v>
      </c>
    </row>
    <row r="106" spans="2:19">
      <c r="B106" s="140">
        <v>3</v>
      </c>
      <c r="C106" t="s">
        <v>305</v>
      </c>
      <c r="D106" s="136" t="s">
        <v>1703</v>
      </c>
      <c r="E106" t="s">
        <v>608</v>
      </c>
      <c r="F106" s="650">
        <v>25</v>
      </c>
      <c r="H106" s="140">
        <v>3</v>
      </c>
      <c r="I106" t="s">
        <v>305</v>
      </c>
      <c r="J106" s="136" t="s">
        <v>1703</v>
      </c>
      <c r="K106" t="s">
        <v>608</v>
      </c>
      <c r="L106" s="650">
        <v>25</v>
      </c>
      <c r="N106" s="145">
        <v>412</v>
      </c>
      <c r="O106" s="145" t="s">
        <v>552</v>
      </c>
      <c r="R106" s="731">
        <v>261</v>
      </c>
      <c r="S106" s="145">
        <f t="shared" si="1"/>
        <v>261</v>
      </c>
    </row>
    <row r="107" spans="2:19">
      <c r="B107" s="140">
        <v>3</v>
      </c>
      <c r="C107" t="s">
        <v>305</v>
      </c>
      <c r="D107" s="136" t="s">
        <v>1704</v>
      </c>
      <c r="E107" t="s">
        <v>609</v>
      </c>
      <c r="F107" s="650">
        <v>42</v>
      </c>
      <c r="H107" s="140">
        <v>3</v>
      </c>
      <c r="I107" t="s">
        <v>305</v>
      </c>
      <c r="J107" s="136" t="s">
        <v>1704</v>
      </c>
      <c r="K107" t="s">
        <v>609</v>
      </c>
      <c r="L107" s="650">
        <v>42</v>
      </c>
      <c r="N107" s="145">
        <v>413</v>
      </c>
      <c r="O107" s="145" t="s">
        <v>552</v>
      </c>
      <c r="R107" s="731">
        <v>73</v>
      </c>
      <c r="S107" s="145">
        <f t="shared" si="1"/>
        <v>73</v>
      </c>
    </row>
    <row r="108" spans="2:19">
      <c r="B108" s="140">
        <v>3</v>
      </c>
      <c r="C108" t="s">
        <v>305</v>
      </c>
      <c r="D108" s="136" t="s">
        <v>1705</v>
      </c>
      <c r="E108" t="s">
        <v>611</v>
      </c>
      <c r="F108" s="650" t="s">
        <v>1186</v>
      </c>
      <c r="H108" s="140">
        <v>3</v>
      </c>
      <c r="I108" t="s">
        <v>305</v>
      </c>
      <c r="J108" s="136" t="s">
        <v>1705</v>
      </c>
      <c r="K108" t="s">
        <v>611</v>
      </c>
      <c r="L108" s="650" t="s">
        <v>1186</v>
      </c>
      <c r="N108" s="145">
        <v>414</v>
      </c>
      <c r="O108" s="145" t="s">
        <v>552</v>
      </c>
      <c r="R108" s="731">
        <v>108</v>
      </c>
      <c r="S108" s="145">
        <f t="shared" si="1"/>
        <v>108</v>
      </c>
    </row>
    <row r="109" spans="2:19">
      <c r="B109" s="140">
        <v>3</v>
      </c>
      <c r="C109" t="s">
        <v>305</v>
      </c>
      <c r="D109" s="136" t="s">
        <v>1706</v>
      </c>
      <c r="E109" t="s">
        <v>613</v>
      </c>
      <c r="F109" s="650">
        <v>112</v>
      </c>
      <c r="H109" s="140">
        <v>3</v>
      </c>
      <c r="I109" t="s">
        <v>305</v>
      </c>
      <c r="J109" s="136" t="s">
        <v>1706</v>
      </c>
      <c r="K109" t="s">
        <v>613</v>
      </c>
      <c r="L109" s="650">
        <v>112</v>
      </c>
      <c r="N109" s="145">
        <v>415</v>
      </c>
      <c r="O109" s="145" t="s">
        <v>552</v>
      </c>
      <c r="R109" s="731">
        <v>54</v>
      </c>
      <c r="S109" s="145">
        <f t="shared" si="1"/>
        <v>54</v>
      </c>
    </row>
    <row r="110" spans="2:19">
      <c r="B110" s="140">
        <v>3</v>
      </c>
      <c r="C110" t="s">
        <v>305</v>
      </c>
      <c r="D110" s="136" t="s">
        <v>1707</v>
      </c>
      <c r="E110" t="s">
        <v>614</v>
      </c>
      <c r="F110" s="650" t="s">
        <v>1186</v>
      </c>
      <c r="H110" s="140">
        <v>3</v>
      </c>
      <c r="I110" t="s">
        <v>305</v>
      </c>
      <c r="J110" s="136" t="s">
        <v>1707</v>
      </c>
      <c r="K110" t="s">
        <v>614</v>
      </c>
      <c r="L110" s="650" t="s">
        <v>1186</v>
      </c>
      <c r="N110" s="145">
        <v>416</v>
      </c>
      <c r="O110" s="145" t="s">
        <v>552</v>
      </c>
      <c r="R110" s="731" t="s">
        <v>1186</v>
      </c>
      <c r="S110" s="145">
        <f t="shared" si="1"/>
        <v>5</v>
      </c>
    </row>
    <row r="111" spans="2:19">
      <c r="B111" s="140">
        <v>3</v>
      </c>
      <c r="C111" t="s">
        <v>305</v>
      </c>
      <c r="D111" s="136" t="s">
        <v>1708</v>
      </c>
      <c r="E111" t="s">
        <v>615</v>
      </c>
      <c r="F111" s="650" t="s">
        <v>1186</v>
      </c>
      <c r="H111" s="140">
        <v>3</v>
      </c>
      <c r="I111" t="s">
        <v>305</v>
      </c>
      <c r="J111" s="136" t="s">
        <v>1708</v>
      </c>
      <c r="K111" t="s">
        <v>615</v>
      </c>
      <c r="L111" s="650" t="s">
        <v>1186</v>
      </c>
      <c r="N111" s="145">
        <v>417</v>
      </c>
      <c r="O111" s="145" t="s">
        <v>552</v>
      </c>
      <c r="R111" s="731">
        <v>39</v>
      </c>
      <c r="S111" s="145">
        <f t="shared" si="1"/>
        <v>39</v>
      </c>
    </row>
    <row r="112" spans="2:19">
      <c r="B112" s="140">
        <v>3</v>
      </c>
      <c r="C112" t="s">
        <v>305</v>
      </c>
      <c r="D112" s="136" t="s">
        <v>1709</v>
      </c>
      <c r="E112" t="s">
        <v>1710</v>
      </c>
      <c r="F112" s="650" t="s">
        <v>1186</v>
      </c>
      <c r="H112" s="140">
        <v>3</v>
      </c>
      <c r="I112" t="s">
        <v>305</v>
      </c>
      <c r="J112" s="136" t="s">
        <v>1709</v>
      </c>
      <c r="K112" t="s">
        <v>1710</v>
      </c>
      <c r="L112" s="650" t="s">
        <v>1186</v>
      </c>
      <c r="N112" s="145">
        <v>418</v>
      </c>
      <c r="O112" s="145" t="s">
        <v>552</v>
      </c>
      <c r="R112" s="731">
        <v>59</v>
      </c>
      <c r="S112" s="145">
        <f t="shared" si="1"/>
        <v>59</v>
      </c>
    </row>
    <row r="113" spans="2:19">
      <c r="B113" s="140">
        <v>3</v>
      </c>
      <c r="C113" t="s">
        <v>305</v>
      </c>
      <c r="D113" s="136" t="s">
        <v>1711</v>
      </c>
      <c r="E113" t="s">
        <v>1712</v>
      </c>
      <c r="F113" s="650" t="s">
        <v>1186</v>
      </c>
      <c r="H113" s="140">
        <v>3</v>
      </c>
      <c r="I113" t="s">
        <v>305</v>
      </c>
      <c r="J113" s="136" t="s">
        <v>1711</v>
      </c>
      <c r="K113" t="s">
        <v>1712</v>
      </c>
      <c r="L113" s="650" t="s">
        <v>1186</v>
      </c>
      <c r="N113" s="145">
        <v>421</v>
      </c>
      <c r="O113" s="145" t="s">
        <v>552</v>
      </c>
      <c r="R113" s="731">
        <v>45</v>
      </c>
      <c r="S113" s="145">
        <f t="shared" si="1"/>
        <v>45</v>
      </c>
    </row>
    <row r="114" spans="2:19">
      <c r="B114" s="140">
        <v>3</v>
      </c>
      <c r="C114" t="s">
        <v>305</v>
      </c>
      <c r="D114" s="136" t="s">
        <v>1713</v>
      </c>
      <c r="E114" t="s">
        <v>1714</v>
      </c>
      <c r="F114" s="650" t="s">
        <v>1186</v>
      </c>
      <c r="H114" s="140">
        <v>3</v>
      </c>
      <c r="I114" t="s">
        <v>305</v>
      </c>
      <c r="J114" s="136" t="s">
        <v>1713</v>
      </c>
      <c r="K114" t="s">
        <v>1714</v>
      </c>
      <c r="L114" s="650" t="s">
        <v>1186</v>
      </c>
      <c r="N114" s="145">
        <v>422</v>
      </c>
      <c r="O114" s="145" t="s">
        <v>552</v>
      </c>
      <c r="R114" s="731" t="s">
        <v>1186</v>
      </c>
      <c r="S114" s="145">
        <f t="shared" si="1"/>
        <v>5</v>
      </c>
    </row>
    <row r="115" spans="2:19">
      <c r="B115" s="140">
        <v>3</v>
      </c>
      <c r="C115" t="s">
        <v>305</v>
      </c>
      <c r="D115" s="136" t="s">
        <v>1715</v>
      </c>
      <c r="E115" t="s">
        <v>1716</v>
      </c>
      <c r="F115" s="650" t="s">
        <v>1186</v>
      </c>
      <c r="H115" s="140">
        <v>3</v>
      </c>
      <c r="I115" t="s">
        <v>305</v>
      </c>
      <c r="J115" s="136" t="s">
        <v>1715</v>
      </c>
      <c r="K115" t="s">
        <v>1716</v>
      </c>
      <c r="L115" s="650" t="s">
        <v>1186</v>
      </c>
      <c r="N115" s="145">
        <v>431</v>
      </c>
      <c r="O115" s="145" t="s">
        <v>552</v>
      </c>
      <c r="R115" s="731">
        <v>271</v>
      </c>
      <c r="S115" s="145">
        <f t="shared" si="1"/>
        <v>271</v>
      </c>
    </row>
    <row r="116" spans="2:19">
      <c r="B116" s="140">
        <v>3</v>
      </c>
      <c r="C116" t="s">
        <v>552</v>
      </c>
      <c r="F116" s="650">
        <v>183</v>
      </c>
      <c r="G116">
        <f>SUM(F106:F109)</f>
        <v>179</v>
      </c>
      <c r="H116" s="140">
        <v>3</v>
      </c>
      <c r="I116" t="s">
        <v>552</v>
      </c>
      <c r="L116" s="650">
        <v>183</v>
      </c>
      <c r="N116" s="145">
        <v>432</v>
      </c>
      <c r="O116" s="145" t="s">
        <v>552</v>
      </c>
      <c r="R116" s="731" t="s">
        <v>1186</v>
      </c>
      <c r="S116" s="145">
        <f t="shared" si="1"/>
        <v>5</v>
      </c>
    </row>
    <row r="117" spans="2:19">
      <c r="B117" s="140">
        <v>11</v>
      </c>
      <c r="C117" t="s">
        <v>306</v>
      </c>
      <c r="D117" s="136" t="s">
        <v>1718</v>
      </c>
      <c r="E117" t="s">
        <v>622</v>
      </c>
      <c r="F117" s="650" t="s">
        <v>1186</v>
      </c>
      <c r="H117" s="140">
        <v>11</v>
      </c>
      <c r="I117" t="s">
        <v>306</v>
      </c>
      <c r="J117" s="136" t="s">
        <v>1718</v>
      </c>
      <c r="K117" t="s">
        <v>622</v>
      </c>
      <c r="L117" s="650" t="s">
        <v>1186</v>
      </c>
      <c r="N117" s="145">
        <v>433</v>
      </c>
      <c r="O117" s="145" t="s">
        <v>552</v>
      </c>
      <c r="R117" s="731" t="s">
        <v>1186</v>
      </c>
      <c r="S117" s="145">
        <f t="shared" si="1"/>
        <v>5</v>
      </c>
    </row>
    <row r="118" spans="2:19">
      <c r="B118" s="140">
        <v>11</v>
      </c>
      <c r="C118" t="s">
        <v>552</v>
      </c>
      <c r="F118" s="650" t="s">
        <v>1186</v>
      </c>
      <c r="H118" s="140">
        <v>11</v>
      </c>
      <c r="I118" t="s">
        <v>552</v>
      </c>
      <c r="L118" s="650" t="s">
        <v>1186</v>
      </c>
      <c r="N118" s="145">
        <v>478</v>
      </c>
      <c r="O118" s="145" t="s">
        <v>552</v>
      </c>
      <c r="R118" s="731" t="s">
        <v>1186</v>
      </c>
      <c r="S118" s="145">
        <f t="shared" si="1"/>
        <v>5</v>
      </c>
    </row>
    <row r="119" spans="2:19">
      <c r="B119" s="140">
        <v>13</v>
      </c>
      <c r="C119" t="s">
        <v>307</v>
      </c>
      <c r="D119" s="136" t="s">
        <v>1720</v>
      </c>
      <c r="E119" t="s">
        <v>625</v>
      </c>
      <c r="F119" s="650" t="s">
        <v>1186</v>
      </c>
      <c r="H119" s="140">
        <v>13</v>
      </c>
      <c r="I119" t="s">
        <v>307</v>
      </c>
      <c r="J119" s="136" t="s">
        <v>1720</v>
      </c>
      <c r="K119" t="s">
        <v>625</v>
      </c>
      <c r="L119" s="650" t="s">
        <v>1186</v>
      </c>
      <c r="N119" s="145">
        <v>494</v>
      </c>
      <c r="O119" s="145" t="s">
        <v>552</v>
      </c>
      <c r="R119" s="731" t="s">
        <v>1186</v>
      </c>
      <c r="S119" s="145">
        <f t="shared" si="1"/>
        <v>5</v>
      </c>
    </row>
    <row r="120" spans="2:19">
      <c r="B120" s="140">
        <v>13</v>
      </c>
      <c r="C120" t="s">
        <v>307</v>
      </c>
      <c r="D120" s="136" t="s">
        <v>1721</v>
      </c>
      <c r="E120" t="s">
        <v>626</v>
      </c>
      <c r="F120" s="650" t="s">
        <v>1186</v>
      </c>
      <c r="H120" s="140">
        <v>13</v>
      </c>
      <c r="I120" t="s">
        <v>307</v>
      </c>
      <c r="J120" s="136" t="s">
        <v>1721</v>
      </c>
      <c r="K120" t="s">
        <v>626</v>
      </c>
      <c r="L120" s="650" t="s">
        <v>1186</v>
      </c>
      <c r="N120" s="651">
        <v>451</v>
      </c>
      <c r="O120" s="145" t="s">
        <v>1535</v>
      </c>
      <c r="P120" s="733" t="s">
        <v>2483</v>
      </c>
      <c r="Q120" s="145" t="s">
        <v>418</v>
      </c>
      <c r="R120" s="734" t="s">
        <v>1186</v>
      </c>
      <c r="S120" s="145">
        <f t="shared" si="1"/>
        <v>5</v>
      </c>
    </row>
    <row r="121" spans="2:19">
      <c r="B121" s="140">
        <v>13</v>
      </c>
      <c r="C121" t="s">
        <v>552</v>
      </c>
      <c r="F121" s="650" t="s">
        <v>1186</v>
      </c>
      <c r="H121" s="140">
        <v>13</v>
      </c>
      <c r="I121" t="s">
        <v>552</v>
      </c>
      <c r="L121" s="650" t="s">
        <v>1186</v>
      </c>
      <c r="N121" s="651">
        <v>452</v>
      </c>
      <c r="O121" s="145" t="s">
        <v>1536</v>
      </c>
      <c r="P121" s="733" t="s">
        <v>2485</v>
      </c>
      <c r="Q121" s="145" t="s">
        <v>419</v>
      </c>
      <c r="R121" s="734" t="s">
        <v>1186</v>
      </c>
      <c r="S121" s="145">
        <f t="shared" si="1"/>
        <v>5</v>
      </c>
    </row>
    <row r="122" spans="2:19">
      <c r="B122" s="140">
        <v>21</v>
      </c>
      <c r="C122" t="s">
        <v>308</v>
      </c>
      <c r="D122" s="136" t="s">
        <v>1723</v>
      </c>
      <c r="E122" t="s">
        <v>627</v>
      </c>
      <c r="F122" s="650" t="s">
        <v>1186</v>
      </c>
      <c r="H122" s="140">
        <v>21</v>
      </c>
      <c r="I122" t="s">
        <v>308</v>
      </c>
      <c r="J122" s="136" t="s">
        <v>1723</v>
      </c>
      <c r="K122" t="s">
        <v>627</v>
      </c>
      <c r="L122" s="650" t="s">
        <v>1186</v>
      </c>
      <c r="N122" s="651">
        <v>452</v>
      </c>
      <c r="O122" s="145" t="s">
        <v>1536</v>
      </c>
      <c r="P122" s="733" t="s">
        <v>2486</v>
      </c>
      <c r="Q122" s="145" t="s">
        <v>2487</v>
      </c>
      <c r="R122" s="734" t="s">
        <v>1186</v>
      </c>
      <c r="S122" s="145">
        <f t="shared" si="1"/>
        <v>5</v>
      </c>
    </row>
    <row r="123" spans="2:19">
      <c r="B123" s="140">
        <v>21</v>
      </c>
      <c r="C123" t="s">
        <v>308</v>
      </c>
      <c r="D123" s="136" t="s">
        <v>1724</v>
      </c>
      <c r="E123" t="s">
        <v>628</v>
      </c>
      <c r="F123" s="650" t="s">
        <v>1186</v>
      </c>
      <c r="H123" s="140">
        <v>21</v>
      </c>
      <c r="I123" t="s">
        <v>308</v>
      </c>
      <c r="J123" s="136" t="s">
        <v>1724</v>
      </c>
      <c r="K123" t="s">
        <v>628</v>
      </c>
      <c r="L123" s="650" t="s">
        <v>1186</v>
      </c>
      <c r="N123" s="651">
        <v>453</v>
      </c>
      <c r="O123" s="145" t="s">
        <v>2489</v>
      </c>
      <c r="P123" s="733" t="s">
        <v>2490</v>
      </c>
      <c r="Q123" s="145" t="s">
        <v>1143</v>
      </c>
      <c r="R123" s="734" t="s">
        <v>1186</v>
      </c>
      <c r="S123" s="145">
        <f t="shared" si="1"/>
        <v>5</v>
      </c>
    </row>
    <row r="124" spans="2:19">
      <c r="B124" s="140">
        <v>21</v>
      </c>
      <c r="C124" t="s">
        <v>308</v>
      </c>
      <c r="D124" s="136" t="s">
        <v>1725</v>
      </c>
      <c r="E124" t="s">
        <v>629</v>
      </c>
      <c r="F124" s="650" t="s">
        <v>1186</v>
      </c>
      <c r="H124" s="140">
        <v>21</v>
      </c>
      <c r="I124" t="s">
        <v>308</v>
      </c>
      <c r="J124" s="136" t="s">
        <v>1725</v>
      </c>
      <c r="K124" t="s">
        <v>629</v>
      </c>
      <c r="L124" s="650" t="s">
        <v>1186</v>
      </c>
      <c r="N124" s="651">
        <v>453</v>
      </c>
      <c r="O124" s="145" t="s">
        <v>2489</v>
      </c>
      <c r="P124" s="733" t="s">
        <v>2491</v>
      </c>
      <c r="Q124" s="145" t="s">
        <v>2492</v>
      </c>
      <c r="R124" s="734" t="s">
        <v>1186</v>
      </c>
      <c r="S124" s="145">
        <f t="shared" si="1"/>
        <v>5</v>
      </c>
    </row>
    <row r="125" spans="2:19">
      <c r="B125" s="140">
        <v>21</v>
      </c>
      <c r="C125" t="s">
        <v>308</v>
      </c>
      <c r="D125" s="136" t="s">
        <v>1726</v>
      </c>
      <c r="E125" t="s">
        <v>630</v>
      </c>
      <c r="F125" s="650" t="s">
        <v>1186</v>
      </c>
      <c r="H125" s="140">
        <v>21</v>
      </c>
      <c r="I125" t="s">
        <v>308</v>
      </c>
      <c r="J125" s="136" t="s">
        <v>1726</v>
      </c>
      <c r="K125" t="s">
        <v>630</v>
      </c>
      <c r="L125" s="650" t="s">
        <v>1186</v>
      </c>
      <c r="N125" s="651">
        <v>454</v>
      </c>
      <c r="O125" s="145" t="s">
        <v>1537</v>
      </c>
      <c r="P125" s="733" t="s">
        <v>2494</v>
      </c>
      <c r="Q125" s="145" t="s">
        <v>421</v>
      </c>
      <c r="R125" s="734" t="s">
        <v>1186</v>
      </c>
      <c r="S125" s="145">
        <f t="shared" si="1"/>
        <v>5</v>
      </c>
    </row>
    <row r="126" spans="2:19">
      <c r="B126" s="140">
        <v>21</v>
      </c>
      <c r="C126" t="s">
        <v>308</v>
      </c>
      <c r="D126" s="136" t="s">
        <v>1727</v>
      </c>
      <c r="E126" t="s">
        <v>631</v>
      </c>
      <c r="F126" s="650" t="s">
        <v>1186</v>
      </c>
      <c r="H126" s="140">
        <v>21</v>
      </c>
      <c r="I126" t="s">
        <v>308</v>
      </c>
      <c r="J126" s="136" t="s">
        <v>1727</v>
      </c>
      <c r="K126" t="s">
        <v>631</v>
      </c>
      <c r="L126" s="650" t="s">
        <v>1186</v>
      </c>
      <c r="N126" s="651">
        <v>455</v>
      </c>
      <c r="O126" s="145" t="s">
        <v>1538</v>
      </c>
      <c r="P126" s="733" t="s">
        <v>2496</v>
      </c>
      <c r="Q126" s="145" t="s">
        <v>1539</v>
      </c>
      <c r="R126" s="734" t="s">
        <v>1186</v>
      </c>
      <c r="S126" s="145">
        <f t="shared" si="1"/>
        <v>5</v>
      </c>
    </row>
    <row r="127" spans="2:19">
      <c r="B127" s="140">
        <v>21</v>
      </c>
      <c r="C127" t="s">
        <v>308</v>
      </c>
      <c r="D127" s="136" t="s">
        <v>1728</v>
      </c>
      <c r="E127" t="s">
        <v>1615</v>
      </c>
      <c r="F127" s="650" t="s">
        <v>1186</v>
      </c>
      <c r="H127" s="140">
        <v>21</v>
      </c>
      <c r="I127" t="s">
        <v>308</v>
      </c>
      <c r="J127" s="136" t="s">
        <v>1728</v>
      </c>
      <c r="K127" t="s">
        <v>1615</v>
      </c>
      <c r="L127" s="650" t="s">
        <v>1186</v>
      </c>
      <c r="N127" s="651">
        <v>455</v>
      </c>
      <c r="O127" s="145" t="s">
        <v>1538</v>
      </c>
      <c r="P127" s="733" t="s">
        <v>2497</v>
      </c>
      <c r="Q127" s="145" t="s">
        <v>2498</v>
      </c>
      <c r="R127" s="734" t="s">
        <v>1186</v>
      </c>
      <c r="S127" s="145">
        <f t="shared" si="1"/>
        <v>5</v>
      </c>
    </row>
    <row r="128" spans="2:19">
      <c r="B128" s="140">
        <v>21</v>
      </c>
      <c r="C128" t="s">
        <v>552</v>
      </c>
      <c r="F128" s="650" t="s">
        <v>1186</v>
      </c>
      <c r="H128" s="140">
        <v>21</v>
      </c>
      <c r="I128" t="s">
        <v>552</v>
      </c>
      <c r="L128" s="650" t="s">
        <v>1186</v>
      </c>
      <c r="N128" s="651">
        <v>456</v>
      </c>
      <c r="O128" s="145" t="s">
        <v>1540</v>
      </c>
      <c r="P128" s="733" t="s">
        <v>2500</v>
      </c>
      <c r="Q128" s="145" t="s">
        <v>423</v>
      </c>
      <c r="R128" s="734" t="s">
        <v>1186</v>
      </c>
      <c r="S128" s="145">
        <f t="shared" si="1"/>
        <v>5</v>
      </c>
    </row>
    <row r="129" spans="2:19">
      <c r="B129" s="140">
        <v>25</v>
      </c>
      <c r="C129" t="s">
        <v>309</v>
      </c>
      <c r="D129" s="136" t="s">
        <v>1730</v>
      </c>
      <c r="E129" t="s">
        <v>632</v>
      </c>
      <c r="F129" s="650">
        <v>12</v>
      </c>
      <c r="H129" s="140">
        <v>25</v>
      </c>
      <c r="I129" t="s">
        <v>309</v>
      </c>
      <c r="J129" s="136" t="s">
        <v>1730</v>
      </c>
      <c r="K129" t="s">
        <v>632</v>
      </c>
      <c r="L129" s="650">
        <v>12</v>
      </c>
      <c r="N129" s="651">
        <v>457</v>
      </c>
      <c r="O129" s="145" t="s">
        <v>1541</v>
      </c>
      <c r="P129" s="733" t="s">
        <v>2502</v>
      </c>
      <c r="Q129" s="145" t="s">
        <v>2503</v>
      </c>
      <c r="R129" s="734" t="s">
        <v>1186</v>
      </c>
      <c r="S129" s="145">
        <f t="shared" si="1"/>
        <v>5</v>
      </c>
    </row>
    <row r="130" spans="2:19">
      <c r="B130" s="140">
        <v>25</v>
      </c>
      <c r="C130" t="s">
        <v>309</v>
      </c>
      <c r="D130" s="136" t="s">
        <v>1731</v>
      </c>
      <c r="E130" t="s">
        <v>633</v>
      </c>
      <c r="F130" s="650" t="s">
        <v>1186</v>
      </c>
      <c r="H130" s="140">
        <v>25</v>
      </c>
      <c r="I130" t="s">
        <v>309</v>
      </c>
      <c r="J130" s="136" t="s">
        <v>1731</v>
      </c>
      <c r="K130" t="s">
        <v>633</v>
      </c>
      <c r="L130" s="650" t="s">
        <v>1186</v>
      </c>
      <c r="N130" s="651">
        <v>458</v>
      </c>
      <c r="O130" s="145" t="s">
        <v>1542</v>
      </c>
      <c r="P130" s="733" t="s">
        <v>2505</v>
      </c>
      <c r="Q130" s="145" t="s">
        <v>1150</v>
      </c>
      <c r="R130" s="734" t="s">
        <v>1186</v>
      </c>
      <c r="S130" s="145">
        <f t="shared" si="1"/>
        <v>5</v>
      </c>
    </row>
    <row r="131" spans="2:19">
      <c r="B131" s="140">
        <v>25</v>
      </c>
      <c r="C131" t="s">
        <v>309</v>
      </c>
      <c r="D131" s="136" t="s">
        <v>1732</v>
      </c>
      <c r="E131" t="s">
        <v>634</v>
      </c>
      <c r="F131" s="650" t="s">
        <v>1186</v>
      </c>
      <c r="H131" s="140">
        <v>25</v>
      </c>
      <c r="I131" t="s">
        <v>309</v>
      </c>
      <c r="J131" s="136" t="s">
        <v>1732</v>
      </c>
      <c r="K131" t="s">
        <v>634</v>
      </c>
      <c r="L131" s="650" t="s">
        <v>1186</v>
      </c>
      <c r="N131" s="651">
        <v>460</v>
      </c>
      <c r="O131" s="145" t="s">
        <v>1543</v>
      </c>
      <c r="P131" s="733" t="s">
        <v>2507</v>
      </c>
      <c r="Q131" s="145" t="s">
        <v>2508</v>
      </c>
      <c r="R131" s="734" t="s">
        <v>1186</v>
      </c>
      <c r="S131" s="145">
        <f t="shared" si="1"/>
        <v>5</v>
      </c>
    </row>
    <row r="132" spans="2:19">
      <c r="B132" s="140">
        <v>25</v>
      </c>
      <c r="C132" t="s">
        <v>309</v>
      </c>
      <c r="D132" s="136" t="s">
        <v>1733</v>
      </c>
      <c r="E132" t="s">
        <v>635</v>
      </c>
      <c r="F132" s="650">
        <v>13</v>
      </c>
      <c r="H132" s="140">
        <v>25</v>
      </c>
      <c r="I132" t="s">
        <v>309</v>
      </c>
      <c r="J132" s="136" t="s">
        <v>1733</v>
      </c>
      <c r="K132" t="s">
        <v>635</v>
      </c>
      <c r="L132" s="650">
        <v>13</v>
      </c>
      <c r="N132" s="651">
        <v>461</v>
      </c>
      <c r="O132" s="145" t="s">
        <v>1544</v>
      </c>
      <c r="P132" s="733" t="s">
        <v>2510</v>
      </c>
      <c r="Q132" s="145" t="s">
        <v>1153</v>
      </c>
      <c r="R132" s="734" t="s">
        <v>1186</v>
      </c>
      <c r="S132" s="145">
        <f t="shared" ref="S132:S195" si="2">IF(ISNUMBER(R132),R132, 5)</f>
        <v>5</v>
      </c>
    </row>
    <row r="133" spans="2:19">
      <c r="B133" s="140">
        <v>25</v>
      </c>
      <c r="C133" t="s">
        <v>309</v>
      </c>
      <c r="D133" s="136" t="s">
        <v>1734</v>
      </c>
      <c r="E133" t="s">
        <v>636</v>
      </c>
      <c r="F133" s="650" t="s">
        <v>1186</v>
      </c>
      <c r="H133" s="140">
        <v>25</v>
      </c>
      <c r="I133" t="s">
        <v>309</v>
      </c>
      <c r="J133" s="136" t="s">
        <v>1734</v>
      </c>
      <c r="K133" t="s">
        <v>636</v>
      </c>
      <c r="L133" s="650" t="s">
        <v>1186</v>
      </c>
      <c r="N133" s="651">
        <v>462</v>
      </c>
      <c r="O133" s="145" t="s">
        <v>1545</v>
      </c>
      <c r="P133" s="733" t="s">
        <v>2512</v>
      </c>
      <c r="Q133" s="145" t="s">
        <v>427</v>
      </c>
      <c r="R133" s="734" t="s">
        <v>1186</v>
      </c>
      <c r="S133" s="145">
        <f t="shared" si="2"/>
        <v>5</v>
      </c>
    </row>
    <row r="134" spans="2:19">
      <c r="B134" s="140">
        <v>25</v>
      </c>
      <c r="C134" t="s">
        <v>309</v>
      </c>
      <c r="D134" s="136" t="s">
        <v>1735</v>
      </c>
      <c r="E134" t="s">
        <v>637</v>
      </c>
      <c r="F134" s="650">
        <v>13</v>
      </c>
      <c r="H134" s="140">
        <v>25</v>
      </c>
      <c r="I134" t="s">
        <v>309</v>
      </c>
      <c r="J134" s="136" t="s">
        <v>1735</v>
      </c>
      <c r="K134" t="s">
        <v>637</v>
      </c>
      <c r="L134" s="650">
        <v>13</v>
      </c>
      <c r="N134" s="651">
        <v>463</v>
      </c>
      <c r="O134" s="145" t="s">
        <v>1546</v>
      </c>
      <c r="P134" s="733" t="s">
        <v>2514</v>
      </c>
      <c r="Q134" s="145" t="s">
        <v>428</v>
      </c>
      <c r="R134" s="734" t="s">
        <v>1186</v>
      </c>
      <c r="S134" s="145">
        <f t="shared" si="2"/>
        <v>5</v>
      </c>
    </row>
    <row r="135" spans="2:19">
      <c r="B135" s="140">
        <v>25</v>
      </c>
      <c r="C135" t="s">
        <v>309</v>
      </c>
      <c r="D135" s="136" t="s">
        <v>1736</v>
      </c>
      <c r="E135" t="s">
        <v>638</v>
      </c>
      <c r="F135" s="650" t="s">
        <v>1186</v>
      </c>
      <c r="H135" s="140">
        <v>25</v>
      </c>
      <c r="I135" t="s">
        <v>309</v>
      </c>
      <c r="J135" s="136" t="s">
        <v>1736</v>
      </c>
      <c r="K135" t="s">
        <v>638</v>
      </c>
      <c r="L135" s="650" t="s">
        <v>1186</v>
      </c>
      <c r="N135" s="651">
        <v>464</v>
      </c>
      <c r="O135" s="145" t="s">
        <v>1547</v>
      </c>
      <c r="P135" s="733" t="s">
        <v>2516</v>
      </c>
      <c r="Q135" s="145" t="s">
        <v>429</v>
      </c>
      <c r="R135" s="734" t="s">
        <v>1186</v>
      </c>
      <c r="S135" s="145">
        <f t="shared" si="2"/>
        <v>5</v>
      </c>
    </row>
    <row r="136" spans="2:19">
      <c r="B136" s="140">
        <v>25</v>
      </c>
      <c r="C136" t="s">
        <v>309</v>
      </c>
      <c r="D136" s="136" t="s">
        <v>1737</v>
      </c>
      <c r="E136" t="s">
        <v>639</v>
      </c>
      <c r="F136" s="650" t="s">
        <v>1186</v>
      </c>
      <c r="H136" s="140">
        <v>25</v>
      </c>
      <c r="I136" t="s">
        <v>309</v>
      </c>
      <c r="J136" s="136" t="s">
        <v>1737</v>
      </c>
      <c r="K136" t="s">
        <v>639</v>
      </c>
      <c r="L136" s="650" t="s">
        <v>1186</v>
      </c>
      <c r="N136" s="651">
        <v>465</v>
      </c>
      <c r="O136" s="145" t="s">
        <v>1548</v>
      </c>
      <c r="P136" s="733" t="s">
        <v>2518</v>
      </c>
      <c r="Q136" s="145" t="s">
        <v>430</v>
      </c>
      <c r="R136" s="734">
        <v>36</v>
      </c>
      <c r="S136" s="145">
        <f t="shared" si="2"/>
        <v>36</v>
      </c>
    </row>
    <row r="137" spans="2:19">
      <c r="B137" s="140">
        <v>25</v>
      </c>
      <c r="C137" t="s">
        <v>309</v>
      </c>
      <c r="D137" s="136" t="s">
        <v>1738</v>
      </c>
      <c r="E137" t="s">
        <v>640</v>
      </c>
      <c r="F137" s="650" t="s">
        <v>1186</v>
      </c>
      <c r="H137" s="140">
        <v>25</v>
      </c>
      <c r="I137" t="s">
        <v>309</v>
      </c>
      <c r="J137" s="136" t="s">
        <v>1738</v>
      </c>
      <c r="K137" t="s">
        <v>640</v>
      </c>
      <c r="L137" s="650" t="s">
        <v>1186</v>
      </c>
      <c r="N137" s="651">
        <v>466</v>
      </c>
      <c r="O137" s="145" t="s">
        <v>1549</v>
      </c>
      <c r="P137" s="733" t="s">
        <v>2520</v>
      </c>
      <c r="Q137" s="145" t="s">
        <v>431</v>
      </c>
      <c r="R137" s="734" t="s">
        <v>1186</v>
      </c>
      <c r="S137" s="145">
        <f t="shared" si="2"/>
        <v>5</v>
      </c>
    </row>
    <row r="138" spans="2:19">
      <c r="B138" s="140">
        <v>25</v>
      </c>
      <c r="C138" t="s">
        <v>309</v>
      </c>
      <c r="D138" s="136" t="s">
        <v>1739</v>
      </c>
      <c r="E138" t="s">
        <v>641</v>
      </c>
      <c r="F138" s="650" t="s">
        <v>1186</v>
      </c>
      <c r="H138" s="140">
        <v>25</v>
      </c>
      <c r="I138" t="s">
        <v>309</v>
      </c>
      <c r="J138" s="136" t="s">
        <v>1739</v>
      </c>
      <c r="K138" t="s">
        <v>641</v>
      </c>
      <c r="L138" s="650" t="s">
        <v>1186</v>
      </c>
      <c r="N138" s="651">
        <v>468</v>
      </c>
      <c r="O138" s="145" t="s">
        <v>1550</v>
      </c>
      <c r="P138" s="733" t="s">
        <v>2522</v>
      </c>
      <c r="Q138" s="145" t="s">
        <v>2523</v>
      </c>
      <c r="R138" s="734" t="s">
        <v>1186</v>
      </c>
      <c r="S138" s="145">
        <f t="shared" si="2"/>
        <v>5</v>
      </c>
    </row>
    <row r="139" spans="2:19">
      <c r="B139" s="140">
        <v>25</v>
      </c>
      <c r="C139" t="s">
        <v>309</v>
      </c>
      <c r="D139" s="136" t="s">
        <v>1740</v>
      </c>
      <c r="E139" t="s">
        <v>642</v>
      </c>
      <c r="F139" s="650" t="s">
        <v>1186</v>
      </c>
      <c r="H139" s="140">
        <v>25</v>
      </c>
      <c r="I139" t="s">
        <v>309</v>
      </c>
      <c r="J139" s="136" t="s">
        <v>1740</v>
      </c>
      <c r="K139" t="s">
        <v>642</v>
      </c>
      <c r="L139" s="650" t="s">
        <v>1186</v>
      </c>
      <c r="N139" s="651">
        <v>469</v>
      </c>
      <c r="O139" s="145" t="s">
        <v>2525</v>
      </c>
      <c r="P139" s="733" t="s">
        <v>2526</v>
      </c>
      <c r="Q139" s="145" t="s">
        <v>2527</v>
      </c>
      <c r="R139" s="734" t="s">
        <v>1186</v>
      </c>
      <c r="S139" s="145">
        <f t="shared" si="2"/>
        <v>5</v>
      </c>
    </row>
    <row r="140" spans="2:19">
      <c r="B140" s="140">
        <v>25</v>
      </c>
      <c r="C140" t="s">
        <v>309</v>
      </c>
      <c r="D140" s="136" t="s">
        <v>1741</v>
      </c>
      <c r="E140" t="s">
        <v>643</v>
      </c>
      <c r="F140" s="650" t="s">
        <v>1186</v>
      </c>
      <c r="H140" s="140">
        <v>25</v>
      </c>
      <c r="I140" t="s">
        <v>309</v>
      </c>
      <c r="J140" s="136" t="s">
        <v>1741</v>
      </c>
      <c r="K140" t="s">
        <v>643</v>
      </c>
      <c r="L140" s="650" t="s">
        <v>1186</v>
      </c>
      <c r="N140" s="651">
        <v>469</v>
      </c>
      <c r="O140" s="145" t="s">
        <v>2525</v>
      </c>
      <c r="P140" s="733" t="s">
        <v>2528</v>
      </c>
      <c r="Q140" s="145" t="s">
        <v>2529</v>
      </c>
      <c r="R140" s="734" t="s">
        <v>1186</v>
      </c>
      <c r="S140" s="145">
        <f t="shared" si="2"/>
        <v>5</v>
      </c>
    </row>
    <row r="141" spans="2:19">
      <c r="B141" s="140">
        <v>25</v>
      </c>
      <c r="C141" t="s">
        <v>309</v>
      </c>
      <c r="D141" s="136" t="s">
        <v>1742</v>
      </c>
      <c r="E141" t="s">
        <v>519</v>
      </c>
      <c r="F141" s="650">
        <v>10</v>
      </c>
      <c r="H141" s="140">
        <v>25</v>
      </c>
      <c r="I141" t="s">
        <v>309</v>
      </c>
      <c r="J141" s="136" t="s">
        <v>1742</v>
      </c>
      <c r="K141" t="s">
        <v>519</v>
      </c>
      <c r="L141" s="650">
        <v>10</v>
      </c>
      <c r="N141" s="651">
        <v>470</v>
      </c>
      <c r="O141" s="145" t="s">
        <v>1551</v>
      </c>
      <c r="P141" s="733" t="s">
        <v>2531</v>
      </c>
      <c r="Q141" s="145" t="s">
        <v>2532</v>
      </c>
      <c r="R141" s="734" t="s">
        <v>1186</v>
      </c>
      <c r="S141" s="145">
        <f t="shared" si="2"/>
        <v>5</v>
      </c>
    </row>
    <row r="142" spans="2:19">
      <c r="B142" s="140">
        <v>25</v>
      </c>
      <c r="C142" t="s">
        <v>309</v>
      </c>
      <c r="D142" s="136" t="s">
        <v>1743</v>
      </c>
      <c r="E142" t="s">
        <v>644</v>
      </c>
      <c r="F142" s="650" t="s">
        <v>1186</v>
      </c>
      <c r="H142" s="140">
        <v>25</v>
      </c>
      <c r="I142" t="s">
        <v>309</v>
      </c>
      <c r="J142" s="136" t="s">
        <v>1743</v>
      </c>
      <c r="K142" t="s">
        <v>644</v>
      </c>
      <c r="L142" s="650" t="s">
        <v>1186</v>
      </c>
      <c r="N142" s="651">
        <v>472</v>
      </c>
      <c r="O142" s="145" t="s">
        <v>1554</v>
      </c>
      <c r="P142" s="733" t="s">
        <v>2534</v>
      </c>
      <c r="Q142" s="145" t="s">
        <v>2535</v>
      </c>
      <c r="R142" s="734" t="s">
        <v>1186</v>
      </c>
      <c r="S142" s="145">
        <f t="shared" si="2"/>
        <v>5</v>
      </c>
    </row>
    <row r="143" spans="2:19">
      <c r="B143" s="140">
        <v>25</v>
      </c>
      <c r="C143" t="s">
        <v>309</v>
      </c>
      <c r="D143" s="136" t="s">
        <v>1744</v>
      </c>
      <c r="E143" t="s">
        <v>645</v>
      </c>
      <c r="F143" s="650" t="s">
        <v>1186</v>
      </c>
      <c r="H143" s="140">
        <v>25</v>
      </c>
      <c r="I143" t="s">
        <v>309</v>
      </c>
      <c r="J143" s="136" t="s">
        <v>1744</v>
      </c>
      <c r="K143" t="s">
        <v>645</v>
      </c>
      <c r="L143" s="650" t="s">
        <v>1186</v>
      </c>
      <c r="N143" s="651">
        <v>473</v>
      </c>
      <c r="O143" s="145" t="s">
        <v>1555</v>
      </c>
      <c r="P143" s="733" t="s">
        <v>2537</v>
      </c>
      <c r="Q143" s="145" t="s">
        <v>436</v>
      </c>
      <c r="R143" s="734" t="s">
        <v>1186</v>
      </c>
      <c r="S143" s="145">
        <f t="shared" si="2"/>
        <v>5</v>
      </c>
    </row>
    <row r="144" spans="2:19">
      <c r="B144" s="140">
        <v>25</v>
      </c>
      <c r="C144" t="s">
        <v>309</v>
      </c>
      <c r="D144" s="136" t="s">
        <v>1745</v>
      </c>
      <c r="E144" t="s">
        <v>646</v>
      </c>
      <c r="F144" s="650" t="s">
        <v>1186</v>
      </c>
      <c r="H144" s="140">
        <v>25</v>
      </c>
      <c r="I144" t="s">
        <v>309</v>
      </c>
      <c r="J144" s="136" t="s">
        <v>1745</v>
      </c>
      <c r="K144" t="s">
        <v>646</v>
      </c>
      <c r="L144" s="650" t="s">
        <v>1186</v>
      </c>
      <c r="N144" s="651">
        <v>474</v>
      </c>
      <c r="O144" s="145" t="s">
        <v>1556</v>
      </c>
      <c r="P144" s="733" t="s">
        <v>2539</v>
      </c>
      <c r="Q144" s="145" t="s">
        <v>1162</v>
      </c>
      <c r="R144" s="734" t="s">
        <v>1186</v>
      </c>
      <c r="S144" s="145">
        <f t="shared" si="2"/>
        <v>5</v>
      </c>
    </row>
    <row r="145" spans="2:19">
      <c r="B145" s="140">
        <v>25</v>
      </c>
      <c r="C145" t="s">
        <v>309</v>
      </c>
      <c r="D145" s="136" t="s">
        <v>1746</v>
      </c>
      <c r="E145" t="s">
        <v>529</v>
      </c>
      <c r="F145" s="650" t="s">
        <v>1186</v>
      </c>
      <c r="H145" s="140">
        <v>25</v>
      </c>
      <c r="I145" t="s">
        <v>309</v>
      </c>
      <c r="J145" s="136" t="s">
        <v>1746</v>
      </c>
      <c r="K145" t="s">
        <v>529</v>
      </c>
      <c r="L145" s="650" t="s">
        <v>1186</v>
      </c>
      <c r="N145" s="651">
        <v>475</v>
      </c>
      <c r="O145" s="145" t="s">
        <v>1557</v>
      </c>
      <c r="P145" s="733" t="s">
        <v>2541</v>
      </c>
      <c r="Q145" s="145" t="s">
        <v>438</v>
      </c>
      <c r="R145" s="734" t="s">
        <v>1186</v>
      </c>
      <c r="S145" s="145">
        <f t="shared" si="2"/>
        <v>5</v>
      </c>
    </row>
    <row r="146" spans="2:19">
      <c r="B146" s="140">
        <v>25</v>
      </c>
      <c r="C146" t="s">
        <v>309</v>
      </c>
      <c r="D146" s="136" t="s">
        <v>1747</v>
      </c>
      <c r="E146" t="s">
        <v>647</v>
      </c>
      <c r="F146" s="650" t="s">
        <v>1186</v>
      </c>
      <c r="H146" s="140">
        <v>25</v>
      </c>
      <c r="I146" t="s">
        <v>309</v>
      </c>
      <c r="J146" s="136" t="s">
        <v>1747</v>
      </c>
      <c r="K146" t="s">
        <v>647</v>
      </c>
      <c r="L146" s="650" t="s">
        <v>1186</v>
      </c>
      <c r="N146" s="651">
        <v>476</v>
      </c>
      <c r="O146" s="145" t="s">
        <v>1558</v>
      </c>
      <c r="P146" s="733" t="s">
        <v>2543</v>
      </c>
      <c r="Q146" s="145" t="s">
        <v>1165</v>
      </c>
      <c r="R146" s="734">
        <v>14</v>
      </c>
      <c r="S146" s="145">
        <f t="shared" si="2"/>
        <v>14</v>
      </c>
    </row>
    <row r="147" spans="2:19">
      <c r="B147" s="140">
        <v>25</v>
      </c>
      <c r="C147" t="s">
        <v>309</v>
      </c>
      <c r="D147" s="136" t="s">
        <v>1748</v>
      </c>
      <c r="E147" t="s">
        <v>648</v>
      </c>
      <c r="F147" s="650">
        <v>14</v>
      </c>
      <c r="H147" s="140">
        <v>25</v>
      </c>
      <c r="I147" t="s">
        <v>309</v>
      </c>
      <c r="J147" s="136" t="s">
        <v>1748</v>
      </c>
      <c r="K147" t="s">
        <v>648</v>
      </c>
      <c r="L147" s="650">
        <v>14</v>
      </c>
      <c r="N147" s="651">
        <v>477</v>
      </c>
      <c r="O147" s="145" t="s">
        <v>1559</v>
      </c>
      <c r="P147" s="733" t="s">
        <v>2545</v>
      </c>
      <c r="Q147" s="145" t="s">
        <v>2546</v>
      </c>
      <c r="R147" s="734">
        <v>10</v>
      </c>
      <c r="S147" s="145">
        <f t="shared" si="2"/>
        <v>10</v>
      </c>
    </row>
    <row r="148" spans="2:19">
      <c r="B148" s="140">
        <v>25</v>
      </c>
      <c r="C148" t="s">
        <v>309</v>
      </c>
      <c r="D148" s="136" t="s">
        <v>1749</v>
      </c>
      <c r="E148" t="s">
        <v>649</v>
      </c>
      <c r="F148" s="650" t="s">
        <v>1186</v>
      </c>
      <c r="H148" s="140">
        <v>25</v>
      </c>
      <c r="I148" t="s">
        <v>309</v>
      </c>
      <c r="J148" s="136" t="s">
        <v>1749</v>
      </c>
      <c r="K148" t="s">
        <v>649</v>
      </c>
      <c r="L148" s="650" t="s">
        <v>1186</v>
      </c>
      <c r="N148" s="651">
        <v>478</v>
      </c>
      <c r="O148" s="145" t="s">
        <v>1560</v>
      </c>
      <c r="P148" s="733" t="s">
        <v>2548</v>
      </c>
      <c r="Q148" s="145" t="s">
        <v>441</v>
      </c>
      <c r="R148" s="734" t="s">
        <v>1186</v>
      </c>
      <c r="S148" s="145">
        <f t="shared" si="2"/>
        <v>5</v>
      </c>
    </row>
    <row r="149" spans="2:19">
      <c r="B149" s="140">
        <v>25</v>
      </c>
      <c r="C149" t="s">
        <v>309</v>
      </c>
      <c r="D149" s="136" t="s">
        <v>1750</v>
      </c>
      <c r="E149" t="s">
        <v>1751</v>
      </c>
      <c r="F149" s="650" t="s">
        <v>1186</v>
      </c>
      <c r="H149" s="140">
        <v>25</v>
      </c>
      <c r="I149" t="s">
        <v>309</v>
      </c>
      <c r="J149" s="136" t="s">
        <v>1750</v>
      </c>
      <c r="K149" t="s">
        <v>1751</v>
      </c>
      <c r="L149" s="650" t="s">
        <v>1186</v>
      </c>
      <c r="N149" s="651">
        <v>479</v>
      </c>
      <c r="O149" s="145" t="s">
        <v>1169</v>
      </c>
      <c r="P149" s="733" t="s">
        <v>2550</v>
      </c>
      <c r="Q149" s="145" t="s">
        <v>442</v>
      </c>
      <c r="R149" s="734" t="s">
        <v>1186</v>
      </c>
      <c r="S149" s="145">
        <f t="shared" si="2"/>
        <v>5</v>
      </c>
    </row>
    <row r="150" spans="2:19">
      <c r="B150" s="140">
        <v>25</v>
      </c>
      <c r="C150" t="s">
        <v>309</v>
      </c>
      <c r="D150" s="136" t="s">
        <v>1752</v>
      </c>
      <c r="E150" t="s">
        <v>1753</v>
      </c>
      <c r="F150" s="650" t="s">
        <v>1186</v>
      </c>
      <c r="H150" s="140">
        <v>25</v>
      </c>
      <c r="I150" t="s">
        <v>309</v>
      </c>
      <c r="J150" s="136" t="s">
        <v>1752</v>
      </c>
      <c r="K150" t="s">
        <v>1753</v>
      </c>
      <c r="L150" s="650" t="s">
        <v>1186</v>
      </c>
      <c r="N150" s="651">
        <v>480</v>
      </c>
      <c r="O150" s="145" t="s">
        <v>1562</v>
      </c>
      <c r="P150" s="733" t="s">
        <v>2552</v>
      </c>
      <c r="Q150" s="145" t="s">
        <v>2553</v>
      </c>
      <c r="R150" s="734" t="s">
        <v>1186</v>
      </c>
      <c r="S150" s="145">
        <f t="shared" si="2"/>
        <v>5</v>
      </c>
    </row>
    <row r="151" spans="2:19">
      <c r="B151" s="140">
        <v>25</v>
      </c>
      <c r="C151" t="s">
        <v>309</v>
      </c>
      <c r="D151" s="136" t="s">
        <v>1754</v>
      </c>
      <c r="E151" t="s">
        <v>1755</v>
      </c>
      <c r="F151" s="650" t="s">
        <v>1186</v>
      </c>
      <c r="H151" s="140">
        <v>25</v>
      </c>
      <c r="I151" t="s">
        <v>309</v>
      </c>
      <c r="J151" s="136" t="s">
        <v>1754</v>
      </c>
      <c r="K151" t="s">
        <v>1755</v>
      </c>
      <c r="L151" s="650" t="s">
        <v>1186</v>
      </c>
      <c r="N151" s="651">
        <v>481</v>
      </c>
      <c r="O151" s="145" t="s">
        <v>1564</v>
      </c>
      <c r="P151" s="733" t="s">
        <v>2555</v>
      </c>
      <c r="Q151" s="145" t="s">
        <v>444</v>
      </c>
      <c r="R151" s="734">
        <v>112</v>
      </c>
      <c r="S151" s="145">
        <f t="shared" si="2"/>
        <v>112</v>
      </c>
    </row>
    <row r="152" spans="2:19">
      <c r="B152" s="140">
        <v>25</v>
      </c>
      <c r="C152" t="s">
        <v>552</v>
      </c>
      <c r="F152" s="650">
        <v>139</v>
      </c>
      <c r="H152" s="140">
        <v>25</v>
      </c>
      <c r="I152" t="s">
        <v>552</v>
      </c>
      <c r="L152" s="650">
        <v>139</v>
      </c>
      <c r="N152" s="651">
        <v>482</v>
      </c>
      <c r="O152" s="145" t="s">
        <v>1565</v>
      </c>
      <c r="P152" s="733" t="s">
        <v>2557</v>
      </c>
      <c r="Q152" s="145" t="s">
        <v>445</v>
      </c>
      <c r="R152" s="734" t="s">
        <v>1186</v>
      </c>
      <c r="S152" s="145">
        <f t="shared" si="2"/>
        <v>5</v>
      </c>
    </row>
    <row r="153" spans="2:19">
      <c r="B153" s="140">
        <v>33</v>
      </c>
      <c r="C153" t="s">
        <v>310</v>
      </c>
      <c r="D153" s="136" t="s">
        <v>1757</v>
      </c>
      <c r="E153" t="s">
        <v>652</v>
      </c>
      <c r="F153" s="650" t="s">
        <v>1186</v>
      </c>
      <c r="H153" s="140">
        <v>33</v>
      </c>
      <c r="I153" t="s">
        <v>310</v>
      </c>
      <c r="J153" s="136" t="s">
        <v>1757</v>
      </c>
      <c r="K153" t="s">
        <v>652</v>
      </c>
      <c r="L153" s="650" t="s">
        <v>1186</v>
      </c>
      <c r="N153" s="651">
        <v>483</v>
      </c>
      <c r="O153" s="145" t="s">
        <v>1566</v>
      </c>
      <c r="P153" s="733" t="s">
        <v>2559</v>
      </c>
      <c r="Q153" s="145" t="s">
        <v>446</v>
      </c>
      <c r="R153" s="734" t="s">
        <v>1186</v>
      </c>
      <c r="S153" s="145">
        <f t="shared" si="2"/>
        <v>5</v>
      </c>
    </row>
    <row r="154" spans="2:19">
      <c r="B154" s="140">
        <v>33</v>
      </c>
      <c r="C154" t="s">
        <v>310</v>
      </c>
      <c r="D154" s="136" t="s">
        <v>1758</v>
      </c>
      <c r="E154" t="s">
        <v>653</v>
      </c>
      <c r="F154" s="650" t="s">
        <v>1186</v>
      </c>
      <c r="H154" s="140">
        <v>33</v>
      </c>
      <c r="I154" t="s">
        <v>310</v>
      </c>
      <c r="J154" s="136" t="s">
        <v>1758</v>
      </c>
      <c r="K154" t="s">
        <v>653</v>
      </c>
      <c r="L154" s="650" t="s">
        <v>1186</v>
      </c>
      <c r="N154" s="651">
        <v>485</v>
      </c>
      <c r="O154" s="145" t="s">
        <v>1567</v>
      </c>
      <c r="P154" s="733" t="s">
        <v>2560</v>
      </c>
      <c r="Q154" s="145" t="s">
        <v>2561</v>
      </c>
      <c r="R154" s="734" t="s">
        <v>1186</v>
      </c>
      <c r="S154" s="145">
        <f t="shared" si="2"/>
        <v>5</v>
      </c>
    </row>
    <row r="155" spans="2:19">
      <c r="B155" s="140">
        <v>33</v>
      </c>
      <c r="C155" t="s">
        <v>310</v>
      </c>
      <c r="D155" s="136" t="s">
        <v>1759</v>
      </c>
      <c r="E155" t="s">
        <v>654</v>
      </c>
      <c r="F155" s="650" t="s">
        <v>1186</v>
      </c>
      <c r="H155" s="140">
        <v>33</v>
      </c>
      <c r="I155" t="s">
        <v>310</v>
      </c>
      <c r="J155" s="136" t="s">
        <v>1759</v>
      </c>
      <c r="K155" t="s">
        <v>654</v>
      </c>
      <c r="L155" s="650" t="s">
        <v>1186</v>
      </c>
      <c r="N155" s="651">
        <v>486</v>
      </c>
      <c r="O155" s="145" t="s">
        <v>2563</v>
      </c>
      <c r="P155" s="733" t="s">
        <v>2564</v>
      </c>
      <c r="Q155" s="145" t="s">
        <v>2565</v>
      </c>
      <c r="R155" s="734" t="s">
        <v>1186</v>
      </c>
      <c r="S155" s="145">
        <f t="shared" si="2"/>
        <v>5</v>
      </c>
    </row>
    <row r="156" spans="2:19">
      <c r="B156" s="140">
        <v>33</v>
      </c>
      <c r="C156" t="s">
        <v>310</v>
      </c>
      <c r="D156" s="136" t="s">
        <v>1760</v>
      </c>
      <c r="E156" t="s">
        <v>655</v>
      </c>
      <c r="F156" s="650" t="s">
        <v>1186</v>
      </c>
      <c r="H156" s="140">
        <v>33</v>
      </c>
      <c r="I156" t="s">
        <v>310</v>
      </c>
      <c r="J156" s="136" t="s">
        <v>1760</v>
      </c>
      <c r="K156" t="s">
        <v>655</v>
      </c>
      <c r="L156" s="650" t="s">
        <v>1186</v>
      </c>
      <c r="N156" s="651">
        <v>486</v>
      </c>
      <c r="O156" s="145" t="s">
        <v>2563</v>
      </c>
      <c r="P156" s="733" t="s">
        <v>2566</v>
      </c>
      <c r="Q156" s="145" t="s">
        <v>2567</v>
      </c>
      <c r="R156" s="734" t="s">
        <v>1186</v>
      </c>
      <c r="S156" s="145">
        <f t="shared" si="2"/>
        <v>5</v>
      </c>
    </row>
    <row r="157" spans="2:19">
      <c r="B157" s="140">
        <v>33</v>
      </c>
      <c r="C157" t="s">
        <v>310</v>
      </c>
      <c r="D157" s="136" t="s">
        <v>1761</v>
      </c>
      <c r="E157" t="s">
        <v>656</v>
      </c>
      <c r="F157" s="650" t="s">
        <v>1186</v>
      </c>
      <c r="H157" s="140">
        <v>33</v>
      </c>
      <c r="I157" t="s">
        <v>310</v>
      </c>
      <c r="J157" s="136" t="s">
        <v>1761</v>
      </c>
      <c r="K157" t="s">
        <v>656</v>
      </c>
      <c r="L157" s="650" t="s">
        <v>1186</v>
      </c>
      <c r="N157" s="651">
        <v>487</v>
      </c>
      <c r="O157" s="145" t="s">
        <v>1570</v>
      </c>
      <c r="P157" s="733" t="s">
        <v>2569</v>
      </c>
      <c r="Q157" s="145" t="s">
        <v>2570</v>
      </c>
      <c r="R157" s="734" t="s">
        <v>1186</v>
      </c>
      <c r="S157" s="145">
        <f t="shared" si="2"/>
        <v>5</v>
      </c>
    </row>
    <row r="158" spans="2:19">
      <c r="B158" s="140">
        <v>33</v>
      </c>
      <c r="C158" t="s">
        <v>310</v>
      </c>
      <c r="D158" s="136" t="s">
        <v>1762</v>
      </c>
      <c r="E158" t="s">
        <v>1763</v>
      </c>
      <c r="F158" s="650" t="s">
        <v>1186</v>
      </c>
      <c r="H158" s="140">
        <v>33</v>
      </c>
      <c r="I158" t="s">
        <v>310</v>
      </c>
      <c r="J158" s="136" t="s">
        <v>1762</v>
      </c>
      <c r="K158" t="s">
        <v>1763</v>
      </c>
      <c r="L158" s="650" t="s">
        <v>1186</v>
      </c>
      <c r="N158" s="651">
        <v>488</v>
      </c>
      <c r="O158" s="145" t="s">
        <v>2572</v>
      </c>
      <c r="P158" s="733" t="s">
        <v>2573</v>
      </c>
      <c r="Q158" s="145" t="s">
        <v>450</v>
      </c>
      <c r="R158" s="734" t="s">
        <v>1186</v>
      </c>
      <c r="S158" s="145">
        <f t="shared" si="2"/>
        <v>5</v>
      </c>
    </row>
    <row r="159" spans="2:19">
      <c r="B159" s="140">
        <v>33</v>
      </c>
      <c r="C159" t="s">
        <v>552</v>
      </c>
      <c r="F159" s="650" t="s">
        <v>1186</v>
      </c>
      <c r="H159" s="140">
        <v>33</v>
      </c>
      <c r="I159" t="s">
        <v>552</v>
      </c>
      <c r="L159" s="650" t="s">
        <v>1186</v>
      </c>
      <c r="N159" s="651">
        <v>489</v>
      </c>
      <c r="O159" s="145" t="s">
        <v>1572</v>
      </c>
      <c r="P159" s="733" t="s">
        <v>2575</v>
      </c>
      <c r="Q159" s="145" t="s">
        <v>1180</v>
      </c>
      <c r="R159" s="734" t="s">
        <v>1186</v>
      </c>
      <c r="S159" s="145">
        <f t="shared" si="2"/>
        <v>5</v>
      </c>
    </row>
    <row r="160" spans="2:19">
      <c r="B160" s="140">
        <v>41</v>
      </c>
      <c r="C160" t="s">
        <v>311</v>
      </c>
      <c r="D160" s="136" t="s">
        <v>1765</v>
      </c>
      <c r="E160" t="s">
        <v>657</v>
      </c>
      <c r="F160" s="650" t="s">
        <v>1186</v>
      </c>
      <c r="H160" s="140">
        <v>41</v>
      </c>
      <c r="I160" t="s">
        <v>311</v>
      </c>
      <c r="J160" s="136" t="s">
        <v>1765</v>
      </c>
      <c r="K160" t="s">
        <v>657</v>
      </c>
      <c r="L160" s="650" t="s">
        <v>1186</v>
      </c>
      <c r="N160" s="651">
        <v>490</v>
      </c>
      <c r="O160" s="145" t="s">
        <v>2577</v>
      </c>
      <c r="P160" s="733" t="s">
        <v>2578</v>
      </c>
      <c r="Q160" s="145" t="s">
        <v>452</v>
      </c>
      <c r="R160" s="734" t="s">
        <v>1186</v>
      </c>
      <c r="S160" s="145">
        <f t="shared" si="2"/>
        <v>5</v>
      </c>
    </row>
    <row r="161" spans="2:19">
      <c r="B161" s="140">
        <v>41</v>
      </c>
      <c r="C161" t="s">
        <v>311</v>
      </c>
      <c r="D161" s="136" t="s">
        <v>1766</v>
      </c>
      <c r="E161" t="s">
        <v>658</v>
      </c>
      <c r="F161" s="650" t="s">
        <v>1186</v>
      </c>
      <c r="H161" s="140">
        <v>41</v>
      </c>
      <c r="I161" t="s">
        <v>311</v>
      </c>
      <c r="J161" s="136" t="s">
        <v>1766</v>
      </c>
      <c r="K161" t="s">
        <v>658</v>
      </c>
      <c r="L161" s="650" t="s">
        <v>1186</v>
      </c>
      <c r="N161" s="651">
        <v>490</v>
      </c>
      <c r="O161" s="145" t="s">
        <v>2577</v>
      </c>
      <c r="P161" s="733" t="s">
        <v>2579</v>
      </c>
      <c r="Q161" s="145" t="s">
        <v>1183</v>
      </c>
      <c r="R161" s="734" t="s">
        <v>1186</v>
      </c>
      <c r="S161" s="145">
        <f t="shared" si="2"/>
        <v>5</v>
      </c>
    </row>
    <row r="162" spans="2:19">
      <c r="B162" s="140">
        <v>41</v>
      </c>
      <c r="C162" t="s">
        <v>311</v>
      </c>
      <c r="D162" s="136" t="s">
        <v>1767</v>
      </c>
      <c r="E162" t="s">
        <v>659</v>
      </c>
      <c r="F162" s="650" t="s">
        <v>1186</v>
      </c>
      <c r="H162" s="140">
        <v>41</v>
      </c>
      <c r="I162" t="s">
        <v>311</v>
      </c>
      <c r="J162" s="136" t="s">
        <v>1767</v>
      </c>
      <c r="K162" t="s">
        <v>659</v>
      </c>
      <c r="L162" s="650" t="s">
        <v>1186</v>
      </c>
      <c r="N162" s="651">
        <v>491</v>
      </c>
      <c r="O162" s="145" t="s">
        <v>2581</v>
      </c>
      <c r="P162" s="733" t="s">
        <v>2582</v>
      </c>
      <c r="Q162" s="145" t="s">
        <v>2583</v>
      </c>
      <c r="R162" s="734" t="s">
        <v>1186</v>
      </c>
      <c r="S162" s="145">
        <f t="shared" si="2"/>
        <v>5</v>
      </c>
    </row>
    <row r="163" spans="2:19">
      <c r="B163" s="140">
        <v>41</v>
      </c>
      <c r="C163" t="s">
        <v>311</v>
      </c>
      <c r="D163" s="136" t="s">
        <v>1768</v>
      </c>
      <c r="E163" t="s">
        <v>1769</v>
      </c>
      <c r="F163" s="650" t="s">
        <v>1186</v>
      </c>
      <c r="H163" s="140">
        <v>41</v>
      </c>
      <c r="I163" t="s">
        <v>311</v>
      </c>
      <c r="J163" s="136" t="s">
        <v>1768</v>
      </c>
      <c r="K163" t="s">
        <v>1769</v>
      </c>
      <c r="L163" s="650" t="s">
        <v>1186</v>
      </c>
      <c r="N163" s="651">
        <v>1</v>
      </c>
      <c r="O163" s="145" t="s">
        <v>2585</v>
      </c>
      <c r="P163" s="733" t="s">
        <v>2586</v>
      </c>
      <c r="Q163" s="145" t="s">
        <v>455</v>
      </c>
      <c r="R163" s="734" t="s">
        <v>1186</v>
      </c>
      <c r="S163" s="145">
        <f t="shared" si="2"/>
        <v>5</v>
      </c>
    </row>
    <row r="164" spans="2:19">
      <c r="B164" s="140">
        <v>41</v>
      </c>
      <c r="C164" t="s">
        <v>311</v>
      </c>
      <c r="D164" s="136" t="s">
        <v>1770</v>
      </c>
      <c r="E164" t="s">
        <v>1771</v>
      </c>
      <c r="F164" s="650" t="s">
        <v>1186</v>
      </c>
      <c r="H164" s="140">
        <v>41</v>
      </c>
      <c r="I164" t="s">
        <v>311</v>
      </c>
      <c r="J164" s="136" t="s">
        <v>1770</v>
      </c>
      <c r="K164" t="s">
        <v>1771</v>
      </c>
      <c r="L164" s="650" t="s">
        <v>1186</v>
      </c>
      <c r="N164" s="651">
        <v>493</v>
      </c>
      <c r="O164" s="145" t="s">
        <v>2588</v>
      </c>
      <c r="P164" s="733" t="s">
        <v>2589</v>
      </c>
      <c r="Q164" s="145" t="s">
        <v>2590</v>
      </c>
      <c r="R164" s="734" t="s">
        <v>1186</v>
      </c>
      <c r="S164" s="145">
        <f t="shared" si="2"/>
        <v>5</v>
      </c>
    </row>
    <row r="165" spans="2:19">
      <c r="B165" s="140">
        <v>41</v>
      </c>
      <c r="C165" t="s">
        <v>552</v>
      </c>
      <c r="F165" s="650" t="s">
        <v>1186</v>
      </c>
      <c r="H165" s="140">
        <v>41</v>
      </c>
      <c r="I165" t="s">
        <v>552</v>
      </c>
      <c r="L165" s="650" t="s">
        <v>1186</v>
      </c>
      <c r="N165" s="651">
        <v>494</v>
      </c>
      <c r="O165" s="145" t="s">
        <v>1574</v>
      </c>
      <c r="P165" s="733" t="s">
        <v>2592</v>
      </c>
      <c r="Q165" s="145" t="s">
        <v>457</v>
      </c>
      <c r="R165" s="734" t="s">
        <v>1186</v>
      </c>
      <c r="S165" s="145">
        <f t="shared" si="2"/>
        <v>5</v>
      </c>
    </row>
    <row r="166" spans="2:19">
      <c r="B166" s="140">
        <v>44</v>
      </c>
      <c r="C166" t="s">
        <v>312</v>
      </c>
      <c r="D166" s="136" t="s">
        <v>1773</v>
      </c>
      <c r="E166" t="s">
        <v>661</v>
      </c>
      <c r="F166" s="650" t="s">
        <v>1186</v>
      </c>
      <c r="H166" s="140">
        <v>44</v>
      </c>
      <c r="I166" t="s">
        <v>312</v>
      </c>
      <c r="J166" s="136" t="s">
        <v>1773</v>
      </c>
      <c r="K166" t="s">
        <v>661</v>
      </c>
      <c r="L166" s="650" t="s">
        <v>1186</v>
      </c>
      <c r="N166" s="651">
        <v>555</v>
      </c>
      <c r="O166" s="145" t="s">
        <v>1197</v>
      </c>
      <c r="P166" s="733" t="s">
        <v>2594</v>
      </c>
      <c r="Q166" s="145" t="s">
        <v>2595</v>
      </c>
      <c r="R166" s="734" t="s">
        <v>1186</v>
      </c>
      <c r="S166" s="145">
        <f t="shared" si="2"/>
        <v>5</v>
      </c>
    </row>
    <row r="167" spans="2:19">
      <c r="B167" s="140">
        <v>44</v>
      </c>
      <c r="C167" t="s">
        <v>312</v>
      </c>
      <c r="D167" s="136" t="s">
        <v>1774</v>
      </c>
      <c r="E167" t="s">
        <v>1775</v>
      </c>
      <c r="F167" s="650" t="s">
        <v>1186</v>
      </c>
      <c r="H167" s="140">
        <v>44</v>
      </c>
      <c r="I167" t="s">
        <v>312</v>
      </c>
      <c r="J167" s="136" t="s">
        <v>1774</v>
      </c>
      <c r="K167" t="s">
        <v>1775</v>
      </c>
      <c r="L167" s="650" t="s">
        <v>1186</v>
      </c>
      <c r="N167" s="651">
        <v>139</v>
      </c>
      <c r="O167" s="145" t="s">
        <v>2597</v>
      </c>
      <c r="P167" s="733" t="s">
        <v>1228</v>
      </c>
      <c r="Q167" s="145" t="s">
        <v>459</v>
      </c>
      <c r="R167" s="734" t="s">
        <v>1186</v>
      </c>
      <c r="S167" s="145">
        <f t="shared" si="2"/>
        <v>5</v>
      </c>
    </row>
    <row r="168" spans="2:19">
      <c r="B168" s="140">
        <v>44</v>
      </c>
      <c r="C168" t="s">
        <v>312</v>
      </c>
      <c r="D168" s="136" t="s">
        <v>1776</v>
      </c>
      <c r="E168" t="s">
        <v>663</v>
      </c>
      <c r="F168" s="650" t="s">
        <v>1186</v>
      </c>
      <c r="H168" s="140">
        <v>44</v>
      </c>
      <c r="I168" t="s">
        <v>312</v>
      </c>
      <c r="J168" s="136" t="s">
        <v>1776</v>
      </c>
      <c r="K168" t="s">
        <v>663</v>
      </c>
      <c r="L168" s="650" t="s">
        <v>1186</v>
      </c>
      <c r="N168" s="651">
        <v>596</v>
      </c>
      <c r="O168" s="145" t="s">
        <v>1198</v>
      </c>
      <c r="P168" s="733" t="s">
        <v>2599</v>
      </c>
      <c r="Q168" s="145" t="s">
        <v>2600</v>
      </c>
      <c r="R168" s="734" t="s">
        <v>1186</v>
      </c>
      <c r="S168" s="145">
        <f t="shared" si="2"/>
        <v>5</v>
      </c>
    </row>
    <row r="169" spans="2:19">
      <c r="B169" s="140">
        <v>44</v>
      </c>
      <c r="C169" t="s">
        <v>552</v>
      </c>
      <c r="F169" s="650" t="s">
        <v>1186</v>
      </c>
      <c r="H169" s="140">
        <v>44</v>
      </c>
      <c r="I169" t="s">
        <v>552</v>
      </c>
      <c r="L169" s="650" t="s">
        <v>1186</v>
      </c>
      <c r="N169" s="651">
        <v>201</v>
      </c>
      <c r="O169" s="145" t="s">
        <v>2602</v>
      </c>
      <c r="P169" s="733" t="s">
        <v>2603</v>
      </c>
      <c r="Q169" s="145" t="s">
        <v>2604</v>
      </c>
      <c r="R169" s="734" t="s">
        <v>1186</v>
      </c>
      <c r="S169" s="145">
        <f t="shared" si="2"/>
        <v>5</v>
      </c>
    </row>
    <row r="170" spans="2:19">
      <c r="B170" s="140">
        <v>52</v>
      </c>
      <c r="C170" t="s">
        <v>313</v>
      </c>
      <c r="D170" s="136" t="s">
        <v>1778</v>
      </c>
      <c r="E170" t="s">
        <v>664</v>
      </c>
      <c r="F170" s="650">
        <v>27</v>
      </c>
      <c r="H170" s="140">
        <v>52</v>
      </c>
      <c r="I170" t="s">
        <v>313</v>
      </c>
      <c r="J170" s="136" t="s">
        <v>1778</v>
      </c>
      <c r="K170" t="s">
        <v>664</v>
      </c>
      <c r="L170" s="650">
        <v>27</v>
      </c>
      <c r="N170" s="651">
        <v>2</v>
      </c>
      <c r="O170" s="145" t="s">
        <v>2606</v>
      </c>
      <c r="P170" s="733" t="s">
        <v>1223</v>
      </c>
      <c r="Q170" s="145" t="s">
        <v>2607</v>
      </c>
      <c r="R170" s="734" t="s">
        <v>1186</v>
      </c>
      <c r="S170" s="145">
        <f t="shared" si="2"/>
        <v>5</v>
      </c>
    </row>
    <row r="171" spans="2:19">
      <c r="B171" s="140">
        <v>52</v>
      </c>
      <c r="C171" t="s">
        <v>313</v>
      </c>
      <c r="D171" s="136" t="s">
        <v>1779</v>
      </c>
      <c r="E171" t="s">
        <v>665</v>
      </c>
      <c r="F171" s="650">
        <v>63</v>
      </c>
      <c r="H171" s="140">
        <v>52</v>
      </c>
      <c r="I171" t="s">
        <v>313</v>
      </c>
      <c r="J171" s="136" t="s">
        <v>1779</v>
      </c>
      <c r="K171" t="s">
        <v>665</v>
      </c>
      <c r="L171" s="650">
        <v>63</v>
      </c>
      <c r="N171" s="651">
        <v>771</v>
      </c>
      <c r="O171" s="145" t="s">
        <v>2609</v>
      </c>
      <c r="P171" s="733" t="s">
        <v>2610</v>
      </c>
      <c r="Q171" s="145" t="s">
        <v>2611</v>
      </c>
      <c r="R171" s="734" t="s">
        <v>1186</v>
      </c>
      <c r="S171" s="145">
        <f t="shared" si="2"/>
        <v>5</v>
      </c>
    </row>
    <row r="172" spans="2:19">
      <c r="B172" s="140">
        <v>52</v>
      </c>
      <c r="C172" t="s">
        <v>313</v>
      </c>
      <c r="D172" s="136" t="s">
        <v>1780</v>
      </c>
      <c r="E172" t="s">
        <v>539</v>
      </c>
      <c r="F172" s="650">
        <v>30</v>
      </c>
      <c r="H172" s="140">
        <v>52</v>
      </c>
      <c r="I172" t="s">
        <v>313</v>
      </c>
      <c r="J172" s="136" t="s">
        <v>1780</v>
      </c>
      <c r="K172" t="s">
        <v>539</v>
      </c>
      <c r="L172" s="650">
        <v>30</v>
      </c>
      <c r="N172" s="651">
        <v>2</v>
      </c>
      <c r="O172" s="145" t="s">
        <v>2613</v>
      </c>
      <c r="P172" s="733" t="s">
        <v>1224</v>
      </c>
      <c r="Q172" s="145" t="s">
        <v>456</v>
      </c>
      <c r="R172" s="734">
        <v>17</v>
      </c>
      <c r="S172" s="145">
        <f t="shared" si="2"/>
        <v>17</v>
      </c>
    </row>
    <row r="173" spans="2:19">
      <c r="B173" s="140">
        <v>52</v>
      </c>
      <c r="C173" t="s">
        <v>313</v>
      </c>
      <c r="D173" s="136" t="s">
        <v>1781</v>
      </c>
      <c r="E173" t="s">
        <v>667</v>
      </c>
      <c r="F173" s="650">
        <v>32</v>
      </c>
      <c r="H173" s="140">
        <v>52</v>
      </c>
      <c r="I173" t="s">
        <v>313</v>
      </c>
      <c r="J173" s="136" t="s">
        <v>1781</v>
      </c>
      <c r="K173" t="s">
        <v>667</v>
      </c>
      <c r="L173" s="650">
        <v>32</v>
      </c>
      <c r="N173" s="651">
        <v>790</v>
      </c>
      <c r="O173" s="145" t="s">
        <v>2615</v>
      </c>
      <c r="P173" s="733" t="s">
        <v>1232</v>
      </c>
      <c r="Q173" s="145" t="s">
        <v>461</v>
      </c>
      <c r="R173" s="734" t="s">
        <v>1186</v>
      </c>
      <c r="S173" s="145">
        <f t="shared" si="2"/>
        <v>5</v>
      </c>
    </row>
    <row r="174" spans="2:19">
      <c r="B174" s="140">
        <v>52</v>
      </c>
      <c r="C174" t="s">
        <v>313</v>
      </c>
      <c r="D174" s="136" t="s">
        <v>1782</v>
      </c>
      <c r="E174" t="s">
        <v>669</v>
      </c>
      <c r="F174" s="650">
        <v>20</v>
      </c>
      <c r="H174" s="140">
        <v>52</v>
      </c>
      <c r="I174" t="s">
        <v>313</v>
      </c>
      <c r="J174" s="136" t="s">
        <v>1782</v>
      </c>
      <c r="K174" t="s">
        <v>669</v>
      </c>
      <c r="L174" s="650">
        <v>20</v>
      </c>
      <c r="N174" s="651">
        <v>221</v>
      </c>
      <c r="O174" s="145" t="s">
        <v>2617</v>
      </c>
      <c r="P174" s="733" t="s">
        <v>2618</v>
      </c>
      <c r="Q174" s="145" t="s">
        <v>2619</v>
      </c>
      <c r="R174" s="734">
        <v>10</v>
      </c>
      <c r="S174" s="145">
        <f t="shared" si="2"/>
        <v>10</v>
      </c>
    </row>
    <row r="175" spans="2:19">
      <c r="B175" s="140">
        <v>52</v>
      </c>
      <c r="C175" t="s">
        <v>313</v>
      </c>
      <c r="D175" s="136" t="s">
        <v>1783</v>
      </c>
      <c r="E175" t="s">
        <v>670</v>
      </c>
      <c r="F175" s="650">
        <v>29</v>
      </c>
      <c r="H175" s="140">
        <v>52</v>
      </c>
      <c r="I175" t="s">
        <v>313</v>
      </c>
      <c r="J175" s="136" t="s">
        <v>1783</v>
      </c>
      <c r="K175" t="s">
        <v>670</v>
      </c>
      <c r="L175" s="650">
        <v>29</v>
      </c>
      <c r="N175" s="651">
        <v>795</v>
      </c>
      <c r="O175" s="145" t="s">
        <v>2621</v>
      </c>
      <c r="P175" s="733" t="s">
        <v>1226</v>
      </c>
      <c r="Q175" s="145" t="s">
        <v>458</v>
      </c>
      <c r="R175" s="734" t="s">
        <v>1186</v>
      </c>
      <c r="S175" s="145">
        <f t="shared" si="2"/>
        <v>5</v>
      </c>
    </row>
    <row r="176" spans="2:19">
      <c r="B176" s="140">
        <v>52</v>
      </c>
      <c r="C176" t="s">
        <v>552</v>
      </c>
      <c r="F176" s="650">
        <v>201</v>
      </c>
      <c r="H176" s="140">
        <v>52</v>
      </c>
      <c r="I176" t="s">
        <v>552</v>
      </c>
      <c r="L176" s="650">
        <v>201</v>
      </c>
      <c r="N176" s="651">
        <v>281</v>
      </c>
      <c r="O176" s="145" t="s">
        <v>2623</v>
      </c>
      <c r="P176" s="733" t="s">
        <v>1230</v>
      </c>
      <c r="Q176" s="145" t="s">
        <v>460</v>
      </c>
      <c r="R176" s="734" t="s">
        <v>1186</v>
      </c>
      <c r="S176" s="145">
        <f t="shared" si="2"/>
        <v>5</v>
      </c>
    </row>
    <row r="177" spans="2:19">
      <c r="B177" s="140">
        <v>55</v>
      </c>
      <c r="C177" t="s">
        <v>314</v>
      </c>
      <c r="D177" s="136" t="s">
        <v>1785</v>
      </c>
      <c r="E177" t="s">
        <v>672</v>
      </c>
      <c r="F177" s="650">
        <v>101</v>
      </c>
      <c r="H177" s="140">
        <v>55</v>
      </c>
      <c r="I177" t="s">
        <v>314</v>
      </c>
      <c r="J177" s="136" t="s">
        <v>1785</v>
      </c>
      <c r="K177" t="s">
        <v>672</v>
      </c>
      <c r="L177" s="650">
        <v>101</v>
      </c>
      <c r="N177" s="651">
        <v>451</v>
      </c>
      <c r="O177" s="145" t="s">
        <v>1535</v>
      </c>
      <c r="P177" s="733" t="s">
        <v>2483</v>
      </c>
      <c r="Q177" s="145" t="s">
        <v>418</v>
      </c>
      <c r="R177" s="734" t="s">
        <v>1186</v>
      </c>
      <c r="S177" s="145">
        <f t="shared" si="2"/>
        <v>5</v>
      </c>
    </row>
    <row r="178" spans="2:19">
      <c r="B178" s="140">
        <v>55</v>
      </c>
      <c r="C178" t="s">
        <v>314</v>
      </c>
      <c r="D178" s="136" t="s">
        <v>1786</v>
      </c>
      <c r="E178" t="s">
        <v>673</v>
      </c>
      <c r="F178" s="650">
        <v>227</v>
      </c>
      <c r="H178" s="140">
        <v>55</v>
      </c>
      <c r="I178" t="s">
        <v>314</v>
      </c>
      <c r="J178" s="136" t="s">
        <v>1786</v>
      </c>
      <c r="K178" t="s">
        <v>673</v>
      </c>
      <c r="L178" s="650">
        <v>227</v>
      </c>
      <c r="N178" s="651">
        <v>452</v>
      </c>
      <c r="O178" s="145" t="s">
        <v>1536</v>
      </c>
      <c r="P178" s="733" t="s">
        <v>2485</v>
      </c>
      <c r="Q178" s="145" t="s">
        <v>419</v>
      </c>
      <c r="R178" s="734" t="s">
        <v>1186</v>
      </c>
      <c r="S178" s="145">
        <f t="shared" si="2"/>
        <v>5</v>
      </c>
    </row>
    <row r="179" spans="2:19">
      <c r="B179" s="140">
        <v>55</v>
      </c>
      <c r="C179" t="s">
        <v>314</v>
      </c>
      <c r="D179" s="136" t="s">
        <v>1787</v>
      </c>
      <c r="E179" t="s">
        <v>1788</v>
      </c>
      <c r="F179" s="650">
        <v>51</v>
      </c>
      <c r="H179" s="140">
        <v>55</v>
      </c>
      <c r="I179" t="s">
        <v>314</v>
      </c>
      <c r="J179" s="136" t="s">
        <v>1787</v>
      </c>
      <c r="K179" t="s">
        <v>1788</v>
      </c>
      <c r="L179" s="650">
        <v>51</v>
      </c>
      <c r="N179" s="651">
        <v>452</v>
      </c>
      <c r="O179" s="145" t="s">
        <v>1536</v>
      </c>
      <c r="P179" s="733" t="s">
        <v>2486</v>
      </c>
      <c r="Q179" s="145" t="s">
        <v>2487</v>
      </c>
      <c r="R179" s="734" t="s">
        <v>1186</v>
      </c>
      <c r="S179" s="145">
        <f t="shared" si="2"/>
        <v>5</v>
      </c>
    </row>
    <row r="180" spans="2:19">
      <c r="B180" s="140">
        <v>55</v>
      </c>
      <c r="C180" t="s">
        <v>314</v>
      </c>
      <c r="D180" s="136" t="s">
        <v>1789</v>
      </c>
      <c r="E180" t="s">
        <v>675</v>
      </c>
      <c r="F180" s="650">
        <v>73</v>
      </c>
      <c r="H180" s="140">
        <v>55</v>
      </c>
      <c r="I180" t="s">
        <v>314</v>
      </c>
      <c r="J180" s="136" t="s">
        <v>1789</v>
      </c>
      <c r="K180" t="s">
        <v>675</v>
      </c>
      <c r="L180" s="650">
        <v>73</v>
      </c>
      <c r="N180" s="651">
        <v>453</v>
      </c>
      <c r="O180" s="145" t="s">
        <v>2489</v>
      </c>
      <c r="P180" s="733" t="s">
        <v>2490</v>
      </c>
      <c r="Q180" s="145" t="s">
        <v>1143</v>
      </c>
      <c r="R180" s="734" t="s">
        <v>1186</v>
      </c>
      <c r="S180" s="145">
        <f t="shared" si="2"/>
        <v>5</v>
      </c>
    </row>
    <row r="181" spans="2:19">
      <c r="B181" s="140">
        <v>55</v>
      </c>
      <c r="C181" t="s">
        <v>314</v>
      </c>
      <c r="D181" s="136" t="s">
        <v>1790</v>
      </c>
      <c r="E181" t="s">
        <v>677</v>
      </c>
      <c r="F181" s="650">
        <v>17</v>
      </c>
      <c r="H181" s="140">
        <v>55</v>
      </c>
      <c r="I181" t="s">
        <v>314</v>
      </c>
      <c r="J181" s="136" t="s">
        <v>1790</v>
      </c>
      <c r="K181" t="s">
        <v>677</v>
      </c>
      <c r="L181" s="650">
        <v>17</v>
      </c>
      <c r="N181" s="651">
        <v>453</v>
      </c>
      <c r="O181" s="145" t="s">
        <v>2489</v>
      </c>
      <c r="P181" s="733" t="s">
        <v>2491</v>
      </c>
      <c r="Q181" s="145" t="s">
        <v>2492</v>
      </c>
      <c r="R181" s="734" t="s">
        <v>1186</v>
      </c>
      <c r="S181" s="145">
        <f t="shared" si="2"/>
        <v>5</v>
      </c>
    </row>
    <row r="182" spans="2:19">
      <c r="B182" s="140">
        <v>55</v>
      </c>
      <c r="C182" t="s">
        <v>314</v>
      </c>
      <c r="D182" s="136" t="s">
        <v>1791</v>
      </c>
      <c r="E182" t="s">
        <v>679</v>
      </c>
      <c r="F182" s="650">
        <v>77</v>
      </c>
      <c r="H182" s="140">
        <v>55</v>
      </c>
      <c r="I182" t="s">
        <v>314</v>
      </c>
      <c r="J182" s="136" t="s">
        <v>1791</v>
      </c>
      <c r="K182" t="s">
        <v>679</v>
      </c>
      <c r="L182" s="650">
        <v>77</v>
      </c>
      <c r="N182" s="651">
        <v>454</v>
      </c>
      <c r="O182" s="145" t="s">
        <v>1537</v>
      </c>
      <c r="P182" s="733" t="s">
        <v>2494</v>
      </c>
      <c r="Q182" s="145" t="s">
        <v>421</v>
      </c>
      <c r="R182" s="734" t="s">
        <v>1186</v>
      </c>
      <c r="S182" s="145">
        <f t="shared" si="2"/>
        <v>5</v>
      </c>
    </row>
    <row r="183" spans="2:19">
      <c r="B183" s="140">
        <v>55</v>
      </c>
      <c r="C183" t="s">
        <v>314</v>
      </c>
      <c r="D183" s="136" t="s">
        <v>1792</v>
      </c>
      <c r="E183" t="s">
        <v>680</v>
      </c>
      <c r="F183" s="650" t="s">
        <v>1186</v>
      </c>
      <c r="H183" s="140">
        <v>55</v>
      </c>
      <c r="I183" t="s">
        <v>314</v>
      </c>
      <c r="J183" s="136" t="s">
        <v>1792</v>
      </c>
      <c r="K183" t="s">
        <v>680</v>
      </c>
      <c r="L183" s="650" t="s">
        <v>1186</v>
      </c>
      <c r="N183" s="651">
        <v>455</v>
      </c>
      <c r="O183" s="145" t="s">
        <v>1538</v>
      </c>
      <c r="P183" s="733" t="s">
        <v>2496</v>
      </c>
      <c r="Q183" s="145" t="s">
        <v>1539</v>
      </c>
      <c r="R183" s="734" t="s">
        <v>1186</v>
      </c>
      <c r="S183" s="145">
        <f t="shared" si="2"/>
        <v>5</v>
      </c>
    </row>
    <row r="184" spans="2:19">
      <c r="B184" s="140">
        <v>55</v>
      </c>
      <c r="C184" t="s">
        <v>314</v>
      </c>
      <c r="D184" s="136" t="s">
        <v>1793</v>
      </c>
      <c r="E184" t="s">
        <v>682</v>
      </c>
      <c r="F184" s="650">
        <v>49</v>
      </c>
      <c r="H184" s="140">
        <v>55</v>
      </c>
      <c r="I184" t="s">
        <v>314</v>
      </c>
      <c r="J184" s="136" t="s">
        <v>1793</v>
      </c>
      <c r="K184" t="s">
        <v>682</v>
      </c>
      <c r="L184" s="650">
        <v>49</v>
      </c>
      <c r="N184" s="651">
        <v>455</v>
      </c>
      <c r="O184" s="145" t="s">
        <v>1538</v>
      </c>
      <c r="P184" s="733" t="s">
        <v>2497</v>
      </c>
      <c r="Q184" s="145" t="s">
        <v>2498</v>
      </c>
      <c r="R184" s="734" t="s">
        <v>1186</v>
      </c>
      <c r="S184" s="145">
        <f t="shared" si="2"/>
        <v>5</v>
      </c>
    </row>
    <row r="185" spans="2:19">
      <c r="B185" s="140">
        <v>55</v>
      </c>
      <c r="C185" t="s">
        <v>314</v>
      </c>
      <c r="D185" s="136" t="s">
        <v>1794</v>
      </c>
      <c r="E185" t="s">
        <v>683</v>
      </c>
      <c r="F185" s="650">
        <v>14</v>
      </c>
      <c r="H185" s="140">
        <v>55</v>
      </c>
      <c r="I185" t="s">
        <v>314</v>
      </c>
      <c r="J185" s="136" t="s">
        <v>1794</v>
      </c>
      <c r="K185" t="s">
        <v>683</v>
      </c>
      <c r="L185" s="650">
        <v>14</v>
      </c>
      <c r="N185" s="651">
        <v>456</v>
      </c>
      <c r="O185" s="145" t="s">
        <v>1540</v>
      </c>
      <c r="P185" s="733" t="s">
        <v>2500</v>
      </c>
      <c r="Q185" s="145" t="s">
        <v>423</v>
      </c>
      <c r="R185" s="734" t="s">
        <v>1186</v>
      </c>
      <c r="S185" s="145">
        <f t="shared" si="2"/>
        <v>5</v>
      </c>
    </row>
    <row r="186" spans="2:19">
      <c r="B186" s="140">
        <v>55</v>
      </c>
      <c r="C186" t="s">
        <v>314</v>
      </c>
      <c r="D186" s="136" t="s">
        <v>1795</v>
      </c>
      <c r="E186" t="s">
        <v>684</v>
      </c>
      <c r="F186" s="650">
        <v>43</v>
      </c>
      <c r="H186" s="140">
        <v>55</v>
      </c>
      <c r="I186" t="s">
        <v>314</v>
      </c>
      <c r="J186" s="136" t="s">
        <v>1795</v>
      </c>
      <c r="K186" t="s">
        <v>684</v>
      </c>
      <c r="L186" s="650">
        <v>43</v>
      </c>
      <c r="N186" s="651">
        <v>457</v>
      </c>
      <c r="O186" s="145" t="s">
        <v>1541</v>
      </c>
      <c r="P186" s="733" t="s">
        <v>2502</v>
      </c>
      <c r="Q186" s="145" t="s">
        <v>2503</v>
      </c>
      <c r="R186" s="734" t="s">
        <v>1186</v>
      </c>
      <c r="S186" s="145">
        <f t="shared" si="2"/>
        <v>5</v>
      </c>
    </row>
    <row r="187" spans="2:19">
      <c r="B187" s="140">
        <v>55</v>
      </c>
      <c r="C187" t="s">
        <v>314</v>
      </c>
      <c r="D187" s="136" t="s">
        <v>1796</v>
      </c>
      <c r="E187" t="s">
        <v>1797</v>
      </c>
      <c r="F187" s="650" t="s">
        <v>1186</v>
      </c>
      <c r="H187" s="140">
        <v>55</v>
      </c>
      <c r="I187" t="s">
        <v>314</v>
      </c>
      <c r="J187" s="136" t="s">
        <v>1796</v>
      </c>
      <c r="K187" t="s">
        <v>1797</v>
      </c>
      <c r="L187" s="650" t="s">
        <v>1186</v>
      </c>
      <c r="N187" s="651">
        <v>458</v>
      </c>
      <c r="O187" s="145" t="s">
        <v>1542</v>
      </c>
      <c r="P187" s="733" t="s">
        <v>2505</v>
      </c>
      <c r="Q187" s="145" t="s">
        <v>1150</v>
      </c>
      <c r="R187" s="734" t="s">
        <v>1186</v>
      </c>
      <c r="S187" s="145">
        <f t="shared" si="2"/>
        <v>5</v>
      </c>
    </row>
    <row r="188" spans="2:19">
      <c r="B188" s="140">
        <v>55</v>
      </c>
      <c r="C188" t="s">
        <v>314</v>
      </c>
      <c r="D188" s="136" t="s">
        <v>1798</v>
      </c>
      <c r="E188" t="s">
        <v>1799</v>
      </c>
      <c r="F188" s="650">
        <v>48</v>
      </c>
      <c r="H188" s="140">
        <v>55</v>
      </c>
      <c r="I188" t="s">
        <v>314</v>
      </c>
      <c r="J188" s="136" t="s">
        <v>1798</v>
      </c>
      <c r="K188" t="s">
        <v>1799</v>
      </c>
      <c r="L188" s="650">
        <v>48</v>
      </c>
      <c r="N188" s="651">
        <v>460</v>
      </c>
      <c r="O188" s="145" t="s">
        <v>1543</v>
      </c>
      <c r="P188" s="733" t="s">
        <v>2507</v>
      </c>
      <c r="Q188" s="145" t="s">
        <v>2508</v>
      </c>
      <c r="R188" s="734" t="s">
        <v>1186</v>
      </c>
      <c r="S188" s="145">
        <f t="shared" si="2"/>
        <v>5</v>
      </c>
    </row>
    <row r="189" spans="2:19">
      <c r="B189" s="140">
        <v>55</v>
      </c>
      <c r="C189" t="s">
        <v>552</v>
      </c>
      <c r="F189" s="650">
        <v>715</v>
      </c>
      <c r="H189" s="140">
        <v>55</v>
      </c>
      <c r="I189" t="s">
        <v>552</v>
      </c>
      <c r="L189" s="650">
        <v>715</v>
      </c>
      <c r="N189" s="651">
        <v>461</v>
      </c>
      <c r="O189" s="145" t="s">
        <v>1544</v>
      </c>
      <c r="P189" s="733" t="s">
        <v>2510</v>
      </c>
      <c r="Q189" s="145" t="s">
        <v>1153</v>
      </c>
      <c r="R189" s="734" t="s">
        <v>1186</v>
      </c>
      <c r="S189" s="145">
        <f t="shared" si="2"/>
        <v>5</v>
      </c>
    </row>
    <row r="190" spans="2:19">
      <c r="B190" s="140">
        <v>58</v>
      </c>
      <c r="C190" t="s">
        <v>315</v>
      </c>
      <c r="D190" s="136" t="s">
        <v>1801</v>
      </c>
      <c r="E190" t="s">
        <v>686</v>
      </c>
      <c r="F190" s="650">
        <v>94</v>
      </c>
      <c r="H190" s="140">
        <v>58</v>
      </c>
      <c r="I190" t="s">
        <v>315</v>
      </c>
      <c r="J190" s="136" t="s">
        <v>1801</v>
      </c>
      <c r="K190" t="s">
        <v>686</v>
      </c>
      <c r="L190" s="650">
        <v>94</v>
      </c>
      <c r="N190" s="651">
        <v>462</v>
      </c>
      <c r="O190" s="145" t="s">
        <v>1545</v>
      </c>
      <c r="P190" s="733" t="s">
        <v>2512</v>
      </c>
      <c r="Q190" s="145" t="s">
        <v>427</v>
      </c>
      <c r="R190" s="734" t="s">
        <v>1186</v>
      </c>
      <c r="S190" s="145">
        <f t="shared" si="2"/>
        <v>5</v>
      </c>
    </row>
    <row r="191" spans="2:19">
      <c r="B191" s="140">
        <v>58</v>
      </c>
      <c r="C191" t="s">
        <v>315</v>
      </c>
      <c r="D191" s="136" t="s">
        <v>1802</v>
      </c>
      <c r="E191" t="s">
        <v>687</v>
      </c>
      <c r="F191" s="650">
        <v>170</v>
      </c>
      <c r="H191" s="140">
        <v>58</v>
      </c>
      <c r="I191" t="s">
        <v>315</v>
      </c>
      <c r="J191" s="136" t="s">
        <v>1802</v>
      </c>
      <c r="K191" t="s">
        <v>687</v>
      </c>
      <c r="L191" s="650">
        <v>170</v>
      </c>
      <c r="N191" s="651">
        <v>463</v>
      </c>
      <c r="O191" s="145" t="s">
        <v>1546</v>
      </c>
      <c r="P191" s="733" t="s">
        <v>2514</v>
      </c>
      <c r="Q191" s="145" t="s">
        <v>428</v>
      </c>
      <c r="R191" s="734" t="s">
        <v>1186</v>
      </c>
      <c r="S191" s="145">
        <f t="shared" si="2"/>
        <v>5</v>
      </c>
    </row>
    <row r="192" spans="2:19">
      <c r="B192" s="140">
        <v>58</v>
      </c>
      <c r="C192" t="s">
        <v>315</v>
      </c>
      <c r="D192" s="136" t="s">
        <v>1803</v>
      </c>
      <c r="E192" t="s">
        <v>688</v>
      </c>
      <c r="F192" s="650">
        <v>84</v>
      </c>
      <c r="H192" s="140">
        <v>58</v>
      </c>
      <c r="I192" t="s">
        <v>315</v>
      </c>
      <c r="J192" s="136" t="s">
        <v>1803</v>
      </c>
      <c r="K192" t="s">
        <v>688</v>
      </c>
      <c r="L192" s="650">
        <v>84</v>
      </c>
      <c r="N192" s="651">
        <v>464</v>
      </c>
      <c r="O192" s="145" t="s">
        <v>1547</v>
      </c>
      <c r="P192" s="733" t="s">
        <v>2516</v>
      </c>
      <c r="Q192" s="145" t="s">
        <v>429</v>
      </c>
      <c r="R192" s="734" t="s">
        <v>1186</v>
      </c>
      <c r="S192" s="145">
        <f t="shared" si="2"/>
        <v>5</v>
      </c>
    </row>
    <row r="193" spans="2:19">
      <c r="B193" s="140">
        <v>58</v>
      </c>
      <c r="C193" t="s">
        <v>552</v>
      </c>
      <c r="F193" s="650">
        <v>348</v>
      </c>
      <c r="H193" s="140">
        <v>58</v>
      </c>
      <c r="I193" t="s">
        <v>552</v>
      </c>
      <c r="L193" s="650">
        <v>348</v>
      </c>
      <c r="N193" s="651">
        <v>465</v>
      </c>
      <c r="O193" s="145" t="s">
        <v>1548</v>
      </c>
      <c r="P193" s="733" t="s">
        <v>2518</v>
      </c>
      <c r="Q193" s="145" t="s">
        <v>430</v>
      </c>
      <c r="R193" s="734">
        <v>36</v>
      </c>
      <c r="S193" s="145">
        <f t="shared" si="2"/>
        <v>36</v>
      </c>
    </row>
    <row r="194" spans="2:19">
      <c r="B194" s="140">
        <v>59</v>
      </c>
      <c r="C194" t="s">
        <v>316</v>
      </c>
      <c r="D194" s="136" t="s">
        <v>1805</v>
      </c>
      <c r="E194" t="s">
        <v>689</v>
      </c>
      <c r="F194" s="650" t="s">
        <v>1186</v>
      </c>
      <c r="H194" s="140">
        <v>59</v>
      </c>
      <c r="I194" t="s">
        <v>316</v>
      </c>
      <c r="J194" s="136" t="s">
        <v>1805</v>
      </c>
      <c r="K194" t="s">
        <v>689</v>
      </c>
      <c r="L194" s="650" t="s">
        <v>1186</v>
      </c>
      <c r="N194" s="651">
        <v>466</v>
      </c>
      <c r="O194" s="145" t="s">
        <v>1549</v>
      </c>
      <c r="P194" s="733" t="s">
        <v>2520</v>
      </c>
      <c r="Q194" s="145" t="s">
        <v>431</v>
      </c>
      <c r="R194" s="734" t="s">
        <v>1186</v>
      </c>
      <c r="S194" s="145">
        <f t="shared" si="2"/>
        <v>5</v>
      </c>
    </row>
    <row r="195" spans="2:19">
      <c r="B195" s="140">
        <v>59</v>
      </c>
      <c r="C195" t="s">
        <v>316</v>
      </c>
      <c r="D195" s="136" t="s">
        <v>1806</v>
      </c>
      <c r="E195" t="s">
        <v>690</v>
      </c>
      <c r="F195" s="650">
        <v>13</v>
      </c>
      <c r="H195" s="140">
        <v>59</v>
      </c>
      <c r="I195" t="s">
        <v>316</v>
      </c>
      <c r="J195" s="136" t="s">
        <v>1806</v>
      </c>
      <c r="K195" t="s">
        <v>690</v>
      </c>
      <c r="L195" s="650">
        <v>13</v>
      </c>
      <c r="N195" s="651">
        <v>468</v>
      </c>
      <c r="O195" s="145" t="s">
        <v>1550</v>
      </c>
      <c r="P195" s="733" t="s">
        <v>2522</v>
      </c>
      <c r="Q195" s="145" t="s">
        <v>2523</v>
      </c>
      <c r="R195" s="734" t="s">
        <v>1186</v>
      </c>
      <c r="S195" s="145">
        <f t="shared" si="2"/>
        <v>5</v>
      </c>
    </row>
    <row r="196" spans="2:19">
      <c r="B196" s="140">
        <v>59</v>
      </c>
      <c r="C196" t="s">
        <v>316</v>
      </c>
      <c r="D196" s="136" t="s">
        <v>1807</v>
      </c>
      <c r="E196" t="s">
        <v>692</v>
      </c>
      <c r="F196" s="650" t="s">
        <v>1186</v>
      </c>
      <c r="H196" s="140">
        <v>59</v>
      </c>
      <c r="I196" t="s">
        <v>316</v>
      </c>
      <c r="J196" s="136" t="s">
        <v>1807</v>
      </c>
      <c r="K196" t="s">
        <v>692</v>
      </c>
      <c r="L196" s="650" t="s">
        <v>1186</v>
      </c>
      <c r="N196" s="651">
        <v>469</v>
      </c>
      <c r="O196" s="145" t="s">
        <v>2525</v>
      </c>
      <c r="P196" s="733" t="s">
        <v>2526</v>
      </c>
      <c r="Q196" s="145" t="s">
        <v>2527</v>
      </c>
      <c r="R196" s="734" t="s">
        <v>1186</v>
      </c>
      <c r="S196" s="145">
        <f t="shared" ref="S196:S234" si="3">IF(ISNUMBER(R196),R196, 5)</f>
        <v>5</v>
      </c>
    </row>
    <row r="197" spans="2:19">
      <c r="B197" s="140">
        <v>59</v>
      </c>
      <c r="C197" t="s">
        <v>552</v>
      </c>
      <c r="F197" s="650">
        <v>29</v>
      </c>
      <c r="H197" s="140">
        <v>59</v>
      </c>
      <c r="I197" t="s">
        <v>552</v>
      </c>
      <c r="L197" s="650">
        <v>29</v>
      </c>
      <c r="N197" s="651">
        <v>469</v>
      </c>
      <c r="O197" s="145" t="s">
        <v>2525</v>
      </c>
      <c r="P197" s="733" t="s">
        <v>2528</v>
      </c>
      <c r="Q197" s="145" t="s">
        <v>2529</v>
      </c>
      <c r="R197" s="734" t="s">
        <v>1186</v>
      </c>
      <c r="S197" s="145">
        <f t="shared" si="3"/>
        <v>5</v>
      </c>
    </row>
    <row r="198" spans="2:19">
      <c r="B198" s="140">
        <v>60</v>
      </c>
      <c r="C198" t="s">
        <v>317</v>
      </c>
      <c r="D198" s="136" t="s">
        <v>1809</v>
      </c>
      <c r="E198" t="s">
        <v>694</v>
      </c>
      <c r="F198" s="650">
        <v>43</v>
      </c>
      <c r="H198" s="140">
        <v>60</v>
      </c>
      <c r="I198" t="s">
        <v>317</v>
      </c>
      <c r="J198" s="136" t="s">
        <v>1809</v>
      </c>
      <c r="K198" t="s">
        <v>694</v>
      </c>
      <c r="L198" s="650">
        <v>43</v>
      </c>
      <c r="N198" s="651">
        <v>470</v>
      </c>
      <c r="O198" s="145" t="s">
        <v>1551</v>
      </c>
      <c r="P198" s="733" t="s">
        <v>2531</v>
      </c>
      <c r="Q198" s="145" t="s">
        <v>2532</v>
      </c>
      <c r="R198" s="734" t="s">
        <v>1186</v>
      </c>
      <c r="S198" s="145">
        <f t="shared" si="3"/>
        <v>5</v>
      </c>
    </row>
    <row r="199" spans="2:19">
      <c r="B199" s="140">
        <v>60</v>
      </c>
      <c r="C199" t="s">
        <v>317</v>
      </c>
      <c r="D199" s="136" t="s">
        <v>1810</v>
      </c>
      <c r="E199" t="s">
        <v>695</v>
      </c>
      <c r="F199" s="650">
        <v>25</v>
      </c>
      <c r="H199" s="140">
        <v>60</v>
      </c>
      <c r="I199" t="s">
        <v>317</v>
      </c>
      <c r="J199" s="136" t="s">
        <v>1810</v>
      </c>
      <c r="K199" t="s">
        <v>695</v>
      </c>
      <c r="L199" s="650">
        <v>25</v>
      </c>
      <c r="N199" s="651">
        <v>472</v>
      </c>
      <c r="O199" s="145" t="s">
        <v>1554</v>
      </c>
      <c r="P199" s="733" t="s">
        <v>2534</v>
      </c>
      <c r="Q199" s="145" t="s">
        <v>2535</v>
      </c>
      <c r="R199" s="734" t="s">
        <v>1186</v>
      </c>
      <c r="S199" s="145">
        <f t="shared" si="3"/>
        <v>5</v>
      </c>
    </row>
    <row r="200" spans="2:19">
      <c r="B200" s="140">
        <v>60</v>
      </c>
      <c r="C200" t="s">
        <v>317</v>
      </c>
      <c r="D200" s="136" t="s">
        <v>1811</v>
      </c>
      <c r="E200" t="s">
        <v>696</v>
      </c>
      <c r="F200" s="650">
        <v>37</v>
      </c>
      <c r="H200" s="140">
        <v>60</v>
      </c>
      <c r="I200" t="s">
        <v>317</v>
      </c>
      <c r="J200" s="136" t="s">
        <v>1811</v>
      </c>
      <c r="K200" t="s">
        <v>696</v>
      </c>
      <c r="L200" s="650">
        <v>37</v>
      </c>
      <c r="N200" s="651">
        <v>473</v>
      </c>
      <c r="O200" s="145" t="s">
        <v>1555</v>
      </c>
      <c r="P200" s="733" t="s">
        <v>2537</v>
      </c>
      <c r="Q200" s="145" t="s">
        <v>436</v>
      </c>
      <c r="R200" s="734" t="s">
        <v>1186</v>
      </c>
      <c r="S200" s="145">
        <f t="shared" si="3"/>
        <v>5</v>
      </c>
    </row>
    <row r="201" spans="2:19">
      <c r="B201" s="140">
        <v>60</v>
      </c>
      <c r="C201" t="s">
        <v>317</v>
      </c>
      <c r="D201" s="136" t="s">
        <v>1812</v>
      </c>
      <c r="E201" t="s">
        <v>698</v>
      </c>
      <c r="F201" s="650">
        <v>25</v>
      </c>
      <c r="H201" s="140">
        <v>60</v>
      </c>
      <c r="I201" t="s">
        <v>317</v>
      </c>
      <c r="J201" s="136" t="s">
        <v>1812</v>
      </c>
      <c r="K201" t="s">
        <v>698</v>
      </c>
      <c r="L201" s="650">
        <v>25</v>
      </c>
      <c r="N201" s="651">
        <v>474</v>
      </c>
      <c r="O201" s="145" t="s">
        <v>1556</v>
      </c>
      <c r="P201" s="733" t="s">
        <v>2539</v>
      </c>
      <c r="Q201" s="145" t="s">
        <v>1162</v>
      </c>
      <c r="R201" s="734" t="s">
        <v>1186</v>
      </c>
      <c r="S201" s="145">
        <f t="shared" si="3"/>
        <v>5</v>
      </c>
    </row>
    <row r="202" spans="2:19">
      <c r="B202" s="140">
        <v>60</v>
      </c>
      <c r="C202" t="s">
        <v>317</v>
      </c>
      <c r="D202" s="136" t="s">
        <v>1813</v>
      </c>
      <c r="E202" t="s">
        <v>1814</v>
      </c>
      <c r="F202" s="650">
        <v>24</v>
      </c>
      <c r="H202" s="140">
        <v>60</v>
      </c>
      <c r="I202" t="s">
        <v>317</v>
      </c>
      <c r="J202" s="136" t="s">
        <v>1813</v>
      </c>
      <c r="K202" t="s">
        <v>1814</v>
      </c>
      <c r="L202" s="650">
        <v>24</v>
      </c>
      <c r="N202" s="651">
        <v>475</v>
      </c>
      <c r="O202" s="145" t="s">
        <v>1557</v>
      </c>
      <c r="P202" s="733" t="s">
        <v>2541</v>
      </c>
      <c r="Q202" s="145" t="s">
        <v>438</v>
      </c>
      <c r="R202" s="734" t="s">
        <v>1186</v>
      </c>
      <c r="S202" s="145">
        <f t="shared" si="3"/>
        <v>5</v>
      </c>
    </row>
    <row r="203" spans="2:19">
      <c r="B203" s="140">
        <v>60</v>
      </c>
      <c r="C203" t="s">
        <v>552</v>
      </c>
      <c r="F203" s="650">
        <v>154</v>
      </c>
      <c r="H203" s="140">
        <v>60</v>
      </c>
      <c r="I203" t="s">
        <v>552</v>
      </c>
      <c r="L203" s="650">
        <v>154</v>
      </c>
      <c r="N203" s="651">
        <v>476</v>
      </c>
      <c r="O203" s="145" t="s">
        <v>1558</v>
      </c>
      <c r="P203" s="733" t="s">
        <v>2543</v>
      </c>
      <c r="Q203" s="145" t="s">
        <v>1165</v>
      </c>
      <c r="R203" s="734">
        <v>14</v>
      </c>
      <c r="S203" s="145">
        <f t="shared" si="3"/>
        <v>14</v>
      </c>
    </row>
    <row r="204" spans="2:19">
      <c r="B204" s="140">
        <v>61</v>
      </c>
      <c r="C204" t="s">
        <v>318</v>
      </c>
      <c r="D204" s="136" t="s">
        <v>1816</v>
      </c>
      <c r="E204" t="s">
        <v>700</v>
      </c>
      <c r="F204" s="650">
        <v>277</v>
      </c>
      <c r="H204" s="140">
        <v>61</v>
      </c>
      <c r="I204" t="s">
        <v>318</v>
      </c>
      <c r="J204" s="136" t="s">
        <v>1816</v>
      </c>
      <c r="K204" t="s">
        <v>700</v>
      </c>
      <c r="L204" s="650">
        <v>277</v>
      </c>
      <c r="N204" s="651">
        <v>477</v>
      </c>
      <c r="O204" s="145" t="s">
        <v>1559</v>
      </c>
      <c r="P204" s="733" t="s">
        <v>2545</v>
      </c>
      <c r="Q204" s="145" t="s">
        <v>2546</v>
      </c>
      <c r="R204" s="734">
        <v>10</v>
      </c>
      <c r="S204" s="145">
        <f t="shared" si="3"/>
        <v>10</v>
      </c>
    </row>
    <row r="205" spans="2:19">
      <c r="B205" s="140">
        <v>61</v>
      </c>
      <c r="C205" t="s">
        <v>318</v>
      </c>
      <c r="D205" s="136" t="s">
        <v>1817</v>
      </c>
      <c r="E205" t="s">
        <v>701</v>
      </c>
      <c r="F205" s="650">
        <v>45</v>
      </c>
      <c r="H205" s="140">
        <v>61</v>
      </c>
      <c r="I205" t="s">
        <v>318</v>
      </c>
      <c r="J205" s="136" t="s">
        <v>1817</v>
      </c>
      <c r="K205" t="s">
        <v>701</v>
      </c>
      <c r="L205" s="650">
        <v>45</v>
      </c>
      <c r="N205" s="651">
        <v>478</v>
      </c>
      <c r="O205" s="145" t="s">
        <v>1560</v>
      </c>
      <c r="P205" s="733" t="s">
        <v>2548</v>
      </c>
      <c r="Q205" s="145" t="s">
        <v>441</v>
      </c>
      <c r="R205" s="734" t="s">
        <v>1186</v>
      </c>
      <c r="S205" s="145">
        <f t="shared" si="3"/>
        <v>5</v>
      </c>
    </row>
    <row r="206" spans="2:19">
      <c r="B206" s="140">
        <v>61</v>
      </c>
      <c r="C206" t="s">
        <v>318</v>
      </c>
      <c r="D206" s="136" t="s">
        <v>1818</v>
      </c>
      <c r="E206" t="s">
        <v>702</v>
      </c>
      <c r="F206" s="650">
        <v>35</v>
      </c>
      <c r="H206" s="140">
        <v>61</v>
      </c>
      <c r="I206" t="s">
        <v>318</v>
      </c>
      <c r="J206" s="136" t="s">
        <v>1818</v>
      </c>
      <c r="K206" t="s">
        <v>702</v>
      </c>
      <c r="L206" s="650">
        <v>35</v>
      </c>
      <c r="N206" s="651">
        <v>478</v>
      </c>
      <c r="O206" s="145" t="s">
        <v>552</v>
      </c>
      <c r="P206" s="733"/>
      <c r="R206" s="734" t="s">
        <v>1186</v>
      </c>
      <c r="S206" s="145">
        <f t="shared" si="3"/>
        <v>5</v>
      </c>
    </row>
    <row r="207" spans="2:19">
      <c r="B207" s="140">
        <v>61</v>
      </c>
      <c r="C207" t="s">
        <v>318</v>
      </c>
      <c r="D207" s="136" t="s">
        <v>1819</v>
      </c>
      <c r="E207" t="s">
        <v>703</v>
      </c>
      <c r="F207" s="650">
        <v>110</v>
      </c>
      <c r="H207" s="140">
        <v>61</v>
      </c>
      <c r="I207" t="s">
        <v>318</v>
      </c>
      <c r="J207" s="136" t="s">
        <v>1819</v>
      </c>
      <c r="K207" t="s">
        <v>703</v>
      </c>
      <c r="L207" s="650">
        <v>110</v>
      </c>
      <c r="N207" s="651">
        <v>479</v>
      </c>
      <c r="O207" s="145" t="s">
        <v>1169</v>
      </c>
      <c r="P207" s="733" t="s">
        <v>2550</v>
      </c>
      <c r="Q207" s="145" t="s">
        <v>442</v>
      </c>
      <c r="R207" s="734" t="s">
        <v>1186</v>
      </c>
      <c r="S207" s="145">
        <f t="shared" si="3"/>
        <v>5</v>
      </c>
    </row>
    <row r="208" spans="2:19">
      <c r="B208" s="140">
        <v>61</v>
      </c>
      <c r="C208" t="s">
        <v>318</v>
      </c>
      <c r="D208" s="136" t="s">
        <v>1820</v>
      </c>
      <c r="E208" t="s">
        <v>704</v>
      </c>
      <c r="F208" s="650">
        <v>93</v>
      </c>
      <c r="H208" s="140">
        <v>61</v>
      </c>
      <c r="I208" t="s">
        <v>318</v>
      </c>
      <c r="J208" s="136" t="s">
        <v>1820</v>
      </c>
      <c r="K208" t="s">
        <v>704</v>
      </c>
      <c r="L208" s="650">
        <v>93</v>
      </c>
      <c r="N208" s="651">
        <v>480</v>
      </c>
      <c r="O208" s="145" t="s">
        <v>1562</v>
      </c>
      <c r="P208" s="733" t="s">
        <v>2552</v>
      </c>
      <c r="Q208" s="145" t="s">
        <v>2553</v>
      </c>
      <c r="R208" s="734" t="s">
        <v>1186</v>
      </c>
      <c r="S208" s="145">
        <f t="shared" si="3"/>
        <v>5</v>
      </c>
    </row>
    <row r="209" spans="2:19">
      <c r="B209" s="140">
        <v>61</v>
      </c>
      <c r="C209" t="s">
        <v>318</v>
      </c>
      <c r="D209" s="136" t="s">
        <v>1821</v>
      </c>
      <c r="E209" t="s">
        <v>705</v>
      </c>
      <c r="F209" s="650">
        <v>255</v>
      </c>
      <c r="H209" s="140">
        <v>61</v>
      </c>
      <c r="I209" t="s">
        <v>318</v>
      </c>
      <c r="J209" s="136" t="s">
        <v>1821</v>
      </c>
      <c r="K209" t="s">
        <v>705</v>
      </c>
      <c r="L209" s="650">
        <v>255</v>
      </c>
      <c r="N209" s="651">
        <v>481</v>
      </c>
      <c r="O209" s="145" t="s">
        <v>1564</v>
      </c>
      <c r="P209" s="733" t="s">
        <v>2555</v>
      </c>
      <c r="Q209" s="145" t="s">
        <v>444</v>
      </c>
      <c r="R209" s="734">
        <v>112</v>
      </c>
      <c r="S209" s="145">
        <f t="shared" si="3"/>
        <v>112</v>
      </c>
    </row>
    <row r="210" spans="2:19">
      <c r="B210" s="140">
        <v>61</v>
      </c>
      <c r="C210" t="s">
        <v>318</v>
      </c>
      <c r="D210" s="136" t="s">
        <v>1822</v>
      </c>
      <c r="E210" t="s">
        <v>707</v>
      </c>
      <c r="F210" s="650">
        <v>250</v>
      </c>
      <c r="H210" s="140">
        <v>61</v>
      </c>
      <c r="I210" t="s">
        <v>318</v>
      </c>
      <c r="J210" s="136" t="s">
        <v>1822</v>
      </c>
      <c r="K210" t="s">
        <v>707</v>
      </c>
      <c r="L210" s="650">
        <v>250</v>
      </c>
      <c r="N210" s="651">
        <v>482</v>
      </c>
      <c r="O210" s="145" t="s">
        <v>1565</v>
      </c>
      <c r="P210" s="733" t="s">
        <v>2557</v>
      </c>
      <c r="Q210" s="145" t="s">
        <v>445</v>
      </c>
      <c r="R210" s="734" t="s">
        <v>1186</v>
      </c>
      <c r="S210" s="145">
        <f t="shared" si="3"/>
        <v>5</v>
      </c>
    </row>
    <row r="211" spans="2:19">
      <c r="B211" s="140">
        <v>61</v>
      </c>
      <c r="C211" t="s">
        <v>318</v>
      </c>
      <c r="D211" s="136" t="s">
        <v>1823</v>
      </c>
      <c r="E211" t="s">
        <v>1824</v>
      </c>
      <c r="F211" s="650">
        <v>14</v>
      </c>
      <c r="H211" s="140">
        <v>61</v>
      </c>
      <c r="I211" t="s">
        <v>318</v>
      </c>
      <c r="J211" s="136" t="s">
        <v>1823</v>
      </c>
      <c r="K211" t="s">
        <v>1824</v>
      </c>
      <c r="L211" s="650">
        <v>14</v>
      </c>
      <c r="N211" s="651">
        <v>483</v>
      </c>
      <c r="O211" s="145" t="s">
        <v>1566</v>
      </c>
      <c r="P211" s="733" t="s">
        <v>2559</v>
      </c>
      <c r="Q211" s="145" t="s">
        <v>446</v>
      </c>
      <c r="R211" s="734" t="s">
        <v>1186</v>
      </c>
      <c r="S211" s="145">
        <f t="shared" si="3"/>
        <v>5</v>
      </c>
    </row>
    <row r="212" spans="2:19">
      <c r="B212" s="140">
        <v>61</v>
      </c>
      <c r="C212" t="s">
        <v>552</v>
      </c>
      <c r="F212" s="650">
        <v>1079</v>
      </c>
      <c r="H212" s="140">
        <v>61</v>
      </c>
      <c r="I212" t="s">
        <v>552</v>
      </c>
      <c r="L212" s="650">
        <v>1079</v>
      </c>
      <c r="N212" s="651">
        <v>485</v>
      </c>
      <c r="O212" s="145" t="s">
        <v>1567</v>
      </c>
      <c r="P212" s="733" t="s">
        <v>2560</v>
      </c>
      <c r="Q212" s="145" t="s">
        <v>2561</v>
      </c>
      <c r="R212" s="734" t="s">
        <v>1186</v>
      </c>
      <c r="S212" s="145">
        <f t="shared" si="3"/>
        <v>5</v>
      </c>
    </row>
    <row r="213" spans="2:19">
      <c r="B213" s="140">
        <v>71</v>
      </c>
      <c r="C213" t="s">
        <v>319</v>
      </c>
      <c r="D213" s="136" t="s">
        <v>1826</v>
      </c>
      <c r="E213" t="s">
        <v>709</v>
      </c>
      <c r="F213" s="650" t="s">
        <v>1186</v>
      </c>
      <c r="H213" s="140">
        <v>71</v>
      </c>
      <c r="I213" t="s">
        <v>319</v>
      </c>
      <c r="J213" s="136" t="s">
        <v>1826</v>
      </c>
      <c r="K213" t="s">
        <v>709</v>
      </c>
      <c r="L213" s="650" t="s">
        <v>1186</v>
      </c>
      <c r="N213" s="651">
        <v>486</v>
      </c>
      <c r="O213" s="145" t="s">
        <v>2563</v>
      </c>
      <c r="P213" s="733" t="s">
        <v>2564</v>
      </c>
      <c r="Q213" s="145" t="s">
        <v>2565</v>
      </c>
      <c r="R213" s="734" t="s">
        <v>1186</v>
      </c>
      <c r="S213" s="145">
        <f t="shared" si="3"/>
        <v>5</v>
      </c>
    </row>
    <row r="214" spans="2:19">
      <c r="B214" s="140">
        <v>71</v>
      </c>
      <c r="C214" t="s">
        <v>319</v>
      </c>
      <c r="D214" s="136" t="s">
        <v>1827</v>
      </c>
      <c r="E214" t="s">
        <v>710</v>
      </c>
      <c r="F214" s="650" t="s">
        <v>1186</v>
      </c>
      <c r="H214" s="140">
        <v>71</v>
      </c>
      <c r="I214" t="s">
        <v>319</v>
      </c>
      <c r="J214" s="136" t="s">
        <v>1827</v>
      </c>
      <c r="K214" t="s">
        <v>710</v>
      </c>
      <c r="L214" s="650" t="s">
        <v>1186</v>
      </c>
      <c r="N214" s="651">
        <v>486</v>
      </c>
      <c r="O214" s="145" t="s">
        <v>2563</v>
      </c>
      <c r="P214" s="733" t="s">
        <v>2566</v>
      </c>
      <c r="Q214" s="145" t="s">
        <v>2567</v>
      </c>
      <c r="R214" s="734" t="s">
        <v>1186</v>
      </c>
      <c r="S214" s="145">
        <f t="shared" si="3"/>
        <v>5</v>
      </c>
    </row>
    <row r="215" spans="2:19">
      <c r="B215" s="140">
        <v>71</v>
      </c>
      <c r="C215" t="s">
        <v>552</v>
      </c>
      <c r="F215" s="650" t="s">
        <v>1186</v>
      </c>
      <c r="H215" s="140">
        <v>71</v>
      </c>
      <c r="I215" t="s">
        <v>552</v>
      </c>
      <c r="L215" s="650" t="s">
        <v>1186</v>
      </c>
      <c r="N215" s="651">
        <v>487</v>
      </c>
      <c r="O215" s="145" t="s">
        <v>1570</v>
      </c>
      <c r="P215" s="733" t="s">
        <v>2569</v>
      </c>
      <c r="Q215" s="145" t="s">
        <v>2570</v>
      </c>
      <c r="R215" s="734" t="s">
        <v>1186</v>
      </c>
      <c r="S215" s="145">
        <f t="shared" si="3"/>
        <v>5</v>
      </c>
    </row>
    <row r="216" spans="2:19">
      <c r="B216" s="140">
        <v>72</v>
      </c>
      <c r="C216" t="s">
        <v>320</v>
      </c>
      <c r="D216" s="136" t="s">
        <v>1829</v>
      </c>
      <c r="E216" t="s">
        <v>711</v>
      </c>
      <c r="F216" s="650" t="s">
        <v>1186</v>
      </c>
      <c r="H216" s="140">
        <v>72</v>
      </c>
      <c r="I216" t="s">
        <v>320</v>
      </c>
      <c r="J216" s="136" t="s">
        <v>1829</v>
      </c>
      <c r="K216" t="s">
        <v>711</v>
      </c>
      <c r="L216" s="650" t="s">
        <v>1186</v>
      </c>
      <c r="N216" s="651">
        <v>488</v>
      </c>
      <c r="O216" s="145" t="s">
        <v>2572</v>
      </c>
      <c r="P216" s="733" t="s">
        <v>2573</v>
      </c>
      <c r="Q216" s="145" t="s">
        <v>450</v>
      </c>
      <c r="R216" s="734" t="s">
        <v>1186</v>
      </c>
      <c r="S216" s="145">
        <f t="shared" si="3"/>
        <v>5</v>
      </c>
    </row>
    <row r="217" spans="2:19">
      <c r="B217" s="140">
        <v>72</v>
      </c>
      <c r="C217" t="s">
        <v>320</v>
      </c>
      <c r="D217" s="136" t="s">
        <v>1830</v>
      </c>
      <c r="E217" t="s">
        <v>712</v>
      </c>
      <c r="F217" s="650" t="s">
        <v>1186</v>
      </c>
      <c r="H217" s="140">
        <v>72</v>
      </c>
      <c r="I217" t="s">
        <v>320</v>
      </c>
      <c r="J217" s="136" t="s">
        <v>1830</v>
      </c>
      <c r="K217" t="s">
        <v>712</v>
      </c>
      <c r="L217" s="650" t="s">
        <v>1186</v>
      </c>
      <c r="N217" s="651">
        <v>489</v>
      </c>
      <c r="O217" s="145" t="s">
        <v>1572</v>
      </c>
      <c r="P217" s="733" t="s">
        <v>2575</v>
      </c>
      <c r="Q217" s="145" t="s">
        <v>1180</v>
      </c>
      <c r="R217" s="734" t="s">
        <v>1186</v>
      </c>
      <c r="S217" s="145">
        <f t="shared" si="3"/>
        <v>5</v>
      </c>
    </row>
    <row r="218" spans="2:19">
      <c r="B218" s="140">
        <v>72</v>
      </c>
      <c r="C218" t="s">
        <v>552</v>
      </c>
      <c r="F218" s="650" t="s">
        <v>1186</v>
      </c>
      <c r="H218" s="140">
        <v>72</v>
      </c>
      <c r="I218" t="s">
        <v>552</v>
      </c>
      <c r="L218" s="650" t="s">
        <v>1186</v>
      </c>
      <c r="N218" s="651">
        <v>490</v>
      </c>
      <c r="O218" s="145" t="s">
        <v>2577</v>
      </c>
      <c r="P218" s="733" t="s">
        <v>2578</v>
      </c>
      <c r="Q218" s="145" t="s">
        <v>452</v>
      </c>
      <c r="R218" s="734" t="s">
        <v>1186</v>
      </c>
      <c r="S218" s="145">
        <f t="shared" si="3"/>
        <v>5</v>
      </c>
    </row>
    <row r="219" spans="2:19">
      <c r="B219" s="140">
        <v>73</v>
      </c>
      <c r="C219" t="s">
        <v>321</v>
      </c>
      <c r="D219" s="136" t="s">
        <v>1832</v>
      </c>
      <c r="E219" t="s">
        <v>713</v>
      </c>
      <c r="F219" s="650" t="s">
        <v>1186</v>
      </c>
      <c r="H219" s="140">
        <v>73</v>
      </c>
      <c r="I219" t="s">
        <v>321</v>
      </c>
      <c r="J219" s="136" t="s">
        <v>1832</v>
      </c>
      <c r="K219" t="s">
        <v>713</v>
      </c>
      <c r="L219" s="650" t="s">
        <v>1186</v>
      </c>
      <c r="N219" s="651">
        <v>490</v>
      </c>
      <c r="O219" s="145" t="s">
        <v>2577</v>
      </c>
      <c r="P219" s="733" t="s">
        <v>2579</v>
      </c>
      <c r="Q219" s="145" t="s">
        <v>1183</v>
      </c>
      <c r="R219" s="734" t="s">
        <v>1186</v>
      </c>
      <c r="S219" s="145">
        <f t="shared" si="3"/>
        <v>5</v>
      </c>
    </row>
    <row r="220" spans="2:19">
      <c r="B220" s="140">
        <v>73</v>
      </c>
      <c r="C220" t="s">
        <v>321</v>
      </c>
      <c r="D220" s="136" t="s">
        <v>1833</v>
      </c>
      <c r="E220" t="s">
        <v>714</v>
      </c>
      <c r="F220" s="650" t="s">
        <v>1186</v>
      </c>
      <c r="H220" s="140">
        <v>73</v>
      </c>
      <c r="I220" t="s">
        <v>321</v>
      </c>
      <c r="J220" s="136" t="s">
        <v>1833</v>
      </c>
      <c r="K220" t="s">
        <v>714</v>
      </c>
      <c r="L220" s="650" t="s">
        <v>1186</v>
      </c>
      <c r="N220" s="651">
        <v>491</v>
      </c>
      <c r="O220" s="145" t="s">
        <v>2581</v>
      </c>
      <c r="P220" s="733" t="s">
        <v>2582</v>
      </c>
      <c r="Q220" s="145" t="s">
        <v>2583</v>
      </c>
      <c r="R220" s="734" t="s">
        <v>1186</v>
      </c>
      <c r="S220" s="145">
        <f t="shared" si="3"/>
        <v>5</v>
      </c>
    </row>
    <row r="221" spans="2:19">
      <c r="B221" s="140">
        <v>73</v>
      </c>
      <c r="C221" t="s">
        <v>552</v>
      </c>
      <c r="F221" s="650" t="s">
        <v>1186</v>
      </c>
      <c r="H221" s="140">
        <v>73</v>
      </c>
      <c r="I221" t="s">
        <v>552</v>
      </c>
      <c r="L221" s="650" t="s">
        <v>1186</v>
      </c>
      <c r="N221" s="651">
        <v>492</v>
      </c>
      <c r="O221" s="145" t="s">
        <v>2585</v>
      </c>
      <c r="P221" s="733" t="s">
        <v>2586</v>
      </c>
      <c r="Q221" s="145" t="s">
        <v>455</v>
      </c>
      <c r="R221" s="734" t="s">
        <v>1186</v>
      </c>
      <c r="S221" s="145">
        <f t="shared" si="3"/>
        <v>5</v>
      </c>
    </row>
    <row r="222" spans="2:19">
      <c r="B222" s="140">
        <v>83</v>
      </c>
      <c r="C222" t="s">
        <v>322</v>
      </c>
      <c r="D222" s="136" t="s">
        <v>1835</v>
      </c>
      <c r="E222" t="s">
        <v>716</v>
      </c>
      <c r="F222" s="650" t="s">
        <v>1186</v>
      </c>
      <c r="H222" s="140">
        <v>83</v>
      </c>
      <c r="I222" t="s">
        <v>322</v>
      </c>
      <c r="J222" s="136" t="s">
        <v>1835</v>
      </c>
      <c r="K222" t="s">
        <v>716</v>
      </c>
      <c r="L222" s="650" t="s">
        <v>1186</v>
      </c>
      <c r="N222" s="651">
        <v>493</v>
      </c>
      <c r="O222" s="145" t="s">
        <v>2588</v>
      </c>
      <c r="P222" s="733" t="s">
        <v>2589</v>
      </c>
      <c r="Q222" s="145" t="s">
        <v>2590</v>
      </c>
      <c r="R222" s="734" t="s">
        <v>1186</v>
      </c>
      <c r="S222" s="145">
        <f t="shared" si="3"/>
        <v>5</v>
      </c>
    </row>
    <row r="223" spans="2:19">
      <c r="B223" s="140">
        <v>83</v>
      </c>
      <c r="C223" t="s">
        <v>322</v>
      </c>
      <c r="D223" s="136" t="s">
        <v>1836</v>
      </c>
      <c r="E223" t="s">
        <v>717</v>
      </c>
      <c r="F223" s="650" t="s">
        <v>1186</v>
      </c>
      <c r="H223" s="140">
        <v>83</v>
      </c>
      <c r="I223" t="s">
        <v>322</v>
      </c>
      <c r="J223" s="136" t="s">
        <v>1836</v>
      </c>
      <c r="K223" t="s">
        <v>717</v>
      </c>
      <c r="L223" s="650" t="s">
        <v>1186</v>
      </c>
      <c r="N223" s="651">
        <v>25</v>
      </c>
      <c r="O223" s="145" t="s">
        <v>1574</v>
      </c>
      <c r="P223" s="733" t="s">
        <v>2592</v>
      </c>
      <c r="Q223" s="145" t="s">
        <v>457</v>
      </c>
      <c r="R223" s="734" t="s">
        <v>1186</v>
      </c>
      <c r="S223" s="145">
        <f t="shared" si="3"/>
        <v>5</v>
      </c>
    </row>
    <row r="224" spans="2:19">
      <c r="B224" s="140">
        <v>83</v>
      </c>
      <c r="C224" t="s">
        <v>322</v>
      </c>
      <c r="D224" s="136" t="s">
        <v>1837</v>
      </c>
      <c r="E224" t="s">
        <v>718</v>
      </c>
      <c r="F224" s="650" t="s">
        <v>1186</v>
      </c>
      <c r="H224" s="140">
        <v>83</v>
      </c>
      <c r="I224" t="s">
        <v>322</v>
      </c>
      <c r="J224" s="136" t="s">
        <v>1837</v>
      </c>
      <c r="K224" t="s">
        <v>718</v>
      </c>
      <c r="L224" s="650" t="s">
        <v>1186</v>
      </c>
      <c r="N224" s="651">
        <v>555</v>
      </c>
      <c r="O224" s="145" t="s">
        <v>1197</v>
      </c>
      <c r="P224" s="733" t="s">
        <v>2594</v>
      </c>
      <c r="Q224" s="145" t="s">
        <v>2595</v>
      </c>
      <c r="R224" s="734" t="s">
        <v>1186</v>
      </c>
      <c r="S224" s="145">
        <f t="shared" si="3"/>
        <v>5</v>
      </c>
    </row>
    <row r="225" spans="2:19">
      <c r="B225" s="140">
        <v>83</v>
      </c>
      <c r="C225" t="s">
        <v>322</v>
      </c>
      <c r="D225" s="136" t="s">
        <v>1838</v>
      </c>
      <c r="E225" t="s">
        <v>719</v>
      </c>
      <c r="F225" s="650" t="s">
        <v>1186</v>
      </c>
      <c r="H225" s="140">
        <v>83</v>
      </c>
      <c r="I225" t="s">
        <v>322</v>
      </c>
      <c r="J225" s="136" t="s">
        <v>1838</v>
      </c>
      <c r="K225" t="s">
        <v>719</v>
      </c>
      <c r="L225" s="650" t="s">
        <v>1186</v>
      </c>
      <c r="N225" s="651">
        <v>559</v>
      </c>
      <c r="O225" s="145" t="s">
        <v>2597</v>
      </c>
      <c r="P225" s="733" t="s">
        <v>1228</v>
      </c>
      <c r="Q225" s="145" t="s">
        <v>459</v>
      </c>
      <c r="R225" s="734" t="s">
        <v>1186</v>
      </c>
      <c r="S225" s="145">
        <f t="shared" si="3"/>
        <v>5</v>
      </c>
    </row>
    <row r="226" spans="2:19">
      <c r="B226" s="140">
        <v>83</v>
      </c>
      <c r="C226" t="s">
        <v>322</v>
      </c>
      <c r="D226" s="136" t="s">
        <v>1839</v>
      </c>
      <c r="E226" t="s">
        <v>720</v>
      </c>
      <c r="F226" s="650" t="s">
        <v>1186</v>
      </c>
      <c r="H226" s="140">
        <v>83</v>
      </c>
      <c r="I226" t="s">
        <v>322</v>
      </c>
      <c r="J226" s="136" t="s">
        <v>1839</v>
      </c>
      <c r="K226" t="s">
        <v>720</v>
      </c>
      <c r="L226" s="650" t="s">
        <v>1186</v>
      </c>
      <c r="N226" s="651">
        <v>596</v>
      </c>
      <c r="O226" s="145" t="s">
        <v>1198</v>
      </c>
      <c r="P226" s="733" t="s">
        <v>2599</v>
      </c>
      <c r="Q226" s="145" t="s">
        <v>2600</v>
      </c>
      <c r="R226" s="734" t="s">
        <v>1186</v>
      </c>
      <c r="S226" s="145">
        <f t="shared" si="3"/>
        <v>5</v>
      </c>
    </row>
    <row r="227" spans="2:19">
      <c r="B227" s="140">
        <v>83</v>
      </c>
      <c r="C227" t="s">
        <v>322</v>
      </c>
      <c r="D227" s="136" t="s">
        <v>1840</v>
      </c>
      <c r="E227" t="s">
        <v>1841</v>
      </c>
      <c r="F227" s="650" t="s">
        <v>1186</v>
      </c>
      <c r="H227" s="140">
        <v>83</v>
      </c>
      <c r="I227" t="s">
        <v>322</v>
      </c>
      <c r="J227" s="136" t="s">
        <v>1840</v>
      </c>
      <c r="K227" t="s">
        <v>1841</v>
      </c>
      <c r="L227" s="650" t="s">
        <v>1186</v>
      </c>
      <c r="N227" s="651">
        <v>751</v>
      </c>
      <c r="O227" s="145" t="s">
        <v>2602</v>
      </c>
      <c r="P227" s="733" t="s">
        <v>2603</v>
      </c>
      <c r="Q227" s="145" t="s">
        <v>2604</v>
      </c>
      <c r="R227" s="734" t="s">
        <v>1186</v>
      </c>
      <c r="S227" s="145">
        <f t="shared" si="3"/>
        <v>5</v>
      </c>
    </row>
    <row r="228" spans="2:19">
      <c r="B228" s="140">
        <v>83</v>
      </c>
      <c r="C228" t="s">
        <v>552</v>
      </c>
      <c r="F228" s="650" t="s">
        <v>1186</v>
      </c>
      <c r="H228" s="140">
        <v>83</v>
      </c>
      <c r="I228" t="s">
        <v>552</v>
      </c>
      <c r="L228" s="650" t="s">
        <v>1186</v>
      </c>
      <c r="N228" s="651">
        <v>768</v>
      </c>
      <c r="O228" s="145" t="s">
        <v>2606</v>
      </c>
      <c r="P228" s="733" t="s">
        <v>1223</v>
      </c>
      <c r="Q228" s="145" t="s">
        <v>2607</v>
      </c>
      <c r="R228" s="734" t="s">
        <v>1186</v>
      </c>
      <c r="S228" s="145">
        <f t="shared" si="3"/>
        <v>5</v>
      </c>
    </row>
    <row r="229" spans="2:19">
      <c r="B229" s="140">
        <v>84</v>
      </c>
      <c r="C229" t="s">
        <v>721</v>
      </c>
      <c r="D229" s="136" t="s">
        <v>1843</v>
      </c>
      <c r="E229" t="s">
        <v>722</v>
      </c>
      <c r="F229" s="650" t="s">
        <v>1186</v>
      </c>
      <c r="H229" s="140">
        <v>84</v>
      </c>
      <c r="I229" t="s">
        <v>721</v>
      </c>
      <c r="J229" s="136" t="s">
        <v>1843</v>
      </c>
      <c r="K229" t="s">
        <v>722</v>
      </c>
      <c r="L229" s="650" t="s">
        <v>1186</v>
      </c>
      <c r="N229" s="651">
        <v>771</v>
      </c>
      <c r="O229" s="145" t="s">
        <v>2609</v>
      </c>
      <c r="P229" s="733" t="s">
        <v>2610</v>
      </c>
      <c r="Q229" s="145" t="s">
        <v>2611</v>
      </c>
      <c r="R229" s="734" t="s">
        <v>1186</v>
      </c>
      <c r="S229" s="145">
        <f t="shared" si="3"/>
        <v>5</v>
      </c>
    </row>
    <row r="230" spans="2:19">
      <c r="B230" s="140">
        <v>84</v>
      </c>
      <c r="C230" t="s">
        <v>721</v>
      </c>
      <c r="D230" s="136" t="s">
        <v>1844</v>
      </c>
      <c r="E230" t="s">
        <v>723</v>
      </c>
      <c r="F230" s="650" t="s">
        <v>1186</v>
      </c>
      <c r="H230" s="140">
        <v>84</v>
      </c>
      <c r="I230" t="s">
        <v>721</v>
      </c>
      <c r="J230" s="136" t="s">
        <v>1844</v>
      </c>
      <c r="K230" t="s">
        <v>723</v>
      </c>
      <c r="L230" s="650" t="s">
        <v>1186</v>
      </c>
      <c r="N230" s="651">
        <v>785</v>
      </c>
      <c r="O230" s="145" t="s">
        <v>2613</v>
      </c>
      <c r="P230" s="733" t="s">
        <v>1224</v>
      </c>
      <c r="Q230" s="145" t="s">
        <v>456</v>
      </c>
      <c r="R230" s="734">
        <v>17</v>
      </c>
      <c r="S230" s="145">
        <f t="shared" si="3"/>
        <v>17</v>
      </c>
    </row>
    <row r="231" spans="2:19">
      <c r="B231" s="140">
        <v>84</v>
      </c>
      <c r="C231" t="s">
        <v>721</v>
      </c>
      <c r="D231" s="136" t="s">
        <v>1845</v>
      </c>
      <c r="E231" t="s">
        <v>724</v>
      </c>
      <c r="F231" s="650" t="s">
        <v>1186</v>
      </c>
      <c r="H231" s="140">
        <v>84</v>
      </c>
      <c r="I231" t="s">
        <v>721</v>
      </c>
      <c r="J231" s="136" t="s">
        <v>1845</v>
      </c>
      <c r="K231" t="s">
        <v>724</v>
      </c>
      <c r="L231" s="650" t="s">
        <v>1186</v>
      </c>
      <c r="N231" s="651">
        <v>790</v>
      </c>
      <c r="O231" s="145" t="s">
        <v>2615</v>
      </c>
      <c r="P231" s="733" t="s">
        <v>1232</v>
      </c>
      <c r="Q231" s="145" t="s">
        <v>461</v>
      </c>
      <c r="R231" s="734" t="s">
        <v>1186</v>
      </c>
      <c r="S231" s="145">
        <f t="shared" si="3"/>
        <v>5</v>
      </c>
    </row>
    <row r="232" spans="2:19">
      <c r="B232" s="140">
        <v>84</v>
      </c>
      <c r="C232" t="s">
        <v>721</v>
      </c>
      <c r="D232" s="136" t="s">
        <v>1846</v>
      </c>
      <c r="E232" t="s">
        <v>725</v>
      </c>
      <c r="F232" s="650" t="s">
        <v>1186</v>
      </c>
      <c r="H232" s="140">
        <v>84</v>
      </c>
      <c r="I232" t="s">
        <v>721</v>
      </c>
      <c r="J232" s="136" t="s">
        <v>1846</v>
      </c>
      <c r="K232" t="s">
        <v>725</v>
      </c>
      <c r="L232" s="650" t="s">
        <v>1186</v>
      </c>
      <c r="N232" s="651">
        <v>794</v>
      </c>
      <c r="O232" s="145" t="s">
        <v>2617</v>
      </c>
      <c r="P232" s="733" t="s">
        <v>2618</v>
      </c>
      <c r="Q232" s="145" t="s">
        <v>2619</v>
      </c>
      <c r="R232" s="734">
        <v>10</v>
      </c>
      <c r="S232" s="145">
        <f t="shared" si="3"/>
        <v>10</v>
      </c>
    </row>
    <row r="233" spans="2:19">
      <c r="B233" s="140">
        <v>84</v>
      </c>
      <c r="C233" t="s">
        <v>721</v>
      </c>
      <c r="D233" s="136" t="s">
        <v>1847</v>
      </c>
      <c r="E233" t="s">
        <v>726</v>
      </c>
      <c r="F233" s="650" t="s">
        <v>1186</v>
      </c>
      <c r="H233" s="140">
        <v>84</v>
      </c>
      <c r="I233" t="s">
        <v>721</v>
      </c>
      <c r="J233" s="136" t="s">
        <v>1847</v>
      </c>
      <c r="K233" t="s">
        <v>726</v>
      </c>
      <c r="L233" s="650" t="s">
        <v>1186</v>
      </c>
      <c r="N233" s="651">
        <v>131</v>
      </c>
      <c r="O233" s="145" t="s">
        <v>2621</v>
      </c>
      <c r="P233" s="733" t="s">
        <v>1226</v>
      </c>
      <c r="Q233" s="145" t="s">
        <v>458</v>
      </c>
      <c r="R233" s="734" t="s">
        <v>1186</v>
      </c>
      <c r="S233" s="145">
        <f t="shared" si="3"/>
        <v>5</v>
      </c>
    </row>
    <row r="234" spans="2:19">
      <c r="B234" s="140">
        <v>84</v>
      </c>
      <c r="C234" t="s">
        <v>721</v>
      </c>
      <c r="D234" s="136" t="s">
        <v>1848</v>
      </c>
      <c r="E234" t="s">
        <v>727</v>
      </c>
      <c r="F234" s="650" t="s">
        <v>1186</v>
      </c>
      <c r="H234" s="140">
        <v>84</v>
      </c>
      <c r="I234" t="s">
        <v>721</v>
      </c>
      <c r="J234" s="136" t="s">
        <v>1848</v>
      </c>
      <c r="K234" t="s">
        <v>727</v>
      </c>
      <c r="L234" s="650" t="s">
        <v>1186</v>
      </c>
      <c r="N234" s="651">
        <v>813</v>
      </c>
      <c r="O234" s="145" t="s">
        <v>2623</v>
      </c>
      <c r="P234" s="733" t="s">
        <v>1230</v>
      </c>
      <c r="Q234" s="145" t="s">
        <v>460</v>
      </c>
      <c r="R234" s="734" t="s">
        <v>1186</v>
      </c>
      <c r="S234" s="145">
        <f t="shared" si="3"/>
        <v>5</v>
      </c>
    </row>
    <row r="235" spans="2:19">
      <c r="B235" s="140">
        <v>84</v>
      </c>
      <c r="C235" t="s">
        <v>721</v>
      </c>
      <c r="D235" s="136" t="s">
        <v>1849</v>
      </c>
      <c r="E235" t="s">
        <v>1850</v>
      </c>
      <c r="F235" s="650" t="s">
        <v>1186</v>
      </c>
      <c r="H235" s="140">
        <v>84</v>
      </c>
      <c r="I235" t="s">
        <v>721</v>
      </c>
      <c r="J235" s="136" t="s">
        <v>1849</v>
      </c>
      <c r="K235" t="s">
        <v>1850</v>
      </c>
      <c r="L235" s="650" t="s">
        <v>1186</v>
      </c>
    </row>
    <row r="236" spans="2:19">
      <c r="B236" s="140">
        <v>84</v>
      </c>
      <c r="C236" t="s">
        <v>721</v>
      </c>
      <c r="D236" s="136" t="s">
        <v>1851</v>
      </c>
      <c r="E236" t="s">
        <v>729</v>
      </c>
      <c r="F236" s="650" t="s">
        <v>1186</v>
      </c>
      <c r="H236" s="140">
        <v>84</v>
      </c>
      <c r="I236" t="s">
        <v>721</v>
      </c>
      <c r="J236" s="136" t="s">
        <v>1851</v>
      </c>
      <c r="K236" t="s">
        <v>729</v>
      </c>
      <c r="L236" s="650" t="s">
        <v>1186</v>
      </c>
    </row>
    <row r="237" spans="2:19">
      <c r="B237" s="140">
        <v>84</v>
      </c>
      <c r="C237" t="s">
        <v>721</v>
      </c>
      <c r="D237" s="136" t="s">
        <v>1852</v>
      </c>
      <c r="E237" t="s">
        <v>519</v>
      </c>
      <c r="F237" s="650" t="s">
        <v>1186</v>
      </c>
      <c r="H237" s="140">
        <v>84</v>
      </c>
      <c r="I237" t="s">
        <v>721</v>
      </c>
      <c r="J237" s="136" t="s">
        <v>1852</v>
      </c>
      <c r="K237" t="s">
        <v>519</v>
      </c>
      <c r="L237" s="650" t="s">
        <v>1186</v>
      </c>
    </row>
    <row r="238" spans="2:19">
      <c r="B238" s="140">
        <v>84</v>
      </c>
      <c r="C238" t="s">
        <v>721</v>
      </c>
      <c r="D238" s="136" t="s">
        <v>1853</v>
      </c>
      <c r="E238" t="s">
        <v>730</v>
      </c>
      <c r="F238" s="650" t="s">
        <v>1186</v>
      </c>
      <c r="H238" s="140">
        <v>84</v>
      </c>
      <c r="I238" t="s">
        <v>721</v>
      </c>
      <c r="J238" s="136" t="s">
        <v>1853</v>
      </c>
      <c r="K238" t="s">
        <v>730</v>
      </c>
      <c r="L238" s="650" t="s">
        <v>1186</v>
      </c>
    </row>
    <row r="239" spans="2:19">
      <c r="B239" s="140">
        <v>84</v>
      </c>
      <c r="C239" t="s">
        <v>721</v>
      </c>
      <c r="D239" s="136" t="s">
        <v>1854</v>
      </c>
      <c r="E239" t="s">
        <v>1855</v>
      </c>
      <c r="F239" s="650" t="s">
        <v>1186</v>
      </c>
      <c r="H239" s="140">
        <v>84</v>
      </c>
      <c r="I239" t="s">
        <v>721</v>
      </c>
      <c r="J239" s="136" t="s">
        <v>1854</v>
      </c>
      <c r="K239" t="s">
        <v>1855</v>
      </c>
      <c r="L239" s="650" t="s">
        <v>1186</v>
      </c>
    </row>
    <row r="240" spans="2:19">
      <c r="B240" s="140">
        <v>84</v>
      </c>
      <c r="C240" t="s">
        <v>721</v>
      </c>
      <c r="D240" s="136" t="s">
        <v>1856</v>
      </c>
      <c r="E240" t="s">
        <v>1857</v>
      </c>
      <c r="F240" s="650" t="s">
        <v>1186</v>
      </c>
      <c r="H240" s="140">
        <v>84</v>
      </c>
      <c r="I240" t="s">
        <v>721</v>
      </c>
      <c r="J240" s="136" t="s">
        <v>1856</v>
      </c>
      <c r="K240" t="s">
        <v>1857</v>
      </c>
      <c r="L240" s="650" t="s">
        <v>1186</v>
      </c>
    </row>
    <row r="241" spans="2:12">
      <c r="B241" s="140">
        <v>84</v>
      </c>
      <c r="C241" t="s">
        <v>552</v>
      </c>
      <c r="F241" s="650">
        <v>18</v>
      </c>
      <c r="H241" s="140">
        <v>84</v>
      </c>
      <c r="I241" t="s">
        <v>552</v>
      </c>
      <c r="L241" s="650">
        <v>18</v>
      </c>
    </row>
    <row r="242" spans="2:12">
      <c r="B242" s="140">
        <v>91</v>
      </c>
      <c r="C242" t="s">
        <v>324</v>
      </c>
      <c r="D242" s="136" t="s">
        <v>1859</v>
      </c>
      <c r="E242" t="s">
        <v>1860</v>
      </c>
      <c r="F242" s="650">
        <v>104</v>
      </c>
      <c r="H242" s="140">
        <v>91</v>
      </c>
      <c r="I242" t="s">
        <v>324</v>
      </c>
      <c r="J242" s="136" t="s">
        <v>1859</v>
      </c>
      <c r="K242" t="s">
        <v>1860</v>
      </c>
      <c r="L242" s="650">
        <v>104</v>
      </c>
    </row>
    <row r="243" spans="2:12">
      <c r="B243" s="140">
        <v>91</v>
      </c>
      <c r="C243" t="s">
        <v>324</v>
      </c>
      <c r="D243" s="136" t="s">
        <v>1861</v>
      </c>
      <c r="E243" t="s">
        <v>733</v>
      </c>
      <c r="F243" s="650">
        <v>148</v>
      </c>
      <c r="H243" s="140">
        <v>91</v>
      </c>
      <c r="I243" t="s">
        <v>324</v>
      </c>
      <c r="J243" s="136" t="s">
        <v>1861</v>
      </c>
      <c r="K243" t="s">
        <v>733</v>
      </c>
      <c r="L243" s="650">
        <v>148</v>
      </c>
    </row>
    <row r="244" spans="2:12">
      <c r="B244" s="140">
        <v>91</v>
      </c>
      <c r="C244" t="s">
        <v>324</v>
      </c>
      <c r="D244" s="136" t="s">
        <v>1862</v>
      </c>
      <c r="E244" t="s">
        <v>734</v>
      </c>
      <c r="F244" s="650">
        <v>67</v>
      </c>
      <c r="H244" s="140">
        <v>91</v>
      </c>
      <c r="I244" t="s">
        <v>324</v>
      </c>
      <c r="J244" s="136" t="s">
        <v>1862</v>
      </c>
      <c r="K244" t="s">
        <v>734</v>
      </c>
      <c r="L244" s="650">
        <v>67</v>
      </c>
    </row>
    <row r="245" spans="2:12">
      <c r="B245" s="140">
        <v>91</v>
      </c>
      <c r="C245" t="s">
        <v>324</v>
      </c>
      <c r="D245" s="136" t="s">
        <v>1863</v>
      </c>
      <c r="E245" t="s">
        <v>1864</v>
      </c>
      <c r="F245" s="650">
        <v>47</v>
      </c>
      <c r="H245" s="140">
        <v>91</v>
      </c>
      <c r="I245" t="s">
        <v>324</v>
      </c>
      <c r="J245" s="136" t="s">
        <v>1863</v>
      </c>
      <c r="K245" t="s">
        <v>1864</v>
      </c>
      <c r="L245" s="650">
        <v>47</v>
      </c>
    </row>
    <row r="246" spans="2:12">
      <c r="B246" s="140">
        <v>91</v>
      </c>
      <c r="C246" t="s">
        <v>324</v>
      </c>
      <c r="D246" s="136" t="s">
        <v>1865</v>
      </c>
      <c r="E246" t="s">
        <v>534</v>
      </c>
      <c r="F246" s="650">
        <v>16</v>
      </c>
      <c r="H246" s="140">
        <v>91</v>
      </c>
      <c r="I246" t="s">
        <v>324</v>
      </c>
      <c r="J246" s="136" t="s">
        <v>1865</v>
      </c>
      <c r="K246" t="s">
        <v>534</v>
      </c>
      <c r="L246" s="650">
        <v>16</v>
      </c>
    </row>
    <row r="247" spans="2:12">
      <c r="B247" s="140">
        <v>91</v>
      </c>
      <c r="C247" t="s">
        <v>324</v>
      </c>
      <c r="D247" s="136" t="s">
        <v>1866</v>
      </c>
      <c r="E247" t="s">
        <v>523</v>
      </c>
      <c r="F247" s="650">
        <v>40</v>
      </c>
      <c r="H247" s="140">
        <v>91</v>
      </c>
      <c r="I247" t="s">
        <v>324</v>
      </c>
      <c r="J247" s="136" t="s">
        <v>1866</v>
      </c>
      <c r="K247" t="s">
        <v>523</v>
      </c>
      <c r="L247" s="650">
        <v>40</v>
      </c>
    </row>
    <row r="248" spans="2:12">
      <c r="B248" s="140">
        <v>91</v>
      </c>
      <c r="C248" t="s">
        <v>324</v>
      </c>
      <c r="D248" s="136" t="s">
        <v>1867</v>
      </c>
      <c r="E248" t="s">
        <v>736</v>
      </c>
      <c r="F248" s="650">
        <v>72</v>
      </c>
      <c r="H248" s="140">
        <v>91</v>
      </c>
      <c r="I248" t="s">
        <v>324</v>
      </c>
      <c r="J248" s="136" t="s">
        <v>1867</v>
      </c>
      <c r="K248" t="s">
        <v>736</v>
      </c>
      <c r="L248" s="650">
        <v>72</v>
      </c>
    </row>
    <row r="249" spans="2:12">
      <c r="B249" s="140">
        <v>91</v>
      </c>
      <c r="C249" t="s">
        <v>324</v>
      </c>
      <c r="D249" s="136" t="s">
        <v>1868</v>
      </c>
      <c r="E249" t="s">
        <v>737</v>
      </c>
      <c r="F249" s="650">
        <v>78</v>
      </c>
      <c r="H249" s="140">
        <v>91</v>
      </c>
      <c r="I249" t="s">
        <v>324</v>
      </c>
      <c r="J249" s="136" t="s">
        <v>1868</v>
      </c>
      <c r="K249" t="s">
        <v>737</v>
      </c>
      <c r="L249" s="650">
        <v>78</v>
      </c>
    </row>
    <row r="250" spans="2:12">
      <c r="B250" s="140">
        <v>91</v>
      </c>
      <c r="C250" t="s">
        <v>324</v>
      </c>
      <c r="D250" s="136" t="s">
        <v>1869</v>
      </c>
      <c r="E250" t="s">
        <v>738</v>
      </c>
      <c r="F250" s="650">
        <v>41</v>
      </c>
      <c r="H250" s="140">
        <v>91</v>
      </c>
      <c r="I250" t="s">
        <v>324</v>
      </c>
      <c r="J250" s="136" t="s">
        <v>1869</v>
      </c>
      <c r="K250" t="s">
        <v>738</v>
      </c>
      <c r="L250" s="650">
        <v>41</v>
      </c>
    </row>
    <row r="251" spans="2:12">
      <c r="B251" s="140">
        <v>91</v>
      </c>
      <c r="C251" t="s">
        <v>324</v>
      </c>
      <c r="D251" s="136" t="s">
        <v>1870</v>
      </c>
      <c r="E251" t="s">
        <v>739</v>
      </c>
      <c r="F251" s="650">
        <v>21</v>
      </c>
      <c r="H251" s="140">
        <v>91</v>
      </c>
      <c r="I251" t="s">
        <v>324</v>
      </c>
      <c r="J251" s="136" t="s">
        <v>1870</v>
      </c>
      <c r="K251" t="s">
        <v>739</v>
      </c>
      <c r="L251" s="650">
        <v>21</v>
      </c>
    </row>
    <row r="252" spans="2:12">
      <c r="B252" s="140">
        <v>91</v>
      </c>
      <c r="C252" t="s">
        <v>324</v>
      </c>
      <c r="D252" s="136" t="s">
        <v>1871</v>
      </c>
      <c r="E252" t="s">
        <v>740</v>
      </c>
      <c r="F252" s="650">
        <v>66</v>
      </c>
      <c r="H252" s="140">
        <v>91</v>
      </c>
      <c r="I252" t="s">
        <v>324</v>
      </c>
      <c r="J252" s="136" t="s">
        <v>1871</v>
      </c>
      <c r="K252" t="s">
        <v>740</v>
      </c>
      <c r="L252" s="650">
        <v>66</v>
      </c>
    </row>
    <row r="253" spans="2:12">
      <c r="B253" s="140">
        <v>91</v>
      </c>
      <c r="C253" t="s">
        <v>324</v>
      </c>
      <c r="D253" s="136" t="s">
        <v>1872</v>
      </c>
      <c r="E253" t="s">
        <v>741</v>
      </c>
      <c r="F253" s="650">
        <v>49</v>
      </c>
      <c r="H253" s="140">
        <v>91</v>
      </c>
      <c r="I253" t="s">
        <v>324</v>
      </c>
      <c r="J253" s="136" t="s">
        <v>1872</v>
      </c>
      <c r="K253" t="s">
        <v>741</v>
      </c>
      <c r="L253" s="650">
        <v>49</v>
      </c>
    </row>
    <row r="254" spans="2:12">
      <c r="B254" s="140">
        <v>91</v>
      </c>
      <c r="C254" t="s">
        <v>324</v>
      </c>
      <c r="D254" s="136" t="s">
        <v>1873</v>
      </c>
      <c r="E254" t="s">
        <v>742</v>
      </c>
      <c r="F254" s="650">
        <v>115</v>
      </c>
      <c r="H254" s="140">
        <v>91</v>
      </c>
      <c r="I254" t="s">
        <v>324</v>
      </c>
      <c r="J254" s="136" t="s">
        <v>1873</v>
      </c>
      <c r="K254" t="s">
        <v>742</v>
      </c>
      <c r="L254" s="650">
        <v>115</v>
      </c>
    </row>
    <row r="255" spans="2:12">
      <c r="B255" s="140">
        <v>91</v>
      </c>
      <c r="C255" t="s">
        <v>324</v>
      </c>
      <c r="D255" s="136" t="s">
        <v>1874</v>
      </c>
      <c r="E255" t="s">
        <v>743</v>
      </c>
      <c r="F255" s="650">
        <v>40</v>
      </c>
      <c r="H255" s="140">
        <v>91</v>
      </c>
      <c r="I255" t="s">
        <v>324</v>
      </c>
      <c r="J255" s="136" t="s">
        <v>1874</v>
      </c>
      <c r="K255" t="s">
        <v>743</v>
      </c>
      <c r="L255" s="650">
        <v>40</v>
      </c>
    </row>
    <row r="256" spans="2:12">
      <c r="B256" s="140">
        <v>91</v>
      </c>
      <c r="C256" t="s">
        <v>324</v>
      </c>
      <c r="D256" s="136" t="s">
        <v>1875</v>
      </c>
      <c r="E256" t="s">
        <v>744</v>
      </c>
      <c r="F256" s="650">
        <v>102</v>
      </c>
      <c r="H256" s="140">
        <v>91</v>
      </c>
      <c r="I256" t="s">
        <v>324</v>
      </c>
      <c r="J256" s="136" t="s">
        <v>1875</v>
      </c>
      <c r="K256" t="s">
        <v>744</v>
      </c>
      <c r="L256" s="650">
        <v>102</v>
      </c>
    </row>
    <row r="257" spans="2:12">
      <c r="B257" s="140">
        <v>91</v>
      </c>
      <c r="C257" t="s">
        <v>324</v>
      </c>
      <c r="D257" s="136" t="s">
        <v>1876</v>
      </c>
      <c r="E257" t="s">
        <v>745</v>
      </c>
      <c r="F257" s="650" t="s">
        <v>1186</v>
      </c>
      <c r="H257" s="140">
        <v>91</v>
      </c>
      <c r="I257" t="s">
        <v>324</v>
      </c>
      <c r="J257" s="136" t="s">
        <v>1876</v>
      </c>
      <c r="K257" t="s">
        <v>745</v>
      </c>
      <c r="L257" s="650" t="s">
        <v>1186</v>
      </c>
    </row>
    <row r="258" spans="2:12">
      <c r="B258" s="140">
        <v>91</v>
      </c>
      <c r="C258" t="s">
        <v>324</v>
      </c>
      <c r="D258" s="136" t="s">
        <v>1877</v>
      </c>
      <c r="E258" t="s">
        <v>1878</v>
      </c>
      <c r="F258" s="650" t="s">
        <v>1186</v>
      </c>
      <c r="H258" s="140">
        <v>91</v>
      </c>
      <c r="I258" t="s">
        <v>324</v>
      </c>
      <c r="J258" s="136" t="s">
        <v>1877</v>
      </c>
      <c r="K258" t="s">
        <v>1878</v>
      </c>
      <c r="L258" s="650" t="s">
        <v>1186</v>
      </c>
    </row>
    <row r="259" spans="2:12">
      <c r="B259" s="140">
        <v>91</v>
      </c>
      <c r="C259" t="s">
        <v>324</v>
      </c>
      <c r="D259" s="136" t="s">
        <v>1879</v>
      </c>
      <c r="E259" t="s">
        <v>1880</v>
      </c>
      <c r="F259" s="650" t="s">
        <v>1186</v>
      </c>
      <c r="H259" s="140">
        <v>91</v>
      </c>
      <c r="I259" t="s">
        <v>324</v>
      </c>
      <c r="J259" s="136" t="s">
        <v>1879</v>
      </c>
      <c r="K259" t="s">
        <v>1880</v>
      </c>
      <c r="L259" s="650" t="s">
        <v>1186</v>
      </c>
    </row>
    <row r="260" spans="2:12">
      <c r="B260" s="140">
        <v>91</v>
      </c>
      <c r="C260" t="s">
        <v>324</v>
      </c>
      <c r="D260" s="136" t="s">
        <v>1881</v>
      </c>
      <c r="E260" t="s">
        <v>747</v>
      </c>
      <c r="F260" s="650">
        <v>15</v>
      </c>
      <c r="H260" s="140">
        <v>91</v>
      </c>
      <c r="I260" t="s">
        <v>324</v>
      </c>
      <c r="J260" s="136" t="s">
        <v>1881</v>
      </c>
      <c r="K260" t="s">
        <v>747</v>
      </c>
      <c r="L260" s="650">
        <v>15</v>
      </c>
    </row>
    <row r="261" spans="2:12">
      <c r="B261" s="140">
        <v>91</v>
      </c>
      <c r="C261" t="s">
        <v>552</v>
      </c>
      <c r="F261" s="650">
        <v>1032</v>
      </c>
      <c r="H261" s="140">
        <v>91</v>
      </c>
      <c r="I261" t="s">
        <v>552</v>
      </c>
      <c r="L261" s="650">
        <v>1032</v>
      </c>
    </row>
    <row r="262" spans="2:12">
      <c r="B262" s="140">
        <v>92</v>
      </c>
      <c r="C262" t="s">
        <v>325</v>
      </c>
      <c r="D262" s="136" t="s">
        <v>1883</v>
      </c>
      <c r="E262" t="s">
        <v>748</v>
      </c>
      <c r="F262" s="650" t="s">
        <v>1186</v>
      </c>
      <c r="H262" s="140">
        <v>92</v>
      </c>
      <c r="I262" t="s">
        <v>325</v>
      </c>
      <c r="J262" s="136" t="s">
        <v>1883</v>
      </c>
      <c r="K262" t="s">
        <v>748</v>
      </c>
      <c r="L262" s="650" t="s">
        <v>1186</v>
      </c>
    </row>
    <row r="263" spans="2:12">
      <c r="B263" s="140">
        <v>92</v>
      </c>
      <c r="C263" t="s">
        <v>325</v>
      </c>
      <c r="D263" s="136" t="s">
        <v>1884</v>
      </c>
      <c r="E263" t="s">
        <v>1885</v>
      </c>
      <c r="F263" s="650" t="s">
        <v>1186</v>
      </c>
      <c r="H263" s="140">
        <v>92</v>
      </c>
      <c r="I263" t="s">
        <v>325</v>
      </c>
      <c r="J263" s="136" t="s">
        <v>1884</v>
      </c>
      <c r="K263" t="s">
        <v>1885</v>
      </c>
      <c r="L263" s="650" t="s">
        <v>1186</v>
      </c>
    </row>
    <row r="264" spans="2:12">
      <c r="B264" s="140">
        <v>92</v>
      </c>
      <c r="C264" t="s">
        <v>325</v>
      </c>
      <c r="D264" s="136" t="s">
        <v>1886</v>
      </c>
      <c r="E264" t="s">
        <v>1887</v>
      </c>
      <c r="F264" s="650" t="s">
        <v>1186</v>
      </c>
      <c r="H264" s="140">
        <v>92</v>
      </c>
      <c r="I264" t="s">
        <v>325</v>
      </c>
      <c r="J264" s="136" t="s">
        <v>1886</v>
      </c>
      <c r="K264" t="s">
        <v>1887</v>
      </c>
      <c r="L264" s="650" t="s">
        <v>1186</v>
      </c>
    </row>
    <row r="265" spans="2:12">
      <c r="B265" s="140">
        <v>92</v>
      </c>
      <c r="C265" t="s">
        <v>552</v>
      </c>
      <c r="F265" s="650" t="s">
        <v>1186</v>
      </c>
      <c r="H265" s="140">
        <v>92</v>
      </c>
      <c r="I265" t="s">
        <v>552</v>
      </c>
      <c r="L265" s="650" t="s">
        <v>1186</v>
      </c>
    </row>
    <row r="266" spans="2:12">
      <c r="B266" s="140">
        <v>93</v>
      </c>
      <c r="C266" t="s">
        <v>326</v>
      </c>
      <c r="D266" s="136" t="s">
        <v>1889</v>
      </c>
      <c r="E266" t="s">
        <v>749</v>
      </c>
      <c r="F266" s="650">
        <v>16</v>
      </c>
      <c r="H266" s="140">
        <v>93</v>
      </c>
      <c r="I266" t="s">
        <v>326</v>
      </c>
      <c r="J266" s="136" t="s">
        <v>1889</v>
      </c>
      <c r="K266" t="s">
        <v>749</v>
      </c>
      <c r="L266" s="650">
        <v>16</v>
      </c>
    </row>
    <row r="267" spans="2:12">
      <c r="B267" s="140">
        <v>93</v>
      </c>
      <c r="C267" t="s">
        <v>326</v>
      </c>
      <c r="D267" s="136" t="s">
        <v>1890</v>
      </c>
      <c r="E267" t="s">
        <v>750</v>
      </c>
      <c r="F267" s="650">
        <v>71</v>
      </c>
      <c r="H267" s="140">
        <v>93</v>
      </c>
      <c r="I267" t="s">
        <v>326</v>
      </c>
      <c r="J267" s="136" t="s">
        <v>1890</v>
      </c>
      <c r="K267" t="s">
        <v>750</v>
      </c>
      <c r="L267" s="650">
        <v>71</v>
      </c>
    </row>
    <row r="268" spans="2:12">
      <c r="B268" s="140">
        <v>93</v>
      </c>
      <c r="C268" t="s">
        <v>326</v>
      </c>
      <c r="D268" s="136" t="s">
        <v>1891</v>
      </c>
      <c r="E268" t="s">
        <v>751</v>
      </c>
      <c r="F268" s="650">
        <v>23</v>
      </c>
      <c r="H268" s="140">
        <v>93</v>
      </c>
      <c r="I268" t="s">
        <v>326</v>
      </c>
      <c r="J268" s="136" t="s">
        <v>1891</v>
      </c>
      <c r="K268" t="s">
        <v>751</v>
      </c>
      <c r="L268" s="650">
        <v>23</v>
      </c>
    </row>
    <row r="269" spans="2:12">
      <c r="B269" s="140">
        <v>93</v>
      </c>
      <c r="C269" t="s">
        <v>326</v>
      </c>
      <c r="D269" s="136" t="s">
        <v>1892</v>
      </c>
      <c r="E269" t="s">
        <v>752</v>
      </c>
      <c r="F269" s="650">
        <v>65</v>
      </c>
      <c r="H269" s="140">
        <v>93</v>
      </c>
      <c r="I269" t="s">
        <v>326</v>
      </c>
      <c r="J269" s="136" t="s">
        <v>1892</v>
      </c>
      <c r="K269" t="s">
        <v>752</v>
      </c>
      <c r="L269" s="650">
        <v>65</v>
      </c>
    </row>
    <row r="270" spans="2:12">
      <c r="B270" s="140">
        <v>93</v>
      </c>
      <c r="C270" t="s">
        <v>326</v>
      </c>
      <c r="D270" s="136" t="s">
        <v>1893</v>
      </c>
      <c r="E270" t="s">
        <v>754</v>
      </c>
      <c r="F270" s="650">
        <v>55</v>
      </c>
      <c r="H270" s="140">
        <v>93</v>
      </c>
      <c r="I270" t="s">
        <v>326</v>
      </c>
      <c r="J270" s="136" t="s">
        <v>1893</v>
      </c>
      <c r="K270" t="s">
        <v>754</v>
      </c>
      <c r="L270" s="650">
        <v>55</v>
      </c>
    </row>
    <row r="271" spans="2:12">
      <c r="B271" s="140">
        <v>93</v>
      </c>
      <c r="C271" t="s">
        <v>326</v>
      </c>
      <c r="D271" s="136" t="s">
        <v>1894</v>
      </c>
      <c r="E271" t="s">
        <v>755</v>
      </c>
      <c r="F271" s="650">
        <v>13</v>
      </c>
      <c r="H271" s="140">
        <v>93</v>
      </c>
      <c r="I271" t="s">
        <v>326</v>
      </c>
      <c r="J271" s="136" t="s">
        <v>1894</v>
      </c>
      <c r="K271" t="s">
        <v>755</v>
      </c>
      <c r="L271" s="650">
        <v>13</v>
      </c>
    </row>
    <row r="272" spans="2:12">
      <c r="B272" s="140">
        <v>93</v>
      </c>
      <c r="C272" t="s">
        <v>326</v>
      </c>
      <c r="D272" s="136" t="s">
        <v>1895</v>
      </c>
      <c r="E272" t="s">
        <v>756</v>
      </c>
      <c r="F272" s="650">
        <v>48</v>
      </c>
      <c r="H272" s="140">
        <v>93</v>
      </c>
      <c r="I272" t="s">
        <v>326</v>
      </c>
      <c r="J272" s="136" t="s">
        <v>1895</v>
      </c>
      <c r="K272" t="s">
        <v>756</v>
      </c>
      <c r="L272" s="650">
        <v>48</v>
      </c>
    </row>
    <row r="273" spans="2:12">
      <c r="B273" s="140">
        <v>93</v>
      </c>
      <c r="C273" t="s">
        <v>326</v>
      </c>
      <c r="D273" s="136" t="s">
        <v>1896</v>
      </c>
      <c r="E273" t="s">
        <v>757</v>
      </c>
      <c r="F273" s="650" t="s">
        <v>1186</v>
      </c>
      <c r="H273" s="140">
        <v>93</v>
      </c>
      <c r="I273" t="s">
        <v>326</v>
      </c>
      <c r="J273" s="136" t="s">
        <v>1896</v>
      </c>
      <c r="K273" t="s">
        <v>757</v>
      </c>
      <c r="L273" s="650" t="s">
        <v>1186</v>
      </c>
    </row>
    <row r="274" spans="2:12">
      <c r="B274" s="140">
        <v>93</v>
      </c>
      <c r="C274" t="s">
        <v>326</v>
      </c>
      <c r="D274" s="136" t="s">
        <v>1897</v>
      </c>
      <c r="E274" t="s">
        <v>758</v>
      </c>
      <c r="F274" s="650" t="s">
        <v>1186</v>
      </c>
      <c r="H274" s="140">
        <v>93</v>
      </c>
      <c r="I274" t="s">
        <v>326</v>
      </c>
      <c r="J274" s="136" t="s">
        <v>1897</v>
      </c>
      <c r="K274" t="s">
        <v>758</v>
      </c>
      <c r="L274" s="650" t="s">
        <v>1186</v>
      </c>
    </row>
    <row r="275" spans="2:12">
      <c r="B275" s="140">
        <v>93</v>
      </c>
      <c r="C275" t="s">
        <v>326</v>
      </c>
      <c r="D275" s="136" t="s">
        <v>1898</v>
      </c>
      <c r="E275" t="s">
        <v>759</v>
      </c>
      <c r="F275" s="650">
        <v>41</v>
      </c>
      <c r="H275" s="140">
        <v>93</v>
      </c>
      <c r="I275" t="s">
        <v>326</v>
      </c>
      <c r="J275" s="136" t="s">
        <v>1898</v>
      </c>
      <c r="K275" t="s">
        <v>759</v>
      </c>
      <c r="L275" s="650">
        <v>41</v>
      </c>
    </row>
    <row r="276" spans="2:12">
      <c r="B276" s="140">
        <v>93</v>
      </c>
      <c r="C276" t="s">
        <v>326</v>
      </c>
      <c r="D276" s="136" t="s">
        <v>1899</v>
      </c>
      <c r="E276" t="s">
        <v>760</v>
      </c>
      <c r="F276" s="650" t="s">
        <v>1186</v>
      </c>
      <c r="H276" s="140">
        <v>93</v>
      </c>
      <c r="I276" t="s">
        <v>326</v>
      </c>
      <c r="J276" s="136" t="s">
        <v>1899</v>
      </c>
      <c r="K276" t="s">
        <v>760</v>
      </c>
      <c r="L276" s="650" t="s">
        <v>1186</v>
      </c>
    </row>
    <row r="277" spans="2:12">
      <c r="B277" s="140">
        <v>93</v>
      </c>
      <c r="C277" t="s">
        <v>326</v>
      </c>
      <c r="D277" s="136" t="s">
        <v>1900</v>
      </c>
      <c r="E277" t="s">
        <v>761</v>
      </c>
      <c r="F277" s="650">
        <v>22</v>
      </c>
      <c r="H277" s="140">
        <v>93</v>
      </c>
      <c r="I277" t="s">
        <v>326</v>
      </c>
      <c r="J277" s="136" t="s">
        <v>1900</v>
      </c>
      <c r="K277" t="s">
        <v>761</v>
      </c>
      <c r="L277" s="650">
        <v>22</v>
      </c>
    </row>
    <row r="278" spans="2:12">
      <c r="B278" s="140">
        <v>93</v>
      </c>
      <c r="C278" t="s">
        <v>326</v>
      </c>
      <c r="D278" s="136" t="s">
        <v>1901</v>
      </c>
      <c r="E278" t="s">
        <v>1902</v>
      </c>
      <c r="F278" s="650" t="s">
        <v>1186</v>
      </c>
      <c r="H278" s="140">
        <v>93</v>
      </c>
      <c r="I278" t="s">
        <v>326</v>
      </c>
      <c r="J278" s="136" t="s">
        <v>1901</v>
      </c>
      <c r="K278" t="s">
        <v>1902</v>
      </c>
      <c r="L278" s="650" t="s">
        <v>1186</v>
      </c>
    </row>
    <row r="279" spans="2:12">
      <c r="B279" s="140">
        <v>93</v>
      </c>
      <c r="C279" t="s">
        <v>326</v>
      </c>
      <c r="D279" s="136" t="s">
        <v>1903</v>
      </c>
      <c r="E279" t="s">
        <v>762</v>
      </c>
      <c r="F279" s="650" t="s">
        <v>1186</v>
      </c>
      <c r="H279" s="140">
        <v>93</v>
      </c>
      <c r="I279" t="s">
        <v>326</v>
      </c>
      <c r="J279" s="136" t="s">
        <v>1903</v>
      </c>
      <c r="K279" t="s">
        <v>762</v>
      </c>
      <c r="L279" s="650" t="s">
        <v>1186</v>
      </c>
    </row>
    <row r="280" spans="2:12">
      <c r="B280" s="140">
        <v>93</v>
      </c>
      <c r="C280" t="s">
        <v>326</v>
      </c>
      <c r="D280" s="136" t="s">
        <v>1904</v>
      </c>
      <c r="E280" t="s">
        <v>1905</v>
      </c>
      <c r="F280" s="650" t="s">
        <v>1186</v>
      </c>
      <c r="H280" s="140">
        <v>93</v>
      </c>
      <c r="I280" t="s">
        <v>326</v>
      </c>
      <c r="J280" s="136" t="s">
        <v>1904</v>
      </c>
      <c r="K280" t="s">
        <v>1905</v>
      </c>
      <c r="L280" s="650" t="s">
        <v>1186</v>
      </c>
    </row>
    <row r="281" spans="2:12">
      <c r="B281" s="140">
        <v>93</v>
      </c>
      <c r="C281" t="s">
        <v>326</v>
      </c>
      <c r="D281" s="136" t="s">
        <v>1906</v>
      </c>
      <c r="E281" t="s">
        <v>764</v>
      </c>
      <c r="F281" s="650" t="s">
        <v>1186</v>
      </c>
      <c r="H281" s="140">
        <v>93</v>
      </c>
      <c r="I281" t="s">
        <v>326</v>
      </c>
      <c r="J281" s="136" t="s">
        <v>1906</v>
      </c>
      <c r="K281" t="s">
        <v>764</v>
      </c>
      <c r="L281" s="650" t="s">
        <v>1186</v>
      </c>
    </row>
    <row r="282" spans="2:12">
      <c r="B282" s="140">
        <v>93</v>
      </c>
      <c r="C282" t="s">
        <v>326</v>
      </c>
      <c r="D282" s="136" t="s">
        <v>1907</v>
      </c>
      <c r="E282" t="s">
        <v>1908</v>
      </c>
      <c r="F282" s="650" t="s">
        <v>1186</v>
      </c>
      <c r="H282" s="140">
        <v>93</v>
      </c>
      <c r="I282" t="s">
        <v>326</v>
      </c>
      <c r="J282" s="136" t="s">
        <v>1907</v>
      </c>
      <c r="K282" t="s">
        <v>1908</v>
      </c>
      <c r="L282" s="650" t="s">
        <v>1186</v>
      </c>
    </row>
    <row r="283" spans="2:12">
      <c r="B283" s="140">
        <v>93</v>
      </c>
      <c r="C283" t="s">
        <v>326</v>
      </c>
      <c r="D283" s="136" t="s">
        <v>1909</v>
      </c>
      <c r="E283" t="s">
        <v>1910</v>
      </c>
      <c r="F283" s="650">
        <v>12</v>
      </c>
      <c r="H283" s="140">
        <v>93</v>
      </c>
      <c r="I283" t="s">
        <v>326</v>
      </c>
      <c r="J283" s="136" t="s">
        <v>1909</v>
      </c>
      <c r="K283" t="s">
        <v>1910</v>
      </c>
      <c r="L283" s="650">
        <v>12</v>
      </c>
    </row>
    <row r="284" spans="2:12">
      <c r="B284" s="140">
        <v>93</v>
      </c>
      <c r="C284" t="s">
        <v>326</v>
      </c>
      <c r="D284" s="136" t="s">
        <v>1911</v>
      </c>
      <c r="E284" t="s">
        <v>767</v>
      </c>
      <c r="F284" s="650" t="s">
        <v>1186</v>
      </c>
      <c r="H284" s="140">
        <v>93</v>
      </c>
      <c r="I284" t="s">
        <v>326</v>
      </c>
      <c r="J284" s="136" t="s">
        <v>1911</v>
      </c>
      <c r="K284" t="s">
        <v>767</v>
      </c>
      <c r="L284" s="650" t="s">
        <v>1186</v>
      </c>
    </row>
    <row r="285" spans="2:12">
      <c r="B285" s="140">
        <v>93</v>
      </c>
      <c r="C285" t="s">
        <v>326</v>
      </c>
      <c r="D285" s="136" t="s">
        <v>1912</v>
      </c>
      <c r="E285" t="s">
        <v>768</v>
      </c>
      <c r="F285" s="650" t="s">
        <v>1186</v>
      </c>
      <c r="H285" s="140">
        <v>93</v>
      </c>
      <c r="I285" t="s">
        <v>326</v>
      </c>
      <c r="J285" s="136" t="s">
        <v>1912</v>
      </c>
      <c r="K285" t="s">
        <v>768</v>
      </c>
      <c r="L285" s="650" t="s">
        <v>1186</v>
      </c>
    </row>
    <row r="286" spans="2:12">
      <c r="B286" s="140">
        <v>93</v>
      </c>
      <c r="C286" t="s">
        <v>326</v>
      </c>
      <c r="D286" s="136" t="s">
        <v>1913</v>
      </c>
      <c r="E286" t="s">
        <v>1914</v>
      </c>
      <c r="F286" s="650" t="s">
        <v>1186</v>
      </c>
      <c r="H286" s="140">
        <v>93</v>
      </c>
      <c r="I286" t="s">
        <v>326</v>
      </c>
      <c r="J286" s="136" t="s">
        <v>1913</v>
      </c>
      <c r="K286" t="s">
        <v>1914</v>
      </c>
      <c r="L286" s="650" t="s">
        <v>1186</v>
      </c>
    </row>
    <row r="287" spans="2:12">
      <c r="B287" s="140">
        <v>93</v>
      </c>
      <c r="C287" t="s">
        <v>326</v>
      </c>
      <c r="D287" s="136" t="s">
        <v>1915</v>
      </c>
      <c r="E287" t="s">
        <v>769</v>
      </c>
      <c r="F287" s="650">
        <v>93</v>
      </c>
      <c r="H287" s="140">
        <v>93</v>
      </c>
      <c r="I287" t="s">
        <v>326</v>
      </c>
      <c r="J287" s="136" t="s">
        <v>1915</v>
      </c>
      <c r="K287" t="s">
        <v>769</v>
      </c>
      <c r="L287" s="650">
        <v>93</v>
      </c>
    </row>
    <row r="288" spans="2:12">
      <c r="B288" s="140">
        <v>93</v>
      </c>
      <c r="C288" t="s">
        <v>326</v>
      </c>
      <c r="D288" s="136" t="s">
        <v>1916</v>
      </c>
      <c r="E288" t="s">
        <v>770</v>
      </c>
      <c r="F288" s="650">
        <v>119</v>
      </c>
      <c r="H288" s="140">
        <v>93</v>
      </c>
      <c r="I288" t="s">
        <v>326</v>
      </c>
      <c r="J288" s="136" t="s">
        <v>1916</v>
      </c>
      <c r="K288" t="s">
        <v>770</v>
      </c>
      <c r="L288" s="650">
        <v>119</v>
      </c>
    </row>
    <row r="289" spans="2:12">
      <c r="B289" s="140">
        <v>93</v>
      </c>
      <c r="C289" t="s">
        <v>326</v>
      </c>
      <c r="D289" s="136" t="s">
        <v>1917</v>
      </c>
      <c r="E289" t="s">
        <v>587</v>
      </c>
      <c r="F289" s="650">
        <v>33</v>
      </c>
      <c r="H289" s="140">
        <v>93</v>
      </c>
      <c r="I289" t="s">
        <v>326</v>
      </c>
      <c r="J289" s="136" t="s">
        <v>1917</v>
      </c>
      <c r="K289" t="s">
        <v>587</v>
      </c>
      <c r="L289" s="650">
        <v>33</v>
      </c>
    </row>
    <row r="290" spans="2:12">
      <c r="B290" s="140">
        <v>93</v>
      </c>
      <c r="C290" t="s">
        <v>552</v>
      </c>
      <c r="F290" s="650">
        <v>643</v>
      </c>
      <c r="H290" s="140">
        <v>93</v>
      </c>
      <c r="I290" t="s">
        <v>552</v>
      </c>
      <c r="L290" s="650">
        <v>643</v>
      </c>
    </row>
    <row r="291" spans="2:12">
      <c r="B291" s="140">
        <v>101</v>
      </c>
      <c r="C291" t="s">
        <v>327</v>
      </c>
      <c r="D291" s="136" t="s">
        <v>1919</v>
      </c>
      <c r="E291" t="s">
        <v>771</v>
      </c>
      <c r="F291" s="650" t="s">
        <v>1186</v>
      </c>
      <c r="H291" s="140">
        <v>101</v>
      </c>
      <c r="I291" t="s">
        <v>327</v>
      </c>
      <c r="J291" s="136" t="s">
        <v>1919</v>
      </c>
      <c r="K291" t="s">
        <v>771</v>
      </c>
      <c r="L291" s="650" t="s">
        <v>1186</v>
      </c>
    </row>
    <row r="292" spans="2:12">
      <c r="B292" s="140">
        <v>101</v>
      </c>
      <c r="C292" t="s">
        <v>327</v>
      </c>
      <c r="D292" s="136" t="s">
        <v>1920</v>
      </c>
      <c r="E292" t="s">
        <v>772</v>
      </c>
      <c r="F292" s="650" t="s">
        <v>1186</v>
      </c>
      <c r="H292" s="140">
        <v>101</v>
      </c>
      <c r="I292" t="s">
        <v>327</v>
      </c>
      <c r="J292" s="136" t="s">
        <v>1920</v>
      </c>
      <c r="K292" t="s">
        <v>772</v>
      </c>
      <c r="L292" s="650" t="s">
        <v>1186</v>
      </c>
    </row>
    <row r="293" spans="2:12">
      <c r="B293" s="140">
        <v>101</v>
      </c>
      <c r="C293" t="s">
        <v>327</v>
      </c>
      <c r="D293" s="136" t="s">
        <v>1921</v>
      </c>
      <c r="E293" t="s">
        <v>773</v>
      </c>
      <c r="F293" s="650" t="s">
        <v>1186</v>
      </c>
      <c r="H293" s="140">
        <v>101</v>
      </c>
      <c r="I293" t="s">
        <v>327</v>
      </c>
      <c r="J293" s="136" t="s">
        <v>1921</v>
      </c>
      <c r="K293" t="s">
        <v>773</v>
      </c>
      <c r="L293" s="650" t="s">
        <v>1186</v>
      </c>
    </row>
    <row r="294" spans="2:12">
      <c r="B294" s="140">
        <v>101</v>
      </c>
      <c r="C294" t="s">
        <v>327</v>
      </c>
      <c r="D294" s="136" t="s">
        <v>1922</v>
      </c>
      <c r="E294" t="s">
        <v>774</v>
      </c>
      <c r="F294" s="650" t="s">
        <v>1186</v>
      </c>
      <c r="H294" s="140">
        <v>101</v>
      </c>
      <c r="I294" t="s">
        <v>327</v>
      </c>
      <c r="J294" s="136" t="s">
        <v>1922</v>
      </c>
      <c r="K294" t="s">
        <v>774</v>
      </c>
      <c r="L294" s="650" t="s">
        <v>1186</v>
      </c>
    </row>
    <row r="295" spans="2:12">
      <c r="B295" s="140">
        <v>101</v>
      </c>
      <c r="C295" t="s">
        <v>327</v>
      </c>
      <c r="D295" s="136" t="s">
        <v>1923</v>
      </c>
      <c r="E295" t="s">
        <v>531</v>
      </c>
      <c r="F295" s="650" t="s">
        <v>1186</v>
      </c>
      <c r="H295" s="140">
        <v>101</v>
      </c>
      <c r="I295" t="s">
        <v>327</v>
      </c>
      <c r="J295" s="136" t="s">
        <v>1923</v>
      </c>
      <c r="K295" t="s">
        <v>531</v>
      </c>
      <c r="L295" s="650" t="s">
        <v>1186</v>
      </c>
    </row>
    <row r="296" spans="2:12">
      <c r="B296" s="140">
        <v>101</v>
      </c>
      <c r="C296" t="s">
        <v>552</v>
      </c>
      <c r="F296" s="650">
        <v>10</v>
      </c>
      <c r="H296" s="140">
        <v>101</v>
      </c>
      <c r="I296" t="s">
        <v>552</v>
      </c>
      <c r="L296" s="650">
        <v>10</v>
      </c>
    </row>
    <row r="297" spans="2:12">
      <c r="B297" s="140">
        <v>111</v>
      </c>
      <c r="C297" t="s">
        <v>328</v>
      </c>
      <c r="D297" s="136" t="s">
        <v>1925</v>
      </c>
      <c r="E297" t="s">
        <v>775</v>
      </c>
      <c r="F297" s="650" t="s">
        <v>1186</v>
      </c>
      <c r="H297" s="140">
        <v>111</v>
      </c>
      <c r="I297" t="s">
        <v>328</v>
      </c>
      <c r="J297" s="136" t="s">
        <v>1925</v>
      </c>
      <c r="K297" t="s">
        <v>775</v>
      </c>
      <c r="L297" s="650" t="s">
        <v>1186</v>
      </c>
    </row>
    <row r="298" spans="2:12">
      <c r="B298" s="140">
        <v>111</v>
      </c>
      <c r="C298" t="s">
        <v>328</v>
      </c>
      <c r="D298" s="136" t="s">
        <v>1926</v>
      </c>
      <c r="E298" t="s">
        <v>776</v>
      </c>
      <c r="F298" s="650" t="s">
        <v>1186</v>
      </c>
      <c r="H298" s="140">
        <v>111</v>
      </c>
      <c r="I298" t="s">
        <v>328</v>
      </c>
      <c r="J298" s="136" t="s">
        <v>1926</v>
      </c>
      <c r="K298" t="s">
        <v>776</v>
      </c>
      <c r="L298" s="650" t="s">
        <v>1186</v>
      </c>
    </row>
    <row r="299" spans="2:12">
      <c r="B299" s="140">
        <v>111</v>
      </c>
      <c r="C299" t="s">
        <v>328</v>
      </c>
      <c r="D299" s="136" t="s">
        <v>1927</v>
      </c>
      <c r="E299" t="s">
        <v>777</v>
      </c>
      <c r="F299" s="650" t="s">
        <v>1186</v>
      </c>
      <c r="H299" s="140">
        <v>111</v>
      </c>
      <c r="I299" t="s">
        <v>328</v>
      </c>
      <c r="J299" s="136" t="s">
        <v>1927</v>
      </c>
      <c r="K299" t="s">
        <v>777</v>
      </c>
      <c r="L299" s="650" t="s">
        <v>1186</v>
      </c>
    </row>
    <row r="300" spans="2:12">
      <c r="B300" s="140">
        <v>111</v>
      </c>
      <c r="C300" t="s">
        <v>328</v>
      </c>
      <c r="D300" s="136" t="s">
        <v>1928</v>
      </c>
      <c r="E300" t="s">
        <v>778</v>
      </c>
      <c r="F300" s="650" t="s">
        <v>1186</v>
      </c>
      <c r="H300" s="140">
        <v>111</v>
      </c>
      <c r="I300" t="s">
        <v>328</v>
      </c>
      <c r="J300" s="136" t="s">
        <v>1928</v>
      </c>
      <c r="K300" t="s">
        <v>778</v>
      </c>
      <c r="L300" s="650" t="s">
        <v>1186</v>
      </c>
    </row>
    <row r="301" spans="2:12">
      <c r="B301" s="140">
        <v>111</v>
      </c>
      <c r="C301" t="s">
        <v>552</v>
      </c>
      <c r="F301" s="650">
        <v>17</v>
      </c>
      <c r="H301" s="140">
        <v>111</v>
      </c>
      <c r="I301" t="s">
        <v>552</v>
      </c>
      <c r="L301" s="650">
        <v>17</v>
      </c>
    </row>
    <row r="302" spans="2:12">
      <c r="B302" s="140">
        <v>121</v>
      </c>
      <c r="C302" t="s">
        <v>329</v>
      </c>
      <c r="D302" s="136" t="s">
        <v>1930</v>
      </c>
      <c r="E302" t="s">
        <v>779</v>
      </c>
      <c r="F302" s="650" t="s">
        <v>1186</v>
      </c>
      <c r="H302" s="140">
        <v>121</v>
      </c>
      <c r="I302" t="s">
        <v>329</v>
      </c>
      <c r="J302" s="136" t="s">
        <v>1930</v>
      </c>
      <c r="K302" t="s">
        <v>779</v>
      </c>
      <c r="L302" s="650" t="s">
        <v>1186</v>
      </c>
    </row>
    <row r="303" spans="2:12">
      <c r="B303" s="140">
        <v>121</v>
      </c>
      <c r="C303" t="s">
        <v>329</v>
      </c>
      <c r="D303" s="136" t="s">
        <v>1931</v>
      </c>
      <c r="E303" t="s">
        <v>780</v>
      </c>
      <c r="F303" s="650" t="s">
        <v>1186</v>
      </c>
      <c r="H303" s="140">
        <v>121</v>
      </c>
      <c r="I303" t="s">
        <v>329</v>
      </c>
      <c r="J303" s="136" t="s">
        <v>1931</v>
      </c>
      <c r="K303" t="s">
        <v>780</v>
      </c>
      <c r="L303" s="650" t="s">
        <v>1186</v>
      </c>
    </row>
    <row r="304" spans="2:12">
      <c r="B304" s="140">
        <v>121</v>
      </c>
      <c r="C304" t="s">
        <v>552</v>
      </c>
      <c r="F304" s="650" t="s">
        <v>1186</v>
      </c>
      <c r="H304" s="140">
        <v>121</v>
      </c>
      <c r="I304" t="s">
        <v>552</v>
      </c>
      <c r="L304" s="650" t="s">
        <v>1186</v>
      </c>
    </row>
    <row r="305" spans="2:12">
      <c r="B305" s="140">
        <v>131</v>
      </c>
      <c r="C305" t="s">
        <v>330</v>
      </c>
      <c r="D305" s="136" t="s">
        <v>1932</v>
      </c>
      <c r="E305" t="s">
        <v>781</v>
      </c>
      <c r="F305" s="650">
        <v>126</v>
      </c>
      <c r="H305" s="140">
        <v>131</v>
      </c>
      <c r="I305" t="s">
        <v>330</v>
      </c>
      <c r="J305" s="136" t="s">
        <v>1932</v>
      </c>
      <c r="K305" t="s">
        <v>781</v>
      </c>
      <c r="L305" s="650">
        <v>126</v>
      </c>
    </row>
    <row r="306" spans="2:12">
      <c r="B306" s="140">
        <v>131</v>
      </c>
      <c r="C306" t="s">
        <v>330</v>
      </c>
      <c r="D306" s="136" t="s">
        <v>1933</v>
      </c>
      <c r="E306" t="s">
        <v>782</v>
      </c>
      <c r="F306" s="650">
        <v>92</v>
      </c>
      <c r="H306" s="140">
        <v>131</v>
      </c>
      <c r="I306" t="s">
        <v>330</v>
      </c>
      <c r="J306" s="136" t="s">
        <v>1933</v>
      </c>
      <c r="K306" t="s">
        <v>782</v>
      </c>
      <c r="L306" s="650">
        <v>92</v>
      </c>
    </row>
    <row r="307" spans="2:12">
      <c r="B307" s="140">
        <v>131</v>
      </c>
      <c r="C307" t="s">
        <v>330</v>
      </c>
      <c r="D307" s="136" t="s">
        <v>1934</v>
      </c>
      <c r="E307" t="s">
        <v>783</v>
      </c>
      <c r="F307" s="650">
        <v>76</v>
      </c>
      <c r="H307" s="140">
        <v>131</v>
      </c>
      <c r="I307" t="s">
        <v>330</v>
      </c>
      <c r="J307" s="136" t="s">
        <v>1934</v>
      </c>
      <c r="K307" t="s">
        <v>783</v>
      </c>
      <c r="L307" s="650">
        <v>76</v>
      </c>
    </row>
    <row r="308" spans="2:12">
      <c r="B308" s="140">
        <v>131</v>
      </c>
      <c r="C308" t="s">
        <v>330</v>
      </c>
      <c r="D308" s="136" t="s">
        <v>1935</v>
      </c>
      <c r="E308" t="s">
        <v>784</v>
      </c>
      <c r="F308" s="650">
        <v>82</v>
      </c>
      <c r="H308" s="140">
        <v>131</v>
      </c>
      <c r="I308" t="s">
        <v>330</v>
      </c>
      <c r="J308" s="136" t="s">
        <v>1935</v>
      </c>
      <c r="K308" t="s">
        <v>784</v>
      </c>
      <c r="L308" s="650">
        <v>82</v>
      </c>
    </row>
    <row r="309" spans="2:12">
      <c r="B309" s="140">
        <v>131</v>
      </c>
      <c r="C309" t="s">
        <v>330</v>
      </c>
      <c r="D309" s="136" t="s">
        <v>1936</v>
      </c>
      <c r="E309" t="s">
        <v>785</v>
      </c>
      <c r="F309" s="650">
        <v>51</v>
      </c>
      <c r="H309" s="140">
        <v>131</v>
      </c>
      <c r="I309" t="s">
        <v>330</v>
      </c>
      <c r="J309" s="136" t="s">
        <v>1936</v>
      </c>
      <c r="K309" t="s">
        <v>785</v>
      </c>
      <c r="L309" s="650">
        <v>51</v>
      </c>
    </row>
    <row r="310" spans="2:12">
      <c r="B310" s="140">
        <v>131</v>
      </c>
      <c r="C310" t="s">
        <v>330</v>
      </c>
      <c r="D310" s="136" t="s">
        <v>1937</v>
      </c>
      <c r="E310" t="s">
        <v>786</v>
      </c>
      <c r="F310" s="650">
        <v>62</v>
      </c>
      <c r="H310" s="140">
        <v>131</v>
      </c>
      <c r="I310" t="s">
        <v>330</v>
      </c>
      <c r="J310" s="136" t="s">
        <v>1937</v>
      </c>
      <c r="K310" t="s">
        <v>786</v>
      </c>
      <c r="L310" s="650">
        <v>62</v>
      </c>
    </row>
    <row r="311" spans="2:12">
      <c r="B311" s="140">
        <v>131</v>
      </c>
      <c r="C311" t="s">
        <v>330</v>
      </c>
      <c r="D311" s="136" t="s">
        <v>1938</v>
      </c>
      <c r="E311" t="s">
        <v>787</v>
      </c>
      <c r="F311" s="650">
        <v>49</v>
      </c>
      <c r="H311" s="140">
        <v>131</v>
      </c>
      <c r="I311" t="s">
        <v>330</v>
      </c>
      <c r="J311" s="136" t="s">
        <v>1938</v>
      </c>
      <c r="K311" t="s">
        <v>787</v>
      </c>
      <c r="L311" s="650">
        <v>49</v>
      </c>
    </row>
    <row r="312" spans="2:12">
      <c r="B312" s="140">
        <v>131</v>
      </c>
      <c r="C312" t="s">
        <v>330</v>
      </c>
      <c r="D312" s="136" t="s">
        <v>1939</v>
      </c>
      <c r="E312" t="s">
        <v>788</v>
      </c>
      <c r="F312" s="650">
        <v>49</v>
      </c>
      <c r="H312" s="140">
        <v>131</v>
      </c>
      <c r="I312" t="s">
        <v>330</v>
      </c>
      <c r="J312" s="136" t="s">
        <v>1939</v>
      </c>
      <c r="K312" t="s">
        <v>788</v>
      </c>
      <c r="L312" s="650">
        <v>49</v>
      </c>
    </row>
    <row r="313" spans="2:12">
      <c r="B313" s="140">
        <v>131</v>
      </c>
      <c r="C313" t="s">
        <v>330</v>
      </c>
      <c r="D313" s="136" t="s">
        <v>1940</v>
      </c>
      <c r="E313" t="s">
        <v>526</v>
      </c>
      <c r="F313" s="650">
        <v>43</v>
      </c>
      <c r="H313" s="140">
        <v>131</v>
      </c>
      <c r="I313" t="s">
        <v>330</v>
      </c>
      <c r="J313" s="136" t="s">
        <v>1940</v>
      </c>
      <c r="K313" t="s">
        <v>526</v>
      </c>
      <c r="L313" s="650">
        <v>43</v>
      </c>
    </row>
    <row r="314" spans="2:12">
      <c r="B314" s="140">
        <v>131</v>
      </c>
      <c r="C314" t="s">
        <v>330</v>
      </c>
      <c r="D314" s="136" t="s">
        <v>1941</v>
      </c>
      <c r="E314" t="s">
        <v>789</v>
      </c>
      <c r="F314" s="650">
        <v>35</v>
      </c>
      <c r="H314" s="140">
        <v>131</v>
      </c>
      <c r="I314" t="s">
        <v>330</v>
      </c>
      <c r="J314" s="136" t="s">
        <v>1941</v>
      </c>
      <c r="K314" t="s">
        <v>789</v>
      </c>
      <c r="L314" s="650">
        <v>35</v>
      </c>
    </row>
    <row r="315" spans="2:12">
      <c r="B315" s="140">
        <v>131</v>
      </c>
      <c r="C315" t="s">
        <v>330</v>
      </c>
      <c r="D315" s="136" t="s">
        <v>1942</v>
      </c>
      <c r="E315" t="s">
        <v>524</v>
      </c>
      <c r="F315" s="650">
        <v>69</v>
      </c>
      <c r="H315" s="140">
        <v>131</v>
      </c>
      <c r="I315" t="s">
        <v>330</v>
      </c>
      <c r="J315" s="136" t="s">
        <v>1942</v>
      </c>
      <c r="K315" t="s">
        <v>524</v>
      </c>
      <c r="L315" s="650">
        <v>69</v>
      </c>
    </row>
    <row r="316" spans="2:12">
      <c r="B316" s="140">
        <v>131</v>
      </c>
      <c r="C316" t="s">
        <v>330</v>
      </c>
      <c r="D316" s="136" t="s">
        <v>1943</v>
      </c>
      <c r="E316" t="s">
        <v>790</v>
      </c>
      <c r="F316" s="650">
        <v>111</v>
      </c>
      <c r="H316" s="140">
        <v>131</v>
      </c>
      <c r="I316" t="s">
        <v>330</v>
      </c>
      <c r="J316" s="136" t="s">
        <v>1943</v>
      </c>
      <c r="K316" t="s">
        <v>790</v>
      </c>
      <c r="L316" s="650">
        <v>111</v>
      </c>
    </row>
    <row r="317" spans="2:12">
      <c r="B317" s="140">
        <v>131</v>
      </c>
      <c r="C317" t="s">
        <v>330</v>
      </c>
      <c r="D317" s="136" t="s">
        <v>1944</v>
      </c>
      <c r="E317" t="s">
        <v>791</v>
      </c>
      <c r="F317" s="650">
        <v>225</v>
      </c>
      <c r="H317" s="140">
        <v>131</v>
      </c>
      <c r="I317" t="s">
        <v>330</v>
      </c>
      <c r="J317" s="136" t="s">
        <v>1944</v>
      </c>
      <c r="K317" t="s">
        <v>791</v>
      </c>
      <c r="L317" s="650">
        <v>225</v>
      </c>
    </row>
    <row r="318" spans="2:12">
      <c r="B318" s="140">
        <v>131</v>
      </c>
      <c r="C318" t="s">
        <v>330</v>
      </c>
      <c r="D318" s="136" t="s">
        <v>1945</v>
      </c>
      <c r="E318" t="s">
        <v>792</v>
      </c>
      <c r="F318" s="650">
        <v>43</v>
      </c>
      <c r="H318" s="140">
        <v>131</v>
      </c>
      <c r="I318" t="s">
        <v>330</v>
      </c>
      <c r="J318" s="136" t="s">
        <v>1945</v>
      </c>
      <c r="K318" t="s">
        <v>792</v>
      </c>
      <c r="L318" s="650">
        <v>43</v>
      </c>
    </row>
    <row r="319" spans="2:12">
      <c r="B319" s="140">
        <v>131</v>
      </c>
      <c r="C319" t="s">
        <v>330</v>
      </c>
      <c r="D319" s="136" t="s">
        <v>1946</v>
      </c>
      <c r="E319" t="s">
        <v>793</v>
      </c>
      <c r="F319" s="650">
        <v>107</v>
      </c>
      <c r="H319" s="140">
        <v>131</v>
      </c>
      <c r="I319" t="s">
        <v>330</v>
      </c>
      <c r="J319" s="136" t="s">
        <v>1946</v>
      </c>
      <c r="K319" t="s">
        <v>793</v>
      </c>
      <c r="L319" s="650">
        <v>107</v>
      </c>
    </row>
    <row r="320" spans="2:12">
      <c r="B320" s="140">
        <v>131</v>
      </c>
      <c r="C320" t="s">
        <v>330</v>
      </c>
      <c r="D320" s="136" t="s">
        <v>1947</v>
      </c>
      <c r="E320" t="s">
        <v>794</v>
      </c>
      <c r="F320" s="650">
        <v>162</v>
      </c>
      <c r="H320" s="140">
        <v>131</v>
      </c>
      <c r="I320" t="s">
        <v>330</v>
      </c>
      <c r="J320" s="136" t="s">
        <v>1947</v>
      </c>
      <c r="K320" t="s">
        <v>794</v>
      </c>
      <c r="L320" s="650">
        <v>162</v>
      </c>
    </row>
    <row r="321" spans="2:12">
      <c r="B321" s="140">
        <v>131</v>
      </c>
      <c r="C321" t="s">
        <v>330</v>
      </c>
      <c r="D321" s="136" t="s">
        <v>1948</v>
      </c>
      <c r="E321" t="s">
        <v>795</v>
      </c>
      <c r="F321" s="650">
        <v>162</v>
      </c>
      <c r="H321" s="140">
        <v>131</v>
      </c>
      <c r="I321" t="s">
        <v>330</v>
      </c>
      <c r="J321" s="136" t="s">
        <v>1948</v>
      </c>
      <c r="K321" t="s">
        <v>795</v>
      </c>
      <c r="L321" s="650">
        <v>162</v>
      </c>
    </row>
    <row r="322" spans="2:12">
      <c r="B322" s="140">
        <v>131</v>
      </c>
      <c r="C322" t="s">
        <v>330</v>
      </c>
      <c r="D322" s="136" t="s">
        <v>1949</v>
      </c>
      <c r="E322" t="s">
        <v>796</v>
      </c>
      <c r="F322" s="650">
        <v>122</v>
      </c>
      <c r="H322" s="140">
        <v>131</v>
      </c>
      <c r="I322" t="s">
        <v>330</v>
      </c>
      <c r="J322" s="136" t="s">
        <v>1949</v>
      </c>
      <c r="K322" t="s">
        <v>796</v>
      </c>
      <c r="L322" s="650">
        <v>122</v>
      </c>
    </row>
    <row r="323" spans="2:12">
      <c r="B323" s="140">
        <v>131</v>
      </c>
      <c r="C323" t="s">
        <v>330</v>
      </c>
      <c r="D323" s="136" t="s">
        <v>1950</v>
      </c>
      <c r="E323" t="s">
        <v>797</v>
      </c>
      <c r="F323" s="650">
        <v>208</v>
      </c>
      <c r="H323" s="140">
        <v>131</v>
      </c>
      <c r="I323" t="s">
        <v>330</v>
      </c>
      <c r="J323" s="136" t="s">
        <v>1950</v>
      </c>
      <c r="K323" t="s">
        <v>797</v>
      </c>
      <c r="L323" s="650">
        <v>208</v>
      </c>
    </row>
    <row r="324" spans="2:12">
      <c r="B324" s="140">
        <v>131</v>
      </c>
      <c r="C324" t="s">
        <v>330</v>
      </c>
      <c r="D324" s="136" t="s">
        <v>1951</v>
      </c>
      <c r="E324" t="s">
        <v>798</v>
      </c>
      <c r="F324" s="650">
        <v>207</v>
      </c>
      <c r="H324" s="140">
        <v>131</v>
      </c>
      <c r="I324" t="s">
        <v>330</v>
      </c>
      <c r="J324" s="136" t="s">
        <v>1951</v>
      </c>
      <c r="K324" t="s">
        <v>798</v>
      </c>
      <c r="L324" s="650">
        <v>207</v>
      </c>
    </row>
    <row r="325" spans="2:12">
      <c r="B325" s="140">
        <v>131</v>
      </c>
      <c r="C325" t="s">
        <v>330</v>
      </c>
      <c r="D325" s="136" t="s">
        <v>1952</v>
      </c>
      <c r="E325" t="s">
        <v>1953</v>
      </c>
      <c r="F325" s="650">
        <v>33</v>
      </c>
      <c r="H325" s="140">
        <v>131</v>
      </c>
      <c r="I325" t="s">
        <v>330</v>
      </c>
      <c r="J325" s="136" t="s">
        <v>1952</v>
      </c>
      <c r="K325" t="s">
        <v>1953</v>
      </c>
      <c r="L325" s="650">
        <v>33</v>
      </c>
    </row>
    <row r="326" spans="2:12">
      <c r="B326" s="140">
        <v>131</v>
      </c>
      <c r="C326" t="s">
        <v>330</v>
      </c>
      <c r="D326" s="136" t="s">
        <v>1954</v>
      </c>
      <c r="E326" t="s">
        <v>800</v>
      </c>
      <c r="F326" s="650">
        <v>169</v>
      </c>
      <c r="H326" s="140">
        <v>131</v>
      </c>
      <c r="I326" t="s">
        <v>330</v>
      </c>
      <c r="J326" s="136" t="s">
        <v>1954</v>
      </c>
      <c r="K326" t="s">
        <v>800</v>
      </c>
      <c r="L326" s="650">
        <v>169</v>
      </c>
    </row>
    <row r="327" spans="2:12">
      <c r="B327" s="140">
        <v>131</v>
      </c>
      <c r="C327" t="s">
        <v>552</v>
      </c>
      <c r="F327" s="650">
        <v>2283</v>
      </c>
      <c r="H327" s="140">
        <v>131</v>
      </c>
      <c r="I327" t="s">
        <v>552</v>
      </c>
      <c r="L327" s="650">
        <v>2283</v>
      </c>
    </row>
    <row r="328" spans="2:12">
      <c r="B328" s="140">
        <v>132</v>
      </c>
      <c r="C328" t="s">
        <v>331</v>
      </c>
      <c r="D328" s="136" t="s">
        <v>1956</v>
      </c>
      <c r="E328" t="s">
        <v>801</v>
      </c>
      <c r="F328" s="650">
        <v>131</v>
      </c>
      <c r="H328" s="140">
        <v>132</v>
      </c>
      <c r="I328" t="s">
        <v>331</v>
      </c>
      <c r="J328" s="136" t="s">
        <v>1956</v>
      </c>
      <c r="K328" t="s">
        <v>801</v>
      </c>
      <c r="L328" s="650">
        <v>131</v>
      </c>
    </row>
    <row r="329" spans="2:12">
      <c r="B329" s="140">
        <v>132</v>
      </c>
      <c r="C329" t="s">
        <v>331</v>
      </c>
      <c r="D329" s="136" t="s">
        <v>1957</v>
      </c>
      <c r="E329" t="s">
        <v>802</v>
      </c>
      <c r="F329" s="650">
        <v>180</v>
      </c>
      <c r="H329" s="140">
        <v>132</v>
      </c>
      <c r="I329" t="s">
        <v>331</v>
      </c>
      <c r="J329" s="136" t="s">
        <v>1957</v>
      </c>
      <c r="K329" t="s">
        <v>802</v>
      </c>
      <c r="L329" s="650">
        <v>180</v>
      </c>
    </row>
    <row r="330" spans="2:12">
      <c r="B330" s="140">
        <v>132</v>
      </c>
      <c r="C330" t="s">
        <v>331</v>
      </c>
      <c r="D330" s="136" t="s">
        <v>1958</v>
      </c>
      <c r="E330" t="s">
        <v>803</v>
      </c>
      <c r="F330" s="650">
        <v>184</v>
      </c>
      <c r="H330" s="140">
        <v>132</v>
      </c>
      <c r="I330" t="s">
        <v>331</v>
      </c>
      <c r="J330" s="136" t="s">
        <v>1958</v>
      </c>
      <c r="K330" t="s">
        <v>803</v>
      </c>
      <c r="L330" s="650">
        <v>184</v>
      </c>
    </row>
    <row r="331" spans="2:12">
      <c r="B331" s="140">
        <v>132</v>
      </c>
      <c r="C331" t="s">
        <v>331</v>
      </c>
      <c r="D331" s="136" t="s">
        <v>1959</v>
      </c>
      <c r="E331" t="s">
        <v>804</v>
      </c>
      <c r="F331" s="650">
        <v>181</v>
      </c>
      <c r="H331" s="140">
        <v>132</v>
      </c>
      <c r="I331" t="s">
        <v>331</v>
      </c>
      <c r="J331" s="136" t="s">
        <v>1959</v>
      </c>
      <c r="K331" t="s">
        <v>804</v>
      </c>
      <c r="L331" s="650">
        <v>181</v>
      </c>
    </row>
    <row r="332" spans="2:12">
      <c r="B332" s="140">
        <v>132</v>
      </c>
      <c r="C332" t="s">
        <v>331</v>
      </c>
      <c r="D332" s="136" t="s">
        <v>1960</v>
      </c>
      <c r="E332" t="s">
        <v>805</v>
      </c>
      <c r="F332" s="650">
        <v>142</v>
      </c>
      <c r="H332" s="140">
        <v>132</v>
      </c>
      <c r="I332" t="s">
        <v>331</v>
      </c>
      <c r="J332" s="136" t="s">
        <v>1960</v>
      </c>
      <c r="K332" t="s">
        <v>805</v>
      </c>
      <c r="L332" s="650">
        <v>142</v>
      </c>
    </row>
    <row r="333" spans="2:12">
      <c r="B333" s="140">
        <v>132</v>
      </c>
      <c r="C333" t="s">
        <v>331</v>
      </c>
      <c r="D333" s="136" t="s">
        <v>1961</v>
      </c>
      <c r="E333" t="s">
        <v>519</v>
      </c>
      <c r="F333" s="650">
        <v>278</v>
      </c>
      <c r="H333" s="140">
        <v>132</v>
      </c>
      <c r="I333" t="s">
        <v>331</v>
      </c>
      <c r="J333" s="136" t="s">
        <v>1961</v>
      </c>
      <c r="K333" t="s">
        <v>519</v>
      </c>
      <c r="L333" s="650">
        <v>278</v>
      </c>
    </row>
    <row r="334" spans="2:12">
      <c r="B334" s="140">
        <v>132</v>
      </c>
      <c r="C334" t="s">
        <v>331</v>
      </c>
      <c r="D334" s="136" t="s">
        <v>1962</v>
      </c>
      <c r="E334" t="s">
        <v>806</v>
      </c>
      <c r="F334" s="650">
        <v>109</v>
      </c>
      <c r="H334" s="140">
        <v>132</v>
      </c>
      <c r="I334" t="s">
        <v>331</v>
      </c>
      <c r="J334" s="136" t="s">
        <v>1962</v>
      </c>
      <c r="K334" t="s">
        <v>806</v>
      </c>
      <c r="L334" s="650">
        <v>109</v>
      </c>
    </row>
    <row r="335" spans="2:12">
      <c r="B335" s="140">
        <v>132</v>
      </c>
      <c r="C335" t="s">
        <v>331</v>
      </c>
      <c r="D335" s="136" t="s">
        <v>1963</v>
      </c>
      <c r="E335" t="s">
        <v>807</v>
      </c>
      <c r="F335" s="650">
        <v>236</v>
      </c>
      <c r="H335" s="140">
        <v>132</v>
      </c>
      <c r="I335" t="s">
        <v>331</v>
      </c>
      <c r="J335" s="136" t="s">
        <v>1963</v>
      </c>
      <c r="K335" t="s">
        <v>807</v>
      </c>
      <c r="L335" s="650">
        <v>236</v>
      </c>
    </row>
    <row r="336" spans="2:12">
      <c r="B336" s="140">
        <v>132</v>
      </c>
      <c r="C336" t="s">
        <v>331</v>
      </c>
      <c r="D336" s="136" t="s">
        <v>1964</v>
      </c>
      <c r="E336" t="s">
        <v>808</v>
      </c>
      <c r="F336" s="650">
        <v>222</v>
      </c>
      <c r="H336" s="140">
        <v>132</v>
      </c>
      <c r="I336" t="s">
        <v>331</v>
      </c>
      <c r="J336" s="136" t="s">
        <v>1964</v>
      </c>
      <c r="K336" t="s">
        <v>808</v>
      </c>
      <c r="L336" s="650">
        <v>222</v>
      </c>
    </row>
    <row r="337" spans="2:12">
      <c r="B337" s="140">
        <v>132</v>
      </c>
      <c r="C337" t="s">
        <v>331</v>
      </c>
      <c r="D337" s="136" t="s">
        <v>1965</v>
      </c>
      <c r="E337" t="s">
        <v>1966</v>
      </c>
      <c r="F337" s="650" t="s">
        <v>1186</v>
      </c>
      <c r="H337" s="140">
        <v>132</v>
      </c>
      <c r="I337" t="s">
        <v>331</v>
      </c>
      <c r="J337" s="136" t="s">
        <v>1965</v>
      </c>
      <c r="K337" t="s">
        <v>1966</v>
      </c>
      <c r="L337" s="650" t="s">
        <v>1186</v>
      </c>
    </row>
    <row r="338" spans="2:12">
      <c r="B338" s="140">
        <v>132</v>
      </c>
      <c r="C338" t="s">
        <v>331</v>
      </c>
      <c r="D338" s="136" t="s">
        <v>1967</v>
      </c>
      <c r="E338" t="s">
        <v>1968</v>
      </c>
      <c r="F338" s="650" t="s">
        <v>1186</v>
      </c>
      <c r="H338" s="140">
        <v>132</v>
      </c>
      <c r="I338" t="s">
        <v>331</v>
      </c>
      <c r="J338" s="136" t="s">
        <v>1967</v>
      </c>
      <c r="K338" t="s">
        <v>1968</v>
      </c>
      <c r="L338" s="650" t="s">
        <v>1186</v>
      </c>
    </row>
    <row r="339" spans="2:12">
      <c r="B339" s="140">
        <v>132</v>
      </c>
      <c r="C339" t="s">
        <v>552</v>
      </c>
      <c r="F339" s="650">
        <v>1711</v>
      </c>
      <c r="H339" s="140">
        <v>132</v>
      </c>
      <c r="I339" t="s">
        <v>552</v>
      </c>
      <c r="L339" s="650">
        <v>1711</v>
      </c>
    </row>
    <row r="340" spans="2:12">
      <c r="B340" s="140">
        <v>133</v>
      </c>
      <c r="C340" t="s">
        <v>332</v>
      </c>
      <c r="D340" s="136" t="s">
        <v>1970</v>
      </c>
      <c r="E340" t="s">
        <v>1971</v>
      </c>
      <c r="F340" s="650">
        <v>80</v>
      </c>
      <c r="H340" s="140">
        <v>133</v>
      </c>
      <c r="I340" t="s">
        <v>332</v>
      </c>
      <c r="J340" s="136" t="s">
        <v>1970</v>
      </c>
      <c r="K340" t="s">
        <v>1971</v>
      </c>
      <c r="L340" s="650">
        <v>80</v>
      </c>
    </row>
    <row r="341" spans="2:12">
      <c r="B341" s="140">
        <v>133</v>
      </c>
      <c r="C341" t="s">
        <v>332</v>
      </c>
      <c r="D341" s="136" t="s">
        <v>1972</v>
      </c>
      <c r="E341" t="s">
        <v>1973</v>
      </c>
      <c r="F341" s="650">
        <v>67</v>
      </c>
      <c r="H341" s="140">
        <v>133</v>
      </c>
      <c r="I341" t="s">
        <v>332</v>
      </c>
      <c r="J341" s="136" t="s">
        <v>1972</v>
      </c>
      <c r="K341" t="s">
        <v>1973</v>
      </c>
      <c r="L341" s="650">
        <v>67</v>
      </c>
    </row>
    <row r="342" spans="2:12">
      <c r="B342" s="140">
        <v>133</v>
      </c>
      <c r="C342" t="s">
        <v>552</v>
      </c>
      <c r="F342" s="650">
        <v>147</v>
      </c>
      <c r="H342" s="140">
        <v>133</v>
      </c>
      <c r="I342" t="s">
        <v>552</v>
      </c>
      <c r="L342" s="650">
        <v>147</v>
      </c>
    </row>
    <row r="343" spans="2:12">
      <c r="B343" s="140">
        <v>134</v>
      </c>
      <c r="C343" t="s">
        <v>333</v>
      </c>
      <c r="D343" s="136" t="s">
        <v>1975</v>
      </c>
      <c r="E343" t="s">
        <v>812</v>
      </c>
      <c r="F343" s="650">
        <v>42</v>
      </c>
      <c r="H343" s="140">
        <v>134</v>
      </c>
      <c r="I343" t="s">
        <v>333</v>
      </c>
      <c r="J343" s="136" t="s">
        <v>1975</v>
      </c>
      <c r="K343" t="s">
        <v>812</v>
      </c>
      <c r="L343" s="650">
        <v>42</v>
      </c>
    </row>
    <row r="344" spans="2:12">
      <c r="B344" s="140">
        <v>134</v>
      </c>
      <c r="C344" t="s">
        <v>333</v>
      </c>
      <c r="D344" s="136" t="s">
        <v>1976</v>
      </c>
      <c r="E344" t="s">
        <v>813</v>
      </c>
      <c r="F344" s="650">
        <v>33</v>
      </c>
      <c r="H344" s="140">
        <v>134</v>
      </c>
      <c r="I344" t="s">
        <v>333</v>
      </c>
      <c r="J344" s="136" t="s">
        <v>1976</v>
      </c>
      <c r="K344" t="s">
        <v>813</v>
      </c>
      <c r="L344" s="650">
        <v>33</v>
      </c>
    </row>
    <row r="345" spans="2:12">
      <c r="B345" s="140">
        <v>134</v>
      </c>
      <c r="C345" t="s">
        <v>333</v>
      </c>
      <c r="D345" s="136" t="s">
        <v>1977</v>
      </c>
      <c r="E345" t="s">
        <v>814</v>
      </c>
      <c r="F345" s="650" t="s">
        <v>1186</v>
      </c>
      <c r="H345" s="140">
        <v>134</v>
      </c>
      <c r="I345" t="s">
        <v>333</v>
      </c>
      <c r="J345" s="136" t="s">
        <v>1977</v>
      </c>
      <c r="K345" t="s">
        <v>814</v>
      </c>
      <c r="L345" s="650" t="s">
        <v>1186</v>
      </c>
    </row>
    <row r="346" spans="2:12">
      <c r="B346" s="140">
        <v>134</v>
      </c>
      <c r="C346" t="s">
        <v>333</v>
      </c>
      <c r="D346" s="136" t="s">
        <v>1978</v>
      </c>
      <c r="E346" t="s">
        <v>815</v>
      </c>
      <c r="F346" s="650">
        <v>16</v>
      </c>
      <c r="H346" s="140">
        <v>134</v>
      </c>
      <c r="I346" t="s">
        <v>333</v>
      </c>
      <c r="J346" s="136" t="s">
        <v>1978</v>
      </c>
      <c r="K346" t="s">
        <v>815</v>
      </c>
      <c r="L346" s="650">
        <v>16</v>
      </c>
    </row>
    <row r="347" spans="2:12">
      <c r="B347" s="140">
        <v>134</v>
      </c>
      <c r="C347" t="s">
        <v>333</v>
      </c>
      <c r="D347" s="136" t="s">
        <v>1979</v>
      </c>
      <c r="E347" t="s">
        <v>816</v>
      </c>
      <c r="F347" s="650">
        <v>28</v>
      </c>
      <c r="H347" s="140">
        <v>134</v>
      </c>
      <c r="I347" t="s">
        <v>333</v>
      </c>
      <c r="J347" s="136" t="s">
        <v>1979</v>
      </c>
      <c r="K347" t="s">
        <v>816</v>
      </c>
      <c r="L347" s="650">
        <v>28</v>
      </c>
    </row>
    <row r="348" spans="2:12">
      <c r="B348" s="140">
        <v>134</v>
      </c>
      <c r="C348" t="s">
        <v>333</v>
      </c>
      <c r="D348" s="136" t="s">
        <v>1980</v>
      </c>
      <c r="E348" t="s">
        <v>1981</v>
      </c>
      <c r="F348" s="650" t="s">
        <v>1186</v>
      </c>
      <c r="H348" s="140">
        <v>134</v>
      </c>
      <c r="I348" t="s">
        <v>333</v>
      </c>
      <c r="J348" s="136" t="s">
        <v>1980</v>
      </c>
      <c r="K348" t="s">
        <v>1981</v>
      </c>
      <c r="L348" s="650" t="s">
        <v>1186</v>
      </c>
    </row>
    <row r="349" spans="2:12">
      <c r="B349" s="140">
        <v>134</v>
      </c>
      <c r="C349" t="s">
        <v>552</v>
      </c>
      <c r="F349" s="650">
        <v>140</v>
      </c>
      <c r="H349" s="140">
        <v>134</v>
      </c>
      <c r="I349" t="s">
        <v>552</v>
      </c>
      <c r="L349" s="650">
        <v>140</v>
      </c>
    </row>
    <row r="350" spans="2:12">
      <c r="B350" s="140">
        <v>135</v>
      </c>
      <c r="C350" t="s">
        <v>334</v>
      </c>
      <c r="D350" s="136" t="s">
        <v>1983</v>
      </c>
      <c r="E350" t="s">
        <v>818</v>
      </c>
      <c r="F350" s="650">
        <v>25</v>
      </c>
      <c r="H350" s="140">
        <v>135</v>
      </c>
      <c r="I350" t="s">
        <v>334</v>
      </c>
      <c r="J350" s="136" t="s">
        <v>1983</v>
      </c>
      <c r="K350" t="s">
        <v>818</v>
      </c>
      <c r="L350" s="650">
        <v>25</v>
      </c>
    </row>
    <row r="351" spans="2:12">
      <c r="B351" s="140">
        <v>135</v>
      </c>
      <c r="C351" t="s">
        <v>334</v>
      </c>
      <c r="D351" s="136" t="s">
        <v>1984</v>
      </c>
      <c r="E351" t="s">
        <v>819</v>
      </c>
      <c r="F351" s="650">
        <v>30</v>
      </c>
      <c r="H351" s="140">
        <v>135</v>
      </c>
      <c r="I351" t="s">
        <v>334</v>
      </c>
      <c r="J351" s="136" t="s">
        <v>1984</v>
      </c>
      <c r="K351" t="s">
        <v>819</v>
      </c>
      <c r="L351" s="650">
        <v>30</v>
      </c>
    </row>
    <row r="352" spans="2:12">
      <c r="B352" s="140">
        <v>135</v>
      </c>
      <c r="C352" t="s">
        <v>552</v>
      </c>
      <c r="F352" s="650">
        <v>55</v>
      </c>
      <c r="H352" s="140">
        <v>135</v>
      </c>
      <c r="I352" t="s">
        <v>552</v>
      </c>
      <c r="L352" s="650">
        <v>55</v>
      </c>
    </row>
    <row r="353" spans="2:12">
      <c r="B353" s="140">
        <v>136</v>
      </c>
      <c r="C353" t="s">
        <v>335</v>
      </c>
      <c r="D353" s="136" t="s">
        <v>1986</v>
      </c>
      <c r="E353" t="s">
        <v>820</v>
      </c>
      <c r="F353" s="650">
        <v>50</v>
      </c>
      <c r="H353" s="140">
        <v>136</v>
      </c>
      <c r="I353" t="s">
        <v>335</v>
      </c>
      <c r="J353" s="136" t="s">
        <v>1986</v>
      </c>
      <c r="K353" t="s">
        <v>820</v>
      </c>
      <c r="L353" s="650">
        <v>50</v>
      </c>
    </row>
    <row r="354" spans="2:12">
      <c r="B354" s="140">
        <v>136</v>
      </c>
      <c r="C354" t="s">
        <v>335</v>
      </c>
      <c r="D354" s="136" t="s">
        <v>1987</v>
      </c>
      <c r="E354" t="s">
        <v>822</v>
      </c>
      <c r="F354" s="650">
        <v>71</v>
      </c>
      <c r="H354" s="140">
        <v>136</v>
      </c>
      <c r="I354" t="s">
        <v>335</v>
      </c>
      <c r="J354" s="136" t="s">
        <v>1987</v>
      </c>
      <c r="K354" t="s">
        <v>822</v>
      </c>
      <c r="L354" s="650">
        <v>71</v>
      </c>
    </row>
    <row r="355" spans="2:12">
      <c r="B355" s="140">
        <v>136</v>
      </c>
      <c r="C355" t="s">
        <v>552</v>
      </c>
      <c r="F355" s="650">
        <v>121</v>
      </c>
      <c r="H355" s="140">
        <v>136</v>
      </c>
      <c r="I355" t="s">
        <v>552</v>
      </c>
      <c r="L355" s="650">
        <v>121</v>
      </c>
    </row>
    <row r="356" spans="2:12">
      <c r="B356" s="140">
        <v>137</v>
      </c>
      <c r="C356" t="s">
        <v>336</v>
      </c>
      <c r="D356" s="136" t="s">
        <v>1989</v>
      </c>
      <c r="E356" t="s">
        <v>823</v>
      </c>
      <c r="F356" s="650">
        <v>27</v>
      </c>
      <c r="H356" s="140">
        <v>137</v>
      </c>
      <c r="I356" t="s">
        <v>336</v>
      </c>
      <c r="J356" s="136" t="s">
        <v>1989</v>
      </c>
      <c r="K356" t="s">
        <v>823</v>
      </c>
      <c r="L356" s="650">
        <v>27</v>
      </c>
    </row>
    <row r="357" spans="2:12">
      <c r="B357" s="140">
        <v>137</v>
      </c>
      <c r="C357" t="s">
        <v>336</v>
      </c>
      <c r="D357" s="136" t="s">
        <v>1990</v>
      </c>
      <c r="E357" t="s">
        <v>824</v>
      </c>
      <c r="F357" s="650">
        <v>57</v>
      </c>
      <c r="H357" s="140">
        <v>137</v>
      </c>
      <c r="I357" t="s">
        <v>336</v>
      </c>
      <c r="J357" s="136" t="s">
        <v>1990</v>
      </c>
      <c r="K357" t="s">
        <v>824</v>
      </c>
      <c r="L357" s="650">
        <v>57</v>
      </c>
    </row>
    <row r="358" spans="2:12">
      <c r="B358" s="140">
        <v>137</v>
      </c>
      <c r="C358" t="s">
        <v>336</v>
      </c>
      <c r="D358" s="136" t="s">
        <v>1991</v>
      </c>
      <c r="E358" t="s">
        <v>825</v>
      </c>
      <c r="F358" s="650">
        <v>64</v>
      </c>
      <c r="H358" s="140">
        <v>137</v>
      </c>
      <c r="I358" t="s">
        <v>336</v>
      </c>
      <c r="J358" s="136" t="s">
        <v>1991</v>
      </c>
      <c r="K358" t="s">
        <v>825</v>
      </c>
      <c r="L358" s="650">
        <v>64</v>
      </c>
    </row>
    <row r="359" spans="2:12">
      <c r="B359" s="140">
        <v>137</v>
      </c>
      <c r="C359" t="s">
        <v>552</v>
      </c>
      <c r="F359" s="650">
        <v>148</v>
      </c>
      <c r="H359" s="140">
        <v>137</v>
      </c>
      <c r="I359" t="s">
        <v>552</v>
      </c>
      <c r="L359" s="650">
        <v>148</v>
      </c>
    </row>
    <row r="360" spans="2:12">
      <c r="B360" s="140">
        <v>139</v>
      </c>
      <c r="C360" t="s">
        <v>337</v>
      </c>
      <c r="D360" s="136" t="s">
        <v>1992</v>
      </c>
      <c r="E360" t="s">
        <v>826</v>
      </c>
      <c r="F360" s="650">
        <v>285</v>
      </c>
      <c r="H360" s="140">
        <v>139</v>
      </c>
      <c r="I360" t="s">
        <v>337</v>
      </c>
      <c r="J360" s="136" t="s">
        <v>1992</v>
      </c>
      <c r="K360" t="s">
        <v>826</v>
      </c>
      <c r="L360" s="650">
        <v>285</v>
      </c>
    </row>
    <row r="361" spans="2:12">
      <c r="B361" s="140">
        <v>139</v>
      </c>
      <c r="C361" t="s">
        <v>337</v>
      </c>
      <c r="D361" s="136" t="s">
        <v>1993</v>
      </c>
      <c r="E361" t="s">
        <v>827</v>
      </c>
      <c r="F361" s="650">
        <v>132</v>
      </c>
      <c r="H361" s="140">
        <v>139</v>
      </c>
      <c r="I361" t="s">
        <v>337</v>
      </c>
      <c r="J361" s="136" t="s">
        <v>1993</v>
      </c>
      <c r="K361" t="s">
        <v>827</v>
      </c>
      <c r="L361" s="650">
        <v>132</v>
      </c>
    </row>
    <row r="362" spans="2:12">
      <c r="B362" s="140">
        <v>139</v>
      </c>
      <c r="C362" t="s">
        <v>337</v>
      </c>
      <c r="D362" s="136" t="s">
        <v>1994</v>
      </c>
      <c r="E362" t="s">
        <v>828</v>
      </c>
      <c r="F362" s="650">
        <v>135</v>
      </c>
      <c r="H362" s="140">
        <v>139</v>
      </c>
      <c r="I362" t="s">
        <v>337</v>
      </c>
      <c r="J362" s="136" t="s">
        <v>1994</v>
      </c>
      <c r="K362" t="s">
        <v>828</v>
      </c>
      <c r="L362" s="650">
        <v>135</v>
      </c>
    </row>
    <row r="363" spans="2:12">
      <c r="B363" s="140">
        <v>139</v>
      </c>
      <c r="C363" t="s">
        <v>337</v>
      </c>
      <c r="D363" s="136" t="s">
        <v>1995</v>
      </c>
      <c r="E363" t="s">
        <v>1996</v>
      </c>
      <c r="F363" s="650">
        <v>168</v>
      </c>
      <c r="H363" s="140">
        <v>139</v>
      </c>
      <c r="I363" t="s">
        <v>337</v>
      </c>
      <c r="J363" s="136" t="s">
        <v>1995</v>
      </c>
      <c r="K363" t="s">
        <v>1996</v>
      </c>
      <c r="L363" s="650">
        <v>168</v>
      </c>
    </row>
    <row r="364" spans="2:12">
      <c r="B364" s="140">
        <v>139</v>
      </c>
      <c r="C364" t="s">
        <v>337</v>
      </c>
      <c r="D364" s="136" t="s">
        <v>1997</v>
      </c>
      <c r="E364" t="s">
        <v>830</v>
      </c>
      <c r="F364" s="650">
        <v>60</v>
      </c>
      <c r="H364" s="140">
        <v>139</v>
      </c>
      <c r="I364" t="s">
        <v>337</v>
      </c>
      <c r="J364" s="136" t="s">
        <v>1997</v>
      </c>
      <c r="K364" t="s">
        <v>830</v>
      </c>
      <c r="L364" s="650">
        <v>60</v>
      </c>
    </row>
    <row r="365" spans="2:12">
      <c r="B365" s="140">
        <v>139</v>
      </c>
      <c r="C365" t="s">
        <v>337</v>
      </c>
      <c r="D365" s="136" t="s">
        <v>1998</v>
      </c>
      <c r="E365" t="s">
        <v>831</v>
      </c>
      <c r="F365" s="650">
        <v>175</v>
      </c>
      <c r="H365" s="140">
        <v>139</v>
      </c>
      <c r="I365" t="s">
        <v>337</v>
      </c>
      <c r="J365" s="136" t="s">
        <v>1998</v>
      </c>
      <c r="K365" t="s">
        <v>831</v>
      </c>
      <c r="L365" s="650">
        <v>175</v>
      </c>
    </row>
    <row r="366" spans="2:12">
      <c r="B366" s="140">
        <v>139</v>
      </c>
      <c r="C366" t="s">
        <v>337</v>
      </c>
      <c r="D366" s="136" t="s">
        <v>1999</v>
      </c>
      <c r="E366" t="s">
        <v>832</v>
      </c>
      <c r="F366" s="650">
        <v>204</v>
      </c>
      <c r="H366" s="140">
        <v>139</v>
      </c>
      <c r="I366" t="s">
        <v>337</v>
      </c>
      <c r="J366" s="136" t="s">
        <v>1999</v>
      </c>
      <c r="K366" t="s">
        <v>832</v>
      </c>
      <c r="L366" s="650">
        <v>204</v>
      </c>
    </row>
    <row r="367" spans="2:12">
      <c r="B367" s="140">
        <v>139</v>
      </c>
      <c r="C367" t="s">
        <v>337</v>
      </c>
      <c r="D367" s="136" t="s">
        <v>2000</v>
      </c>
      <c r="E367" t="s">
        <v>2001</v>
      </c>
      <c r="F367" s="650">
        <v>213</v>
      </c>
      <c r="H367" s="140">
        <v>139</v>
      </c>
      <c r="I367" t="s">
        <v>337</v>
      </c>
      <c r="J367" s="136" t="s">
        <v>2000</v>
      </c>
      <c r="K367" t="s">
        <v>2001</v>
      </c>
      <c r="L367" s="650">
        <v>213</v>
      </c>
    </row>
    <row r="368" spans="2:12">
      <c r="B368" s="140">
        <v>139</v>
      </c>
      <c r="C368" t="s">
        <v>337</v>
      </c>
      <c r="D368" s="136" t="s">
        <v>2002</v>
      </c>
      <c r="E368" t="s">
        <v>834</v>
      </c>
      <c r="F368" s="650">
        <v>188</v>
      </c>
      <c r="H368" s="140">
        <v>139</v>
      </c>
      <c r="I368" t="s">
        <v>337</v>
      </c>
      <c r="J368" s="136" t="s">
        <v>2002</v>
      </c>
      <c r="K368" t="s">
        <v>834</v>
      </c>
      <c r="L368" s="650">
        <v>188</v>
      </c>
    </row>
    <row r="369" spans="2:12">
      <c r="B369" s="140">
        <v>139</v>
      </c>
      <c r="C369" t="s">
        <v>337</v>
      </c>
      <c r="D369" s="136" t="s">
        <v>2003</v>
      </c>
      <c r="E369" t="s">
        <v>2004</v>
      </c>
      <c r="F369" s="650">
        <v>22</v>
      </c>
      <c r="H369" s="140">
        <v>139</v>
      </c>
      <c r="I369" t="s">
        <v>337</v>
      </c>
      <c r="J369" s="136" t="s">
        <v>2003</v>
      </c>
      <c r="K369" t="s">
        <v>2004</v>
      </c>
      <c r="L369" s="650">
        <v>22</v>
      </c>
    </row>
    <row r="370" spans="2:12">
      <c r="B370" s="140">
        <v>139</v>
      </c>
      <c r="C370" t="s">
        <v>337</v>
      </c>
      <c r="D370" s="136" t="s">
        <v>2005</v>
      </c>
      <c r="E370" t="s">
        <v>2006</v>
      </c>
      <c r="F370" s="650">
        <v>26</v>
      </c>
      <c r="H370" s="140">
        <v>139</v>
      </c>
      <c r="I370" t="s">
        <v>337</v>
      </c>
      <c r="J370" s="136" t="s">
        <v>2005</v>
      </c>
      <c r="K370" t="s">
        <v>2006</v>
      </c>
      <c r="L370" s="650">
        <v>26</v>
      </c>
    </row>
    <row r="371" spans="2:12">
      <c r="B371" s="140">
        <v>139</v>
      </c>
      <c r="C371" t="s">
        <v>552</v>
      </c>
      <c r="F371" s="650">
        <v>1608</v>
      </c>
      <c r="H371" s="140">
        <v>139</v>
      </c>
      <c r="I371" t="s">
        <v>552</v>
      </c>
      <c r="L371" s="650">
        <v>1608</v>
      </c>
    </row>
    <row r="372" spans="2:12">
      <c r="B372" s="140">
        <v>148</v>
      </c>
      <c r="C372" t="s">
        <v>338</v>
      </c>
      <c r="D372" s="136" t="s">
        <v>2008</v>
      </c>
      <c r="E372" t="s">
        <v>837</v>
      </c>
      <c r="F372" s="650" t="s">
        <v>1186</v>
      </c>
      <c r="H372" s="140">
        <v>148</v>
      </c>
      <c r="I372" t="s">
        <v>338</v>
      </c>
      <c r="J372" s="136" t="s">
        <v>2008</v>
      </c>
      <c r="K372" t="s">
        <v>837</v>
      </c>
      <c r="L372" s="650" t="s">
        <v>1186</v>
      </c>
    </row>
    <row r="373" spans="2:12">
      <c r="B373" s="140">
        <v>148</v>
      </c>
      <c r="C373" t="s">
        <v>338</v>
      </c>
      <c r="D373" s="136" t="s">
        <v>2009</v>
      </c>
      <c r="E373" t="s">
        <v>838</v>
      </c>
      <c r="F373" s="650" t="s">
        <v>1186</v>
      </c>
      <c r="H373" s="140">
        <v>148</v>
      </c>
      <c r="I373" t="s">
        <v>338</v>
      </c>
      <c r="J373" s="136" t="s">
        <v>2009</v>
      </c>
      <c r="K373" t="s">
        <v>838</v>
      </c>
      <c r="L373" s="650" t="s">
        <v>1186</v>
      </c>
    </row>
    <row r="374" spans="2:12">
      <c r="B374" s="140">
        <v>148</v>
      </c>
      <c r="C374" t="s">
        <v>338</v>
      </c>
      <c r="D374" s="136" t="s">
        <v>2010</v>
      </c>
      <c r="E374" t="s">
        <v>839</v>
      </c>
      <c r="F374" s="650" t="s">
        <v>1186</v>
      </c>
      <c r="H374" s="140">
        <v>148</v>
      </c>
      <c r="I374" t="s">
        <v>338</v>
      </c>
      <c r="J374" s="136" t="s">
        <v>2010</v>
      </c>
      <c r="K374" t="s">
        <v>839</v>
      </c>
      <c r="L374" s="650" t="s">
        <v>1186</v>
      </c>
    </row>
    <row r="375" spans="2:12">
      <c r="B375" s="140">
        <v>148</v>
      </c>
      <c r="C375" t="s">
        <v>552</v>
      </c>
      <c r="F375" s="650" t="s">
        <v>1186</v>
      </c>
      <c r="H375" s="140">
        <v>148</v>
      </c>
      <c r="I375" t="s">
        <v>552</v>
      </c>
      <c r="L375" s="650" t="s">
        <v>1186</v>
      </c>
    </row>
    <row r="376" spans="2:12">
      <c r="B376" s="140">
        <v>149</v>
      </c>
      <c r="C376" t="s">
        <v>339</v>
      </c>
      <c r="D376" s="136" t="s">
        <v>2012</v>
      </c>
      <c r="E376" t="s">
        <v>840</v>
      </c>
      <c r="F376" s="650" t="s">
        <v>1186</v>
      </c>
      <c r="H376" s="140">
        <v>149</v>
      </c>
      <c r="I376" t="s">
        <v>339</v>
      </c>
      <c r="J376" s="136" t="s">
        <v>2012</v>
      </c>
      <c r="K376" t="s">
        <v>840</v>
      </c>
      <c r="L376" s="650" t="s">
        <v>1186</v>
      </c>
    </row>
    <row r="377" spans="2:12">
      <c r="B377" s="140">
        <v>149</v>
      </c>
      <c r="C377" t="s">
        <v>339</v>
      </c>
      <c r="D377" s="136" t="s">
        <v>2013</v>
      </c>
      <c r="E377" t="s">
        <v>841</v>
      </c>
      <c r="F377" s="650" t="s">
        <v>1186</v>
      </c>
      <c r="H377" s="140">
        <v>149</v>
      </c>
      <c r="I377" t="s">
        <v>339</v>
      </c>
      <c r="J377" s="136" t="s">
        <v>2013</v>
      </c>
      <c r="K377" t="s">
        <v>841</v>
      </c>
      <c r="L377" s="650" t="s">
        <v>1186</v>
      </c>
    </row>
    <row r="378" spans="2:12">
      <c r="B378" s="140">
        <v>149</v>
      </c>
      <c r="C378" t="s">
        <v>552</v>
      </c>
      <c r="F378" s="650" t="s">
        <v>1186</v>
      </c>
      <c r="H378" s="140">
        <v>149</v>
      </c>
      <c r="I378" t="s">
        <v>552</v>
      </c>
      <c r="L378" s="650" t="s">
        <v>1186</v>
      </c>
    </row>
    <row r="379" spans="2:12">
      <c r="B379" s="140">
        <v>150</v>
      </c>
      <c r="C379" t="s">
        <v>340</v>
      </c>
      <c r="D379" s="136" t="s">
        <v>2015</v>
      </c>
      <c r="E379" t="s">
        <v>842</v>
      </c>
      <c r="F379" s="650" t="s">
        <v>1186</v>
      </c>
      <c r="H379" s="140">
        <v>150</v>
      </c>
      <c r="I379" t="s">
        <v>340</v>
      </c>
      <c r="J379" s="136" t="s">
        <v>2015</v>
      </c>
      <c r="K379" t="s">
        <v>842</v>
      </c>
      <c r="L379" s="650" t="s">
        <v>1186</v>
      </c>
    </row>
    <row r="380" spans="2:12">
      <c r="B380" s="140">
        <v>150</v>
      </c>
      <c r="C380" t="s">
        <v>340</v>
      </c>
      <c r="D380" s="136" t="s">
        <v>2016</v>
      </c>
      <c r="E380" t="s">
        <v>843</v>
      </c>
      <c r="F380" s="650" t="s">
        <v>1186</v>
      </c>
      <c r="H380" s="140">
        <v>150</v>
      </c>
      <c r="I380" t="s">
        <v>340</v>
      </c>
      <c r="J380" s="136" t="s">
        <v>2016</v>
      </c>
      <c r="K380" t="s">
        <v>843</v>
      </c>
      <c r="L380" s="650" t="s">
        <v>1186</v>
      </c>
    </row>
    <row r="381" spans="2:12">
      <c r="B381" s="140">
        <v>150</v>
      </c>
      <c r="C381" t="s">
        <v>340</v>
      </c>
      <c r="D381" s="136" t="s">
        <v>2017</v>
      </c>
      <c r="E381" t="s">
        <v>2018</v>
      </c>
      <c r="F381" s="650" t="s">
        <v>1186</v>
      </c>
      <c r="H381" s="140">
        <v>150</v>
      </c>
      <c r="I381" t="s">
        <v>340</v>
      </c>
      <c r="J381" s="136" t="s">
        <v>2017</v>
      </c>
      <c r="K381" t="s">
        <v>2018</v>
      </c>
      <c r="L381" s="650" t="s">
        <v>1186</v>
      </c>
    </row>
    <row r="382" spans="2:12">
      <c r="B382" s="140">
        <v>150</v>
      </c>
      <c r="C382" t="s">
        <v>552</v>
      </c>
      <c r="F382" s="650" t="s">
        <v>1186</v>
      </c>
      <c r="H382" s="140">
        <v>150</v>
      </c>
      <c r="I382" t="s">
        <v>552</v>
      </c>
      <c r="L382" s="650" t="s">
        <v>1186</v>
      </c>
    </row>
    <row r="383" spans="2:12">
      <c r="B383" s="140">
        <v>151</v>
      </c>
      <c r="C383" t="s">
        <v>341</v>
      </c>
      <c r="D383" s="136" t="s">
        <v>2020</v>
      </c>
      <c r="E383" t="s">
        <v>845</v>
      </c>
      <c r="F383" s="650">
        <v>106</v>
      </c>
      <c r="H383" s="140">
        <v>151</v>
      </c>
      <c r="I383" t="s">
        <v>341</v>
      </c>
      <c r="J383" s="136" t="s">
        <v>2020</v>
      </c>
      <c r="K383" t="s">
        <v>845</v>
      </c>
      <c r="L383" s="650">
        <v>106</v>
      </c>
    </row>
    <row r="384" spans="2:12">
      <c r="B384" s="140">
        <v>151</v>
      </c>
      <c r="C384" t="s">
        <v>341</v>
      </c>
      <c r="D384" s="136" t="s">
        <v>2021</v>
      </c>
      <c r="E384" t="s">
        <v>846</v>
      </c>
      <c r="F384" s="650">
        <v>139</v>
      </c>
      <c r="H384" s="140">
        <v>151</v>
      </c>
      <c r="I384" t="s">
        <v>341</v>
      </c>
      <c r="J384" s="136" t="s">
        <v>2021</v>
      </c>
      <c r="K384" t="s">
        <v>846</v>
      </c>
      <c r="L384" s="650">
        <v>139</v>
      </c>
    </row>
    <row r="385" spans="2:12">
      <c r="B385" s="140">
        <v>151</v>
      </c>
      <c r="C385" t="s">
        <v>341</v>
      </c>
      <c r="D385" s="136" t="s">
        <v>2022</v>
      </c>
      <c r="E385" t="s">
        <v>847</v>
      </c>
      <c r="F385" s="650">
        <v>25</v>
      </c>
      <c r="H385" s="140">
        <v>151</v>
      </c>
      <c r="I385" t="s">
        <v>341</v>
      </c>
      <c r="J385" s="136" t="s">
        <v>2022</v>
      </c>
      <c r="K385" t="s">
        <v>847</v>
      </c>
      <c r="L385" s="650">
        <v>25</v>
      </c>
    </row>
    <row r="386" spans="2:12">
      <c r="B386" s="140">
        <v>151</v>
      </c>
      <c r="C386" t="s">
        <v>341</v>
      </c>
      <c r="D386" s="136" t="s">
        <v>2023</v>
      </c>
      <c r="E386" t="s">
        <v>848</v>
      </c>
      <c r="F386" s="650">
        <v>12</v>
      </c>
      <c r="H386" s="140">
        <v>151</v>
      </c>
      <c r="I386" t="s">
        <v>341</v>
      </c>
      <c r="J386" s="136" t="s">
        <v>2023</v>
      </c>
      <c r="K386" t="s">
        <v>848</v>
      </c>
      <c r="L386" s="650">
        <v>12</v>
      </c>
    </row>
    <row r="387" spans="2:12">
      <c r="B387" s="140">
        <v>151</v>
      </c>
      <c r="C387" t="s">
        <v>341</v>
      </c>
      <c r="D387" s="136" t="s">
        <v>2024</v>
      </c>
      <c r="E387" t="s">
        <v>849</v>
      </c>
      <c r="F387" s="650">
        <v>19</v>
      </c>
      <c r="H387" s="140">
        <v>151</v>
      </c>
      <c r="I387" t="s">
        <v>341</v>
      </c>
      <c r="J387" s="136" t="s">
        <v>2024</v>
      </c>
      <c r="K387" t="s">
        <v>849</v>
      </c>
      <c r="L387" s="650">
        <v>19</v>
      </c>
    </row>
    <row r="388" spans="2:12">
      <c r="B388" s="140">
        <v>151</v>
      </c>
      <c r="C388" t="s">
        <v>341</v>
      </c>
      <c r="D388" s="136" t="s">
        <v>2025</v>
      </c>
      <c r="E388" t="s">
        <v>850</v>
      </c>
      <c r="F388" s="650">
        <v>113</v>
      </c>
      <c r="H388" s="140">
        <v>151</v>
      </c>
      <c r="I388" t="s">
        <v>341</v>
      </c>
      <c r="J388" s="136" t="s">
        <v>2025</v>
      </c>
      <c r="K388" t="s">
        <v>850</v>
      </c>
      <c r="L388" s="650">
        <v>113</v>
      </c>
    </row>
    <row r="389" spans="2:12">
      <c r="B389" s="140">
        <v>151</v>
      </c>
      <c r="C389" t="s">
        <v>341</v>
      </c>
      <c r="D389" s="136" t="s">
        <v>2026</v>
      </c>
      <c r="E389" t="s">
        <v>852</v>
      </c>
      <c r="F389" s="650" t="s">
        <v>1186</v>
      </c>
      <c r="H389" s="140">
        <v>151</v>
      </c>
      <c r="I389" t="s">
        <v>341</v>
      </c>
      <c r="J389" s="136" t="s">
        <v>2026</v>
      </c>
      <c r="K389" t="s">
        <v>852</v>
      </c>
      <c r="L389" s="650" t="s">
        <v>1186</v>
      </c>
    </row>
    <row r="390" spans="2:12">
      <c r="B390" s="140">
        <v>151</v>
      </c>
      <c r="C390" t="s">
        <v>341</v>
      </c>
      <c r="D390" s="136" t="s">
        <v>2027</v>
      </c>
      <c r="E390" t="s">
        <v>853</v>
      </c>
      <c r="F390" s="650" t="s">
        <v>1186</v>
      </c>
      <c r="H390" s="140">
        <v>151</v>
      </c>
      <c r="I390" t="s">
        <v>341</v>
      </c>
      <c r="J390" s="136" t="s">
        <v>2027</v>
      </c>
      <c r="K390" t="s">
        <v>853</v>
      </c>
      <c r="L390" s="650" t="s">
        <v>1186</v>
      </c>
    </row>
    <row r="391" spans="2:12">
      <c r="B391" s="140">
        <v>151</v>
      </c>
      <c r="C391" t="s">
        <v>341</v>
      </c>
      <c r="D391" s="136" t="s">
        <v>2028</v>
      </c>
      <c r="E391" t="s">
        <v>854</v>
      </c>
      <c r="F391" s="650">
        <v>32</v>
      </c>
      <c r="H391" s="140">
        <v>151</v>
      </c>
      <c r="I391" t="s">
        <v>341</v>
      </c>
      <c r="J391" s="136" t="s">
        <v>2028</v>
      </c>
      <c r="K391" t="s">
        <v>854</v>
      </c>
      <c r="L391" s="650">
        <v>32</v>
      </c>
    </row>
    <row r="392" spans="2:12">
      <c r="B392" s="140">
        <v>151</v>
      </c>
      <c r="C392" t="s">
        <v>341</v>
      </c>
      <c r="D392" s="136" t="s">
        <v>2029</v>
      </c>
      <c r="E392" t="s">
        <v>855</v>
      </c>
      <c r="F392" s="650">
        <v>88</v>
      </c>
      <c r="H392" s="140">
        <v>151</v>
      </c>
      <c r="I392" t="s">
        <v>341</v>
      </c>
      <c r="J392" s="136" t="s">
        <v>2029</v>
      </c>
      <c r="K392" t="s">
        <v>855</v>
      </c>
      <c r="L392" s="650">
        <v>88</v>
      </c>
    </row>
    <row r="393" spans="2:12">
      <c r="B393" s="140">
        <v>151</v>
      </c>
      <c r="C393" t="s">
        <v>341</v>
      </c>
      <c r="D393" s="136" t="s">
        <v>2030</v>
      </c>
      <c r="E393" t="s">
        <v>856</v>
      </c>
      <c r="F393" s="650">
        <v>40</v>
      </c>
      <c r="H393" s="140">
        <v>151</v>
      </c>
      <c r="I393" t="s">
        <v>341</v>
      </c>
      <c r="J393" s="136" t="s">
        <v>2030</v>
      </c>
      <c r="K393" t="s">
        <v>856</v>
      </c>
      <c r="L393" s="650">
        <v>40</v>
      </c>
    </row>
    <row r="394" spans="2:12">
      <c r="B394" s="140">
        <v>151</v>
      </c>
      <c r="C394" t="s">
        <v>341</v>
      </c>
      <c r="D394" s="136" t="s">
        <v>2031</v>
      </c>
      <c r="E394" t="s">
        <v>857</v>
      </c>
      <c r="F394" s="650">
        <v>32</v>
      </c>
      <c r="H394" s="140">
        <v>151</v>
      </c>
      <c r="I394" t="s">
        <v>341</v>
      </c>
      <c r="J394" s="136" t="s">
        <v>2031</v>
      </c>
      <c r="K394" t="s">
        <v>857</v>
      </c>
      <c r="L394" s="650">
        <v>32</v>
      </c>
    </row>
    <row r="395" spans="2:12">
      <c r="B395" s="140">
        <v>151</v>
      </c>
      <c r="C395" t="s">
        <v>341</v>
      </c>
      <c r="D395" s="136" t="s">
        <v>2032</v>
      </c>
      <c r="E395" t="s">
        <v>858</v>
      </c>
      <c r="F395" s="650">
        <v>171</v>
      </c>
      <c r="H395" s="140">
        <v>151</v>
      </c>
      <c r="I395" t="s">
        <v>341</v>
      </c>
      <c r="J395" s="136" t="s">
        <v>2032</v>
      </c>
      <c r="K395" t="s">
        <v>858</v>
      </c>
      <c r="L395" s="650">
        <v>171</v>
      </c>
    </row>
    <row r="396" spans="2:12">
      <c r="B396" s="140">
        <v>151</v>
      </c>
      <c r="C396" t="s">
        <v>341</v>
      </c>
      <c r="D396" s="136" t="s">
        <v>2033</v>
      </c>
      <c r="E396" t="s">
        <v>859</v>
      </c>
      <c r="F396" s="650" t="s">
        <v>1186</v>
      </c>
      <c r="H396" s="140">
        <v>151</v>
      </c>
      <c r="I396" t="s">
        <v>341</v>
      </c>
      <c r="J396" s="136" t="s">
        <v>2033</v>
      </c>
      <c r="K396" t="s">
        <v>859</v>
      </c>
      <c r="L396" s="650" t="s">
        <v>1186</v>
      </c>
    </row>
    <row r="397" spans="2:12">
      <c r="B397" s="140">
        <v>151</v>
      </c>
      <c r="C397" t="s">
        <v>341</v>
      </c>
      <c r="D397" s="136" t="s">
        <v>2034</v>
      </c>
      <c r="E397" t="s">
        <v>2035</v>
      </c>
      <c r="F397" s="650">
        <v>10</v>
      </c>
      <c r="H397" s="140">
        <v>151</v>
      </c>
      <c r="I397" t="s">
        <v>341</v>
      </c>
      <c r="J397" s="136" t="s">
        <v>2034</v>
      </c>
      <c r="K397" t="s">
        <v>2035</v>
      </c>
      <c r="L397" s="650">
        <v>10</v>
      </c>
    </row>
    <row r="398" spans="2:12">
      <c r="B398" s="140">
        <v>151</v>
      </c>
      <c r="C398" t="s">
        <v>341</v>
      </c>
      <c r="D398" s="136" t="s">
        <v>2036</v>
      </c>
      <c r="E398" t="s">
        <v>2037</v>
      </c>
      <c r="F398" s="650" t="s">
        <v>1186</v>
      </c>
      <c r="H398" s="140">
        <v>151</v>
      </c>
      <c r="I398" t="s">
        <v>341</v>
      </c>
      <c r="J398" s="136" t="s">
        <v>2036</v>
      </c>
      <c r="K398" t="s">
        <v>2037</v>
      </c>
      <c r="L398" s="650" t="s">
        <v>1186</v>
      </c>
    </row>
    <row r="399" spans="2:12">
      <c r="B399" s="140">
        <v>151</v>
      </c>
      <c r="C399" t="s">
        <v>552</v>
      </c>
      <c r="F399" s="650">
        <v>792</v>
      </c>
      <c r="H399" s="140">
        <v>151</v>
      </c>
      <c r="I399" t="s">
        <v>552</v>
      </c>
      <c r="L399" s="650">
        <v>792</v>
      </c>
    </row>
    <row r="400" spans="2:12">
      <c r="B400" s="140">
        <v>161</v>
      </c>
      <c r="C400" t="s">
        <v>342</v>
      </c>
      <c r="D400" s="136" t="s">
        <v>2039</v>
      </c>
      <c r="E400" t="s">
        <v>861</v>
      </c>
      <c r="F400" s="650" t="s">
        <v>1186</v>
      </c>
      <c r="H400" s="140">
        <v>161</v>
      </c>
      <c r="I400" t="s">
        <v>342</v>
      </c>
      <c r="J400" s="136" t="s">
        <v>2039</v>
      </c>
      <c r="K400" t="s">
        <v>861</v>
      </c>
      <c r="L400" s="650" t="s">
        <v>1186</v>
      </c>
    </row>
    <row r="401" spans="2:12">
      <c r="B401" s="140">
        <v>161</v>
      </c>
      <c r="C401" t="s">
        <v>342</v>
      </c>
      <c r="D401" s="136" t="s">
        <v>2040</v>
      </c>
      <c r="E401" t="s">
        <v>862</v>
      </c>
      <c r="F401" s="650" t="s">
        <v>1186</v>
      </c>
      <c r="H401" s="140">
        <v>161</v>
      </c>
      <c r="I401" t="s">
        <v>342</v>
      </c>
      <c r="J401" s="136" t="s">
        <v>2040</v>
      </c>
      <c r="K401" t="s">
        <v>862</v>
      </c>
      <c r="L401" s="650" t="s">
        <v>1186</v>
      </c>
    </row>
    <row r="402" spans="2:12">
      <c r="B402" s="140">
        <v>161</v>
      </c>
      <c r="C402" t="s">
        <v>552</v>
      </c>
      <c r="F402" s="650">
        <v>22</v>
      </c>
      <c r="H402" s="140">
        <v>161</v>
      </c>
      <c r="I402" t="s">
        <v>552</v>
      </c>
      <c r="L402" s="650">
        <v>22</v>
      </c>
    </row>
    <row r="403" spans="2:12">
      <c r="B403" s="140">
        <v>171</v>
      </c>
      <c r="C403" t="s">
        <v>343</v>
      </c>
      <c r="D403" s="136" t="s">
        <v>2042</v>
      </c>
      <c r="E403" t="s">
        <v>510</v>
      </c>
      <c r="F403" s="650" t="s">
        <v>1186</v>
      </c>
      <c r="H403" s="140">
        <v>171</v>
      </c>
      <c r="I403" t="s">
        <v>343</v>
      </c>
      <c r="J403" s="136" t="s">
        <v>2042</v>
      </c>
      <c r="K403" t="s">
        <v>510</v>
      </c>
      <c r="L403" s="650" t="s">
        <v>1186</v>
      </c>
    </row>
    <row r="404" spans="2:12">
      <c r="B404" s="140">
        <v>171</v>
      </c>
      <c r="C404" t="s">
        <v>343</v>
      </c>
      <c r="D404" s="136" t="s">
        <v>2043</v>
      </c>
      <c r="E404" t="s">
        <v>863</v>
      </c>
      <c r="F404" s="650" t="s">
        <v>1186</v>
      </c>
      <c r="H404" s="140">
        <v>171</v>
      </c>
      <c r="I404" t="s">
        <v>343</v>
      </c>
      <c r="J404" s="136" t="s">
        <v>2043</v>
      </c>
      <c r="K404" t="s">
        <v>863</v>
      </c>
      <c r="L404" s="650" t="s">
        <v>1186</v>
      </c>
    </row>
    <row r="405" spans="2:12">
      <c r="B405" s="140">
        <v>171</v>
      </c>
      <c r="C405" t="s">
        <v>343</v>
      </c>
      <c r="D405" s="136" t="s">
        <v>2044</v>
      </c>
      <c r="E405" t="s">
        <v>864</v>
      </c>
      <c r="F405" s="650" t="s">
        <v>1186</v>
      </c>
      <c r="H405" s="140">
        <v>171</v>
      </c>
      <c r="I405" t="s">
        <v>343</v>
      </c>
      <c r="J405" s="136" t="s">
        <v>2044</v>
      </c>
      <c r="K405" t="s">
        <v>864</v>
      </c>
      <c r="L405" s="650" t="s">
        <v>1186</v>
      </c>
    </row>
    <row r="406" spans="2:12">
      <c r="B406" s="140">
        <v>171</v>
      </c>
      <c r="C406" t="s">
        <v>343</v>
      </c>
      <c r="D406" s="136" t="s">
        <v>2045</v>
      </c>
      <c r="E406" t="s">
        <v>865</v>
      </c>
      <c r="F406" s="650" t="s">
        <v>1186</v>
      </c>
      <c r="H406" s="140">
        <v>171</v>
      </c>
      <c r="I406" t="s">
        <v>343</v>
      </c>
      <c r="J406" s="136" t="s">
        <v>2045</v>
      </c>
      <c r="K406" t="s">
        <v>865</v>
      </c>
      <c r="L406" s="650" t="s">
        <v>1186</v>
      </c>
    </row>
    <row r="407" spans="2:12">
      <c r="B407" s="140">
        <v>171</v>
      </c>
      <c r="C407" t="s">
        <v>343</v>
      </c>
      <c r="D407" s="136" t="s">
        <v>2046</v>
      </c>
      <c r="E407" t="s">
        <v>866</v>
      </c>
      <c r="F407" s="650" t="s">
        <v>1186</v>
      </c>
      <c r="H407" s="140">
        <v>171</v>
      </c>
      <c r="I407" t="s">
        <v>343</v>
      </c>
      <c r="J407" s="136" t="s">
        <v>2046</v>
      </c>
      <c r="K407" t="s">
        <v>866</v>
      </c>
      <c r="L407" s="650" t="s">
        <v>1186</v>
      </c>
    </row>
    <row r="408" spans="2:12">
      <c r="B408" s="140">
        <v>171</v>
      </c>
      <c r="C408" t="s">
        <v>343</v>
      </c>
      <c r="D408" s="136" t="s">
        <v>2047</v>
      </c>
      <c r="E408" t="s">
        <v>2048</v>
      </c>
      <c r="F408" s="650" t="s">
        <v>1186</v>
      </c>
      <c r="H408" s="140">
        <v>171</v>
      </c>
      <c r="I408" t="s">
        <v>343</v>
      </c>
      <c r="J408" s="136" t="s">
        <v>2047</v>
      </c>
      <c r="K408" t="s">
        <v>2048</v>
      </c>
      <c r="L408" s="650" t="s">
        <v>1186</v>
      </c>
    </row>
    <row r="409" spans="2:12">
      <c r="B409" s="140">
        <v>171</v>
      </c>
      <c r="C409" t="s">
        <v>343</v>
      </c>
      <c r="D409" s="136" t="s">
        <v>2049</v>
      </c>
      <c r="E409" t="s">
        <v>868</v>
      </c>
      <c r="F409" s="650" t="s">
        <v>1186</v>
      </c>
      <c r="H409" s="140">
        <v>171</v>
      </c>
      <c r="I409" t="s">
        <v>343</v>
      </c>
      <c r="J409" s="136" t="s">
        <v>2049</v>
      </c>
      <c r="K409" t="s">
        <v>868</v>
      </c>
      <c r="L409" s="650" t="s">
        <v>1186</v>
      </c>
    </row>
    <row r="410" spans="2:12">
      <c r="B410" s="140">
        <v>171</v>
      </c>
      <c r="C410" t="s">
        <v>552</v>
      </c>
      <c r="F410" s="650" t="s">
        <v>1186</v>
      </c>
      <c r="H410" s="140">
        <v>171</v>
      </c>
      <c r="I410" t="s">
        <v>552</v>
      </c>
      <c r="L410" s="650" t="s">
        <v>1186</v>
      </c>
    </row>
    <row r="411" spans="2:12">
      <c r="B411" s="140">
        <v>181</v>
      </c>
      <c r="C411" t="s">
        <v>344</v>
      </c>
      <c r="D411" s="136" t="s">
        <v>2051</v>
      </c>
      <c r="E411" t="s">
        <v>869</v>
      </c>
      <c r="F411" s="650" t="s">
        <v>1186</v>
      </c>
      <c r="H411" s="140">
        <v>181</v>
      </c>
      <c r="I411" t="s">
        <v>344</v>
      </c>
      <c r="J411" s="136" t="s">
        <v>2051</v>
      </c>
      <c r="K411" t="s">
        <v>869</v>
      </c>
      <c r="L411" s="650" t="s">
        <v>1186</v>
      </c>
    </row>
    <row r="412" spans="2:12">
      <c r="B412" s="140">
        <v>181</v>
      </c>
      <c r="C412" t="s">
        <v>344</v>
      </c>
      <c r="D412" s="136" t="s">
        <v>2052</v>
      </c>
      <c r="E412" t="s">
        <v>870</v>
      </c>
      <c r="F412" s="650" t="s">
        <v>1186</v>
      </c>
      <c r="H412" s="140">
        <v>181</v>
      </c>
      <c r="I412" t="s">
        <v>344</v>
      </c>
      <c r="J412" s="136" t="s">
        <v>2052</v>
      </c>
      <c r="K412" t="s">
        <v>870</v>
      </c>
      <c r="L412" s="650" t="s">
        <v>1186</v>
      </c>
    </row>
    <row r="413" spans="2:12">
      <c r="B413" s="140">
        <v>181</v>
      </c>
      <c r="C413" t="s">
        <v>344</v>
      </c>
      <c r="D413" s="136" t="s">
        <v>2053</v>
      </c>
      <c r="E413" t="s">
        <v>871</v>
      </c>
      <c r="F413" s="650" t="s">
        <v>1186</v>
      </c>
      <c r="H413" s="140">
        <v>181</v>
      </c>
      <c r="I413" t="s">
        <v>344</v>
      </c>
      <c r="J413" s="136" t="s">
        <v>2053</v>
      </c>
      <c r="K413" t="s">
        <v>871</v>
      </c>
      <c r="L413" s="650" t="s">
        <v>1186</v>
      </c>
    </row>
    <row r="414" spans="2:12">
      <c r="B414" s="140">
        <v>181</v>
      </c>
      <c r="C414" t="s">
        <v>344</v>
      </c>
      <c r="D414" s="136" t="s">
        <v>2054</v>
      </c>
      <c r="E414" t="s">
        <v>872</v>
      </c>
      <c r="F414" s="650" t="s">
        <v>1186</v>
      </c>
      <c r="H414" s="140">
        <v>181</v>
      </c>
      <c r="I414" t="s">
        <v>344</v>
      </c>
      <c r="J414" s="136" t="s">
        <v>2054</v>
      </c>
      <c r="K414" t="s">
        <v>872</v>
      </c>
      <c r="L414" s="650" t="s">
        <v>1186</v>
      </c>
    </row>
    <row r="415" spans="2:12">
      <c r="B415" s="140">
        <v>181</v>
      </c>
      <c r="C415" t="s">
        <v>552</v>
      </c>
      <c r="F415" s="650" t="s">
        <v>1186</v>
      </c>
      <c r="H415" s="140">
        <v>181</v>
      </c>
      <c r="I415" t="s">
        <v>552</v>
      </c>
      <c r="L415" s="650" t="s">
        <v>1186</v>
      </c>
    </row>
    <row r="416" spans="2:12">
      <c r="B416" s="140">
        <v>182</v>
      </c>
      <c r="C416" t="s">
        <v>345</v>
      </c>
      <c r="D416" s="136" t="s">
        <v>2056</v>
      </c>
      <c r="E416" t="s">
        <v>1528</v>
      </c>
      <c r="F416" s="650" t="s">
        <v>1186</v>
      </c>
      <c r="H416" s="140">
        <v>182</v>
      </c>
      <c r="I416" t="s">
        <v>345</v>
      </c>
      <c r="J416" s="136" t="s">
        <v>2056</v>
      </c>
      <c r="K416" t="s">
        <v>1528</v>
      </c>
      <c r="L416" s="650" t="s">
        <v>1186</v>
      </c>
    </row>
    <row r="417" spans="2:12">
      <c r="B417" s="140">
        <v>182</v>
      </c>
      <c r="C417" t="s">
        <v>345</v>
      </c>
      <c r="D417" s="136" t="s">
        <v>2057</v>
      </c>
      <c r="E417" t="s">
        <v>873</v>
      </c>
      <c r="F417" s="650" t="s">
        <v>1186</v>
      </c>
      <c r="H417" s="140">
        <v>182</v>
      </c>
      <c r="I417" t="s">
        <v>345</v>
      </c>
      <c r="J417" s="136" t="s">
        <v>2057</v>
      </c>
      <c r="K417" t="s">
        <v>873</v>
      </c>
      <c r="L417" s="650" t="s">
        <v>1186</v>
      </c>
    </row>
    <row r="418" spans="2:12">
      <c r="B418" s="140">
        <v>182</v>
      </c>
      <c r="C418" t="s">
        <v>552</v>
      </c>
      <c r="F418" s="650" t="s">
        <v>1186</v>
      </c>
      <c r="H418" s="140">
        <v>182</v>
      </c>
      <c r="I418" t="s">
        <v>552</v>
      </c>
      <c r="L418" s="650" t="s">
        <v>1186</v>
      </c>
    </row>
    <row r="419" spans="2:12">
      <c r="B419" s="140">
        <v>191</v>
      </c>
      <c r="C419" t="s">
        <v>346</v>
      </c>
      <c r="D419" s="136" t="s">
        <v>2059</v>
      </c>
      <c r="E419" t="s">
        <v>874</v>
      </c>
      <c r="F419" s="650" t="s">
        <v>1186</v>
      </c>
      <c r="H419" s="140">
        <v>191</v>
      </c>
      <c r="I419" t="s">
        <v>346</v>
      </c>
      <c r="J419" s="136" t="s">
        <v>2059</v>
      </c>
      <c r="K419" t="s">
        <v>874</v>
      </c>
      <c r="L419" s="650" t="s">
        <v>1186</v>
      </c>
    </row>
    <row r="420" spans="2:12">
      <c r="B420" s="140">
        <v>191</v>
      </c>
      <c r="C420" t="s">
        <v>552</v>
      </c>
      <c r="F420" s="650" t="s">
        <v>1186</v>
      </c>
      <c r="H420" s="140">
        <v>191</v>
      </c>
      <c r="I420" t="s">
        <v>552</v>
      </c>
      <c r="L420" s="650" t="s">
        <v>1186</v>
      </c>
    </row>
    <row r="421" spans="2:12">
      <c r="B421" s="140">
        <v>192</v>
      </c>
      <c r="C421" t="s">
        <v>347</v>
      </c>
      <c r="D421" s="136" t="s">
        <v>2061</v>
      </c>
      <c r="E421" t="s">
        <v>875</v>
      </c>
      <c r="F421" s="650">
        <v>47</v>
      </c>
      <c r="H421" s="140">
        <v>192</v>
      </c>
      <c r="I421" t="s">
        <v>347</v>
      </c>
      <c r="J421" s="136" t="s">
        <v>2061</v>
      </c>
      <c r="K421" t="s">
        <v>875</v>
      </c>
      <c r="L421" s="650">
        <v>47</v>
      </c>
    </row>
    <row r="422" spans="2:12">
      <c r="B422" s="140">
        <v>192</v>
      </c>
      <c r="C422" t="s">
        <v>347</v>
      </c>
      <c r="D422" s="136" t="s">
        <v>2062</v>
      </c>
      <c r="E422" t="s">
        <v>876</v>
      </c>
      <c r="F422" s="650">
        <v>37</v>
      </c>
      <c r="H422" s="140">
        <v>192</v>
      </c>
      <c r="I422" t="s">
        <v>347</v>
      </c>
      <c r="J422" s="136" t="s">
        <v>2062</v>
      </c>
      <c r="K422" t="s">
        <v>876</v>
      </c>
      <c r="L422" s="650">
        <v>37</v>
      </c>
    </row>
    <row r="423" spans="2:12">
      <c r="B423" s="140">
        <v>192</v>
      </c>
      <c r="C423" t="s">
        <v>347</v>
      </c>
      <c r="D423" s="136" t="s">
        <v>2063</v>
      </c>
      <c r="E423" t="s">
        <v>877</v>
      </c>
      <c r="F423" s="650">
        <v>46</v>
      </c>
      <c r="H423" s="140">
        <v>192</v>
      </c>
      <c r="I423" t="s">
        <v>347</v>
      </c>
      <c r="J423" s="136" t="s">
        <v>2063</v>
      </c>
      <c r="K423" t="s">
        <v>877</v>
      </c>
      <c r="L423" s="650">
        <v>46</v>
      </c>
    </row>
    <row r="424" spans="2:12">
      <c r="B424" s="140">
        <v>192</v>
      </c>
      <c r="C424" t="s">
        <v>552</v>
      </c>
      <c r="F424" s="650">
        <v>130</v>
      </c>
      <c r="H424" s="140">
        <v>192</v>
      </c>
      <c r="I424" t="s">
        <v>552</v>
      </c>
      <c r="L424" s="650">
        <v>130</v>
      </c>
    </row>
    <row r="425" spans="2:12">
      <c r="B425" s="140">
        <v>193</v>
      </c>
      <c r="C425" t="s">
        <v>348</v>
      </c>
      <c r="D425" s="136" t="s">
        <v>2065</v>
      </c>
      <c r="E425" t="s">
        <v>878</v>
      </c>
      <c r="F425" s="650">
        <v>52</v>
      </c>
      <c r="H425" s="140">
        <v>193</v>
      </c>
      <c r="I425" t="s">
        <v>348</v>
      </c>
      <c r="J425" s="136" t="s">
        <v>2065</v>
      </c>
      <c r="K425" t="s">
        <v>878</v>
      </c>
      <c r="L425" s="650">
        <v>52</v>
      </c>
    </row>
    <row r="426" spans="2:12">
      <c r="B426" s="140">
        <v>193</v>
      </c>
      <c r="C426" t="s">
        <v>348</v>
      </c>
      <c r="D426" s="136" t="s">
        <v>2066</v>
      </c>
      <c r="E426" t="s">
        <v>879</v>
      </c>
      <c r="F426" s="650">
        <v>61</v>
      </c>
      <c r="H426" s="140">
        <v>193</v>
      </c>
      <c r="I426" t="s">
        <v>348</v>
      </c>
      <c r="J426" s="136" t="s">
        <v>2066</v>
      </c>
      <c r="K426" t="s">
        <v>879</v>
      </c>
      <c r="L426" s="650">
        <v>61</v>
      </c>
    </row>
    <row r="427" spans="2:12">
      <c r="B427" s="140">
        <v>193</v>
      </c>
      <c r="C427" t="s">
        <v>348</v>
      </c>
      <c r="D427" s="136" t="s">
        <v>2067</v>
      </c>
      <c r="E427" t="s">
        <v>880</v>
      </c>
      <c r="F427" s="650">
        <v>74</v>
      </c>
      <c r="H427" s="140">
        <v>193</v>
      </c>
      <c r="I427" t="s">
        <v>348</v>
      </c>
      <c r="J427" s="136" t="s">
        <v>2067</v>
      </c>
      <c r="K427" t="s">
        <v>880</v>
      </c>
      <c r="L427" s="650">
        <v>74</v>
      </c>
    </row>
    <row r="428" spans="2:12">
      <c r="B428" s="140">
        <v>193</v>
      </c>
      <c r="C428" t="s">
        <v>348</v>
      </c>
      <c r="D428" s="136" t="s">
        <v>2068</v>
      </c>
      <c r="E428" t="s">
        <v>881</v>
      </c>
      <c r="F428" s="650">
        <v>35</v>
      </c>
      <c r="H428" s="140">
        <v>193</v>
      </c>
      <c r="I428" t="s">
        <v>348</v>
      </c>
      <c r="J428" s="136" t="s">
        <v>2068</v>
      </c>
      <c r="K428" t="s">
        <v>881</v>
      </c>
      <c r="L428" s="650">
        <v>35</v>
      </c>
    </row>
    <row r="429" spans="2:12">
      <c r="B429" s="140">
        <v>193</v>
      </c>
      <c r="C429" t="s">
        <v>348</v>
      </c>
      <c r="D429" s="136" t="s">
        <v>2069</v>
      </c>
      <c r="E429" t="s">
        <v>882</v>
      </c>
      <c r="F429" s="650">
        <v>34</v>
      </c>
      <c r="H429" s="140">
        <v>193</v>
      </c>
      <c r="I429" t="s">
        <v>348</v>
      </c>
      <c r="J429" s="136" t="s">
        <v>2069</v>
      </c>
      <c r="K429" t="s">
        <v>882</v>
      </c>
      <c r="L429" s="650">
        <v>34</v>
      </c>
    </row>
    <row r="430" spans="2:12">
      <c r="B430" s="140">
        <v>193</v>
      </c>
      <c r="C430" t="s">
        <v>348</v>
      </c>
      <c r="D430" s="136" t="s">
        <v>2070</v>
      </c>
      <c r="E430" t="s">
        <v>883</v>
      </c>
      <c r="F430" s="650" t="s">
        <v>1186</v>
      </c>
      <c r="H430" s="140">
        <v>193</v>
      </c>
      <c r="I430" t="s">
        <v>348</v>
      </c>
      <c r="J430" s="136" t="s">
        <v>2070</v>
      </c>
      <c r="K430" t="s">
        <v>883</v>
      </c>
      <c r="L430" s="650" t="s">
        <v>1186</v>
      </c>
    </row>
    <row r="431" spans="2:12">
      <c r="B431" s="140">
        <v>193</v>
      </c>
      <c r="C431" t="s">
        <v>348</v>
      </c>
      <c r="D431" s="136" t="s">
        <v>2071</v>
      </c>
      <c r="E431" t="s">
        <v>884</v>
      </c>
      <c r="F431" s="650" t="s">
        <v>1186</v>
      </c>
      <c r="H431" s="140">
        <v>193</v>
      </c>
      <c r="I431" t="s">
        <v>348</v>
      </c>
      <c r="J431" s="136" t="s">
        <v>2071</v>
      </c>
      <c r="K431" t="s">
        <v>884</v>
      </c>
      <c r="L431" s="650" t="s">
        <v>1186</v>
      </c>
    </row>
    <row r="432" spans="2:12">
      <c r="B432" s="140">
        <v>193</v>
      </c>
      <c r="C432" t="s">
        <v>348</v>
      </c>
      <c r="D432" s="136" t="s">
        <v>2072</v>
      </c>
      <c r="E432" t="s">
        <v>885</v>
      </c>
      <c r="F432" s="650">
        <v>85</v>
      </c>
      <c r="H432" s="140">
        <v>193</v>
      </c>
      <c r="I432" t="s">
        <v>348</v>
      </c>
      <c r="J432" s="136" t="s">
        <v>2072</v>
      </c>
      <c r="K432" t="s">
        <v>885</v>
      </c>
      <c r="L432" s="650">
        <v>85</v>
      </c>
    </row>
    <row r="433" spans="2:12">
      <c r="B433" s="140">
        <v>193</v>
      </c>
      <c r="C433" t="s">
        <v>348</v>
      </c>
      <c r="D433" s="136" t="s">
        <v>2073</v>
      </c>
      <c r="E433" t="s">
        <v>2074</v>
      </c>
      <c r="F433" s="650" t="s">
        <v>1186</v>
      </c>
      <c r="H433" s="140">
        <v>193</v>
      </c>
      <c r="I433" t="s">
        <v>348</v>
      </c>
      <c r="J433" s="136" t="s">
        <v>2073</v>
      </c>
      <c r="K433" t="s">
        <v>2074</v>
      </c>
      <c r="L433" s="650" t="s">
        <v>1186</v>
      </c>
    </row>
    <row r="434" spans="2:12">
      <c r="B434" s="140">
        <v>193</v>
      </c>
      <c r="C434" t="s">
        <v>552</v>
      </c>
      <c r="F434" s="650">
        <v>348</v>
      </c>
      <c r="H434" s="140">
        <v>193</v>
      </c>
      <c r="I434" t="s">
        <v>552</v>
      </c>
      <c r="L434" s="650">
        <v>348</v>
      </c>
    </row>
    <row r="435" spans="2:12">
      <c r="B435" s="140">
        <v>201</v>
      </c>
      <c r="C435" t="s">
        <v>349</v>
      </c>
      <c r="D435" s="136" t="s">
        <v>2076</v>
      </c>
      <c r="E435" t="s">
        <v>887</v>
      </c>
      <c r="F435" s="650">
        <v>26</v>
      </c>
      <c r="H435" s="140">
        <v>201</v>
      </c>
      <c r="I435" t="s">
        <v>349</v>
      </c>
      <c r="J435" s="136" t="s">
        <v>2076</v>
      </c>
      <c r="K435" t="s">
        <v>887</v>
      </c>
      <c r="L435" s="650">
        <v>26</v>
      </c>
    </row>
    <row r="436" spans="2:12">
      <c r="B436" s="140">
        <v>201</v>
      </c>
      <c r="C436" t="s">
        <v>349</v>
      </c>
      <c r="D436" s="136" t="s">
        <v>2077</v>
      </c>
      <c r="E436" t="s">
        <v>888</v>
      </c>
      <c r="F436" s="650">
        <v>25</v>
      </c>
      <c r="H436" s="140">
        <v>201</v>
      </c>
      <c r="I436" t="s">
        <v>349</v>
      </c>
      <c r="J436" s="136" t="s">
        <v>2077</v>
      </c>
      <c r="K436" t="s">
        <v>888</v>
      </c>
      <c r="L436" s="650">
        <v>25</v>
      </c>
    </row>
    <row r="437" spans="2:12">
      <c r="B437" s="140">
        <v>201</v>
      </c>
      <c r="C437" t="s">
        <v>349</v>
      </c>
      <c r="D437" s="136" t="s">
        <v>2078</v>
      </c>
      <c r="E437" t="s">
        <v>889</v>
      </c>
      <c r="F437" s="650" t="s">
        <v>1186</v>
      </c>
      <c r="H437" s="140">
        <v>201</v>
      </c>
      <c r="I437" t="s">
        <v>349</v>
      </c>
      <c r="J437" s="136" t="s">
        <v>2078</v>
      </c>
      <c r="K437" t="s">
        <v>889</v>
      </c>
      <c r="L437" s="650" t="s">
        <v>1186</v>
      </c>
    </row>
    <row r="438" spans="2:12">
      <c r="B438" s="140">
        <v>201</v>
      </c>
      <c r="C438" t="s">
        <v>349</v>
      </c>
      <c r="D438" s="136" t="s">
        <v>2079</v>
      </c>
      <c r="E438" t="s">
        <v>586</v>
      </c>
      <c r="F438" s="650">
        <v>43</v>
      </c>
      <c r="H438" s="140">
        <v>201</v>
      </c>
      <c r="I438" t="s">
        <v>349</v>
      </c>
      <c r="J438" s="136" t="s">
        <v>2079</v>
      </c>
      <c r="K438" t="s">
        <v>586</v>
      </c>
      <c r="L438" s="650">
        <v>43</v>
      </c>
    </row>
    <row r="439" spans="2:12">
      <c r="B439" s="140">
        <v>201</v>
      </c>
      <c r="C439" t="s">
        <v>349</v>
      </c>
      <c r="D439" s="136" t="s">
        <v>2080</v>
      </c>
      <c r="E439" t="s">
        <v>2081</v>
      </c>
      <c r="F439" s="650" t="s">
        <v>1186</v>
      </c>
      <c r="H439" s="140">
        <v>201</v>
      </c>
      <c r="I439" t="s">
        <v>349</v>
      </c>
      <c r="J439" s="136" t="s">
        <v>2080</v>
      </c>
      <c r="K439" t="s">
        <v>2081</v>
      </c>
      <c r="L439" s="650" t="s">
        <v>1186</v>
      </c>
    </row>
    <row r="440" spans="2:12">
      <c r="B440" s="140">
        <v>201</v>
      </c>
      <c r="C440" t="s">
        <v>552</v>
      </c>
      <c r="F440" s="650">
        <v>121</v>
      </c>
      <c r="H440" s="140">
        <v>201</v>
      </c>
      <c r="I440" t="s">
        <v>552</v>
      </c>
      <c r="L440" s="650">
        <v>121</v>
      </c>
    </row>
    <row r="441" spans="2:12">
      <c r="B441" s="140">
        <v>202</v>
      </c>
      <c r="C441" t="s">
        <v>350</v>
      </c>
      <c r="D441" s="136" t="s">
        <v>2083</v>
      </c>
      <c r="E441" t="s">
        <v>2084</v>
      </c>
      <c r="F441" s="650" t="s">
        <v>1186</v>
      </c>
      <c r="H441" s="140">
        <v>202</v>
      </c>
      <c r="I441" t="s">
        <v>350</v>
      </c>
      <c r="J441" s="136" t="s">
        <v>2083</v>
      </c>
      <c r="K441" t="s">
        <v>2084</v>
      </c>
      <c r="L441" s="650" t="s">
        <v>1186</v>
      </c>
    </row>
    <row r="442" spans="2:12">
      <c r="B442" s="140">
        <v>202</v>
      </c>
      <c r="C442" t="s">
        <v>350</v>
      </c>
      <c r="D442" s="136" t="s">
        <v>2085</v>
      </c>
      <c r="E442" t="s">
        <v>893</v>
      </c>
      <c r="F442" s="650" t="s">
        <v>1186</v>
      </c>
      <c r="H442" s="140">
        <v>202</v>
      </c>
      <c r="I442" t="s">
        <v>350</v>
      </c>
      <c r="J442" s="136" t="s">
        <v>2085</v>
      </c>
      <c r="K442" t="s">
        <v>893</v>
      </c>
      <c r="L442" s="650" t="s">
        <v>1186</v>
      </c>
    </row>
    <row r="443" spans="2:12">
      <c r="B443" s="140">
        <v>202</v>
      </c>
      <c r="C443" t="s">
        <v>350</v>
      </c>
      <c r="D443" s="136" t="s">
        <v>2086</v>
      </c>
      <c r="E443" t="s">
        <v>894</v>
      </c>
      <c r="F443" s="650" t="s">
        <v>1186</v>
      </c>
      <c r="H443" s="140">
        <v>202</v>
      </c>
      <c r="I443" t="s">
        <v>350</v>
      </c>
      <c r="J443" s="136" t="s">
        <v>2086</v>
      </c>
      <c r="K443" t="s">
        <v>894</v>
      </c>
      <c r="L443" s="650" t="s">
        <v>1186</v>
      </c>
    </row>
    <row r="444" spans="2:12">
      <c r="B444" s="140">
        <v>202</v>
      </c>
      <c r="C444" t="s">
        <v>552</v>
      </c>
      <c r="F444" s="650" t="s">
        <v>1186</v>
      </c>
      <c r="H444" s="140">
        <v>202</v>
      </c>
      <c r="I444" t="s">
        <v>552</v>
      </c>
      <c r="L444" s="650" t="s">
        <v>1186</v>
      </c>
    </row>
    <row r="445" spans="2:12">
      <c r="B445" s="140">
        <v>215</v>
      </c>
      <c r="C445" t="s">
        <v>351</v>
      </c>
      <c r="D445" s="136" t="s">
        <v>2088</v>
      </c>
      <c r="E445" t="s">
        <v>895</v>
      </c>
      <c r="F445" s="650">
        <v>59</v>
      </c>
      <c r="H445" s="140">
        <v>215</v>
      </c>
      <c r="I445" t="s">
        <v>351</v>
      </c>
      <c r="J445" s="136" t="s">
        <v>2088</v>
      </c>
      <c r="K445" t="s">
        <v>895</v>
      </c>
      <c r="L445" s="650">
        <v>59</v>
      </c>
    </row>
    <row r="446" spans="2:12">
      <c r="B446" s="140">
        <v>215</v>
      </c>
      <c r="C446" t="s">
        <v>351</v>
      </c>
      <c r="D446" s="136" t="s">
        <v>2089</v>
      </c>
      <c r="E446" t="s">
        <v>896</v>
      </c>
      <c r="F446" s="650">
        <v>50</v>
      </c>
      <c r="H446" s="140">
        <v>215</v>
      </c>
      <c r="I446" t="s">
        <v>351</v>
      </c>
      <c r="J446" s="136" t="s">
        <v>2089</v>
      </c>
      <c r="K446" t="s">
        <v>896</v>
      </c>
      <c r="L446" s="650">
        <v>50</v>
      </c>
    </row>
    <row r="447" spans="2:12">
      <c r="B447" s="140">
        <v>215</v>
      </c>
      <c r="C447" t="s">
        <v>351</v>
      </c>
      <c r="D447" s="136" t="s">
        <v>2090</v>
      </c>
      <c r="E447" t="s">
        <v>2091</v>
      </c>
      <c r="F447" s="650">
        <v>17</v>
      </c>
      <c r="H447" s="140">
        <v>215</v>
      </c>
      <c r="I447" t="s">
        <v>351</v>
      </c>
      <c r="J447" s="136" t="s">
        <v>2090</v>
      </c>
      <c r="K447" t="s">
        <v>2091</v>
      </c>
      <c r="L447" s="650">
        <v>17</v>
      </c>
    </row>
    <row r="448" spans="2:12">
      <c r="B448" s="140">
        <v>215</v>
      </c>
      <c r="C448" t="s">
        <v>351</v>
      </c>
      <c r="D448" s="136" t="s">
        <v>2092</v>
      </c>
      <c r="E448" t="s">
        <v>898</v>
      </c>
      <c r="F448" s="650">
        <v>110</v>
      </c>
      <c r="H448" s="140">
        <v>215</v>
      </c>
      <c r="I448" t="s">
        <v>351</v>
      </c>
      <c r="J448" s="136" t="s">
        <v>2092</v>
      </c>
      <c r="K448" t="s">
        <v>898</v>
      </c>
      <c r="L448" s="650">
        <v>110</v>
      </c>
    </row>
    <row r="449" spans="2:12">
      <c r="B449" s="140">
        <v>215</v>
      </c>
      <c r="C449" t="s">
        <v>351</v>
      </c>
      <c r="D449" s="136" t="s">
        <v>2093</v>
      </c>
      <c r="E449" t="s">
        <v>899</v>
      </c>
      <c r="F449" s="650" t="s">
        <v>1186</v>
      </c>
      <c r="H449" s="140">
        <v>215</v>
      </c>
      <c r="I449" t="s">
        <v>351</v>
      </c>
      <c r="J449" s="136" t="s">
        <v>2093</v>
      </c>
      <c r="K449" t="s">
        <v>899</v>
      </c>
      <c r="L449" s="650" t="s">
        <v>1186</v>
      </c>
    </row>
    <row r="450" spans="2:12">
      <c r="B450" s="140">
        <v>215</v>
      </c>
      <c r="C450" t="s">
        <v>351</v>
      </c>
      <c r="D450" s="136" t="s">
        <v>2094</v>
      </c>
      <c r="E450" t="s">
        <v>900</v>
      </c>
      <c r="F450" s="650">
        <v>25</v>
      </c>
      <c r="H450" s="140">
        <v>215</v>
      </c>
      <c r="I450" t="s">
        <v>351</v>
      </c>
      <c r="J450" s="136" t="s">
        <v>2094</v>
      </c>
      <c r="K450" t="s">
        <v>900</v>
      </c>
      <c r="L450" s="650">
        <v>25</v>
      </c>
    </row>
    <row r="451" spans="2:12">
      <c r="B451" s="140">
        <v>215</v>
      </c>
      <c r="C451" t="s">
        <v>351</v>
      </c>
      <c r="D451" s="136" t="s">
        <v>2095</v>
      </c>
      <c r="E451" t="s">
        <v>901</v>
      </c>
      <c r="F451" s="650">
        <v>12</v>
      </c>
      <c r="H451" s="140">
        <v>215</v>
      </c>
      <c r="I451" t="s">
        <v>351</v>
      </c>
      <c r="J451" s="136" t="s">
        <v>2095</v>
      </c>
      <c r="K451" t="s">
        <v>901</v>
      </c>
      <c r="L451" s="650">
        <v>12</v>
      </c>
    </row>
    <row r="452" spans="2:12">
      <c r="B452" s="140">
        <v>215</v>
      </c>
      <c r="C452" t="s">
        <v>351</v>
      </c>
      <c r="D452" s="136" t="s">
        <v>2096</v>
      </c>
      <c r="E452" t="s">
        <v>2097</v>
      </c>
      <c r="F452" s="650" t="s">
        <v>1186</v>
      </c>
      <c r="H452" s="140">
        <v>215</v>
      </c>
      <c r="I452" t="s">
        <v>351</v>
      </c>
      <c r="J452" s="136" t="s">
        <v>2096</v>
      </c>
      <c r="K452" t="s">
        <v>2097</v>
      </c>
      <c r="L452" s="650" t="s">
        <v>1186</v>
      </c>
    </row>
    <row r="453" spans="2:12">
      <c r="B453" s="140">
        <v>215</v>
      </c>
      <c r="C453" t="s">
        <v>552</v>
      </c>
      <c r="F453" s="650">
        <v>274</v>
      </c>
      <c r="H453" s="140">
        <v>215</v>
      </c>
      <c r="I453" t="s">
        <v>552</v>
      </c>
      <c r="L453" s="650">
        <v>274</v>
      </c>
    </row>
    <row r="454" spans="2:12">
      <c r="B454" s="140">
        <v>221</v>
      </c>
      <c r="C454" t="s">
        <v>352</v>
      </c>
      <c r="D454" s="136" t="s">
        <v>2098</v>
      </c>
      <c r="E454" t="s">
        <v>902</v>
      </c>
      <c r="F454" s="650" t="s">
        <v>1186</v>
      </c>
      <c r="H454" s="140">
        <v>221</v>
      </c>
      <c r="I454" t="s">
        <v>352</v>
      </c>
      <c r="J454" s="136" t="s">
        <v>2098</v>
      </c>
      <c r="K454" t="s">
        <v>902</v>
      </c>
      <c r="L454" s="650" t="s">
        <v>1186</v>
      </c>
    </row>
    <row r="455" spans="2:12">
      <c r="B455" s="140">
        <v>221</v>
      </c>
      <c r="C455" t="s">
        <v>352</v>
      </c>
      <c r="D455" s="136" t="s">
        <v>2099</v>
      </c>
      <c r="E455" t="s">
        <v>2100</v>
      </c>
      <c r="F455" s="650">
        <v>53</v>
      </c>
      <c r="H455" s="140">
        <v>221</v>
      </c>
      <c r="I455" t="s">
        <v>352</v>
      </c>
      <c r="J455" s="136" t="s">
        <v>2099</v>
      </c>
      <c r="K455" t="s">
        <v>2100</v>
      </c>
      <c r="L455" s="650">
        <v>53</v>
      </c>
    </row>
    <row r="456" spans="2:12">
      <c r="B456" s="140">
        <v>221</v>
      </c>
      <c r="C456" t="s">
        <v>352</v>
      </c>
      <c r="D456" s="136" t="s">
        <v>2101</v>
      </c>
      <c r="E456" t="s">
        <v>2102</v>
      </c>
      <c r="F456" s="650">
        <v>52</v>
      </c>
      <c r="H456" s="140">
        <v>221</v>
      </c>
      <c r="I456" t="s">
        <v>352</v>
      </c>
      <c r="J456" s="136" t="s">
        <v>2101</v>
      </c>
      <c r="K456" t="s">
        <v>2102</v>
      </c>
      <c r="L456" s="650">
        <v>52</v>
      </c>
    </row>
    <row r="457" spans="2:12">
      <c r="B457" s="140">
        <v>221</v>
      </c>
      <c r="C457" t="s">
        <v>352</v>
      </c>
      <c r="D457" s="136" t="s">
        <v>2103</v>
      </c>
      <c r="E457" t="s">
        <v>2104</v>
      </c>
      <c r="F457" s="650">
        <v>29</v>
      </c>
      <c r="H457" s="140">
        <v>221</v>
      </c>
      <c r="I457" t="s">
        <v>352</v>
      </c>
      <c r="J457" s="136" t="s">
        <v>2103</v>
      </c>
      <c r="K457" t="s">
        <v>2104</v>
      </c>
      <c r="L457" s="650">
        <v>29</v>
      </c>
    </row>
    <row r="458" spans="2:12">
      <c r="B458" s="140">
        <v>221</v>
      </c>
      <c r="C458" t="s">
        <v>352</v>
      </c>
      <c r="D458" s="136" t="s">
        <v>2105</v>
      </c>
      <c r="E458" t="s">
        <v>2106</v>
      </c>
      <c r="F458" s="650" t="s">
        <v>1186</v>
      </c>
      <c r="H458" s="140">
        <v>221</v>
      </c>
      <c r="I458" t="s">
        <v>352</v>
      </c>
      <c r="J458" s="136" t="s">
        <v>2105</v>
      </c>
      <c r="K458" t="s">
        <v>2106</v>
      </c>
      <c r="L458" s="650" t="s">
        <v>1186</v>
      </c>
    </row>
    <row r="459" spans="2:12">
      <c r="B459" s="140">
        <v>221</v>
      </c>
      <c r="C459" t="s">
        <v>352</v>
      </c>
      <c r="D459" s="136" t="s">
        <v>2107</v>
      </c>
      <c r="E459" t="s">
        <v>908</v>
      </c>
      <c r="F459" s="650" t="s">
        <v>1186</v>
      </c>
      <c r="H459" s="140">
        <v>221</v>
      </c>
      <c r="I459" t="s">
        <v>352</v>
      </c>
      <c r="J459" s="136" t="s">
        <v>2107</v>
      </c>
      <c r="K459" t="s">
        <v>908</v>
      </c>
      <c r="L459" s="650" t="s">
        <v>1186</v>
      </c>
    </row>
    <row r="460" spans="2:12">
      <c r="B460" s="140">
        <v>221</v>
      </c>
      <c r="C460" t="s">
        <v>352</v>
      </c>
      <c r="D460" s="136" t="s">
        <v>2108</v>
      </c>
      <c r="E460" t="s">
        <v>2109</v>
      </c>
      <c r="F460" s="650" t="s">
        <v>1186</v>
      </c>
      <c r="H460" s="140">
        <v>221</v>
      </c>
      <c r="I460" t="s">
        <v>352</v>
      </c>
      <c r="J460" s="136" t="s">
        <v>2108</v>
      </c>
      <c r="K460" t="s">
        <v>2109</v>
      </c>
      <c r="L460" s="650" t="s">
        <v>1186</v>
      </c>
    </row>
    <row r="461" spans="2:12">
      <c r="B461" s="140">
        <v>221</v>
      </c>
      <c r="C461" t="s">
        <v>352</v>
      </c>
      <c r="D461" s="136" t="s">
        <v>2110</v>
      </c>
      <c r="E461" t="s">
        <v>2111</v>
      </c>
      <c r="F461" s="650" t="s">
        <v>1186</v>
      </c>
      <c r="H461" s="140">
        <v>221</v>
      </c>
      <c r="I461" t="s">
        <v>352</v>
      </c>
      <c r="J461" s="136" t="s">
        <v>2110</v>
      </c>
      <c r="K461" t="s">
        <v>2111</v>
      </c>
      <c r="L461" s="650" t="s">
        <v>1186</v>
      </c>
    </row>
    <row r="462" spans="2:12">
      <c r="B462" s="140">
        <v>221</v>
      </c>
      <c r="C462" t="s">
        <v>552</v>
      </c>
      <c r="F462" s="650">
        <v>153</v>
      </c>
      <c r="H462" s="140">
        <v>221</v>
      </c>
      <c r="I462" t="s">
        <v>552</v>
      </c>
      <c r="L462" s="650">
        <v>153</v>
      </c>
    </row>
    <row r="463" spans="2:12">
      <c r="B463" s="140">
        <v>231</v>
      </c>
      <c r="C463" t="s">
        <v>353</v>
      </c>
      <c r="D463" s="136" t="s">
        <v>2113</v>
      </c>
      <c r="E463" t="s">
        <v>911</v>
      </c>
      <c r="F463" s="650">
        <v>57</v>
      </c>
      <c r="H463" s="140">
        <v>231</v>
      </c>
      <c r="I463" t="s">
        <v>353</v>
      </c>
      <c r="J463" s="136" t="s">
        <v>2113</v>
      </c>
      <c r="K463" t="s">
        <v>911</v>
      </c>
      <c r="L463" s="650">
        <v>57</v>
      </c>
    </row>
    <row r="464" spans="2:12">
      <c r="B464" s="140">
        <v>231</v>
      </c>
      <c r="C464" t="s">
        <v>353</v>
      </c>
      <c r="D464" s="136" t="s">
        <v>2114</v>
      </c>
      <c r="E464" t="s">
        <v>912</v>
      </c>
      <c r="F464" s="650">
        <v>59</v>
      </c>
      <c r="H464" s="140">
        <v>231</v>
      </c>
      <c r="I464" t="s">
        <v>353</v>
      </c>
      <c r="J464" s="136" t="s">
        <v>2114</v>
      </c>
      <c r="K464" t="s">
        <v>912</v>
      </c>
      <c r="L464" s="650">
        <v>59</v>
      </c>
    </row>
    <row r="465" spans="2:12">
      <c r="B465" s="140">
        <v>231</v>
      </c>
      <c r="C465" t="s">
        <v>353</v>
      </c>
      <c r="D465" s="136" t="s">
        <v>2115</v>
      </c>
      <c r="E465" t="s">
        <v>913</v>
      </c>
      <c r="F465" s="650">
        <v>98</v>
      </c>
      <c r="H465" s="140">
        <v>231</v>
      </c>
      <c r="I465" t="s">
        <v>353</v>
      </c>
      <c r="J465" s="136" t="s">
        <v>2115</v>
      </c>
      <c r="K465" t="s">
        <v>913</v>
      </c>
      <c r="L465" s="650">
        <v>98</v>
      </c>
    </row>
    <row r="466" spans="2:12">
      <c r="B466" s="140">
        <v>231</v>
      </c>
      <c r="C466" t="s">
        <v>552</v>
      </c>
      <c r="F466" s="650">
        <v>214</v>
      </c>
      <c r="H466" s="140">
        <v>231</v>
      </c>
      <c r="I466" t="s">
        <v>552</v>
      </c>
      <c r="L466" s="650">
        <v>214</v>
      </c>
    </row>
    <row r="467" spans="2:12">
      <c r="B467" s="140">
        <v>232</v>
      </c>
      <c r="C467" t="s">
        <v>354</v>
      </c>
      <c r="D467" s="136" t="s">
        <v>2116</v>
      </c>
      <c r="E467" t="s">
        <v>914</v>
      </c>
      <c r="F467" s="650">
        <v>136</v>
      </c>
      <c r="H467" s="140">
        <v>232</v>
      </c>
      <c r="I467" t="s">
        <v>354</v>
      </c>
      <c r="J467" s="136" t="s">
        <v>2116</v>
      </c>
      <c r="K467" t="s">
        <v>914</v>
      </c>
      <c r="L467" s="650">
        <v>136</v>
      </c>
    </row>
    <row r="468" spans="2:12">
      <c r="B468" s="140">
        <v>232</v>
      </c>
      <c r="C468" t="s">
        <v>354</v>
      </c>
      <c r="D468" s="136" t="s">
        <v>2117</v>
      </c>
      <c r="E468" t="s">
        <v>915</v>
      </c>
      <c r="F468" s="650" t="s">
        <v>1186</v>
      </c>
      <c r="H468" s="140">
        <v>232</v>
      </c>
      <c r="I468" t="s">
        <v>354</v>
      </c>
      <c r="J468" s="136" t="s">
        <v>2117</v>
      </c>
      <c r="K468" t="s">
        <v>915</v>
      </c>
      <c r="L468" s="650" t="s">
        <v>1186</v>
      </c>
    </row>
    <row r="469" spans="2:12">
      <c r="B469" s="140">
        <v>232</v>
      </c>
      <c r="C469" t="s">
        <v>354</v>
      </c>
      <c r="D469" s="136" t="s">
        <v>2118</v>
      </c>
      <c r="E469" t="s">
        <v>916</v>
      </c>
      <c r="F469" s="650">
        <v>208</v>
      </c>
      <c r="H469" s="140">
        <v>232</v>
      </c>
      <c r="I469" t="s">
        <v>354</v>
      </c>
      <c r="J469" s="136" t="s">
        <v>2118</v>
      </c>
      <c r="K469" t="s">
        <v>916</v>
      </c>
      <c r="L469" s="650">
        <v>208</v>
      </c>
    </row>
    <row r="470" spans="2:12">
      <c r="B470" s="140">
        <v>232</v>
      </c>
      <c r="C470" t="s">
        <v>354</v>
      </c>
      <c r="D470" s="136" t="s">
        <v>2119</v>
      </c>
      <c r="E470" t="s">
        <v>2120</v>
      </c>
      <c r="F470" s="650" t="s">
        <v>1186</v>
      </c>
      <c r="H470" s="140">
        <v>232</v>
      </c>
      <c r="I470" t="s">
        <v>354</v>
      </c>
      <c r="J470" s="136" t="s">
        <v>2119</v>
      </c>
      <c r="K470" t="s">
        <v>2120</v>
      </c>
      <c r="L470" s="650" t="s">
        <v>1186</v>
      </c>
    </row>
    <row r="471" spans="2:12">
      <c r="B471" s="140">
        <v>232</v>
      </c>
      <c r="C471" t="s">
        <v>552</v>
      </c>
      <c r="F471" s="650">
        <v>454</v>
      </c>
      <c r="H471" s="140">
        <v>232</v>
      </c>
      <c r="I471" t="s">
        <v>552</v>
      </c>
      <c r="L471" s="650">
        <v>454</v>
      </c>
    </row>
    <row r="472" spans="2:12">
      <c r="B472" s="140">
        <v>233</v>
      </c>
      <c r="C472" t="s">
        <v>355</v>
      </c>
      <c r="D472" s="136" t="s">
        <v>2122</v>
      </c>
      <c r="E472" t="s">
        <v>917</v>
      </c>
      <c r="F472" s="650">
        <v>30</v>
      </c>
      <c r="H472" s="140">
        <v>233</v>
      </c>
      <c r="I472" t="s">
        <v>355</v>
      </c>
      <c r="J472" s="136" t="s">
        <v>2122</v>
      </c>
      <c r="K472" t="s">
        <v>917</v>
      </c>
      <c r="L472" s="650">
        <v>30</v>
      </c>
    </row>
    <row r="473" spans="2:12">
      <c r="B473" s="140">
        <v>233</v>
      </c>
      <c r="C473" t="s">
        <v>552</v>
      </c>
      <c r="F473" s="650">
        <v>30</v>
      </c>
      <c r="H473" s="140">
        <v>233</v>
      </c>
      <c r="I473" t="s">
        <v>552</v>
      </c>
      <c r="L473" s="650">
        <v>30</v>
      </c>
    </row>
    <row r="474" spans="2:12">
      <c r="B474" s="140">
        <v>234</v>
      </c>
      <c r="C474" t="s">
        <v>356</v>
      </c>
      <c r="D474" s="136" t="s">
        <v>2124</v>
      </c>
      <c r="E474" t="s">
        <v>918</v>
      </c>
      <c r="F474" s="650">
        <v>33</v>
      </c>
      <c r="H474" s="140">
        <v>234</v>
      </c>
      <c r="I474" t="s">
        <v>356</v>
      </c>
      <c r="J474" s="136" t="s">
        <v>2124</v>
      </c>
      <c r="K474" t="s">
        <v>918</v>
      </c>
      <c r="L474" s="650">
        <v>33</v>
      </c>
    </row>
    <row r="475" spans="2:12">
      <c r="B475" s="140">
        <v>234</v>
      </c>
      <c r="C475" t="s">
        <v>552</v>
      </c>
      <c r="F475" s="650">
        <v>33</v>
      </c>
      <c r="H475" s="140">
        <v>234</v>
      </c>
      <c r="I475" t="s">
        <v>552</v>
      </c>
      <c r="L475" s="650">
        <v>33</v>
      </c>
    </row>
    <row r="476" spans="2:12">
      <c r="B476" s="140">
        <v>242</v>
      </c>
      <c r="C476" t="s">
        <v>357</v>
      </c>
      <c r="D476" s="136" t="s">
        <v>2126</v>
      </c>
      <c r="E476" t="s">
        <v>2127</v>
      </c>
      <c r="F476" s="650" t="s">
        <v>1186</v>
      </c>
      <c r="H476" s="140">
        <v>242</v>
      </c>
      <c r="I476" t="s">
        <v>357</v>
      </c>
      <c r="J476" s="136" t="s">
        <v>2126</v>
      </c>
      <c r="K476" t="s">
        <v>2127</v>
      </c>
      <c r="L476" s="650" t="s">
        <v>1186</v>
      </c>
    </row>
    <row r="477" spans="2:12">
      <c r="B477" s="140">
        <v>242</v>
      </c>
      <c r="C477" t="s">
        <v>357</v>
      </c>
      <c r="D477" s="136" t="s">
        <v>2128</v>
      </c>
      <c r="E477" t="s">
        <v>920</v>
      </c>
      <c r="F477" s="650" t="s">
        <v>1186</v>
      </c>
      <c r="H477" s="140">
        <v>242</v>
      </c>
      <c r="I477" t="s">
        <v>357</v>
      </c>
      <c r="J477" s="136" t="s">
        <v>2128</v>
      </c>
      <c r="K477" t="s">
        <v>920</v>
      </c>
      <c r="L477" s="650" t="s">
        <v>1186</v>
      </c>
    </row>
    <row r="478" spans="2:12">
      <c r="B478" s="140">
        <v>242</v>
      </c>
      <c r="C478" t="s">
        <v>552</v>
      </c>
      <c r="F478" s="650" t="s">
        <v>1186</v>
      </c>
      <c r="H478" s="140">
        <v>242</v>
      </c>
      <c r="I478" t="s">
        <v>552</v>
      </c>
      <c r="L478" s="650" t="s">
        <v>1186</v>
      </c>
    </row>
    <row r="479" spans="2:12">
      <c r="B479" s="140">
        <v>243</v>
      </c>
      <c r="C479" t="s">
        <v>358</v>
      </c>
      <c r="D479" s="136" t="s">
        <v>2130</v>
      </c>
      <c r="E479" t="s">
        <v>921</v>
      </c>
      <c r="F479" s="650" t="s">
        <v>1186</v>
      </c>
      <c r="H479" s="140">
        <v>243</v>
      </c>
      <c r="I479" t="s">
        <v>358</v>
      </c>
      <c r="J479" s="136" t="s">
        <v>2130</v>
      </c>
      <c r="K479" t="s">
        <v>921</v>
      </c>
      <c r="L479" s="650" t="s">
        <v>1186</v>
      </c>
    </row>
    <row r="480" spans="2:12">
      <c r="B480" s="140">
        <v>243</v>
      </c>
      <c r="C480" t="s">
        <v>358</v>
      </c>
      <c r="D480" s="136" t="s">
        <v>2131</v>
      </c>
      <c r="E480" t="s">
        <v>922</v>
      </c>
      <c r="F480" s="650" t="s">
        <v>1186</v>
      </c>
      <c r="H480" s="140">
        <v>243</v>
      </c>
      <c r="I480" t="s">
        <v>358</v>
      </c>
      <c r="J480" s="136" t="s">
        <v>2131</v>
      </c>
      <c r="K480" t="s">
        <v>922</v>
      </c>
      <c r="L480" s="650" t="s">
        <v>1186</v>
      </c>
    </row>
    <row r="481" spans="2:12">
      <c r="B481" s="140">
        <v>243</v>
      </c>
      <c r="C481" t="s">
        <v>552</v>
      </c>
      <c r="F481" s="650" t="s">
        <v>1186</v>
      </c>
      <c r="H481" s="140">
        <v>243</v>
      </c>
      <c r="I481" t="s">
        <v>552</v>
      </c>
      <c r="L481" s="650" t="s">
        <v>1186</v>
      </c>
    </row>
    <row r="482" spans="2:12">
      <c r="B482" s="140">
        <v>244</v>
      </c>
      <c r="C482" t="s">
        <v>359</v>
      </c>
      <c r="D482" s="136" t="s">
        <v>2133</v>
      </c>
      <c r="E482" t="s">
        <v>923</v>
      </c>
      <c r="F482" s="650" t="s">
        <v>1186</v>
      </c>
      <c r="H482" s="140">
        <v>244</v>
      </c>
      <c r="I482" t="s">
        <v>359</v>
      </c>
      <c r="J482" s="136" t="s">
        <v>2133</v>
      </c>
      <c r="K482" t="s">
        <v>923</v>
      </c>
      <c r="L482" s="650" t="s">
        <v>1186</v>
      </c>
    </row>
    <row r="483" spans="2:12">
      <c r="B483" s="140">
        <v>244</v>
      </c>
      <c r="C483" t="s">
        <v>359</v>
      </c>
      <c r="D483" s="136" t="s">
        <v>2134</v>
      </c>
      <c r="E483" t="s">
        <v>924</v>
      </c>
      <c r="F483" s="650" t="s">
        <v>1186</v>
      </c>
      <c r="H483" s="140">
        <v>244</v>
      </c>
      <c r="I483" t="s">
        <v>359</v>
      </c>
      <c r="J483" s="136" t="s">
        <v>2134</v>
      </c>
      <c r="K483" t="s">
        <v>924</v>
      </c>
      <c r="L483" s="650" t="s">
        <v>1186</v>
      </c>
    </row>
    <row r="484" spans="2:12">
      <c r="B484" s="140">
        <v>244</v>
      </c>
      <c r="C484" t="s">
        <v>359</v>
      </c>
      <c r="D484" s="136" t="s">
        <v>2135</v>
      </c>
      <c r="E484" t="s">
        <v>925</v>
      </c>
      <c r="F484" s="650" t="s">
        <v>1186</v>
      </c>
      <c r="H484" s="140">
        <v>244</v>
      </c>
      <c r="I484" t="s">
        <v>359</v>
      </c>
      <c r="J484" s="136" t="s">
        <v>2135</v>
      </c>
      <c r="K484" t="s">
        <v>925</v>
      </c>
      <c r="L484" s="650" t="s">
        <v>1186</v>
      </c>
    </row>
    <row r="485" spans="2:12">
      <c r="B485" s="140">
        <v>244</v>
      </c>
      <c r="C485" t="s">
        <v>359</v>
      </c>
      <c r="D485" s="136" t="s">
        <v>2136</v>
      </c>
      <c r="E485" t="s">
        <v>2137</v>
      </c>
      <c r="F485" s="650" t="s">
        <v>1186</v>
      </c>
      <c r="H485" s="140">
        <v>244</v>
      </c>
      <c r="I485" t="s">
        <v>359</v>
      </c>
      <c r="J485" s="136" t="s">
        <v>2136</v>
      </c>
      <c r="K485" t="s">
        <v>2137</v>
      </c>
      <c r="L485" s="650" t="s">
        <v>1186</v>
      </c>
    </row>
    <row r="486" spans="2:12">
      <c r="B486" s="140">
        <v>244</v>
      </c>
      <c r="C486" t="s">
        <v>359</v>
      </c>
      <c r="D486" s="136" t="s">
        <v>2138</v>
      </c>
      <c r="E486" t="s">
        <v>927</v>
      </c>
      <c r="F486" s="650" t="s">
        <v>1186</v>
      </c>
      <c r="H486" s="140">
        <v>244</v>
      </c>
      <c r="I486" t="s">
        <v>359</v>
      </c>
      <c r="J486" s="136" t="s">
        <v>2138</v>
      </c>
      <c r="K486" t="s">
        <v>927</v>
      </c>
      <c r="L486" s="650" t="s">
        <v>1186</v>
      </c>
    </row>
    <row r="487" spans="2:12">
      <c r="B487" s="140">
        <v>244</v>
      </c>
      <c r="C487" t="s">
        <v>552</v>
      </c>
      <c r="F487" s="650" t="s">
        <v>1186</v>
      </c>
      <c r="H487" s="140">
        <v>244</v>
      </c>
      <c r="I487" t="s">
        <v>552</v>
      </c>
      <c r="L487" s="650" t="s">
        <v>1186</v>
      </c>
    </row>
    <row r="488" spans="2:12">
      <c r="B488" s="140">
        <v>251</v>
      </c>
      <c r="C488" t="s">
        <v>360</v>
      </c>
      <c r="D488" s="136" t="s">
        <v>2140</v>
      </c>
      <c r="E488" t="s">
        <v>2141</v>
      </c>
      <c r="F488" s="650">
        <v>82</v>
      </c>
      <c r="H488" s="140">
        <v>251</v>
      </c>
      <c r="I488" t="s">
        <v>360</v>
      </c>
      <c r="J488" s="136" t="s">
        <v>2140</v>
      </c>
      <c r="K488" t="s">
        <v>2141</v>
      </c>
      <c r="L488" s="650">
        <v>82</v>
      </c>
    </row>
    <row r="489" spans="2:12">
      <c r="B489" s="140">
        <v>251</v>
      </c>
      <c r="C489" t="s">
        <v>360</v>
      </c>
      <c r="D489" s="136" t="s">
        <v>2142</v>
      </c>
      <c r="E489" t="s">
        <v>929</v>
      </c>
      <c r="F489" s="650">
        <v>41</v>
      </c>
      <c r="H489" s="140">
        <v>251</v>
      </c>
      <c r="I489" t="s">
        <v>360</v>
      </c>
      <c r="J489" s="136" t="s">
        <v>2142</v>
      </c>
      <c r="K489" t="s">
        <v>929</v>
      </c>
      <c r="L489" s="650">
        <v>41</v>
      </c>
    </row>
    <row r="490" spans="2:12">
      <c r="B490" s="140">
        <v>251</v>
      </c>
      <c r="C490" t="s">
        <v>360</v>
      </c>
      <c r="D490" s="136" t="s">
        <v>2143</v>
      </c>
      <c r="E490" t="s">
        <v>930</v>
      </c>
      <c r="F490" s="650">
        <v>24</v>
      </c>
      <c r="H490" s="140">
        <v>251</v>
      </c>
      <c r="I490" t="s">
        <v>360</v>
      </c>
      <c r="J490" s="136" t="s">
        <v>2143</v>
      </c>
      <c r="K490" t="s">
        <v>930</v>
      </c>
      <c r="L490" s="650">
        <v>24</v>
      </c>
    </row>
    <row r="491" spans="2:12">
      <c r="B491" s="140">
        <v>251</v>
      </c>
      <c r="C491" t="s">
        <v>360</v>
      </c>
      <c r="D491" s="136" t="s">
        <v>2144</v>
      </c>
      <c r="E491" t="s">
        <v>529</v>
      </c>
      <c r="F491" s="650">
        <v>37</v>
      </c>
      <c r="H491" s="140">
        <v>251</v>
      </c>
      <c r="I491" t="s">
        <v>360</v>
      </c>
      <c r="J491" s="136" t="s">
        <v>2144</v>
      </c>
      <c r="K491" t="s">
        <v>529</v>
      </c>
      <c r="L491" s="650">
        <v>37</v>
      </c>
    </row>
    <row r="492" spans="2:12">
      <c r="B492" s="140">
        <v>251</v>
      </c>
      <c r="C492" t="s">
        <v>360</v>
      </c>
      <c r="D492" s="136" t="s">
        <v>2145</v>
      </c>
      <c r="E492" t="s">
        <v>932</v>
      </c>
      <c r="F492" s="650">
        <v>54</v>
      </c>
      <c r="H492" s="140">
        <v>251</v>
      </c>
      <c r="I492" t="s">
        <v>360</v>
      </c>
      <c r="J492" s="136" t="s">
        <v>2145</v>
      </c>
      <c r="K492" t="s">
        <v>932</v>
      </c>
      <c r="L492" s="650">
        <v>54</v>
      </c>
    </row>
    <row r="493" spans="2:12">
      <c r="B493" s="140">
        <v>251</v>
      </c>
      <c r="C493" t="s">
        <v>360</v>
      </c>
      <c r="D493" s="136" t="s">
        <v>2146</v>
      </c>
      <c r="E493" t="s">
        <v>2147</v>
      </c>
      <c r="F493" s="650" t="s">
        <v>1186</v>
      </c>
      <c r="H493" s="140">
        <v>251</v>
      </c>
      <c r="I493" t="s">
        <v>360</v>
      </c>
      <c r="J493" s="136" t="s">
        <v>2146</v>
      </c>
      <c r="K493" t="s">
        <v>2147</v>
      </c>
      <c r="L493" s="650" t="s">
        <v>1186</v>
      </c>
    </row>
    <row r="494" spans="2:12">
      <c r="B494" s="140">
        <v>251</v>
      </c>
      <c r="C494" t="s">
        <v>360</v>
      </c>
      <c r="D494" s="136" t="s">
        <v>2148</v>
      </c>
      <c r="E494" t="s">
        <v>2149</v>
      </c>
      <c r="F494" s="650" t="s">
        <v>1186</v>
      </c>
      <c r="H494" s="140">
        <v>251</v>
      </c>
      <c r="I494" t="s">
        <v>360</v>
      </c>
      <c r="J494" s="136" t="s">
        <v>2148</v>
      </c>
      <c r="K494" t="s">
        <v>2149</v>
      </c>
      <c r="L494" s="650" t="s">
        <v>1186</v>
      </c>
    </row>
    <row r="495" spans="2:12">
      <c r="B495" s="140">
        <v>251</v>
      </c>
      <c r="C495" t="s">
        <v>360</v>
      </c>
      <c r="D495" s="136" t="s">
        <v>2150</v>
      </c>
      <c r="E495" t="s">
        <v>2151</v>
      </c>
      <c r="F495" s="650">
        <v>84</v>
      </c>
      <c r="H495" s="140">
        <v>251</v>
      </c>
      <c r="I495" t="s">
        <v>360</v>
      </c>
      <c r="J495" s="136" t="s">
        <v>2150</v>
      </c>
      <c r="K495" t="s">
        <v>2151</v>
      </c>
      <c r="L495" s="650">
        <v>84</v>
      </c>
    </row>
    <row r="496" spans="2:12">
      <c r="B496" s="140">
        <v>251</v>
      </c>
      <c r="C496" t="s">
        <v>360</v>
      </c>
      <c r="D496" s="136" t="s">
        <v>2152</v>
      </c>
      <c r="E496" t="s">
        <v>2153</v>
      </c>
      <c r="F496" s="650">
        <v>41</v>
      </c>
      <c r="H496" s="140">
        <v>251</v>
      </c>
      <c r="I496" t="s">
        <v>360</v>
      </c>
      <c r="J496" s="136" t="s">
        <v>2152</v>
      </c>
      <c r="K496" t="s">
        <v>2153</v>
      </c>
      <c r="L496" s="650">
        <v>41</v>
      </c>
    </row>
    <row r="497" spans="2:12">
      <c r="B497" s="140">
        <v>251</v>
      </c>
      <c r="C497" t="s">
        <v>552</v>
      </c>
      <c r="F497" s="650">
        <v>378</v>
      </c>
      <c r="H497" s="140">
        <v>251</v>
      </c>
      <c r="I497" t="s">
        <v>552</v>
      </c>
      <c r="L497" s="650">
        <v>378</v>
      </c>
    </row>
    <row r="498" spans="2:12">
      <c r="B498" s="140">
        <v>252</v>
      </c>
      <c r="C498" t="s">
        <v>361</v>
      </c>
      <c r="D498" s="136" t="s">
        <v>2155</v>
      </c>
      <c r="E498" t="s">
        <v>2156</v>
      </c>
      <c r="F498" s="650" t="s">
        <v>1186</v>
      </c>
      <c r="H498" s="140">
        <v>252</v>
      </c>
      <c r="I498" t="s">
        <v>361</v>
      </c>
      <c r="J498" s="136" t="s">
        <v>2155</v>
      </c>
      <c r="K498" t="s">
        <v>2156</v>
      </c>
      <c r="L498" s="650" t="s">
        <v>1186</v>
      </c>
    </row>
    <row r="499" spans="2:12">
      <c r="B499" s="140">
        <v>252</v>
      </c>
      <c r="C499" t="s">
        <v>361</v>
      </c>
      <c r="D499" s="136" t="s">
        <v>2157</v>
      </c>
      <c r="E499" t="s">
        <v>2158</v>
      </c>
      <c r="F499" s="650" t="s">
        <v>1186</v>
      </c>
      <c r="H499" s="140">
        <v>252</v>
      </c>
      <c r="I499" t="s">
        <v>361</v>
      </c>
      <c r="J499" s="136" t="s">
        <v>2157</v>
      </c>
      <c r="K499" t="s">
        <v>2158</v>
      </c>
      <c r="L499" s="650" t="s">
        <v>1186</v>
      </c>
    </row>
    <row r="500" spans="2:12">
      <c r="B500" s="140">
        <v>252</v>
      </c>
      <c r="C500" t="s">
        <v>552</v>
      </c>
      <c r="F500" s="650">
        <v>17</v>
      </c>
      <c r="H500" s="140">
        <v>252</v>
      </c>
      <c r="I500" t="s">
        <v>552</v>
      </c>
      <c r="L500" s="650">
        <v>17</v>
      </c>
    </row>
    <row r="501" spans="2:12">
      <c r="B501" s="140">
        <v>253</v>
      </c>
      <c r="C501" t="s">
        <v>362</v>
      </c>
      <c r="D501" s="136" t="s">
        <v>2160</v>
      </c>
      <c r="E501" t="s">
        <v>942</v>
      </c>
      <c r="F501" s="650">
        <v>28</v>
      </c>
      <c r="H501" s="140">
        <v>253</v>
      </c>
      <c r="I501" t="s">
        <v>362</v>
      </c>
      <c r="J501" s="136" t="s">
        <v>2160</v>
      </c>
      <c r="K501" t="s">
        <v>942</v>
      </c>
      <c r="L501" s="650">
        <v>28</v>
      </c>
    </row>
    <row r="502" spans="2:12">
      <c r="B502" s="140">
        <v>253</v>
      </c>
      <c r="C502" t="s">
        <v>362</v>
      </c>
      <c r="D502" s="136" t="s">
        <v>2161</v>
      </c>
      <c r="E502" t="s">
        <v>2162</v>
      </c>
      <c r="F502" s="650">
        <v>58</v>
      </c>
      <c r="H502" s="140">
        <v>253</v>
      </c>
      <c r="I502" t="s">
        <v>362</v>
      </c>
      <c r="J502" s="136" t="s">
        <v>2161</v>
      </c>
      <c r="K502" t="s">
        <v>2162</v>
      </c>
      <c r="L502" s="650">
        <v>58</v>
      </c>
    </row>
    <row r="503" spans="2:12">
      <c r="B503" s="140">
        <v>253</v>
      </c>
      <c r="C503" t="s">
        <v>362</v>
      </c>
      <c r="D503" s="136" t="s">
        <v>2163</v>
      </c>
      <c r="E503" t="s">
        <v>944</v>
      </c>
      <c r="F503" s="650" t="s">
        <v>1186</v>
      </c>
      <c r="H503" s="140">
        <v>253</v>
      </c>
      <c r="I503" t="s">
        <v>362</v>
      </c>
      <c r="J503" s="136" t="s">
        <v>2163</v>
      </c>
      <c r="K503" t="s">
        <v>944</v>
      </c>
      <c r="L503" s="650" t="s">
        <v>1186</v>
      </c>
    </row>
    <row r="504" spans="2:12">
      <c r="B504" s="140">
        <v>253</v>
      </c>
      <c r="C504" t="s">
        <v>362</v>
      </c>
      <c r="D504" s="136" t="s">
        <v>2164</v>
      </c>
      <c r="E504" t="s">
        <v>1530</v>
      </c>
      <c r="F504" s="650" t="s">
        <v>1186</v>
      </c>
      <c r="H504" s="140">
        <v>253</v>
      </c>
      <c r="I504" t="s">
        <v>362</v>
      </c>
      <c r="J504" s="136" t="s">
        <v>2164</v>
      </c>
      <c r="K504" t="s">
        <v>1530</v>
      </c>
      <c r="L504" s="650" t="s">
        <v>1186</v>
      </c>
    </row>
    <row r="505" spans="2:12">
      <c r="B505" s="140">
        <v>253</v>
      </c>
      <c r="C505" t="s">
        <v>552</v>
      </c>
      <c r="F505" s="650">
        <v>120</v>
      </c>
      <c r="H505" s="140">
        <v>253</v>
      </c>
      <c r="I505" t="s">
        <v>552</v>
      </c>
      <c r="L505" s="650">
        <v>120</v>
      </c>
    </row>
    <row r="506" spans="2:12">
      <c r="B506" s="140">
        <v>261</v>
      </c>
      <c r="C506" t="s">
        <v>363</v>
      </c>
      <c r="D506" s="136" t="s">
        <v>2166</v>
      </c>
      <c r="E506" t="s">
        <v>945</v>
      </c>
      <c r="F506" s="650">
        <v>296</v>
      </c>
      <c r="H506" s="140">
        <v>261</v>
      </c>
      <c r="I506" t="s">
        <v>363</v>
      </c>
      <c r="J506" s="136" t="s">
        <v>2166</v>
      </c>
      <c r="K506" t="s">
        <v>945</v>
      </c>
      <c r="L506" s="650">
        <v>296</v>
      </c>
    </row>
    <row r="507" spans="2:12">
      <c r="B507" s="140">
        <v>261</v>
      </c>
      <c r="C507" t="s">
        <v>363</v>
      </c>
      <c r="D507" s="136" t="s">
        <v>2167</v>
      </c>
      <c r="E507" t="s">
        <v>946</v>
      </c>
      <c r="F507" s="650">
        <v>341</v>
      </c>
      <c r="H507" s="140">
        <v>261</v>
      </c>
      <c r="I507" t="s">
        <v>363</v>
      </c>
      <c r="J507" s="136" t="s">
        <v>2167</v>
      </c>
      <c r="K507" t="s">
        <v>946</v>
      </c>
      <c r="L507" s="650">
        <v>341</v>
      </c>
    </row>
    <row r="508" spans="2:12">
      <c r="B508" s="140">
        <v>261</v>
      </c>
      <c r="C508" t="s">
        <v>363</v>
      </c>
      <c r="D508" s="136" t="s">
        <v>2168</v>
      </c>
      <c r="E508" t="s">
        <v>2169</v>
      </c>
      <c r="F508" s="650" t="s">
        <v>1186</v>
      </c>
      <c r="H508" s="140">
        <v>261</v>
      </c>
      <c r="I508" t="s">
        <v>363</v>
      </c>
      <c r="J508" s="136" t="s">
        <v>2168</v>
      </c>
      <c r="K508" t="s">
        <v>2169</v>
      </c>
      <c r="L508" s="650" t="s">
        <v>1186</v>
      </c>
    </row>
    <row r="509" spans="2:12">
      <c r="B509" s="140">
        <v>261</v>
      </c>
      <c r="C509" t="s">
        <v>363</v>
      </c>
      <c r="D509" s="136" t="s">
        <v>2170</v>
      </c>
      <c r="E509" t="s">
        <v>540</v>
      </c>
      <c r="F509" s="650">
        <v>240</v>
      </c>
      <c r="H509" s="140">
        <v>261</v>
      </c>
      <c r="I509" t="s">
        <v>363</v>
      </c>
      <c r="J509" s="136" t="s">
        <v>2170</v>
      </c>
      <c r="K509" t="s">
        <v>540</v>
      </c>
      <c r="L509" s="650">
        <v>240</v>
      </c>
    </row>
    <row r="510" spans="2:12">
      <c r="B510" s="140">
        <v>261</v>
      </c>
      <c r="C510" t="s">
        <v>363</v>
      </c>
      <c r="D510" s="136" t="s">
        <v>2171</v>
      </c>
      <c r="E510" t="s">
        <v>529</v>
      </c>
      <c r="F510" s="650">
        <v>214</v>
      </c>
      <c r="H510" s="140">
        <v>261</v>
      </c>
      <c r="I510" t="s">
        <v>363</v>
      </c>
      <c r="J510" s="136" t="s">
        <v>2171</v>
      </c>
      <c r="K510" t="s">
        <v>529</v>
      </c>
      <c r="L510" s="650">
        <v>214</v>
      </c>
    </row>
    <row r="511" spans="2:12">
      <c r="B511" s="140">
        <v>261</v>
      </c>
      <c r="C511" t="s">
        <v>363</v>
      </c>
      <c r="D511" s="136" t="s">
        <v>2172</v>
      </c>
      <c r="E511" t="s">
        <v>2173</v>
      </c>
      <c r="F511" s="650" t="s">
        <v>1186</v>
      </c>
      <c r="H511" s="140">
        <v>261</v>
      </c>
      <c r="I511" t="s">
        <v>363</v>
      </c>
      <c r="J511" s="136" t="s">
        <v>2172</v>
      </c>
      <c r="K511" t="s">
        <v>2173</v>
      </c>
      <c r="L511" s="650" t="s">
        <v>1186</v>
      </c>
    </row>
    <row r="512" spans="2:12">
      <c r="B512" s="140">
        <v>261</v>
      </c>
      <c r="C512" t="s">
        <v>363</v>
      </c>
      <c r="D512" s="136" t="s">
        <v>2174</v>
      </c>
      <c r="E512" t="s">
        <v>948</v>
      </c>
      <c r="F512" s="650">
        <v>253</v>
      </c>
      <c r="H512" s="140">
        <v>261</v>
      </c>
      <c r="I512" t="s">
        <v>363</v>
      </c>
      <c r="J512" s="136" t="s">
        <v>2174</v>
      </c>
      <c r="K512" t="s">
        <v>948</v>
      </c>
      <c r="L512" s="650">
        <v>253</v>
      </c>
    </row>
    <row r="513" spans="2:12">
      <c r="B513" s="140">
        <v>261</v>
      </c>
      <c r="C513" t="s">
        <v>552</v>
      </c>
      <c r="F513" s="650">
        <v>1357</v>
      </c>
      <c r="H513" s="140">
        <v>261</v>
      </c>
      <c r="I513" t="s">
        <v>552</v>
      </c>
      <c r="L513" s="650">
        <v>1357</v>
      </c>
    </row>
    <row r="514" spans="2:12">
      <c r="B514" s="140">
        <v>262</v>
      </c>
      <c r="C514" t="s">
        <v>364</v>
      </c>
      <c r="D514" s="136" t="s">
        <v>2176</v>
      </c>
      <c r="E514" t="s">
        <v>950</v>
      </c>
      <c r="F514" s="650">
        <v>210</v>
      </c>
      <c r="H514" s="140">
        <v>262</v>
      </c>
      <c r="I514" t="s">
        <v>364</v>
      </c>
      <c r="J514" s="136" t="s">
        <v>2176</v>
      </c>
      <c r="K514" t="s">
        <v>950</v>
      </c>
      <c r="L514" s="650">
        <v>210</v>
      </c>
    </row>
    <row r="515" spans="2:12">
      <c r="B515" s="140">
        <v>262</v>
      </c>
      <c r="C515" t="s">
        <v>552</v>
      </c>
      <c r="F515" s="650">
        <v>210</v>
      </c>
      <c r="H515" s="140">
        <v>262</v>
      </c>
      <c r="I515" t="s">
        <v>552</v>
      </c>
      <c r="L515" s="650">
        <v>210</v>
      </c>
    </row>
    <row r="516" spans="2:12">
      <c r="B516" s="140">
        <v>271</v>
      </c>
      <c r="C516" t="s">
        <v>951</v>
      </c>
      <c r="D516" s="136" t="s">
        <v>2178</v>
      </c>
      <c r="E516" t="s">
        <v>952</v>
      </c>
      <c r="F516" s="650" t="s">
        <v>1186</v>
      </c>
      <c r="H516" s="140">
        <v>271</v>
      </c>
      <c r="I516" t="s">
        <v>951</v>
      </c>
      <c r="J516" s="136" t="s">
        <v>2178</v>
      </c>
      <c r="K516" t="s">
        <v>952</v>
      </c>
      <c r="L516" s="650" t="s">
        <v>1186</v>
      </c>
    </row>
    <row r="517" spans="2:12">
      <c r="B517" s="140">
        <v>271</v>
      </c>
      <c r="C517" t="s">
        <v>951</v>
      </c>
      <c r="D517" s="136" t="s">
        <v>2179</v>
      </c>
      <c r="E517" t="s">
        <v>2180</v>
      </c>
      <c r="F517" s="650" t="s">
        <v>1186</v>
      </c>
      <c r="H517" s="140">
        <v>271</v>
      </c>
      <c r="I517" t="s">
        <v>951</v>
      </c>
      <c r="J517" s="136" t="s">
        <v>2179</v>
      </c>
      <c r="K517" t="s">
        <v>2180</v>
      </c>
      <c r="L517" s="650" t="s">
        <v>1186</v>
      </c>
    </row>
    <row r="518" spans="2:12">
      <c r="B518" s="140">
        <v>271</v>
      </c>
      <c r="C518" t="s">
        <v>951</v>
      </c>
      <c r="D518" s="136" t="s">
        <v>2181</v>
      </c>
      <c r="E518" t="s">
        <v>954</v>
      </c>
      <c r="F518" s="650" t="s">
        <v>1186</v>
      </c>
      <c r="H518" s="140">
        <v>271</v>
      </c>
      <c r="I518" t="s">
        <v>951</v>
      </c>
      <c r="J518" s="136" t="s">
        <v>2181</v>
      </c>
      <c r="K518" t="s">
        <v>954</v>
      </c>
      <c r="L518" s="650" t="s">
        <v>1186</v>
      </c>
    </row>
    <row r="519" spans="2:12">
      <c r="B519" s="140">
        <v>271</v>
      </c>
      <c r="C519" t="s">
        <v>951</v>
      </c>
      <c r="D519" s="136" t="s">
        <v>2182</v>
      </c>
      <c r="E519" t="s">
        <v>955</v>
      </c>
      <c r="F519" s="650" t="s">
        <v>1186</v>
      </c>
      <c r="H519" s="140">
        <v>271</v>
      </c>
      <c r="I519" t="s">
        <v>951</v>
      </c>
      <c r="J519" s="136" t="s">
        <v>2182</v>
      </c>
      <c r="K519" t="s">
        <v>955</v>
      </c>
      <c r="L519" s="650" t="s">
        <v>1186</v>
      </c>
    </row>
    <row r="520" spans="2:12">
      <c r="B520" s="140">
        <v>271</v>
      </c>
      <c r="C520" t="s">
        <v>951</v>
      </c>
      <c r="D520" s="136" t="s">
        <v>2183</v>
      </c>
      <c r="E520" t="s">
        <v>956</v>
      </c>
      <c r="F520" s="650">
        <v>15</v>
      </c>
      <c r="H520" s="140">
        <v>271</v>
      </c>
      <c r="I520" t="s">
        <v>951</v>
      </c>
      <c r="J520" s="136" t="s">
        <v>2183</v>
      </c>
      <c r="K520" t="s">
        <v>956</v>
      </c>
      <c r="L520" s="650">
        <v>15</v>
      </c>
    </row>
    <row r="521" spans="2:12">
      <c r="B521" s="140">
        <v>271</v>
      </c>
      <c r="C521" t="s">
        <v>951</v>
      </c>
      <c r="D521" s="136" t="s">
        <v>2184</v>
      </c>
      <c r="E521" t="s">
        <v>957</v>
      </c>
      <c r="F521" s="650">
        <v>11</v>
      </c>
      <c r="H521" s="140">
        <v>271</v>
      </c>
      <c r="I521" t="s">
        <v>951</v>
      </c>
      <c r="J521" s="136" t="s">
        <v>2184</v>
      </c>
      <c r="K521" t="s">
        <v>957</v>
      </c>
      <c r="L521" s="650">
        <v>11</v>
      </c>
    </row>
    <row r="522" spans="2:12">
      <c r="B522" s="140">
        <v>271</v>
      </c>
      <c r="C522" t="s">
        <v>951</v>
      </c>
      <c r="D522" s="136" t="s">
        <v>2185</v>
      </c>
      <c r="E522" t="s">
        <v>958</v>
      </c>
      <c r="F522" s="650" t="s">
        <v>1186</v>
      </c>
      <c r="H522" s="140">
        <v>271</v>
      </c>
      <c r="I522" t="s">
        <v>951</v>
      </c>
      <c r="J522" s="136" t="s">
        <v>2185</v>
      </c>
      <c r="K522" t="s">
        <v>958</v>
      </c>
      <c r="L522" s="650" t="s">
        <v>1186</v>
      </c>
    </row>
    <row r="523" spans="2:12">
      <c r="B523" s="140">
        <v>271</v>
      </c>
      <c r="C523" t="s">
        <v>951</v>
      </c>
      <c r="D523" s="136" t="s">
        <v>2186</v>
      </c>
      <c r="E523" t="s">
        <v>2187</v>
      </c>
      <c r="F523" s="650" t="s">
        <v>1186</v>
      </c>
      <c r="H523" s="140">
        <v>271</v>
      </c>
      <c r="I523" t="s">
        <v>951</v>
      </c>
      <c r="J523" s="136" t="s">
        <v>2186</v>
      </c>
      <c r="K523" t="s">
        <v>2187</v>
      </c>
      <c r="L523" s="650" t="s">
        <v>1186</v>
      </c>
    </row>
    <row r="524" spans="2:12">
      <c r="B524" s="140">
        <v>271</v>
      </c>
      <c r="C524" t="s">
        <v>951</v>
      </c>
      <c r="D524" s="136" t="s">
        <v>2188</v>
      </c>
      <c r="E524" t="s">
        <v>960</v>
      </c>
      <c r="F524" s="650" t="s">
        <v>1186</v>
      </c>
      <c r="H524" s="140">
        <v>271</v>
      </c>
      <c r="I524" t="s">
        <v>951</v>
      </c>
      <c r="J524" s="136" t="s">
        <v>2188</v>
      </c>
      <c r="K524" t="s">
        <v>960</v>
      </c>
      <c r="L524" s="650" t="s">
        <v>1186</v>
      </c>
    </row>
    <row r="525" spans="2:12">
      <c r="B525" s="140">
        <v>271</v>
      </c>
      <c r="C525" t="s">
        <v>951</v>
      </c>
      <c r="D525" s="136" t="s">
        <v>2189</v>
      </c>
      <c r="E525" t="s">
        <v>2190</v>
      </c>
      <c r="F525" s="650" t="s">
        <v>1186</v>
      </c>
      <c r="H525" s="140">
        <v>271</v>
      </c>
      <c r="I525" t="s">
        <v>951</v>
      </c>
      <c r="J525" s="136" t="s">
        <v>2189</v>
      </c>
      <c r="K525" t="s">
        <v>2190</v>
      </c>
      <c r="L525" s="650" t="s">
        <v>1186</v>
      </c>
    </row>
    <row r="526" spans="2:12">
      <c r="B526" s="140">
        <v>271</v>
      </c>
      <c r="C526" t="s">
        <v>951</v>
      </c>
      <c r="D526" s="136" t="s">
        <v>2191</v>
      </c>
      <c r="E526" t="s">
        <v>962</v>
      </c>
      <c r="F526" s="650" t="s">
        <v>1186</v>
      </c>
      <c r="H526" s="140">
        <v>271</v>
      </c>
      <c r="I526" t="s">
        <v>951</v>
      </c>
      <c r="J526" s="136" t="s">
        <v>2191</v>
      </c>
      <c r="K526" t="s">
        <v>962</v>
      </c>
      <c r="L526" s="650" t="s">
        <v>1186</v>
      </c>
    </row>
    <row r="527" spans="2:12">
      <c r="B527" s="140">
        <v>271</v>
      </c>
      <c r="C527" t="s">
        <v>951</v>
      </c>
      <c r="D527" s="136" t="s">
        <v>2192</v>
      </c>
      <c r="E527" t="s">
        <v>963</v>
      </c>
      <c r="F527" s="650" t="s">
        <v>1186</v>
      </c>
      <c r="H527" s="140">
        <v>271</v>
      </c>
      <c r="I527" t="s">
        <v>951</v>
      </c>
      <c r="J527" s="136" t="s">
        <v>2192</v>
      </c>
      <c r="K527" t="s">
        <v>963</v>
      </c>
      <c r="L527" s="650" t="s">
        <v>1186</v>
      </c>
    </row>
    <row r="528" spans="2:12">
      <c r="B528" s="140">
        <v>271</v>
      </c>
      <c r="C528" t="s">
        <v>951</v>
      </c>
      <c r="D528" s="136" t="s">
        <v>2193</v>
      </c>
      <c r="E528" t="s">
        <v>964</v>
      </c>
      <c r="F528" s="650" t="s">
        <v>1186</v>
      </c>
      <c r="H528" s="140">
        <v>271</v>
      </c>
      <c r="I528" t="s">
        <v>951</v>
      </c>
      <c r="J528" s="136" t="s">
        <v>2193</v>
      </c>
      <c r="K528" t="s">
        <v>964</v>
      </c>
      <c r="L528" s="650" t="s">
        <v>1186</v>
      </c>
    </row>
    <row r="529" spans="2:12">
      <c r="B529" s="140">
        <v>271</v>
      </c>
      <c r="C529" t="s">
        <v>951</v>
      </c>
      <c r="D529" s="136" t="s">
        <v>2194</v>
      </c>
      <c r="E529" t="s">
        <v>2195</v>
      </c>
      <c r="F529" s="650" t="s">
        <v>1186</v>
      </c>
      <c r="H529" s="140">
        <v>271</v>
      </c>
      <c r="I529" t="s">
        <v>951</v>
      </c>
      <c r="J529" s="136" t="s">
        <v>2194</v>
      </c>
      <c r="K529" t="s">
        <v>2195</v>
      </c>
      <c r="L529" s="650" t="s">
        <v>1186</v>
      </c>
    </row>
    <row r="530" spans="2:12">
      <c r="B530" s="140">
        <v>271</v>
      </c>
      <c r="C530" t="s">
        <v>951</v>
      </c>
      <c r="D530" s="136" t="s">
        <v>2196</v>
      </c>
      <c r="E530" t="s">
        <v>966</v>
      </c>
      <c r="F530" s="650" t="s">
        <v>1186</v>
      </c>
      <c r="H530" s="140">
        <v>271</v>
      </c>
      <c r="I530" t="s">
        <v>951</v>
      </c>
      <c r="J530" s="136" t="s">
        <v>2196</v>
      </c>
      <c r="K530" t="s">
        <v>966</v>
      </c>
      <c r="L530" s="650" t="s">
        <v>1186</v>
      </c>
    </row>
    <row r="531" spans="2:12">
      <c r="B531" s="140">
        <v>271</v>
      </c>
      <c r="C531" t="s">
        <v>951</v>
      </c>
      <c r="D531" s="136" t="s">
        <v>2197</v>
      </c>
      <c r="E531" t="s">
        <v>2198</v>
      </c>
      <c r="F531" s="650" t="s">
        <v>1186</v>
      </c>
      <c r="H531" s="140">
        <v>271</v>
      </c>
      <c r="I531" t="s">
        <v>951</v>
      </c>
      <c r="J531" s="136" t="s">
        <v>2197</v>
      </c>
      <c r="K531" t="s">
        <v>2198</v>
      </c>
      <c r="L531" s="650" t="s">
        <v>1186</v>
      </c>
    </row>
    <row r="532" spans="2:12">
      <c r="B532" s="140">
        <v>271</v>
      </c>
      <c r="C532" t="s">
        <v>951</v>
      </c>
      <c r="D532" s="136" t="s">
        <v>2199</v>
      </c>
      <c r="E532" t="s">
        <v>2200</v>
      </c>
      <c r="F532" s="650" t="s">
        <v>1186</v>
      </c>
      <c r="H532" s="140">
        <v>271</v>
      </c>
      <c r="I532" t="s">
        <v>951</v>
      </c>
      <c r="J532" s="136" t="s">
        <v>2199</v>
      </c>
      <c r="K532" t="s">
        <v>2200</v>
      </c>
      <c r="L532" s="650" t="s">
        <v>1186</v>
      </c>
    </row>
    <row r="533" spans="2:12">
      <c r="B533" s="140">
        <v>271</v>
      </c>
      <c r="C533" t="s">
        <v>552</v>
      </c>
      <c r="F533" s="650">
        <v>66</v>
      </c>
      <c r="H533" s="140">
        <v>271</v>
      </c>
      <c r="I533" t="s">
        <v>552</v>
      </c>
      <c r="L533" s="650">
        <v>66</v>
      </c>
    </row>
    <row r="534" spans="2:12">
      <c r="B534" s="140">
        <v>272</v>
      </c>
      <c r="C534" t="s">
        <v>366</v>
      </c>
      <c r="D534" s="136" t="s">
        <v>2202</v>
      </c>
      <c r="E534" t="s">
        <v>968</v>
      </c>
      <c r="F534" s="650" t="s">
        <v>1186</v>
      </c>
      <c r="H534" s="140">
        <v>272</v>
      </c>
      <c r="I534" t="s">
        <v>366</v>
      </c>
      <c r="J534" s="136" t="s">
        <v>2202</v>
      </c>
      <c r="K534" t="s">
        <v>968</v>
      </c>
      <c r="L534" s="650" t="s">
        <v>1186</v>
      </c>
    </row>
    <row r="535" spans="2:12">
      <c r="B535" s="140">
        <v>272</v>
      </c>
      <c r="C535" t="s">
        <v>366</v>
      </c>
      <c r="D535" s="136" t="s">
        <v>2203</v>
      </c>
      <c r="E535" t="s">
        <v>969</v>
      </c>
      <c r="F535" s="650" t="s">
        <v>1186</v>
      </c>
      <c r="H535" s="140">
        <v>272</v>
      </c>
      <c r="I535" t="s">
        <v>366</v>
      </c>
      <c r="J535" s="136" t="s">
        <v>2203</v>
      </c>
      <c r="K535" t="s">
        <v>969</v>
      </c>
      <c r="L535" s="650" t="s">
        <v>1186</v>
      </c>
    </row>
    <row r="536" spans="2:12">
      <c r="B536" s="140">
        <v>272</v>
      </c>
      <c r="C536" t="s">
        <v>366</v>
      </c>
      <c r="D536" s="136" t="s">
        <v>2204</v>
      </c>
      <c r="E536" t="s">
        <v>970</v>
      </c>
      <c r="F536" s="650" t="s">
        <v>1186</v>
      </c>
      <c r="H536" s="140">
        <v>272</v>
      </c>
      <c r="I536" t="s">
        <v>366</v>
      </c>
      <c r="J536" s="136" t="s">
        <v>2204</v>
      </c>
      <c r="K536" t="s">
        <v>970</v>
      </c>
      <c r="L536" s="650" t="s">
        <v>1186</v>
      </c>
    </row>
    <row r="537" spans="2:12">
      <c r="B537" s="140">
        <v>272</v>
      </c>
      <c r="C537" t="s">
        <v>366</v>
      </c>
      <c r="D537" s="136" t="s">
        <v>2205</v>
      </c>
      <c r="E537" t="s">
        <v>971</v>
      </c>
      <c r="F537" s="650" t="s">
        <v>1186</v>
      </c>
      <c r="H537" s="140">
        <v>272</v>
      </c>
      <c r="I537" t="s">
        <v>366</v>
      </c>
      <c r="J537" s="136" t="s">
        <v>2205</v>
      </c>
      <c r="K537" t="s">
        <v>971</v>
      </c>
      <c r="L537" s="650" t="s">
        <v>1186</v>
      </c>
    </row>
    <row r="538" spans="2:12">
      <c r="B538" s="140">
        <v>272</v>
      </c>
      <c r="C538" t="s">
        <v>366</v>
      </c>
      <c r="D538" s="136" t="s">
        <v>2206</v>
      </c>
      <c r="E538" t="s">
        <v>972</v>
      </c>
      <c r="F538" s="650" t="s">
        <v>1186</v>
      </c>
      <c r="H538" s="140">
        <v>272</v>
      </c>
      <c r="I538" t="s">
        <v>366</v>
      </c>
      <c r="J538" s="136" t="s">
        <v>2206</v>
      </c>
      <c r="K538" t="s">
        <v>972</v>
      </c>
      <c r="L538" s="650" t="s">
        <v>1186</v>
      </c>
    </row>
    <row r="539" spans="2:12">
      <c r="B539" s="140">
        <v>272</v>
      </c>
      <c r="C539" t="s">
        <v>366</v>
      </c>
      <c r="D539" s="136" t="s">
        <v>2207</v>
      </c>
      <c r="E539" t="s">
        <v>973</v>
      </c>
      <c r="F539" s="650" t="s">
        <v>1186</v>
      </c>
      <c r="H539" s="140">
        <v>272</v>
      </c>
      <c r="I539" t="s">
        <v>366</v>
      </c>
      <c r="J539" s="136" t="s">
        <v>2207</v>
      </c>
      <c r="K539" t="s">
        <v>973</v>
      </c>
      <c r="L539" s="650" t="s">
        <v>1186</v>
      </c>
    </row>
    <row r="540" spans="2:12">
      <c r="B540" s="140">
        <v>272</v>
      </c>
      <c r="C540" t="s">
        <v>366</v>
      </c>
      <c r="D540" s="136" t="s">
        <v>2208</v>
      </c>
      <c r="E540" t="s">
        <v>974</v>
      </c>
      <c r="F540" s="650" t="s">
        <v>1186</v>
      </c>
      <c r="H540" s="140">
        <v>272</v>
      </c>
      <c r="I540" t="s">
        <v>366</v>
      </c>
      <c r="J540" s="136" t="s">
        <v>2208</v>
      </c>
      <c r="K540" t="s">
        <v>974</v>
      </c>
      <c r="L540" s="650" t="s">
        <v>1186</v>
      </c>
    </row>
    <row r="541" spans="2:12">
      <c r="B541" s="140">
        <v>272</v>
      </c>
      <c r="C541" t="s">
        <v>366</v>
      </c>
      <c r="D541" s="136" t="s">
        <v>2209</v>
      </c>
      <c r="E541" t="s">
        <v>975</v>
      </c>
      <c r="F541" s="650" t="s">
        <v>1186</v>
      </c>
      <c r="H541" s="140">
        <v>272</v>
      </c>
      <c r="I541" t="s">
        <v>366</v>
      </c>
      <c r="J541" s="136" t="s">
        <v>2209</v>
      </c>
      <c r="K541" t="s">
        <v>975</v>
      </c>
      <c r="L541" s="650" t="s">
        <v>1186</v>
      </c>
    </row>
    <row r="542" spans="2:12">
      <c r="B542" s="140">
        <v>272</v>
      </c>
      <c r="C542" t="s">
        <v>366</v>
      </c>
      <c r="D542" s="136" t="s">
        <v>2210</v>
      </c>
      <c r="E542" t="s">
        <v>976</v>
      </c>
      <c r="F542" s="650" t="s">
        <v>1186</v>
      </c>
      <c r="H542" s="140">
        <v>272</v>
      </c>
      <c r="I542" t="s">
        <v>366</v>
      </c>
      <c r="J542" s="136" t="s">
        <v>2210</v>
      </c>
      <c r="K542" t="s">
        <v>976</v>
      </c>
      <c r="L542" s="650" t="s">
        <v>1186</v>
      </c>
    </row>
    <row r="543" spans="2:12">
      <c r="B543" s="140">
        <v>272</v>
      </c>
      <c r="C543" t="s">
        <v>366</v>
      </c>
      <c r="D543" s="136" t="s">
        <v>2211</v>
      </c>
      <c r="E543" t="s">
        <v>977</v>
      </c>
      <c r="F543" s="650" t="s">
        <v>1186</v>
      </c>
      <c r="H543" s="140">
        <v>272</v>
      </c>
      <c r="I543" t="s">
        <v>366</v>
      </c>
      <c r="J543" s="136" t="s">
        <v>2211</v>
      </c>
      <c r="K543" t="s">
        <v>977</v>
      </c>
      <c r="L543" s="650" t="s">
        <v>1186</v>
      </c>
    </row>
    <row r="544" spans="2:12">
      <c r="B544" s="140">
        <v>272</v>
      </c>
      <c r="C544" t="s">
        <v>366</v>
      </c>
      <c r="D544" s="136" t="s">
        <v>2212</v>
      </c>
      <c r="E544" t="s">
        <v>2213</v>
      </c>
      <c r="F544" s="650" t="s">
        <v>1186</v>
      </c>
      <c r="H544" s="140">
        <v>272</v>
      </c>
      <c r="I544" t="s">
        <v>366</v>
      </c>
      <c r="J544" s="136" t="s">
        <v>2212</v>
      </c>
      <c r="K544" t="s">
        <v>2213</v>
      </c>
      <c r="L544" s="650" t="s">
        <v>1186</v>
      </c>
    </row>
    <row r="545" spans="2:12">
      <c r="B545" s="140">
        <v>272</v>
      </c>
      <c r="C545" t="s">
        <v>552</v>
      </c>
      <c r="F545" s="650" t="s">
        <v>1186</v>
      </c>
      <c r="H545" s="140">
        <v>272</v>
      </c>
      <c r="I545" t="s">
        <v>552</v>
      </c>
      <c r="L545" s="650" t="s">
        <v>1186</v>
      </c>
    </row>
    <row r="546" spans="2:12">
      <c r="B546" s="140">
        <v>273</v>
      </c>
      <c r="C546" t="s">
        <v>367</v>
      </c>
      <c r="D546" s="136" t="s">
        <v>2215</v>
      </c>
      <c r="E546" t="s">
        <v>979</v>
      </c>
      <c r="F546" s="650" t="s">
        <v>1186</v>
      </c>
      <c r="H546" s="140">
        <v>273</v>
      </c>
      <c r="I546" t="s">
        <v>367</v>
      </c>
      <c r="J546" s="136" t="s">
        <v>2215</v>
      </c>
      <c r="K546" t="s">
        <v>979</v>
      </c>
      <c r="L546" s="650" t="s">
        <v>1186</v>
      </c>
    </row>
    <row r="547" spans="2:12">
      <c r="B547" s="140">
        <v>273</v>
      </c>
      <c r="C547" t="s">
        <v>367</v>
      </c>
      <c r="D547" s="136" t="s">
        <v>2216</v>
      </c>
      <c r="E547" t="s">
        <v>980</v>
      </c>
      <c r="F547" s="650" t="s">
        <v>1186</v>
      </c>
      <c r="H547" s="140">
        <v>273</v>
      </c>
      <c r="I547" t="s">
        <v>367</v>
      </c>
      <c r="J547" s="136" t="s">
        <v>2216</v>
      </c>
      <c r="K547" t="s">
        <v>980</v>
      </c>
      <c r="L547" s="650" t="s">
        <v>1186</v>
      </c>
    </row>
    <row r="548" spans="2:12">
      <c r="B548" s="140">
        <v>273</v>
      </c>
      <c r="C548" t="s">
        <v>367</v>
      </c>
      <c r="D548" s="136" t="s">
        <v>2217</v>
      </c>
      <c r="E548" t="s">
        <v>981</v>
      </c>
      <c r="F548" s="650" t="s">
        <v>1186</v>
      </c>
      <c r="H548" s="140">
        <v>273</v>
      </c>
      <c r="I548" t="s">
        <v>367</v>
      </c>
      <c r="J548" s="136" t="s">
        <v>2217</v>
      </c>
      <c r="K548" t="s">
        <v>981</v>
      </c>
      <c r="L548" s="650" t="s">
        <v>1186</v>
      </c>
    </row>
    <row r="549" spans="2:12">
      <c r="B549" s="140">
        <v>273</v>
      </c>
      <c r="C549" t="s">
        <v>367</v>
      </c>
      <c r="D549" s="136" t="s">
        <v>2218</v>
      </c>
      <c r="E549" t="s">
        <v>982</v>
      </c>
      <c r="F549" s="650" t="s">
        <v>1186</v>
      </c>
      <c r="H549" s="140">
        <v>273</v>
      </c>
      <c r="I549" t="s">
        <v>367</v>
      </c>
      <c r="J549" s="136" t="s">
        <v>2218</v>
      </c>
      <c r="K549" t="s">
        <v>982</v>
      </c>
      <c r="L549" s="650" t="s">
        <v>1186</v>
      </c>
    </row>
    <row r="550" spans="2:12">
      <c r="B550" s="140">
        <v>273</v>
      </c>
      <c r="C550" t="s">
        <v>367</v>
      </c>
      <c r="D550" s="136" t="s">
        <v>2219</v>
      </c>
      <c r="E550" t="s">
        <v>983</v>
      </c>
      <c r="F550" s="650" t="s">
        <v>1186</v>
      </c>
      <c r="H550" s="140">
        <v>273</v>
      </c>
      <c r="I550" t="s">
        <v>367</v>
      </c>
      <c r="J550" s="136" t="s">
        <v>2219</v>
      </c>
      <c r="K550" t="s">
        <v>983</v>
      </c>
      <c r="L550" s="650" t="s">
        <v>1186</v>
      </c>
    </row>
    <row r="551" spans="2:12">
      <c r="B551" s="140">
        <v>273</v>
      </c>
      <c r="C551" t="s">
        <v>367</v>
      </c>
      <c r="D551" s="136" t="s">
        <v>2220</v>
      </c>
      <c r="E551" t="s">
        <v>585</v>
      </c>
      <c r="F551" s="650" t="s">
        <v>1186</v>
      </c>
      <c r="H551" s="140">
        <v>273</v>
      </c>
      <c r="I551" t="s">
        <v>367</v>
      </c>
      <c r="J551" s="136" t="s">
        <v>2220</v>
      </c>
      <c r="K551" t="s">
        <v>585</v>
      </c>
      <c r="L551" s="650" t="s">
        <v>1186</v>
      </c>
    </row>
    <row r="552" spans="2:12">
      <c r="B552" s="140">
        <v>273</v>
      </c>
      <c r="C552" t="s">
        <v>367</v>
      </c>
      <c r="D552" s="136" t="s">
        <v>2221</v>
      </c>
      <c r="E552" t="s">
        <v>984</v>
      </c>
      <c r="F552" s="650" t="s">
        <v>1186</v>
      </c>
      <c r="H552" s="140">
        <v>273</v>
      </c>
      <c r="I552" t="s">
        <v>367</v>
      </c>
      <c r="J552" s="136" t="s">
        <v>2221</v>
      </c>
      <c r="K552" t="s">
        <v>984</v>
      </c>
      <c r="L552" s="650" t="s">
        <v>1186</v>
      </c>
    </row>
    <row r="553" spans="2:12">
      <c r="B553" s="140">
        <v>273</v>
      </c>
      <c r="C553" t="s">
        <v>367</v>
      </c>
      <c r="D553" s="136" t="s">
        <v>2222</v>
      </c>
      <c r="E553" t="s">
        <v>985</v>
      </c>
      <c r="F553" s="650" t="s">
        <v>1186</v>
      </c>
      <c r="H553" s="140">
        <v>273</v>
      </c>
      <c r="I553" t="s">
        <v>367</v>
      </c>
      <c r="J553" s="136" t="s">
        <v>2222</v>
      </c>
      <c r="K553" t="s">
        <v>985</v>
      </c>
      <c r="L553" s="650" t="s">
        <v>1186</v>
      </c>
    </row>
    <row r="554" spans="2:12">
      <c r="B554" s="140">
        <v>273</v>
      </c>
      <c r="C554" t="s">
        <v>367</v>
      </c>
      <c r="D554" s="136" t="s">
        <v>2223</v>
      </c>
      <c r="E554" t="s">
        <v>2224</v>
      </c>
      <c r="F554" s="650" t="s">
        <v>1186</v>
      </c>
      <c r="H554" s="140">
        <v>273</v>
      </c>
      <c r="I554" t="s">
        <v>367</v>
      </c>
      <c r="J554" s="136" t="s">
        <v>2223</v>
      </c>
      <c r="K554" t="s">
        <v>2224</v>
      </c>
      <c r="L554" s="650" t="s">
        <v>1186</v>
      </c>
    </row>
    <row r="555" spans="2:12">
      <c r="B555" s="140">
        <v>273</v>
      </c>
      <c r="C555" t="s">
        <v>367</v>
      </c>
      <c r="D555" s="136" t="s">
        <v>2225</v>
      </c>
      <c r="E555" t="s">
        <v>987</v>
      </c>
      <c r="F555" s="650" t="s">
        <v>1186</v>
      </c>
      <c r="H555" s="140">
        <v>273</v>
      </c>
      <c r="I555" t="s">
        <v>367</v>
      </c>
      <c r="J555" s="136" t="s">
        <v>2225</v>
      </c>
      <c r="K555" t="s">
        <v>987</v>
      </c>
      <c r="L555" s="650" t="s">
        <v>1186</v>
      </c>
    </row>
    <row r="556" spans="2:12">
      <c r="B556" s="140">
        <v>273</v>
      </c>
      <c r="C556" t="s">
        <v>552</v>
      </c>
      <c r="F556" s="650">
        <v>22</v>
      </c>
      <c r="H556" s="140">
        <v>273</v>
      </c>
      <c r="I556" t="s">
        <v>552</v>
      </c>
      <c r="L556" s="650">
        <v>22</v>
      </c>
    </row>
    <row r="557" spans="2:12">
      <c r="B557" s="140">
        <v>274</v>
      </c>
      <c r="C557" t="s">
        <v>368</v>
      </c>
      <c r="D557" s="136" t="s">
        <v>2227</v>
      </c>
      <c r="E557" t="s">
        <v>988</v>
      </c>
      <c r="F557" s="650" t="s">
        <v>1186</v>
      </c>
      <c r="H557" s="140">
        <v>274</v>
      </c>
      <c r="I557" t="s">
        <v>368</v>
      </c>
      <c r="J557" s="136" t="s">
        <v>2227</v>
      </c>
      <c r="K557" t="s">
        <v>988</v>
      </c>
      <c r="L557" s="650" t="s">
        <v>1186</v>
      </c>
    </row>
    <row r="558" spans="2:12">
      <c r="B558" s="140">
        <v>274</v>
      </c>
      <c r="C558" t="s">
        <v>368</v>
      </c>
      <c r="D558" s="136" t="s">
        <v>2228</v>
      </c>
      <c r="E558" t="s">
        <v>989</v>
      </c>
      <c r="F558" s="650" t="s">
        <v>1186</v>
      </c>
      <c r="H558" s="140">
        <v>274</v>
      </c>
      <c r="I558" t="s">
        <v>368</v>
      </c>
      <c r="J558" s="136" t="s">
        <v>2228</v>
      </c>
      <c r="K558" t="s">
        <v>989</v>
      </c>
      <c r="L558" s="650" t="s">
        <v>1186</v>
      </c>
    </row>
    <row r="559" spans="2:12">
      <c r="B559" s="140">
        <v>274</v>
      </c>
      <c r="C559" t="s">
        <v>552</v>
      </c>
      <c r="F559" s="650" t="s">
        <v>1186</v>
      </c>
      <c r="H559" s="140">
        <v>274</v>
      </c>
      <c r="I559" t="s">
        <v>552</v>
      </c>
      <c r="L559" s="650" t="s">
        <v>1186</v>
      </c>
    </row>
    <row r="560" spans="2:12">
      <c r="B560" s="140">
        <v>281</v>
      </c>
      <c r="C560" t="s">
        <v>369</v>
      </c>
      <c r="D560" s="136" t="s">
        <v>2229</v>
      </c>
      <c r="E560" t="s">
        <v>990</v>
      </c>
      <c r="F560" s="650" t="s">
        <v>1186</v>
      </c>
      <c r="H560" s="140">
        <v>281</v>
      </c>
      <c r="I560" t="s">
        <v>369</v>
      </c>
      <c r="J560" s="136" t="s">
        <v>2229</v>
      </c>
      <c r="K560" t="s">
        <v>990</v>
      </c>
      <c r="L560" s="650" t="s">
        <v>1186</v>
      </c>
    </row>
    <row r="561" spans="2:12">
      <c r="B561" s="140">
        <v>281</v>
      </c>
      <c r="C561" t="s">
        <v>369</v>
      </c>
      <c r="D561" s="136" t="s">
        <v>2230</v>
      </c>
      <c r="E561" t="s">
        <v>2231</v>
      </c>
      <c r="F561" s="650">
        <v>10</v>
      </c>
      <c r="H561" s="140">
        <v>281</v>
      </c>
      <c r="I561" t="s">
        <v>369</v>
      </c>
      <c r="J561" s="136" t="s">
        <v>2230</v>
      </c>
      <c r="K561" t="s">
        <v>2231</v>
      </c>
      <c r="L561" s="650">
        <v>10</v>
      </c>
    </row>
    <row r="562" spans="2:12">
      <c r="B562" s="140">
        <v>281</v>
      </c>
      <c r="C562" t="s">
        <v>369</v>
      </c>
      <c r="D562" s="136" t="s">
        <v>2232</v>
      </c>
      <c r="E562" t="s">
        <v>2233</v>
      </c>
      <c r="F562" s="650" t="s">
        <v>1186</v>
      </c>
      <c r="H562" s="140">
        <v>281</v>
      </c>
      <c r="I562" t="s">
        <v>369</v>
      </c>
      <c r="J562" s="136" t="s">
        <v>2232</v>
      </c>
      <c r="K562" t="s">
        <v>2233</v>
      </c>
      <c r="L562" s="650" t="s">
        <v>1186</v>
      </c>
    </row>
    <row r="563" spans="2:12">
      <c r="B563" s="140">
        <v>281</v>
      </c>
      <c r="C563" t="s">
        <v>369</v>
      </c>
      <c r="D563" s="136" t="s">
        <v>2234</v>
      </c>
      <c r="E563" t="s">
        <v>993</v>
      </c>
      <c r="F563" s="650">
        <v>17</v>
      </c>
      <c r="H563" s="140">
        <v>281</v>
      </c>
      <c r="I563" t="s">
        <v>369</v>
      </c>
      <c r="J563" s="136" t="s">
        <v>2234</v>
      </c>
      <c r="K563" t="s">
        <v>993</v>
      </c>
      <c r="L563" s="650">
        <v>17</v>
      </c>
    </row>
    <row r="564" spans="2:12">
      <c r="B564" s="140">
        <v>281</v>
      </c>
      <c r="C564" t="s">
        <v>369</v>
      </c>
      <c r="D564" s="136" t="s">
        <v>2235</v>
      </c>
      <c r="E564" t="s">
        <v>2236</v>
      </c>
      <c r="F564" s="650" t="s">
        <v>1186</v>
      </c>
      <c r="H564" s="140">
        <v>281</v>
      </c>
      <c r="I564" t="s">
        <v>369</v>
      </c>
      <c r="J564" s="136" t="s">
        <v>2235</v>
      </c>
      <c r="K564" t="s">
        <v>2236</v>
      </c>
      <c r="L564" s="650" t="s">
        <v>1186</v>
      </c>
    </row>
    <row r="565" spans="2:12">
      <c r="B565" s="140">
        <v>281</v>
      </c>
      <c r="C565" t="s">
        <v>369</v>
      </c>
      <c r="D565" s="136" t="s">
        <v>2237</v>
      </c>
      <c r="E565" t="s">
        <v>995</v>
      </c>
      <c r="F565" s="650">
        <v>14</v>
      </c>
      <c r="H565" s="140">
        <v>281</v>
      </c>
      <c r="I565" t="s">
        <v>369</v>
      </c>
      <c r="J565" s="136" t="s">
        <v>2237</v>
      </c>
      <c r="K565" t="s">
        <v>995</v>
      </c>
      <c r="L565" s="650">
        <v>14</v>
      </c>
    </row>
    <row r="566" spans="2:12">
      <c r="B566" s="140">
        <v>281</v>
      </c>
      <c r="C566" t="s">
        <v>369</v>
      </c>
      <c r="D566" s="136" t="s">
        <v>2238</v>
      </c>
      <c r="E566" t="s">
        <v>996</v>
      </c>
      <c r="F566" s="650" t="s">
        <v>1186</v>
      </c>
      <c r="H566" s="140">
        <v>281</v>
      </c>
      <c r="I566" t="s">
        <v>369</v>
      </c>
      <c r="J566" s="136" t="s">
        <v>2238</v>
      </c>
      <c r="K566" t="s">
        <v>996</v>
      </c>
      <c r="L566" s="650" t="s">
        <v>1186</v>
      </c>
    </row>
    <row r="567" spans="2:12">
      <c r="B567" s="140">
        <v>281</v>
      </c>
      <c r="C567" t="s">
        <v>552</v>
      </c>
      <c r="F567" s="650">
        <v>49</v>
      </c>
      <c r="H567" s="140">
        <v>281</v>
      </c>
      <c r="I567" t="s">
        <v>552</v>
      </c>
      <c r="L567" s="650">
        <v>49</v>
      </c>
    </row>
    <row r="568" spans="2:12">
      <c r="B568" s="140">
        <v>282</v>
      </c>
      <c r="C568" t="s">
        <v>370</v>
      </c>
      <c r="D568" s="136" t="s">
        <v>2240</v>
      </c>
      <c r="E568" t="s">
        <v>998</v>
      </c>
      <c r="F568" s="650" t="s">
        <v>1186</v>
      </c>
      <c r="H568" s="140">
        <v>282</v>
      </c>
      <c r="I568" t="s">
        <v>370</v>
      </c>
      <c r="J568" s="136" t="s">
        <v>2240</v>
      </c>
      <c r="K568" t="s">
        <v>998</v>
      </c>
      <c r="L568" s="650" t="s">
        <v>1186</v>
      </c>
    </row>
    <row r="569" spans="2:12">
      <c r="B569" s="140">
        <v>282</v>
      </c>
      <c r="C569" t="s">
        <v>552</v>
      </c>
      <c r="F569" s="650" t="s">
        <v>1186</v>
      </c>
      <c r="H569" s="140">
        <v>282</v>
      </c>
      <c r="I569" t="s">
        <v>552</v>
      </c>
      <c r="L569" s="650" t="s">
        <v>1186</v>
      </c>
    </row>
    <row r="570" spans="2:12">
      <c r="B570" s="140">
        <v>283</v>
      </c>
      <c r="C570" t="s">
        <v>371</v>
      </c>
      <c r="D570" s="136" t="s">
        <v>2242</v>
      </c>
      <c r="E570" t="s">
        <v>999</v>
      </c>
      <c r="F570" s="650" t="s">
        <v>1186</v>
      </c>
      <c r="H570" s="140">
        <v>283</v>
      </c>
      <c r="I570" t="s">
        <v>371</v>
      </c>
      <c r="J570" s="136" t="s">
        <v>2242</v>
      </c>
      <c r="K570" t="s">
        <v>999</v>
      </c>
      <c r="L570" s="650" t="s">
        <v>1186</v>
      </c>
    </row>
    <row r="571" spans="2:12">
      <c r="B571" s="140">
        <v>283</v>
      </c>
      <c r="C571" t="s">
        <v>371</v>
      </c>
      <c r="D571" s="136" t="s">
        <v>2243</v>
      </c>
      <c r="E571" t="s">
        <v>1000</v>
      </c>
      <c r="F571" s="650" t="s">
        <v>1186</v>
      </c>
      <c r="H571" s="140">
        <v>283</v>
      </c>
      <c r="I571" t="s">
        <v>371</v>
      </c>
      <c r="J571" s="136" t="s">
        <v>2243</v>
      </c>
      <c r="K571" t="s">
        <v>1000</v>
      </c>
      <c r="L571" s="650" t="s">
        <v>1186</v>
      </c>
    </row>
    <row r="572" spans="2:12">
      <c r="B572" s="140">
        <v>283</v>
      </c>
      <c r="C572" t="s">
        <v>552</v>
      </c>
      <c r="F572" s="650" t="s">
        <v>1186</v>
      </c>
      <c r="H572" s="140">
        <v>283</v>
      </c>
      <c r="I572" t="s">
        <v>552</v>
      </c>
      <c r="L572" s="650" t="s">
        <v>1186</v>
      </c>
    </row>
    <row r="573" spans="2:12">
      <c r="B573" s="140">
        <v>285</v>
      </c>
      <c r="C573" t="s">
        <v>372</v>
      </c>
      <c r="D573" s="136" t="s">
        <v>2245</v>
      </c>
      <c r="E573" t="s">
        <v>1001</v>
      </c>
      <c r="F573" s="650" t="s">
        <v>1186</v>
      </c>
      <c r="H573" s="140">
        <v>285</v>
      </c>
      <c r="I573" t="s">
        <v>372</v>
      </c>
      <c r="J573" s="136" t="s">
        <v>2245</v>
      </c>
      <c r="K573" t="s">
        <v>1001</v>
      </c>
      <c r="L573" s="650" t="s">
        <v>1186</v>
      </c>
    </row>
    <row r="574" spans="2:12">
      <c r="B574" s="140">
        <v>285</v>
      </c>
      <c r="C574" t="s">
        <v>372</v>
      </c>
      <c r="D574" s="136" t="s">
        <v>2246</v>
      </c>
      <c r="E574" t="s">
        <v>1002</v>
      </c>
      <c r="F574" s="650" t="s">
        <v>1186</v>
      </c>
      <c r="H574" s="140">
        <v>285</v>
      </c>
      <c r="I574" t="s">
        <v>372</v>
      </c>
      <c r="J574" s="136" t="s">
        <v>2246</v>
      </c>
      <c r="K574" t="s">
        <v>1002</v>
      </c>
      <c r="L574" s="650" t="s">
        <v>1186</v>
      </c>
    </row>
    <row r="575" spans="2:12">
      <c r="B575" s="140">
        <v>285</v>
      </c>
      <c r="C575" t="s">
        <v>552</v>
      </c>
      <c r="F575" s="650" t="s">
        <v>1186</v>
      </c>
      <c r="H575" s="140">
        <v>285</v>
      </c>
      <c r="I575" t="s">
        <v>552</v>
      </c>
      <c r="L575" s="650" t="s">
        <v>1186</v>
      </c>
    </row>
    <row r="576" spans="2:12">
      <c r="B576" s="140">
        <v>287</v>
      </c>
      <c r="C576" t="s">
        <v>373</v>
      </c>
      <c r="D576" s="136" t="s">
        <v>2248</v>
      </c>
      <c r="E576" t="s">
        <v>1003</v>
      </c>
      <c r="F576" s="650" t="s">
        <v>1186</v>
      </c>
      <c r="H576" s="140">
        <v>287</v>
      </c>
      <c r="I576" t="s">
        <v>373</v>
      </c>
      <c r="J576" s="136" t="s">
        <v>2248</v>
      </c>
      <c r="K576" t="s">
        <v>1003</v>
      </c>
      <c r="L576" s="650" t="s">
        <v>1186</v>
      </c>
    </row>
    <row r="577" spans="2:12">
      <c r="B577" s="140">
        <v>287</v>
      </c>
      <c r="C577" t="s">
        <v>373</v>
      </c>
      <c r="D577" s="136" t="s">
        <v>2249</v>
      </c>
      <c r="E577" t="s">
        <v>1004</v>
      </c>
      <c r="F577" s="650" t="s">
        <v>1186</v>
      </c>
      <c r="H577" s="140">
        <v>287</v>
      </c>
      <c r="I577" t="s">
        <v>373</v>
      </c>
      <c r="J577" s="136" t="s">
        <v>2249</v>
      </c>
      <c r="K577" t="s">
        <v>1004</v>
      </c>
      <c r="L577" s="650" t="s">
        <v>1186</v>
      </c>
    </row>
    <row r="578" spans="2:12">
      <c r="B578" s="140">
        <v>287</v>
      </c>
      <c r="C578" t="s">
        <v>552</v>
      </c>
      <c r="F578" s="650" t="s">
        <v>1186</v>
      </c>
      <c r="H578" s="140">
        <v>287</v>
      </c>
      <c r="I578" t="s">
        <v>552</v>
      </c>
      <c r="L578" s="650" t="s">
        <v>1186</v>
      </c>
    </row>
    <row r="579" spans="2:12">
      <c r="B579" s="140">
        <v>288</v>
      </c>
      <c r="C579" t="s">
        <v>374</v>
      </c>
      <c r="D579" s="136" t="s">
        <v>2251</v>
      </c>
      <c r="E579" t="s">
        <v>1005</v>
      </c>
      <c r="F579" s="650" t="s">
        <v>1186</v>
      </c>
      <c r="H579" s="140">
        <v>288</v>
      </c>
      <c r="I579" t="s">
        <v>374</v>
      </c>
      <c r="J579" s="136" t="s">
        <v>2251</v>
      </c>
      <c r="K579" t="s">
        <v>1005</v>
      </c>
      <c r="L579" s="650" t="s">
        <v>1186</v>
      </c>
    </row>
    <row r="580" spans="2:12">
      <c r="B580" s="140">
        <v>288</v>
      </c>
      <c r="C580" t="s">
        <v>374</v>
      </c>
      <c r="D580" s="136" t="s">
        <v>2252</v>
      </c>
      <c r="E580" t="s">
        <v>1006</v>
      </c>
      <c r="F580" s="650" t="s">
        <v>1186</v>
      </c>
      <c r="H580" s="140">
        <v>288</v>
      </c>
      <c r="I580" t="s">
        <v>374</v>
      </c>
      <c r="J580" s="136" t="s">
        <v>2252</v>
      </c>
      <c r="K580" t="s">
        <v>1006</v>
      </c>
      <c r="L580" s="650" t="s">
        <v>1186</v>
      </c>
    </row>
    <row r="581" spans="2:12">
      <c r="B581" s="140">
        <v>288</v>
      </c>
      <c r="C581" t="s">
        <v>552</v>
      </c>
      <c r="F581" s="650" t="s">
        <v>1186</v>
      </c>
      <c r="H581" s="140">
        <v>288</v>
      </c>
      <c r="I581" t="s">
        <v>552</v>
      </c>
      <c r="L581" s="650" t="s">
        <v>1186</v>
      </c>
    </row>
    <row r="582" spans="2:12">
      <c r="B582" s="140">
        <v>291</v>
      </c>
      <c r="C582" t="s">
        <v>375</v>
      </c>
      <c r="D582" s="136" t="s">
        <v>2254</v>
      </c>
      <c r="E582" t="s">
        <v>1008</v>
      </c>
      <c r="F582" s="650" t="s">
        <v>1186</v>
      </c>
      <c r="H582" s="140">
        <v>291</v>
      </c>
      <c r="I582" t="s">
        <v>375</v>
      </c>
      <c r="J582" s="136" t="s">
        <v>2254</v>
      </c>
      <c r="K582" t="s">
        <v>1008</v>
      </c>
      <c r="L582" s="650" t="s">
        <v>1186</v>
      </c>
    </row>
    <row r="583" spans="2:12">
      <c r="B583" s="140">
        <v>291</v>
      </c>
      <c r="C583" t="s">
        <v>375</v>
      </c>
      <c r="D583" s="136" t="s">
        <v>2255</v>
      </c>
      <c r="E583" t="s">
        <v>1009</v>
      </c>
      <c r="F583" s="650" t="s">
        <v>1186</v>
      </c>
      <c r="H583" s="140">
        <v>291</v>
      </c>
      <c r="I583" t="s">
        <v>375</v>
      </c>
      <c r="J583" s="136" t="s">
        <v>2255</v>
      </c>
      <c r="K583" t="s">
        <v>1009</v>
      </c>
      <c r="L583" s="650" t="s">
        <v>1186</v>
      </c>
    </row>
    <row r="584" spans="2:12">
      <c r="B584" s="140">
        <v>291</v>
      </c>
      <c r="C584" t="s">
        <v>375</v>
      </c>
      <c r="D584" s="136" t="s">
        <v>2256</v>
      </c>
      <c r="E584" t="s">
        <v>2257</v>
      </c>
      <c r="F584" s="650" t="s">
        <v>1186</v>
      </c>
      <c r="H584" s="140">
        <v>291</v>
      </c>
      <c r="I584" t="s">
        <v>375</v>
      </c>
      <c r="J584" s="136" t="s">
        <v>2256</v>
      </c>
      <c r="K584" t="s">
        <v>2257</v>
      </c>
      <c r="L584" s="650" t="s">
        <v>1186</v>
      </c>
    </row>
    <row r="585" spans="2:12">
      <c r="B585" s="140">
        <v>291</v>
      </c>
      <c r="C585" t="s">
        <v>552</v>
      </c>
      <c r="F585" s="650" t="s">
        <v>1186</v>
      </c>
      <c r="H585" s="140">
        <v>291</v>
      </c>
      <c r="I585" t="s">
        <v>552</v>
      </c>
      <c r="L585" s="650" t="s">
        <v>1186</v>
      </c>
    </row>
    <row r="586" spans="2:12">
      <c r="B586" s="140">
        <v>292</v>
      </c>
      <c r="C586" t="s">
        <v>376</v>
      </c>
      <c r="D586" s="136" t="s">
        <v>2259</v>
      </c>
      <c r="E586" t="s">
        <v>1010</v>
      </c>
      <c r="F586" s="650" t="s">
        <v>1186</v>
      </c>
      <c r="H586" s="140">
        <v>292</v>
      </c>
      <c r="I586" t="s">
        <v>376</v>
      </c>
      <c r="J586" s="136" t="s">
        <v>2259</v>
      </c>
      <c r="K586" t="s">
        <v>1010</v>
      </c>
      <c r="L586" s="650" t="s">
        <v>1186</v>
      </c>
    </row>
    <row r="587" spans="2:12">
      <c r="B587" s="140">
        <v>292</v>
      </c>
      <c r="C587" t="s">
        <v>376</v>
      </c>
      <c r="D587" s="136" t="s">
        <v>2260</v>
      </c>
      <c r="E587" t="s">
        <v>647</v>
      </c>
      <c r="F587" s="650" t="s">
        <v>1186</v>
      </c>
      <c r="H587" s="140">
        <v>292</v>
      </c>
      <c r="I587" t="s">
        <v>376</v>
      </c>
      <c r="J587" s="136" t="s">
        <v>2260</v>
      </c>
      <c r="K587" t="s">
        <v>647</v>
      </c>
      <c r="L587" s="650" t="s">
        <v>1186</v>
      </c>
    </row>
    <row r="588" spans="2:12">
      <c r="B588" s="140">
        <v>292</v>
      </c>
      <c r="C588" t="s">
        <v>552</v>
      </c>
      <c r="F588" s="650" t="s">
        <v>1186</v>
      </c>
      <c r="H588" s="140">
        <v>292</v>
      </c>
      <c r="I588" t="s">
        <v>552</v>
      </c>
      <c r="L588" s="650" t="s">
        <v>1186</v>
      </c>
    </row>
    <row r="589" spans="2:12">
      <c r="B589" s="140">
        <v>302</v>
      </c>
      <c r="C589" t="s">
        <v>377</v>
      </c>
      <c r="D589" s="136" t="s">
        <v>2262</v>
      </c>
      <c r="E589" t="s">
        <v>1011</v>
      </c>
      <c r="F589" s="650" t="s">
        <v>1186</v>
      </c>
      <c r="H589" s="140">
        <v>302</v>
      </c>
      <c r="I589" t="s">
        <v>377</v>
      </c>
      <c r="J589" s="136" t="s">
        <v>2262</v>
      </c>
      <c r="K589" t="s">
        <v>1011</v>
      </c>
      <c r="L589" s="650" t="s">
        <v>1186</v>
      </c>
    </row>
    <row r="590" spans="2:12">
      <c r="B590" s="140">
        <v>302</v>
      </c>
      <c r="C590" t="s">
        <v>552</v>
      </c>
      <c r="F590" s="650" t="s">
        <v>1186</v>
      </c>
      <c r="H590" s="140">
        <v>302</v>
      </c>
      <c r="I590" t="s">
        <v>552</v>
      </c>
      <c r="L590" s="650" t="s">
        <v>1186</v>
      </c>
    </row>
    <row r="591" spans="2:12">
      <c r="B591" s="140">
        <v>304</v>
      </c>
      <c r="C591" t="s">
        <v>378</v>
      </c>
      <c r="D591" s="136" t="s">
        <v>2264</v>
      </c>
      <c r="E591" t="s">
        <v>1012</v>
      </c>
      <c r="F591" s="650" t="s">
        <v>1186</v>
      </c>
      <c r="H591" s="140">
        <v>304</v>
      </c>
      <c r="I591" t="s">
        <v>378</v>
      </c>
      <c r="J591" s="136" t="s">
        <v>2264</v>
      </c>
      <c r="K591" t="s">
        <v>1012</v>
      </c>
      <c r="L591" s="650" t="s">
        <v>1186</v>
      </c>
    </row>
    <row r="592" spans="2:12">
      <c r="B592" s="140">
        <v>304</v>
      </c>
      <c r="C592" t="s">
        <v>378</v>
      </c>
      <c r="D592" s="136" t="s">
        <v>2265</v>
      </c>
      <c r="E592" t="s">
        <v>1013</v>
      </c>
      <c r="F592" s="650" t="s">
        <v>1186</v>
      </c>
      <c r="H592" s="140">
        <v>304</v>
      </c>
      <c r="I592" t="s">
        <v>378</v>
      </c>
      <c r="J592" s="136" t="s">
        <v>2265</v>
      </c>
      <c r="K592" t="s">
        <v>1013</v>
      </c>
      <c r="L592" s="650" t="s">
        <v>1186</v>
      </c>
    </row>
    <row r="593" spans="2:12">
      <c r="B593" s="140">
        <v>304</v>
      </c>
      <c r="C593" t="s">
        <v>378</v>
      </c>
      <c r="D593" s="136" t="s">
        <v>2266</v>
      </c>
      <c r="E593" t="s">
        <v>1014</v>
      </c>
      <c r="F593" s="650" t="s">
        <v>1186</v>
      </c>
      <c r="H593" s="140">
        <v>304</v>
      </c>
      <c r="I593" t="s">
        <v>378</v>
      </c>
      <c r="J593" s="136" t="s">
        <v>2266</v>
      </c>
      <c r="K593" t="s">
        <v>1014</v>
      </c>
      <c r="L593" s="650" t="s">
        <v>1186</v>
      </c>
    </row>
    <row r="594" spans="2:12">
      <c r="B594" s="140">
        <v>304</v>
      </c>
      <c r="C594" t="s">
        <v>552</v>
      </c>
      <c r="F594" s="650" t="s">
        <v>1186</v>
      </c>
      <c r="H594" s="140">
        <v>304</v>
      </c>
      <c r="I594" t="s">
        <v>552</v>
      </c>
      <c r="L594" s="650" t="s">
        <v>1186</v>
      </c>
    </row>
    <row r="595" spans="2:12">
      <c r="B595" s="140">
        <v>305</v>
      </c>
      <c r="C595" t="s">
        <v>379</v>
      </c>
      <c r="D595" s="136" t="s">
        <v>2268</v>
      </c>
      <c r="E595" t="s">
        <v>1015</v>
      </c>
      <c r="F595" s="650" t="s">
        <v>1186</v>
      </c>
      <c r="H595" s="140">
        <v>305</v>
      </c>
      <c r="I595" t="s">
        <v>379</v>
      </c>
      <c r="J595" s="136" t="s">
        <v>2268</v>
      </c>
      <c r="K595" t="s">
        <v>1015</v>
      </c>
      <c r="L595" s="650" t="s">
        <v>1186</v>
      </c>
    </row>
    <row r="596" spans="2:12">
      <c r="B596" s="140">
        <v>305</v>
      </c>
      <c r="C596" t="s">
        <v>552</v>
      </c>
      <c r="F596" s="650" t="s">
        <v>1186</v>
      </c>
      <c r="H596" s="140">
        <v>305</v>
      </c>
      <c r="I596" t="s">
        <v>552</v>
      </c>
      <c r="L596" s="650" t="s">
        <v>1186</v>
      </c>
    </row>
    <row r="597" spans="2:12">
      <c r="B597" s="140">
        <v>312</v>
      </c>
      <c r="C597" t="s">
        <v>380</v>
      </c>
      <c r="D597" s="136" t="s">
        <v>2270</v>
      </c>
      <c r="E597" t="s">
        <v>1016</v>
      </c>
      <c r="F597" s="650" t="s">
        <v>1186</v>
      </c>
      <c r="H597" s="140">
        <v>312</v>
      </c>
      <c r="I597" t="s">
        <v>380</v>
      </c>
      <c r="J597" s="136" t="s">
        <v>2270</v>
      </c>
      <c r="K597" t="s">
        <v>1016</v>
      </c>
      <c r="L597" s="650" t="s">
        <v>1186</v>
      </c>
    </row>
    <row r="598" spans="2:12">
      <c r="B598" s="140">
        <v>312</v>
      </c>
      <c r="C598" t="s">
        <v>380</v>
      </c>
      <c r="D598" s="136" t="s">
        <v>2271</v>
      </c>
      <c r="E598" t="s">
        <v>1017</v>
      </c>
      <c r="F598" s="650">
        <v>57</v>
      </c>
      <c r="H598" s="140">
        <v>312</v>
      </c>
      <c r="I598" t="s">
        <v>380</v>
      </c>
      <c r="J598" s="136" t="s">
        <v>2271</v>
      </c>
      <c r="K598" t="s">
        <v>1017</v>
      </c>
      <c r="L598" s="650">
        <v>57</v>
      </c>
    </row>
    <row r="599" spans="2:12">
      <c r="B599" s="140">
        <v>312</v>
      </c>
      <c r="C599" t="s">
        <v>380</v>
      </c>
      <c r="D599" s="136" t="s">
        <v>2272</v>
      </c>
      <c r="E599" t="s">
        <v>1018</v>
      </c>
      <c r="F599" s="650">
        <v>105</v>
      </c>
      <c r="H599" s="140">
        <v>312</v>
      </c>
      <c r="I599" t="s">
        <v>380</v>
      </c>
      <c r="J599" s="136" t="s">
        <v>2272</v>
      </c>
      <c r="K599" t="s">
        <v>1018</v>
      </c>
      <c r="L599" s="650">
        <v>105</v>
      </c>
    </row>
    <row r="600" spans="2:12">
      <c r="B600" s="140">
        <v>312</v>
      </c>
      <c r="C600" t="s">
        <v>380</v>
      </c>
      <c r="D600" s="136" t="s">
        <v>2273</v>
      </c>
      <c r="E600" t="s">
        <v>2274</v>
      </c>
      <c r="F600" s="650" t="s">
        <v>1186</v>
      </c>
      <c r="H600" s="140">
        <v>312</v>
      </c>
      <c r="I600" t="s">
        <v>380</v>
      </c>
      <c r="J600" s="136" t="s">
        <v>2273</v>
      </c>
      <c r="K600" t="s">
        <v>2274</v>
      </c>
      <c r="L600" s="650" t="s">
        <v>1186</v>
      </c>
    </row>
    <row r="601" spans="2:12">
      <c r="B601" s="140">
        <v>312</v>
      </c>
      <c r="C601" t="s">
        <v>552</v>
      </c>
      <c r="F601" s="650">
        <v>203</v>
      </c>
      <c r="H601" s="140">
        <v>312</v>
      </c>
      <c r="I601" t="s">
        <v>552</v>
      </c>
      <c r="L601" s="650">
        <v>203</v>
      </c>
    </row>
    <row r="602" spans="2:12">
      <c r="B602" s="140">
        <v>314</v>
      </c>
      <c r="C602" t="s">
        <v>381</v>
      </c>
      <c r="D602" s="136" t="s">
        <v>2276</v>
      </c>
      <c r="E602" t="s">
        <v>1019</v>
      </c>
      <c r="F602" s="650">
        <v>31</v>
      </c>
      <c r="H602" s="140">
        <v>314</v>
      </c>
      <c r="I602" t="s">
        <v>381</v>
      </c>
      <c r="J602" s="136" t="s">
        <v>2276</v>
      </c>
      <c r="K602" t="s">
        <v>1019</v>
      </c>
      <c r="L602" s="650">
        <v>31</v>
      </c>
    </row>
    <row r="603" spans="2:12">
      <c r="B603" s="140">
        <v>314</v>
      </c>
      <c r="C603" t="s">
        <v>552</v>
      </c>
      <c r="F603" s="650">
        <v>31</v>
      </c>
      <c r="H603" s="140">
        <v>314</v>
      </c>
      <c r="I603" t="s">
        <v>552</v>
      </c>
      <c r="L603" s="650">
        <v>31</v>
      </c>
    </row>
    <row r="604" spans="2:12">
      <c r="B604" s="140">
        <v>316</v>
      </c>
      <c r="C604" t="s">
        <v>382</v>
      </c>
      <c r="D604" s="136" t="s">
        <v>2278</v>
      </c>
      <c r="E604" t="s">
        <v>1020</v>
      </c>
      <c r="F604" s="650">
        <v>33</v>
      </c>
      <c r="H604" s="140">
        <v>316</v>
      </c>
      <c r="I604" t="s">
        <v>382</v>
      </c>
      <c r="J604" s="136" t="s">
        <v>2278</v>
      </c>
      <c r="K604" t="s">
        <v>1020</v>
      </c>
      <c r="L604" s="650">
        <v>33</v>
      </c>
    </row>
    <row r="605" spans="2:12">
      <c r="B605" s="140">
        <v>316</v>
      </c>
      <c r="C605" t="s">
        <v>552</v>
      </c>
      <c r="F605" s="650">
        <v>33</v>
      </c>
      <c r="H605" s="140">
        <v>316</v>
      </c>
      <c r="I605" t="s">
        <v>552</v>
      </c>
      <c r="L605" s="650">
        <v>33</v>
      </c>
    </row>
    <row r="606" spans="2:12">
      <c r="B606" s="140">
        <v>321</v>
      </c>
      <c r="C606" t="s">
        <v>383</v>
      </c>
      <c r="D606" s="136" t="s">
        <v>2280</v>
      </c>
      <c r="E606" t="s">
        <v>1021</v>
      </c>
      <c r="F606" s="650">
        <v>55</v>
      </c>
      <c r="H606" s="140">
        <v>321</v>
      </c>
      <c r="I606" t="s">
        <v>383</v>
      </c>
      <c r="J606" s="136" t="s">
        <v>2280</v>
      </c>
      <c r="K606" t="s">
        <v>1021</v>
      </c>
      <c r="L606" s="650">
        <v>55</v>
      </c>
    </row>
    <row r="607" spans="2:12">
      <c r="B607" s="140">
        <v>321</v>
      </c>
      <c r="C607" t="s">
        <v>383</v>
      </c>
      <c r="D607" s="136" t="s">
        <v>2281</v>
      </c>
      <c r="E607" t="s">
        <v>1023</v>
      </c>
      <c r="F607" s="650">
        <v>40</v>
      </c>
      <c r="H607" s="140">
        <v>321</v>
      </c>
      <c r="I607" t="s">
        <v>383</v>
      </c>
      <c r="J607" s="136" t="s">
        <v>2281</v>
      </c>
      <c r="K607" t="s">
        <v>1023</v>
      </c>
      <c r="L607" s="650">
        <v>40</v>
      </c>
    </row>
    <row r="608" spans="2:12">
      <c r="B608" s="140">
        <v>321</v>
      </c>
      <c r="C608" t="s">
        <v>383</v>
      </c>
      <c r="D608" s="136" t="s">
        <v>2282</v>
      </c>
      <c r="E608" t="s">
        <v>1024</v>
      </c>
      <c r="F608" s="650">
        <v>39</v>
      </c>
      <c r="H608" s="140">
        <v>321</v>
      </c>
      <c r="I608" t="s">
        <v>383</v>
      </c>
      <c r="J608" s="136" t="s">
        <v>2282</v>
      </c>
      <c r="K608" t="s">
        <v>1024</v>
      </c>
      <c r="L608" s="650">
        <v>39</v>
      </c>
    </row>
    <row r="609" spans="2:12">
      <c r="B609" s="140">
        <v>321</v>
      </c>
      <c r="C609" t="s">
        <v>383</v>
      </c>
      <c r="D609" s="136" t="s">
        <v>2283</v>
      </c>
      <c r="E609" t="s">
        <v>1026</v>
      </c>
      <c r="F609" s="650">
        <v>30</v>
      </c>
      <c r="H609" s="140">
        <v>321</v>
      </c>
      <c r="I609" t="s">
        <v>383</v>
      </c>
      <c r="J609" s="136" t="s">
        <v>2283</v>
      </c>
      <c r="K609" t="s">
        <v>1026</v>
      </c>
      <c r="L609" s="650">
        <v>30</v>
      </c>
    </row>
    <row r="610" spans="2:12">
      <c r="B610" s="140">
        <v>321</v>
      </c>
      <c r="C610" t="s">
        <v>383</v>
      </c>
      <c r="D610" s="136" t="s">
        <v>2284</v>
      </c>
      <c r="E610" t="s">
        <v>806</v>
      </c>
      <c r="F610" s="650" t="s">
        <v>1186</v>
      </c>
      <c r="H610" s="140">
        <v>321</v>
      </c>
      <c r="I610" t="s">
        <v>383</v>
      </c>
      <c r="J610" s="136" t="s">
        <v>2284</v>
      </c>
      <c r="K610" t="s">
        <v>806</v>
      </c>
      <c r="L610" s="650" t="s">
        <v>1186</v>
      </c>
    </row>
    <row r="611" spans="2:12">
      <c r="B611" s="140">
        <v>321</v>
      </c>
      <c r="C611" t="s">
        <v>383</v>
      </c>
      <c r="D611" s="136" t="s">
        <v>2285</v>
      </c>
      <c r="E611" t="s">
        <v>527</v>
      </c>
      <c r="F611" s="650">
        <v>14</v>
      </c>
      <c r="H611" s="140">
        <v>321</v>
      </c>
      <c r="I611" t="s">
        <v>383</v>
      </c>
      <c r="J611" s="136" t="s">
        <v>2285</v>
      </c>
      <c r="K611" t="s">
        <v>527</v>
      </c>
      <c r="L611" s="650">
        <v>14</v>
      </c>
    </row>
    <row r="612" spans="2:12">
      <c r="B612" s="140">
        <v>321</v>
      </c>
      <c r="C612" t="s">
        <v>383</v>
      </c>
      <c r="D612" s="136" t="s">
        <v>2286</v>
      </c>
      <c r="E612" t="s">
        <v>1027</v>
      </c>
      <c r="F612" s="650" t="s">
        <v>1186</v>
      </c>
      <c r="H612" s="140">
        <v>321</v>
      </c>
      <c r="I612" t="s">
        <v>383</v>
      </c>
      <c r="J612" s="136" t="s">
        <v>2286</v>
      </c>
      <c r="K612" t="s">
        <v>1027</v>
      </c>
      <c r="L612" s="650" t="s">
        <v>1186</v>
      </c>
    </row>
    <row r="613" spans="2:12">
      <c r="B613" s="140">
        <v>321</v>
      </c>
      <c r="C613" t="s">
        <v>383</v>
      </c>
      <c r="D613" s="136" t="s">
        <v>2287</v>
      </c>
      <c r="E613" t="s">
        <v>1028</v>
      </c>
      <c r="F613" s="650" t="s">
        <v>1186</v>
      </c>
      <c r="H613" s="140">
        <v>321</v>
      </c>
      <c r="I613" t="s">
        <v>383</v>
      </c>
      <c r="J613" s="136" t="s">
        <v>2287</v>
      </c>
      <c r="K613" t="s">
        <v>1028</v>
      </c>
      <c r="L613" s="650" t="s">
        <v>1186</v>
      </c>
    </row>
    <row r="614" spans="2:12">
      <c r="B614" s="140">
        <v>321</v>
      </c>
      <c r="C614" t="s">
        <v>383</v>
      </c>
      <c r="D614" s="136" t="s">
        <v>2288</v>
      </c>
      <c r="E614" t="s">
        <v>1029</v>
      </c>
      <c r="F614" s="650">
        <v>35</v>
      </c>
      <c r="H614" s="140">
        <v>321</v>
      </c>
      <c r="I614" t="s">
        <v>383</v>
      </c>
      <c r="J614" s="136" t="s">
        <v>2288</v>
      </c>
      <c r="K614" t="s">
        <v>1029</v>
      </c>
      <c r="L614" s="650">
        <v>35</v>
      </c>
    </row>
    <row r="615" spans="2:12">
      <c r="B615" s="140">
        <v>321</v>
      </c>
      <c r="C615" t="s">
        <v>383</v>
      </c>
      <c r="D615" s="136" t="s">
        <v>2289</v>
      </c>
      <c r="E615" t="s">
        <v>2290</v>
      </c>
      <c r="F615" s="650" t="s">
        <v>1186</v>
      </c>
      <c r="H615" s="140">
        <v>321</v>
      </c>
      <c r="I615" t="s">
        <v>383</v>
      </c>
      <c r="J615" s="136" t="s">
        <v>2289</v>
      </c>
      <c r="K615" t="s">
        <v>2290</v>
      </c>
      <c r="L615" s="650" t="s">
        <v>1186</v>
      </c>
    </row>
    <row r="616" spans="2:12">
      <c r="B616" s="140">
        <v>321</v>
      </c>
      <c r="C616" t="s">
        <v>552</v>
      </c>
      <c r="F616" s="650">
        <v>232</v>
      </c>
      <c r="H616" s="140">
        <v>321</v>
      </c>
      <c r="I616" t="s">
        <v>552</v>
      </c>
      <c r="L616" s="650">
        <v>232</v>
      </c>
    </row>
    <row r="617" spans="2:12">
      <c r="B617" s="140">
        <v>322</v>
      </c>
      <c r="C617" t="s">
        <v>384</v>
      </c>
      <c r="D617" s="136" t="s">
        <v>2292</v>
      </c>
      <c r="E617" t="s">
        <v>1030</v>
      </c>
      <c r="F617" s="650">
        <v>20</v>
      </c>
      <c r="H617" s="140">
        <v>322</v>
      </c>
      <c r="I617" t="s">
        <v>384</v>
      </c>
      <c r="J617" s="136" t="s">
        <v>2292</v>
      </c>
      <c r="K617" t="s">
        <v>1030</v>
      </c>
      <c r="L617" s="650">
        <v>20</v>
      </c>
    </row>
    <row r="618" spans="2:12">
      <c r="B618" s="140">
        <v>322</v>
      </c>
      <c r="C618" t="s">
        <v>384</v>
      </c>
      <c r="D618" s="136" t="s">
        <v>2293</v>
      </c>
      <c r="E618" t="s">
        <v>1031</v>
      </c>
      <c r="F618" s="650">
        <v>21</v>
      </c>
      <c r="H618" s="140">
        <v>322</v>
      </c>
      <c r="I618" t="s">
        <v>384</v>
      </c>
      <c r="J618" s="136" t="s">
        <v>2293</v>
      </c>
      <c r="K618" t="s">
        <v>1031</v>
      </c>
      <c r="L618" s="650">
        <v>21</v>
      </c>
    </row>
    <row r="619" spans="2:12">
      <c r="B619" s="140">
        <v>322</v>
      </c>
      <c r="C619" t="s">
        <v>384</v>
      </c>
      <c r="D619" s="136" t="s">
        <v>2294</v>
      </c>
      <c r="E619" t="s">
        <v>1032</v>
      </c>
      <c r="F619" s="650" t="s">
        <v>1186</v>
      </c>
      <c r="H619" s="140">
        <v>322</v>
      </c>
      <c r="I619" t="s">
        <v>384</v>
      </c>
      <c r="J619" s="136" t="s">
        <v>2294</v>
      </c>
      <c r="K619" t="s">
        <v>1032</v>
      </c>
      <c r="L619" s="650" t="s">
        <v>1186</v>
      </c>
    </row>
    <row r="620" spans="2:12">
      <c r="B620" s="140">
        <v>322</v>
      </c>
      <c r="C620" t="s">
        <v>384</v>
      </c>
      <c r="D620" s="136" t="s">
        <v>2295</v>
      </c>
      <c r="E620" t="s">
        <v>1033</v>
      </c>
      <c r="F620" s="650">
        <v>21</v>
      </c>
      <c r="H620" s="140">
        <v>322</v>
      </c>
      <c r="I620" t="s">
        <v>384</v>
      </c>
      <c r="J620" s="136" t="s">
        <v>2295</v>
      </c>
      <c r="K620" t="s">
        <v>1033</v>
      </c>
      <c r="L620" s="650">
        <v>21</v>
      </c>
    </row>
    <row r="621" spans="2:12">
      <c r="B621" s="140">
        <v>322</v>
      </c>
      <c r="C621" t="s">
        <v>384</v>
      </c>
      <c r="D621" s="136" t="s">
        <v>2296</v>
      </c>
      <c r="E621" t="s">
        <v>2297</v>
      </c>
      <c r="F621" s="650" t="s">
        <v>1186</v>
      </c>
      <c r="H621" s="140">
        <v>322</v>
      </c>
      <c r="I621" t="s">
        <v>384</v>
      </c>
      <c r="J621" s="136" t="s">
        <v>2296</v>
      </c>
      <c r="K621" t="s">
        <v>2297</v>
      </c>
      <c r="L621" s="650" t="s">
        <v>1186</v>
      </c>
    </row>
    <row r="622" spans="2:12">
      <c r="B622" s="140">
        <v>322</v>
      </c>
      <c r="C622" t="s">
        <v>552</v>
      </c>
      <c r="F622" s="650">
        <v>73</v>
      </c>
      <c r="H622" s="140">
        <v>322</v>
      </c>
      <c r="I622" t="s">
        <v>552</v>
      </c>
      <c r="L622" s="650">
        <v>73</v>
      </c>
    </row>
    <row r="623" spans="2:12">
      <c r="B623" s="140">
        <v>331</v>
      </c>
      <c r="C623" t="s">
        <v>385</v>
      </c>
      <c r="D623" s="136" t="s">
        <v>2298</v>
      </c>
      <c r="E623" t="s">
        <v>1035</v>
      </c>
      <c r="F623" s="650">
        <v>101</v>
      </c>
      <c r="H623" s="140">
        <v>331</v>
      </c>
      <c r="I623" t="s">
        <v>385</v>
      </c>
      <c r="J623" s="136" t="s">
        <v>2298</v>
      </c>
      <c r="K623" t="s">
        <v>1035</v>
      </c>
      <c r="L623" s="650">
        <v>101</v>
      </c>
    </row>
    <row r="624" spans="2:12">
      <c r="B624" s="140">
        <v>331</v>
      </c>
      <c r="C624" t="s">
        <v>385</v>
      </c>
      <c r="D624" s="136" t="s">
        <v>2299</v>
      </c>
      <c r="E624" t="s">
        <v>1036</v>
      </c>
      <c r="F624" s="650">
        <v>77</v>
      </c>
      <c r="H624" s="140">
        <v>331</v>
      </c>
      <c r="I624" t="s">
        <v>385</v>
      </c>
      <c r="J624" s="136" t="s">
        <v>2299</v>
      </c>
      <c r="K624" t="s">
        <v>1036</v>
      </c>
      <c r="L624" s="650">
        <v>77</v>
      </c>
    </row>
    <row r="625" spans="2:12">
      <c r="B625" s="140">
        <v>331</v>
      </c>
      <c r="C625" t="s">
        <v>385</v>
      </c>
      <c r="D625" s="136" t="s">
        <v>2300</v>
      </c>
      <c r="E625" t="s">
        <v>1037</v>
      </c>
      <c r="F625" s="650">
        <v>112</v>
      </c>
      <c r="H625" s="140">
        <v>331</v>
      </c>
      <c r="I625" t="s">
        <v>385</v>
      </c>
      <c r="J625" s="136" t="s">
        <v>2300</v>
      </c>
      <c r="K625" t="s">
        <v>1037</v>
      </c>
      <c r="L625" s="650">
        <v>112</v>
      </c>
    </row>
    <row r="626" spans="2:12">
      <c r="B626" s="140">
        <v>331</v>
      </c>
      <c r="C626" t="s">
        <v>385</v>
      </c>
      <c r="D626" s="136" t="s">
        <v>2301</v>
      </c>
      <c r="E626" t="s">
        <v>1038</v>
      </c>
      <c r="F626" s="650">
        <v>126</v>
      </c>
      <c r="H626" s="140">
        <v>331</v>
      </c>
      <c r="I626" t="s">
        <v>385</v>
      </c>
      <c r="J626" s="136" t="s">
        <v>2301</v>
      </c>
      <c r="K626" t="s">
        <v>1038</v>
      </c>
      <c r="L626" s="650">
        <v>126</v>
      </c>
    </row>
    <row r="627" spans="2:12">
      <c r="B627" s="140">
        <v>331</v>
      </c>
      <c r="C627" t="s">
        <v>385</v>
      </c>
      <c r="D627" s="136" t="s">
        <v>2302</v>
      </c>
      <c r="E627" t="s">
        <v>659</v>
      </c>
      <c r="F627" s="650">
        <v>81</v>
      </c>
      <c r="H627" s="140">
        <v>331</v>
      </c>
      <c r="I627" t="s">
        <v>385</v>
      </c>
      <c r="J627" s="136" t="s">
        <v>2302</v>
      </c>
      <c r="K627" t="s">
        <v>659</v>
      </c>
      <c r="L627" s="650">
        <v>81</v>
      </c>
    </row>
    <row r="628" spans="2:12">
      <c r="B628" s="140">
        <v>331</v>
      </c>
      <c r="C628" t="s">
        <v>385</v>
      </c>
      <c r="D628" s="136" t="s">
        <v>2303</v>
      </c>
      <c r="E628" t="s">
        <v>1039</v>
      </c>
      <c r="F628" s="650">
        <v>93</v>
      </c>
      <c r="H628" s="140">
        <v>331</v>
      </c>
      <c r="I628" t="s">
        <v>385</v>
      </c>
      <c r="J628" s="136" t="s">
        <v>2303</v>
      </c>
      <c r="K628" t="s">
        <v>1039</v>
      </c>
      <c r="L628" s="650">
        <v>93</v>
      </c>
    </row>
    <row r="629" spans="2:12">
      <c r="B629" s="140">
        <v>331</v>
      </c>
      <c r="C629" t="s">
        <v>385</v>
      </c>
      <c r="D629" s="136" t="s">
        <v>2304</v>
      </c>
      <c r="E629" t="s">
        <v>1040</v>
      </c>
      <c r="F629" s="650">
        <v>146</v>
      </c>
      <c r="H629" s="140">
        <v>331</v>
      </c>
      <c r="I629" t="s">
        <v>385</v>
      </c>
      <c r="J629" s="136" t="s">
        <v>2304</v>
      </c>
      <c r="K629" t="s">
        <v>1040</v>
      </c>
      <c r="L629" s="650">
        <v>146</v>
      </c>
    </row>
    <row r="630" spans="2:12">
      <c r="B630" s="140">
        <v>331</v>
      </c>
      <c r="C630" t="s">
        <v>385</v>
      </c>
      <c r="D630" s="136" t="s">
        <v>2305</v>
      </c>
      <c r="E630" t="s">
        <v>2306</v>
      </c>
      <c r="F630" s="650">
        <v>20</v>
      </c>
      <c r="H630" s="140">
        <v>331</v>
      </c>
      <c r="I630" t="s">
        <v>385</v>
      </c>
      <c r="J630" s="136" t="s">
        <v>2305</v>
      </c>
      <c r="K630" t="s">
        <v>2306</v>
      </c>
      <c r="L630" s="650">
        <v>20</v>
      </c>
    </row>
    <row r="631" spans="2:12">
      <c r="B631" s="140">
        <v>331</v>
      </c>
      <c r="C631" t="s">
        <v>385</v>
      </c>
      <c r="D631" s="136" t="s">
        <v>2307</v>
      </c>
      <c r="E631" t="s">
        <v>2308</v>
      </c>
      <c r="F631" s="650" t="s">
        <v>1186</v>
      </c>
      <c r="H631" s="140">
        <v>331</v>
      </c>
      <c r="I631" t="s">
        <v>385</v>
      </c>
      <c r="J631" s="136" t="s">
        <v>2307</v>
      </c>
      <c r="K631" t="s">
        <v>2308</v>
      </c>
      <c r="L631" s="650" t="s">
        <v>1186</v>
      </c>
    </row>
    <row r="632" spans="2:12">
      <c r="B632" s="140">
        <v>331</v>
      </c>
      <c r="C632" t="s">
        <v>385</v>
      </c>
      <c r="D632" s="136" t="s">
        <v>2309</v>
      </c>
      <c r="E632" t="s">
        <v>2310</v>
      </c>
      <c r="F632" s="650" t="s">
        <v>1186</v>
      </c>
      <c r="H632" s="140">
        <v>331</v>
      </c>
      <c r="I632" t="s">
        <v>385</v>
      </c>
      <c r="J632" s="136" t="s">
        <v>2309</v>
      </c>
      <c r="K632" t="s">
        <v>2310</v>
      </c>
      <c r="L632" s="650" t="s">
        <v>1186</v>
      </c>
    </row>
    <row r="633" spans="2:12">
      <c r="B633" s="140">
        <v>331</v>
      </c>
      <c r="C633" t="s">
        <v>552</v>
      </c>
      <c r="F633" s="650">
        <v>757</v>
      </c>
      <c r="H633" s="140">
        <v>331</v>
      </c>
      <c r="I633" t="s">
        <v>552</v>
      </c>
      <c r="L633" s="650">
        <v>757</v>
      </c>
    </row>
    <row r="634" spans="2:12">
      <c r="B634" s="140">
        <v>340</v>
      </c>
      <c r="C634" t="s">
        <v>386</v>
      </c>
      <c r="D634" s="136" t="s">
        <v>2312</v>
      </c>
      <c r="E634" t="s">
        <v>1042</v>
      </c>
      <c r="F634" s="650" t="s">
        <v>1186</v>
      </c>
      <c r="H634" s="140">
        <v>340</v>
      </c>
      <c r="I634" t="s">
        <v>386</v>
      </c>
      <c r="J634" s="136" t="s">
        <v>2312</v>
      </c>
      <c r="K634" t="s">
        <v>1042</v>
      </c>
      <c r="L634" s="650" t="s">
        <v>1186</v>
      </c>
    </row>
    <row r="635" spans="2:12">
      <c r="B635" s="140">
        <v>340</v>
      </c>
      <c r="C635" t="s">
        <v>386</v>
      </c>
      <c r="D635" s="136" t="s">
        <v>2313</v>
      </c>
      <c r="E635" t="s">
        <v>1043</v>
      </c>
      <c r="F635" s="650" t="s">
        <v>1186</v>
      </c>
      <c r="H635" s="140">
        <v>340</v>
      </c>
      <c r="I635" t="s">
        <v>386</v>
      </c>
      <c r="J635" s="136" t="s">
        <v>2313</v>
      </c>
      <c r="K635" t="s">
        <v>1043</v>
      </c>
      <c r="L635" s="650" t="s">
        <v>1186</v>
      </c>
    </row>
    <row r="636" spans="2:12">
      <c r="B636" s="140">
        <v>340</v>
      </c>
      <c r="C636" t="s">
        <v>386</v>
      </c>
      <c r="D636" s="136" t="s">
        <v>2314</v>
      </c>
      <c r="E636" t="s">
        <v>2315</v>
      </c>
      <c r="F636" s="650" t="s">
        <v>1186</v>
      </c>
      <c r="H636" s="140">
        <v>340</v>
      </c>
      <c r="I636" t="s">
        <v>386</v>
      </c>
      <c r="J636" s="136" t="s">
        <v>2314</v>
      </c>
      <c r="K636" t="s">
        <v>2315</v>
      </c>
      <c r="L636" s="650" t="s">
        <v>1186</v>
      </c>
    </row>
    <row r="637" spans="2:12">
      <c r="B637" s="140">
        <v>340</v>
      </c>
      <c r="C637" t="s">
        <v>386</v>
      </c>
      <c r="D637" s="136" t="s">
        <v>2316</v>
      </c>
      <c r="E637" t="s">
        <v>2317</v>
      </c>
      <c r="F637" s="650" t="s">
        <v>1186</v>
      </c>
      <c r="H637" s="140">
        <v>340</v>
      </c>
      <c r="I637" t="s">
        <v>386</v>
      </c>
      <c r="J637" s="136" t="s">
        <v>2316</v>
      </c>
      <c r="K637" t="s">
        <v>2317</v>
      </c>
      <c r="L637" s="650" t="s">
        <v>1186</v>
      </c>
    </row>
    <row r="638" spans="2:12">
      <c r="B638" s="140">
        <v>340</v>
      </c>
      <c r="C638" t="s">
        <v>386</v>
      </c>
      <c r="D638" s="136" t="s">
        <v>2318</v>
      </c>
      <c r="E638" t="s">
        <v>786</v>
      </c>
      <c r="F638" s="650" t="s">
        <v>1186</v>
      </c>
      <c r="H638" s="140">
        <v>340</v>
      </c>
      <c r="I638" t="s">
        <v>386</v>
      </c>
      <c r="J638" s="136" t="s">
        <v>2318</v>
      </c>
      <c r="K638" t="s">
        <v>786</v>
      </c>
      <c r="L638" s="650" t="s">
        <v>1186</v>
      </c>
    </row>
    <row r="639" spans="2:12">
      <c r="B639" s="140">
        <v>340</v>
      </c>
      <c r="C639" t="s">
        <v>386</v>
      </c>
      <c r="D639" s="136" t="s">
        <v>2319</v>
      </c>
      <c r="E639" t="s">
        <v>1045</v>
      </c>
      <c r="F639" s="650" t="s">
        <v>1186</v>
      </c>
      <c r="H639" s="140">
        <v>340</v>
      </c>
      <c r="I639" t="s">
        <v>386</v>
      </c>
      <c r="J639" s="136" t="s">
        <v>2319</v>
      </c>
      <c r="K639" t="s">
        <v>1045</v>
      </c>
      <c r="L639" s="650" t="s">
        <v>1186</v>
      </c>
    </row>
    <row r="640" spans="2:12">
      <c r="B640" s="140">
        <v>340</v>
      </c>
      <c r="C640" t="s">
        <v>386</v>
      </c>
      <c r="D640" s="136" t="s">
        <v>2320</v>
      </c>
      <c r="E640" t="s">
        <v>1046</v>
      </c>
      <c r="F640" s="650" t="s">
        <v>1186</v>
      </c>
      <c r="H640" s="140">
        <v>340</v>
      </c>
      <c r="I640" t="s">
        <v>386</v>
      </c>
      <c r="J640" s="136" t="s">
        <v>2320</v>
      </c>
      <c r="K640" t="s">
        <v>1046</v>
      </c>
      <c r="L640" s="650" t="s">
        <v>1186</v>
      </c>
    </row>
    <row r="641" spans="2:12">
      <c r="B641" s="140">
        <v>340</v>
      </c>
      <c r="C641" t="s">
        <v>386</v>
      </c>
      <c r="D641" s="136" t="s">
        <v>2321</v>
      </c>
      <c r="E641" t="s">
        <v>1047</v>
      </c>
      <c r="F641" s="650" t="s">
        <v>1186</v>
      </c>
      <c r="H641" s="140">
        <v>340</v>
      </c>
      <c r="I641" t="s">
        <v>386</v>
      </c>
      <c r="J641" s="136" t="s">
        <v>2321</v>
      </c>
      <c r="K641" t="s">
        <v>1047</v>
      </c>
      <c r="L641" s="650" t="s">
        <v>1186</v>
      </c>
    </row>
    <row r="642" spans="2:12">
      <c r="B642" s="140">
        <v>340</v>
      </c>
      <c r="C642" t="s">
        <v>386</v>
      </c>
      <c r="D642" s="136" t="s">
        <v>2322</v>
      </c>
      <c r="E642" t="s">
        <v>1048</v>
      </c>
      <c r="F642" s="650" t="s">
        <v>1186</v>
      </c>
      <c r="H642" s="140">
        <v>340</v>
      </c>
      <c r="I642" t="s">
        <v>386</v>
      </c>
      <c r="J642" s="136" t="s">
        <v>2322</v>
      </c>
      <c r="K642" t="s">
        <v>1048</v>
      </c>
      <c r="L642" s="650" t="s">
        <v>1186</v>
      </c>
    </row>
    <row r="643" spans="2:12">
      <c r="B643" s="140">
        <v>340</v>
      </c>
      <c r="C643" t="s">
        <v>386</v>
      </c>
      <c r="D643" s="136" t="s">
        <v>2323</v>
      </c>
      <c r="E643" t="s">
        <v>1049</v>
      </c>
      <c r="F643" s="650" t="s">
        <v>1186</v>
      </c>
      <c r="H643" s="140">
        <v>340</v>
      </c>
      <c r="I643" t="s">
        <v>386</v>
      </c>
      <c r="J643" s="136" t="s">
        <v>2323</v>
      </c>
      <c r="K643" t="s">
        <v>1049</v>
      </c>
      <c r="L643" s="650" t="s">
        <v>1186</v>
      </c>
    </row>
    <row r="644" spans="2:12">
      <c r="B644" s="140">
        <v>340</v>
      </c>
      <c r="C644" t="s">
        <v>386</v>
      </c>
      <c r="D644" s="136" t="s">
        <v>2324</v>
      </c>
      <c r="E644" t="s">
        <v>1050</v>
      </c>
      <c r="F644" s="650" t="s">
        <v>1186</v>
      </c>
      <c r="H644" s="140">
        <v>340</v>
      </c>
      <c r="I644" t="s">
        <v>386</v>
      </c>
      <c r="J644" s="136" t="s">
        <v>2324</v>
      </c>
      <c r="K644" t="s">
        <v>1050</v>
      </c>
      <c r="L644" s="650" t="s">
        <v>1186</v>
      </c>
    </row>
    <row r="645" spans="2:12">
      <c r="B645" s="140">
        <v>340</v>
      </c>
      <c r="C645" t="s">
        <v>386</v>
      </c>
      <c r="D645" s="136" t="s">
        <v>2325</v>
      </c>
      <c r="E645" t="s">
        <v>2326</v>
      </c>
      <c r="F645" s="650" t="s">
        <v>1186</v>
      </c>
      <c r="H645" s="140">
        <v>340</v>
      </c>
      <c r="I645" t="s">
        <v>386</v>
      </c>
      <c r="J645" s="136" t="s">
        <v>2325</v>
      </c>
      <c r="K645" t="s">
        <v>2326</v>
      </c>
      <c r="L645" s="650" t="s">
        <v>1186</v>
      </c>
    </row>
    <row r="646" spans="2:12">
      <c r="B646" s="140">
        <v>340</v>
      </c>
      <c r="C646" t="s">
        <v>386</v>
      </c>
      <c r="D646" s="136" t="s">
        <v>2327</v>
      </c>
      <c r="E646" t="s">
        <v>2328</v>
      </c>
      <c r="F646" s="650" t="s">
        <v>1186</v>
      </c>
      <c r="H646" s="140">
        <v>340</v>
      </c>
      <c r="I646" t="s">
        <v>386</v>
      </c>
      <c r="J646" s="136" t="s">
        <v>2327</v>
      </c>
      <c r="K646" t="s">
        <v>2328</v>
      </c>
      <c r="L646" s="650" t="s">
        <v>1186</v>
      </c>
    </row>
    <row r="647" spans="2:12">
      <c r="B647" s="140">
        <v>340</v>
      </c>
      <c r="C647" t="s">
        <v>552</v>
      </c>
      <c r="F647" s="650">
        <v>19</v>
      </c>
      <c r="H647" s="140">
        <v>340</v>
      </c>
      <c r="I647" t="s">
        <v>552</v>
      </c>
      <c r="L647" s="650">
        <v>19</v>
      </c>
    </row>
    <row r="648" spans="2:12">
      <c r="B648" s="140">
        <v>341</v>
      </c>
      <c r="C648" t="s">
        <v>387</v>
      </c>
      <c r="D648" s="136" t="s">
        <v>2330</v>
      </c>
      <c r="E648" t="s">
        <v>1052</v>
      </c>
      <c r="F648" s="650" t="s">
        <v>1186</v>
      </c>
      <c r="H648" s="140">
        <v>341</v>
      </c>
      <c r="I648" t="s">
        <v>387</v>
      </c>
      <c r="J648" s="136" t="s">
        <v>2330</v>
      </c>
      <c r="K648" t="s">
        <v>1052</v>
      </c>
      <c r="L648" s="650" t="s">
        <v>1186</v>
      </c>
    </row>
    <row r="649" spans="2:12">
      <c r="B649" s="140">
        <v>341</v>
      </c>
      <c r="C649" t="s">
        <v>387</v>
      </c>
      <c r="D649" s="136" t="s">
        <v>2331</v>
      </c>
      <c r="E649" t="s">
        <v>1053</v>
      </c>
      <c r="F649" s="650" t="s">
        <v>1186</v>
      </c>
      <c r="H649" s="140">
        <v>341</v>
      </c>
      <c r="I649" t="s">
        <v>387</v>
      </c>
      <c r="J649" s="136" t="s">
        <v>2331</v>
      </c>
      <c r="K649" t="s">
        <v>1053</v>
      </c>
      <c r="L649" s="650" t="s">
        <v>1186</v>
      </c>
    </row>
    <row r="650" spans="2:12">
      <c r="B650" s="140">
        <v>341</v>
      </c>
      <c r="C650" t="s">
        <v>552</v>
      </c>
      <c r="F650" s="650" t="s">
        <v>1186</v>
      </c>
      <c r="H650" s="140">
        <v>341</v>
      </c>
      <c r="I650" t="s">
        <v>552</v>
      </c>
      <c r="L650" s="650" t="s">
        <v>1186</v>
      </c>
    </row>
    <row r="651" spans="2:12">
      <c r="B651" s="140">
        <v>342</v>
      </c>
      <c r="C651" t="s">
        <v>388</v>
      </c>
      <c r="D651" s="136" t="s">
        <v>2333</v>
      </c>
      <c r="E651" t="s">
        <v>1054</v>
      </c>
      <c r="F651" s="650" t="s">
        <v>1186</v>
      </c>
      <c r="H651" s="140">
        <v>342</v>
      </c>
      <c r="I651" t="s">
        <v>388</v>
      </c>
      <c r="J651" s="136" t="s">
        <v>2333</v>
      </c>
      <c r="K651" t="s">
        <v>1054</v>
      </c>
      <c r="L651" s="650" t="s">
        <v>1186</v>
      </c>
    </row>
    <row r="652" spans="2:12">
      <c r="B652" s="140">
        <v>342</v>
      </c>
      <c r="C652" t="s">
        <v>552</v>
      </c>
      <c r="F652" s="650" t="s">
        <v>1186</v>
      </c>
      <c r="H652" s="140">
        <v>342</v>
      </c>
      <c r="I652" t="s">
        <v>552</v>
      </c>
      <c r="L652" s="650" t="s">
        <v>1186</v>
      </c>
    </row>
    <row r="653" spans="2:12">
      <c r="B653" s="140">
        <v>351</v>
      </c>
      <c r="C653" t="s">
        <v>389</v>
      </c>
      <c r="D653" s="136" t="s">
        <v>2335</v>
      </c>
      <c r="E653" t="s">
        <v>1055</v>
      </c>
      <c r="F653" s="650" t="s">
        <v>1186</v>
      </c>
      <c r="H653" s="140">
        <v>351</v>
      </c>
      <c r="I653" t="s">
        <v>389</v>
      </c>
      <c r="J653" s="136" t="s">
        <v>2335</v>
      </c>
      <c r="K653" t="s">
        <v>1055</v>
      </c>
      <c r="L653" s="650" t="s">
        <v>1186</v>
      </c>
    </row>
    <row r="654" spans="2:12">
      <c r="B654" s="140">
        <v>351</v>
      </c>
      <c r="C654" t="s">
        <v>389</v>
      </c>
      <c r="D654" s="136" t="s">
        <v>2336</v>
      </c>
      <c r="E654" t="s">
        <v>2337</v>
      </c>
      <c r="F654" s="650" t="s">
        <v>1186</v>
      </c>
      <c r="H654" s="140">
        <v>351</v>
      </c>
      <c r="I654" t="s">
        <v>389</v>
      </c>
      <c r="J654" s="136" t="s">
        <v>2336</v>
      </c>
      <c r="K654" t="s">
        <v>2337</v>
      </c>
      <c r="L654" s="650" t="s">
        <v>1186</v>
      </c>
    </row>
    <row r="655" spans="2:12">
      <c r="B655" s="140">
        <v>351</v>
      </c>
      <c r="C655" t="s">
        <v>389</v>
      </c>
      <c r="D655" s="136" t="s">
        <v>2338</v>
      </c>
      <c r="E655" t="s">
        <v>1057</v>
      </c>
      <c r="F655" s="650" t="s">
        <v>1186</v>
      </c>
      <c r="H655" s="140">
        <v>351</v>
      </c>
      <c r="I655" t="s">
        <v>389</v>
      </c>
      <c r="J655" s="136" t="s">
        <v>2338</v>
      </c>
      <c r="K655" t="s">
        <v>1057</v>
      </c>
      <c r="L655" s="650" t="s">
        <v>1186</v>
      </c>
    </row>
    <row r="656" spans="2:12">
      <c r="B656" s="140">
        <v>351</v>
      </c>
      <c r="C656" t="s">
        <v>389</v>
      </c>
      <c r="D656" s="136" t="s">
        <v>2339</v>
      </c>
      <c r="E656" t="s">
        <v>1058</v>
      </c>
      <c r="F656" s="650" t="s">
        <v>1186</v>
      </c>
      <c r="H656" s="140">
        <v>351</v>
      </c>
      <c r="I656" t="s">
        <v>389</v>
      </c>
      <c r="J656" s="136" t="s">
        <v>2339</v>
      </c>
      <c r="K656" t="s">
        <v>1058</v>
      </c>
      <c r="L656" s="650" t="s">
        <v>1186</v>
      </c>
    </row>
    <row r="657" spans="2:12">
      <c r="B657" s="140">
        <v>351</v>
      </c>
      <c r="C657" t="s">
        <v>389</v>
      </c>
      <c r="D657" s="136" t="s">
        <v>2340</v>
      </c>
      <c r="E657" t="s">
        <v>1059</v>
      </c>
      <c r="F657" s="650" t="s">
        <v>1186</v>
      </c>
      <c r="H657" s="140">
        <v>351</v>
      </c>
      <c r="I657" t="s">
        <v>389</v>
      </c>
      <c r="J657" s="136" t="s">
        <v>2340</v>
      </c>
      <c r="K657" t="s">
        <v>1059</v>
      </c>
      <c r="L657" s="650" t="s">
        <v>1186</v>
      </c>
    </row>
    <row r="658" spans="2:12">
      <c r="B658" s="140">
        <v>351</v>
      </c>
      <c r="C658" t="s">
        <v>552</v>
      </c>
      <c r="F658" s="650" t="s">
        <v>1186</v>
      </c>
      <c r="H658" s="140">
        <v>351</v>
      </c>
      <c r="I658" t="s">
        <v>552</v>
      </c>
      <c r="L658" s="650" t="s">
        <v>1186</v>
      </c>
    </row>
    <row r="659" spans="2:12">
      <c r="B659" s="140">
        <v>363</v>
      </c>
      <c r="C659" t="s">
        <v>390</v>
      </c>
      <c r="D659" s="136" t="s">
        <v>2342</v>
      </c>
      <c r="E659" t="s">
        <v>1060</v>
      </c>
      <c r="F659" s="650">
        <v>52</v>
      </c>
      <c r="H659" s="140">
        <v>363</v>
      </c>
      <c r="I659" t="s">
        <v>390</v>
      </c>
      <c r="J659" s="136" t="s">
        <v>2342</v>
      </c>
      <c r="K659" t="s">
        <v>1060</v>
      </c>
      <c r="L659" s="650">
        <v>52</v>
      </c>
    </row>
    <row r="660" spans="2:12">
      <c r="B660" s="140">
        <v>363</v>
      </c>
      <c r="C660" t="s">
        <v>390</v>
      </c>
      <c r="D660" s="136" t="s">
        <v>2343</v>
      </c>
      <c r="E660" t="s">
        <v>1061</v>
      </c>
      <c r="F660" s="650">
        <v>55</v>
      </c>
      <c r="H660" s="140">
        <v>363</v>
      </c>
      <c r="I660" t="s">
        <v>390</v>
      </c>
      <c r="J660" s="136" t="s">
        <v>2343</v>
      </c>
      <c r="K660" t="s">
        <v>1061</v>
      </c>
      <c r="L660" s="650">
        <v>55</v>
      </c>
    </row>
    <row r="661" spans="2:12">
      <c r="B661" s="140">
        <v>363</v>
      </c>
      <c r="C661" t="s">
        <v>390</v>
      </c>
      <c r="D661" s="136" t="s">
        <v>2344</v>
      </c>
      <c r="E661" t="s">
        <v>1062</v>
      </c>
      <c r="F661" s="650">
        <v>126</v>
      </c>
      <c r="H661" s="140">
        <v>363</v>
      </c>
      <c r="I661" t="s">
        <v>390</v>
      </c>
      <c r="J661" s="136" t="s">
        <v>2344</v>
      </c>
      <c r="K661" t="s">
        <v>1062</v>
      </c>
      <c r="L661" s="650">
        <v>126</v>
      </c>
    </row>
    <row r="662" spans="2:12">
      <c r="B662" s="140">
        <v>363</v>
      </c>
      <c r="C662" t="s">
        <v>552</v>
      </c>
      <c r="F662" s="650">
        <v>233</v>
      </c>
      <c r="H662" s="140">
        <v>363</v>
      </c>
      <c r="I662" t="s">
        <v>552</v>
      </c>
      <c r="L662" s="650">
        <v>233</v>
      </c>
    </row>
    <row r="663" spans="2:12">
      <c r="B663" s="140">
        <v>364</v>
      </c>
      <c r="C663" t="s">
        <v>391</v>
      </c>
      <c r="D663" s="136" t="s">
        <v>2346</v>
      </c>
      <c r="E663" t="s">
        <v>2347</v>
      </c>
      <c r="F663" s="650" t="s">
        <v>1186</v>
      </c>
      <c r="H663" s="140">
        <v>364</v>
      </c>
      <c r="I663" t="s">
        <v>391</v>
      </c>
      <c r="J663" s="136" t="s">
        <v>2346</v>
      </c>
      <c r="K663" t="s">
        <v>2347</v>
      </c>
      <c r="L663" s="650" t="s">
        <v>1186</v>
      </c>
    </row>
    <row r="664" spans="2:12">
      <c r="B664" s="140">
        <v>364</v>
      </c>
      <c r="C664" t="s">
        <v>391</v>
      </c>
      <c r="D664" s="136" t="s">
        <v>2348</v>
      </c>
      <c r="E664" t="s">
        <v>2349</v>
      </c>
      <c r="F664" s="650" t="s">
        <v>1186</v>
      </c>
      <c r="H664" s="140">
        <v>364</v>
      </c>
      <c r="I664" t="s">
        <v>391</v>
      </c>
      <c r="J664" s="136" t="s">
        <v>2348</v>
      </c>
      <c r="K664" t="s">
        <v>2349</v>
      </c>
      <c r="L664" s="650" t="s">
        <v>1186</v>
      </c>
    </row>
    <row r="665" spans="2:12">
      <c r="B665" s="140">
        <v>364</v>
      </c>
      <c r="C665" t="s">
        <v>552</v>
      </c>
      <c r="F665" s="650" t="s">
        <v>1186</v>
      </c>
      <c r="H665" s="140">
        <v>364</v>
      </c>
      <c r="I665" t="s">
        <v>552</v>
      </c>
      <c r="L665" s="650" t="s">
        <v>1186</v>
      </c>
    </row>
    <row r="666" spans="2:12">
      <c r="B666" s="140">
        <v>365</v>
      </c>
      <c r="C666" t="s">
        <v>1063</v>
      </c>
      <c r="D666" s="136" t="s">
        <v>2351</v>
      </c>
      <c r="E666" t="s">
        <v>1064</v>
      </c>
      <c r="F666" s="650">
        <v>28</v>
      </c>
      <c r="H666" s="140">
        <v>365</v>
      </c>
      <c r="I666" t="s">
        <v>1063</v>
      </c>
      <c r="J666" s="136" t="s">
        <v>2351</v>
      </c>
      <c r="K666" t="s">
        <v>1064</v>
      </c>
      <c r="L666" s="650">
        <v>28</v>
      </c>
    </row>
    <row r="667" spans="2:12">
      <c r="B667" s="140">
        <v>365</v>
      </c>
      <c r="C667" t="s">
        <v>1063</v>
      </c>
      <c r="D667" s="136" t="s">
        <v>2352</v>
      </c>
      <c r="E667" t="s">
        <v>1065</v>
      </c>
      <c r="F667" s="650">
        <v>15</v>
      </c>
      <c r="H667" s="140">
        <v>365</v>
      </c>
      <c r="I667" t="s">
        <v>1063</v>
      </c>
      <c r="J667" s="136" t="s">
        <v>2352</v>
      </c>
      <c r="K667" t="s">
        <v>1065</v>
      </c>
      <c r="L667" s="650">
        <v>15</v>
      </c>
    </row>
    <row r="668" spans="2:12">
      <c r="B668" s="140">
        <v>365</v>
      </c>
      <c r="C668" t="s">
        <v>1063</v>
      </c>
      <c r="D668" s="136" t="s">
        <v>2353</v>
      </c>
      <c r="E668" t="s">
        <v>1067</v>
      </c>
      <c r="F668" s="650">
        <v>14</v>
      </c>
      <c r="H668" s="140">
        <v>365</v>
      </c>
      <c r="I668" t="s">
        <v>1063</v>
      </c>
      <c r="J668" s="136" t="s">
        <v>2353</v>
      </c>
      <c r="K668" t="s">
        <v>1067</v>
      </c>
      <c r="L668" s="650">
        <v>14</v>
      </c>
    </row>
    <row r="669" spans="2:12">
      <c r="B669" s="140">
        <v>365</v>
      </c>
      <c r="C669" t="s">
        <v>552</v>
      </c>
      <c r="F669" s="650">
        <v>57</v>
      </c>
      <c r="H669" s="140">
        <v>365</v>
      </c>
      <c r="I669" t="s">
        <v>552</v>
      </c>
      <c r="L669" s="650">
        <v>57</v>
      </c>
    </row>
    <row r="670" spans="2:12">
      <c r="B670" s="140">
        <v>370</v>
      </c>
      <c r="C670" t="s">
        <v>393</v>
      </c>
      <c r="D670" s="136" t="s">
        <v>2355</v>
      </c>
      <c r="E670" t="s">
        <v>1068</v>
      </c>
      <c r="F670" s="650">
        <v>63</v>
      </c>
      <c r="H670" s="140">
        <v>370</v>
      </c>
      <c r="I670" t="s">
        <v>393</v>
      </c>
      <c r="J670" s="136" t="s">
        <v>2355</v>
      </c>
      <c r="K670" t="s">
        <v>1068</v>
      </c>
      <c r="L670" s="650">
        <v>63</v>
      </c>
    </row>
    <row r="671" spans="2:12">
      <c r="B671" s="140">
        <v>370</v>
      </c>
      <c r="C671" t="s">
        <v>393</v>
      </c>
      <c r="D671" s="136" t="s">
        <v>2356</v>
      </c>
      <c r="E671" t="s">
        <v>1069</v>
      </c>
      <c r="F671" s="650">
        <v>90</v>
      </c>
      <c r="H671" s="140">
        <v>370</v>
      </c>
      <c r="I671" t="s">
        <v>393</v>
      </c>
      <c r="J671" s="136" t="s">
        <v>2356</v>
      </c>
      <c r="K671" t="s">
        <v>1069</v>
      </c>
      <c r="L671" s="650">
        <v>90</v>
      </c>
    </row>
    <row r="672" spans="2:12">
      <c r="B672" s="140">
        <v>370</v>
      </c>
      <c r="C672" t="s">
        <v>393</v>
      </c>
      <c r="D672" s="136" t="s">
        <v>2357</v>
      </c>
      <c r="E672" t="s">
        <v>1070</v>
      </c>
      <c r="F672" s="650">
        <v>113</v>
      </c>
      <c r="H672" s="140">
        <v>370</v>
      </c>
      <c r="I672" t="s">
        <v>393</v>
      </c>
      <c r="J672" s="136" t="s">
        <v>2357</v>
      </c>
      <c r="K672" t="s">
        <v>1070</v>
      </c>
      <c r="L672" s="650">
        <v>113</v>
      </c>
    </row>
    <row r="673" spans="2:12">
      <c r="B673" s="140">
        <v>370</v>
      </c>
      <c r="C673" t="s">
        <v>552</v>
      </c>
      <c r="F673" s="650">
        <v>266</v>
      </c>
      <c r="H673" s="140">
        <v>370</v>
      </c>
      <c r="I673" t="s">
        <v>552</v>
      </c>
      <c r="L673" s="650">
        <v>266</v>
      </c>
    </row>
    <row r="674" spans="2:12">
      <c r="B674" s="140">
        <v>371</v>
      </c>
      <c r="C674" t="s">
        <v>394</v>
      </c>
      <c r="D674" s="136" t="s">
        <v>2359</v>
      </c>
      <c r="E674" t="s">
        <v>1071</v>
      </c>
      <c r="F674" s="650">
        <v>56</v>
      </c>
      <c r="H674" s="140">
        <v>371</v>
      </c>
      <c r="I674" t="s">
        <v>394</v>
      </c>
      <c r="J674" s="136" t="s">
        <v>2359</v>
      </c>
      <c r="K674" t="s">
        <v>1071</v>
      </c>
      <c r="L674" s="650">
        <v>56</v>
      </c>
    </row>
    <row r="675" spans="2:12">
      <c r="B675" s="140">
        <v>371</v>
      </c>
      <c r="C675" t="s">
        <v>394</v>
      </c>
      <c r="D675" s="136" t="s">
        <v>2360</v>
      </c>
      <c r="E675" t="s">
        <v>1072</v>
      </c>
      <c r="F675" s="650">
        <v>43</v>
      </c>
      <c r="H675" s="140">
        <v>371</v>
      </c>
      <c r="I675" t="s">
        <v>394</v>
      </c>
      <c r="J675" s="136" t="s">
        <v>2360</v>
      </c>
      <c r="K675" t="s">
        <v>1072</v>
      </c>
      <c r="L675" s="650">
        <v>43</v>
      </c>
    </row>
    <row r="676" spans="2:12">
      <c r="B676" s="140">
        <v>371</v>
      </c>
      <c r="C676" t="s">
        <v>394</v>
      </c>
      <c r="D676" s="136" t="s">
        <v>2361</v>
      </c>
      <c r="E676" t="s">
        <v>1073</v>
      </c>
      <c r="F676" s="650">
        <v>82</v>
      </c>
      <c r="H676" s="140">
        <v>371</v>
      </c>
      <c r="I676" t="s">
        <v>394</v>
      </c>
      <c r="J676" s="136" t="s">
        <v>2361</v>
      </c>
      <c r="K676" t="s">
        <v>1073</v>
      </c>
      <c r="L676" s="650">
        <v>82</v>
      </c>
    </row>
    <row r="677" spans="2:12">
      <c r="B677" s="140">
        <v>371</v>
      </c>
      <c r="C677" t="s">
        <v>394</v>
      </c>
      <c r="D677" s="136" t="s">
        <v>2362</v>
      </c>
      <c r="E677" t="s">
        <v>741</v>
      </c>
      <c r="F677" s="650">
        <v>30</v>
      </c>
      <c r="H677" s="140">
        <v>371</v>
      </c>
      <c r="I677" t="s">
        <v>394</v>
      </c>
      <c r="J677" s="136" t="s">
        <v>2362</v>
      </c>
      <c r="K677" t="s">
        <v>741</v>
      </c>
      <c r="L677" s="650">
        <v>30</v>
      </c>
    </row>
    <row r="678" spans="2:12">
      <c r="B678" s="140">
        <v>371</v>
      </c>
      <c r="C678" t="s">
        <v>394</v>
      </c>
      <c r="D678" s="136" t="s">
        <v>2363</v>
      </c>
      <c r="E678" t="s">
        <v>2364</v>
      </c>
      <c r="F678" s="650" t="s">
        <v>1186</v>
      </c>
      <c r="H678" s="140">
        <v>371</v>
      </c>
      <c r="I678" t="s">
        <v>394</v>
      </c>
      <c r="J678" s="136" t="s">
        <v>2363</v>
      </c>
      <c r="K678" t="s">
        <v>2364</v>
      </c>
      <c r="L678" s="650" t="s">
        <v>1186</v>
      </c>
    </row>
    <row r="679" spans="2:12">
      <c r="B679" s="140">
        <v>371</v>
      </c>
      <c r="C679" t="s">
        <v>394</v>
      </c>
      <c r="D679" s="136" t="s">
        <v>2365</v>
      </c>
      <c r="E679" t="s">
        <v>2366</v>
      </c>
      <c r="F679" s="650" t="s">
        <v>1186</v>
      </c>
      <c r="H679" s="140">
        <v>371</v>
      </c>
      <c r="I679" t="s">
        <v>394</v>
      </c>
      <c r="J679" s="136" t="s">
        <v>2365</v>
      </c>
      <c r="K679" t="s">
        <v>2366</v>
      </c>
      <c r="L679" s="650" t="s">
        <v>1186</v>
      </c>
    </row>
    <row r="680" spans="2:12">
      <c r="B680" s="140">
        <v>371</v>
      </c>
      <c r="C680" t="s">
        <v>552</v>
      </c>
      <c r="F680" s="650">
        <v>214</v>
      </c>
      <c r="H680" s="140">
        <v>371</v>
      </c>
      <c r="I680" t="s">
        <v>552</v>
      </c>
      <c r="L680" s="650">
        <v>214</v>
      </c>
    </row>
    <row r="681" spans="2:12">
      <c r="B681" s="140">
        <v>372</v>
      </c>
      <c r="C681" t="s">
        <v>395</v>
      </c>
      <c r="D681" s="136" t="s">
        <v>2368</v>
      </c>
      <c r="E681" t="s">
        <v>1074</v>
      </c>
      <c r="F681" s="650" t="s">
        <v>1186</v>
      </c>
      <c r="H681" s="140">
        <v>372</v>
      </c>
      <c r="I681" t="s">
        <v>395</v>
      </c>
      <c r="J681" s="136" t="s">
        <v>2368</v>
      </c>
      <c r="K681" t="s">
        <v>1074</v>
      </c>
      <c r="L681" s="650" t="s">
        <v>1186</v>
      </c>
    </row>
    <row r="682" spans="2:12">
      <c r="B682" s="140">
        <v>372</v>
      </c>
      <c r="C682" t="s">
        <v>395</v>
      </c>
      <c r="D682" s="136" t="s">
        <v>2369</v>
      </c>
      <c r="E682" t="s">
        <v>1075</v>
      </c>
      <c r="F682" s="650" t="s">
        <v>1186</v>
      </c>
      <c r="H682" s="140">
        <v>372</v>
      </c>
      <c r="I682" t="s">
        <v>395</v>
      </c>
      <c r="J682" s="136" t="s">
        <v>2369</v>
      </c>
      <c r="K682" t="s">
        <v>1075</v>
      </c>
      <c r="L682" s="650" t="s">
        <v>1186</v>
      </c>
    </row>
    <row r="683" spans="2:12">
      <c r="B683" s="140">
        <v>372</v>
      </c>
      <c r="C683" t="s">
        <v>395</v>
      </c>
      <c r="D683" s="136" t="s">
        <v>2370</v>
      </c>
      <c r="E683" t="s">
        <v>1076</v>
      </c>
      <c r="F683" s="650" t="s">
        <v>1186</v>
      </c>
      <c r="H683" s="140">
        <v>372</v>
      </c>
      <c r="I683" t="s">
        <v>395</v>
      </c>
      <c r="J683" s="136" t="s">
        <v>2370</v>
      </c>
      <c r="K683" t="s">
        <v>1076</v>
      </c>
      <c r="L683" s="650" t="s">
        <v>1186</v>
      </c>
    </row>
    <row r="684" spans="2:12">
      <c r="B684" s="140">
        <v>372</v>
      </c>
      <c r="C684" t="s">
        <v>552</v>
      </c>
      <c r="F684" s="650">
        <v>22</v>
      </c>
      <c r="H684" s="140">
        <v>372</v>
      </c>
      <c r="I684" t="s">
        <v>552</v>
      </c>
      <c r="L684" s="650">
        <v>22</v>
      </c>
    </row>
    <row r="685" spans="2:12">
      <c r="B685" s="140">
        <v>373</v>
      </c>
      <c r="C685" t="s">
        <v>396</v>
      </c>
      <c r="D685" s="136" t="s">
        <v>2372</v>
      </c>
      <c r="E685" t="s">
        <v>1077</v>
      </c>
      <c r="F685" s="650">
        <v>61</v>
      </c>
      <c r="H685" s="140">
        <v>373</v>
      </c>
      <c r="I685" t="s">
        <v>396</v>
      </c>
      <c r="J685" s="136" t="s">
        <v>2372</v>
      </c>
      <c r="K685" t="s">
        <v>1077</v>
      </c>
      <c r="L685" s="650">
        <v>61</v>
      </c>
    </row>
    <row r="686" spans="2:12">
      <c r="B686" s="140">
        <v>373</v>
      </c>
      <c r="C686" t="s">
        <v>396</v>
      </c>
      <c r="D686" s="136" t="s">
        <v>2373</v>
      </c>
      <c r="E686" t="s">
        <v>1078</v>
      </c>
      <c r="F686" s="650" t="s">
        <v>1186</v>
      </c>
      <c r="H686" s="140">
        <v>373</v>
      </c>
      <c r="I686" t="s">
        <v>396</v>
      </c>
      <c r="J686" s="136" t="s">
        <v>2373</v>
      </c>
      <c r="K686" t="s">
        <v>1078</v>
      </c>
      <c r="L686" s="650" t="s">
        <v>1186</v>
      </c>
    </row>
    <row r="687" spans="2:12">
      <c r="B687" s="140">
        <v>373</v>
      </c>
      <c r="C687" t="s">
        <v>396</v>
      </c>
      <c r="D687" s="136" t="s">
        <v>2374</v>
      </c>
      <c r="E687" t="s">
        <v>1079</v>
      </c>
      <c r="F687" s="650">
        <v>102</v>
      </c>
      <c r="H687" s="140">
        <v>373</v>
      </c>
      <c r="I687" t="s">
        <v>396</v>
      </c>
      <c r="J687" s="136" t="s">
        <v>2374</v>
      </c>
      <c r="K687" t="s">
        <v>1079</v>
      </c>
      <c r="L687" s="650">
        <v>102</v>
      </c>
    </row>
    <row r="688" spans="2:12">
      <c r="B688" s="140">
        <v>373</v>
      </c>
      <c r="C688" t="s">
        <v>396</v>
      </c>
      <c r="D688" s="136" t="s">
        <v>2375</v>
      </c>
      <c r="E688" t="s">
        <v>2376</v>
      </c>
      <c r="F688" s="650" t="s">
        <v>1186</v>
      </c>
      <c r="H688" s="140">
        <v>373</v>
      </c>
      <c r="I688" t="s">
        <v>396</v>
      </c>
      <c r="J688" s="136" t="s">
        <v>2375</v>
      </c>
      <c r="K688" t="s">
        <v>2376</v>
      </c>
      <c r="L688" s="650" t="s">
        <v>1186</v>
      </c>
    </row>
    <row r="689" spans="2:12">
      <c r="B689" s="140">
        <v>373</v>
      </c>
      <c r="C689" t="s">
        <v>552</v>
      </c>
      <c r="F689" s="650">
        <v>213</v>
      </c>
      <c r="H689" s="140">
        <v>373</v>
      </c>
      <c r="I689" t="s">
        <v>552</v>
      </c>
      <c r="L689" s="650">
        <v>213</v>
      </c>
    </row>
    <row r="690" spans="2:12">
      <c r="B690" s="140">
        <v>381</v>
      </c>
      <c r="C690" t="s">
        <v>397</v>
      </c>
      <c r="D690" s="136" t="s">
        <v>2378</v>
      </c>
      <c r="E690" t="s">
        <v>1080</v>
      </c>
      <c r="F690" s="650">
        <v>123</v>
      </c>
      <c r="H690" s="140">
        <v>381</v>
      </c>
      <c r="I690" t="s">
        <v>397</v>
      </c>
      <c r="J690" s="136" t="s">
        <v>2378</v>
      </c>
      <c r="K690" t="s">
        <v>1080</v>
      </c>
      <c r="L690" s="650">
        <v>123</v>
      </c>
    </row>
    <row r="691" spans="2:12">
      <c r="B691" s="140">
        <v>381</v>
      </c>
      <c r="C691" t="s">
        <v>397</v>
      </c>
      <c r="D691" s="136" t="s">
        <v>2379</v>
      </c>
      <c r="E691" t="s">
        <v>1081</v>
      </c>
      <c r="F691" s="650" t="s">
        <v>1186</v>
      </c>
      <c r="H691" s="140">
        <v>381</v>
      </c>
      <c r="I691" t="s">
        <v>397</v>
      </c>
      <c r="J691" s="136" t="s">
        <v>2379</v>
      </c>
      <c r="K691" t="s">
        <v>1081</v>
      </c>
      <c r="L691" s="650" t="s">
        <v>1186</v>
      </c>
    </row>
    <row r="692" spans="2:12">
      <c r="B692" s="140">
        <v>381</v>
      </c>
      <c r="C692" t="s">
        <v>397</v>
      </c>
      <c r="D692" s="136" t="s">
        <v>2380</v>
      </c>
      <c r="E692" t="s">
        <v>2381</v>
      </c>
      <c r="F692" s="650" t="s">
        <v>1186</v>
      </c>
      <c r="H692" s="140">
        <v>381</v>
      </c>
      <c r="I692" t="s">
        <v>397</v>
      </c>
      <c r="J692" s="136" t="s">
        <v>2380</v>
      </c>
      <c r="K692" t="s">
        <v>2381</v>
      </c>
      <c r="L692" s="650" t="s">
        <v>1186</v>
      </c>
    </row>
    <row r="693" spans="2:12">
      <c r="B693" s="140">
        <v>381</v>
      </c>
      <c r="C693" t="s">
        <v>397</v>
      </c>
      <c r="D693" s="136" t="s">
        <v>2382</v>
      </c>
      <c r="E693" t="s">
        <v>522</v>
      </c>
      <c r="F693" s="650">
        <v>196</v>
      </c>
      <c r="H693" s="140">
        <v>381</v>
      </c>
      <c r="I693" t="s">
        <v>397</v>
      </c>
      <c r="J693" s="136" t="s">
        <v>2382</v>
      </c>
      <c r="K693" t="s">
        <v>522</v>
      </c>
      <c r="L693" s="650">
        <v>196</v>
      </c>
    </row>
    <row r="694" spans="2:12">
      <c r="B694" s="140">
        <v>381</v>
      </c>
      <c r="C694" t="s">
        <v>397</v>
      </c>
      <c r="D694" s="136" t="s">
        <v>2383</v>
      </c>
      <c r="E694" t="s">
        <v>2384</v>
      </c>
      <c r="F694" s="650">
        <v>108</v>
      </c>
      <c r="H694" s="140">
        <v>381</v>
      </c>
      <c r="I694" t="s">
        <v>397</v>
      </c>
      <c r="J694" s="136" t="s">
        <v>2383</v>
      </c>
      <c r="K694" t="s">
        <v>2384</v>
      </c>
      <c r="L694" s="650">
        <v>108</v>
      </c>
    </row>
    <row r="695" spans="2:12">
      <c r="B695" s="140">
        <v>381</v>
      </c>
      <c r="C695" t="s">
        <v>552</v>
      </c>
      <c r="F695" s="650">
        <v>530</v>
      </c>
      <c r="H695" s="140">
        <v>381</v>
      </c>
      <c r="I695" t="s">
        <v>552</v>
      </c>
      <c r="L695" s="650">
        <v>530</v>
      </c>
    </row>
    <row r="696" spans="2:12">
      <c r="B696" s="140">
        <v>382</v>
      </c>
      <c r="C696" t="s">
        <v>398</v>
      </c>
      <c r="D696" s="136" t="s">
        <v>2386</v>
      </c>
      <c r="E696" t="s">
        <v>1083</v>
      </c>
      <c r="F696" s="650" t="s">
        <v>1186</v>
      </c>
      <c r="H696" s="140">
        <v>382</v>
      </c>
      <c r="I696" t="s">
        <v>398</v>
      </c>
      <c r="J696" s="136" t="s">
        <v>2386</v>
      </c>
      <c r="K696" t="s">
        <v>1083</v>
      </c>
      <c r="L696" s="650" t="s">
        <v>1186</v>
      </c>
    </row>
    <row r="697" spans="2:12">
      <c r="B697" s="140">
        <v>382</v>
      </c>
      <c r="C697" t="s">
        <v>552</v>
      </c>
      <c r="F697" s="650" t="s">
        <v>1186</v>
      </c>
      <c r="H697" s="140">
        <v>382</v>
      </c>
      <c r="I697" t="s">
        <v>552</v>
      </c>
      <c r="L697" s="650" t="s">
        <v>1186</v>
      </c>
    </row>
    <row r="698" spans="2:12">
      <c r="B698" s="140">
        <v>383</v>
      </c>
      <c r="C698" t="s">
        <v>399</v>
      </c>
      <c r="D698" s="136" t="s">
        <v>2388</v>
      </c>
      <c r="E698" t="s">
        <v>2389</v>
      </c>
      <c r="F698" s="650" t="s">
        <v>1186</v>
      </c>
      <c r="H698" s="140">
        <v>383</v>
      </c>
      <c r="I698" t="s">
        <v>399</v>
      </c>
      <c r="J698" s="136" t="s">
        <v>2388</v>
      </c>
      <c r="K698" t="s">
        <v>2389</v>
      </c>
      <c r="L698" s="650" t="s">
        <v>1186</v>
      </c>
    </row>
    <row r="699" spans="2:12">
      <c r="B699" s="140">
        <v>383</v>
      </c>
      <c r="C699" t="s">
        <v>552</v>
      </c>
      <c r="F699" s="650" t="s">
        <v>1186</v>
      </c>
      <c r="H699" s="140">
        <v>383</v>
      </c>
      <c r="I699" t="s">
        <v>552</v>
      </c>
      <c r="L699" s="650" t="s">
        <v>1186</v>
      </c>
    </row>
    <row r="700" spans="2:12">
      <c r="B700" s="140">
        <v>391</v>
      </c>
      <c r="C700" t="s">
        <v>400</v>
      </c>
      <c r="D700" s="136" t="s">
        <v>2391</v>
      </c>
      <c r="E700" t="s">
        <v>1084</v>
      </c>
      <c r="F700" s="650" t="s">
        <v>1186</v>
      </c>
      <c r="H700" s="140">
        <v>391</v>
      </c>
      <c r="I700" t="s">
        <v>400</v>
      </c>
      <c r="J700" s="136" t="s">
        <v>2391</v>
      </c>
      <c r="K700" t="s">
        <v>1084</v>
      </c>
      <c r="L700" s="650" t="s">
        <v>1186</v>
      </c>
    </row>
    <row r="701" spans="2:12">
      <c r="B701" s="140">
        <v>391</v>
      </c>
      <c r="C701" t="s">
        <v>400</v>
      </c>
      <c r="D701" s="136" t="s">
        <v>2392</v>
      </c>
      <c r="E701" t="s">
        <v>1085</v>
      </c>
      <c r="F701" s="650" t="s">
        <v>1186</v>
      </c>
      <c r="H701" s="140">
        <v>391</v>
      </c>
      <c r="I701" t="s">
        <v>400</v>
      </c>
      <c r="J701" s="136" t="s">
        <v>2392</v>
      </c>
      <c r="K701" t="s">
        <v>1085</v>
      </c>
      <c r="L701" s="650" t="s">
        <v>1186</v>
      </c>
    </row>
    <row r="702" spans="2:12">
      <c r="B702" s="140">
        <v>391</v>
      </c>
      <c r="C702" t="s">
        <v>400</v>
      </c>
      <c r="D702" s="136" t="s">
        <v>2393</v>
      </c>
      <c r="E702" t="s">
        <v>1086</v>
      </c>
      <c r="F702" s="650" t="s">
        <v>1186</v>
      </c>
      <c r="H702" s="140">
        <v>391</v>
      </c>
      <c r="I702" t="s">
        <v>400</v>
      </c>
      <c r="J702" s="136" t="s">
        <v>2393</v>
      </c>
      <c r="K702" t="s">
        <v>1086</v>
      </c>
      <c r="L702" s="650" t="s">
        <v>1186</v>
      </c>
    </row>
    <row r="703" spans="2:12">
      <c r="B703" s="140">
        <v>391</v>
      </c>
      <c r="C703" t="s">
        <v>400</v>
      </c>
      <c r="D703" s="136" t="s">
        <v>2394</v>
      </c>
      <c r="E703" t="s">
        <v>1087</v>
      </c>
      <c r="F703" s="650" t="s">
        <v>1186</v>
      </c>
      <c r="H703" s="140">
        <v>391</v>
      </c>
      <c r="I703" t="s">
        <v>400</v>
      </c>
      <c r="J703" s="136" t="s">
        <v>2394</v>
      </c>
      <c r="K703" t="s">
        <v>1087</v>
      </c>
      <c r="L703" s="650" t="s">
        <v>1186</v>
      </c>
    </row>
    <row r="704" spans="2:12">
      <c r="B704" s="140">
        <v>391</v>
      </c>
      <c r="C704" t="s">
        <v>552</v>
      </c>
      <c r="F704" s="650" t="s">
        <v>1186</v>
      </c>
      <c r="H704" s="140">
        <v>391</v>
      </c>
      <c r="I704" t="s">
        <v>552</v>
      </c>
      <c r="L704" s="650" t="s">
        <v>1186</v>
      </c>
    </row>
    <row r="705" spans="2:12">
      <c r="B705" s="140">
        <v>392</v>
      </c>
      <c r="C705" t="s">
        <v>401</v>
      </c>
      <c r="D705" s="136" t="s">
        <v>2396</v>
      </c>
      <c r="E705" t="s">
        <v>1088</v>
      </c>
      <c r="F705" s="650" t="s">
        <v>1186</v>
      </c>
      <c r="H705" s="140">
        <v>392</v>
      </c>
      <c r="I705" t="s">
        <v>401</v>
      </c>
      <c r="J705" s="136" t="s">
        <v>2396</v>
      </c>
      <c r="K705" t="s">
        <v>1088</v>
      </c>
      <c r="L705" s="650" t="s">
        <v>1186</v>
      </c>
    </row>
    <row r="706" spans="2:12">
      <c r="B706" s="140">
        <v>392</v>
      </c>
      <c r="C706" t="s">
        <v>401</v>
      </c>
      <c r="D706" s="136" t="s">
        <v>2397</v>
      </c>
      <c r="E706" t="s">
        <v>1089</v>
      </c>
      <c r="F706" s="650" t="s">
        <v>1186</v>
      </c>
      <c r="H706" s="140">
        <v>392</v>
      </c>
      <c r="I706" t="s">
        <v>401</v>
      </c>
      <c r="J706" s="136" t="s">
        <v>2397</v>
      </c>
      <c r="K706" t="s">
        <v>1089</v>
      </c>
      <c r="L706" s="650" t="s">
        <v>1186</v>
      </c>
    </row>
    <row r="707" spans="2:12">
      <c r="B707" s="140">
        <v>392</v>
      </c>
      <c r="C707" t="s">
        <v>552</v>
      </c>
      <c r="F707" s="650" t="s">
        <v>1186</v>
      </c>
      <c r="H707" s="140">
        <v>392</v>
      </c>
      <c r="I707" t="s">
        <v>552</v>
      </c>
      <c r="L707" s="650" t="s">
        <v>1186</v>
      </c>
    </row>
    <row r="708" spans="2:12">
      <c r="B708" s="140">
        <v>393</v>
      </c>
      <c r="C708" t="s">
        <v>402</v>
      </c>
      <c r="D708" s="136" t="s">
        <v>2399</v>
      </c>
      <c r="E708" t="s">
        <v>1090</v>
      </c>
      <c r="F708" s="650" t="s">
        <v>1186</v>
      </c>
      <c r="H708" s="140">
        <v>393</v>
      </c>
      <c r="I708" t="s">
        <v>402</v>
      </c>
      <c r="J708" s="136" t="s">
        <v>2399</v>
      </c>
      <c r="K708" t="s">
        <v>1090</v>
      </c>
      <c r="L708" s="650" t="s">
        <v>1186</v>
      </c>
    </row>
    <row r="709" spans="2:12">
      <c r="B709" s="140">
        <v>393</v>
      </c>
      <c r="C709" t="s">
        <v>402</v>
      </c>
      <c r="D709" s="136" t="s">
        <v>2400</v>
      </c>
      <c r="E709" t="s">
        <v>1091</v>
      </c>
      <c r="F709" s="650" t="s">
        <v>1186</v>
      </c>
      <c r="H709" s="140">
        <v>393</v>
      </c>
      <c r="I709" t="s">
        <v>402</v>
      </c>
      <c r="J709" s="136" t="s">
        <v>2400</v>
      </c>
      <c r="K709" t="s">
        <v>1091</v>
      </c>
      <c r="L709" s="650" t="s">
        <v>1186</v>
      </c>
    </row>
    <row r="710" spans="2:12">
      <c r="B710" s="140">
        <v>393</v>
      </c>
      <c r="C710" t="s">
        <v>552</v>
      </c>
      <c r="F710" s="650" t="s">
        <v>1186</v>
      </c>
      <c r="H710" s="140">
        <v>393</v>
      </c>
      <c r="I710" t="s">
        <v>552</v>
      </c>
      <c r="L710" s="650" t="s">
        <v>1186</v>
      </c>
    </row>
    <row r="711" spans="2:12">
      <c r="B711" s="140">
        <v>394</v>
      </c>
      <c r="C711" t="s">
        <v>403</v>
      </c>
      <c r="D711" s="136" t="s">
        <v>2402</v>
      </c>
      <c r="E711" t="s">
        <v>2403</v>
      </c>
      <c r="F711" s="650" t="s">
        <v>1186</v>
      </c>
      <c r="H711" s="140">
        <v>394</v>
      </c>
      <c r="I711" t="s">
        <v>403</v>
      </c>
      <c r="J711" s="136" t="s">
        <v>2402</v>
      </c>
      <c r="K711" t="s">
        <v>2403</v>
      </c>
      <c r="L711" s="650" t="s">
        <v>1186</v>
      </c>
    </row>
    <row r="712" spans="2:12">
      <c r="B712" s="140">
        <v>394</v>
      </c>
      <c r="C712" t="s">
        <v>552</v>
      </c>
      <c r="F712" s="650" t="s">
        <v>1186</v>
      </c>
      <c r="H712" s="140">
        <v>394</v>
      </c>
      <c r="I712" t="s">
        <v>552</v>
      </c>
      <c r="L712" s="650" t="s">
        <v>1186</v>
      </c>
    </row>
    <row r="713" spans="2:12">
      <c r="B713" s="140">
        <v>401</v>
      </c>
      <c r="C713" t="s">
        <v>404</v>
      </c>
      <c r="D713" s="136" t="s">
        <v>2405</v>
      </c>
      <c r="E713" t="s">
        <v>1093</v>
      </c>
      <c r="F713" s="650">
        <v>51</v>
      </c>
      <c r="H713" s="140">
        <v>401</v>
      </c>
      <c r="I713" t="s">
        <v>404</v>
      </c>
      <c r="J713" s="136" t="s">
        <v>2405</v>
      </c>
      <c r="K713" t="s">
        <v>1093</v>
      </c>
      <c r="L713" s="650">
        <v>51</v>
      </c>
    </row>
    <row r="714" spans="2:12">
      <c r="B714" s="140">
        <v>401</v>
      </c>
      <c r="C714" t="s">
        <v>404</v>
      </c>
      <c r="D714" s="136" t="s">
        <v>2406</v>
      </c>
      <c r="E714" t="s">
        <v>1094</v>
      </c>
      <c r="F714" s="650">
        <v>68</v>
      </c>
      <c r="H714" s="140">
        <v>401</v>
      </c>
      <c r="I714" t="s">
        <v>404</v>
      </c>
      <c r="J714" s="136" t="s">
        <v>2406</v>
      </c>
      <c r="K714" t="s">
        <v>1094</v>
      </c>
      <c r="L714" s="650">
        <v>68</v>
      </c>
    </row>
    <row r="715" spans="2:12">
      <c r="B715" s="140">
        <v>401</v>
      </c>
      <c r="C715" t="s">
        <v>404</v>
      </c>
      <c r="D715" s="136" t="s">
        <v>2407</v>
      </c>
      <c r="E715" t="s">
        <v>1095</v>
      </c>
      <c r="F715" s="650">
        <v>99</v>
      </c>
      <c r="H715" s="140">
        <v>401</v>
      </c>
      <c r="I715" t="s">
        <v>404</v>
      </c>
      <c r="J715" s="136" t="s">
        <v>2407</v>
      </c>
      <c r="K715" t="s">
        <v>1095</v>
      </c>
      <c r="L715" s="650">
        <v>99</v>
      </c>
    </row>
    <row r="716" spans="2:12">
      <c r="B716" s="140">
        <v>401</v>
      </c>
      <c r="C716" t="s">
        <v>404</v>
      </c>
      <c r="D716" s="136" t="s">
        <v>2408</v>
      </c>
      <c r="E716" t="s">
        <v>1097</v>
      </c>
      <c r="F716" s="650" t="s">
        <v>1186</v>
      </c>
      <c r="H716" s="140">
        <v>401</v>
      </c>
      <c r="I716" t="s">
        <v>404</v>
      </c>
      <c r="J716" s="136" t="s">
        <v>2408</v>
      </c>
      <c r="K716" t="s">
        <v>1097</v>
      </c>
      <c r="L716" s="650" t="s">
        <v>1186</v>
      </c>
    </row>
    <row r="717" spans="2:12">
      <c r="B717" s="140">
        <v>401</v>
      </c>
      <c r="C717" t="s">
        <v>404</v>
      </c>
      <c r="D717" s="136" t="s">
        <v>2409</v>
      </c>
      <c r="E717" t="s">
        <v>1098</v>
      </c>
      <c r="F717" s="650">
        <v>24</v>
      </c>
      <c r="H717" s="140">
        <v>401</v>
      </c>
      <c r="I717" t="s">
        <v>404</v>
      </c>
      <c r="J717" s="136" t="s">
        <v>2409</v>
      </c>
      <c r="K717" t="s">
        <v>1098</v>
      </c>
      <c r="L717" s="650">
        <v>24</v>
      </c>
    </row>
    <row r="718" spans="2:12">
      <c r="B718" s="140">
        <v>401</v>
      </c>
      <c r="C718" t="s">
        <v>404</v>
      </c>
      <c r="D718" s="136" t="s">
        <v>2410</v>
      </c>
      <c r="E718" t="s">
        <v>2411</v>
      </c>
      <c r="F718" s="650" t="s">
        <v>1186</v>
      </c>
      <c r="H718" s="140">
        <v>401</v>
      </c>
      <c r="I718" t="s">
        <v>404</v>
      </c>
      <c r="J718" s="136" t="s">
        <v>2410</v>
      </c>
      <c r="K718" t="s">
        <v>2411</v>
      </c>
      <c r="L718" s="650" t="s">
        <v>1186</v>
      </c>
    </row>
    <row r="719" spans="2:12">
      <c r="B719" s="140">
        <v>401</v>
      </c>
      <c r="C719" t="s">
        <v>404</v>
      </c>
      <c r="D719" s="136" t="s">
        <v>2412</v>
      </c>
      <c r="E719" t="s">
        <v>2413</v>
      </c>
      <c r="F719" s="650">
        <v>49</v>
      </c>
      <c r="H719" s="140">
        <v>401</v>
      </c>
      <c r="I719" t="s">
        <v>404</v>
      </c>
      <c r="J719" s="136" t="s">
        <v>2412</v>
      </c>
      <c r="K719" t="s">
        <v>2413</v>
      </c>
      <c r="L719" s="650">
        <v>49</v>
      </c>
    </row>
    <row r="720" spans="2:12">
      <c r="B720" s="140">
        <v>401</v>
      </c>
      <c r="C720" t="s">
        <v>552</v>
      </c>
      <c r="F720" s="650">
        <v>305</v>
      </c>
      <c r="H720" s="140">
        <v>401</v>
      </c>
      <c r="I720" t="s">
        <v>552</v>
      </c>
      <c r="L720" s="650">
        <v>305</v>
      </c>
    </row>
    <row r="721" spans="2:12">
      <c r="B721" s="140">
        <v>411</v>
      </c>
      <c r="C721" t="s">
        <v>405</v>
      </c>
      <c r="D721" s="136" t="s">
        <v>2415</v>
      </c>
      <c r="E721" t="s">
        <v>1100</v>
      </c>
      <c r="F721" s="650">
        <v>165</v>
      </c>
      <c r="H721" s="140">
        <v>411</v>
      </c>
      <c r="I721" t="s">
        <v>405</v>
      </c>
      <c r="J721" s="136" t="s">
        <v>2415</v>
      </c>
      <c r="K721" t="s">
        <v>1100</v>
      </c>
      <c r="L721" s="650">
        <v>165</v>
      </c>
    </row>
    <row r="722" spans="2:12">
      <c r="B722" s="140">
        <v>411</v>
      </c>
      <c r="C722" t="s">
        <v>405</v>
      </c>
      <c r="D722" s="136" t="s">
        <v>2416</v>
      </c>
      <c r="E722" t="s">
        <v>1101</v>
      </c>
      <c r="F722" s="650">
        <v>31</v>
      </c>
      <c r="H722" s="140">
        <v>411</v>
      </c>
      <c r="I722" t="s">
        <v>405</v>
      </c>
      <c r="J722" s="136" t="s">
        <v>2416</v>
      </c>
      <c r="K722" t="s">
        <v>1101</v>
      </c>
      <c r="L722" s="650">
        <v>31</v>
      </c>
    </row>
    <row r="723" spans="2:12">
      <c r="B723" s="140">
        <v>411</v>
      </c>
      <c r="C723" t="s">
        <v>405</v>
      </c>
      <c r="D723" s="136" t="s">
        <v>2417</v>
      </c>
      <c r="E723" t="s">
        <v>1102</v>
      </c>
      <c r="F723" s="650">
        <v>20</v>
      </c>
      <c r="H723" s="140">
        <v>411</v>
      </c>
      <c r="I723" t="s">
        <v>405</v>
      </c>
      <c r="J723" s="136" t="s">
        <v>2417</v>
      </c>
      <c r="K723" t="s">
        <v>1102</v>
      </c>
      <c r="L723" s="650">
        <v>20</v>
      </c>
    </row>
    <row r="724" spans="2:12">
      <c r="B724" s="140">
        <v>411</v>
      </c>
      <c r="C724" t="s">
        <v>405</v>
      </c>
      <c r="D724" s="136" t="s">
        <v>2418</v>
      </c>
      <c r="E724" t="s">
        <v>1103</v>
      </c>
      <c r="F724" s="650">
        <v>116</v>
      </c>
      <c r="H724" s="140">
        <v>411</v>
      </c>
      <c r="I724" t="s">
        <v>405</v>
      </c>
      <c r="J724" s="136" t="s">
        <v>2418</v>
      </c>
      <c r="K724" t="s">
        <v>1103</v>
      </c>
      <c r="L724" s="650">
        <v>116</v>
      </c>
    </row>
    <row r="725" spans="2:12">
      <c r="B725" s="140">
        <v>411</v>
      </c>
      <c r="C725" t="s">
        <v>405</v>
      </c>
      <c r="D725" s="136" t="s">
        <v>2419</v>
      </c>
      <c r="E725" t="s">
        <v>1104</v>
      </c>
      <c r="F725" s="650">
        <v>118</v>
      </c>
      <c r="H725" s="140">
        <v>411</v>
      </c>
      <c r="I725" t="s">
        <v>405</v>
      </c>
      <c r="J725" s="136" t="s">
        <v>2419</v>
      </c>
      <c r="K725" t="s">
        <v>1104</v>
      </c>
      <c r="L725" s="650">
        <v>118</v>
      </c>
    </row>
    <row r="726" spans="2:12">
      <c r="B726" s="140">
        <v>411</v>
      </c>
      <c r="C726" t="s">
        <v>405</v>
      </c>
      <c r="D726" s="136" t="s">
        <v>2420</v>
      </c>
      <c r="E726" t="s">
        <v>1105</v>
      </c>
      <c r="F726" s="650">
        <v>62</v>
      </c>
      <c r="H726" s="140">
        <v>411</v>
      </c>
      <c r="I726" t="s">
        <v>405</v>
      </c>
      <c r="J726" s="136" t="s">
        <v>2420</v>
      </c>
      <c r="K726" t="s">
        <v>1105</v>
      </c>
      <c r="L726" s="650">
        <v>62</v>
      </c>
    </row>
    <row r="727" spans="2:12">
      <c r="B727" s="140">
        <v>411</v>
      </c>
      <c r="C727" t="s">
        <v>405</v>
      </c>
      <c r="D727" s="136" t="s">
        <v>2421</v>
      </c>
      <c r="E727" t="s">
        <v>1106</v>
      </c>
      <c r="F727" s="650" t="s">
        <v>1186</v>
      </c>
      <c r="H727" s="140">
        <v>411</v>
      </c>
      <c r="I727" t="s">
        <v>405</v>
      </c>
      <c r="J727" s="136" t="s">
        <v>2421</v>
      </c>
      <c r="K727" t="s">
        <v>1106</v>
      </c>
      <c r="L727" s="650" t="s">
        <v>1186</v>
      </c>
    </row>
    <row r="728" spans="2:12">
      <c r="B728" s="140">
        <v>411</v>
      </c>
      <c r="C728" t="s">
        <v>405</v>
      </c>
      <c r="D728" s="136" t="s">
        <v>2422</v>
      </c>
      <c r="E728" t="s">
        <v>989</v>
      </c>
      <c r="F728" s="650">
        <v>54</v>
      </c>
      <c r="H728" s="140">
        <v>411</v>
      </c>
      <c r="I728" t="s">
        <v>405</v>
      </c>
      <c r="J728" s="136" t="s">
        <v>2422</v>
      </c>
      <c r="K728" t="s">
        <v>989</v>
      </c>
      <c r="L728" s="650">
        <v>54</v>
      </c>
    </row>
    <row r="729" spans="2:12">
      <c r="B729" s="140">
        <v>411</v>
      </c>
      <c r="C729" t="s">
        <v>405</v>
      </c>
      <c r="D729" s="136" t="s">
        <v>2423</v>
      </c>
      <c r="E729" t="s">
        <v>1107</v>
      </c>
      <c r="F729" s="650">
        <v>52</v>
      </c>
      <c r="H729" s="140">
        <v>411</v>
      </c>
      <c r="I729" t="s">
        <v>405</v>
      </c>
      <c r="J729" s="136" t="s">
        <v>2423</v>
      </c>
      <c r="K729" t="s">
        <v>1107</v>
      </c>
      <c r="L729" s="650">
        <v>52</v>
      </c>
    </row>
    <row r="730" spans="2:12">
      <c r="B730" s="140">
        <v>411</v>
      </c>
      <c r="C730" t="s">
        <v>405</v>
      </c>
      <c r="D730" s="136" t="s">
        <v>2424</v>
      </c>
      <c r="E730" t="s">
        <v>806</v>
      </c>
      <c r="F730" s="650">
        <v>93</v>
      </c>
      <c r="H730" s="140">
        <v>411</v>
      </c>
      <c r="I730" t="s">
        <v>405</v>
      </c>
      <c r="J730" s="136" t="s">
        <v>2424</v>
      </c>
      <c r="K730" t="s">
        <v>806</v>
      </c>
      <c r="L730" s="650">
        <v>93</v>
      </c>
    </row>
    <row r="731" spans="2:12">
      <c r="B731" s="140">
        <v>411</v>
      </c>
      <c r="C731" t="s">
        <v>405</v>
      </c>
      <c r="D731" s="136" t="s">
        <v>2425</v>
      </c>
      <c r="E731" t="s">
        <v>2426</v>
      </c>
      <c r="F731" s="650" t="s">
        <v>1186</v>
      </c>
      <c r="H731" s="140">
        <v>411</v>
      </c>
      <c r="I731" t="s">
        <v>405</v>
      </c>
      <c r="J731" s="136" t="s">
        <v>2425</v>
      </c>
      <c r="K731" t="s">
        <v>2426</v>
      </c>
      <c r="L731" s="650" t="s">
        <v>1186</v>
      </c>
    </row>
    <row r="732" spans="2:12">
      <c r="B732" s="140">
        <v>411</v>
      </c>
      <c r="C732" t="s">
        <v>405</v>
      </c>
      <c r="D732" s="136" t="s">
        <v>2427</v>
      </c>
      <c r="E732" t="s">
        <v>2428</v>
      </c>
      <c r="F732" s="650">
        <v>21</v>
      </c>
      <c r="H732" s="140">
        <v>411</v>
      </c>
      <c r="I732" t="s">
        <v>405</v>
      </c>
      <c r="J732" s="136" t="s">
        <v>2427</v>
      </c>
      <c r="K732" t="s">
        <v>2428</v>
      </c>
      <c r="L732" s="650">
        <v>21</v>
      </c>
    </row>
    <row r="733" spans="2:12">
      <c r="B733" s="140">
        <v>411</v>
      </c>
      <c r="C733" t="s">
        <v>405</v>
      </c>
      <c r="D733" s="136" t="s">
        <v>2429</v>
      </c>
      <c r="E733" t="s">
        <v>2430</v>
      </c>
      <c r="F733" s="650">
        <v>130</v>
      </c>
      <c r="H733" s="140">
        <v>411</v>
      </c>
      <c r="I733" t="s">
        <v>405</v>
      </c>
      <c r="J733" s="136" t="s">
        <v>2429</v>
      </c>
      <c r="K733" t="s">
        <v>2430</v>
      </c>
      <c r="L733" s="650">
        <v>130</v>
      </c>
    </row>
    <row r="734" spans="2:12">
      <c r="B734" s="140">
        <v>411</v>
      </c>
      <c r="C734" t="s">
        <v>552</v>
      </c>
      <c r="F734" s="650">
        <v>872</v>
      </c>
      <c r="H734" s="140">
        <v>411</v>
      </c>
      <c r="I734" t="s">
        <v>552</v>
      </c>
      <c r="L734" s="650">
        <v>872</v>
      </c>
    </row>
    <row r="735" spans="2:12">
      <c r="B735" s="140">
        <v>412</v>
      </c>
      <c r="C735" t="s">
        <v>406</v>
      </c>
      <c r="D735" s="136" t="s">
        <v>2432</v>
      </c>
      <c r="E735" t="s">
        <v>1111</v>
      </c>
      <c r="F735" s="650">
        <v>54</v>
      </c>
      <c r="H735" s="140">
        <v>412</v>
      </c>
      <c r="I735" t="s">
        <v>406</v>
      </c>
      <c r="J735" s="136" t="s">
        <v>2432</v>
      </c>
      <c r="K735" t="s">
        <v>1111</v>
      </c>
      <c r="L735" s="650">
        <v>54</v>
      </c>
    </row>
    <row r="736" spans="2:12">
      <c r="B736" s="140">
        <v>412</v>
      </c>
      <c r="C736" t="s">
        <v>406</v>
      </c>
      <c r="D736" s="136" t="s">
        <v>2433</v>
      </c>
      <c r="E736" t="s">
        <v>1112</v>
      </c>
      <c r="F736" s="650">
        <v>85</v>
      </c>
      <c r="H736" s="140">
        <v>412</v>
      </c>
      <c r="I736" t="s">
        <v>406</v>
      </c>
      <c r="J736" s="136" t="s">
        <v>2433</v>
      </c>
      <c r="K736" t="s">
        <v>1112</v>
      </c>
      <c r="L736" s="650">
        <v>85</v>
      </c>
    </row>
    <row r="737" spans="2:12">
      <c r="B737" s="140">
        <v>412</v>
      </c>
      <c r="C737" t="s">
        <v>406</v>
      </c>
      <c r="D737" s="136" t="s">
        <v>2434</v>
      </c>
      <c r="E737" t="s">
        <v>1113</v>
      </c>
      <c r="F737" s="650">
        <v>122</v>
      </c>
      <c r="H737" s="140">
        <v>412</v>
      </c>
      <c r="I737" t="s">
        <v>406</v>
      </c>
      <c r="J737" s="136" t="s">
        <v>2434</v>
      </c>
      <c r="K737" t="s">
        <v>1113</v>
      </c>
      <c r="L737" s="650">
        <v>122</v>
      </c>
    </row>
    <row r="738" spans="2:12">
      <c r="B738" s="140">
        <v>412</v>
      </c>
      <c r="C738" t="s">
        <v>552</v>
      </c>
      <c r="F738" s="650">
        <v>261</v>
      </c>
      <c r="H738" s="140">
        <v>412</v>
      </c>
      <c r="I738" t="s">
        <v>552</v>
      </c>
      <c r="L738" s="650">
        <v>261</v>
      </c>
    </row>
    <row r="739" spans="2:12">
      <c r="B739" s="140">
        <v>413</v>
      </c>
      <c r="C739" t="s">
        <v>407</v>
      </c>
      <c r="D739" s="136" t="s">
        <v>2436</v>
      </c>
      <c r="E739" t="s">
        <v>1114</v>
      </c>
      <c r="F739" s="650">
        <v>11</v>
      </c>
      <c r="H739" s="140">
        <v>413</v>
      </c>
      <c r="I739" t="s">
        <v>407</v>
      </c>
      <c r="J739" s="136" t="s">
        <v>2436</v>
      </c>
      <c r="K739" t="s">
        <v>1114</v>
      </c>
      <c r="L739" s="650">
        <v>11</v>
      </c>
    </row>
    <row r="740" spans="2:12">
      <c r="B740" s="140">
        <v>413</v>
      </c>
      <c r="C740" t="s">
        <v>407</v>
      </c>
      <c r="D740" s="136" t="s">
        <v>2437</v>
      </c>
      <c r="E740" t="s">
        <v>1115</v>
      </c>
      <c r="F740" s="650" t="s">
        <v>1186</v>
      </c>
      <c r="H740" s="140">
        <v>413</v>
      </c>
      <c r="I740" t="s">
        <v>407</v>
      </c>
      <c r="J740" s="136" t="s">
        <v>2437</v>
      </c>
      <c r="K740" t="s">
        <v>1115</v>
      </c>
      <c r="L740" s="650" t="s">
        <v>1186</v>
      </c>
    </row>
    <row r="741" spans="2:12">
      <c r="B741" s="140">
        <v>413</v>
      </c>
      <c r="C741" t="s">
        <v>407</v>
      </c>
      <c r="D741" s="136" t="s">
        <v>2438</v>
      </c>
      <c r="E741" t="s">
        <v>1116</v>
      </c>
      <c r="F741" s="650">
        <v>23</v>
      </c>
      <c r="H741" s="140">
        <v>413</v>
      </c>
      <c r="I741" t="s">
        <v>407</v>
      </c>
      <c r="J741" s="136" t="s">
        <v>2438</v>
      </c>
      <c r="K741" t="s">
        <v>1116</v>
      </c>
      <c r="L741" s="650">
        <v>23</v>
      </c>
    </row>
    <row r="742" spans="2:12">
      <c r="B742" s="140">
        <v>413</v>
      </c>
      <c r="C742" t="s">
        <v>407</v>
      </c>
      <c r="D742" s="136" t="s">
        <v>2439</v>
      </c>
      <c r="E742" t="s">
        <v>1117</v>
      </c>
      <c r="F742" s="650" t="s">
        <v>1186</v>
      </c>
      <c r="H742" s="140">
        <v>413</v>
      </c>
      <c r="I742" t="s">
        <v>407</v>
      </c>
      <c r="J742" s="136" t="s">
        <v>2439</v>
      </c>
      <c r="K742" t="s">
        <v>1117</v>
      </c>
      <c r="L742" s="650" t="s">
        <v>1186</v>
      </c>
    </row>
    <row r="743" spans="2:12">
      <c r="B743" s="140">
        <v>413</v>
      </c>
      <c r="C743" t="s">
        <v>407</v>
      </c>
      <c r="D743" s="136" t="s">
        <v>2440</v>
      </c>
      <c r="E743" t="s">
        <v>2441</v>
      </c>
      <c r="F743" s="650">
        <v>20</v>
      </c>
      <c r="H743" s="140">
        <v>413</v>
      </c>
      <c r="I743" t="s">
        <v>407</v>
      </c>
      <c r="J743" s="136" t="s">
        <v>2440</v>
      </c>
      <c r="K743" t="s">
        <v>2441</v>
      </c>
      <c r="L743" s="650">
        <v>20</v>
      </c>
    </row>
    <row r="744" spans="2:12">
      <c r="B744" s="140">
        <v>413</v>
      </c>
      <c r="C744" t="s">
        <v>552</v>
      </c>
      <c r="F744" s="650">
        <v>73</v>
      </c>
      <c r="H744" s="140">
        <v>413</v>
      </c>
      <c r="I744" t="s">
        <v>552</v>
      </c>
      <c r="L744" s="650">
        <v>73</v>
      </c>
    </row>
    <row r="745" spans="2:12">
      <c r="B745" s="140">
        <v>414</v>
      </c>
      <c r="C745" t="s">
        <v>408</v>
      </c>
      <c r="D745" s="136" t="s">
        <v>2443</v>
      </c>
      <c r="E745" t="s">
        <v>1119</v>
      </c>
      <c r="F745" s="650">
        <v>28</v>
      </c>
      <c r="H745" s="140">
        <v>414</v>
      </c>
      <c r="I745" t="s">
        <v>408</v>
      </c>
      <c r="J745" s="136" t="s">
        <v>2443</v>
      </c>
      <c r="K745" t="s">
        <v>1119</v>
      </c>
      <c r="L745" s="650">
        <v>28</v>
      </c>
    </row>
    <row r="746" spans="2:12">
      <c r="B746" s="140">
        <v>414</v>
      </c>
      <c r="C746" t="s">
        <v>408</v>
      </c>
      <c r="D746" s="136" t="s">
        <v>2444</v>
      </c>
      <c r="E746" t="s">
        <v>1120</v>
      </c>
      <c r="F746" s="650">
        <v>27</v>
      </c>
      <c r="H746" s="140">
        <v>414</v>
      </c>
      <c r="I746" t="s">
        <v>408</v>
      </c>
      <c r="J746" s="136" t="s">
        <v>2444</v>
      </c>
      <c r="K746" t="s">
        <v>1120</v>
      </c>
      <c r="L746" s="650">
        <v>27</v>
      </c>
    </row>
    <row r="747" spans="2:12">
      <c r="B747" s="140">
        <v>414</v>
      </c>
      <c r="C747" t="s">
        <v>408</v>
      </c>
      <c r="D747" s="136" t="s">
        <v>2445</v>
      </c>
      <c r="E747" t="s">
        <v>1121</v>
      </c>
      <c r="F747" s="650">
        <v>53</v>
      </c>
      <c r="H747" s="140">
        <v>414</v>
      </c>
      <c r="I747" t="s">
        <v>408</v>
      </c>
      <c r="J747" s="136" t="s">
        <v>2445</v>
      </c>
      <c r="K747" t="s">
        <v>1121</v>
      </c>
      <c r="L747" s="650">
        <v>53</v>
      </c>
    </row>
    <row r="748" spans="2:12">
      <c r="B748" s="140">
        <v>414</v>
      </c>
      <c r="C748" t="s">
        <v>552</v>
      </c>
      <c r="F748" s="650">
        <v>108</v>
      </c>
      <c r="H748" s="140">
        <v>414</v>
      </c>
      <c r="I748" t="s">
        <v>552</v>
      </c>
      <c r="L748" s="650">
        <v>108</v>
      </c>
    </row>
    <row r="749" spans="2:12">
      <c r="B749" s="140">
        <v>415</v>
      </c>
      <c r="C749" t="s">
        <v>409</v>
      </c>
      <c r="D749" s="136" t="s">
        <v>2447</v>
      </c>
      <c r="E749" t="s">
        <v>1122</v>
      </c>
      <c r="F749" s="650">
        <v>20</v>
      </c>
      <c r="H749" s="140">
        <v>415</v>
      </c>
      <c r="I749" t="s">
        <v>409</v>
      </c>
      <c r="J749" s="136" t="s">
        <v>2447</v>
      </c>
      <c r="K749" t="s">
        <v>1122</v>
      </c>
      <c r="L749" s="650">
        <v>20</v>
      </c>
    </row>
    <row r="750" spans="2:12">
      <c r="B750" s="140">
        <v>415</v>
      </c>
      <c r="C750" t="s">
        <v>409</v>
      </c>
      <c r="D750" s="136" t="s">
        <v>2448</v>
      </c>
      <c r="E750" t="s">
        <v>1123</v>
      </c>
      <c r="F750" s="650">
        <v>34</v>
      </c>
      <c r="H750" s="140">
        <v>415</v>
      </c>
      <c r="I750" t="s">
        <v>409</v>
      </c>
      <c r="J750" s="136" t="s">
        <v>2448</v>
      </c>
      <c r="K750" t="s">
        <v>1123</v>
      </c>
      <c r="L750" s="650">
        <v>34</v>
      </c>
    </row>
    <row r="751" spans="2:12">
      <c r="B751" s="140">
        <v>415</v>
      </c>
      <c r="C751" t="s">
        <v>552</v>
      </c>
      <c r="F751" s="650">
        <v>54</v>
      </c>
      <c r="H751" s="140">
        <v>415</v>
      </c>
      <c r="I751" t="s">
        <v>552</v>
      </c>
      <c r="L751" s="650">
        <v>54</v>
      </c>
    </row>
    <row r="752" spans="2:12">
      <c r="B752" s="140">
        <v>416</v>
      </c>
      <c r="C752" t="s">
        <v>410</v>
      </c>
      <c r="D752" s="136" t="s">
        <v>2450</v>
      </c>
      <c r="E752" t="s">
        <v>2451</v>
      </c>
      <c r="F752" s="650" t="s">
        <v>1186</v>
      </c>
      <c r="H752" s="140">
        <v>416</v>
      </c>
      <c r="I752" t="s">
        <v>410</v>
      </c>
      <c r="J752" s="136" t="s">
        <v>2450</v>
      </c>
      <c r="K752" t="s">
        <v>2451</v>
      </c>
      <c r="L752" s="650" t="s">
        <v>1186</v>
      </c>
    </row>
    <row r="753" spans="2:12">
      <c r="B753" s="140">
        <v>416</v>
      </c>
      <c r="C753" t="s">
        <v>552</v>
      </c>
      <c r="F753" s="650" t="s">
        <v>1186</v>
      </c>
      <c r="H753" s="140">
        <v>416</v>
      </c>
      <c r="I753" t="s">
        <v>552</v>
      </c>
      <c r="L753" s="650" t="s">
        <v>1186</v>
      </c>
    </row>
    <row r="754" spans="2:12">
      <c r="B754" s="140">
        <v>417</v>
      </c>
      <c r="C754" t="s">
        <v>411</v>
      </c>
      <c r="D754" s="136" t="s">
        <v>2453</v>
      </c>
      <c r="E754" t="s">
        <v>1124</v>
      </c>
      <c r="F754" s="650">
        <v>39</v>
      </c>
      <c r="H754" s="140">
        <v>417</v>
      </c>
      <c r="I754" t="s">
        <v>411</v>
      </c>
      <c r="J754" s="136" t="s">
        <v>2453</v>
      </c>
      <c r="K754" t="s">
        <v>1124</v>
      </c>
      <c r="L754" s="650">
        <v>39</v>
      </c>
    </row>
    <row r="755" spans="2:12">
      <c r="B755" s="140">
        <v>417</v>
      </c>
      <c r="C755" t="s">
        <v>552</v>
      </c>
      <c r="F755" s="650">
        <v>39</v>
      </c>
      <c r="H755" s="140">
        <v>417</v>
      </c>
      <c r="I755" t="s">
        <v>552</v>
      </c>
      <c r="L755" s="650">
        <v>39</v>
      </c>
    </row>
    <row r="756" spans="2:12">
      <c r="B756" s="140">
        <v>418</v>
      </c>
      <c r="C756" t="s">
        <v>412</v>
      </c>
      <c r="D756" s="136" t="s">
        <v>2455</v>
      </c>
      <c r="E756" t="s">
        <v>2456</v>
      </c>
      <c r="F756" s="650">
        <v>59</v>
      </c>
      <c r="H756" s="140">
        <v>418</v>
      </c>
      <c r="I756" t="s">
        <v>412</v>
      </c>
      <c r="J756" s="136" t="s">
        <v>2455</v>
      </c>
      <c r="K756" t="s">
        <v>2456</v>
      </c>
      <c r="L756" s="650">
        <v>59</v>
      </c>
    </row>
    <row r="757" spans="2:12">
      <c r="B757" s="140">
        <v>418</v>
      </c>
      <c r="C757" t="s">
        <v>552</v>
      </c>
      <c r="F757" s="650">
        <v>59</v>
      </c>
      <c r="H757" s="140">
        <v>418</v>
      </c>
      <c r="I757" t="s">
        <v>552</v>
      </c>
      <c r="L757" s="650">
        <v>59</v>
      </c>
    </row>
    <row r="758" spans="2:12">
      <c r="B758" s="140">
        <v>421</v>
      </c>
      <c r="C758" t="s">
        <v>1127</v>
      </c>
      <c r="D758" s="136" t="s">
        <v>2458</v>
      </c>
      <c r="E758" t="s">
        <v>2459</v>
      </c>
      <c r="F758" s="650">
        <v>19</v>
      </c>
      <c r="H758" s="140">
        <v>421</v>
      </c>
      <c r="I758" t="s">
        <v>1127</v>
      </c>
      <c r="J758" s="136" t="s">
        <v>2458</v>
      </c>
      <c r="K758" t="s">
        <v>2459</v>
      </c>
      <c r="L758" s="650">
        <v>19</v>
      </c>
    </row>
    <row r="759" spans="2:12">
      <c r="B759" s="140">
        <v>421</v>
      </c>
      <c r="C759" t="s">
        <v>1127</v>
      </c>
      <c r="D759" s="136" t="s">
        <v>2460</v>
      </c>
      <c r="E759" t="s">
        <v>1129</v>
      </c>
      <c r="F759" s="650" t="s">
        <v>1186</v>
      </c>
      <c r="H759" s="140">
        <v>421</v>
      </c>
      <c r="I759" t="s">
        <v>1127</v>
      </c>
      <c r="J759" s="136" t="s">
        <v>2460</v>
      </c>
      <c r="K759" t="s">
        <v>1129</v>
      </c>
      <c r="L759" s="650" t="s">
        <v>1186</v>
      </c>
    </row>
    <row r="760" spans="2:12">
      <c r="B760" s="140">
        <v>421</v>
      </c>
      <c r="C760" t="s">
        <v>1127</v>
      </c>
      <c r="D760" s="136" t="s">
        <v>2461</v>
      </c>
      <c r="E760" t="s">
        <v>1130</v>
      </c>
      <c r="F760" s="650">
        <v>20</v>
      </c>
      <c r="H760" s="140">
        <v>421</v>
      </c>
      <c r="I760" t="s">
        <v>1127</v>
      </c>
      <c r="J760" s="136" t="s">
        <v>2461</v>
      </c>
      <c r="K760" t="s">
        <v>1130</v>
      </c>
      <c r="L760" s="650">
        <v>20</v>
      </c>
    </row>
    <row r="761" spans="2:12">
      <c r="B761" s="140">
        <v>421</v>
      </c>
      <c r="C761" t="s">
        <v>1127</v>
      </c>
      <c r="D761" s="136" t="s">
        <v>2462</v>
      </c>
      <c r="E761" t="s">
        <v>1131</v>
      </c>
      <c r="F761" s="650" t="s">
        <v>1186</v>
      </c>
      <c r="H761" s="140">
        <v>421</v>
      </c>
      <c r="I761" t="s">
        <v>1127</v>
      </c>
      <c r="J761" s="136" t="s">
        <v>2462</v>
      </c>
      <c r="K761" t="s">
        <v>1131</v>
      </c>
      <c r="L761" s="650" t="s">
        <v>1186</v>
      </c>
    </row>
    <row r="762" spans="2:12">
      <c r="B762" s="140">
        <v>421</v>
      </c>
      <c r="C762" t="s">
        <v>1127</v>
      </c>
      <c r="D762" s="136" t="s">
        <v>2463</v>
      </c>
      <c r="E762" t="s">
        <v>2464</v>
      </c>
      <c r="F762" s="650" t="s">
        <v>1186</v>
      </c>
      <c r="H762" s="140">
        <v>421</v>
      </c>
      <c r="I762" t="s">
        <v>1127</v>
      </c>
      <c r="J762" s="136" t="s">
        <v>2463</v>
      </c>
      <c r="K762" t="s">
        <v>2464</v>
      </c>
      <c r="L762" s="650" t="s">
        <v>1186</v>
      </c>
    </row>
    <row r="763" spans="2:12">
      <c r="B763" s="140">
        <v>421</v>
      </c>
      <c r="C763" t="s">
        <v>552</v>
      </c>
      <c r="F763" s="650">
        <v>45</v>
      </c>
      <c r="H763" s="140">
        <v>421</v>
      </c>
      <c r="I763" t="s">
        <v>552</v>
      </c>
      <c r="L763" s="650">
        <v>45</v>
      </c>
    </row>
    <row r="764" spans="2:12">
      <c r="B764" s="140">
        <v>422</v>
      </c>
      <c r="C764" t="s">
        <v>414</v>
      </c>
      <c r="D764" s="136" t="s">
        <v>2466</v>
      </c>
      <c r="E764" t="s">
        <v>1132</v>
      </c>
      <c r="F764" s="650" t="s">
        <v>1186</v>
      </c>
      <c r="H764" s="140">
        <v>422</v>
      </c>
      <c r="I764" t="s">
        <v>414</v>
      </c>
      <c r="J764" s="136" t="s">
        <v>2466</v>
      </c>
      <c r="K764" t="s">
        <v>1132</v>
      </c>
      <c r="L764" s="650" t="s">
        <v>1186</v>
      </c>
    </row>
    <row r="765" spans="2:12">
      <c r="B765" s="140">
        <v>422</v>
      </c>
      <c r="C765" t="s">
        <v>414</v>
      </c>
      <c r="D765" s="136" t="s">
        <v>2467</v>
      </c>
      <c r="E765" t="s">
        <v>1133</v>
      </c>
      <c r="F765" s="650" t="s">
        <v>1186</v>
      </c>
      <c r="H765" s="140">
        <v>422</v>
      </c>
      <c r="I765" t="s">
        <v>414</v>
      </c>
      <c r="J765" s="136" t="s">
        <v>2467</v>
      </c>
      <c r="K765" t="s">
        <v>1133</v>
      </c>
      <c r="L765" s="650" t="s">
        <v>1186</v>
      </c>
    </row>
    <row r="766" spans="2:12">
      <c r="B766" s="140">
        <v>422</v>
      </c>
      <c r="C766" t="s">
        <v>552</v>
      </c>
      <c r="F766" s="650" t="s">
        <v>1186</v>
      </c>
      <c r="H766" s="140">
        <v>422</v>
      </c>
      <c r="I766" t="s">
        <v>552</v>
      </c>
      <c r="L766" s="650" t="s">
        <v>1186</v>
      </c>
    </row>
    <row r="767" spans="2:12">
      <c r="B767" s="140">
        <v>431</v>
      </c>
      <c r="C767" t="s">
        <v>415</v>
      </c>
      <c r="D767" s="136" t="s">
        <v>2469</v>
      </c>
      <c r="E767" t="s">
        <v>1134</v>
      </c>
      <c r="F767" s="650">
        <v>70</v>
      </c>
      <c r="H767" s="140">
        <v>431</v>
      </c>
      <c r="I767" t="s">
        <v>415</v>
      </c>
      <c r="J767" s="136" t="s">
        <v>2469</v>
      </c>
      <c r="K767" t="s">
        <v>1134</v>
      </c>
      <c r="L767" s="650">
        <v>70</v>
      </c>
    </row>
    <row r="768" spans="2:12">
      <c r="B768" s="140">
        <v>431</v>
      </c>
      <c r="C768" t="s">
        <v>415</v>
      </c>
      <c r="D768" s="136" t="s">
        <v>2470</v>
      </c>
      <c r="E768" t="s">
        <v>1135</v>
      </c>
      <c r="F768" s="650">
        <v>84</v>
      </c>
      <c r="H768" s="140">
        <v>431</v>
      </c>
      <c r="I768" t="s">
        <v>415</v>
      </c>
      <c r="J768" s="136" t="s">
        <v>2470</v>
      </c>
      <c r="K768" t="s">
        <v>1135</v>
      </c>
      <c r="L768" s="650">
        <v>84</v>
      </c>
    </row>
    <row r="769" spans="2:12">
      <c r="B769" s="140">
        <v>431</v>
      </c>
      <c r="C769" t="s">
        <v>415</v>
      </c>
      <c r="D769" s="136" t="s">
        <v>2471</v>
      </c>
      <c r="E769" t="s">
        <v>1136</v>
      </c>
      <c r="F769" s="650">
        <v>78</v>
      </c>
      <c r="H769" s="140">
        <v>431</v>
      </c>
      <c r="I769" t="s">
        <v>415</v>
      </c>
      <c r="J769" s="136" t="s">
        <v>2471</v>
      </c>
      <c r="K769" t="s">
        <v>1136</v>
      </c>
      <c r="L769" s="650">
        <v>78</v>
      </c>
    </row>
    <row r="770" spans="2:12">
      <c r="B770" s="140">
        <v>431</v>
      </c>
      <c r="C770" t="s">
        <v>415</v>
      </c>
      <c r="D770" s="136" t="s">
        <v>2472</v>
      </c>
      <c r="E770" t="s">
        <v>1137</v>
      </c>
      <c r="F770" s="650" t="s">
        <v>1186</v>
      </c>
      <c r="H770" s="140">
        <v>431</v>
      </c>
      <c r="I770" t="s">
        <v>415</v>
      </c>
      <c r="J770" s="136" t="s">
        <v>2472</v>
      </c>
      <c r="K770" t="s">
        <v>1137</v>
      </c>
      <c r="L770" s="650" t="s">
        <v>1186</v>
      </c>
    </row>
    <row r="771" spans="2:12">
      <c r="B771" s="140">
        <v>431</v>
      </c>
      <c r="C771" t="s">
        <v>415</v>
      </c>
      <c r="D771" s="136" t="s">
        <v>2473</v>
      </c>
      <c r="E771" t="s">
        <v>2474</v>
      </c>
      <c r="F771" s="650" t="s">
        <v>1186</v>
      </c>
      <c r="H771" s="140">
        <v>431</v>
      </c>
      <c r="I771" t="s">
        <v>415</v>
      </c>
      <c r="J771" s="136" t="s">
        <v>2473</v>
      </c>
      <c r="K771" t="s">
        <v>2474</v>
      </c>
      <c r="L771" s="650" t="s">
        <v>1186</v>
      </c>
    </row>
    <row r="772" spans="2:12">
      <c r="B772" s="140">
        <v>431</v>
      </c>
      <c r="C772" t="s">
        <v>552</v>
      </c>
      <c r="F772" s="650">
        <v>271</v>
      </c>
      <c r="H772" s="140">
        <v>431</v>
      </c>
      <c r="I772" t="s">
        <v>552</v>
      </c>
      <c r="L772" s="650">
        <v>271</v>
      </c>
    </row>
    <row r="773" spans="2:12">
      <c r="B773" s="140">
        <v>432</v>
      </c>
      <c r="C773" t="s">
        <v>416</v>
      </c>
      <c r="D773" s="136" t="s">
        <v>2476</v>
      </c>
      <c r="E773" t="s">
        <v>1138</v>
      </c>
      <c r="F773" s="650" t="s">
        <v>1186</v>
      </c>
      <c r="H773" s="140">
        <v>432</v>
      </c>
      <c r="I773" t="s">
        <v>416</v>
      </c>
      <c r="J773" s="136" t="s">
        <v>2476</v>
      </c>
      <c r="K773" t="s">
        <v>1138</v>
      </c>
      <c r="L773" s="650" t="s">
        <v>1186</v>
      </c>
    </row>
    <row r="774" spans="2:12">
      <c r="B774" s="140">
        <v>432</v>
      </c>
      <c r="C774" t="s">
        <v>416</v>
      </c>
      <c r="D774" s="136" t="s">
        <v>2477</v>
      </c>
      <c r="E774" t="s">
        <v>1139</v>
      </c>
      <c r="F774" s="650" t="s">
        <v>1186</v>
      </c>
      <c r="H774" s="140">
        <v>432</v>
      </c>
      <c r="I774" t="s">
        <v>416</v>
      </c>
      <c r="J774" s="136" t="s">
        <v>2477</v>
      </c>
      <c r="K774" t="s">
        <v>1139</v>
      </c>
      <c r="L774" s="650" t="s">
        <v>1186</v>
      </c>
    </row>
    <row r="775" spans="2:12">
      <c r="B775" s="140">
        <v>432</v>
      </c>
      <c r="C775" t="s">
        <v>552</v>
      </c>
      <c r="F775" s="650" t="s">
        <v>1186</v>
      </c>
      <c r="H775" s="140">
        <v>432</v>
      </c>
      <c r="I775" t="s">
        <v>552</v>
      </c>
      <c r="L775" s="650" t="s">
        <v>1186</v>
      </c>
    </row>
    <row r="776" spans="2:12">
      <c r="B776" s="140">
        <v>433</v>
      </c>
      <c r="C776" t="s">
        <v>417</v>
      </c>
      <c r="D776" s="136" t="s">
        <v>2479</v>
      </c>
      <c r="E776" t="s">
        <v>1140</v>
      </c>
      <c r="F776" s="650" t="s">
        <v>1186</v>
      </c>
      <c r="H776" s="140">
        <v>433</v>
      </c>
      <c r="I776" t="s">
        <v>417</v>
      </c>
      <c r="J776" s="136" t="s">
        <v>2479</v>
      </c>
      <c r="K776" t="s">
        <v>1140</v>
      </c>
      <c r="L776" s="650" t="s">
        <v>1186</v>
      </c>
    </row>
    <row r="777" spans="2:12">
      <c r="B777" s="140">
        <v>433</v>
      </c>
      <c r="C777" t="s">
        <v>417</v>
      </c>
      <c r="D777" s="136" t="s">
        <v>2480</v>
      </c>
      <c r="E777" t="s">
        <v>2481</v>
      </c>
      <c r="F777" s="650" t="s">
        <v>1186</v>
      </c>
      <c r="H777" s="140">
        <v>433</v>
      </c>
      <c r="I777" t="s">
        <v>417</v>
      </c>
      <c r="J777" s="136" t="s">
        <v>2480</v>
      </c>
      <c r="K777" t="s">
        <v>2481</v>
      </c>
      <c r="L777" s="650" t="s">
        <v>1186</v>
      </c>
    </row>
    <row r="778" spans="2:12">
      <c r="B778" s="140">
        <v>433</v>
      </c>
      <c r="C778" t="s">
        <v>552</v>
      </c>
      <c r="F778" s="650" t="s">
        <v>1186</v>
      </c>
      <c r="H778" s="140">
        <v>433</v>
      </c>
      <c r="I778" t="s">
        <v>552</v>
      </c>
      <c r="L778" s="650" t="s">
        <v>1186</v>
      </c>
    </row>
    <row r="779" spans="2:12">
      <c r="B779" s="140">
        <v>451</v>
      </c>
      <c r="C779" t="s">
        <v>1535</v>
      </c>
      <c r="D779" s="136" t="s">
        <v>2483</v>
      </c>
      <c r="E779" t="s">
        <v>418</v>
      </c>
      <c r="F779" s="650" t="s">
        <v>1186</v>
      </c>
      <c r="H779" s="140">
        <v>451</v>
      </c>
      <c r="I779" t="s">
        <v>1535</v>
      </c>
      <c r="J779" s="136" t="s">
        <v>2483</v>
      </c>
      <c r="K779" t="s">
        <v>418</v>
      </c>
      <c r="L779" s="650" t="s">
        <v>1186</v>
      </c>
    </row>
    <row r="780" spans="2:12">
      <c r="B780" s="140">
        <v>452</v>
      </c>
      <c r="C780" t="s">
        <v>1536</v>
      </c>
      <c r="D780" s="136" t="s">
        <v>2485</v>
      </c>
      <c r="E780" t="s">
        <v>419</v>
      </c>
      <c r="F780" s="650" t="s">
        <v>1186</v>
      </c>
      <c r="H780" s="140">
        <v>452</v>
      </c>
      <c r="I780" t="s">
        <v>1536</v>
      </c>
      <c r="J780" s="136" t="s">
        <v>2485</v>
      </c>
      <c r="K780" t="s">
        <v>419</v>
      </c>
      <c r="L780" s="650" t="s">
        <v>1186</v>
      </c>
    </row>
    <row r="781" spans="2:12">
      <c r="B781" s="140">
        <v>452</v>
      </c>
      <c r="C781" t="s">
        <v>1536</v>
      </c>
      <c r="D781" s="136" t="s">
        <v>2486</v>
      </c>
      <c r="E781" t="s">
        <v>2487</v>
      </c>
      <c r="F781" s="650" t="s">
        <v>1186</v>
      </c>
      <c r="H781" s="140">
        <v>452</v>
      </c>
      <c r="I781" t="s">
        <v>1536</v>
      </c>
      <c r="J781" s="136" t="s">
        <v>2486</v>
      </c>
      <c r="K781" t="s">
        <v>2487</v>
      </c>
      <c r="L781" s="650" t="s">
        <v>1186</v>
      </c>
    </row>
    <row r="782" spans="2:12">
      <c r="B782" s="140">
        <v>453</v>
      </c>
      <c r="C782" t="s">
        <v>2489</v>
      </c>
      <c r="D782" s="136" t="s">
        <v>2490</v>
      </c>
      <c r="E782" t="s">
        <v>1143</v>
      </c>
      <c r="F782" s="650" t="s">
        <v>1186</v>
      </c>
      <c r="H782" s="140">
        <v>453</v>
      </c>
      <c r="I782" t="s">
        <v>2489</v>
      </c>
      <c r="J782" s="136" t="s">
        <v>2490</v>
      </c>
      <c r="K782" t="s">
        <v>1143</v>
      </c>
      <c r="L782" s="650" t="s">
        <v>1186</v>
      </c>
    </row>
    <row r="783" spans="2:12">
      <c r="B783" s="140">
        <v>453</v>
      </c>
      <c r="C783" t="s">
        <v>2489</v>
      </c>
      <c r="D783" s="136" t="s">
        <v>2491</v>
      </c>
      <c r="E783" t="s">
        <v>2492</v>
      </c>
      <c r="F783" s="650" t="s">
        <v>1186</v>
      </c>
      <c r="H783" s="140">
        <v>453</v>
      </c>
      <c r="I783" t="s">
        <v>2489</v>
      </c>
      <c r="J783" s="136" t="s">
        <v>2491</v>
      </c>
      <c r="K783" t="s">
        <v>2492</v>
      </c>
      <c r="L783" s="650" t="s">
        <v>1186</v>
      </c>
    </row>
    <row r="784" spans="2:12">
      <c r="B784" s="140">
        <v>454</v>
      </c>
      <c r="C784" t="s">
        <v>1537</v>
      </c>
      <c r="D784" s="136" t="s">
        <v>2494</v>
      </c>
      <c r="E784" t="s">
        <v>421</v>
      </c>
      <c r="F784" s="650" t="s">
        <v>1186</v>
      </c>
      <c r="H784" s="140">
        <v>454</v>
      </c>
      <c r="I784" t="s">
        <v>1537</v>
      </c>
      <c r="J784" s="136" t="s">
        <v>2494</v>
      </c>
      <c r="K784" t="s">
        <v>421</v>
      </c>
      <c r="L784" s="650" t="s">
        <v>1186</v>
      </c>
    </row>
    <row r="785" spans="2:12">
      <c r="B785" s="140">
        <v>455</v>
      </c>
      <c r="C785" t="s">
        <v>1538</v>
      </c>
      <c r="D785" s="136" t="s">
        <v>2496</v>
      </c>
      <c r="E785" t="s">
        <v>1539</v>
      </c>
      <c r="F785" s="650" t="s">
        <v>1186</v>
      </c>
      <c r="H785" s="140">
        <v>455</v>
      </c>
      <c r="I785" t="s">
        <v>1538</v>
      </c>
      <c r="J785" s="136" t="s">
        <v>2496</v>
      </c>
      <c r="K785" t="s">
        <v>1539</v>
      </c>
      <c r="L785" s="650" t="s">
        <v>1186</v>
      </c>
    </row>
    <row r="786" spans="2:12">
      <c r="B786" s="140">
        <v>455</v>
      </c>
      <c r="C786" t="s">
        <v>1538</v>
      </c>
      <c r="D786" s="136" t="s">
        <v>2497</v>
      </c>
      <c r="E786" t="s">
        <v>2498</v>
      </c>
      <c r="F786" s="650" t="s">
        <v>1186</v>
      </c>
      <c r="H786" s="140">
        <v>455</v>
      </c>
      <c r="I786" t="s">
        <v>1538</v>
      </c>
      <c r="J786" s="136" t="s">
        <v>2497</v>
      </c>
      <c r="K786" t="s">
        <v>2498</v>
      </c>
      <c r="L786" s="650" t="s">
        <v>1186</v>
      </c>
    </row>
    <row r="787" spans="2:12">
      <c r="B787" s="140">
        <v>456</v>
      </c>
      <c r="C787" t="s">
        <v>1540</v>
      </c>
      <c r="D787" s="136" t="s">
        <v>2500</v>
      </c>
      <c r="E787" t="s">
        <v>423</v>
      </c>
      <c r="F787" s="650" t="s">
        <v>1186</v>
      </c>
      <c r="H787" s="140">
        <v>456</v>
      </c>
      <c r="I787" t="s">
        <v>1540</v>
      </c>
      <c r="J787" s="136" t="s">
        <v>2500</v>
      </c>
      <c r="K787" t="s">
        <v>423</v>
      </c>
      <c r="L787" s="650" t="s">
        <v>1186</v>
      </c>
    </row>
    <row r="788" spans="2:12">
      <c r="B788" s="140">
        <v>457</v>
      </c>
      <c r="C788" t="s">
        <v>1541</v>
      </c>
      <c r="D788" s="136" t="s">
        <v>2502</v>
      </c>
      <c r="E788" t="s">
        <v>2503</v>
      </c>
      <c r="F788" s="650" t="s">
        <v>1186</v>
      </c>
      <c r="H788" s="140">
        <v>457</v>
      </c>
      <c r="I788" t="s">
        <v>1541</v>
      </c>
      <c r="J788" s="136" t="s">
        <v>2502</v>
      </c>
      <c r="K788" t="s">
        <v>2503</v>
      </c>
      <c r="L788" s="650" t="s">
        <v>1186</v>
      </c>
    </row>
    <row r="789" spans="2:12">
      <c r="B789" s="140">
        <v>458</v>
      </c>
      <c r="C789" t="s">
        <v>1542</v>
      </c>
      <c r="D789" s="136" t="s">
        <v>2505</v>
      </c>
      <c r="E789" t="s">
        <v>1150</v>
      </c>
      <c r="F789" s="650" t="s">
        <v>1186</v>
      </c>
      <c r="H789" s="140">
        <v>458</v>
      </c>
      <c r="I789" t="s">
        <v>1542</v>
      </c>
      <c r="J789" s="136" t="s">
        <v>2505</v>
      </c>
      <c r="K789" t="s">
        <v>1150</v>
      </c>
      <c r="L789" s="650" t="s">
        <v>1186</v>
      </c>
    </row>
    <row r="790" spans="2:12">
      <c r="B790" s="140">
        <v>460</v>
      </c>
      <c r="C790" t="s">
        <v>1543</v>
      </c>
      <c r="D790" s="136" t="s">
        <v>2507</v>
      </c>
      <c r="E790" t="s">
        <v>2508</v>
      </c>
      <c r="F790" s="650" t="s">
        <v>1186</v>
      </c>
      <c r="H790" s="140">
        <v>460</v>
      </c>
      <c r="I790" t="s">
        <v>1543</v>
      </c>
      <c r="J790" s="136" t="s">
        <v>2507</v>
      </c>
      <c r="K790" t="s">
        <v>2508</v>
      </c>
      <c r="L790" s="650" t="s">
        <v>1186</v>
      </c>
    </row>
    <row r="791" spans="2:12">
      <c r="B791" s="140">
        <v>461</v>
      </c>
      <c r="C791" t="s">
        <v>1544</v>
      </c>
      <c r="D791" s="136" t="s">
        <v>2510</v>
      </c>
      <c r="E791" t="s">
        <v>1153</v>
      </c>
      <c r="F791" s="650" t="s">
        <v>1186</v>
      </c>
      <c r="H791" s="140">
        <v>461</v>
      </c>
      <c r="I791" t="s">
        <v>1544</v>
      </c>
      <c r="J791" s="136" t="s">
        <v>2510</v>
      </c>
      <c r="K791" t="s">
        <v>1153</v>
      </c>
      <c r="L791" s="650" t="s">
        <v>1186</v>
      </c>
    </row>
    <row r="792" spans="2:12">
      <c r="B792" s="140">
        <v>462</v>
      </c>
      <c r="C792" t="s">
        <v>1545</v>
      </c>
      <c r="D792" s="136" t="s">
        <v>2512</v>
      </c>
      <c r="E792" t="s">
        <v>427</v>
      </c>
      <c r="F792" s="650" t="s">
        <v>1186</v>
      </c>
      <c r="H792" s="140">
        <v>462</v>
      </c>
      <c r="I792" t="s">
        <v>1545</v>
      </c>
      <c r="J792" s="136" t="s">
        <v>2512</v>
      </c>
      <c r="K792" t="s">
        <v>427</v>
      </c>
      <c r="L792" s="650" t="s">
        <v>1186</v>
      </c>
    </row>
    <row r="793" spans="2:12">
      <c r="B793" s="140">
        <v>463</v>
      </c>
      <c r="C793" t="s">
        <v>1546</v>
      </c>
      <c r="D793" s="136" t="s">
        <v>2514</v>
      </c>
      <c r="E793" t="s">
        <v>428</v>
      </c>
      <c r="F793" s="650" t="s">
        <v>1186</v>
      </c>
      <c r="H793" s="140">
        <v>463</v>
      </c>
      <c r="I793" t="s">
        <v>1546</v>
      </c>
      <c r="J793" s="136" t="s">
        <v>2514</v>
      </c>
      <c r="K793" t="s">
        <v>428</v>
      </c>
      <c r="L793" s="650" t="s">
        <v>1186</v>
      </c>
    </row>
    <row r="794" spans="2:12">
      <c r="B794" s="140">
        <v>464</v>
      </c>
      <c r="C794" t="s">
        <v>1547</v>
      </c>
      <c r="D794" s="136" t="s">
        <v>2516</v>
      </c>
      <c r="E794" t="s">
        <v>429</v>
      </c>
      <c r="F794" s="650" t="s">
        <v>1186</v>
      </c>
      <c r="H794" s="140">
        <v>464</v>
      </c>
      <c r="I794" t="s">
        <v>1547</v>
      </c>
      <c r="J794" s="136" t="s">
        <v>2516</v>
      </c>
      <c r="K794" t="s">
        <v>429</v>
      </c>
      <c r="L794" s="650" t="s">
        <v>1186</v>
      </c>
    </row>
    <row r="795" spans="2:12">
      <c r="B795" s="140">
        <v>465</v>
      </c>
      <c r="C795" t="s">
        <v>1548</v>
      </c>
      <c r="D795" s="136" t="s">
        <v>2518</v>
      </c>
      <c r="E795" t="s">
        <v>430</v>
      </c>
      <c r="F795" s="650">
        <v>36</v>
      </c>
      <c r="H795" s="140">
        <v>465</v>
      </c>
      <c r="I795" t="s">
        <v>1548</v>
      </c>
      <c r="J795" s="136" t="s">
        <v>2518</v>
      </c>
      <c r="K795" t="s">
        <v>430</v>
      </c>
      <c r="L795" s="650">
        <v>36</v>
      </c>
    </row>
    <row r="796" spans="2:12">
      <c r="B796" s="140">
        <v>466</v>
      </c>
      <c r="C796" t="s">
        <v>1549</v>
      </c>
      <c r="D796" s="136" t="s">
        <v>2520</v>
      </c>
      <c r="E796" t="s">
        <v>431</v>
      </c>
      <c r="F796" s="650" t="s">
        <v>1186</v>
      </c>
      <c r="H796" s="140">
        <v>466</v>
      </c>
      <c r="I796" t="s">
        <v>1549</v>
      </c>
      <c r="J796" s="136" t="s">
        <v>2520</v>
      </c>
      <c r="K796" t="s">
        <v>431</v>
      </c>
      <c r="L796" s="650" t="s">
        <v>1186</v>
      </c>
    </row>
    <row r="797" spans="2:12">
      <c r="B797" s="140">
        <v>468</v>
      </c>
      <c r="C797" t="s">
        <v>1550</v>
      </c>
      <c r="D797" s="136" t="s">
        <v>2522</v>
      </c>
      <c r="E797" t="s">
        <v>2523</v>
      </c>
      <c r="F797" s="650" t="s">
        <v>1186</v>
      </c>
      <c r="H797" s="140">
        <v>468</v>
      </c>
      <c r="I797" t="s">
        <v>1550</v>
      </c>
      <c r="J797" s="136" t="s">
        <v>2522</v>
      </c>
      <c r="K797" t="s">
        <v>2523</v>
      </c>
      <c r="L797" s="650" t="s">
        <v>1186</v>
      </c>
    </row>
    <row r="798" spans="2:12">
      <c r="B798" s="140">
        <v>469</v>
      </c>
      <c r="C798" t="s">
        <v>2525</v>
      </c>
      <c r="D798" s="136" t="s">
        <v>2526</v>
      </c>
      <c r="E798" t="s">
        <v>2527</v>
      </c>
      <c r="F798" s="650" t="s">
        <v>1186</v>
      </c>
      <c r="H798" s="140">
        <v>469</v>
      </c>
      <c r="I798" t="s">
        <v>2525</v>
      </c>
      <c r="J798" s="136" t="s">
        <v>2526</v>
      </c>
      <c r="K798" t="s">
        <v>2527</v>
      </c>
      <c r="L798" s="650" t="s">
        <v>1186</v>
      </c>
    </row>
    <row r="799" spans="2:12">
      <c r="B799" s="140">
        <v>469</v>
      </c>
      <c r="C799" t="s">
        <v>2525</v>
      </c>
      <c r="D799" s="136" t="s">
        <v>2528</v>
      </c>
      <c r="E799" t="s">
        <v>2529</v>
      </c>
      <c r="F799" s="650" t="s">
        <v>1186</v>
      </c>
      <c r="H799" s="140">
        <v>469</v>
      </c>
      <c r="I799" t="s">
        <v>2525</v>
      </c>
      <c r="J799" s="136" t="s">
        <v>2528</v>
      </c>
      <c r="K799" t="s">
        <v>2529</v>
      </c>
      <c r="L799" s="650" t="s">
        <v>1186</v>
      </c>
    </row>
    <row r="800" spans="2:12">
      <c r="B800" s="140">
        <v>470</v>
      </c>
      <c r="C800" t="s">
        <v>1551</v>
      </c>
      <c r="D800" s="136" t="s">
        <v>2531</v>
      </c>
      <c r="E800" t="s">
        <v>2532</v>
      </c>
      <c r="F800" s="650" t="s">
        <v>1186</v>
      </c>
      <c r="H800" s="140">
        <v>470</v>
      </c>
      <c r="I800" t="s">
        <v>1551</v>
      </c>
      <c r="J800" s="136" t="s">
        <v>2531</v>
      </c>
      <c r="K800" t="s">
        <v>2532</v>
      </c>
      <c r="L800" s="650" t="s">
        <v>1186</v>
      </c>
    </row>
    <row r="801" spans="2:12">
      <c r="B801" s="140">
        <v>472</v>
      </c>
      <c r="C801" t="s">
        <v>1554</v>
      </c>
      <c r="D801" s="136" t="s">
        <v>2534</v>
      </c>
      <c r="E801" t="s">
        <v>2535</v>
      </c>
      <c r="F801" s="650" t="s">
        <v>1186</v>
      </c>
      <c r="H801" s="140">
        <v>472</v>
      </c>
      <c r="I801" t="s">
        <v>1554</v>
      </c>
      <c r="J801" s="136" t="s">
        <v>2534</v>
      </c>
      <c r="K801" t="s">
        <v>2535</v>
      </c>
      <c r="L801" s="650" t="s">
        <v>1186</v>
      </c>
    </row>
    <row r="802" spans="2:12">
      <c r="B802" s="140">
        <v>473</v>
      </c>
      <c r="C802" t="s">
        <v>1555</v>
      </c>
      <c r="D802" s="136" t="s">
        <v>2537</v>
      </c>
      <c r="E802" t="s">
        <v>436</v>
      </c>
      <c r="F802" s="650" t="s">
        <v>1186</v>
      </c>
      <c r="H802" s="140">
        <v>473</v>
      </c>
      <c r="I802" t="s">
        <v>1555</v>
      </c>
      <c r="J802" s="136" t="s">
        <v>2537</v>
      </c>
      <c r="K802" t="s">
        <v>436</v>
      </c>
      <c r="L802" s="650" t="s">
        <v>1186</v>
      </c>
    </row>
    <row r="803" spans="2:12">
      <c r="B803" s="140">
        <v>474</v>
      </c>
      <c r="C803" t="s">
        <v>1556</v>
      </c>
      <c r="D803" s="136" t="s">
        <v>2539</v>
      </c>
      <c r="E803" t="s">
        <v>1162</v>
      </c>
      <c r="F803" s="650" t="s">
        <v>1186</v>
      </c>
      <c r="H803" s="140">
        <v>474</v>
      </c>
      <c r="I803" t="s">
        <v>1556</v>
      </c>
      <c r="J803" s="136" t="s">
        <v>2539</v>
      </c>
      <c r="K803" t="s">
        <v>1162</v>
      </c>
      <c r="L803" s="650" t="s">
        <v>1186</v>
      </c>
    </row>
    <row r="804" spans="2:12">
      <c r="B804" s="140">
        <v>475</v>
      </c>
      <c r="C804" t="s">
        <v>1557</v>
      </c>
      <c r="D804" s="136" t="s">
        <v>2541</v>
      </c>
      <c r="E804" t="s">
        <v>438</v>
      </c>
      <c r="F804" s="650" t="s">
        <v>1186</v>
      </c>
      <c r="H804" s="140">
        <v>475</v>
      </c>
      <c r="I804" t="s">
        <v>1557</v>
      </c>
      <c r="J804" s="136" t="s">
        <v>2541</v>
      </c>
      <c r="K804" t="s">
        <v>438</v>
      </c>
      <c r="L804" s="650" t="s">
        <v>1186</v>
      </c>
    </row>
    <row r="805" spans="2:12">
      <c r="B805" s="140">
        <v>476</v>
      </c>
      <c r="C805" t="s">
        <v>1558</v>
      </c>
      <c r="D805" s="136" t="s">
        <v>2543</v>
      </c>
      <c r="E805" t="s">
        <v>1165</v>
      </c>
      <c r="F805" s="650">
        <v>14</v>
      </c>
      <c r="H805" s="140">
        <v>476</v>
      </c>
      <c r="I805" t="s">
        <v>1558</v>
      </c>
      <c r="J805" s="136" t="s">
        <v>2543</v>
      </c>
      <c r="K805" t="s">
        <v>1165</v>
      </c>
      <c r="L805" s="650">
        <v>14</v>
      </c>
    </row>
    <row r="806" spans="2:12">
      <c r="B806" s="140">
        <v>477</v>
      </c>
      <c r="C806" t="s">
        <v>1559</v>
      </c>
      <c r="D806" s="136" t="s">
        <v>2545</v>
      </c>
      <c r="E806" t="s">
        <v>2546</v>
      </c>
      <c r="F806" s="650">
        <v>10</v>
      </c>
      <c r="H806" s="140">
        <v>477</v>
      </c>
      <c r="I806" t="s">
        <v>1559</v>
      </c>
      <c r="J806" s="136" t="s">
        <v>2545</v>
      </c>
      <c r="K806" t="s">
        <v>2546</v>
      </c>
      <c r="L806" s="650">
        <v>10</v>
      </c>
    </row>
    <row r="807" spans="2:12">
      <c r="B807" s="140">
        <v>478</v>
      </c>
      <c r="C807" t="s">
        <v>1560</v>
      </c>
      <c r="D807" s="136" t="s">
        <v>2548</v>
      </c>
      <c r="E807" t="s">
        <v>441</v>
      </c>
      <c r="F807" s="650" t="s">
        <v>1186</v>
      </c>
      <c r="H807" s="140">
        <v>478</v>
      </c>
      <c r="I807" t="s">
        <v>1560</v>
      </c>
      <c r="J807" s="136" t="s">
        <v>2548</v>
      </c>
      <c r="K807" t="s">
        <v>441</v>
      </c>
      <c r="L807" s="650" t="s">
        <v>1186</v>
      </c>
    </row>
    <row r="808" spans="2:12">
      <c r="B808" s="140">
        <v>479</v>
      </c>
      <c r="C808" t="s">
        <v>1169</v>
      </c>
      <c r="D808" s="136" t="s">
        <v>2550</v>
      </c>
      <c r="E808" t="s">
        <v>442</v>
      </c>
      <c r="F808" s="650" t="s">
        <v>1186</v>
      </c>
      <c r="H808" s="140">
        <v>479</v>
      </c>
      <c r="I808" t="s">
        <v>1169</v>
      </c>
      <c r="J808" s="136" t="s">
        <v>2550</v>
      </c>
      <c r="K808" t="s">
        <v>442</v>
      </c>
      <c r="L808" s="650" t="s">
        <v>1186</v>
      </c>
    </row>
    <row r="809" spans="2:12">
      <c r="B809" s="140">
        <v>480</v>
      </c>
      <c r="C809" t="s">
        <v>1562</v>
      </c>
      <c r="D809" s="136" t="s">
        <v>2552</v>
      </c>
      <c r="E809" t="s">
        <v>2553</v>
      </c>
      <c r="F809" s="650" t="s">
        <v>1186</v>
      </c>
      <c r="H809" s="140">
        <v>480</v>
      </c>
      <c r="I809" t="s">
        <v>1562</v>
      </c>
      <c r="J809" s="136" t="s">
        <v>2552</v>
      </c>
      <c r="K809" t="s">
        <v>2553</v>
      </c>
      <c r="L809" s="650" t="s">
        <v>1186</v>
      </c>
    </row>
    <row r="810" spans="2:12">
      <c r="B810" s="140">
        <v>481</v>
      </c>
      <c r="C810" t="s">
        <v>1564</v>
      </c>
      <c r="D810" s="136" t="s">
        <v>2555</v>
      </c>
      <c r="E810" t="s">
        <v>444</v>
      </c>
      <c r="F810" s="650">
        <v>112</v>
      </c>
      <c r="H810" s="140">
        <v>481</v>
      </c>
      <c r="I810" t="s">
        <v>1564</v>
      </c>
      <c r="J810" s="136" t="s">
        <v>2555</v>
      </c>
      <c r="K810" t="s">
        <v>444</v>
      </c>
      <c r="L810" s="650">
        <v>112</v>
      </c>
    </row>
    <row r="811" spans="2:12">
      <c r="B811" s="140">
        <v>482</v>
      </c>
      <c r="C811" t="s">
        <v>1565</v>
      </c>
      <c r="D811" s="136" t="s">
        <v>2557</v>
      </c>
      <c r="E811" t="s">
        <v>445</v>
      </c>
      <c r="F811" s="650" t="s">
        <v>1186</v>
      </c>
      <c r="H811" s="140">
        <v>482</v>
      </c>
      <c r="I811" t="s">
        <v>1565</v>
      </c>
      <c r="J811" s="136" t="s">
        <v>2557</v>
      </c>
      <c r="K811" t="s">
        <v>445</v>
      </c>
      <c r="L811" s="650" t="s">
        <v>1186</v>
      </c>
    </row>
    <row r="812" spans="2:12">
      <c r="B812" s="140">
        <v>483</v>
      </c>
      <c r="C812" t="s">
        <v>1566</v>
      </c>
      <c r="D812" s="136" t="s">
        <v>2559</v>
      </c>
      <c r="E812" t="s">
        <v>446</v>
      </c>
      <c r="F812" s="650" t="s">
        <v>1186</v>
      </c>
      <c r="H812" s="140">
        <v>483</v>
      </c>
      <c r="I812" t="s">
        <v>1566</v>
      </c>
      <c r="J812" s="136" t="s">
        <v>2559</v>
      </c>
      <c r="K812" t="s">
        <v>446</v>
      </c>
      <c r="L812" s="650" t="s">
        <v>1186</v>
      </c>
    </row>
    <row r="813" spans="2:12">
      <c r="B813" s="140">
        <v>485</v>
      </c>
      <c r="C813" t="s">
        <v>1567</v>
      </c>
      <c r="D813" s="136" t="s">
        <v>2560</v>
      </c>
      <c r="E813" t="s">
        <v>2561</v>
      </c>
      <c r="F813" s="650" t="s">
        <v>1186</v>
      </c>
      <c r="H813" s="140">
        <v>485</v>
      </c>
      <c r="I813" t="s">
        <v>1567</v>
      </c>
      <c r="J813" s="136" t="s">
        <v>2560</v>
      </c>
      <c r="K813" t="s">
        <v>2561</v>
      </c>
      <c r="L813" s="650" t="s">
        <v>1186</v>
      </c>
    </row>
    <row r="814" spans="2:12">
      <c r="B814" s="140">
        <v>486</v>
      </c>
      <c r="C814" t="s">
        <v>2563</v>
      </c>
      <c r="D814" s="136" t="s">
        <v>2564</v>
      </c>
      <c r="E814" t="s">
        <v>2565</v>
      </c>
      <c r="F814" s="650" t="s">
        <v>1186</v>
      </c>
      <c r="H814" s="140">
        <v>486</v>
      </c>
      <c r="I814" t="s">
        <v>2563</v>
      </c>
      <c r="J814" s="136" t="s">
        <v>2564</v>
      </c>
      <c r="K814" t="s">
        <v>2565</v>
      </c>
      <c r="L814" s="650" t="s">
        <v>1186</v>
      </c>
    </row>
    <row r="815" spans="2:12">
      <c r="B815" s="140">
        <v>486</v>
      </c>
      <c r="C815" t="s">
        <v>2563</v>
      </c>
      <c r="D815" s="136" t="s">
        <v>2566</v>
      </c>
      <c r="E815" t="s">
        <v>2567</v>
      </c>
      <c r="F815" s="650" t="s">
        <v>1186</v>
      </c>
      <c r="H815" s="140">
        <v>486</v>
      </c>
      <c r="I815" t="s">
        <v>2563</v>
      </c>
      <c r="J815" s="136" t="s">
        <v>2566</v>
      </c>
      <c r="K815" t="s">
        <v>2567</v>
      </c>
      <c r="L815" s="650" t="s">
        <v>1186</v>
      </c>
    </row>
    <row r="816" spans="2:12">
      <c r="B816" s="140">
        <v>487</v>
      </c>
      <c r="C816" t="s">
        <v>1570</v>
      </c>
      <c r="D816" s="136" t="s">
        <v>2569</v>
      </c>
      <c r="E816" t="s">
        <v>2570</v>
      </c>
      <c r="F816" s="650" t="s">
        <v>1186</v>
      </c>
      <c r="H816" s="140">
        <v>487</v>
      </c>
      <c r="I816" t="s">
        <v>1570</v>
      </c>
      <c r="J816" s="136" t="s">
        <v>2569</v>
      </c>
      <c r="K816" t="s">
        <v>2570</v>
      </c>
      <c r="L816" s="650" t="s">
        <v>1186</v>
      </c>
    </row>
    <row r="817" spans="2:12">
      <c r="B817" s="140">
        <v>488</v>
      </c>
      <c r="C817" t="s">
        <v>2572</v>
      </c>
      <c r="D817" s="136" t="s">
        <v>2573</v>
      </c>
      <c r="E817" t="s">
        <v>450</v>
      </c>
      <c r="F817" s="650" t="s">
        <v>1186</v>
      </c>
      <c r="H817" s="140">
        <v>488</v>
      </c>
      <c r="I817" t="s">
        <v>2572</v>
      </c>
      <c r="J817" s="136" t="s">
        <v>2573</v>
      </c>
      <c r="K817" t="s">
        <v>450</v>
      </c>
      <c r="L817" s="650" t="s">
        <v>1186</v>
      </c>
    </row>
    <row r="818" spans="2:12">
      <c r="B818" s="140">
        <v>489</v>
      </c>
      <c r="C818" t="s">
        <v>1572</v>
      </c>
      <c r="D818" s="136" t="s">
        <v>2575</v>
      </c>
      <c r="E818" t="s">
        <v>1180</v>
      </c>
      <c r="F818" s="650" t="s">
        <v>1186</v>
      </c>
      <c r="H818" s="140">
        <v>489</v>
      </c>
      <c r="I818" t="s">
        <v>1572</v>
      </c>
      <c r="J818" s="136" t="s">
        <v>2575</v>
      </c>
      <c r="K818" t="s">
        <v>1180</v>
      </c>
      <c r="L818" s="650" t="s">
        <v>1186</v>
      </c>
    </row>
    <row r="819" spans="2:12">
      <c r="B819" s="140">
        <v>490</v>
      </c>
      <c r="C819" t="s">
        <v>2577</v>
      </c>
      <c r="D819" s="136" t="s">
        <v>2578</v>
      </c>
      <c r="E819" t="s">
        <v>452</v>
      </c>
      <c r="F819" s="650" t="s">
        <v>1186</v>
      </c>
      <c r="H819" s="140">
        <v>490</v>
      </c>
      <c r="I819" t="s">
        <v>2577</v>
      </c>
      <c r="J819" s="136" t="s">
        <v>2578</v>
      </c>
      <c r="K819" t="s">
        <v>452</v>
      </c>
      <c r="L819" s="650" t="s">
        <v>1186</v>
      </c>
    </row>
    <row r="820" spans="2:12">
      <c r="B820" s="140">
        <v>490</v>
      </c>
      <c r="C820" t="s">
        <v>2577</v>
      </c>
      <c r="D820" s="136" t="s">
        <v>2579</v>
      </c>
      <c r="E820" t="s">
        <v>1183</v>
      </c>
      <c r="F820" s="650" t="s">
        <v>1186</v>
      </c>
      <c r="H820" s="140">
        <v>490</v>
      </c>
      <c r="I820" t="s">
        <v>2577</v>
      </c>
      <c r="J820" s="136" t="s">
        <v>2579</v>
      </c>
      <c r="K820" t="s">
        <v>1183</v>
      </c>
      <c r="L820" s="650" t="s">
        <v>1186</v>
      </c>
    </row>
    <row r="821" spans="2:12">
      <c r="B821" s="140">
        <v>491</v>
      </c>
      <c r="C821" t="s">
        <v>2581</v>
      </c>
      <c r="D821" s="136" t="s">
        <v>2582</v>
      </c>
      <c r="E821" t="s">
        <v>2583</v>
      </c>
      <c r="F821" s="650" t="s">
        <v>1186</v>
      </c>
      <c r="H821" s="140">
        <v>491</v>
      </c>
      <c r="I821" t="s">
        <v>2581</v>
      </c>
      <c r="J821" s="136" t="s">
        <v>2582</v>
      </c>
      <c r="K821" t="s">
        <v>2583</v>
      </c>
      <c r="L821" s="650" t="s">
        <v>1186</v>
      </c>
    </row>
    <row r="822" spans="2:12">
      <c r="B822" s="140">
        <v>492</v>
      </c>
      <c r="C822" t="s">
        <v>2585</v>
      </c>
      <c r="D822" s="136" t="s">
        <v>2586</v>
      </c>
      <c r="E822" t="s">
        <v>455</v>
      </c>
      <c r="F822" s="650" t="s">
        <v>1186</v>
      </c>
      <c r="H822" s="651">
        <v>1</v>
      </c>
      <c r="I822" t="s">
        <v>2585</v>
      </c>
      <c r="J822" s="136" t="s">
        <v>2586</v>
      </c>
      <c r="K822" t="s">
        <v>455</v>
      </c>
      <c r="L822" s="650" t="s">
        <v>1186</v>
      </c>
    </row>
    <row r="823" spans="2:12">
      <c r="B823" s="140">
        <v>493</v>
      </c>
      <c r="C823" t="s">
        <v>2588</v>
      </c>
      <c r="D823" s="136" t="s">
        <v>2589</v>
      </c>
      <c r="E823" t="s">
        <v>2590</v>
      </c>
      <c r="F823" s="650" t="s">
        <v>1186</v>
      </c>
      <c r="H823" s="140">
        <v>493</v>
      </c>
      <c r="I823" t="s">
        <v>2588</v>
      </c>
      <c r="J823" s="136" t="s">
        <v>2589</v>
      </c>
      <c r="K823" t="s">
        <v>2590</v>
      </c>
      <c r="L823" s="650" t="s">
        <v>1186</v>
      </c>
    </row>
    <row r="824" spans="2:12">
      <c r="B824" s="140">
        <v>494</v>
      </c>
      <c r="C824" t="s">
        <v>1574</v>
      </c>
      <c r="D824" s="136" t="s">
        <v>2592</v>
      </c>
      <c r="E824" t="s">
        <v>457</v>
      </c>
      <c r="F824" s="650" t="s">
        <v>1186</v>
      </c>
      <c r="H824" s="140">
        <v>494</v>
      </c>
      <c r="I824" t="s">
        <v>1574</v>
      </c>
      <c r="J824" s="136" t="s">
        <v>2592</v>
      </c>
      <c r="K824" t="s">
        <v>457</v>
      </c>
      <c r="L824" s="650" t="s">
        <v>1186</v>
      </c>
    </row>
    <row r="825" spans="2:12">
      <c r="B825" s="140">
        <v>555</v>
      </c>
      <c r="C825" t="s">
        <v>1197</v>
      </c>
      <c r="D825" s="136" t="s">
        <v>2594</v>
      </c>
      <c r="E825" t="s">
        <v>2595</v>
      </c>
      <c r="F825" s="650" t="s">
        <v>1186</v>
      </c>
      <c r="H825" s="140">
        <v>555</v>
      </c>
      <c r="I825" t="s">
        <v>1197</v>
      </c>
      <c r="J825" s="136" t="s">
        <v>2594</v>
      </c>
      <c r="K825" t="s">
        <v>2595</v>
      </c>
      <c r="L825" s="650" t="s">
        <v>1186</v>
      </c>
    </row>
    <row r="826" spans="2:12">
      <c r="B826" s="140">
        <v>559</v>
      </c>
      <c r="C826" t="s">
        <v>2597</v>
      </c>
      <c r="D826" s="136" t="s">
        <v>1228</v>
      </c>
      <c r="E826" t="s">
        <v>459</v>
      </c>
      <c r="F826" s="650" t="s">
        <v>1186</v>
      </c>
      <c r="H826" s="651">
        <v>139</v>
      </c>
      <c r="I826" t="s">
        <v>2597</v>
      </c>
      <c r="J826" s="136" t="s">
        <v>1228</v>
      </c>
      <c r="K826" t="s">
        <v>459</v>
      </c>
      <c r="L826" s="650" t="s">
        <v>1186</v>
      </c>
    </row>
    <row r="827" spans="2:12">
      <c r="B827" s="140">
        <v>596</v>
      </c>
      <c r="C827" t="s">
        <v>1198</v>
      </c>
      <c r="D827" s="136" t="s">
        <v>2599</v>
      </c>
      <c r="E827" t="s">
        <v>2600</v>
      </c>
      <c r="F827" s="650" t="s">
        <v>1186</v>
      </c>
      <c r="H827" s="140">
        <v>596</v>
      </c>
      <c r="I827" t="s">
        <v>1198</v>
      </c>
      <c r="J827" s="136" t="s">
        <v>2599</v>
      </c>
      <c r="K827" t="s">
        <v>2600</v>
      </c>
      <c r="L827" s="650" t="s">
        <v>1186</v>
      </c>
    </row>
    <row r="828" spans="2:12">
      <c r="B828" s="140">
        <v>751</v>
      </c>
      <c r="C828" t="s">
        <v>2602</v>
      </c>
      <c r="D828" s="136" t="s">
        <v>2603</v>
      </c>
      <c r="E828" t="s">
        <v>2604</v>
      </c>
      <c r="F828" s="650" t="s">
        <v>1186</v>
      </c>
      <c r="H828" s="651">
        <v>201</v>
      </c>
      <c r="I828" t="s">
        <v>2602</v>
      </c>
      <c r="J828" s="136" t="s">
        <v>2603</v>
      </c>
      <c r="K828" t="s">
        <v>2604</v>
      </c>
      <c r="L828" s="650" t="s">
        <v>1186</v>
      </c>
    </row>
    <row r="829" spans="2:12">
      <c r="B829" s="140">
        <v>768</v>
      </c>
      <c r="C829" t="s">
        <v>2606</v>
      </c>
      <c r="D829" s="136" t="s">
        <v>1223</v>
      </c>
      <c r="E829" t="s">
        <v>2607</v>
      </c>
      <c r="F829" s="650" t="s">
        <v>1186</v>
      </c>
      <c r="H829" s="651">
        <v>2</v>
      </c>
      <c r="I829" t="s">
        <v>2606</v>
      </c>
      <c r="J829" s="136" t="s">
        <v>1223</v>
      </c>
      <c r="K829" t="s">
        <v>2607</v>
      </c>
      <c r="L829" s="650" t="s">
        <v>1186</v>
      </c>
    </row>
    <row r="830" spans="2:12">
      <c r="B830" s="140">
        <v>771</v>
      </c>
      <c r="C830" t="s">
        <v>2609</v>
      </c>
      <c r="D830" s="136" t="s">
        <v>2610</v>
      </c>
      <c r="E830" t="s">
        <v>2611</v>
      </c>
      <c r="F830" s="650" t="s">
        <v>1186</v>
      </c>
      <c r="H830" s="140">
        <v>771</v>
      </c>
      <c r="I830" t="s">
        <v>2609</v>
      </c>
      <c r="J830" s="136" t="s">
        <v>2610</v>
      </c>
      <c r="K830" t="s">
        <v>2611</v>
      </c>
      <c r="L830" s="650" t="s">
        <v>1186</v>
      </c>
    </row>
    <row r="831" spans="2:12">
      <c r="B831" s="140">
        <v>785</v>
      </c>
      <c r="C831" t="s">
        <v>2613</v>
      </c>
      <c r="D831" s="136" t="s">
        <v>1224</v>
      </c>
      <c r="E831" t="s">
        <v>456</v>
      </c>
      <c r="F831" s="650">
        <v>17</v>
      </c>
      <c r="H831" s="651">
        <v>2</v>
      </c>
      <c r="I831" t="s">
        <v>2613</v>
      </c>
      <c r="J831" s="136" t="s">
        <v>1224</v>
      </c>
      <c r="K831" t="s">
        <v>456</v>
      </c>
      <c r="L831" s="650">
        <v>17</v>
      </c>
    </row>
    <row r="832" spans="2:12">
      <c r="B832" s="140">
        <v>790</v>
      </c>
      <c r="C832" t="s">
        <v>2615</v>
      </c>
      <c r="D832" s="136" t="s">
        <v>1232</v>
      </c>
      <c r="E832" t="s">
        <v>461</v>
      </c>
      <c r="F832" s="650" t="s">
        <v>1186</v>
      </c>
      <c r="H832" s="140">
        <v>790</v>
      </c>
      <c r="I832" t="s">
        <v>2615</v>
      </c>
      <c r="J832" s="136" t="s">
        <v>1232</v>
      </c>
      <c r="K832" t="s">
        <v>461</v>
      </c>
      <c r="L832" s="650" t="s">
        <v>1186</v>
      </c>
    </row>
    <row r="833" spans="2:12">
      <c r="B833" s="140">
        <v>794</v>
      </c>
      <c r="C833" t="s">
        <v>2617</v>
      </c>
      <c r="D833" s="136" t="s">
        <v>2618</v>
      </c>
      <c r="E833" t="s">
        <v>2619</v>
      </c>
      <c r="F833" s="650">
        <v>10</v>
      </c>
      <c r="H833" s="651">
        <v>221</v>
      </c>
      <c r="I833" t="s">
        <v>2617</v>
      </c>
      <c r="J833" s="136" t="s">
        <v>2618</v>
      </c>
      <c r="K833" t="s">
        <v>2619</v>
      </c>
      <c r="L833" s="650">
        <v>10</v>
      </c>
    </row>
    <row r="834" spans="2:12">
      <c r="B834" s="140">
        <v>795</v>
      </c>
      <c r="C834" t="s">
        <v>2621</v>
      </c>
      <c r="D834" s="136" t="s">
        <v>1226</v>
      </c>
      <c r="E834" t="s">
        <v>458</v>
      </c>
      <c r="F834" s="650" t="s">
        <v>1186</v>
      </c>
      <c r="H834" s="140">
        <v>795</v>
      </c>
      <c r="I834" t="s">
        <v>2621</v>
      </c>
      <c r="J834" s="136" t="s">
        <v>1226</v>
      </c>
      <c r="K834" t="s">
        <v>458</v>
      </c>
      <c r="L834" s="650" t="s">
        <v>1186</v>
      </c>
    </row>
    <row r="835" spans="2:12">
      <c r="B835" s="140">
        <v>813</v>
      </c>
      <c r="C835" t="s">
        <v>2623</v>
      </c>
      <c r="D835" s="136" t="s">
        <v>1230</v>
      </c>
      <c r="E835" t="s">
        <v>460</v>
      </c>
      <c r="F835" s="650" t="s">
        <v>1186</v>
      </c>
      <c r="H835" s="651">
        <v>281</v>
      </c>
      <c r="I835" t="s">
        <v>2623</v>
      </c>
      <c r="J835" s="136" t="s">
        <v>1230</v>
      </c>
      <c r="K835" t="s">
        <v>460</v>
      </c>
      <c r="L835" s="650" t="s">
        <v>1186</v>
      </c>
    </row>
    <row r="836" spans="2:12">
      <c r="B836" s="140">
        <v>451</v>
      </c>
      <c r="C836" t="s">
        <v>1535</v>
      </c>
      <c r="D836" s="136" t="s">
        <v>2483</v>
      </c>
      <c r="E836" t="s">
        <v>418</v>
      </c>
      <c r="F836" s="650" t="s">
        <v>1186</v>
      </c>
      <c r="H836" s="140">
        <v>451</v>
      </c>
      <c r="I836" t="s">
        <v>1535</v>
      </c>
      <c r="J836" s="136" t="s">
        <v>2483</v>
      </c>
      <c r="K836" t="s">
        <v>418</v>
      </c>
      <c r="L836" s="650" t="s">
        <v>1186</v>
      </c>
    </row>
    <row r="837" spans="2:12">
      <c r="B837" s="140">
        <v>452</v>
      </c>
      <c r="C837" t="s">
        <v>1536</v>
      </c>
      <c r="D837" s="136" t="s">
        <v>2485</v>
      </c>
      <c r="E837" t="s">
        <v>419</v>
      </c>
      <c r="F837" s="650" t="s">
        <v>1186</v>
      </c>
      <c r="H837" s="140">
        <v>452</v>
      </c>
      <c r="I837" t="s">
        <v>1536</v>
      </c>
      <c r="J837" s="136" t="s">
        <v>2485</v>
      </c>
      <c r="K837" t="s">
        <v>419</v>
      </c>
      <c r="L837" s="650" t="s">
        <v>1186</v>
      </c>
    </row>
    <row r="838" spans="2:12">
      <c r="B838" s="140">
        <v>452</v>
      </c>
      <c r="C838" t="s">
        <v>1536</v>
      </c>
      <c r="D838" s="136" t="s">
        <v>2486</v>
      </c>
      <c r="E838" t="s">
        <v>2487</v>
      </c>
      <c r="F838" s="650" t="s">
        <v>1186</v>
      </c>
      <c r="H838" s="140">
        <v>452</v>
      </c>
      <c r="I838" t="s">
        <v>1536</v>
      </c>
      <c r="J838" s="136" t="s">
        <v>2486</v>
      </c>
      <c r="K838" t="s">
        <v>2487</v>
      </c>
      <c r="L838" s="650" t="s">
        <v>1186</v>
      </c>
    </row>
    <row r="839" spans="2:12">
      <c r="B839" s="140">
        <v>453</v>
      </c>
      <c r="C839" t="s">
        <v>2489</v>
      </c>
      <c r="D839" s="136" t="s">
        <v>2490</v>
      </c>
      <c r="E839" t="s">
        <v>1143</v>
      </c>
      <c r="F839" s="650" t="s">
        <v>1186</v>
      </c>
      <c r="H839" s="140">
        <v>453</v>
      </c>
      <c r="I839" t="s">
        <v>2489</v>
      </c>
      <c r="J839" s="136" t="s">
        <v>2490</v>
      </c>
      <c r="K839" t="s">
        <v>1143</v>
      </c>
      <c r="L839" s="650" t="s">
        <v>1186</v>
      </c>
    </row>
    <row r="840" spans="2:12">
      <c r="B840" s="140">
        <v>453</v>
      </c>
      <c r="C840" t="s">
        <v>2489</v>
      </c>
      <c r="D840" s="136" t="s">
        <v>2491</v>
      </c>
      <c r="E840" t="s">
        <v>2492</v>
      </c>
      <c r="F840" s="650" t="s">
        <v>1186</v>
      </c>
      <c r="H840" s="140">
        <v>453</v>
      </c>
      <c r="I840" t="s">
        <v>2489</v>
      </c>
      <c r="J840" s="136" t="s">
        <v>2491</v>
      </c>
      <c r="K840" t="s">
        <v>2492</v>
      </c>
      <c r="L840" s="650" t="s">
        <v>1186</v>
      </c>
    </row>
    <row r="841" spans="2:12">
      <c r="B841" s="140">
        <v>454</v>
      </c>
      <c r="C841" t="s">
        <v>1537</v>
      </c>
      <c r="D841" s="136" t="s">
        <v>2494</v>
      </c>
      <c r="E841" t="s">
        <v>421</v>
      </c>
      <c r="F841" s="650" t="s">
        <v>1186</v>
      </c>
      <c r="H841" s="140">
        <v>454</v>
      </c>
      <c r="I841" t="s">
        <v>1537</v>
      </c>
      <c r="J841" s="136" t="s">
        <v>2494</v>
      </c>
      <c r="K841" t="s">
        <v>421</v>
      </c>
      <c r="L841" s="650" t="s">
        <v>1186</v>
      </c>
    </row>
    <row r="842" spans="2:12">
      <c r="B842" s="140">
        <v>455</v>
      </c>
      <c r="C842" t="s">
        <v>1538</v>
      </c>
      <c r="D842" s="136" t="s">
        <v>2496</v>
      </c>
      <c r="E842" t="s">
        <v>1539</v>
      </c>
      <c r="F842" s="650" t="s">
        <v>1186</v>
      </c>
      <c r="H842" s="140">
        <v>455</v>
      </c>
      <c r="I842" t="s">
        <v>1538</v>
      </c>
      <c r="J842" s="136" t="s">
        <v>2496</v>
      </c>
      <c r="K842" t="s">
        <v>1539</v>
      </c>
      <c r="L842" s="650" t="s">
        <v>1186</v>
      </c>
    </row>
    <row r="843" spans="2:12">
      <c r="B843" s="140">
        <v>455</v>
      </c>
      <c r="C843" t="s">
        <v>1538</v>
      </c>
      <c r="D843" s="136" t="s">
        <v>2497</v>
      </c>
      <c r="E843" t="s">
        <v>2498</v>
      </c>
      <c r="F843" s="650" t="s">
        <v>1186</v>
      </c>
      <c r="H843" s="140">
        <v>455</v>
      </c>
      <c r="I843" t="s">
        <v>1538</v>
      </c>
      <c r="J843" s="136" t="s">
        <v>2497</v>
      </c>
      <c r="K843" t="s">
        <v>2498</v>
      </c>
      <c r="L843" s="650" t="s">
        <v>1186</v>
      </c>
    </row>
    <row r="844" spans="2:12">
      <c r="B844" s="140">
        <v>456</v>
      </c>
      <c r="C844" t="s">
        <v>1540</v>
      </c>
      <c r="D844" s="136" t="s">
        <v>2500</v>
      </c>
      <c r="E844" t="s">
        <v>423</v>
      </c>
      <c r="F844" s="650" t="s">
        <v>1186</v>
      </c>
      <c r="H844" s="140">
        <v>456</v>
      </c>
      <c r="I844" t="s">
        <v>1540</v>
      </c>
      <c r="J844" s="136" t="s">
        <v>2500</v>
      </c>
      <c r="K844" t="s">
        <v>423</v>
      </c>
      <c r="L844" s="650" t="s">
        <v>1186</v>
      </c>
    </row>
    <row r="845" spans="2:12">
      <c r="B845" s="140">
        <v>457</v>
      </c>
      <c r="C845" t="s">
        <v>1541</v>
      </c>
      <c r="D845" s="136" t="s">
        <v>2502</v>
      </c>
      <c r="E845" t="s">
        <v>2503</v>
      </c>
      <c r="F845" s="650" t="s">
        <v>1186</v>
      </c>
      <c r="H845" s="140">
        <v>457</v>
      </c>
      <c r="I845" t="s">
        <v>1541</v>
      </c>
      <c r="J845" s="136" t="s">
        <v>2502</v>
      </c>
      <c r="K845" t="s">
        <v>2503</v>
      </c>
      <c r="L845" s="650" t="s">
        <v>1186</v>
      </c>
    </row>
    <row r="846" spans="2:12">
      <c r="B846" s="140">
        <v>458</v>
      </c>
      <c r="C846" t="s">
        <v>1542</v>
      </c>
      <c r="D846" s="136" t="s">
        <v>2505</v>
      </c>
      <c r="E846" t="s">
        <v>1150</v>
      </c>
      <c r="F846" s="650" t="s">
        <v>1186</v>
      </c>
      <c r="H846" s="140">
        <v>458</v>
      </c>
      <c r="I846" t="s">
        <v>1542</v>
      </c>
      <c r="J846" s="136" t="s">
        <v>2505</v>
      </c>
      <c r="K846" t="s">
        <v>1150</v>
      </c>
      <c r="L846" s="650" t="s">
        <v>1186</v>
      </c>
    </row>
    <row r="847" spans="2:12">
      <c r="B847" s="140">
        <v>460</v>
      </c>
      <c r="C847" t="s">
        <v>1543</v>
      </c>
      <c r="D847" s="136" t="s">
        <v>2507</v>
      </c>
      <c r="E847" t="s">
        <v>2508</v>
      </c>
      <c r="F847" s="650" t="s">
        <v>1186</v>
      </c>
      <c r="H847" s="140">
        <v>460</v>
      </c>
      <c r="I847" t="s">
        <v>1543</v>
      </c>
      <c r="J847" s="136" t="s">
        <v>2507</v>
      </c>
      <c r="K847" t="s">
        <v>2508</v>
      </c>
      <c r="L847" s="650" t="s">
        <v>1186</v>
      </c>
    </row>
    <row r="848" spans="2:12">
      <c r="B848" s="140">
        <v>461</v>
      </c>
      <c r="C848" t="s">
        <v>1544</v>
      </c>
      <c r="D848" s="136" t="s">
        <v>2510</v>
      </c>
      <c r="E848" t="s">
        <v>1153</v>
      </c>
      <c r="F848" s="650" t="s">
        <v>1186</v>
      </c>
      <c r="H848" s="140">
        <v>461</v>
      </c>
      <c r="I848" t="s">
        <v>1544</v>
      </c>
      <c r="J848" s="136" t="s">
        <v>2510</v>
      </c>
      <c r="K848" t="s">
        <v>1153</v>
      </c>
      <c r="L848" s="650" t="s">
        <v>1186</v>
      </c>
    </row>
    <row r="849" spans="2:12">
      <c r="B849" s="140">
        <v>462</v>
      </c>
      <c r="C849" t="s">
        <v>1545</v>
      </c>
      <c r="D849" s="136" t="s">
        <v>2512</v>
      </c>
      <c r="E849" t="s">
        <v>427</v>
      </c>
      <c r="F849" s="650" t="s">
        <v>1186</v>
      </c>
      <c r="H849" s="140">
        <v>462</v>
      </c>
      <c r="I849" t="s">
        <v>1545</v>
      </c>
      <c r="J849" s="136" t="s">
        <v>2512</v>
      </c>
      <c r="K849" t="s">
        <v>427</v>
      </c>
      <c r="L849" s="650" t="s">
        <v>1186</v>
      </c>
    </row>
    <row r="850" spans="2:12">
      <c r="B850" s="140">
        <v>463</v>
      </c>
      <c r="C850" t="s">
        <v>1546</v>
      </c>
      <c r="D850" s="136" t="s">
        <v>2514</v>
      </c>
      <c r="E850" t="s">
        <v>428</v>
      </c>
      <c r="F850" s="650" t="s">
        <v>1186</v>
      </c>
      <c r="H850" s="140">
        <v>463</v>
      </c>
      <c r="I850" t="s">
        <v>1546</v>
      </c>
      <c r="J850" s="136" t="s">
        <v>2514</v>
      </c>
      <c r="K850" t="s">
        <v>428</v>
      </c>
      <c r="L850" s="650" t="s">
        <v>1186</v>
      </c>
    </row>
    <row r="851" spans="2:12">
      <c r="B851" s="140">
        <v>464</v>
      </c>
      <c r="C851" t="s">
        <v>1547</v>
      </c>
      <c r="D851" s="136" t="s">
        <v>2516</v>
      </c>
      <c r="E851" t="s">
        <v>429</v>
      </c>
      <c r="F851" s="650" t="s">
        <v>1186</v>
      </c>
      <c r="H851" s="140">
        <v>464</v>
      </c>
      <c r="I851" t="s">
        <v>1547</v>
      </c>
      <c r="J851" s="136" t="s">
        <v>2516</v>
      </c>
      <c r="K851" t="s">
        <v>429</v>
      </c>
      <c r="L851" s="650" t="s">
        <v>1186</v>
      </c>
    </row>
    <row r="852" spans="2:12">
      <c r="B852" s="140">
        <v>465</v>
      </c>
      <c r="C852" t="s">
        <v>1548</v>
      </c>
      <c r="D852" s="136" t="s">
        <v>2518</v>
      </c>
      <c r="E852" t="s">
        <v>430</v>
      </c>
      <c r="F852" s="650">
        <v>36</v>
      </c>
      <c r="H852" s="140">
        <v>465</v>
      </c>
      <c r="I852" t="s">
        <v>1548</v>
      </c>
      <c r="J852" s="136" t="s">
        <v>2518</v>
      </c>
      <c r="K852" t="s">
        <v>430</v>
      </c>
      <c r="L852" s="650">
        <v>36</v>
      </c>
    </row>
    <row r="853" spans="2:12">
      <c r="B853" s="140">
        <v>466</v>
      </c>
      <c r="C853" t="s">
        <v>1549</v>
      </c>
      <c r="D853" s="136" t="s">
        <v>2520</v>
      </c>
      <c r="E853" t="s">
        <v>431</v>
      </c>
      <c r="F853" s="650" t="s">
        <v>1186</v>
      </c>
      <c r="H853" s="140">
        <v>466</v>
      </c>
      <c r="I853" t="s">
        <v>1549</v>
      </c>
      <c r="J853" s="136" t="s">
        <v>2520</v>
      </c>
      <c r="K853" t="s">
        <v>431</v>
      </c>
      <c r="L853" s="650" t="s">
        <v>1186</v>
      </c>
    </row>
    <row r="854" spans="2:12">
      <c r="B854" s="140">
        <v>468</v>
      </c>
      <c r="C854" t="s">
        <v>1550</v>
      </c>
      <c r="D854" s="136" t="s">
        <v>2522</v>
      </c>
      <c r="E854" t="s">
        <v>2523</v>
      </c>
      <c r="F854" s="650" t="s">
        <v>1186</v>
      </c>
      <c r="H854" s="140">
        <v>468</v>
      </c>
      <c r="I854" t="s">
        <v>1550</v>
      </c>
      <c r="J854" s="136" t="s">
        <v>2522</v>
      </c>
      <c r="K854" t="s">
        <v>2523</v>
      </c>
      <c r="L854" s="650" t="s">
        <v>1186</v>
      </c>
    </row>
    <row r="855" spans="2:12">
      <c r="B855" s="140">
        <v>469</v>
      </c>
      <c r="C855" t="s">
        <v>2525</v>
      </c>
      <c r="D855" s="136" t="s">
        <v>2526</v>
      </c>
      <c r="E855" t="s">
        <v>2527</v>
      </c>
      <c r="F855" s="650" t="s">
        <v>1186</v>
      </c>
      <c r="H855" s="140">
        <v>469</v>
      </c>
      <c r="I855" t="s">
        <v>2525</v>
      </c>
      <c r="J855" s="136" t="s">
        <v>2526</v>
      </c>
      <c r="K855" t="s">
        <v>2527</v>
      </c>
      <c r="L855" s="650" t="s">
        <v>1186</v>
      </c>
    </row>
    <row r="856" spans="2:12">
      <c r="B856" s="140">
        <v>469</v>
      </c>
      <c r="C856" t="s">
        <v>2525</v>
      </c>
      <c r="D856" s="136" t="s">
        <v>2528</v>
      </c>
      <c r="E856" t="s">
        <v>2529</v>
      </c>
      <c r="F856" s="650" t="s">
        <v>1186</v>
      </c>
      <c r="H856" s="140">
        <v>469</v>
      </c>
      <c r="I856" t="s">
        <v>2525</v>
      </c>
      <c r="J856" s="136" t="s">
        <v>2528</v>
      </c>
      <c r="K856" t="s">
        <v>2529</v>
      </c>
      <c r="L856" s="650" t="s">
        <v>1186</v>
      </c>
    </row>
    <row r="857" spans="2:12">
      <c r="B857" s="140">
        <v>470</v>
      </c>
      <c r="C857" t="s">
        <v>1551</v>
      </c>
      <c r="D857" s="136" t="s">
        <v>2531</v>
      </c>
      <c r="E857" t="s">
        <v>2532</v>
      </c>
      <c r="F857" s="650" t="s">
        <v>1186</v>
      </c>
      <c r="H857" s="140">
        <v>470</v>
      </c>
      <c r="I857" t="s">
        <v>1551</v>
      </c>
      <c r="J857" s="136" t="s">
        <v>2531</v>
      </c>
      <c r="K857" t="s">
        <v>2532</v>
      </c>
      <c r="L857" s="650" t="s">
        <v>1186</v>
      </c>
    </row>
    <row r="858" spans="2:12">
      <c r="B858" s="140">
        <v>472</v>
      </c>
      <c r="C858" t="s">
        <v>1554</v>
      </c>
      <c r="D858" s="136" t="s">
        <v>2534</v>
      </c>
      <c r="E858" t="s">
        <v>2535</v>
      </c>
      <c r="F858" s="650" t="s">
        <v>1186</v>
      </c>
      <c r="H858" s="140">
        <v>472</v>
      </c>
      <c r="I858" t="s">
        <v>1554</v>
      </c>
      <c r="J858" s="136" t="s">
        <v>2534</v>
      </c>
      <c r="K858" t="s">
        <v>2535</v>
      </c>
      <c r="L858" s="650" t="s">
        <v>1186</v>
      </c>
    </row>
    <row r="859" spans="2:12">
      <c r="B859" s="140">
        <v>473</v>
      </c>
      <c r="C859" t="s">
        <v>1555</v>
      </c>
      <c r="D859" s="136" t="s">
        <v>2537</v>
      </c>
      <c r="E859" t="s">
        <v>436</v>
      </c>
      <c r="F859" s="650" t="s">
        <v>1186</v>
      </c>
      <c r="H859" s="140">
        <v>473</v>
      </c>
      <c r="I859" t="s">
        <v>1555</v>
      </c>
      <c r="J859" s="136" t="s">
        <v>2537</v>
      </c>
      <c r="K859" t="s">
        <v>436</v>
      </c>
      <c r="L859" s="650" t="s">
        <v>1186</v>
      </c>
    </row>
    <row r="860" spans="2:12">
      <c r="B860" s="140">
        <v>474</v>
      </c>
      <c r="C860" t="s">
        <v>1556</v>
      </c>
      <c r="D860" s="136" t="s">
        <v>2539</v>
      </c>
      <c r="E860" t="s">
        <v>1162</v>
      </c>
      <c r="F860" s="650" t="s">
        <v>1186</v>
      </c>
      <c r="H860" s="140">
        <v>474</v>
      </c>
      <c r="I860" t="s">
        <v>1556</v>
      </c>
      <c r="J860" s="136" t="s">
        <v>2539</v>
      </c>
      <c r="K860" t="s">
        <v>1162</v>
      </c>
      <c r="L860" s="650" t="s">
        <v>1186</v>
      </c>
    </row>
    <row r="861" spans="2:12">
      <c r="B861" s="140">
        <v>475</v>
      </c>
      <c r="C861" t="s">
        <v>1557</v>
      </c>
      <c r="D861" s="136" t="s">
        <v>2541</v>
      </c>
      <c r="E861" t="s">
        <v>438</v>
      </c>
      <c r="F861" s="650" t="s">
        <v>1186</v>
      </c>
      <c r="H861" s="140">
        <v>475</v>
      </c>
      <c r="I861" t="s">
        <v>1557</v>
      </c>
      <c r="J861" s="136" t="s">
        <v>2541</v>
      </c>
      <c r="K861" t="s">
        <v>438</v>
      </c>
      <c r="L861" s="650" t="s">
        <v>1186</v>
      </c>
    </row>
    <row r="862" spans="2:12">
      <c r="B862" s="140">
        <v>476</v>
      </c>
      <c r="C862" t="s">
        <v>1558</v>
      </c>
      <c r="D862" s="136" t="s">
        <v>2543</v>
      </c>
      <c r="E862" t="s">
        <v>1165</v>
      </c>
      <c r="F862" s="650">
        <v>14</v>
      </c>
      <c r="H862" s="140">
        <v>476</v>
      </c>
      <c r="I862" t="s">
        <v>1558</v>
      </c>
      <c r="J862" s="136" t="s">
        <v>2543</v>
      </c>
      <c r="K862" t="s">
        <v>1165</v>
      </c>
      <c r="L862" s="650">
        <v>14</v>
      </c>
    </row>
    <row r="863" spans="2:12">
      <c r="B863" s="140">
        <v>477</v>
      </c>
      <c r="C863" t="s">
        <v>1559</v>
      </c>
      <c r="D863" s="136" t="s">
        <v>2545</v>
      </c>
      <c r="E863" t="s">
        <v>2546</v>
      </c>
      <c r="F863" s="650">
        <v>10</v>
      </c>
      <c r="H863" s="140">
        <v>477</v>
      </c>
      <c r="I863" t="s">
        <v>1559</v>
      </c>
      <c r="J863" s="136" t="s">
        <v>2545</v>
      </c>
      <c r="K863" t="s">
        <v>2546</v>
      </c>
      <c r="L863" s="650">
        <v>10</v>
      </c>
    </row>
    <row r="864" spans="2:12">
      <c r="B864" s="140">
        <v>478</v>
      </c>
      <c r="C864" t="s">
        <v>1560</v>
      </c>
      <c r="D864" s="136" t="s">
        <v>2548</v>
      </c>
      <c r="E864" t="s">
        <v>441</v>
      </c>
      <c r="F864" s="650" t="s">
        <v>1186</v>
      </c>
      <c r="H864" s="140">
        <v>478</v>
      </c>
      <c r="I864" t="s">
        <v>1560</v>
      </c>
      <c r="J864" s="136" t="s">
        <v>2548</v>
      </c>
      <c r="K864" t="s">
        <v>441</v>
      </c>
      <c r="L864" s="650" t="s">
        <v>1186</v>
      </c>
    </row>
    <row r="865" spans="2:12">
      <c r="B865" s="140">
        <v>478</v>
      </c>
      <c r="C865" t="s">
        <v>552</v>
      </c>
      <c r="F865" s="650" t="s">
        <v>1186</v>
      </c>
      <c r="H865" s="140">
        <v>478</v>
      </c>
      <c r="I865" t="s">
        <v>552</v>
      </c>
      <c r="L865" s="650" t="s">
        <v>1186</v>
      </c>
    </row>
    <row r="866" spans="2:12">
      <c r="B866" s="140">
        <v>479</v>
      </c>
      <c r="C866" t="s">
        <v>1169</v>
      </c>
      <c r="D866" s="136" t="s">
        <v>2550</v>
      </c>
      <c r="E866" t="s">
        <v>442</v>
      </c>
      <c r="F866" s="650" t="s">
        <v>1186</v>
      </c>
      <c r="H866" s="140">
        <v>479</v>
      </c>
      <c r="I866" t="s">
        <v>1169</v>
      </c>
      <c r="J866" s="136" t="s">
        <v>2550</v>
      </c>
      <c r="K866" t="s">
        <v>442</v>
      </c>
      <c r="L866" s="650" t="s">
        <v>1186</v>
      </c>
    </row>
    <row r="867" spans="2:12">
      <c r="B867" s="140">
        <v>480</v>
      </c>
      <c r="C867" t="s">
        <v>1562</v>
      </c>
      <c r="D867" s="136" t="s">
        <v>2552</v>
      </c>
      <c r="E867" t="s">
        <v>2553</v>
      </c>
      <c r="F867" s="650" t="s">
        <v>1186</v>
      </c>
      <c r="H867" s="140">
        <v>480</v>
      </c>
      <c r="I867" t="s">
        <v>1562</v>
      </c>
      <c r="J867" s="136" t="s">
        <v>2552</v>
      </c>
      <c r="K867" t="s">
        <v>2553</v>
      </c>
      <c r="L867" s="650" t="s">
        <v>1186</v>
      </c>
    </row>
    <row r="868" spans="2:12">
      <c r="B868" s="140">
        <v>481</v>
      </c>
      <c r="C868" t="s">
        <v>1564</v>
      </c>
      <c r="D868" s="136" t="s">
        <v>2555</v>
      </c>
      <c r="E868" t="s">
        <v>444</v>
      </c>
      <c r="F868" s="650">
        <v>112</v>
      </c>
      <c r="H868" s="140">
        <v>481</v>
      </c>
      <c r="I868" t="s">
        <v>1564</v>
      </c>
      <c r="J868" s="136" t="s">
        <v>2555</v>
      </c>
      <c r="K868" t="s">
        <v>444</v>
      </c>
      <c r="L868" s="650">
        <v>112</v>
      </c>
    </row>
    <row r="869" spans="2:12">
      <c r="B869" s="140">
        <v>482</v>
      </c>
      <c r="C869" t="s">
        <v>1565</v>
      </c>
      <c r="D869" s="136" t="s">
        <v>2557</v>
      </c>
      <c r="E869" t="s">
        <v>445</v>
      </c>
      <c r="F869" s="650" t="s">
        <v>1186</v>
      </c>
      <c r="H869" s="140">
        <v>482</v>
      </c>
      <c r="I869" t="s">
        <v>1565</v>
      </c>
      <c r="J869" s="136" t="s">
        <v>2557</v>
      </c>
      <c r="K869" t="s">
        <v>445</v>
      </c>
      <c r="L869" s="650" t="s">
        <v>1186</v>
      </c>
    </row>
    <row r="870" spans="2:12">
      <c r="B870" s="140">
        <v>483</v>
      </c>
      <c r="C870" t="s">
        <v>1566</v>
      </c>
      <c r="D870" s="136" t="s">
        <v>2559</v>
      </c>
      <c r="E870" t="s">
        <v>446</v>
      </c>
      <c r="F870" s="650" t="s">
        <v>1186</v>
      </c>
      <c r="H870" s="140">
        <v>483</v>
      </c>
      <c r="I870" t="s">
        <v>1566</v>
      </c>
      <c r="J870" s="136" t="s">
        <v>2559</v>
      </c>
      <c r="K870" t="s">
        <v>446</v>
      </c>
      <c r="L870" s="650" t="s">
        <v>1186</v>
      </c>
    </row>
    <row r="871" spans="2:12">
      <c r="B871" s="140">
        <v>485</v>
      </c>
      <c r="C871" t="s">
        <v>1567</v>
      </c>
      <c r="D871" s="136" t="s">
        <v>2560</v>
      </c>
      <c r="E871" t="s">
        <v>2561</v>
      </c>
      <c r="F871" s="650" t="s">
        <v>1186</v>
      </c>
      <c r="H871" s="140">
        <v>485</v>
      </c>
      <c r="I871" t="s">
        <v>1567</v>
      </c>
      <c r="J871" s="136" t="s">
        <v>2560</v>
      </c>
      <c r="K871" t="s">
        <v>2561</v>
      </c>
      <c r="L871" s="650" t="s">
        <v>1186</v>
      </c>
    </row>
    <row r="872" spans="2:12">
      <c r="B872" s="140">
        <v>486</v>
      </c>
      <c r="C872" t="s">
        <v>2563</v>
      </c>
      <c r="D872" s="136" t="s">
        <v>2564</v>
      </c>
      <c r="E872" t="s">
        <v>2565</v>
      </c>
      <c r="F872" s="650" t="s">
        <v>1186</v>
      </c>
      <c r="H872" s="140">
        <v>486</v>
      </c>
      <c r="I872" t="s">
        <v>2563</v>
      </c>
      <c r="J872" s="136" t="s">
        <v>2564</v>
      </c>
      <c r="K872" t="s">
        <v>2565</v>
      </c>
      <c r="L872" s="650" t="s">
        <v>1186</v>
      </c>
    </row>
    <row r="873" spans="2:12">
      <c r="B873" s="140">
        <v>486</v>
      </c>
      <c r="C873" t="s">
        <v>2563</v>
      </c>
      <c r="D873" s="136" t="s">
        <v>2566</v>
      </c>
      <c r="E873" t="s">
        <v>2567</v>
      </c>
      <c r="F873" s="650" t="s">
        <v>1186</v>
      </c>
      <c r="H873" s="140">
        <v>486</v>
      </c>
      <c r="I873" t="s">
        <v>2563</v>
      </c>
      <c r="J873" s="136" t="s">
        <v>2566</v>
      </c>
      <c r="K873" t="s">
        <v>2567</v>
      </c>
      <c r="L873" s="650" t="s">
        <v>1186</v>
      </c>
    </row>
    <row r="874" spans="2:12">
      <c r="B874" s="140">
        <v>487</v>
      </c>
      <c r="C874" t="s">
        <v>1570</v>
      </c>
      <c r="D874" s="136" t="s">
        <v>2569</v>
      </c>
      <c r="E874" t="s">
        <v>2570</v>
      </c>
      <c r="F874" s="650" t="s">
        <v>1186</v>
      </c>
      <c r="H874" s="140">
        <v>487</v>
      </c>
      <c r="I874" t="s">
        <v>1570</v>
      </c>
      <c r="J874" s="136" t="s">
        <v>2569</v>
      </c>
      <c r="K874" t="s">
        <v>2570</v>
      </c>
      <c r="L874" s="650" t="s">
        <v>1186</v>
      </c>
    </row>
    <row r="875" spans="2:12">
      <c r="B875" s="140">
        <v>488</v>
      </c>
      <c r="C875" t="s">
        <v>2572</v>
      </c>
      <c r="D875" s="136" t="s">
        <v>2573</v>
      </c>
      <c r="E875" t="s">
        <v>450</v>
      </c>
      <c r="F875" s="650" t="s">
        <v>1186</v>
      </c>
      <c r="H875" s="140">
        <v>488</v>
      </c>
      <c r="I875" t="s">
        <v>2572</v>
      </c>
      <c r="J875" s="136" t="s">
        <v>2573</v>
      </c>
      <c r="K875" t="s">
        <v>450</v>
      </c>
      <c r="L875" s="650" t="s">
        <v>1186</v>
      </c>
    </row>
    <row r="876" spans="2:12">
      <c r="B876" s="140">
        <v>489</v>
      </c>
      <c r="C876" t="s">
        <v>1572</v>
      </c>
      <c r="D876" s="136" t="s">
        <v>2575</v>
      </c>
      <c r="E876" t="s">
        <v>1180</v>
      </c>
      <c r="F876" s="650" t="s">
        <v>1186</v>
      </c>
      <c r="H876" s="140">
        <v>489</v>
      </c>
      <c r="I876" t="s">
        <v>1572</v>
      </c>
      <c r="J876" s="136" t="s">
        <v>2575</v>
      </c>
      <c r="K876" t="s">
        <v>1180</v>
      </c>
      <c r="L876" s="650" t="s">
        <v>1186</v>
      </c>
    </row>
    <row r="877" spans="2:12">
      <c r="B877" s="140">
        <v>490</v>
      </c>
      <c r="C877" t="s">
        <v>2577</v>
      </c>
      <c r="D877" s="136" t="s">
        <v>2578</v>
      </c>
      <c r="E877" t="s">
        <v>452</v>
      </c>
      <c r="F877" s="650" t="s">
        <v>1186</v>
      </c>
      <c r="H877" s="140">
        <v>490</v>
      </c>
      <c r="I877" t="s">
        <v>2577</v>
      </c>
      <c r="J877" s="136" t="s">
        <v>2578</v>
      </c>
      <c r="K877" t="s">
        <v>452</v>
      </c>
      <c r="L877" s="650" t="s">
        <v>1186</v>
      </c>
    </row>
    <row r="878" spans="2:12">
      <c r="B878" s="140">
        <v>490</v>
      </c>
      <c r="C878" t="s">
        <v>2577</v>
      </c>
      <c r="D878" s="136" t="s">
        <v>2579</v>
      </c>
      <c r="E878" t="s">
        <v>1183</v>
      </c>
      <c r="F878" s="650" t="s">
        <v>1186</v>
      </c>
      <c r="H878" s="140">
        <v>490</v>
      </c>
      <c r="I878" t="s">
        <v>2577</v>
      </c>
      <c r="J878" s="136" t="s">
        <v>2579</v>
      </c>
      <c r="K878" t="s">
        <v>1183</v>
      </c>
      <c r="L878" s="650" t="s">
        <v>1186</v>
      </c>
    </row>
    <row r="879" spans="2:12">
      <c r="B879" s="140">
        <v>491</v>
      </c>
      <c r="C879" t="s">
        <v>2581</v>
      </c>
      <c r="D879" s="136" t="s">
        <v>2582</v>
      </c>
      <c r="E879" t="s">
        <v>2583</v>
      </c>
      <c r="F879" s="650" t="s">
        <v>1186</v>
      </c>
      <c r="H879" s="140">
        <v>491</v>
      </c>
      <c r="I879" t="s">
        <v>2581</v>
      </c>
      <c r="J879" s="136" t="s">
        <v>2582</v>
      </c>
      <c r="K879" t="s">
        <v>2583</v>
      </c>
      <c r="L879" s="650" t="s">
        <v>1186</v>
      </c>
    </row>
    <row r="880" spans="2:12">
      <c r="B880" s="140">
        <v>492</v>
      </c>
      <c r="C880" t="s">
        <v>2585</v>
      </c>
      <c r="D880" s="136" t="s">
        <v>2586</v>
      </c>
      <c r="E880" t="s">
        <v>455</v>
      </c>
      <c r="F880" s="650" t="s">
        <v>1186</v>
      </c>
      <c r="H880" s="140">
        <v>492</v>
      </c>
      <c r="I880" t="s">
        <v>2585</v>
      </c>
      <c r="J880" s="136" t="s">
        <v>2586</v>
      </c>
      <c r="K880" t="s">
        <v>455</v>
      </c>
      <c r="L880" s="650" t="s">
        <v>1186</v>
      </c>
    </row>
    <row r="881" spans="2:12">
      <c r="B881" s="140">
        <v>493</v>
      </c>
      <c r="C881" t="s">
        <v>2588</v>
      </c>
      <c r="D881" s="136" t="s">
        <v>2589</v>
      </c>
      <c r="E881" t="s">
        <v>2590</v>
      </c>
      <c r="F881" s="650" t="s">
        <v>1186</v>
      </c>
      <c r="H881" s="140">
        <v>493</v>
      </c>
      <c r="I881" t="s">
        <v>2588</v>
      </c>
      <c r="J881" s="136" t="s">
        <v>2589</v>
      </c>
      <c r="K881" t="s">
        <v>2590</v>
      </c>
      <c r="L881" s="650" t="s">
        <v>1186</v>
      </c>
    </row>
    <row r="882" spans="2:12">
      <c r="B882" s="140">
        <v>494</v>
      </c>
      <c r="C882" t="s">
        <v>1574</v>
      </c>
      <c r="D882" s="136" t="s">
        <v>2592</v>
      </c>
      <c r="E882" t="s">
        <v>457</v>
      </c>
      <c r="F882" s="650" t="s">
        <v>1186</v>
      </c>
      <c r="H882" s="651">
        <v>25</v>
      </c>
      <c r="I882" t="s">
        <v>1574</v>
      </c>
      <c r="J882" s="136" t="s">
        <v>2592</v>
      </c>
      <c r="K882" t="s">
        <v>457</v>
      </c>
      <c r="L882" s="650" t="s">
        <v>1186</v>
      </c>
    </row>
    <row r="883" spans="2:12">
      <c r="B883" s="140">
        <v>494</v>
      </c>
      <c r="C883" t="s">
        <v>552</v>
      </c>
      <c r="F883" s="650" t="s">
        <v>1186</v>
      </c>
      <c r="H883" s="140">
        <v>555</v>
      </c>
      <c r="I883" t="s">
        <v>1197</v>
      </c>
      <c r="J883" s="136" t="s">
        <v>2594</v>
      </c>
      <c r="K883" t="s">
        <v>2595</v>
      </c>
      <c r="L883" s="650" t="s">
        <v>1186</v>
      </c>
    </row>
    <row r="884" spans="2:12">
      <c r="B884" s="140">
        <v>555</v>
      </c>
      <c r="C884" t="s">
        <v>1197</v>
      </c>
      <c r="D884" s="136" t="s">
        <v>2594</v>
      </c>
      <c r="E884" t="s">
        <v>2595</v>
      </c>
      <c r="F884" s="650" t="s">
        <v>1186</v>
      </c>
      <c r="H884" s="140">
        <v>559</v>
      </c>
      <c r="I884" t="s">
        <v>2597</v>
      </c>
      <c r="J884" s="136" t="s">
        <v>1228</v>
      </c>
      <c r="K884" t="s">
        <v>459</v>
      </c>
      <c r="L884" s="650" t="s">
        <v>1186</v>
      </c>
    </row>
    <row r="885" spans="2:12">
      <c r="B885" s="140">
        <v>559</v>
      </c>
      <c r="C885" t="s">
        <v>2597</v>
      </c>
      <c r="D885" s="136" t="s">
        <v>1228</v>
      </c>
      <c r="E885" t="s">
        <v>459</v>
      </c>
      <c r="F885" s="650" t="s">
        <v>1186</v>
      </c>
      <c r="H885" s="140">
        <v>596</v>
      </c>
      <c r="I885" t="s">
        <v>1198</v>
      </c>
      <c r="J885" s="136" t="s">
        <v>2599</v>
      </c>
      <c r="K885" t="s">
        <v>2600</v>
      </c>
      <c r="L885" s="650" t="s">
        <v>1186</v>
      </c>
    </row>
    <row r="886" spans="2:12">
      <c r="B886" s="140">
        <v>596</v>
      </c>
      <c r="C886" t="s">
        <v>1198</v>
      </c>
      <c r="D886" s="136" t="s">
        <v>2599</v>
      </c>
      <c r="E886" t="s">
        <v>2600</v>
      </c>
      <c r="F886" s="650" t="s">
        <v>1186</v>
      </c>
      <c r="H886" s="140">
        <v>751</v>
      </c>
      <c r="I886" t="s">
        <v>2602</v>
      </c>
      <c r="J886" s="136" t="s">
        <v>2603</v>
      </c>
      <c r="K886" t="s">
        <v>2604</v>
      </c>
      <c r="L886" s="650" t="s">
        <v>1186</v>
      </c>
    </row>
    <row r="887" spans="2:12">
      <c r="B887" s="140">
        <v>751</v>
      </c>
      <c r="C887" t="s">
        <v>2602</v>
      </c>
      <c r="D887" s="136" t="s">
        <v>2603</v>
      </c>
      <c r="E887" t="s">
        <v>2604</v>
      </c>
      <c r="F887" s="650" t="s">
        <v>1186</v>
      </c>
      <c r="H887" s="140">
        <v>768</v>
      </c>
      <c r="I887" t="s">
        <v>2606</v>
      </c>
      <c r="J887" s="136" t="s">
        <v>1223</v>
      </c>
      <c r="K887" t="s">
        <v>2607</v>
      </c>
      <c r="L887" s="650" t="s">
        <v>1186</v>
      </c>
    </row>
    <row r="888" spans="2:12">
      <c r="B888" s="140">
        <v>768</v>
      </c>
      <c r="C888" t="s">
        <v>2606</v>
      </c>
      <c r="D888" s="136" t="s">
        <v>1223</v>
      </c>
      <c r="E888" t="s">
        <v>2607</v>
      </c>
      <c r="F888" s="650" t="s">
        <v>1186</v>
      </c>
      <c r="H888" s="140">
        <v>771</v>
      </c>
      <c r="I888" t="s">
        <v>2609</v>
      </c>
      <c r="J888" s="136" t="s">
        <v>2610</v>
      </c>
      <c r="K888" t="s">
        <v>2611</v>
      </c>
      <c r="L888" s="650" t="s">
        <v>1186</v>
      </c>
    </row>
    <row r="889" spans="2:12">
      <c r="B889" s="140">
        <v>771</v>
      </c>
      <c r="C889" t="s">
        <v>2609</v>
      </c>
      <c r="D889" s="136" t="s">
        <v>2610</v>
      </c>
      <c r="E889" t="s">
        <v>2611</v>
      </c>
      <c r="F889" s="650" t="s">
        <v>1186</v>
      </c>
      <c r="H889" s="140">
        <v>785</v>
      </c>
      <c r="I889" t="s">
        <v>2613</v>
      </c>
      <c r="J889" s="136" t="s">
        <v>1224</v>
      </c>
      <c r="K889" t="s">
        <v>456</v>
      </c>
      <c r="L889" s="650">
        <v>17</v>
      </c>
    </row>
    <row r="890" spans="2:12">
      <c r="B890" s="140">
        <v>785</v>
      </c>
      <c r="C890" t="s">
        <v>2613</v>
      </c>
      <c r="D890" s="136" t="s">
        <v>1224</v>
      </c>
      <c r="E890" t="s">
        <v>456</v>
      </c>
      <c r="F890" s="650">
        <v>17</v>
      </c>
      <c r="H890" s="140">
        <v>790</v>
      </c>
      <c r="I890" t="s">
        <v>2615</v>
      </c>
      <c r="J890" s="136" t="s">
        <v>1232</v>
      </c>
      <c r="K890" t="s">
        <v>461</v>
      </c>
      <c r="L890" s="650" t="s">
        <v>1186</v>
      </c>
    </row>
    <row r="891" spans="2:12">
      <c r="B891" s="140">
        <v>790</v>
      </c>
      <c r="C891" t="s">
        <v>2615</v>
      </c>
      <c r="D891" s="136" t="s">
        <v>1232</v>
      </c>
      <c r="E891" t="s">
        <v>461</v>
      </c>
      <c r="F891" s="650" t="s">
        <v>1186</v>
      </c>
      <c r="H891" s="140">
        <v>794</v>
      </c>
      <c r="I891" t="s">
        <v>2617</v>
      </c>
      <c r="J891" s="136" t="s">
        <v>2618</v>
      </c>
      <c r="K891" t="s">
        <v>2619</v>
      </c>
      <c r="L891" s="650">
        <v>10</v>
      </c>
    </row>
    <row r="892" spans="2:12">
      <c r="B892" s="140">
        <v>794</v>
      </c>
      <c r="C892" t="s">
        <v>2617</v>
      </c>
      <c r="D892" s="136" t="s">
        <v>2618</v>
      </c>
      <c r="E892" t="s">
        <v>2619</v>
      </c>
      <c r="F892" s="650">
        <v>10</v>
      </c>
      <c r="H892" s="651">
        <v>131</v>
      </c>
      <c r="I892" t="s">
        <v>2621</v>
      </c>
      <c r="J892" s="136" t="s">
        <v>1226</v>
      </c>
      <c r="K892" t="s">
        <v>458</v>
      </c>
      <c r="L892" s="650" t="s">
        <v>1186</v>
      </c>
    </row>
    <row r="893" spans="2:12">
      <c r="B893" s="140">
        <v>795</v>
      </c>
      <c r="C893" t="s">
        <v>2621</v>
      </c>
      <c r="D893" s="136" t="s">
        <v>1226</v>
      </c>
      <c r="E893" t="s">
        <v>458</v>
      </c>
      <c r="F893" s="650" t="s">
        <v>1186</v>
      </c>
      <c r="H893" s="140">
        <v>813</v>
      </c>
      <c r="I893" t="s">
        <v>2623</v>
      </c>
      <c r="J893" s="136" t="s">
        <v>1230</v>
      </c>
      <c r="K893" t="s">
        <v>460</v>
      </c>
      <c r="L893" s="650" t="s">
        <v>1186</v>
      </c>
    </row>
    <row r="894" spans="2:12">
      <c r="B894" s="140">
        <v>813</v>
      </c>
      <c r="C894" t="s">
        <v>2623</v>
      </c>
      <c r="D894" s="136" t="s">
        <v>1230</v>
      </c>
      <c r="E894" t="s">
        <v>460</v>
      </c>
      <c r="F894" s="650" t="s">
        <v>1186</v>
      </c>
    </row>
  </sheetData>
  <mergeCells count="2">
    <mergeCell ref="H1:L1"/>
    <mergeCell ref="U7:X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27"/>
  <sheetViews>
    <sheetView zoomScale="90" zoomScaleNormal="90" workbookViewId="0">
      <selection activeCell="D15" sqref="D15"/>
    </sheetView>
  </sheetViews>
  <sheetFormatPr defaultColWidth="9.1796875" defaultRowHeight="14.5"/>
  <cols>
    <col min="1" max="1" width="5.453125" style="40" customWidth="1"/>
    <col min="2" max="2" width="2.54296875" style="40" customWidth="1"/>
    <col min="3" max="3" width="43" style="40" customWidth="1"/>
    <col min="4" max="4" width="30.7265625" style="40" customWidth="1"/>
    <col min="5" max="5" width="34.81640625" style="40" customWidth="1"/>
    <col min="6" max="6" width="30.453125" style="40" customWidth="1"/>
    <col min="7" max="7" width="3.26953125" style="40" customWidth="1"/>
    <col min="8" max="9" width="9.1796875" style="201"/>
    <col min="10" max="10" width="10.81640625" style="201" bestFit="1" customWidth="1"/>
    <col min="11" max="12" width="9.1796875" style="201"/>
    <col min="13" max="20" width="9.1796875" style="381"/>
    <col min="21" max="16384" width="9.1796875" style="40"/>
  </cols>
  <sheetData>
    <row r="2" spans="2:20">
      <c r="C2"/>
    </row>
    <row r="5" spans="2:20" s="351" customFormat="1">
      <c r="H5" s="246"/>
      <c r="I5" s="246"/>
      <c r="J5" s="246"/>
      <c r="K5" s="246"/>
      <c r="L5" s="246"/>
      <c r="M5" s="382"/>
      <c r="N5" s="382"/>
      <c r="O5" s="382"/>
      <c r="P5" s="382"/>
      <c r="Q5" s="382"/>
      <c r="R5" s="382"/>
      <c r="S5" s="382"/>
      <c r="T5" s="382"/>
    </row>
    <row r="6" spans="2:20">
      <c r="C6" s="351"/>
      <c r="D6" s="351"/>
      <c r="E6" s="351"/>
      <c r="F6" s="351"/>
      <c r="G6" s="351"/>
      <c r="O6" s="901"/>
    </row>
    <row r="7" spans="2:20" ht="20">
      <c r="C7" s="41" t="s">
        <v>267</v>
      </c>
      <c r="D7" s="42"/>
      <c r="E7" s="43"/>
    </row>
    <row r="8" spans="2:20">
      <c r="C8" s="43"/>
      <c r="D8" s="43"/>
      <c r="E8" s="43"/>
      <c r="K8" s="903"/>
      <c r="M8" s="901"/>
      <c r="O8" s="901"/>
    </row>
    <row r="9" spans="2:20">
      <c r="B9" s="359"/>
      <c r="C9" s="370"/>
      <c r="D9" s="370"/>
      <c r="E9" s="370"/>
      <c r="F9" s="360"/>
      <c r="G9" s="361"/>
      <c r="K9" s="903"/>
    </row>
    <row r="10" spans="2:20">
      <c r="B10" s="362"/>
      <c r="C10" s="371" t="s">
        <v>268</v>
      </c>
      <c r="D10" s="372"/>
      <c r="E10" s="373"/>
      <c r="F10" s="364"/>
      <c r="G10" s="365"/>
      <c r="K10" s="903"/>
    </row>
    <row r="11" spans="2:20" ht="30.75" customHeight="1">
      <c r="B11" s="362"/>
      <c r="C11" s="944" t="s">
        <v>1407</v>
      </c>
      <c r="D11" s="944"/>
      <c r="E11" s="944"/>
      <c r="F11" s="944"/>
      <c r="G11" s="365"/>
    </row>
    <row r="12" spans="2:20">
      <c r="B12" s="362"/>
      <c r="C12" s="373"/>
      <c r="D12" s="373"/>
      <c r="E12" s="373"/>
      <c r="F12" s="364"/>
      <c r="G12" s="365"/>
    </row>
    <row r="13" spans="2:20">
      <c r="B13" s="362"/>
      <c r="C13" s="316" t="s">
        <v>263</v>
      </c>
      <c r="D13" s="317"/>
      <c r="E13" s="318" t="s">
        <v>269</v>
      </c>
      <c r="F13" s="364"/>
      <c r="G13" s="365"/>
    </row>
    <row r="14" spans="2:20">
      <c r="B14" s="362"/>
      <c r="C14" s="315" t="s">
        <v>92</v>
      </c>
      <c r="D14" s="44"/>
      <c r="E14" s="398" t="s">
        <v>270</v>
      </c>
      <c r="F14" s="364"/>
      <c r="G14" s="365"/>
    </row>
    <row r="15" spans="2:20">
      <c r="B15" s="362"/>
      <c r="C15" s="315" t="s">
        <v>93</v>
      </c>
      <c r="D15" s="45"/>
      <c r="E15" s="399" t="s">
        <v>270</v>
      </c>
      <c r="F15" s="364"/>
      <c r="G15" s="365"/>
    </row>
    <row r="16" spans="2:20">
      <c r="B16" s="362"/>
      <c r="C16" s="315" t="s">
        <v>61</v>
      </c>
      <c r="D16" s="44"/>
      <c r="E16" s="399" t="s">
        <v>270</v>
      </c>
      <c r="F16" s="364"/>
      <c r="G16" s="365"/>
    </row>
    <row r="17" spans="2:7">
      <c r="B17" s="362"/>
      <c r="C17" s="315" t="s">
        <v>62</v>
      </c>
      <c r="D17" s="44"/>
      <c r="E17" s="399" t="s">
        <v>270</v>
      </c>
      <c r="F17" s="364"/>
      <c r="G17" s="365"/>
    </row>
    <row r="18" spans="2:7">
      <c r="B18" s="362"/>
      <c r="C18" s="315" t="s">
        <v>63</v>
      </c>
      <c r="D18" s="44"/>
      <c r="E18" s="399" t="s">
        <v>270</v>
      </c>
      <c r="F18" s="364"/>
      <c r="G18" s="365"/>
    </row>
    <row r="19" spans="2:7">
      <c r="B19" s="362"/>
      <c r="C19" s="315" t="s">
        <v>94</v>
      </c>
      <c r="D19" s="44"/>
      <c r="E19" s="399" t="s">
        <v>270</v>
      </c>
      <c r="F19" s="364"/>
      <c r="G19" s="365"/>
    </row>
    <row r="20" spans="2:7">
      <c r="B20" s="362"/>
      <c r="C20" s="315" t="s">
        <v>65</v>
      </c>
      <c r="D20" s="44"/>
      <c r="E20" s="399" t="s">
        <v>270</v>
      </c>
      <c r="F20" s="364"/>
      <c r="G20" s="365"/>
    </row>
    <row r="21" spans="2:7">
      <c r="B21" s="362"/>
      <c r="C21" s="315" t="s">
        <v>66</v>
      </c>
      <c r="D21" s="44"/>
      <c r="E21" s="399" t="s">
        <v>270</v>
      </c>
      <c r="F21" s="364"/>
      <c r="G21" s="365"/>
    </row>
    <row r="22" spans="2:7">
      <c r="B22" s="362"/>
      <c r="C22" s="315" t="s">
        <v>67</v>
      </c>
      <c r="D22" s="44"/>
      <c r="E22" s="399" t="s">
        <v>270</v>
      </c>
      <c r="F22" s="364"/>
      <c r="G22" s="365"/>
    </row>
    <row r="23" spans="2:7">
      <c r="B23" s="362"/>
      <c r="C23" s="315" t="s">
        <v>68</v>
      </c>
      <c r="D23" s="44"/>
      <c r="E23" s="399" t="s">
        <v>270</v>
      </c>
      <c r="F23" s="364"/>
      <c r="G23" s="365"/>
    </row>
    <row r="24" spans="2:7">
      <c r="B24" s="362"/>
      <c r="C24" s="315" t="s">
        <v>69</v>
      </c>
      <c r="D24" s="44"/>
      <c r="E24" s="399" t="s">
        <v>270</v>
      </c>
      <c r="F24" s="364"/>
      <c r="G24" s="365"/>
    </row>
    <row r="25" spans="2:7">
      <c r="B25" s="362"/>
      <c r="C25" s="315" t="s">
        <v>70</v>
      </c>
      <c r="D25" s="44"/>
      <c r="E25" s="399" t="s">
        <v>270</v>
      </c>
      <c r="F25" s="364"/>
      <c r="G25" s="365"/>
    </row>
    <row r="26" spans="2:7" ht="15.5">
      <c r="B26" s="362"/>
      <c r="C26" s="940" t="s">
        <v>1410</v>
      </c>
      <c r="D26" s="941"/>
      <c r="E26" s="307">
        <f>SUMIF('Idaho Data'!RG4:RR4, "X", 'Idaho Data'!RG5:RR5)</f>
        <v>1552325077</v>
      </c>
      <c r="F26" s="364"/>
      <c r="G26" s="365"/>
    </row>
    <row r="27" spans="2:7" ht="15.5">
      <c r="B27" s="362"/>
      <c r="C27" s="942" t="s">
        <v>1406</v>
      </c>
      <c r="D27" s="943"/>
      <c r="E27" s="308">
        <f>E26/SUM('Idaho Data'!RG5:RR5)</f>
        <v>1</v>
      </c>
      <c r="F27" s="364"/>
      <c r="G27" s="365"/>
    </row>
    <row r="28" spans="2:7">
      <c r="B28" s="369"/>
      <c r="C28" s="367"/>
      <c r="D28" s="367"/>
      <c r="E28" s="367"/>
      <c r="F28" s="367"/>
      <c r="G28" s="368"/>
    </row>
    <row r="30" spans="2:7">
      <c r="B30" s="359"/>
      <c r="C30" s="360"/>
      <c r="D30" s="360"/>
      <c r="E30" s="360"/>
      <c r="F30" s="360"/>
      <c r="G30" s="361"/>
    </row>
    <row r="31" spans="2:7">
      <c r="B31" s="362"/>
      <c r="C31" s="363" t="s">
        <v>1408</v>
      </c>
      <c r="D31" s="364"/>
      <c r="E31" s="364"/>
      <c r="F31" s="364"/>
      <c r="G31" s="365"/>
    </row>
    <row r="32" spans="2:7" ht="144.75" customHeight="1">
      <c r="B32" s="362"/>
      <c r="C32" s="939" t="s">
        <v>1422</v>
      </c>
      <c r="D32" s="939"/>
      <c r="E32" s="939"/>
      <c r="F32" s="939"/>
      <c r="G32" s="365"/>
    </row>
    <row r="33" spans="2:8">
      <c r="B33" s="362"/>
      <c r="C33" s="363"/>
      <c r="D33" s="366"/>
      <c r="E33" s="366"/>
      <c r="F33" s="364"/>
      <c r="G33" s="365"/>
    </row>
    <row r="34" spans="2:8">
      <c r="B34" s="362"/>
      <c r="C34" s="951" t="s">
        <v>1409</v>
      </c>
      <c r="D34" s="951"/>
      <c r="E34" s="396" t="s">
        <v>1274</v>
      </c>
      <c r="F34" s="413" t="s">
        <v>1274</v>
      </c>
      <c r="G34" s="414" t="s">
        <v>1275</v>
      </c>
    </row>
    <row r="35" spans="2:8" ht="58.5" customHeight="1">
      <c r="B35" s="362"/>
      <c r="C35" s="952" t="s">
        <v>2823</v>
      </c>
      <c r="D35" s="952"/>
      <c r="E35" s="416">
        <v>0</v>
      </c>
      <c r="F35" s="364"/>
      <c r="G35" s="365"/>
    </row>
    <row r="36" spans="2:8" ht="17.25" customHeight="1">
      <c r="B36" s="362"/>
      <c r="C36" s="954" t="s">
        <v>1410</v>
      </c>
      <c r="D36" s="954"/>
      <c r="E36" s="310">
        <f>SUM('Idaho Data'!$UI$10:$UK$154)</f>
        <v>1532814074</v>
      </c>
      <c r="F36" s="364"/>
      <c r="G36" s="365"/>
    </row>
    <row r="37" spans="2:8" ht="16.5" customHeight="1">
      <c r="B37" s="362"/>
      <c r="C37" s="955" t="s">
        <v>1411</v>
      </c>
      <c r="D37" s="955"/>
      <c r="E37" s="311">
        <f>E36/SUM('Idaho Data'!RW5:RX5)</f>
        <v>0.71803594425983308</v>
      </c>
      <c r="F37" s="364"/>
      <c r="G37" s="365"/>
    </row>
    <row r="38" spans="2:8" hidden="1">
      <c r="B38" s="228"/>
      <c r="C38" s="351"/>
      <c r="D38" s="351"/>
      <c r="E38" s="351"/>
      <c r="F38" s="364"/>
      <c r="G38" s="365"/>
    </row>
    <row r="39" spans="2:8" ht="36" hidden="1" customHeight="1">
      <c r="B39" s="228"/>
      <c r="C39" s="953" t="s">
        <v>1276</v>
      </c>
      <c r="D39" s="953"/>
      <c r="E39" s="309">
        <v>1</v>
      </c>
      <c r="F39" s="364"/>
      <c r="G39" s="365"/>
    </row>
    <row r="40" spans="2:8">
      <c r="B40" s="369"/>
      <c r="C40" s="367"/>
      <c r="D40" s="367"/>
      <c r="E40" s="367"/>
      <c r="F40" s="367"/>
      <c r="G40" s="368"/>
    </row>
    <row r="41" spans="2:8">
      <c r="B41" s="351"/>
      <c r="C41" s="351"/>
      <c r="D41" s="351"/>
      <c r="E41" s="351"/>
      <c r="F41" s="351"/>
      <c r="G41" s="351"/>
    </row>
    <row r="42" spans="2:8">
      <c r="B42" s="359"/>
      <c r="C42" s="360"/>
      <c r="D42" s="360"/>
      <c r="E42" s="360"/>
      <c r="F42" s="360"/>
      <c r="G42" s="361"/>
    </row>
    <row r="43" spans="2:8">
      <c r="B43" s="362"/>
      <c r="C43" s="371" t="s">
        <v>1412</v>
      </c>
      <c r="D43" s="364"/>
      <c r="E43" s="364"/>
      <c r="F43" s="364"/>
      <c r="G43" s="365"/>
    </row>
    <row r="44" spans="2:8" ht="15.75" customHeight="1">
      <c r="B44" s="362"/>
      <c r="C44" s="939" t="s">
        <v>1416</v>
      </c>
      <c r="D44" s="939"/>
      <c r="E44" s="939"/>
      <c r="F44" s="939"/>
      <c r="G44" s="365"/>
    </row>
    <row r="45" spans="2:8" ht="9" customHeight="1">
      <c r="B45" s="362"/>
      <c r="C45" s="374"/>
      <c r="D45" s="374"/>
      <c r="E45" s="374"/>
      <c r="F45" s="364"/>
      <c r="G45" s="365"/>
    </row>
    <row r="46" spans="2:8" ht="16.5" customHeight="1">
      <c r="B46" s="362"/>
      <c r="C46" s="947" t="s">
        <v>1413</v>
      </c>
      <c r="D46" s="948"/>
      <c r="E46" s="397" t="s">
        <v>1414</v>
      </c>
      <c r="F46" s="415" t="s">
        <v>1414</v>
      </c>
      <c r="G46" s="417" t="s">
        <v>1415</v>
      </c>
      <c r="H46" s="201" t="s">
        <v>1275</v>
      </c>
    </row>
    <row r="47" spans="2:8" ht="16.5" customHeight="1">
      <c r="B47" s="362"/>
      <c r="C47" s="340" t="s">
        <v>1417</v>
      </c>
      <c r="D47" s="341" t="s">
        <v>1423</v>
      </c>
      <c r="E47" s="395">
        <v>0</v>
      </c>
      <c r="F47" s="375"/>
      <c r="G47" s="376"/>
    </row>
    <row r="48" spans="2:8" ht="18" customHeight="1">
      <c r="B48" s="362"/>
      <c r="C48" s="956" t="s">
        <v>1410</v>
      </c>
      <c r="D48" s="956"/>
      <c r="E48" s="310">
        <f>'Idaho Data'!UI3</f>
        <v>1552325077</v>
      </c>
      <c r="F48" s="375"/>
      <c r="G48" s="376"/>
    </row>
    <row r="49" spans="2:9">
      <c r="B49" s="369"/>
      <c r="C49" s="367"/>
      <c r="D49" s="367"/>
      <c r="E49" s="367"/>
      <c r="F49" s="367"/>
      <c r="G49" s="368"/>
    </row>
    <row r="51" spans="2:9">
      <c r="B51" s="359"/>
      <c r="C51" s="360"/>
      <c r="D51" s="360"/>
      <c r="E51" s="360"/>
      <c r="F51" s="360"/>
      <c r="G51" s="361"/>
    </row>
    <row r="52" spans="2:9">
      <c r="B52" s="362"/>
      <c r="C52" s="371" t="s">
        <v>1420</v>
      </c>
      <c r="D52" s="372"/>
      <c r="E52" s="373"/>
      <c r="F52" s="364"/>
      <c r="G52" s="365"/>
    </row>
    <row r="53" spans="2:9" ht="42.75" customHeight="1">
      <c r="B53" s="362"/>
      <c r="C53" s="946" t="s">
        <v>1282</v>
      </c>
      <c r="D53" s="946"/>
      <c r="E53" s="946"/>
      <c r="F53" s="946"/>
      <c r="G53" s="365"/>
    </row>
    <row r="54" spans="2:9" ht="17.25" customHeight="1">
      <c r="B54" s="362"/>
      <c r="C54" s="418"/>
      <c r="D54" s="418"/>
      <c r="E54" s="418"/>
      <c r="F54" s="418"/>
      <c r="G54" s="365"/>
    </row>
    <row r="55" spans="2:9">
      <c r="B55" s="362"/>
      <c r="C55" s="320"/>
      <c r="D55" s="321" t="s">
        <v>1283</v>
      </c>
      <c r="E55" s="322" t="s">
        <v>1445</v>
      </c>
      <c r="F55" s="364"/>
      <c r="G55" s="365"/>
    </row>
    <row r="56" spans="2:9">
      <c r="B56" s="362"/>
      <c r="C56" s="342" t="s">
        <v>1285</v>
      </c>
      <c r="D56" s="343">
        <v>5526</v>
      </c>
      <c r="E56" s="347">
        <f>ROUNDDOWN('Idaho Data'!UO3/'Idaho Data'!ST5, 0)</f>
        <v>0</v>
      </c>
      <c r="F56" s="364"/>
      <c r="G56" s="365"/>
    </row>
    <row r="57" spans="2:9">
      <c r="B57" s="369"/>
      <c r="C57" s="367"/>
      <c r="D57" s="367"/>
      <c r="E57" s="367"/>
      <c r="F57" s="367"/>
      <c r="G57" s="368"/>
    </row>
    <row r="58" spans="2:9">
      <c r="I58" s="904"/>
    </row>
    <row r="59" spans="2:9">
      <c r="B59" s="359"/>
      <c r="C59" s="360"/>
      <c r="D59" s="360"/>
      <c r="E59" s="360"/>
      <c r="F59" s="360"/>
      <c r="G59" s="361"/>
      <c r="I59" s="904"/>
    </row>
    <row r="60" spans="2:9">
      <c r="B60" s="362"/>
      <c r="C60" s="371" t="s">
        <v>1421</v>
      </c>
      <c r="D60" s="373"/>
      <c r="E60" s="373"/>
      <c r="F60" s="364"/>
      <c r="G60" s="365"/>
    </row>
    <row r="61" spans="2:9" ht="78.75" customHeight="1">
      <c r="B61" s="362"/>
      <c r="C61" s="945" t="s">
        <v>1419</v>
      </c>
      <c r="D61" s="945"/>
      <c r="E61" s="945"/>
      <c r="F61" s="945"/>
      <c r="G61" s="365"/>
    </row>
    <row r="62" spans="2:9">
      <c r="B62" s="362"/>
      <c r="C62" s="373"/>
      <c r="D62" s="383"/>
      <c r="E62" s="383"/>
      <c r="F62" s="384"/>
      <c r="G62" s="365"/>
    </row>
    <row r="63" spans="2:9" ht="28.5">
      <c r="B63" s="362"/>
      <c r="C63" s="320"/>
      <c r="D63" s="330" t="s">
        <v>1283</v>
      </c>
      <c r="E63" s="332" t="s">
        <v>1418</v>
      </c>
      <c r="F63" s="331" t="s">
        <v>1284</v>
      </c>
      <c r="G63" s="365"/>
    </row>
    <row r="64" spans="2:9">
      <c r="B64" s="362"/>
      <c r="C64" s="327" t="s">
        <v>1286</v>
      </c>
      <c r="D64" s="328"/>
      <c r="E64" s="334"/>
      <c r="F64" s="329"/>
      <c r="G64" s="365"/>
    </row>
    <row r="65" spans="2:7">
      <c r="B65" s="362"/>
      <c r="C65" s="333" t="s">
        <v>1287</v>
      </c>
      <c r="D65" s="335">
        <v>0</v>
      </c>
      <c r="E65" s="482">
        <f t="shared" ref="E65:E70" si="0">D65*$D$56+$D$56</f>
        <v>5526</v>
      </c>
      <c r="F65" s="337">
        <f>IF(D56=0, "", ROUNDDOWN($E$114/'Idaho Data'!SU5, 2)/$D$56)</f>
        <v>6.6956207021353606E-5</v>
      </c>
      <c r="G65" s="385"/>
    </row>
    <row r="66" spans="2:7">
      <c r="B66" s="362"/>
      <c r="C66" s="323" t="s">
        <v>1288</v>
      </c>
      <c r="D66" s="336">
        <v>0</v>
      </c>
      <c r="E66" s="482">
        <f t="shared" si="0"/>
        <v>5526</v>
      </c>
      <c r="F66" s="338">
        <f>IF(D56=0, "",ROUNDDOWN($E$114/'Idaho Data'!SW5, 2)/$D$56)</f>
        <v>3.2211364458921464E-4</v>
      </c>
      <c r="G66" s="385"/>
    </row>
    <row r="67" spans="2:7">
      <c r="B67" s="362"/>
      <c r="C67" s="323" t="s">
        <v>1289</v>
      </c>
      <c r="D67" s="336">
        <v>0</v>
      </c>
      <c r="E67" s="482">
        <f t="shared" si="0"/>
        <v>5526</v>
      </c>
      <c r="F67" s="338">
        <f>IF(D56=0, "", ROUNDDOWN($E$114/'Idaho Data'!TA5, 2)/$D$56)</f>
        <v>4.0897575099529493E-4</v>
      </c>
      <c r="G67" s="385"/>
    </row>
    <row r="68" spans="2:7">
      <c r="B68" s="362"/>
      <c r="C68" s="323" t="s">
        <v>1290</v>
      </c>
      <c r="D68" s="336">
        <v>0</v>
      </c>
      <c r="E68" s="482">
        <f t="shared" si="0"/>
        <v>5526</v>
      </c>
      <c r="F68" s="338">
        <f>IF(D56=0, "", ROUNDDOWN($E$114/'Idaho Data'!TB5, 2)/$D$56)</f>
        <v>1.4332247557003258E-3</v>
      </c>
      <c r="G68" s="385"/>
    </row>
    <row r="69" spans="2:7">
      <c r="B69" s="362"/>
      <c r="C69" s="323" t="s">
        <v>1291</v>
      </c>
      <c r="D69" s="336">
        <v>0</v>
      </c>
      <c r="E69" s="482">
        <f t="shared" si="0"/>
        <v>5526</v>
      </c>
      <c r="F69" s="338">
        <f>IF(D56=0, "", ROUNDDOWN($E$114/'Idaho Data'!TC5, 2)/$D$56)</f>
        <v>4.0969960188201229E-3</v>
      </c>
      <c r="G69" s="385"/>
    </row>
    <row r="70" spans="2:7">
      <c r="B70" s="362"/>
      <c r="C70" s="323" t="s">
        <v>1292</v>
      </c>
      <c r="D70" s="336">
        <v>0</v>
      </c>
      <c r="E70" s="482">
        <f t="shared" si="0"/>
        <v>5526</v>
      </c>
      <c r="F70" s="338">
        <f>IF(D56=0, "", ROUNDDOWN($E$114/'Idaho Data'!TD5, 2)/$D$56)</f>
        <v>9.5602605863192181E-3</v>
      </c>
      <c r="G70" s="385"/>
    </row>
    <row r="71" spans="2:7" ht="9" customHeight="1">
      <c r="B71" s="362"/>
      <c r="C71" s="324"/>
      <c r="D71" s="325"/>
      <c r="E71" s="339">
        <f>D71*$D$56</f>
        <v>0</v>
      </c>
      <c r="F71" s="326"/>
      <c r="G71" s="365"/>
    </row>
    <row r="72" spans="2:7">
      <c r="B72" s="362"/>
      <c r="C72" s="957" t="s">
        <v>1293</v>
      </c>
      <c r="D72" s="958"/>
      <c r="E72" s="958"/>
      <c r="F72" s="959"/>
      <c r="G72" s="365"/>
    </row>
    <row r="73" spans="2:7">
      <c r="B73" s="362"/>
      <c r="C73" s="323" t="s">
        <v>1294</v>
      </c>
      <c r="D73" s="336">
        <v>0</v>
      </c>
      <c r="E73" s="483">
        <f>D73*$D$56+$D$56</f>
        <v>5526</v>
      </c>
      <c r="F73" s="338">
        <f>IF(D56=0, "", ROUNDDOWN($E$114/'Idaho Data'!TG$5, 2)/$D$56)</f>
        <v>1.2124502352515383E-4</v>
      </c>
      <c r="G73" s="365"/>
    </row>
    <row r="74" spans="2:7">
      <c r="B74" s="362"/>
      <c r="C74" s="323" t="s">
        <v>1426</v>
      </c>
      <c r="D74" s="336">
        <v>0</v>
      </c>
      <c r="E74" s="483">
        <f>D74*$D$56+$D$56</f>
        <v>5526</v>
      </c>
      <c r="F74" s="338">
        <f>IF(D56=0, "", ROUNDDOWN($E$114/'Idaho Data'!TH$5, 2)/$D$56)</f>
        <v>1.2305465074194716E-4</v>
      </c>
      <c r="G74" s="365"/>
    </row>
    <row r="75" spans="2:7">
      <c r="B75" s="362"/>
      <c r="C75" s="323" t="s">
        <v>1427</v>
      </c>
      <c r="D75" s="336">
        <v>0</v>
      </c>
      <c r="E75" s="483">
        <f>D75*$D$56+$D$56</f>
        <v>5526</v>
      </c>
      <c r="F75" s="338">
        <f>IF(D56=0, "", ROUNDDOWN($E$114/'Idaho Data'!TI$5, 2)/$D$56)</f>
        <v>1.8639160332971409E-4</v>
      </c>
      <c r="G75" s="365"/>
    </row>
    <row r="76" spans="2:7">
      <c r="B76" s="362"/>
      <c r="C76" s="323" t="s">
        <v>1295</v>
      </c>
      <c r="D76" s="336">
        <v>0</v>
      </c>
      <c r="E76" s="483">
        <f>D76*$D$56+$D$56</f>
        <v>5526</v>
      </c>
      <c r="F76" s="338">
        <f>IF(D56=0, "", ROUNDDOWN($E$114/'Idaho Data'!TJ$5, 2)/$D$56)</f>
        <v>9.5910242490047053E-5</v>
      </c>
      <c r="G76" s="365"/>
    </row>
    <row r="77" spans="2:7" ht="7.5" customHeight="1">
      <c r="B77" s="362"/>
      <c r="C77" s="324"/>
      <c r="D77" s="325"/>
      <c r="E77" s="339">
        <f>D77*$D$56</f>
        <v>0</v>
      </c>
      <c r="F77" s="326"/>
      <c r="G77" s="365"/>
    </row>
    <row r="78" spans="2:7">
      <c r="B78" s="362"/>
      <c r="C78" s="957" t="s">
        <v>1296</v>
      </c>
      <c r="D78" s="958"/>
      <c r="E78" s="958"/>
      <c r="F78" s="959"/>
      <c r="G78" s="365"/>
    </row>
    <row r="79" spans="2:7">
      <c r="B79" s="362"/>
      <c r="C79" s="323" t="s">
        <v>1238</v>
      </c>
      <c r="D79" s="336">
        <v>0</v>
      </c>
      <c r="E79" s="483">
        <f>D79*$D$56+$D$56</f>
        <v>5526</v>
      </c>
      <c r="F79" s="338">
        <f>IF(D56=0, "", ROUNDDOWN($E$114/'Idaho Data'!UB5, 2)/$D$56)</f>
        <v>4.9221860296778865E-4</v>
      </c>
      <c r="G79" s="365"/>
    </row>
    <row r="80" spans="2:7">
      <c r="B80" s="362"/>
      <c r="C80" s="323" t="s">
        <v>1297</v>
      </c>
      <c r="D80" s="336">
        <v>0</v>
      </c>
      <c r="E80" s="483">
        <f>D80*$D$56+$D$56</f>
        <v>5526</v>
      </c>
      <c r="F80" s="338">
        <f>IF(D56=0, "", ROUNDDOWN($E$114/'Idaho Data'!TW$5, 2)/$D$56)</f>
        <v>1.1038726022439378E-4</v>
      </c>
      <c r="G80" s="365"/>
    </row>
    <row r="81" spans="2:10">
      <c r="B81" s="369"/>
      <c r="C81" s="367"/>
      <c r="D81" s="367"/>
      <c r="E81" s="367"/>
      <c r="F81" s="367"/>
      <c r="G81" s="368"/>
    </row>
    <row r="82" spans="2:10">
      <c r="B82" s="351"/>
      <c r="C82" s="351"/>
      <c r="D82" s="351"/>
      <c r="E82" s="351"/>
      <c r="F82" s="351"/>
      <c r="G82" s="351"/>
    </row>
    <row r="83" spans="2:10">
      <c r="B83" s="470"/>
      <c r="C83" s="471"/>
      <c r="D83" s="471"/>
      <c r="E83" s="471"/>
      <c r="F83" s="471"/>
      <c r="G83" s="472"/>
    </row>
    <row r="84" spans="2:10">
      <c r="B84" s="473"/>
      <c r="C84" s="474" t="s">
        <v>1453</v>
      </c>
      <c r="D84" s="475"/>
      <c r="E84" s="475"/>
      <c r="F84" s="475"/>
      <c r="G84" s="476"/>
    </row>
    <row r="85" spans="2:10" ht="31.5" customHeight="1">
      <c r="B85" s="473"/>
      <c r="C85" s="949" t="s">
        <v>1454</v>
      </c>
      <c r="D85" s="949"/>
      <c r="E85" s="949"/>
      <c r="F85" s="949"/>
      <c r="G85" s="476"/>
    </row>
    <row r="86" spans="2:10" ht="28.5">
      <c r="B86" s="473"/>
      <c r="C86" s="315"/>
      <c r="D86" s="468" t="s">
        <v>1283</v>
      </c>
      <c r="E86" s="332" t="s">
        <v>2717</v>
      </c>
      <c r="F86" s="469" t="s">
        <v>1445</v>
      </c>
      <c r="G86" s="476"/>
    </row>
    <row r="87" spans="2:10" ht="32.25" customHeight="1">
      <c r="B87" s="473"/>
      <c r="C87" s="484" t="s">
        <v>1458</v>
      </c>
      <c r="D87" s="336">
        <v>0.5</v>
      </c>
      <c r="E87" s="483">
        <f>D87*D56</f>
        <v>2763</v>
      </c>
      <c r="F87" s="338">
        <f>IF(D56=0, "", ROUNDDOWN($E$114/'Idaho Data'!TF$5, 2)/$D$56)</f>
        <v>3.9992761491132824E-4</v>
      </c>
      <c r="G87" s="476"/>
    </row>
    <row r="88" spans="2:10">
      <c r="B88" s="477"/>
      <c r="C88" s="478"/>
      <c r="D88" s="479"/>
      <c r="E88" s="480"/>
      <c r="F88" s="480"/>
      <c r="G88" s="481"/>
    </row>
    <row r="89" spans="2:10">
      <c r="B89" s="351"/>
      <c r="C89" s="351"/>
      <c r="D89" s="351"/>
      <c r="E89" s="351"/>
      <c r="F89" s="351"/>
      <c r="G89" s="351"/>
    </row>
    <row r="90" spans="2:10">
      <c r="B90" s="359"/>
      <c r="C90" s="360"/>
      <c r="D90" s="360"/>
      <c r="E90" s="360"/>
      <c r="F90" s="360"/>
      <c r="G90" s="361"/>
    </row>
    <row r="91" spans="2:10">
      <c r="B91" s="362"/>
      <c r="C91" s="371" t="s">
        <v>1455</v>
      </c>
      <c r="D91" s="373"/>
      <c r="E91" s="373"/>
      <c r="F91" s="364"/>
      <c r="G91" s="365"/>
    </row>
    <row r="92" spans="2:10" ht="45" customHeight="1">
      <c r="B92" s="362"/>
      <c r="C92" s="945" t="s">
        <v>1443</v>
      </c>
      <c r="D92" s="945"/>
      <c r="E92" s="945"/>
      <c r="F92" s="364"/>
      <c r="G92" s="365"/>
    </row>
    <row r="93" spans="2:10">
      <c r="B93" s="362"/>
      <c r="C93" s="386"/>
      <c r="D93" s="386"/>
      <c r="E93" s="386"/>
      <c r="F93" s="364"/>
      <c r="G93" s="365"/>
    </row>
    <row r="94" spans="2:10" ht="42.75" customHeight="1">
      <c r="B94" s="362"/>
      <c r="C94" s="945" t="s">
        <v>2773</v>
      </c>
      <c r="D94" s="945"/>
      <c r="E94" s="945"/>
      <c r="F94" s="364"/>
      <c r="G94" s="365"/>
    </row>
    <row r="95" spans="2:10" ht="15" customHeight="1">
      <c r="B95" s="362"/>
      <c r="C95" s="842"/>
      <c r="D95" s="842"/>
      <c r="E95" s="842"/>
      <c r="F95" s="364"/>
      <c r="G95" s="365"/>
    </row>
    <row r="96" spans="2:10" ht="15" customHeight="1">
      <c r="B96" s="362"/>
      <c r="C96" s="857" t="s">
        <v>2775</v>
      </c>
      <c r="D96" s="843"/>
      <c r="E96" s="463" t="s">
        <v>1432</v>
      </c>
      <c r="F96" s="387"/>
      <c r="G96" s="417" t="s">
        <v>1275</v>
      </c>
      <c r="I96" s="201" t="s">
        <v>1432</v>
      </c>
      <c r="J96" s="201" t="s">
        <v>2814</v>
      </c>
    </row>
    <row r="97" spans="2:10">
      <c r="B97" s="362"/>
      <c r="C97" s="386"/>
      <c r="D97" s="386"/>
      <c r="E97" s="386"/>
      <c r="F97" s="364"/>
      <c r="G97" s="365"/>
    </row>
    <row r="98" spans="2:10" ht="57.75" customHeight="1">
      <c r="B98" s="362"/>
      <c r="C98" s="945" t="s">
        <v>2813</v>
      </c>
      <c r="D98" s="945"/>
      <c r="E98" s="858" t="s">
        <v>2814</v>
      </c>
      <c r="F98" s="364"/>
      <c r="G98" s="365"/>
    </row>
    <row r="99" spans="2:10">
      <c r="B99" s="362"/>
      <c r="C99" s="844"/>
      <c r="D99" s="844"/>
      <c r="E99" s="844"/>
      <c r="F99" s="364"/>
      <c r="G99" s="365"/>
    </row>
    <row r="100" spans="2:10">
      <c r="B100" s="362"/>
      <c r="C100" s="379" t="s">
        <v>1446</v>
      </c>
      <c r="D100" s="387"/>
      <c r="E100" s="344" t="s">
        <v>1306</v>
      </c>
      <c r="F100" s="387"/>
      <c r="G100" s="388"/>
      <c r="I100" s="900"/>
      <c r="J100" s="246"/>
    </row>
    <row r="101" spans="2:10">
      <c r="B101" s="362"/>
      <c r="C101" s="387"/>
      <c r="D101" s="462"/>
      <c r="E101" s="462" t="s">
        <v>1444</v>
      </c>
      <c r="F101" s="462" t="s">
        <v>1306</v>
      </c>
      <c r="G101" s="388"/>
      <c r="I101" s="352"/>
      <c r="J101" s="246"/>
    </row>
    <row r="102" spans="2:10">
      <c r="B102" s="362"/>
      <c r="C102" s="389"/>
      <c r="D102" s="389"/>
      <c r="E102" s="389"/>
      <c r="F102" s="364"/>
      <c r="G102" s="365"/>
    </row>
    <row r="103" spans="2:10" ht="29.25" customHeight="1">
      <c r="B103" s="362"/>
      <c r="C103" s="946" t="s">
        <v>2812</v>
      </c>
      <c r="D103" s="946"/>
      <c r="E103" s="345">
        <v>300</v>
      </c>
      <c r="F103" s="364"/>
      <c r="G103" s="365"/>
    </row>
    <row r="104" spans="2:10">
      <c r="B104" s="362"/>
      <c r="C104" s="364"/>
      <c r="D104" s="364"/>
      <c r="E104" s="390">
        <f>IF(E100="no", 0, E103)</f>
        <v>300</v>
      </c>
      <c r="F104" s="364"/>
      <c r="G104" s="365"/>
    </row>
    <row r="105" spans="2:10">
      <c r="B105" s="362"/>
      <c r="C105" s="378"/>
      <c r="D105" s="378"/>
      <c r="E105" s="378"/>
      <c r="F105" s="364"/>
      <c r="G105" s="365"/>
    </row>
    <row r="106" spans="2:10" ht="73.5" customHeight="1">
      <c r="B106" s="362"/>
      <c r="C106" s="960" t="s">
        <v>1298</v>
      </c>
      <c r="D106" s="960"/>
      <c r="E106" s="960"/>
      <c r="F106" s="835"/>
      <c r="G106" s="388"/>
    </row>
    <row r="107" spans="2:10">
      <c r="B107" s="362"/>
      <c r="C107" s="391"/>
      <c r="D107" s="392" t="s">
        <v>1283</v>
      </c>
      <c r="E107" s="836" t="s">
        <v>1284</v>
      </c>
      <c r="F107" s="835"/>
      <c r="G107" s="388"/>
    </row>
    <row r="108" spans="2:10">
      <c r="B108" s="362"/>
      <c r="C108" s="394" t="s">
        <v>1430</v>
      </c>
      <c r="D108" s="393">
        <v>0</v>
      </c>
      <c r="E108" s="837">
        <f>E114/COUNTIF('Idaho Data'!$UE$10:$UE$154, "yes")</f>
        <v>936.2</v>
      </c>
      <c r="F108" s="835"/>
      <c r="G108" s="388"/>
      <c r="J108" s="905"/>
    </row>
    <row r="109" spans="2:10">
      <c r="B109" s="369"/>
      <c r="C109" s="838"/>
      <c r="D109" s="838"/>
      <c r="E109" s="838"/>
      <c r="F109" s="839"/>
      <c r="G109" s="840"/>
    </row>
    <row r="110" spans="2:10">
      <c r="C110" s="346"/>
      <c r="D110" s="346"/>
      <c r="E110" s="346"/>
    </row>
    <row r="111" spans="2:10">
      <c r="B111" s="359"/>
      <c r="C111" s="377"/>
      <c r="D111" s="377"/>
      <c r="E111" s="377"/>
      <c r="F111" s="360"/>
      <c r="G111" s="361"/>
    </row>
    <row r="112" spans="2:10">
      <c r="B112" s="362"/>
      <c r="C112" s="371" t="s">
        <v>1456</v>
      </c>
      <c r="D112" s="378"/>
      <c r="E112" s="378"/>
      <c r="F112" s="364"/>
      <c r="G112" s="365"/>
    </row>
    <row r="113" spans="2:15" ht="45.75" customHeight="1">
      <c r="B113" s="362"/>
      <c r="C113" s="945" t="s">
        <v>1299</v>
      </c>
      <c r="D113" s="945"/>
      <c r="E113" s="945"/>
      <c r="F113" s="945"/>
      <c r="G113" s="365"/>
    </row>
    <row r="114" spans="2:15">
      <c r="B114" s="362"/>
      <c r="C114" s="320" t="s">
        <v>1431</v>
      </c>
      <c r="D114" s="328"/>
      <c r="E114" s="347">
        <f>'Idaho Data'!UO3</f>
        <v>46810</v>
      </c>
      <c r="F114" s="364"/>
      <c r="G114" s="365"/>
    </row>
    <row r="115" spans="2:15">
      <c r="B115" s="369"/>
      <c r="C115" s="380"/>
      <c r="D115" s="380"/>
      <c r="E115" s="380"/>
      <c r="F115" s="367"/>
      <c r="G115" s="368"/>
    </row>
    <row r="116" spans="2:15" hidden="1">
      <c r="C116" s="348"/>
      <c r="D116" s="348"/>
      <c r="E116" s="348"/>
    </row>
    <row r="117" spans="2:15" hidden="1">
      <c r="C117" s="209" t="s">
        <v>1300</v>
      </c>
      <c r="D117" s="348"/>
      <c r="E117" s="348"/>
    </row>
    <row r="118" spans="2:15" hidden="1">
      <c r="C118" s="950" t="s">
        <v>1301</v>
      </c>
      <c r="D118" s="950"/>
      <c r="E118" s="950"/>
    </row>
    <row r="119" spans="2:15" hidden="1">
      <c r="C119" s="348"/>
      <c r="D119" s="348"/>
      <c r="E119" s="348"/>
    </row>
    <row r="120" spans="2:15" hidden="1">
      <c r="C120" s="327" t="s">
        <v>1302</v>
      </c>
      <c r="D120" s="328"/>
      <c r="E120" s="349">
        <v>1</v>
      </c>
      <c r="F120" s="201">
        <v>1</v>
      </c>
      <c r="G120" s="201">
        <v>2</v>
      </c>
      <c r="H120" s="201">
        <v>3</v>
      </c>
      <c r="I120" s="201">
        <v>4</v>
      </c>
      <c r="J120" s="201">
        <v>5</v>
      </c>
      <c r="K120" s="201">
        <v>6</v>
      </c>
      <c r="L120" s="201">
        <v>7</v>
      </c>
      <c r="M120" s="381">
        <v>8</v>
      </c>
      <c r="N120" s="381">
        <v>9</v>
      </c>
      <c r="O120" s="381">
        <v>10</v>
      </c>
    </row>
    <row r="121" spans="2:15" hidden="1">
      <c r="C121" s="350"/>
      <c r="D121" s="350"/>
      <c r="E121" s="350"/>
    </row>
    <row r="122" spans="2:15" hidden="1">
      <c r="C122" s="350"/>
      <c r="D122" s="350"/>
      <c r="E122" s="350"/>
    </row>
    <row r="123" spans="2:15">
      <c r="C123" s="350"/>
      <c r="D123" s="350"/>
      <c r="E123" s="350"/>
    </row>
    <row r="124" spans="2:15">
      <c r="B124" s="359"/>
      <c r="C124" s="377"/>
      <c r="D124" s="377"/>
      <c r="E124" s="377"/>
      <c r="F124" s="360"/>
      <c r="G124" s="361"/>
    </row>
    <row r="125" spans="2:15">
      <c r="B125" s="362"/>
      <c r="C125" s="371" t="s">
        <v>1457</v>
      </c>
      <c r="D125" s="378"/>
      <c r="E125" s="378"/>
      <c r="F125" s="364"/>
      <c r="G125" s="365"/>
    </row>
    <row r="126" spans="2:15">
      <c r="B126" s="362"/>
      <c r="C126" s="379" t="s">
        <v>1303</v>
      </c>
      <c r="D126" s="378"/>
      <c r="E126" s="378"/>
      <c r="F126" s="364"/>
      <c r="G126" s="365"/>
    </row>
    <row r="127" spans="2:15">
      <c r="B127" s="369"/>
      <c r="C127" s="367"/>
      <c r="D127" s="367"/>
      <c r="E127" s="367"/>
      <c r="F127" s="367"/>
      <c r="G127" s="368"/>
    </row>
  </sheetData>
  <mergeCells count="24">
    <mergeCell ref="C118:E118"/>
    <mergeCell ref="C34:D34"/>
    <mergeCell ref="C35:D35"/>
    <mergeCell ref="C39:D39"/>
    <mergeCell ref="C36:D36"/>
    <mergeCell ref="C37:D37"/>
    <mergeCell ref="C48:D48"/>
    <mergeCell ref="C72:F72"/>
    <mergeCell ref="C78:F78"/>
    <mergeCell ref="C94:E94"/>
    <mergeCell ref="C113:F113"/>
    <mergeCell ref="C106:E106"/>
    <mergeCell ref="C98:D98"/>
    <mergeCell ref="C103:D103"/>
    <mergeCell ref="C32:F32"/>
    <mergeCell ref="C26:D26"/>
    <mergeCell ref="C27:D27"/>
    <mergeCell ref="C11:F11"/>
    <mergeCell ref="C92:E92"/>
    <mergeCell ref="C61:F61"/>
    <mergeCell ref="C53:F53"/>
    <mergeCell ref="C46:D46"/>
    <mergeCell ref="C44:F44"/>
    <mergeCell ref="C85:F85"/>
  </mergeCells>
  <conditionalFormatting sqref="E56 F73:F76 F87">
    <cfRule type="cellIs" dxfId="36" priority="30" operator="lessThan">
      <formula>0</formula>
    </cfRule>
  </conditionalFormatting>
  <conditionalFormatting sqref="F65:F70">
    <cfRule type="cellIs" dxfId="35" priority="28" operator="lessThan">
      <formula>0</formula>
    </cfRule>
  </conditionalFormatting>
  <conditionalFormatting sqref="E114">
    <cfRule type="cellIs" dxfId="34" priority="27" operator="lessThan">
      <formula>0</formula>
    </cfRule>
  </conditionalFormatting>
  <conditionalFormatting sqref="F79:F80">
    <cfRule type="cellIs" dxfId="33" priority="23" operator="lessThan">
      <formula>0</formula>
    </cfRule>
  </conditionalFormatting>
  <conditionalFormatting sqref="C35:E35">
    <cfRule type="expression" dxfId="32" priority="21">
      <formula>$E$34="No"</formula>
    </cfRule>
  </conditionalFormatting>
  <conditionalFormatting sqref="C36:E37">
    <cfRule type="expression" dxfId="31" priority="20">
      <formula>$E$34="No"</formula>
    </cfRule>
  </conditionalFormatting>
  <conditionalFormatting sqref="E47">
    <cfRule type="expression" dxfId="30" priority="19">
      <formula>$E$47&lt;0</formula>
    </cfRule>
  </conditionalFormatting>
  <conditionalFormatting sqref="D47">
    <cfRule type="expression" dxfId="29" priority="18">
      <formula>$E$47&lt;0</formula>
    </cfRule>
  </conditionalFormatting>
  <conditionalFormatting sqref="C47:E47">
    <cfRule type="expression" dxfId="28" priority="17">
      <formula>$E$46="No"</formula>
    </cfRule>
  </conditionalFormatting>
  <conditionalFormatting sqref="C48:E48">
    <cfRule type="expression" dxfId="27" priority="15">
      <formula>$E$46="No"</formula>
    </cfRule>
    <cfRule type="expression" dxfId="26" priority="16">
      <formula>$E$34="No"</formula>
    </cfRule>
  </conditionalFormatting>
  <conditionalFormatting sqref="F88">
    <cfRule type="cellIs" dxfId="25" priority="10" operator="lessThan">
      <formula>0</formula>
    </cfRule>
  </conditionalFormatting>
  <conditionalFormatting sqref="D101 C100:E100 C103 E103:E104">
    <cfRule type="expression" dxfId="24" priority="35">
      <formula>$E$96="No"</formula>
    </cfRule>
  </conditionalFormatting>
  <conditionalFormatting sqref="C98:E98">
    <cfRule type="expression" dxfId="23" priority="2">
      <formula>OR($E$96="no", $E$96="")</formula>
    </cfRule>
    <cfRule type="expression" dxfId="22" priority="9">
      <formula>OR($E$34="", $E$34="no")</formula>
    </cfRule>
  </conditionalFormatting>
  <conditionalFormatting sqref="C106:E108">
    <cfRule type="expression" dxfId="21" priority="5">
      <formula>$E$96=""</formula>
    </cfRule>
    <cfRule type="expression" dxfId="20" priority="6">
      <formula>$E$100="hold harmless"</formula>
    </cfRule>
    <cfRule type="expression" dxfId="19" priority="7">
      <formula>$E$100=""</formula>
    </cfRule>
    <cfRule type="expression" dxfId="18" priority="8">
      <formula>$E$96="no"</formula>
    </cfRule>
  </conditionalFormatting>
  <conditionalFormatting sqref="C98:E104">
    <cfRule type="expression" dxfId="17" priority="4">
      <formula>$E$96=""</formula>
    </cfRule>
  </conditionalFormatting>
  <conditionalFormatting sqref="C107:E108">
    <cfRule type="expression" dxfId="16" priority="3">
      <formula>$E$100=""</formula>
    </cfRule>
  </conditionalFormatting>
  <dataValidations count="6">
    <dataValidation type="list" allowBlank="1" showInputMessage="1" showErrorMessage="1" sqref="E34">
      <formula1>$F$34:$G$34</formula1>
    </dataValidation>
    <dataValidation type="list" allowBlank="1" showInputMessage="1" showErrorMessage="1" sqref="E120">
      <formula1>$F$120:$Q$120</formula1>
    </dataValidation>
    <dataValidation type="list" allowBlank="1" showInputMessage="1" showErrorMessage="1" sqref="E46">
      <formula1>$F$46:$H$46</formula1>
    </dataValidation>
    <dataValidation type="list" allowBlank="1" showInputMessage="1" showErrorMessage="1" sqref="E100">
      <formula1>$E$101:$F$101</formula1>
    </dataValidation>
    <dataValidation type="list" allowBlank="1" showInputMessage="1" showErrorMessage="1" sqref="E96">
      <formula1>$I$96:$J$96</formula1>
    </dataValidation>
    <dataValidation type="list" allowBlank="1" showInputMessage="1" showErrorMessage="1" sqref="E98">
      <formula1>$I$96:$J$96</formula1>
    </dataValidation>
  </dataValidations>
  <pageMargins left="0.7" right="0.7" top="0.75" bottom="0.75" header="0.3" footer="0.3"/>
  <pageSetup orientation="portrait" horizontalDpi="0" verticalDpi="0" r:id="rId1"/>
  <ignoredErrors>
    <ignoredError sqref="E104 E114 F65:F70 F73:F76 F79:F80 E56 E108"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73"/>
  <sheetViews>
    <sheetView workbookViewId="0">
      <selection activeCell="SS10" sqref="SS10"/>
    </sheetView>
  </sheetViews>
  <sheetFormatPr defaultColWidth="9.1796875" defaultRowHeight="14.5"/>
  <cols>
    <col min="1" max="2" width="9.1796875" style="4"/>
    <col min="3" max="3" width="25.54296875" style="4" customWidth="1"/>
    <col min="4" max="5" width="8.7265625"/>
    <col min="6" max="6" width="9.1796875" style="4"/>
    <col min="7" max="7" width="18.7265625" style="662" customWidth="1"/>
    <col min="8" max="8" width="9.1796875" style="145"/>
    <col min="9" max="9" width="25.54296875" style="145" customWidth="1"/>
    <col min="10" max="11" width="9.1796875" style="145"/>
    <col min="12" max="12" width="8.7265625"/>
    <col min="13" max="13" width="18.7265625" style="742" customWidth="1"/>
    <col min="14" max="14" width="71.453125" style="145" customWidth="1"/>
    <col min="15" max="15" width="9.1796875" style="145"/>
    <col min="16" max="20" width="9.1796875" style="4"/>
    <col min="21" max="21" width="10.7265625" style="4" customWidth="1"/>
    <col min="22" max="27" width="9.1796875" style="4"/>
    <col min="28" max="28" width="18.453125" style="4" customWidth="1"/>
    <col min="29" max="16384" width="9.1796875" style="4"/>
  </cols>
  <sheetData>
    <row r="1" spans="1:66">
      <c r="A1" s="735"/>
      <c r="B1" s="662"/>
      <c r="C1" s="21"/>
      <c r="E1" s="662" t="s">
        <v>2708</v>
      </c>
    </row>
    <row r="3" spans="1:66" ht="31.5" customHeight="1">
      <c r="B3" s="657" t="s">
        <v>1189</v>
      </c>
      <c r="C3" s="658" t="s">
        <v>482</v>
      </c>
      <c r="D3" s="132" t="s">
        <v>266</v>
      </c>
      <c r="E3" s="132"/>
      <c r="F3" s="652"/>
      <c r="G3" s="663" t="s">
        <v>2722</v>
      </c>
      <c r="H3" s="736" t="s">
        <v>1189</v>
      </c>
      <c r="I3" s="737" t="s">
        <v>482</v>
      </c>
      <c r="J3" s="734" t="s">
        <v>266</v>
      </c>
      <c r="K3" s="734" t="s">
        <v>2723</v>
      </c>
      <c r="L3" s="132"/>
      <c r="M3" s="743" t="s">
        <v>2709</v>
      </c>
      <c r="N3" s="737" t="s">
        <v>482</v>
      </c>
      <c r="O3" s="744" t="s">
        <v>2724</v>
      </c>
      <c r="R3" s="652"/>
      <c r="U3" s="652"/>
      <c r="X3" s="652"/>
      <c r="AB3" s="652"/>
      <c r="AE3" s="652"/>
      <c r="AH3" s="652"/>
      <c r="AK3" s="652"/>
      <c r="AN3" s="652"/>
      <c r="AQ3" s="652"/>
      <c r="AS3" s="652"/>
      <c r="AV3" s="652"/>
      <c r="AY3" s="652"/>
      <c r="BB3" s="652"/>
      <c r="BE3" s="652"/>
      <c r="BH3" s="652"/>
      <c r="BK3" s="652"/>
      <c r="BN3" s="652"/>
    </row>
    <row r="4" spans="1:66">
      <c r="B4" s="659" t="s">
        <v>1582</v>
      </c>
      <c r="C4" s="657" t="s">
        <v>2625</v>
      </c>
      <c r="D4" s="132">
        <v>2905</v>
      </c>
      <c r="E4" s="132"/>
      <c r="G4" s="664" t="s">
        <v>1582</v>
      </c>
      <c r="H4" s="738">
        <v>1</v>
      </c>
      <c r="I4" s="736" t="s">
        <v>2625</v>
      </c>
      <c r="J4" s="734">
        <v>2905</v>
      </c>
      <c r="K4" s="734">
        <f>IF(ISNUMBER(J4), J4, 5)</f>
        <v>2905</v>
      </c>
      <c r="L4" s="132"/>
      <c r="M4" s="745">
        <v>1</v>
      </c>
      <c r="N4" s="736" t="s">
        <v>2625</v>
      </c>
      <c r="O4" s="734">
        <f>SUMIF(G:G,M4, K:K)</f>
        <v>2953</v>
      </c>
    </row>
    <row r="5" spans="1:66">
      <c r="B5" s="659" t="s">
        <v>1222</v>
      </c>
      <c r="C5" s="657" t="s">
        <v>2626</v>
      </c>
      <c r="D5" s="132">
        <v>3605</v>
      </c>
      <c r="E5" s="132"/>
      <c r="G5" s="664" t="s">
        <v>1222</v>
      </c>
      <c r="H5" s="738">
        <v>2</v>
      </c>
      <c r="I5" s="736" t="s">
        <v>2626</v>
      </c>
      <c r="J5" s="734">
        <v>3605</v>
      </c>
      <c r="K5" s="734">
        <f t="shared" ref="K5:K68" si="0">IF(ISNUMBER(J5), J5, 5)</f>
        <v>3605</v>
      </c>
      <c r="L5" s="132"/>
      <c r="M5" s="745">
        <v>2</v>
      </c>
      <c r="N5" s="736" t="s">
        <v>2626</v>
      </c>
      <c r="O5" s="734">
        <f t="shared" ref="O5:O68" si="1">SUMIF(G:G,M5, K:K)</f>
        <v>3615</v>
      </c>
      <c r="AC5" s="485"/>
      <c r="AD5" s="485"/>
      <c r="AE5" s="485"/>
      <c r="AF5" s="485"/>
      <c r="AG5" s="485"/>
      <c r="AH5" s="485"/>
      <c r="AI5" s="485"/>
      <c r="AJ5" s="485"/>
      <c r="AK5" s="485"/>
      <c r="AL5" s="485"/>
      <c r="AM5" s="485"/>
      <c r="AN5" s="485"/>
      <c r="AO5" s="485"/>
      <c r="AP5" s="485"/>
      <c r="AQ5" s="485"/>
      <c r="AR5" s="485"/>
    </row>
    <row r="6" spans="1:66">
      <c r="B6" s="659" t="s">
        <v>2627</v>
      </c>
      <c r="C6" s="657" t="s">
        <v>2628</v>
      </c>
      <c r="D6" s="132">
        <v>558</v>
      </c>
      <c r="E6" s="132"/>
      <c r="F6" s="653"/>
      <c r="G6" s="664" t="s">
        <v>2627</v>
      </c>
      <c r="H6" s="738">
        <v>3</v>
      </c>
      <c r="I6" s="736" t="s">
        <v>2628</v>
      </c>
      <c r="J6" s="734">
        <v>558</v>
      </c>
      <c r="K6" s="734">
        <f t="shared" si="0"/>
        <v>558</v>
      </c>
      <c r="L6" s="132"/>
      <c r="M6" s="745">
        <v>3</v>
      </c>
      <c r="N6" s="736" t="s">
        <v>2628</v>
      </c>
      <c r="O6" s="734">
        <f t="shared" si="1"/>
        <v>558</v>
      </c>
      <c r="P6" s="653"/>
      <c r="Q6" s="653"/>
      <c r="R6" s="653"/>
      <c r="S6" s="653"/>
      <c r="T6" s="653"/>
      <c r="U6" s="653"/>
      <c r="V6" s="653"/>
      <c r="W6" s="653"/>
      <c r="X6" s="653"/>
      <c r="Y6" s="653"/>
      <c r="Z6" s="654"/>
      <c r="AA6" s="654"/>
      <c r="AC6" s="653"/>
      <c r="AD6" s="653"/>
      <c r="AE6" s="653"/>
      <c r="AF6" s="653"/>
      <c r="AG6" s="653"/>
      <c r="AH6" s="653"/>
      <c r="AI6" s="653"/>
      <c r="AJ6" s="653"/>
      <c r="AK6" s="653"/>
      <c r="AL6" s="653"/>
      <c r="AM6" s="653"/>
      <c r="AN6" s="653"/>
      <c r="AO6" s="653"/>
      <c r="AP6" s="653"/>
      <c r="AQ6" s="653"/>
      <c r="AR6" s="654"/>
    </row>
    <row r="7" spans="1:66">
      <c r="B7" s="659" t="s">
        <v>1717</v>
      </c>
      <c r="C7" s="659" t="s">
        <v>306</v>
      </c>
      <c r="D7" s="132">
        <v>25</v>
      </c>
      <c r="E7" s="132"/>
      <c r="F7" s="655"/>
      <c r="G7" s="664" t="s">
        <v>1717</v>
      </c>
      <c r="H7" s="738">
        <v>11</v>
      </c>
      <c r="I7" s="739" t="s">
        <v>306</v>
      </c>
      <c r="J7" s="734">
        <v>25</v>
      </c>
      <c r="K7" s="734">
        <f t="shared" si="0"/>
        <v>25</v>
      </c>
      <c r="L7" s="132"/>
      <c r="M7" s="745">
        <v>11</v>
      </c>
      <c r="N7" s="739" t="s">
        <v>306</v>
      </c>
      <c r="O7" s="734">
        <f t="shared" si="1"/>
        <v>25</v>
      </c>
      <c r="P7" s="655"/>
      <c r="Q7" s="1093" t="s">
        <v>2728</v>
      </c>
      <c r="R7" s="1094"/>
      <c r="S7" s="1094"/>
      <c r="T7" s="1094"/>
      <c r="U7" s="1094"/>
      <c r="V7" s="655"/>
      <c r="W7" s="655"/>
      <c r="X7" s="655"/>
      <c r="Y7" s="655"/>
      <c r="Z7" s="656"/>
      <c r="AA7" s="656"/>
    </row>
    <row r="8" spans="1:66">
      <c r="B8" s="659" t="s">
        <v>1719</v>
      </c>
      <c r="C8" s="659" t="s">
        <v>307</v>
      </c>
      <c r="D8" s="132">
        <v>32</v>
      </c>
      <c r="E8" s="132"/>
      <c r="F8" s="655"/>
      <c r="G8" s="664" t="s">
        <v>1719</v>
      </c>
      <c r="H8" s="738">
        <v>13</v>
      </c>
      <c r="I8" s="739" t="s">
        <v>307</v>
      </c>
      <c r="J8" s="734">
        <v>32</v>
      </c>
      <c r="K8" s="734">
        <f t="shared" si="0"/>
        <v>32</v>
      </c>
      <c r="L8" s="132"/>
      <c r="M8" s="745">
        <v>13</v>
      </c>
      <c r="N8" s="739" t="s">
        <v>307</v>
      </c>
      <c r="O8" s="734">
        <f t="shared" si="1"/>
        <v>32</v>
      </c>
      <c r="P8" s="655"/>
      <c r="Q8" s="1094"/>
      <c r="R8" s="1094"/>
      <c r="S8" s="1094"/>
      <c r="T8" s="1094"/>
      <c r="U8" s="1094"/>
      <c r="V8" s="655"/>
      <c r="W8" s="655"/>
      <c r="X8" s="655"/>
      <c r="Y8" s="655"/>
      <c r="Z8" s="656"/>
      <c r="AA8" s="656"/>
    </row>
    <row r="9" spans="1:66">
      <c r="B9" s="659" t="s">
        <v>1722</v>
      </c>
      <c r="C9" s="657" t="s">
        <v>2629</v>
      </c>
      <c r="D9" s="132">
        <v>125</v>
      </c>
      <c r="E9" s="132"/>
      <c r="F9" s="655"/>
      <c r="G9" s="664" t="s">
        <v>1722</v>
      </c>
      <c r="H9" s="738">
        <v>21</v>
      </c>
      <c r="I9" s="736" t="s">
        <v>2629</v>
      </c>
      <c r="J9" s="734">
        <v>125</v>
      </c>
      <c r="K9" s="734">
        <f t="shared" si="0"/>
        <v>125</v>
      </c>
      <c r="L9" s="132"/>
      <c r="M9" s="745">
        <v>21</v>
      </c>
      <c r="N9" s="736" t="s">
        <v>2629</v>
      </c>
      <c r="O9" s="734">
        <f t="shared" si="1"/>
        <v>125</v>
      </c>
      <c r="P9" s="655"/>
      <c r="Q9" s="1094"/>
      <c r="R9" s="1094"/>
      <c r="S9" s="1094"/>
      <c r="T9" s="1094"/>
      <c r="U9" s="1094"/>
      <c r="V9" s="655"/>
      <c r="W9" s="655"/>
      <c r="X9" s="655"/>
      <c r="Y9" s="655"/>
      <c r="Z9" s="656"/>
      <c r="AA9" s="656"/>
    </row>
    <row r="10" spans="1:66">
      <c r="B10" s="659" t="s">
        <v>1729</v>
      </c>
      <c r="C10" s="657" t="s">
        <v>2630</v>
      </c>
      <c r="D10" s="132">
        <v>1330</v>
      </c>
      <c r="E10" s="132"/>
      <c r="F10" s="655"/>
      <c r="G10" s="664" t="s">
        <v>1729</v>
      </c>
      <c r="H10" s="738">
        <v>25</v>
      </c>
      <c r="I10" s="736" t="s">
        <v>2630</v>
      </c>
      <c r="J10" s="734">
        <v>1330</v>
      </c>
      <c r="K10" s="734">
        <f t="shared" si="0"/>
        <v>1330</v>
      </c>
      <c r="L10" s="132"/>
      <c r="M10" s="745">
        <v>25</v>
      </c>
      <c r="N10" s="736" t="s">
        <v>2630</v>
      </c>
      <c r="O10" s="734">
        <f t="shared" si="1"/>
        <v>1330</v>
      </c>
      <c r="P10" s="655"/>
      <c r="Q10" s="1094"/>
      <c r="R10" s="1094"/>
      <c r="S10" s="1094"/>
      <c r="T10" s="1094"/>
      <c r="U10" s="1094"/>
      <c r="V10" s="655"/>
      <c r="W10" s="655"/>
      <c r="X10" s="655"/>
      <c r="Y10" s="655"/>
      <c r="Z10" s="656"/>
      <c r="AA10" s="656"/>
    </row>
    <row r="11" spans="1:66">
      <c r="B11" s="659" t="s">
        <v>1756</v>
      </c>
      <c r="C11" s="657" t="s">
        <v>2631</v>
      </c>
      <c r="D11" s="132">
        <v>134</v>
      </c>
      <c r="E11" s="132"/>
      <c r="F11" s="655"/>
      <c r="G11" s="664" t="s">
        <v>1756</v>
      </c>
      <c r="H11" s="738">
        <v>33</v>
      </c>
      <c r="I11" s="736" t="s">
        <v>2631</v>
      </c>
      <c r="J11" s="734">
        <v>134</v>
      </c>
      <c r="K11" s="734">
        <f t="shared" si="0"/>
        <v>134</v>
      </c>
      <c r="L11" s="132"/>
      <c r="M11" s="745">
        <v>33</v>
      </c>
      <c r="N11" s="736" t="s">
        <v>2631</v>
      </c>
      <c r="O11" s="734">
        <f t="shared" si="1"/>
        <v>134</v>
      </c>
      <c r="P11" s="655"/>
      <c r="Q11" s="1094"/>
      <c r="R11" s="1094"/>
      <c r="S11" s="1094"/>
      <c r="T11" s="1094"/>
      <c r="U11" s="1094"/>
      <c r="V11" s="655"/>
      <c r="W11" s="655"/>
      <c r="X11" s="655"/>
      <c r="Y11" s="655"/>
      <c r="Z11" s="656"/>
      <c r="AA11" s="656"/>
    </row>
    <row r="12" spans="1:66">
      <c r="B12" s="659" t="s">
        <v>1764</v>
      </c>
      <c r="C12" s="657" t="s">
        <v>2632</v>
      </c>
      <c r="D12" s="132">
        <v>106</v>
      </c>
      <c r="E12" s="132"/>
      <c r="F12" s="655"/>
      <c r="G12" s="664" t="s">
        <v>1764</v>
      </c>
      <c r="H12" s="738">
        <v>41</v>
      </c>
      <c r="I12" s="736" t="s">
        <v>2632</v>
      </c>
      <c r="J12" s="734">
        <v>106</v>
      </c>
      <c r="K12" s="734">
        <f t="shared" si="0"/>
        <v>106</v>
      </c>
      <c r="L12" s="132"/>
      <c r="M12" s="745">
        <v>41</v>
      </c>
      <c r="N12" s="736" t="s">
        <v>2632</v>
      </c>
      <c r="O12" s="734">
        <f t="shared" si="1"/>
        <v>106</v>
      </c>
      <c r="P12" s="655"/>
      <c r="Q12" s="1094"/>
      <c r="R12" s="1094"/>
      <c r="S12" s="1094"/>
      <c r="T12" s="1094"/>
      <c r="U12" s="1094"/>
      <c r="V12" s="655"/>
      <c r="W12" s="655"/>
      <c r="X12" s="655"/>
      <c r="Y12" s="655"/>
      <c r="Z12" s="656"/>
      <c r="AA12" s="656"/>
    </row>
    <row r="13" spans="1:66">
      <c r="B13" s="659" t="s">
        <v>1772</v>
      </c>
      <c r="C13" s="657" t="s">
        <v>2633</v>
      </c>
      <c r="D13" s="132">
        <v>72</v>
      </c>
      <c r="E13" s="132"/>
      <c r="F13" s="655"/>
      <c r="G13" s="664" t="s">
        <v>1772</v>
      </c>
      <c r="H13" s="738">
        <v>44</v>
      </c>
      <c r="I13" s="736" t="s">
        <v>2633</v>
      </c>
      <c r="J13" s="734">
        <v>72</v>
      </c>
      <c r="K13" s="734">
        <f t="shared" si="0"/>
        <v>72</v>
      </c>
      <c r="L13" s="132"/>
      <c r="M13" s="745">
        <v>44</v>
      </c>
      <c r="N13" s="736" t="s">
        <v>2633</v>
      </c>
      <c r="O13" s="734">
        <f t="shared" si="1"/>
        <v>72</v>
      </c>
      <c r="P13" s="655"/>
      <c r="Q13" s="1094"/>
      <c r="R13" s="1094"/>
      <c r="S13" s="1094"/>
      <c r="T13" s="1094"/>
      <c r="U13" s="1094"/>
      <c r="V13" s="655"/>
      <c r="W13" s="655"/>
      <c r="X13" s="655"/>
      <c r="Y13" s="655"/>
      <c r="Z13" s="656"/>
      <c r="AA13" s="656"/>
    </row>
    <row r="14" spans="1:66">
      <c r="B14" s="659" t="s">
        <v>1777</v>
      </c>
      <c r="C14" s="657" t="s">
        <v>2634</v>
      </c>
      <c r="D14" s="132">
        <v>107</v>
      </c>
      <c r="E14" s="132"/>
      <c r="F14" s="655"/>
      <c r="G14" s="664" t="s">
        <v>1777</v>
      </c>
      <c r="H14" s="738">
        <v>52</v>
      </c>
      <c r="I14" s="736" t="s">
        <v>2634</v>
      </c>
      <c r="J14" s="734">
        <v>107</v>
      </c>
      <c r="K14" s="734">
        <f t="shared" si="0"/>
        <v>107</v>
      </c>
      <c r="L14" s="132"/>
      <c r="M14" s="745">
        <v>52</v>
      </c>
      <c r="N14" s="736" t="s">
        <v>2634</v>
      </c>
      <c r="O14" s="734">
        <f t="shared" si="1"/>
        <v>107</v>
      </c>
      <c r="P14" s="655"/>
      <c r="Q14" s="1094"/>
      <c r="R14" s="1094"/>
      <c r="S14" s="1094"/>
      <c r="T14" s="1094"/>
      <c r="U14" s="1094"/>
      <c r="V14" s="655"/>
      <c r="W14" s="655"/>
      <c r="X14" s="655"/>
      <c r="Y14" s="656"/>
      <c r="Z14" s="656"/>
      <c r="AA14" s="656"/>
    </row>
    <row r="15" spans="1:66">
      <c r="B15" s="659" t="s">
        <v>1784</v>
      </c>
      <c r="C15" s="657" t="s">
        <v>2635</v>
      </c>
      <c r="D15" s="132">
        <v>403</v>
      </c>
      <c r="E15" s="132"/>
      <c r="F15" s="655"/>
      <c r="G15" s="664" t="s">
        <v>1784</v>
      </c>
      <c r="H15" s="738">
        <v>55</v>
      </c>
      <c r="I15" s="736" t="s">
        <v>2635</v>
      </c>
      <c r="J15" s="734">
        <v>403</v>
      </c>
      <c r="K15" s="734">
        <f t="shared" si="0"/>
        <v>403</v>
      </c>
      <c r="L15" s="132"/>
      <c r="M15" s="745">
        <v>55</v>
      </c>
      <c r="N15" s="736" t="s">
        <v>2635</v>
      </c>
      <c r="O15" s="734">
        <f t="shared" si="1"/>
        <v>403</v>
      </c>
      <c r="P15" s="655"/>
      <c r="Q15" s="655"/>
      <c r="R15" s="655"/>
      <c r="S15" s="656"/>
      <c r="T15" s="655"/>
      <c r="U15" s="655"/>
      <c r="V15" s="655"/>
      <c r="W15" s="655"/>
      <c r="X15" s="655"/>
      <c r="Y15" s="655"/>
      <c r="Z15" s="656"/>
      <c r="AA15" s="656"/>
    </row>
    <row r="16" spans="1:66">
      <c r="B16" s="659" t="s">
        <v>1800</v>
      </c>
      <c r="C16" s="657" t="s">
        <v>2636</v>
      </c>
      <c r="D16" s="132">
        <v>126</v>
      </c>
      <c r="E16" s="132"/>
      <c r="F16" s="655"/>
      <c r="G16" s="664" t="s">
        <v>1800</v>
      </c>
      <c r="H16" s="738">
        <v>58</v>
      </c>
      <c r="I16" s="736" t="s">
        <v>2636</v>
      </c>
      <c r="J16" s="734">
        <v>126</v>
      </c>
      <c r="K16" s="734">
        <f t="shared" si="0"/>
        <v>126</v>
      </c>
      <c r="L16" s="132"/>
      <c r="M16" s="745">
        <v>58</v>
      </c>
      <c r="N16" s="736" t="s">
        <v>2636</v>
      </c>
      <c r="O16" s="734">
        <f t="shared" si="1"/>
        <v>126</v>
      </c>
      <c r="P16" s="655"/>
      <c r="Q16" s="655"/>
      <c r="R16" s="655"/>
      <c r="S16" s="656"/>
      <c r="T16" s="655"/>
      <c r="U16" s="655"/>
      <c r="V16" s="655"/>
      <c r="W16" s="655"/>
      <c r="X16" s="655"/>
      <c r="Y16" s="655"/>
      <c r="Z16" s="656"/>
      <c r="AA16" s="656"/>
    </row>
    <row r="17" spans="2:27">
      <c r="B17" s="659" t="s">
        <v>1804</v>
      </c>
      <c r="C17" s="657" t="s">
        <v>2637</v>
      </c>
      <c r="D17" s="132">
        <v>65</v>
      </c>
      <c r="E17" s="132"/>
      <c r="F17" s="655"/>
      <c r="G17" s="664" t="s">
        <v>1804</v>
      </c>
      <c r="H17" s="738">
        <v>59</v>
      </c>
      <c r="I17" s="736" t="s">
        <v>2637</v>
      </c>
      <c r="J17" s="734">
        <v>65</v>
      </c>
      <c r="K17" s="734">
        <f t="shared" si="0"/>
        <v>65</v>
      </c>
      <c r="L17" s="132"/>
      <c r="M17" s="745">
        <v>59</v>
      </c>
      <c r="N17" s="736" t="s">
        <v>2637</v>
      </c>
      <c r="O17" s="734">
        <f t="shared" si="1"/>
        <v>65</v>
      </c>
      <c r="P17" s="655"/>
      <c r="Q17" s="655"/>
      <c r="R17" s="655"/>
      <c r="S17" s="656"/>
      <c r="T17" s="655"/>
      <c r="U17" s="655"/>
      <c r="V17" s="655"/>
      <c r="W17" s="655"/>
      <c r="X17" s="655"/>
      <c r="Y17" s="655"/>
      <c r="Z17" s="656"/>
      <c r="AA17" s="656"/>
    </row>
    <row r="18" spans="2:27">
      <c r="B18" s="659" t="s">
        <v>1808</v>
      </c>
      <c r="C18" s="657" t="s">
        <v>2638</v>
      </c>
      <c r="D18" s="132">
        <v>206</v>
      </c>
      <c r="E18" s="132"/>
      <c r="F18" s="655"/>
      <c r="G18" s="664" t="s">
        <v>1808</v>
      </c>
      <c r="H18" s="738">
        <v>60</v>
      </c>
      <c r="I18" s="736" t="s">
        <v>2638</v>
      </c>
      <c r="J18" s="734">
        <v>206</v>
      </c>
      <c r="K18" s="734">
        <f t="shared" si="0"/>
        <v>206</v>
      </c>
      <c r="L18" s="132"/>
      <c r="M18" s="745">
        <v>60</v>
      </c>
      <c r="N18" s="736" t="s">
        <v>2638</v>
      </c>
      <c r="O18" s="734">
        <f t="shared" si="1"/>
        <v>206</v>
      </c>
      <c r="P18" s="655"/>
      <c r="Q18" s="656"/>
      <c r="R18" s="656"/>
      <c r="S18" s="655"/>
      <c r="T18" s="655"/>
      <c r="U18" s="655"/>
      <c r="V18" s="655"/>
      <c r="W18" s="656"/>
      <c r="X18" s="655"/>
      <c r="Y18" s="655"/>
      <c r="Z18" s="656"/>
      <c r="AA18" s="656"/>
    </row>
    <row r="19" spans="2:27">
      <c r="B19" s="659" t="s">
        <v>1815</v>
      </c>
      <c r="C19" s="657" t="s">
        <v>2639</v>
      </c>
      <c r="D19" s="132">
        <v>325</v>
      </c>
      <c r="E19" s="132"/>
      <c r="F19" s="655"/>
      <c r="G19" s="664" t="s">
        <v>1815</v>
      </c>
      <c r="H19" s="738">
        <v>61</v>
      </c>
      <c r="I19" s="736" t="s">
        <v>2639</v>
      </c>
      <c r="J19" s="734">
        <v>325</v>
      </c>
      <c r="K19" s="734">
        <f t="shared" si="0"/>
        <v>325</v>
      </c>
      <c r="L19" s="132"/>
      <c r="M19" s="745">
        <v>61</v>
      </c>
      <c r="N19" s="736" t="s">
        <v>2639</v>
      </c>
      <c r="O19" s="734">
        <f t="shared" si="1"/>
        <v>325</v>
      </c>
      <c r="P19" s="656"/>
      <c r="Q19" s="655"/>
      <c r="R19" s="656"/>
      <c r="S19" s="655"/>
      <c r="T19" s="655"/>
      <c r="U19" s="655"/>
      <c r="V19" s="655"/>
      <c r="W19" s="655"/>
      <c r="X19" s="655"/>
      <c r="Y19" s="655"/>
      <c r="Z19" s="656"/>
      <c r="AA19" s="656"/>
    </row>
    <row r="20" spans="2:27">
      <c r="B20" s="659" t="s">
        <v>1825</v>
      </c>
      <c r="C20" s="657" t="s">
        <v>319</v>
      </c>
      <c r="D20" s="132">
        <v>20</v>
      </c>
      <c r="E20" s="132"/>
      <c r="F20" s="656"/>
      <c r="G20" s="664" t="s">
        <v>1825</v>
      </c>
      <c r="H20" s="738">
        <v>71</v>
      </c>
      <c r="I20" s="736" t="s">
        <v>319</v>
      </c>
      <c r="J20" s="734">
        <v>20</v>
      </c>
      <c r="K20" s="734">
        <f t="shared" si="0"/>
        <v>20</v>
      </c>
      <c r="L20" s="132"/>
      <c r="M20" s="745">
        <v>71</v>
      </c>
      <c r="N20" s="736" t="s">
        <v>319</v>
      </c>
      <c r="O20" s="734">
        <f t="shared" si="1"/>
        <v>20</v>
      </c>
      <c r="P20" s="656"/>
      <c r="Q20" s="655"/>
      <c r="R20" s="656"/>
      <c r="S20" s="655"/>
      <c r="T20" s="655"/>
      <c r="U20" s="656"/>
      <c r="V20" s="656"/>
      <c r="W20" s="656"/>
      <c r="X20" s="656"/>
      <c r="Y20" s="656"/>
      <c r="Z20" s="656"/>
      <c r="AA20" s="656"/>
    </row>
    <row r="21" spans="2:27">
      <c r="B21" s="659" t="s">
        <v>1828</v>
      </c>
      <c r="C21" s="657" t="s">
        <v>2640</v>
      </c>
      <c r="D21" s="132">
        <v>42</v>
      </c>
      <c r="E21" s="132"/>
      <c r="F21" s="656"/>
      <c r="G21" s="664" t="s">
        <v>1828</v>
      </c>
      <c r="H21" s="738">
        <v>72</v>
      </c>
      <c r="I21" s="736" t="s">
        <v>2640</v>
      </c>
      <c r="J21" s="734">
        <v>42</v>
      </c>
      <c r="K21" s="734">
        <f t="shared" si="0"/>
        <v>42</v>
      </c>
      <c r="L21" s="132"/>
      <c r="M21" s="745">
        <v>72</v>
      </c>
      <c r="N21" s="736" t="s">
        <v>2640</v>
      </c>
      <c r="O21" s="734">
        <f t="shared" si="1"/>
        <v>42</v>
      </c>
      <c r="P21" s="656"/>
      <c r="Q21" s="655"/>
      <c r="R21" s="655"/>
      <c r="S21" s="655"/>
      <c r="T21" s="655"/>
      <c r="U21" s="656"/>
      <c r="V21" s="656"/>
      <c r="W21" s="656"/>
      <c r="X21" s="656"/>
      <c r="Y21" s="656"/>
      <c r="Z21" s="656"/>
      <c r="AA21" s="656"/>
    </row>
    <row r="22" spans="2:27">
      <c r="B22" s="659" t="s">
        <v>1831</v>
      </c>
      <c r="C22" s="659" t="s">
        <v>321</v>
      </c>
      <c r="D22" s="132">
        <v>28</v>
      </c>
      <c r="E22" s="132"/>
      <c r="F22" s="656"/>
      <c r="G22" s="664" t="s">
        <v>1831</v>
      </c>
      <c r="H22" s="738">
        <v>73</v>
      </c>
      <c r="I22" s="739" t="s">
        <v>321</v>
      </c>
      <c r="J22" s="734">
        <v>28</v>
      </c>
      <c r="K22" s="734">
        <f t="shared" si="0"/>
        <v>28</v>
      </c>
      <c r="L22" s="132"/>
      <c r="M22" s="745">
        <v>73</v>
      </c>
      <c r="N22" s="739" t="s">
        <v>321</v>
      </c>
      <c r="O22" s="734">
        <f t="shared" si="1"/>
        <v>28</v>
      </c>
      <c r="P22" s="655"/>
      <c r="Q22" s="655"/>
      <c r="R22" s="655"/>
      <c r="S22" s="655"/>
      <c r="T22" s="656"/>
      <c r="U22" s="656"/>
      <c r="V22" s="656"/>
      <c r="W22" s="656"/>
      <c r="X22" s="656"/>
      <c r="Y22" s="656"/>
      <c r="Z22" s="656"/>
      <c r="AA22" s="656"/>
    </row>
    <row r="23" spans="2:27">
      <c r="B23" s="659" t="s">
        <v>1834</v>
      </c>
      <c r="C23" s="657" t="s">
        <v>2641</v>
      </c>
      <c r="D23" s="132">
        <v>152</v>
      </c>
      <c r="E23" s="132"/>
      <c r="F23" s="656"/>
      <c r="G23" s="664" t="s">
        <v>1834</v>
      </c>
      <c r="H23" s="738">
        <v>83</v>
      </c>
      <c r="I23" s="736" t="s">
        <v>2641</v>
      </c>
      <c r="J23" s="734">
        <v>152</v>
      </c>
      <c r="K23" s="734">
        <f t="shared" si="0"/>
        <v>152</v>
      </c>
      <c r="L23" s="132"/>
      <c r="M23" s="745">
        <v>83</v>
      </c>
      <c r="N23" s="736" t="s">
        <v>2641</v>
      </c>
      <c r="O23" s="734">
        <f t="shared" si="1"/>
        <v>152</v>
      </c>
      <c r="P23" s="656"/>
      <c r="Q23" s="655"/>
      <c r="R23" s="655"/>
      <c r="S23" s="655"/>
      <c r="T23" s="656"/>
      <c r="U23" s="656"/>
      <c r="V23" s="656"/>
      <c r="W23" s="656"/>
      <c r="X23" s="656"/>
      <c r="Y23" s="656"/>
      <c r="Z23" s="656"/>
      <c r="AA23" s="656"/>
    </row>
    <row r="24" spans="2:27">
      <c r="B24" s="659" t="s">
        <v>1842</v>
      </c>
      <c r="C24" s="657" t="s">
        <v>2642</v>
      </c>
      <c r="D24" s="132">
        <v>395</v>
      </c>
      <c r="E24" s="132"/>
      <c r="F24" s="656"/>
      <c r="G24" s="664" t="s">
        <v>1842</v>
      </c>
      <c r="H24" s="738">
        <v>84</v>
      </c>
      <c r="I24" s="736" t="s">
        <v>2642</v>
      </c>
      <c r="J24" s="734">
        <v>395</v>
      </c>
      <c r="K24" s="734">
        <f t="shared" si="0"/>
        <v>395</v>
      </c>
      <c r="L24" s="132"/>
      <c r="M24" s="745">
        <v>84</v>
      </c>
      <c r="N24" s="736" t="s">
        <v>2642</v>
      </c>
      <c r="O24" s="734">
        <f t="shared" si="1"/>
        <v>395</v>
      </c>
      <c r="P24" s="655"/>
      <c r="Q24" s="655"/>
      <c r="R24" s="655"/>
      <c r="S24" s="655"/>
      <c r="T24" s="656"/>
      <c r="U24" s="656"/>
      <c r="V24" s="656"/>
      <c r="W24" s="656"/>
      <c r="X24" s="656"/>
      <c r="Y24" s="656"/>
      <c r="Z24" s="656"/>
      <c r="AA24" s="656"/>
    </row>
    <row r="25" spans="2:27">
      <c r="B25" s="659" t="s">
        <v>1858</v>
      </c>
      <c r="C25" s="657" t="s">
        <v>2643</v>
      </c>
      <c r="D25" s="132">
        <v>1063</v>
      </c>
      <c r="E25" s="132"/>
      <c r="F25" s="656"/>
      <c r="G25" s="664" t="s">
        <v>1858</v>
      </c>
      <c r="H25" s="738">
        <v>91</v>
      </c>
      <c r="I25" s="736" t="s">
        <v>2643</v>
      </c>
      <c r="J25" s="734">
        <v>1063</v>
      </c>
      <c r="K25" s="734">
        <f t="shared" si="0"/>
        <v>1063</v>
      </c>
      <c r="L25" s="132"/>
      <c r="M25" s="745">
        <v>91</v>
      </c>
      <c r="N25" s="736" t="s">
        <v>2643</v>
      </c>
      <c r="O25" s="734">
        <f t="shared" si="1"/>
        <v>1063</v>
      </c>
      <c r="P25" s="655"/>
      <c r="Q25" s="655"/>
      <c r="R25" s="655"/>
      <c r="S25" s="655"/>
      <c r="T25" s="656"/>
      <c r="U25" s="656"/>
      <c r="V25" s="656"/>
      <c r="W25" s="656"/>
      <c r="X25" s="656"/>
      <c r="Y25" s="656"/>
      <c r="Z25" s="656"/>
      <c r="AA25" s="656"/>
    </row>
    <row r="26" spans="2:27">
      <c r="B26" s="659" t="s">
        <v>1882</v>
      </c>
      <c r="C26" s="659" t="s">
        <v>325</v>
      </c>
      <c r="D26" s="132">
        <v>11</v>
      </c>
      <c r="E26" s="132"/>
      <c r="F26" s="656"/>
      <c r="G26" s="664" t="s">
        <v>1882</v>
      </c>
      <c r="H26" s="738">
        <v>92</v>
      </c>
      <c r="I26" s="739" t="s">
        <v>325</v>
      </c>
      <c r="J26" s="734">
        <v>11</v>
      </c>
      <c r="K26" s="734">
        <f t="shared" si="0"/>
        <v>11</v>
      </c>
      <c r="L26" s="132"/>
      <c r="M26" s="745">
        <v>92</v>
      </c>
      <c r="N26" s="739" t="s">
        <v>325</v>
      </c>
      <c r="O26" s="734">
        <f t="shared" si="1"/>
        <v>11</v>
      </c>
      <c r="P26" s="655"/>
      <c r="Q26" s="655"/>
      <c r="R26" s="655"/>
      <c r="S26" s="655"/>
      <c r="T26" s="656"/>
      <c r="U26" s="656"/>
      <c r="V26" s="656"/>
      <c r="W26" s="656"/>
      <c r="X26" s="656"/>
      <c r="Y26" s="656"/>
      <c r="Z26" s="656"/>
      <c r="AA26" s="656"/>
    </row>
    <row r="27" spans="2:27">
      <c r="B27" s="659" t="s">
        <v>1888</v>
      </c>
      <c r="C27" s="657" t="s">
        <v>2644</v>
      </c>
      <c r="D27" s="132">
        <v>1176</v>
      </c>
      <c r="E27" s="132"/>
      <c r="F27" s="656"/>
      <c r="G27" s="664" t="s">
        <v>1888</v>
      </c>
      <c r="H27" s="738">
        <v>93</v>
      </c>
      <c r="I27" s="736" t="s">
        <v>2644</v>
      </c>
      <c r="J27" s="734">
        <v>1176</v>
      </c>
      <c r="K27" s="734">
        <f t="shared" si="0"/>
        <v>1176</v>
      </c>
      <c r="L27" s="132"/>
      <c r="M27" s="745">
        <v>93</v>
      </c>
      <c r="N27" s="736" t="s">
        <v>2644</v>
      </c>
      <c r="O27" s="734">
        <f t="shared" si="1"/>
        <v>1176</v>
      </c>
      <c r="P27" s="655"/>
      <c r="Q27" s="655"/>
      <c r="R27" s="655"/>
      <c r="S27" s="655"/>
      <c r="T27" s="656"/>
      <c r="U27" s="656"/>
      <c r="V27" s="656"/>
      <c r="W27" s="656"/>
      <c r="X27" s="656"/>
      <c r="Y27" s="656"/>
      <c r="Z27" s="656"/>
      <c r="AA27" s="656"/>
    </row>
    <row r="28" spans="2:27">
      <c r="B28" s="659" t="s">
        <v>1918</v>
      </c>
      <c r="C28" s="657" t="s">
        <v>2645</v>
      </c>
      <c r="D28" s="132">
        <v>186</v>
      </c>
      <c r="E28" s="132"/>
      <c r="F28" s="656"/>
      <c r="G28" s="664" t="s">
        <v>1918</v>
      </c>
      <c r="H28" s="738">
        <v>101</v>
      </c>
      <c r="I28" s="736" t="s">
        <v>2645</v>
      </c>
      <c r="J28" s="734">
        <v>186</v>
      </c>
      <c r="K28" s="734">
        <f t="shared" si="0"/>
        <v>186</v>
      </c>
      <c r="L28" s="132"/>
      <c r="M28" s="745">
        <v>101</v>
      </c>
      <c r="N28" s="736" t="s">
        <v>2645</v>
      </c>
      <c r="O28" s="734">
        <f t="shared" si="1"/>
        <v>186</v>
      </c>
      <c r="P28" s="655"/>
      <c r="Q28" s="655"/>
      <c r="R28" s="655"/>
      <c r="S28" s="655"/>
      <c r="T28" s="656"/>
      <c r="U28" s="656"/>
      <c r="V28" s="656"/>
      <c r="W28" s="656"/>
      <c r="X28" s="656"/>
      <c r="Y28" s="656"/>
      <c r="Z28" s="656"/>
      <c r="AA28" s="656"/>
    </row>
    <row r="29" spans="2:27">
      <c r="B29" s="659" t="s">
        <v>1924</v>
      </c>
      <c r="C29" s="659" t="s">
        <v>328</v>
      </c>
      <c r="D29" s="132">
        <v>53</v>
      </c>
      <c r="E29" s="132"/>
      <c r="F29" s="656"/>
      <c r="G29" s="664" t="s">
        <v>1924</v>
      </c>
      <c r="H29" s="738">
        <v>111</v>
      </c>
      <c r="I29" s="739" t="s">
        <v>328</v>
      </c>
      <c r="J29" s="734">
        <v>53</v>
      </c>
      <c r="K29" s="734">
        <f t="shared" si="0"/>
        <v>53</v>
      </c>
      <c r="L29" s="132"/>
      <c r="M29" s="745">
        <v>111</v>
      </c>
      <c r="N29" s="739" t="s">
        <v>328</v>
      </c>
      <c r="O29" s="734">
        <f t="shared" si="1"/>
        <v>53</v>
      </c>
      <c r="P29" s="655"/>
      <c r="Q29" s="655"/>
      <c r="R29" s="655"/>
      <c r="S29" s="656"/>
      <c r="T29" s="656"/>
      <c r="U29" s="656"/>
      <c r="V29" s="656"/>
      <c r="W29" s="656"/>
      <c r="X29" s="656"/>
      <c r="Y29" s="656"/>
      <c r="Z29" s="656"/>
      <c r="AA29" s="656"/>
    </row>
    <row r="30" spans="2:27">
      <c r="B30" s="659" t="s">
        <v>1929</v>
      </c>
      <c r="C30" s="659" t="s">
        <v>329</v>
      </c>
      <c r="D30" s="132">
        <v>13</v>
      </c>
      <c r="E30" s="132"/>
      <c r="F30" s="656"/>
      <c r="G30" s="664" t="s">
        <v>1929</v>
      </c>
      <c r="H30" s="738">
        <v>121</v>
      </c>
      <c r="I30" s="739" t="s">
        <v>329</v>
      </c>
      <c r="J30" s="734">
        <v>13</v>
      </c>
      <c r="K30" s="734">
        <f t="shared" si="0"/>
        <v>13</v>
      </c>
      <c r="L30" s="132"/>
      <c r="M30" s="745">
        <v>121</v>
      </c>
      <c r="N30" s="739" t="s">
        <v>329</v>
      </c>
      <c r="O30" s="734">
        <f t="shared" si="1"/>
        <v>13</v>
      </c>
      <c r="P30" s="655"/>
      <c r="Q30" s="655"/>
      <c r="R30" s="655"/>
      <c r="S30" s="656"/>
      <c r="T30" s="656"/>
      <c r="U30" s="656"/>
      <c r="V30" s="656"/>
      <c r="W30" s="656"/>
      <c r="X30" s="656"/>
      <c r="Y30" s="656"/>
      <c r="Z30" s="656"/>
      <c r="AA30" s="656"/>
    </row>
    <row r="31" spans="2:27">
      <c r="B31" s="659" t="s">
        <v>1225</v>
      </c>
      <c r="C31" s="657" t="s">
        <v>2646</v>
      </c>
      <c r="D31" s="132">
        <v>1495</v>
      </c>
      <c r="E31" s="132"/>
      <c r="F31" s="656"/>
      <c r="G31" s="664" t="s">
        <v>1225</v>
      </c>
      <c r="H31" s="738">
        <v>131</v>
      </c>
      <c r="I31" s="736" t="s">
        <v>2646</v>
      </c>
      <c r="J31" s="734">
        <v>1495</v>
      </c>
      <c r="K31" s="734">
        <f t="shared" si="0"/>
        <v>1495</v>
      </c>
      <c r="L31" s="132"/>
      <c r="M31" s="745">
        <v>131</v>
      </c>
      <c r="N31" s="736" t="s">
        <v>2646</v>
      </c>
      <c r="O31" s="734">
        <f t="shared" si="1"/>
        <v>1536</v>
      </c>
      <c r="P31" s="656"/>
      <c r="Q31" s="655"/>
      <c r="R31" s="655"/>
      <c r="S31" s="656"/>
      <c r="T31" s="656"/>
      <c r="U31" s="656"/>
      <c r="V31" s="656"/>
      <c r="W31" s="656"/>
      <c r="X31" s="656"/>
      <c r="Y31" s="656"/>
      <c r="Z31" s="656"/>
      <c r="AA31" s="656"/>
    </row>
    <row r="32" spans="2:27">
      <c r="B32" s="659" t="s">
        <v>1955</v>
      </c>
      <c r="C32" s="657" t="s">
        <v>2647</v>
      </c>
      <c r="D32" s="132">
        <v>667</v>
      </c>
      <c r="E32" s="132"/>
      <c r="F32" s="656"/>
      <c r="G32" s="664" t="s">
        <v>1955</v>
      </c>
      <c r="H32" s="738">
        <v>132</v>
      </c>
      <c r="I32" s="736" t="s">
        <v>2647</v>
      </c>
      <c r="J32" s="734">
        <v>667</v>
      </c>
      <c r="K32" s="734">
        <f t="shared" si="0"/>
        <v>667</v>
      </c>
      <c r="L32" s="132"/>
      <c r="M32" s="745">
        <v>132</v>
      </c>
      <c r="N32" s="736" t="s">
        <v>2647</v>
      </c>
      <c r="O32" s="734">
        <f t="shared" si="1"/>
        <v>667</v>
      </c>
      <c r="P32" s="655"/>
      <c r="Q32" s="655"/>
      <c r="R32" s="656"/>
      <c r="S32" s="656"/>
      <c r="T32" s="656"/>
      <c r="U32" s="656"/>
      <c r="V32" s="656"/>
      <c r="W32" s="656"/>
      <c r="X32" s="656"/>
      <c r="Y32" s="656"/>
      <c r="Z32" s="656"/>
      <c r="AA32" s="656"/>
    </row>
    <row r="33" spans="2:27">
      <c r="B33" s="659" t="s">
        <v>1969</v>
      </c>
      <c r="C33" s="657" t="s">
        <v>2648</v>
      </c>
      <c r="D33" s="132">
        <v>75</v>
      </c>
      <c r="E33" s="132"/>
      <c r="F33" s="656"/>
      <c r="G33" s="664" t="s">
        <v>1969</v>
      </c>
      <c r="H33" s="738">
        <v>133</v>
      </c>
      <c r="I33" s="736" t="s">
        <v>2648</v>
      </c>
      <c r="J33" s="734">
        <v>75</v>
      </c>
      <c r="K33" s="734">
        <f t="shared" si="0"/>
        <v>75</v>
      </c>
      <c r="L33" s="132"/>
      <c r="M33" s="745">
        <v>133</v>
      </c>
      <c r="N33" s="736" t="s">
        <v>2648</v>
      </c>
      <c r="O33" s="734">
        <f t="shared" si="1"/>
        <v>75</v>
      </c>
      <c r="P33" s="655"/>
      <c r="Q33" s="655"/>
      <c r="R33" s="656"/>
      <c r="S33" s="656"/>
      <c r="T33" s="656"/>
      <c r="U33" s="656"/>
      <c r="V33" s="656"/>
      <c r="W33" s="656"/>
      <c r="X33" s="656"/>
      <c r="Y33" s="656"/>
      <c r="Z33" s="656"/>
      <c r="AA33" s="656"/>
    </row>
    <row r="34" spans="2:27">
      <c r="B34" s="659" t="s">
        <v>1974</v>
      </c>
      <c r="C34" s="657" t="s">
        <v>2649</v>
      </c>
      <c r="D34" s="132">
        <v>355</v>
      </c>
      <c r="E34" s="132"/>
      <c r="F34" s="656"/>
      <c r="G34" s="664" t="s">
        <v>1974</v>
      </c>
      <c r="H34" s="738">
        <v>134</v>
      </c>
      <c r="I34" s="736" t="s">
        <v>2649</v>
      </c>
      <c r="J34" s="734">
        <v>355</v>
      </c>
      <c r="K34" s="734">
        <f t="shared" si="0"/>
        <v>355</v>
      </c>
      <c r="L34" s="132"/>
      <c r="M34" s="745">
        <v>134</v>
      </c>
      <c r="N34" s="736" t="s">
        <v>2649</v>
      </c>
      <c r="O34" s="734">
        <f t="shared" si="1"/>
        <v>355</v>
      </c>
      <c r="P34" s="655"/>
      <c r="Q34" s="655"/>
      <c r="R34" s="656"/>
      <c r="S34" s="656"/>
      <c r="T34" s="656"/>
      <c r="U34" s="656"/>
      <c r="V34" s="656"/>
      <c r="W34" s="656"/>
      <c r="X34" s="656"/>
      <c r="Y34" s="656"/>
      <c r="Z34" s="656"/>
      <c r="AA34" s="656"/>
    </row>
    <row r="35" spans="2:27">
      <c r="B35" s="659" t="s">
        <v>1982</v>
      </c>
      <c r="C35" s="659" t="s">
        <v>334</v>
      </c>
      <c r="D35" s="132">
        <v>44</v>
      </c>
      <c r="E35" s="132"/>
      <c r="F35" s="656"/>
      <c r="G35" s="664" t="s">
        <v>1982</v>
      </c>
      <c r="H35" s="738">
        <v>135</v>
      </c>
      <c r="I35" s="739" t="s">
        <v>334</v>
      </c>
      <c r="J35" s="734">
        <v>44</v>
      </c>
      <c r="K35" s="734">
        <f t="shared" si="0"/>
        <v>44</v>
      </c>
      <c r="L35" s="132"/>
      <c r="M35" s="745">
        <v>135</v>
      </c>
      <c r="N35" s="739" t="s">
        <v>334</v>
      </c>
      <c r="O35" s="734">
        <f t="shared" si="1"/>
        <v>44</v>
      </c>
      <c r="P35" s="655"/>
      <c r="Q35" s="655"/>
      <c r="R35" s="656"/>
      <c r="S35" s="656"/>
      <c r="T35" s="656"/>
      <c r="U35" s="656"/>
      <c r="V35" s="656"/>
      <c r="W35" s="656"/>
      <c r="X35" s="656"/>
      <c r="Y35" s="656"/>
      <c r="Z35" s="656"/>
      <c r="AA35" s="656"/>
    </row>
    <row r="36" spans="2:27">
      <c r="B36" s="659" t="s">
        <v>1985</v>
      </c>
      <c r="C36" s="657" t="s">
        <v>2650</v>
      </c>
      <c r="D36" s="132">
        <v>79</v>
      </c>
      <c r="E36" s="132"/>
      <c r="F36" s="656"/>
      <c r="G36" s="664" t="s">
        <v>1985</v>
      </c>
      <c r="H36" s="738">
        <v>136</v>
      </c>
      <c r="I36" s="736" t="s">
        <v>2650</v>
      </c>
      <c r="J36" s="734">
        <v>79</v>
      </c>
      <c r="K36" s="734">
        <f t="shared" si="0"/>
        <v>79</v>
      </c>
      <c r="L36" s="132"/>
      <c r="M36" s="745">
        <v>136</v>
      </c>
      <c r="N36" s="736" t="s">
        <v>2650</v>
      </c>
      <c r="O36" s="734">
        <f t="shared" si="1"/>
        <v>79</v>
      </c>
      <c r="P36" s="655"/>
      <c r="Q36" s="655"/>
      <c r="R36" s="656"/>
      <c r="S36" s="656"/>
      <c r="T36" s="656"/>
      <c r="U36" s="656"/>
      <c r="V36" s="656"/>
      <c r="W36" s="656"/>
      <c r="X36" s="656"/>
      <c r="Y36" s="656"/>
      <c r="Z36" s="656"/>
      <c r="AA36" s="656"/>
    </row>
    <row r="37" spans="2:27">
      <c r="B37" s="659" t="s">
        <v>1988</v>
      </c>
      <c r="C37" s="657" t="s">
        <v>2651</v>
      </c>
      <c r="D37" s="132">
        <v>118</v>
      </c>
      <c r="E37" s="132"/>
      <c r="F37" s="656"/>
      <c r="G37" s="664" t="s">
        <v>1988</v>
      </c>
      <c r="H37" s="738">
        <v>137</v>
      </c>
      <c r="I37" s="736" t="s">
        <v>2651</v>
      </c>
      <c r="J37" s="734">
        <v>118</v>
      </c>
      <c r="K37" s="734">
        <f t="shared" si="0"/>
        <v>118</v>
      </c>
      <c r="L37" s="132"/>
      <c r="M37" s="745">
        <v>137</v>
      </c>
      <c r="N37" s="736" t="s">
        <v>2651</v>
      </c>
      <c r="O37" s="734">
        <f t="shared" si="1"/>
        <v>118</v>
      </c>
      <c r="P37" s="655"/>
      <c r="Q37" s="655"/>
      <c r="R37" s="656"/>
      <c r="S37" s="656"/>
      <c r="T37" s="656"/>
      <c r="U37" s="656"/>
      <c r="V37" s="656"/>
      <c r="W37" s="656"/>
      <c r="X37" s="656"/>
      <c r="Y37" s="656"/>
      <c r="Z37" s="656"/>
      <c r="AA37" s="656"/>
    </row>
    <row r="38" spans="2:27">
      <c r="B38" s="659" t="s">
        <v>1227</v>
      </c>
      <c r="C38" s="657" t="s">
        <v>2652</v>
      </c>
      <c r="D38" s="132">
        <v>770</v>
      </c>
      <c r="E38" s="132"/>
      <c r="F38" s="656"/>
      <c r="G38" s="664" t="s">
        <v>1227</v>
      </c>
      <c r="H38" s="738">
        <v>139</v>
      </c>
      <c r="I38" s="736" t="s">
        <v>2652</v>
      </c>
      <c r="J38" s="734">
        <v>770</v>
      </c>
      <c r="K38" s="734">
        <f t="shared" si="0"/>
        <v>770</v>
      </c>
      <c r="L38" s="132"/>
      <c r="M38" s="745">
        <v>139</v>
      </c>
      <c r="N38" s="736" t="s">
        <v>2652</v>
      </c>
      <c r="O38" s="734">
        <f t="shared" si="1"/>
        <v>785</v>
      </c>
      <c r="P38" s="655"/>
      <c r="Q38" s="655"/>
      <c r="R38" s="656"/>
      <c r="S38" s="656"/>
      <c r="T38" s="656"/>
      <c r="U38" s="656"/>
      <c r="V38" s="656"/>
      <c r="W38" s="656"/>
      <c r="X38" s="656"/>
      <c r="Y38" s="656"/>
      <c r="Z38" s="656"/>
      <c r="AA38" s="656"/>
    </row>
    <row r="39" spans="2:27">
      <c r="B39" s="659" t="s">
        <v>2007</v>
      </c>
      <c r="C39" s="659" t="s">
        <v>338</v>
      </c>
      <c r="D39" s="132">
        <v>50</v>
      </c>
      <c r="E39" s="132"/>
      <c r="F39" s="656"/>
      <c r="G39" s="664" t="s">
        <v>2007</v>
      </c>
      <c r="H39" s="738">
        <v>148</v>
      </c>
      <c r="I39" s="739" t="s">
        <v>338</v>
      </c>
      <c r="J39" s="734">
        <v>50</v>
      </c>
      <c r="K39" s="734">
        <f t="shared" si="0"/>
        <v>50</v>
      </c>
      <c r="L39" s="132"/>
      <c r="M39" s="745">
        <v>148</v>
      </c>
      <c r="N39" s="739" t="s">
        <v>338</v>
      </c>
      <c r="O39" s="734">
        <f t="shared" si="1"/>
        <v>50</v>
      </c>
      <c r="P39" s="655"/>
      <c r="Q39" s="655"/>
      <c r="R39" s="656"/>
      <c r="S39" s="656"/>
      <c r="T39" s="656"/>
      <c r="U39" s="656"/>
      <c r="V39" s="656"/>
      <c r="W39" s="656"/>
      <c r="X39" s="656"/>
      <c r="Y39" s="656"/>
      <c r="Z39" s="656"/>
      <c r="AA39" s="656"/>
    </row>
    <row r="40" spans="2:27">
      <c r="B40" s="659" t="s">
        <v>2011</v>
      </c>
      <c r="C40" s="659" t="s">
        <v>339</v>
      </c>
      <c r="D40" s="132">
        <v>21</v>
      </c>
      <c r="E40" s="132"/>
      <c r="F40" s="656"/>
      <c r="G40" s="664" t="s">
        <v>2011</v>
      </c>
      <c r="H40" s="738">
        <v>149</v>
      </c>
      <c r="I40" s="739" t="s">
        <v>339</v>
      </c>
      <c r="J40" s="734">
        <v>21</v>
      </c>
      <c r="K40" s="734">
        <f t="shared" si="0"/>
        <v>21</v>
      </c>
      <c r="L40" s="132"/>
      <c r="M40" s="745">
        <v>149</v>
      </c>
      <c r="N40" s="739" t="s">
        <v>339</v>
      </c>
      <c r="O40" s="734">
        <f t="shared" si="1"/>
        <v>21</v>
      </c>
      <c r="P40" s="655"/>
      <c r="Q40" s="655"/>
      <c r="R40" s="656"/>
      <c r="S40" s="656"/>
      <c r="T40" s="656"/>
      <c r="U40" s="656"/>
      <c r="V40" s="656"/>
      <c r="W40" s="656"/>
      <c r="X40" s="656"/>
      <c r="Y40" s="656"/>
      <c r="Z40" s="656"/>
      <c r="AA40" s="656"/>
    </row>
    <row r="41" spans="2:27">
      <c r="B41" s="659" t="s">
        <v>2014</v>
      </c>
      <c r="C41" s="657" t="s">
        <v>2653</v>
      </c>
      <c r="D41" s="132">
        <v>92</v>
      </c>
      <c r="E41" s="132"/>
      <c r="F41" s="656"/>
      <c r="G41" s="664" t="s">
        <v>2014</v>
      </c>
      <c r="H41" s="738">
        <v>150</v>
      </c>
      <c r="I41" s="736" t="s">
        <v>2653</v>
      </c>
      <c r="J41" s="734">
        <v>92</v>
      </c>
      <c r="K41" s="734">
        <f t="shared" si="0"/>
        <v>92</v>
      </c>
      <c r="L41" s="132"/>
      <c r="M41" s="745">
        <v>150</v>
      </c>
      <c r="N41" s="736" t="s">
        <v>2653</v>
      </c>
      <c r="O41" s="734">
        <f t="shared" si="1"/>
        <v>92</v>
      </c>
      <c r="P41" s="655"/>
      <c r="Q41" s="655"/>
      <c r="R41" s="656"/>
      <c r="S41" s="656"/>
      <c r="T41" s="656"/>
      <c r="U41" s="656"/>
      <c r="V41" s="656"/>
      <c r="W41" s="656"/>
      <c r="X41" s="656"/>
      <c r="Y41" s="656"/>
      <c r="Z41" s="656"/>
      <c r="AA41" s="656"/>
    </row>
    <row r="42" spans="2:27">
      <c r="B42" s="659" t="s">
        <v>2019</v>
      </c>
      <c r="C42" s="657" t="s">
        <v>2654</v>
      </c>
      <c r="D42" s="132">
        <v>495</v>
      </c>
      <c r="E42" s="132"/>
      <c r="F42" s="656"/>
      <c r="G42" s="664" t="s">
        <v>2019</v>
      </c>
      <c r="H42" s="738">
        <v>151</v>
      </c>
      <c r="I42" s="736" t="s">
        <v>2654</v>
      </c>
      <c r="J42" s="734">
        <v>495</v>
      </c>
      <c r="K42" s="734">
        <f t="shared" si="0"/>
        <v>495</v>
      </c>
      <c r="L42" s="132"/>
      <c r="M42" s="745">
        <v>151</v>
      </c>
      <c r="N42" s="736" t="s">
        <v>2654</v>
      </c>
      <c r="O42" s="734">
        <f t="shared" si="1"/>
        <v>495</v>
      </c>
      <c r="P42" s="655"/>
      <c r="Q42" s="655"/>
      <c r="R42" s="656"/>
      <c r="S42" s="656"/>
      <c r="T42" s="656"/>
      <c r="U42" s="656"/>
      <c r="V42" s="656"/>
      <c r="W42" s="656"/>
      <c r="X42" s="656"/>
      <c r="Y42" s="656"/>
      <c r="Z42" s="656"/>
      <c r="AA42" s="656"/>
    </row>
    <row r="43" spans="2:27">
      <c r="B43" s="659" t="s">
        <v>2038</v>
      </c>
      <c r="C43" s="659" t="s">
        <v>342</v>
      </c>
      <c r="D43" s="132">
        <v>10</v>
      </c>
      <c r="E43" s="132"/>
      <c r="F43" s="656"/>
      <c r="G43" s="664" t="s">
        <v>2038</v>
      </c>
      <c r="H43" s="738">
        <v>161</v>
      </c>
      <c r="I43" s="739" t="s">
        <v>342</v>
      </c>
      <c r="J43" s="734">
        <v>10</v>
      </c>
      <c r="K43" s="734">
        <f t="shared" si="0"/>
        <v>10</v>
      </c>
      <c r="L43" s="132"/>
      <c r="M43" s="745">
        <v>161</v>
      </c>
      <c r="N43" s="739" t="s">
        <v>342</v>
      </c>
      <c r="O43" s="734">
        <f t="shared" si="1"/>
        <v>10</v>
      </c>
      <c r="P43" s="655"/>
      <c r="Q43" s="655"/>
      <c r="R43" s="656"/>
      <c r="S43" s="656"/>
      <c r="T43" s="656"/>
      <c r="U43" s="656"/>
      <c r="V43" s="656"/>
      <c r="W43" s="656"/>
      <c r="X43" s="656"/>
      <c r="Y43" s="656"/>
      <c r="Z43" s="656"/>
      <c r="AA43" s="656"/>
    </row>
    <row r="44" spans="2:27">
      <c r="B44" s="659" t="s">
        <v>2041</v>
      </c>
      <c r="C44" s="657" t="s">
        <v>2655</v>
      </c>
      <c r="D44" s="132">
        <v>130</v>
      </c>
      <c r="E44" s="132"/>
      <c r="F44" s="656"/>
      <c r="G44" s="664" t="s">
        <v>2041</v>
      </c>
      <c r="H44" s="738">
        <v>171</v>
      </c>
      <c r="I44" s="736" t="s">
        <v>2655</v>
      </c>
      <c r="J44" s="734">
        <v>130</v>
      </c>
      <c r="K44" s="734">
        <f t="shared" si="0"/>
        <v>130</v>
      </c>
      <c r="L44" s="132"/>
      <c r="M44" s="745">
        <v>171</v>
      </c>
      <c r="N44" s="736" t="s">
        <v>2655</v>
      </c>
      <c r="O44" s="734">
        <f t="shared" si="1"/>
        <v>130</v>
      </c>
      <c r="P44" s="655"/>
      <c r="Q44" s="655"/>
      <c r="R44" s="656"/>
      <c r="S44" s="656"/>
      <c r="T44" s="656"/>
      <c r="U44" s="656"/>
      <c r="V44" s="656"/>
      <c r="W44" s="656"/>
      <c r="X44" s="656"/>
      <c r="Y44" s="656"/>
      <c r="Z44" s="656"/>
      <c r="AA44" s="656"/>
    </row>
    <row r="45" spans="2:27">
      <c r="B45" s="659" t="s">
        <v>2050</v>
      </c>
      <c r="C45" s="659" t="s">
        <v>344</v>
      </c>
      <c r="D45" s="132">
        <v>40</v>
      </c>
      <c r="E45" s="132"/>
      <c r="F45" s="656"/>
      <c r="G45" s="664" t="s">
        <v>2050</v>
      </c>
      <c r="H45" s="738">
        <v>181</v>
      </c>
      <c r="I45" s="739" t="s">
        <v>344</v>
      </c>
      <c r="J45" s="734">
        <v>40</v>
      </c>
      <c r="K45" s="734">
        <f t="shared" si="0"/>
        <v>40</v>
      </c>
      <c r="L45" s="132"/>
      <c r="M45" s="745">
        <v>181</v>
      </c>
      <c r="N45" s="739" t="s">
        <v>344</v>
      </c>
      <c r="O45" s="734">
        <f t="shared" si="1"/>
        <v>40</v>
      </c>
      <c r="P45" s="655"/>
      <c r="Q45" s="655"/>
      <c r="R45" s="656"/>
      <c r="S45" s="656"/>
      <c r="T45" s="656"/>
      <c r="U45" s="656"/>
      <c r="V45" s="656"/>
      <c r="W45" s="656"/>
      <c r="X45" s="656"/>
      <c r="Y45" s="656"/>
      <c r="Z45" s="656"/>
      <c r="AA45" s="656"/>
    </row>
    <row r="46" spans="2:27">
      <c r="B46" s="659" t="s">
        <v>2055</v>
      </c>
      <c r="C46" s="659" t="s">
        <v>345</v>
      </c>
      <c r="D46" s="132">
        <v>19</v>
      </c>
      <c r="E46" s="132"/>
      <c r="F46" s="656"/>
      <c r="G46" s="664" t="s">
        <v>2055</v>
      </c>
      <c r="H46" s="738">
        <v>182</v>
      </c>
      <c r="I46" s="739" t="s">
        <v>345</v>
      </c>
      <c r="J46" s="734">
        <v>19</v>
      </c>
      <c r="K46" s="734">
        <f t="shared" si="0"/>
        <v>19</v>
      </c>
      <c r="L46" s="132"/>
      <c r="M46" s="745">
        <v>182</v>
      </c>
      <c r="N46" s="739" t="s">
        <v>345</v>
      </c>
      <c r="O46" s="734">
        <f t="shared" si="1"/>
        <v>19</v>
      </c>
      <c r="P46" s="655"/>
      <c r="Q46" s="655"/>
      <c r="R46" s="656"/>
      <c r="S46" s="656"/>
      <c r="T46" s="656"/>
      <c r="U46" s="656"/>
      <c r="V46" s="656"/>
      <c r="W46" s="656"/>
      <c r="X46" s="656"/>
      <c r="Y46" s="656"/>
      <c r="Z46" s="656"/>
      <c r="AA46" s="656"/>
    </row>
    <row r="47" spans="2:27">
      <c r="B47" s="659" t="s">
        <v>2058</v>
      </c>
      <c r="C47" s="659" t="s">
        <v>346</v>
      </c>
      <c r="D47" s="660" t="s">
        <v>1186</v>
      </c>
      <c r="E47" s="660"/>
      <c r="F47" s="656"/>
      <c r="G47" s="664" t="s">
        <v>2058</v>
      </c>
      <c r="H47" s="738">
        <v>191</v>
      </c>
      <c r="I47" s="739" t="s">
        <v>346</v>
      </c>
      <c r="J47" s="740" t="s">
        <v>1186</v>
      </c>
      <c r="K47" s="734">
        <f t="shared" si="0"/>
        <v>5</v>
      </c>
      <c r="L47" s="660"/>
      <c r="M47" s="745">
        <v>191</v>
      </c>
      <c r="N47" s="739" t="s">
        <v>346</v>
      </c>
      <c r="O47" s="734">
        <f t="shared" si="1"/>
        <v>5</v>
      </c>
      <c r="P47" s="655"/>
      <c r="Q47" s="655"/>
      <c r="R47" s="656"/>
      <c r="S47" s="656"/>
      <c r="T47" s="656"/>
      <c r="U47" s="656"/>
      <c r="V47" s="656"/>
      <c r="W47" s="656"/>
      <c r="X47" s="656"/>
      <c r="Y47" s="656"/>
      <c r="Z47" s="656"/>
      <c r="AA47" s="656"/>
    </row>
    <row r="48" spans="2:27">
      <c r="B48" s="659" t="s">
        <v>2060</v>
      </c>
      <c r="C48" s="657" t="s">
        <v>2656</v>
      </c>
      <c r="D48" s="132">
        <v>61</v>
      </c>
      <c r="E48" s="132"/>
      <c r="F48" s="656"/>
      <c r="G48" s="664" t="s">
        <v>2060</v>
      </c>
      <c r="H48" s="738">
        <v>192</v>
      </c>
      <c r="I48" s="736" t="s">
        <v>2656</v>
      </c>
      <c r="J48" s="734">
        <v>61</v>
      </c>
      <c r="K48" s="734">
        <f t="shared" si="0"/>
        <v>61</v>
      </c>
      <c r="L48" s="132"/>
      <c r="M48" s="745">
        <v>192</v>
      </c>
      <c r="N48" s="736" t="s">
        <v>2656</v>
      </c>
      <c r="O48" s="734">
        <f t="shared" si="1"/>
        <v>61</v>
      </c>
      <c r="P48" s="655"/>
      <c r="Q48" s="655"/>
      <c r="R48" s="656"/>
      <c r="S48" s="656"/>
      <c r="T48" s="656"/>
      <c r="U48" s="656"/>
      <c r="V48" s="656"/>
      <c r="W48" s="656"/>
      <c r="X48" s="656"/>
      <c r="Y48" s="656"/>
      <c r="Z48" s="656"/>
      <c r="AA48" s="656"/>
    </row>
    <row r="49" spans="2:27">
      <c r="B49" s="659" t="s">
        <v>2064</v>
      </c>
      <c r="C49" s="657" t="s">
        <v>2657</v>
      </c>
      <c r="D49" s="132">
        <v>427</v>
      </c>
      <c r="E49" s="132"/>
      <c r="F49" s="656"/>
      <c r="G49" s="664" t="s">
        <v>2064</v>
      </c>
      <c r="H49" s="738">
        <v>193</v>
      </c>
      <c r="I49" s="736" t="s">
        <v>2657</v>
      </c>
      <c r="J49" s="734">
        <v>427</v>
      </c>
      <c r="K49" s="734">
        <f t="shared" si="0"/>
        <v>427</v>
      </c>
      <c r="L49" s="132"/>
      <c r="M49" s="745">
        <v>193</v>
      </c>
      <c r="N49" s="736" t="s">
        <v>2657</v>
      </c>
      <c r="O49" s="734">
        <f t="shared" si="1"/>
        <v>427</v>
      </c>
      <c r="P49" s="655"/>
      <c r="Q49" s="655"/>
      <c r="R49" s="656"/>
      <c r="S49" s="656"/>
      <c r="T49" s="656"/>
      <c r="U49" s="656"/>
      <c r="V49" s="656"/>
      <c r="W49" s="656"/>
      <c r="X49" s="656"/>
      <c r="Y49" s="656"/>
      <c r="Z49" s="656"/>
      <c r="AA49" s="656"/>
    </row>
    <row r="50" spans="2:27">
      <c r="B50" s="659" t="s">
        <v>2075</v>
      </c>
      <c r="C50" s="657" t="s">
        <v>2658</v>
      </c>
      <c r="D50" s="132">
        <v>254</v>
      </c>
      <c r="E50" s="132"/>
      <c r="F50" s="656"/>
      <c r="G50" s="664" t="s">
        <v>2075</v>
      </c>
      <c r="H50" s="738">
        <v>201</v>
      </c>
      <c r="I50" s="736" t="s">
        <v>2658</v>
      </c>
      <c r="J50" s="734">
        <v>254</v>
      </c>
      <c r="K50" s="734">
        <f t="shared" si="0"/>
        <v>254</v>
      </c>
      <c r="L50" s="132"/>
      <c r="M50" s="745">
        <v>201</v>
      </c>
      <c r="N50" s="736" t="s">
        <v>2658</v>
      </c>
      <c r="O50" s="734">
        <f t="shared" si="1"/>
        <v>259</v>
      </c>
      <c r="P50" s="655"/>
      <c r="Q50" s="655"/>
      <c r="R50" s="656"/>
      <c r="S50" s="656"/>
      <c r="T50" s="656"/>
      <c r="U50" s="656"/>
      <c r="V50" s="656"/>
      <c r="W50" s="656"/>
      <c r="X50" s="656"/>
      <c r="Y50" s="656"/>
      <c r="Z50" s="656"/>
      <c r="AA50" s="656"/>
    </row>
    <row r="51" spans="2:27">
      <c r="B51" s="659" t="s">
        <v>2082</v>
      </c>
      <c r="C51" s="659" t="s">
        <v>350</v>
      </c>
      <c r="D51" s="132">
        <v>44</v>
      </c>
      <c r="E51" s="132"/>
      <c r="F51" s="656"/>
      <c r="G51" s="664" t="s">
        <v>2082</v>
      </c>
      <c r="H51" s="738">
        <v>202</v>
      </c>
      <c r="I51" s="739" t="s">
        <v>350</v>
      </c>
      <c r="J51" s="734">
        <v>44</v>
      </c>
      <c r="K51" s="734">
        <f t="shared" si="0"/>
        <v>44</v>
      </c>
      <c r="L51" s="132"/>
      <c r="M51" s="745">
        <v>202</v>
      </c>
      <c r="N51" s="739" t="s">
        <v>350</v>
      </c>
      <c r="O51" s="734">
        <f t="shared" si="1"/>
        <v>44</v>
      </c>
      <c r="P51" s="655"/>
      <c r="Q51" s="655"/>
      <c r="R51" s="656"/>
      <c r="S51" s="656"/>
      <c r="T51" s="656"/>
      <c r="U51" s="656"/>
      <c r="V51" s="656"/>
      <c r="W51" s="656"/>
      <c r="X51" s="656"/>
      <c r="Y51" s="656"/>
      <c r="Z51" s="656"/>
      <c r="AA51" s="656"/>
    </row>
    <row r="52" spans="2:27">
      <c r="B52" s="659" t="s">
        <v>2087</v>
      </c>
      <c r="C52" s="657" t="s">
        <v>2659</v>
      </c>
      <c r="D52" s="132">
        <v>203</v>
      </c>
      <c r="E52" s="132"/>
      <c r="F52" s="656"/>
      <c r="G52" s="664" t="s">
        <v>2087</v>
      </c>
      <c r="H52" s="738">
        <v>215</v>
      </c>
      <c r="I52" s="736" t="s">
        <v>2659</v>
      </c>
      <c r="J52" s="734">
        <v>203</v>
      </c>
      <c r="K52" s="734">
        <f t="shared" si="0"/>
        <v>203</v>
      </c>
      <c r="L52" s="132"/>
      <c r="M52" s="745">
        <v>215</v>
      </c>
      <c r="N52" s="736" t="s">
        <v>2659</v>
      </c>
      <c r="O52" s="734">
        <f t="shared" si="1"/>
        <v>203</v>
      </c>
      <c r="P52" s="655"/>
      <c r="Q52" s="655"/>
      <c r="R52" s="656"/>
      <c r="S52" s="656"/>
      <c r="T52" s="656"/>
      <c r="U52" s="656"/>
      <c r="V52" s="656"/>
      <c r="W52" s="656"/>
      <c r="X52" s="656"/>
      <c r="Y52" s="656"/>
      <c r="Z52" s="656"/>
      <c r="AA52" s="656"/>
    </row>
    <row r="53" spans="2:27">
      <c r="B53" s="659" t="s">
        <v>1244</v>
      </c>
      <c r="C53" s="657" t="s">
        <v>2660</v>
      </c>
      <c r="D53" s="132">
        <v>320</v>
      </c>
      <c r="E53" s="132"/>
      <c r="F53" s="656"/>
      <c r="G53" s="664" t="s">
        <v>1244</v>
      </c>
      <c r="H53" s="738">
        <v>221</v>
      </c>
      <c r="I53" s="736" t="s">
        <v>2660</v>
      </c>
      <c r="J53" s="734">
        <v>320</v>
      </c>
      <c r="K53" s="734">
        <f t="shared" si="0"/>
        <v>320</v>
      </c>
      <c r="L53" s="132"/>
      <c r="M53" s="745">
        <v>221</v>
      </c>
      <c r="N53" s="736" t="s">
        <v>2660</v>
      </c>
      <c r="O53" s="734">
        <f t="shared" si="1"/>
        <v>325</v>
      </c>
      <c r="P53" s="655"/>
      <c r="Q53" s="655"/>
      <c r="R53" s="656"/>
      <c r="S53" s="656"/>
      <c r="T53" s="656"/>
      <c r="U53" s="656"/>
      <c r="V53" s="656"/>
      <c r="W53" s="656"/>
      <c r="X53" s="656"/>
      <c r="Y53" s="656"/>
      <c r="Z53" s="656"/>
      <c r="AA53" s="656"/>
    </row>
    <row r="54" spans="2:27">
      <c r="B54" s="659" t="s">
        <v>2112</v>
      </c>
      <c r="C54" s="657" t="s">
        <v>2661</v>
      </c>
      <c r="D54" s="132">
        <v>131</v>
      </c>
      <c r="E54" s="132"/>
      <c r="F54" s="656"/>
      <c r="G54" s="664" t="s">
        <v>2112</v>
      </c>
      <c r="H54" s="738">
        <v>231</v>
      </c>
      <c r="I54" s="736" t="s">
        <v>2661</v>
      </c>
      <c r="J54" s="734">
        <v>131</v>
      </c>
      <c r="K54" s="734">
        <f t="shared" si="0"/>
        <v>131</v>
      </c>
      <c r="L54" s="132"/>
      <c r="M54" s="745">
        <v>231</v>
      </c>
      <c r="N54" s="736" t="s">
        <v>2661</v>
      </c>
      <c r="O54" s="734">
        <f t="shared" si="1"/>
        <v>131</v>
      </c>
      <c r="P54" s="655"/>
      <c r="Q54" s="655"/>
      <c r="R54" s="656"/>
      <c r="S54" s="656"/>
      <c r="T54" s="656"/>
      <c r="U54" s="656"/>
      <c r="V54" s="656"/>
      <c r="W54" s="656"/>
      <c r="X54" s="656"/>
      <c r="Y54" s="656"/>
      <c r="Z54" s="656"/>
      <c r="AA54" s="656"/>
    </row>
    <row r="55" spans="2:27">
      <c r="B55" s="659" t="s">
        <v>1246</v>
      </c>
      <c r="C55" s="657" t="s">
        <v>2662</v>
      </c>
      <c r="D55" s="132">
        <v>127</v>
      </c>
      <c r="E55" s="132"/>
      <c r="F55" s="656"/>
      <c r="G55" s="664" t="s">
        <v>1246</v>
      </c>
      <c r="H55" s="738">
        <v>232</v>
      </c>
      <c r="I55" s="736" t="s">
        <v>2662</v>
      </c>
      <c r="J55" s="734">
        <v>127</v>
      </c>
      <c r="K55" s="734">
        <f t="shared" si="0"/>
        <v>127</v>
      </c>
      <c r="L55" s="132"/>
      <c r="M55" s="745">
        <v>232</v>
      </c>
      <c r="N55" s="736" t="s">
        <v>2662</v>
      </c>
      <c r="O55" s="734">
        <f t="shared" si="1"/>
        <v>127</v>
      </c>
      <c r="P55" s="655"/>
      <c r="Q55" s="655"/>
      <c r="R55" s="656"/>
      <c r="S55" s="656"/>
      <c r="T55" s="656"/>
      <c r="U55" s="656"/>
      <c r="V55" s="656"/>
      <c r="W55" s="656"/>
      <c r="X55" s="656"/>
      <c r="Y55" s="656"/>
      <c r="Z55" s="656"/>
      <c r="AA55" s="656"/>
    </row>
    <row r="56" spans="2:27">
      <c r="B56" s="659" t="s">
        <v>2121</v>
      </c>
      <c r="C56" s="659" t="s">
        <v>355</v>
      </c>
      <c r="D56" s="132">
        <v>42</v>
      </c>
      <c r="E56" s="132"/>
      <c r="F56" s="656"/>
      <c r="G56" s="664" t="s">
        <v>2121</v>
      </c>
      <c r="H56" s="738">
        <v>233</v>
      </c>
      <c r="I56" s="739" t="s">
        <v>355</v>
      </c>
      <c r="J56" s="734">
        <v>42</v>
      </c>
      <c r="K56" s="734">
        <f t="shared" si="0"/>
        <v>42</v>
      </c>
      <c r="L56" s="132"/>
      <c r="M56" s="745">
        <v>233</v>
      </c>
      <c r="N56" s="739" t="s">
        <v>355</v>
      </c>
      <c r="O56" s="734">
        <f t="shared" si="1"/>
        <v>42</v>
      </c>
      <c r="P56" s="655"/>
      <c r="Q56" s="655"/>
      <c r="R56" s="656"/>
      <c r="S56" s="656"/>
      <c r="T56" s="656"/>
      <c r="U56" s="656"/>
      <c r="V56" s="656"/>
      <c r="W56" s="656"/>
      <c r="X56" s="656"/>
      <c r="Y56" s="656"/>
      <c r="Z56" s="656"/>
      <c r="AA56" s="656"/>
    </row>
    <row r="57" spans="2:27">
      <c r="B57" s="659" t="s">
        <v>2123</v>
      </c>
      <c r="C57" s="659" t="s">
        <v>356</v>
      </c>
      <c r="D57" s="132">
        <v>13</v>
      </c>
      <c r="E57" s="132"/>
      <c r="F57" s="656"/>
      <c r="G57" s="664" t="s">
        <v>2123</v>
      </c>
      <c r="H57" s="738">
        <v>234</v>
      </c>
      <c r="I57" s="739" t="s">
        <v>356</v>
      </c>
      <c r="J57" s="734">
        <v>13</v>
      </c>
      <c r="K57" s="734">
        <f t="shared" si="0"/>
        <v>13</v>
      </c>
      <c r="L57" s="132"/>
      <c r="M57" s="745">
        <v>234</v>
      </c>
      <c r="N57" s="739" t="s">
        <v>356</v>
      </c>
      <c r="O57" s="734">
        <f t="shared" si="1"/>
        <v>13</v>
      </c>
      <c r="P57" s="655"/>
      <c r="Q57" s="655"/>
      <c r="R57" s="656"/>
      <c r="S57" s="656"/>
      <c r="T57" s="656"/>
      <c r="U57" s="656"/>
      <c r="V57" s="656"/>
      <c r="W57" s="656"/>
      <c r="X57" s="656"/>
      <c r="Y57" s="656"/>
      <c r="Z57" s="656"/>
      <c r="AA57" s="656"/>
    </row>
    <row r="58" spans="2:27">
      <c r="B58" s="659" t="s">
        <v>2125</v>
      </c>
      <c r="C58" s="659" t="s">
        <v>357</v>
      </c>
      <c r="D58" s="132">
        <v>35</v>
      </c>
      <c r="E58" s="132"/>
      <c r="F58" s="656"/>
      <c r="G58" s="664" t="s">
        <v>2125</v>
      </c>
      <c r="H58" s="738">
        <v>242</v>
      </c>
      <c r="I58" s="739" t="s">
        <v>357</v>
      </c>
      <c r="J58" s="734">
        <v>35</v>
      </c>
      <c r="K58" s="734">
        <f t="shared" si="0"/>
        <v>35</v>
      </c>
      <c r="L58" s="132"/>
      <c r="M58" s="745">
        <v>242</v>
      </c>
      <c r="N58" s="739" t="s">
        <v>357</v>
      </c>
      <c r="O58" s="734">
        <f t="shared" si="1"/>
        <v>35</v>
      </c>
      <c r="P58" s="655"/>
      <c r="Q58" s="655"/>
      <c r="R58" s="656"/>
      <c r="S58" s="656"/>
      <c r="T58" s="656"/>
      <c r="U58" s="656"/>
      <c r="V58" s="656"/>
      <c r="W58" s="656"/>
      <c r="X58" s="656"/>
      <c r="Y58" s="656"/>
      <c r="Z58" s="656"/>
      <c r="AA58" s="656"/>
    </row>
    <row r="59" spans="2:27">
      <c r="B59" s="659" t="s">
        <v>2129</v>
      </c>
      <c r="C59" s="659" t="s">
        <v>358</v>
      </c>
      <c r="D59" s="132">
        <v>19</v>
      </c>
      <c r="E59" s="132"/>
      <c r="F59" s="656"/>
      <c r="G59" s="664" t="s">
        <v>2129</v>
      </c>
      <c r="H59" s="738">
        <v>243</v>
      </c>
      <c r="I59" s="739" t="s">
        <v>358</v>
      </c>
      <c r="J59" s="734">
        <v>19</v>
      </c>
      <c r="K59" s="734">
        <f t="shared" si="0"/>
        <v>19</v>
      </c>
      <c r="L59" s="132"/>
      <c r="M59" s="745">
        <v>243</v>
      </c>
      <c r="N59" s="739" t="s">
        <v>358</v>
      </c>
      <c r="O59" s="734">
        <f t="shared" si="1"/>
        <v>19</v>
      </c>
      <c r="P59" s="655"/>
      <c r="Q59" s="655"/>
      <c r="R59" s="656"/>
      <c r="S59" s="656"/>
      <c r="T59" s="656"/>
      <c r="U59" s="656"/>
      <c r="V59" s="656"/>
      <c r="W59" s="656"/>
      <c r="X59" s="656"/>
      <c r="Y59" s="656"/>
      <c r="Z59" s="656"/>
      <c r="AA59" s="656"/>
    </row>
    <row r="60" spans="2:27">
      <c r="B60" s="659" t="s">
        <v>2132</v>
      </c>
      <c r="C60" s="657" t="s">
        <v>2663</v>
      </c>
      <c r="D60" s="132">
        <v>169</v>
      </c>
      <c r="E60" s="132"/>
      <c r="F60" s="656"/>
      <c r="G60" s="664" t="s">
        <v>2132</v>
      </c>
      <c r="H60" s="738">
        <v>244</v>
      </c>
      <c r="I60" s="736" t="s">
        <v>2663</v>
      </c>
      <c r="J60" s="734">
        <v>169</v>
      </c>
      <c r="K60" s="734">
        <f t="shared" si="0"/>
        <v>169</v>
      </c>
      <c r="L60" s="132"/>
      <c r="M60" s="745">
        <v>244</v>
      </c>
      <c r="N60" s="736" t="s">
        <v>2663</v>
      </c>
      <c r="O60" s="734">
        <f t="shared" si="1"/>
        <v>169</v>
      </c>
      <c r="P60" s="655"/>
      <c r="Q60" s="655"/>
      <c r="R60" s="656"/>
      <c r="S60" s="656"/>
      <c r="T60" s="656"/>
      <c r="U60" s="656"/>
      <c r="V60" s="656"/>
      <c r="W60" s="656"/>
      <c r="X60" s="656"/>
      <c r="Y60" s="656"/>
      <c r="Z60" s="656"/>
      <c r="AA60" s="656"/>
    </row>
    <row r="61" spans="2:27">
      <c r="B61" s="659" t="s">
        <v>2139</v>
      </c>
      <c r="C61" s="657" t="s">
        <v>2664</v>
      </c>
      <c r="D61" s="132">
        <v>401</v>
      </c>
      <c r="E61" s="132"/>
      <c r="F61" s="656"/>
      <c r="G61" s="664" t="s">
        <v>2139</v>
      </c>
      <c r="H61" s="738">
        <v>251</v>
      </c>
      <c r="I61" s="736" t="s">
        <v>2664</v>
      </c>
      <c r="J61" s="734">
        <v>401</v>
      </c>
      <c r="K61" s="734">
        <f t="shared" si="0"/>
        <v>401</v>
      </c>
      <c r="L61" s="132"/>
      <c r="M61" s="745">
        <v>251</v>
      </c>
      <c r="N61" s="736" t="s">
        <v>2664</v>
      </c>
      <c r="O61" s="734">
        <f t="shared" si="1"/>
        <v>401</v>
      </c>
      <c r="P61" s="655"/>
      <c r="Q61" s="655"/>
      <c r="R61" s="656"/>
      <c r="S61" s="656"/>
      <c r="T61" s="656"/>
      <c r="U61" s="656"/>
      <c r="V61" s="656"/>
      <c r="W61" s="656"/>
      <c r="X61" s="656"/>
      <c r="Y61" s="656"/>
      <c r="Z61" s="656"/>
      <c r="AA61" s="656"/>
    </row>
    <row r="62" spans="2:27">
      <c r="B62" s="659" t="s">
        <v>2154</v>
      </c>
      <c r="C62" s="657" t="s">
        <v>2665</v>
      </c>
      <c r="D62" s="132">
        <v>61</v>
      </c>
      <c r="E62" s="132"/>
      <c r="F62" s="656"/>
      <c r="G62" s="664" t="s">
        <v>2154</v>
      </c>
      <c r="H62" s="738">
        <v>252</v>
      </c>
      <c r="I62" s="736" t="s">
        <v>2665</v>
      </c>
      <c r="J62" s="734">
        <v>61</v>
      </c>
      <c r="K62" s="734">
        <f t="shared" si="0"/>
        <v>61</v>
      </c>
      <c r="L62" s="132"/>
      <c r="M62" s="745">
        <v>252</v>
      </c>
      <c r="N62" s="736" t="s">
        <v>2665</v>
      </c>
      <c r="O62" s="734">
        <f t="shared" si="1"/>
        <v>61</v>
      </c>
      <c r="P62" s="655"/>
      <c r="Q62" s="655"/>
      <c r="R62" s="656"/>
      <c r="S62" s="656"/>
      <c r="T62" s="656"/>
      <c r="U62" s="656"/>
      <c r="V62" s="656"/>
      <c r="W62" s="656"/>
      <c r="X62" s="656"/>
      <c r="Y62" s="656"/>
      <c r="Z62" s="656"/>
      <c r="AA62" s="656"/>
    </row>
    <row r="63" spans="2:27">
      <c r="B63" s="659" t="s">
        <v>2159</v>
      </c>
      <c r="C63" s="657" t="s">
        <v>1188</v>
      </c>
      <c r="D63" s="132">
        <v>38</v>
      </c>
      <c r="E63" s="132"/>
      <c r="F63" s="656"/>
      <c r="G63" s="664" t="s">
        <v>2159</v>
      </c>
      <c r="H63" s="738">
        <v>253</v>
      </c>
      <c r="I63" s="736" t="s">
        <v>1188</v>
      </c>
      <c r="J63" s="734">
        <v>38</v>
      </c>
      <c r="K63" s="734">
        <f t="shared" si="0"/>
        <v>38</v>
      </c>
      <c r="L63" s="132"/>
      <c r="M63" s="745">
        <v>253</v>
      </c>
      <c r="N63" s="736" t="s">
        <v>1188</v>
      </c>
      <c r="O63" s="734">
        <f t="shared" si="1"/>
        <v>38</v>
      </c>
      <c r="P63" s="655"/>
      <c r="Q63" s="655"/>
      <c r="R63" s="656"/>
      <c r="S63" s="656"/>
      <c r="T63" s="656"/>
      <c r="U63" s="656"/>
      <c r="V63" s="656"/>
      <c r="W63" s="656"/>
      <c r="X63" s="656"/>
      <c r="Y63" s="656"/>
      <c r="Z63" s="656"/>
      <c r="AA63" s="656"/>
    </row>
    <row r="64" spans="2:27">
      <c r="B64" s="659" t="s">
        <v>2165</v>
      </c>
      <c r="C64" s="657" t="s">
        <v>2666</v>
      </c>
      <c r="D64" s="132">
        <v>349</v>
      </c>
      <c r="E64" s="132"/>
      <c r="F64" s="656"/>
      <c r="G64" s="664" t="s">
        <v>2165</v>
      </c>
      <c r="H64" s="738">
        <v>261</v>
      </c>
      <c r="I64" s="736" t="s">
        <v>2666</v>
      </c>
      <c r="J64" s="734">
        <v>349</v>
      </c>
      <c r="K64" s="734">
        <f t="shared" si="0"/>
        <v>349</v>
      </c>
      <c r="L64" s="132"/>
      <c r="M64" s="745">
        <v>261</v>
      </c>
      <c r="N64" s="736" t="s">
        <v>2666</v>
      </c>
      <c r="O64" s="734">
        <f t="shared" si="1"/>
        <v>349</v>
      </c>
      <c r="P64" s="655"/>
      <c r="Q64" s="655"/>
      <c r="R64" s="656"/>
      <c r="S64" s="656"/>
      <c r="T64" s="656"/>
      <c r="U64" s="656"/>
      <c r="V64" s="656"/>
      <c r="W64" s="656"/>
      <c r="X64" s="656"/>
      <c r="Y64" s="656"/>
      <c r="Z64" s="656"/>
      <c r="AA64" s="656"/>
    </row>
    <row r="65" spans="2:27">
      <c r="B65" s="659" t="s">
        <v>2175</v>
      </c>
      <c r="C65" s="659" t="s">
        <v>364</v>
      </c>
      <c r="D65" s="132">
        <v>41</v>
      </c>
      <c r="E65" s="132"/>
      <c r="F65" s="656"/>
      <c r="G65" s="664" t="s">
        <v>2175</v>
      </c>
      <c r="H65" s="738">
        <v>262</v>
      </c>
      <c r="I65" s="739" t="s">
        <v>364</v>
      </c>
      <c r="J65" s="734">
        <v>41</v>
      </c>
      <c r="K65" s="734">
        <f t="shared" si="0"/>
        <v>41</v>
      </c>
      <c r="L65" s="132"/>
      <c r="M65" s="745">
        <v>262</v>
      </c>
      <c r="N65" s="739" t="s">
        <v>364</v>
      </c>
      <c r="O65" s="734">
        <f t="shared" si="1"/>
        <v>41</v>
      </c>
      <c r="P65" s="655"/>
      <c r="Q65" s="655"/>
      <c r="R65" s="656"/>
      <c r="S65" s="656"/>
      <c r="T65" s="656"/>
      <c r="U65" s="656"/>
      <c r="V65" s="656"/>
      <c r="W65" s="656"/>
      <c r="X65" s="656"/>
      <c r="Y65" s="656"/>
      <c r="Z65" s="656"/>
      <c r="AA65" s="656"/>
    </row>
    <row r="66" spans="2:27">
      <c r="B66" s="659" t="s">
        <v>2177</v>
      </c>
      <c r="C66" s="657" t="s">
        <v>2667</v>
      </c>
      <c r="D66" s="132">
        <v>911</v>
      </c>
      <c r="E66" s="132"/>
      <c r="F66" s="656"/>
      <c r="G66" s="664" t="s">
        <v>2177</v>
      </c>
      <c r="H66" s="738">
        <v>271</v>
      </c>
      <c r="I66" s="736" t="s">
        <v>2667</v>
      </c>
      <c r="J66" s="734">
        <v>911</v>
      </c>
      <c r="K66" s="734">
        <f t="shared" si="0"/>
        <v>911</v>
      </c>
      <c r="L66" s="132"/>
      <c r="M66" s="745">
        <v>271</v>
      </c>
      <c r="N66" s="736" t="s">
        <v>2667</v>
      </c>
      <c r="O66" s="734">
        <f t="shared" si="1"/>
        <v>911</v>
      </c>
      <c r="P66" s="655"/>
      <c r="Q66" s="655"/>
      <c r="R66" s="656"/>
      <c r="S66" s="656"/>
      <c r="T66" s="656"/>
      <c r="U66" s="656"/>
      <c r="V66" s="656"/>
      <c r="W66" s="656"/>
      <c r="X66" s="656"/>
      <c r="Y66" s="656"/>
      <c r="Z66" s="656"/>
      <c r="AA66" s="656"/>
    </row>
    <row r="67" spans="2:27">
      <c r="B67" s="659" t="s">
        <v>2201</v>
      </c>
      <c r="C67" s="657" t="s">
        <v>2668</v>
      </c>
      <c r="D67" s="132">
        <v>420</v>
      </c>
      <c r="E67" s="132"/>
      <c r="F67" s="656"/>
      <c r="G67" s="664" t="s">
        <v>2201</v>
      </c>
      <c r="H67" s="738">
        <v>272</v>
      </c>
      <c r="I67" s="736" t="s">
        <v>2668</v>
      </c>
      <c r="J67" s="734">
        <v>420</v>
      </c>
      <c r="K67" s="734">
        <f t="shared" si="0"/>
        <v>420</v>
      </c>
      <c r="L67" s="132"/>
      <c r="M67" s="745">
        <v>272</v>
      </c>
      <c r="N67" s="736" t="s">
        <v>2668</v>
      </c>
      <c r="O67" s="734">
        <f t="shared" si="1"/>
        <v>420</v>
      </c>
      <c r="P67" s="655"/>
      <c r="Q67" s="655"/>
      <c r="R67" s="656"/>
      <c r="S67" s="656"/>
      <c r="T67" s="656"/>
      <c r="U67" s="656"/>
      <c r="V67" s="656"/>
      <c r="W67" s="656"/>
      <c r="X67" s="656"/>
      <c r="Y67" s="656"/>
      <c r="Z67" s="656"/>
      <c r="AA67" s="656"/>
    </row>
    <row r="68" spans="2:27">
      <c r="B68" s="659" t="s">
        <v>2214</v>
      </c>
      <c r="C68" s="657" t="s">
        <v>2669</v>
      </c>
      <c r="D68" s="132">
        <v>537</v>
      </c>
      <c r="E68" s="132"/>
      <c r="F68" s="656"/>
      <c r="G68" s="664" t="s">
        <v>2214</v>
      </c>
      <c r="H68" s="738">
        <v>273</v>
      </c>
      <c r="I68" s="736" t="s">
        <v>2669</v>
      </c>
      <c r="J68" s="734">
        <v>537</v>
      </c>
      <c r="K68" s="734">
        <f t="shared" si="0"/>
        <v>537</v>
      </c>
      <c r="L68" s="132"/>
      <c r="M68" s="745">
        <v>273</v>
      </c>
      <c r="N68" s="736" t="s">
        <v>2669</v>
      </c>
      <c r="O68" s="734">
        <f t="shared" si="1"/>
        <v>537</v>
      </c>
      <c r="P68" s="655"/>
      <c r="Q68" s="655"/>
      <c r="R68" s="656"/>
      <c r="S68" s="656"/>
      <c r="T68" s="656"/>
      <c r="U68" s="656"/>
      <c r="V68" s="656"/>
      <c r="W68" s="656"/>
      <c r="X68" s="656"/>
      <c r="Y68" s="656"/>
      <c r="Z68" s="656"/>
      <c r="AA68" s="656"/>
    </row>
    <row r="69" spans="2:27">
      <c r="B69" s="659" t="s">
        <v>2226</v>
      </c>
      <c r="C69" s="659" t="s">
        <v>368</v>
      </c>
      <c r="D69" s="132">
        <v>22</v>
      </c>
      <c r="E69" s="132"/>
      <c r="F69" s="656"/>
      <c r="G69" s="664" t="s">
        <v>2226</v>
      </c>
      <c r="H69" s="738">
        <v>274</v>
      </c>
      <c r="I69" s="739" t="s">
        <v>368</v>
      </c>
      <c r="J69" s="734">
        <v>22</v>
      </c>
      <c r="K69" s="734">
        <f t="shared" ref="K69:K132" si="2">IF(ISNUMBER(J69), J69, 5)</f>
        <v>22</v>
      </c>
      <c r="L69" s="132"/>
      <c r="M69" s="745">
        <v>274</v>
      </c>
      <c r="N69" s="739" t="s">
        <v>368</v>
      </c>
      <c r="O69" s="734">
        <f t="shared" ref="O69:O132" si="3">SUMIF(G:G,M69, K:K)</f>
        <v>22</v>
      </c>
      <c r="P69" s="655"/>
      <c r="Q69" s="655"/>
      <c r="R69" s="656"/>
      <c r="S69" s="656"/>
      <c r="T69" s="656"/>
      <c r="U69" s="656"/>
      <c r="V69" s="656"/>
      <c r="W69" s="656"/>
      <c r="X69" s="656"/>
      <c r="Y69" s="656"/>
      <c r="Z69" s="656"/>
      <c r="AA69" s="656"/>
    </row>
    <row r="70" spans="2:27">
      <c r="B70" s="659" t="s">
        <v>1229</v>
      </c>
      <c r="C70" s="657" t="s">
        <v>2670</v>
      </c>
      <c r="D70" s="132">
        <v>235</v>
      </c>
      <c r="E70" s="132"/>
      <c r="F70" s="656"/>
      <c r="G70" s="664" t="s">
        <v>1229</v>
      </c>
      <c r="H70" s="738">
        <v>281</v>
      </c>
      <c r="I70" s="736" t="s">
        <v>2670</v>
      </c>
      <c r="J70" s="734">
        <v>235</v>
      </c>
      <c r="K70" s="734">
        <f t="shared" si="2"/>
        <v>235</v>
      </c>
      <c r="L70" s="132"/>
      <c r="M70" s="745">
        <v>281</v>
      </c>
      <c r="N70" s="736" t="s">
        <v>2670</v>
      </c>
      <c r="O70" s="734">
        <f t="shared" si="3"/>
        <v>254</v>
      </c>
      <c r="P70" s="655"/>
      <c r="Q70" s="655"/>
      <c r="R70" s="656"/>
      <c r="S70" s="656"/>
      <c r="T70" s="656"/>
      <c r="U70" s="656"/>
      <c r="V70" s="656"/>
      <c r="W70" s="656"/>
      <c r="X70" s="656"/>
      <c r="Y70" s="656"/>
      <c r="Z70" s="656"/>
      <c r="AA70" s="656"/>
    </row>
    <row r="71" spans="2:27">
      <c r="B71" s="659" t="s">
        <v>2239</v>
      </c>
      <c r="C71" s="659" t="s">
        <v>370</v>
      </c>
      <c r="D71" s="132">
        <v>17</v>
      </c>
      <c r="E71" s="132"/>
      <c r="F71" s="656"/>
      <c r="G71" s="664" t="s">
        <v>2239</v>
      </c>
      <c r="H71" s="738">
        <v>282</v>
      </c>
      <c r="I71" s="739" t="s">
        <v>370</v>
      </c>
      <c r="J71" s="734">
        <v>17</v>
      </c>
      <c r="K71" s="734">
        <f t="shared" si="2"/>
        <v>17</v>
      </c>
      <c r="L71" s="132"/>
      <c r="M71" s="745">
        <v>282</v>
      </c>
      <c r="N71" s="739" t="s">
        <v>370</v>
      </c>
      <c r="O71" s="734">
        <f t="shared" si="3"/>
        <v>17</v>
      </c>
      <c r="P71" s="655"/>
      <c r="Q71" s="655"/>
      <c r="R71" s="656"/>
      <c r="S71" s="656"/>
      <c r="T71" s="656"/>
      <c r="U71" s="656"/>
      <c r="V71" s="656"/>
      <c r="W71" s="656"/>
      <c r="X71" s="656"/>
      <c r="Y71" s="656"/>
      <c r="Z71" s="656"/>
      <c r="AA71" s="656"/>
    </row>
    <row r="72" spans="2:27">
      <c r="B72" s="659" t="s">
        <v>2241</v>
      </c>
      <c r="C72" s="659" t="s">
        <v>371</v>
      </c>
      <c r="D72" s="132">
        <v>33</v>
      </c>
      <c r="E72" s="132"/>
      <c r="F72" s="656"/>
      <c r="G72" s="664" t="s">
        <v>2241</v>
      </c>
      <c r="H72" s="738">
        <v>283</v>
      </c>
      <c r="I72" s="739" t="s">
        <v>371</v>
      </c>
      <c r="J72" s="734">
        <v>33</v>
      </c>
      <c r="K72" s="734">
        <f t="shared" si="2"/>
        <v>33</v>
      </c>
      <c r="L72" s="132"/>
      <c r="M72" s="745">
        <v>283</v>
      </c>
      <c r="N72" s="739" t="s">
        <v>371</v>
      </c>
      <c r="O72" s="734">
        <f t="shared" si="3"/>
        <v>33</v>
      </c>
      <c r="P72" s="655"/>
      <c r="Q72" s="655"/>
      <c r="R72" s="656"/>
      <c r="S72" s="656"/>
      <c r="T72" s="656"/>
      <c r="U72" s="656"/>
      <c r="V72" s="656"/>
      <c r="W72" s="656"/>
      <c r="X72" s="656"/>
      <c r="Y72" s="656"/>
      <c r="Z72" s="656"/>
      <c r="AA72" s="656"/>
    </row>
    <row r="73" spans="2:27">
      <c r="B73" s="659" t="s">
        <v>2244</v>
      </c>
      <c r="C73" s="657" t="s">
        <v>2671</v>
      </c>
      <c r="D73" s="132">
        <v>61</v>
      </c>
      <c r="E73" s="132"/>
      <c r="F73" s="656"/>
      <c r="G73" s="664" t="s">
        <v>2244</v>
      </c>
      <c r="H73" s="738">
        <v>285</v>
      </c>
      <c r="I73" s="736" t="s">
        <v>2671</v>
      </c>
      <c r="J73" s="734">
        <v>61</v>
      </c>
      <c r="K73" s="734">
        <f t="shared" si="2"/>
        <v>61</v>
      </c>
      <c r="L73" s="132"/>
      <c r="M73" s="745">
        <v>285</v>
      </c>
      <c r="N73" s="736" t="s">
        <v>2671</v>
      </c>
      <c r="O73" s="734">
        <f t="shared" si="3"/>
        <v>61</v>
      </c>
      <c r="P73" s="655"/>
      <c r="Q73" s="655"/>
      <c r="R73" s="656"/>
      <c r="S73" s="656"/>
      <c r="T73" s="656"/>
      <c r="U73" s="656"/>
      <c r="V73" s="656"/>
      <c r="W73" s="656"/>
      <c r="X73" s="656"/>
      <c r="Y73" s="656"/>
      <c r="Z73" s="656"/>
      <c r="AA73" s="656"/>
    </row>
    <row r="74" spans="2:27">
      <c r="B74" s="659" t="s">
        <v>2247</v>
      </c>
      <c r="C74" s="659" t="s">
        <v>373</v>
      </c>
      <c r="D74" s="132">
        <v>36</v>
      </c>
      <c r="E74" s="132"/>
      <c r="F74" s="656"/>
      <c r="G74" s="664" t="s">
        <v>2247</v>
      </c>
      <c r="H74" s="738">
        <v>287</v>
      </c>
      <c r="I74" s="739" t="s">
        <v>373</v>
      </c>
      <c r="J74" s="734">
        <v>36</v>
      </c>
      <c r="K74" s="734">
        <f t="shared" si="2"/>
        <v>36</v>
      </c>
      <c r="L74" s="132"/>
      <c r="M74" s="745">
        <v>287</v>
      </c>
      <c r="N74" s="739" t="s">
        <v>373</v>
      </c>
      <c r="O74" s="734">
        <f t="shared" si="3"/>
        <v>36</v>
      </c>
      <c r="P74" s="655"/>
      <c r="Q74" s="655"/>
      <c r="R74" s="656"/>
      <c r="S74" s="656"/>
      <c r="T74" s="656"/>
      <c r="U74" s="656"/>
      <c r="V74" s="656"/>
      <c r="W74" s="656"/>
      <c r="X74" s="656"/>
      <c r="Y74" s="656"/>
      <c r="Z74" s="656"/>
      <c r="AA74" s="656"/>
    </row>
    <row r="75" spans="2:27">
      <c r="B75" s="659" t="s">
        <v>2250</v>
      </c>
      <c r="C75" s="659" t="s">
        <v>374</v>
      </c>
      <c r="D75" s="132">
        <v>29</v>
      </c>
      <c r="E75" s="132"/>
      <c r="F75" s="656"/>
      <c r="G75" s="664" t="s">
        <v>2250</v>
      </c>
      <c r="H75" s="738">
        <v>288</v>
      </c>
      <c r="I75" s="739" t="s">
        <v>374</v>
      </c>
      <c r="J75" s="734">
        <v>29</v>
      </c>
      <c r="K75" s="734">
        <f t="shared" si="2"/>
        <v>29</v>
      </c>
      <c r="L75" s="132"/>
      <c r="M75" s="745">
        <v>288</v>
      </c>
      <c r="N75" s="739" t="s">
        <v>374</v>
      </c>
      <c r="O75" s="734">
        <f t="shared" si="3"/>
        <v>29</v>
      </c>
      <c r="P75" s="655"/>
      <c r="Q75" s="655"/>
      <c r="R75" s="656"/>
      <c r="S75" s="656"/>
      <c r="T75" s="656"/>
      <c r="U75" s="656"/>
      <c r="V75" s="656"/>
      <c r="W75" s="656"/>
      <c r="X75" s="656"/>
      <c r="Y75" s="656"/>
      <c r="Z75" s="656"/>
      <c r="AA75" s="656"/>
    </row>
    <row r="76" spans="2:27">
      <c r="B76" s="659" t="s">
        <v>2253</v>
      </c>
      <c r="C76" s="657" t="s">
        <v>2672</v>
      </c>
      <c r="D76" s="132">
        <v>108</v>
      </c>
      <c r="E76" s="132"/>
      <c r="F76" s="656"/>
      <c r="G76" s="664" t="s">
        <v>2253</v>
      </c>
      <c r="H76" s="738">
        <v>291</v>
      </c>
      <c r="I76" s="736" t="s">
        <v>2672</v>
      </c>
      <c r="J76" s="734">
        <v>108</v>
      </c>
      <c r="K76" s="734">
        <f t="shared" si="2"/>
        <v>108</v>
      </c>
      <c r="L76" s="132"/>
      <c r="M76" s="745">
        <v>291</v>
      </c>
      <c r="N76" s="736" t="s">
        <v>2672</v>
      </c>
      <c r="O76" s="734">
        <f t="shared" si="3"/>
        <v>108</v>
      </c>
      <c r="P76" s="655"/>
      <c r="Q76" s="655"/>
      <c r="R76" s="656"/>
      <c r="S76" s="656"/>
      <c r="T76" s="656"/>
      <c r="U76" s="656"/>
      <c r="V76" s="656"/>
      <c r="W76" s="656"/>
      <c r="X76" s="656"/>
      <c r="Y76" s="656"/>
      <c r="Z76" s="656"/>
      <c r="AA76" s="656"/>
    </row>
    <row r="77" spans="2:27">
      <c r="B77" s="659" t="s">
        <v>2258</v>
      </c>
      <c r="C77" s="659" t="s">
        <v>376</v>
      </c>
      <c r="D77" s="660" t="s">
        <v>1186</v>
      </c>
      <c r="E77" s="660"/>
      <c r="F77" s="656"/>
      <c r="G77" s="664" t="s">
        <v>2258</v>
      </c>
      <c r="H77" s="738">
        <v>292</v>
      </c>
      <c r="I77" s="739" t="s">
        <v>376</v>
      </c>
      <c r="J77" s="740" t="s">
        <v>1186</v>
      </c>
      <c r="K77" s="734">
        <f t="shared" si="2"/>
        <v>5</v>
      </c>
      <c r="L77" s="660"/>
      <c r="M77" s="745">
        <v>292</v>
      </c>
      <c r="N77" s="739" t="s">
        <v>376</v>
      </c>
      <c r="O77" s="734">
        <f t="shared" si="3"/>
        <v>5</v>
      </c>
      <c r="P77" s="655"/>
      <c r="Q77" s="655"/>
      <c r="R77" s="656"/>
      <c r="S77" s="656"/>
      <c r="T77" s="656"/>
      <c r="U77" s="656"/>
      <c r="V77" s="656"/>
      <c r="W77" s="656"/>
      <c r="X77" s="656"/>
      <c r="Y77" s="656"/>
      <c r="Z77" s="656"/>
      <c r="AA77" s="656"/>
    </row>
    <row r="78" spans="2:27">
      <c r="B78" s="659" t="s">
        <v>2261</v>
      </c>
      <c r="C78" s="659" t="s">
        <v>377</v>
      </c>
      <c r="D78" s="132">
        <v>24</v>
      </c>
      <c r="E78" s="132"/>
      <c r="F78" s="656"/>
      <c r="G78" s="664" t="s">
        <v>2261</v>
      </c>
      <c r="H78" s="738">
        <v>302</v>
      </c>
      <c r="I78" s="739" t="s">
        <v>377</v>
      </c>
      <c r="J78" s="734">
        <v>24</v>
      </c>
      <c r="K78" s="734">
        <f t="shared" si="2"/>
        <v>24</v>
      </c>
      <c r="L78" s="132"/>
      <c r="M78" s="745">
        <v>302</v>
      </c>
      <c r="N78" s="739" t="s">
        <v>377</v>
      </c>
      <c r="O78" s="734">
        <f t="shared" si="3"/>
        <v>24</v>
      </c>
      <c r="P78" s="655"/>
      <c r="Q78" s="655"/>
      <c r="R78" s="656"/>
      <c r="S78" s="656"/>
      <c r="T78" s="656"/>
      <c r="U78" s="656"/>
      <c r="V78" s="656"/>
      <c r="W78" s="656"/>
      <c r="X78" s="656"/>
      <c r="Y78" s="656"/>
      <c r="Z78" s="656"/>
      <c r="AA78" s="656"/>
    </row>
    <row r="79" spans="2:27">
      <c r="B79" s="659" t="s">
        <v>2263</v>
      </c>
      <c r="C79" s="657" t="s">
        <v>2673</v>
      </c>
      <c r="D79" s="132">
        <v>63</v>
      </c>
      <c r="E79" s="132"/>
      <c r="F79" s="656"/>
      <c r="G79" s="664" t="s">
        <v>2263</v>
      </c>
      <c r="H79" s="738">
        <v>304</v>
      </c>
      <c r="I79" s="736" t="s">
        <v>2673</v>
      </c>
      <c r="J79" s="734">
        <v>63</v>
      </c>
      <c r="K79" s="734">
        <f t="shared" si="2"/>
        <v>63</v>
      </c>
      <c r="L79" s="132"/>
      <c r="M79" s="745">
        <v>304</v>
      </c>
      <c r="N79" s="736" t="s">
        <v>2673</v>
      </c>
      <c r="O79" s="734">
        <f t="shared" si="3"/>
        <v>63</v>
      </c>
      <c r="P79" s="655"/>
      <c r="Q79" s="655"/>
      <c r="R79" s="656"/>
      <c r="S79" s="656"/>
      <c r="T79" s="656"/>
      <c r="U79" s="656"/>
      <c r="V79" s="656"/>
      <c r="W79" s="656"/>
      <c r="X79" s="656"/>
      <c r="Y79" s="656"/>
      <c r="Z79" s="656"/>
      <c r="AA79" s="656"/>
    </row>
    <row r="80" spans="2:27">
      <c r="B80" s="659" t="s">
        <v>2267</v>
      </c>
      <c r="C80" s="659" t="s">
        <v>379</v>
      </c>
      <c r="D80" s="132">
        <v>21</v>
      </c>
      <c r="E80" s="132"/>
      <c r="F80" s="656"/>
      <c r="G80" s="664" t="s">
        <v>2267</v>
      </c>
      <c r="H80" s="738">
        <v>305</v>
      </c>
      <c r="I80" s="739" t="s">
        <v>379</v>
      </c>
      <c r="J80" s="734">
        <v>21</v>
      </c>
      <c r="K80" s="734">
        <f t="shared" si="2"/>
        <v>21</v>
      </c>
      <c r="L80" s="132"/>
      <c r="M80" s="745">
        <v>305</v>
      </c>
      <c r="N80" s="739" t="s">
        <v>379</v>
      </c>
      <c r="O80" s="734">
        <f t="shared" si="3"/>
        <v>21</v>
      </c>
      <c r="P80" s="655"/>
      <c r="Q80" s="655"/>
      <c r="R80" s="656"/>
      <c r="S80" s="656"/>
      <c r="T80" s="656"/>
      <c r="U80" s="656"/>
      <c r="V80" s="656"/>
      <c r="W80" s="656"/>
      <c r="X80" s="656"/>
      <c r="Y80" s="656"/>
      <c r="Z80" s="656"/>
      <c r="AA80" s="656"/>
    </row>
    <row r="81" spans="2:27">
      <c r="B81" s="659" t="s">
        <v>2269</v>
      </c>
      <c r="C81" s="657" t="s">
        <v>2674</v>
      </c>
      <c r="D81" s="132">
        <v>50</v>
      </c>
      <c r="E81" s="132"/>
      <c r="F81" s="656"/>
      <c r="G81" s="664" t="s">
        <v>2269</v>
      </c>
      <c r="H81" s="738">
        <v>312</v>
      </c>
      <c r="I81" s="736" t="s">
        <v>2674</v>
      </c>
      <c r="J81" s="734">
        <v>50</v>
      </c>
      <c r="K81" s="734">
        <f t="shared" si="2"/>
        <v>50</v>
      </c>
      <c r="L81" s="132"/>
      <c r="M81" s="745">
        <v>312</v>
      </c>
      <c r="N81" s="736" t="s">
        <v>2674</v>
      </c>
      <c r="O81" s="734">
        <f t="shared" si="3"/>
        <v>50</v>
      </c>
      <c r="P81" s="655"/>
      <c r="Q81" s="655"/>
      <c r="R81" s="656"/>
      <c r="S81" s="656"/>
      <c r="T81" s="656"/>
      <c r="U81" s="656"/>
      <c r="V81" s="656"/>
      <c r="W81" s="656"/>
      <c r="X81" s="656"/>
      <c r="Y81" s="656"/>
      <c r="Z81" s="656"/>
      <c r="AA81" s="656"/>
    </row>
    <row r="82" spans="2:27">
      <c r="B82" s="659" t="s">
        <v>2275</v>
      </c>
      <c r="C82" s="659" t="s">
        <v>381</v>
      </c>
      <c r="D82" s="132">
        <v>22</v>
      </c>
      <c r="E82" s="132"/>
      <c r="F82" s="656"/>
      <c r="G82" s="664" t="s">
        <v>2275</v>
      </c>
      <c r="H82" s="738">
        <v>314</v>
      </c>
      <c r="I82" s="739" t="s">
        <v>381</v>
      </c>
      <c r="J82" s="734">
        <v>22</v>
      </c>
      <c r="K82" s="734">
        <f t="shared" si="2"/>
        <v>22</v>
      </c>
      <c r="L82" s="132"/>
      <c r="M82" s="745">
        <v>314</v>
      </c>
      <c r="N82" s="739" t="s">
        <v>381</v>
      </c>
      <c r="O82" s="734">
        <f t="shared" si="3"/>
        <v>22</v>
      </c>
      <c r="P82" s="655"/>
      <c r="Q82" s="655"/>
      <c r="R82" s="656"/>
      <c r="S82" s="656"/>
      <c r="T82" s="656"/>
      <c r="U82" s="656"/>
      <c r="V82" s="656"/>
      <c r="W82" s="656"/>
      <c r="X82" s="656"/>
      <c r="Y82" s="656"/>
      <c r="Z82" s="656"/>
      <c r="AA82" s="656"/>
    </row>
    <row r="83" spans="2:27">
      <c r="B83" s="659" t="s">
        <v>2277</v>
      </c>
      <c r="C83" s="659" t="s">
        <v>382</v>
      </c>
      <c r="D83" s="132">
        <v>27</v>
      </c>
      <c r="E83" s="132"/>
      <c r="F83" s="656"/>
      <c r="G83" s="664" t="s">
        <v>2277</v>
      </c>
      <c r="H83" s="738">
        <v>316</v>
      </c>
      <c r="I83" s="739" t="s">
        <v>382</v>
      </c>
      <c r="J83" s="734">
        <v>27</v>
      </c>
      <c r="K83" s="734">
        <f t="shared" si="2"/>
        <v>27</v>
      </c>
      <c r="L83" s="132"/>
      <c r="M83" s="745">
        <v>316</v>
      </c>
      <c r="N83" s="739" t="s">
        <v>382</v>
      </c>
      <c r="O83" s="734">
        <f t="shared" si="3"/>
        <v>27</v>
      </c>
      <c r="P83" s="655"/>
      <c r="Q83" s="655"/>
      <c r="R83" s="656"/>
      <c r="S83" s="656"/>
      <c r="T83" s="656"/>
      <c r="U83" s="656"/>
      <c r="V83" s="656"/>
      <c r="W83" s="656"/>
      <c r="X83" s="656"/>
      <c r="Y83" s="656"/>
      <c r="Z83" s="656"/>
      <c r="AA83" s="656"/>
    </row>
    <row r="84" spans="2:27">
      <c r="B84" s="659" t="s">
        <v>2279</v>
      </c>
      <c r="C84" s="657" t="s">
        <v>2675</v>
      </c>
      <c r="D84" s="132">
        <v>486</v>
      </c>
      <c r="E84" s="132"/>
      <c r="F84" s="656"/>
      <c r="G84" s="664" t="s">
        <v>2279</v>
      </c>
      <c r="H84" s="738">
        <v>321</v>
      </c>
      <c r="I84" s="736" t="s">
        <v>2675</v>
      </c>
      <c r="J84" s="734">
        <v>486</v>
      </c>
      <c r="K84" s="734">
        <f t="shared" si="2"/>
        <v>486</v>
      </c>
      <c r="L84" s="132"/>
      <c r="M84" s="745">
        <v>321</v>
      </c>
      <c r="N84" s="736" t="s">
        <v>2675</v>
      </c>
      <c r="O84" s="734">
        <f t="shared" si="3"/>
        <v>486</v>
      </c>
      <c r="P84" s="655"/>
      <c r="Q84" s="655"/>
      <c r="R84" s="656"/>
      <c r="S84" s="656"/>
      <c r="T84" s="656"/>
      <c r="U84" s="656"/>
      <c r="V84" s="656"/>
      <c r="W84" s="656"/>
      <c r="X84" s="656"/>
      <c r="Y84" s="656"/>
      <c r="Z84" s="656"/>
      <c r="AA84" s="656"/>
    </row>
    <row r="85" spans="2:27">
      <c r="B85" s="659" t="s">
        <v>2291</v>
      </c>
      <c r="C85" s="657" t="s">
        <v>2676</v>
      </c>
      <c r="D85" s="132">
        <v>113</v>
      </c>
      <c r="E85" s="132"/>
      <c r="F85" s="656"/>
      <c r="G85" s="664" t="s">
        <v>2291</v>
      </c>
      <c r="H85" s="738">
        <v>322</v>
      </c>
      <c r="I85" s="736" t="s">
        <v>2676</v>
      </c>
      <c r="J85" s="734">
        <v>113</v>
      </c>
      <c r="K85" s="734">
        <f t="shared" si="2"/>
        <v>113</v>
      </c>
      <c r="L85" s="132"/>
      <c r="M85" s="745">
        <v>322</v>
      </c>
      <c r="N85" s="736" t="s">
        <v>2676</v>
      </c>
      <c r="O85" s="734">
        <f t="shared" si="3"/>
        <v>113</v>
      </c>
      <c r="P85" s="655"/>
      <c r="Q85" s="655"/>
      <c r="R85" s="656"/>
      <c r="S85" s="656"/>
      <c r="T85" s="656"/>
      <c r="U85" s="656"/>
      <c r="V85" s="656"/>
      <c r="W85" s="656"/>
      <c r="X85" s="656"/>
      <c r="Y85" s="656"/>
      <c r="Z85" s="656"/>
      <c r="AA85" s="656"/>
    </row>
    <row r="86" spans="2:27">
      <c r="B86" s="659" t="s">
        <v>1231</v>
      </c>
      <c r="C86" s="657" t="s">
        <v>2677</v>
      </c>
      <c r="D86" s="132">
        <v>508</v>
      </c>
      <c r="E86" s="132"/>
      <c r="F86" s="656"/>
      <c r="G86" s="664" t="s">
        <v>1231</v>
      </c>
      <c r="H86" s="738">
        <v>331</v>
      </c>
      <c r="I86" s="736" t="s">
        <v>2677</v>
      </c>
      <c r="J86" s="734">
        <v>508</v>
      </c>
      <c r="K86" s="734">
        <f t="shared" si="2"/>
        <v>508</v>
      </c>
      <c r="L86" s="132"/>
      <c r="M86" s="745">
        <v>331</v>
      </c>
      <c r="N86" s="736" t="s">
        <v>2677</v>
      </c>
      <c r="O86" s="734">
        <f t="shared" si="3"/>
        <v>508</v>
      </c>
      <c r="P86" s="655"/>
      <c r="Q86" s="655"/>
      <c r="R86" s="656"/>
      <c r="S86" s="656"/>
      <c r="T86" s="656"/>
      <c r="U86" s="656"/>
      <c r="V86" s="656"/>
      <c r="W86" s="656"/>
      <c r="X86" s="656"/>
      <c r="Y86" s="656"/>
      <c r="Z86" s="656"/>
      <c r="AA86" s="656"/>
    </row>
    <row r="87" spans="2:27">
      <c r="B87" s="659" t="s">
        <v>2311</v>
      </c>
      <c r="C87" s="657" t="s">
        <v>2678</v>
      </c>
      <c r="D87" s="132">
        <v>532</v>
      </c>
      <c r="E87" s="132"/>
      <c r="F87" s="656"/>
      <c r="G87" s="664" t="s">
        <v>2311</v>
      </c>
      <c r="H87" s="738">
        <v>340</v>
      </c>
      <c r="I87" s="736" t="s">
        <v>2678</v>
      </c>
      <c r="J87" s="734">
        <v>532</v>
      </c>
      <c r="K87" s="734">
        <f t="shared" si="2"/>
        <v>532</v>
      </c>
      <c r="L87" s="132"/>
      <c r="M87" s="745">
        <v>340</v>
      </c>
      <c r="N87" s="736" t="s">
        <v>2678</v>
      </c>
      <c r="O87" s="734">
        <f t="shared" si="3"/>
        <v>532</v>
      </c>
      <c r="P87" s="655"/>
      <c r="Q87" s="655"/>
      <c r="R87" s="656"/>
      <c r="S87" s="656"/>
      <c r="T87" s="656"/>
      <c r="U87" s="656"/>
      <c r="V87" s="656"/>
      <c r="W87" s="656"/>
      <c r="X87" s="656"/>
      <c r="Y87" s="656"/>
      <c r="Z87" s="656"/>
      <c r="AA87" s="656"/>
    </row>
    <row r="88" spans="2:27">
      <c r="B88" s="659" t="s">
        <v>2329</v>
      </c>
      <c r="C88" s="657" t="s">
        <v>2679</v>
      </c>
      <c r="D88" s="132">
        <v>118</v>
      </c>
      <c r="E88" s="132"/>
      <c r="F88" s="656"/>
      <c r="G88" s="664" t="s">
        <v>2329</v>
      </c>
      <c r="H88" s="738">
        <v>341</v>
      </c>
      <c r="I88" s="736" t="s">
        <v>2679</v>
      </c>
      <c r="J88" s="734">
        <v>118</v>
      </c>
      <c r="K88" s="734">
        <f t="shared" si="2"/>
        <v>118</v>
      </c>
      <c r="L88" s="132"/>
      <c r="M88" s="745">
        <v>341</v>
      </c>
      <c r="N88" s="736" t="s">
        <v>2679</v>
      </c>
      <c r="O88" s="734">
        <f t="shared" si="3"/>
        <v>118</v>
      </c>
      <c r="P88" s="655"/>
      <c r="Q88" s="655"/>
      <c r="R88" s="656"/>
      <c r="S88" s="656"/>
      <c r="T88" s="656"/>
      <c r="U88" s="656"/>
      <c r="V88" s="656"/>
      <c r="W88" s="656"/>
      <c r="X88" s="656"/>
      <c r="Y88" s="656"/>
      <c r="Z88" s="656"/>
      <c r="AA88" s="656"/>
    </row>
    <row r="89" spans="2:27">
      <c r="B89" s="659" t="s">
        <v>2332</v>
      </c>
      <c r="C89" s="659" t="s">
        <v>388</v>
      </c>
      <c r="D89" s="132">
        <v>15</v>
      </c>
      <c r="E89" s="132"/>
      <c r="F89" s="656"/>
      <c r="G89" s="664" t="s">
        <v>2332</v>
      </c>
      <c r="H89" s="738">
        <v>342</v>
      </c>
      <c r="I89" s="739" t="s">
        <v>388</v>
      </c>
      <c r="J89" s="734">
        <v>15</v>
      </c>
      <c r="K89" s="734">
        <f t="shared" si="2"/>
        <v>15</v>
      </c>
      <c r="L89" s="132"/>
      <c r="M89" s="745">
        <v>342</v>
      </c>
      <c r="N89" s="739" t="s">
        <v>388</v>
      </c>
      <c r="O89" s="734">
        <f t="shared" si="3"/>
        <v>15</v>
      </c>
      <c r="P89" s="655"/>
      <c r="Q89" s="655"/>
      <c r="R89" s="656"/>
      <c r="S89" s="656"/>
      <c r="T89" s="656"/>
      <c r="U89" s="656"/>
      <c r="V89" s="656"/>
      <c r="W89" s="656"/>
      <c r="X89" s="656"/>
      <c r="Y89" s="656"/>
      <c r="Z89" s="656"/>
      <c r="AA89" s="656"/>
    </row>
    <row r="90" spans="2:27">
      <c r="B90" s="659" t="s">
        <v>2334</v>
      </c>
      <c r="C90" s="657" t="s">
        <v>2680</v>
      </c>
      <c r="D90" s="132">
        <v>85</v>
      </c>
      <c r="E90" s="132"/>
      <c r="F90" s="656"/>
      <c r="G90" s="664" t="s">
        <v>2334</v>
      </c>
      <c r="H90" s="738">
        <v>351</v>
      </c>
      <c r="I90" s="736" t="s">
        <v>2680</v>
      </c>
      <c r="J90" s="734">
        <v>85</v>
      </c>
      <c r="K90" s="734">
        <f t="shared" si="2"/>
        <v>85</v>
      </c>
      <c r="L90" s="132"/>
      <c r="M90" s="745">
        <v>351</v>
      </c>
      <c r="N90" s="736" t="s">
        <v>2680</v>
      </c>
      <c r="O90" s="734">
        <f t="shared" si="3"/>
        <v>85</v>
      </c>
      <c r="P90" s="655"/>
      <c r="Q90" s="655"/>
      <c r="R90" s="656"/>
      <c r="S90" s="656"/>
      <c r="T90" s="656"/>
      <c r="U90" s="656"/>
      <c r="V90" s="656"/>
      <c r="W90" s="656"/>
      <c r="X90" s="656"/>
      <c r="Y90" s="656"/>
      <c r="Z90" s="656"/>
      <c r="AA90" s="656"/>
    </row>
    <row r="91" spans="2:27">
      <c r="B91" s="659" t="s">
        <v>2341</v>
      </c>
      <c r="C91" s="657" t="s">
        <v>2681</v>
      </c>
      <c r="D91" s="132">
        <v>86</v>
      </c>
      <c r="E91" s="132"/>
      <c r="F91" s="656"/>
      <c r="G91" s="664" t="s">
        <v>2341</v>
      </c>
      <c r="H91" s="738">
        <v>363</v>
      </c>
      <c r="I91" s="736" t="s">
        <v>2681</v>
      </c>
      <c r="J91" s="734">
        <v>86</v>
      </c>
      <c r="K91" s="734">
        <f t="shared" si="2"/>
        <v>86</v>
      </c>
      <c r="L91" s="132"/>
      <c r="M91" s="745">
        <v>363</v>
      </c>
      <c r="N91" s="736" t="s">
        <v>2681</v>
      </c>
      <c r="O91" s="734">
        <f t="shared" si="3"/>
        <v>86</v>
      </c>
      <c r="P91" s="655"/>
      <c r="Q91" s="655"/>
      <c r="R91" s="656"/>
      <c r="S91" s="656"/>
      <c r="T91" s="656"/>
      <c r="U91" s="656"/>
      <c r="V91" s="656"/>
      <c r="W91" s="656"/>
      <c r="X91" s="656"/>
      <c r="Y91" s="656"/>
      <c r="Z91" s="656"/>
      <c r="AA91" s="656"/>
    </row>
    <row r="92" spans="2:27">
      <c r="B92" s="659" t="s">
        <v>2345</v>
      </c>
      <c r="C92" s="659" t="s">
        <v>391</v>
      </c>
      <c r="D92" s="660" t="s">
        <v>1186</v>
      </c>
      <c r="E92" s="660"/>
      <c r="F92" s="656"/>
      <c r="G92" s="664" t="s">
        <v>2345</v>
      </c>
      <c r="H92" s="738">
        <v>364</v>
      </c>
      <c r="I92" s="739" t="s">
        <v>391</v>
      </c>
      <c r="J92" s="740" t="s">
        <v>1186</v>
      </c>
      <c r="K92" s="734">
        <f t="shared" si="2"/>
        <v>5</v>
      </c>
      <c r="L92" s="660"/>
      <c r="M92" s="745">
        <v>364</v>
      </c>
      <c r="N92" s="739" t="s">
        <v>391</v>
      </c>
      <c r="O92" s="734">
        <f t="shared" si="3"/>
        <v>5</v>
      </c>
      <c r="P92" s="655"/>
      <c r="Q92" s="655"/>
      <c r="R92" s="656"/>
      <c r="S92" s="656"/>
      <c r="T92" s="656"/>
      <c r="U92" s="656"/>
      <c r="V92" s="656"/>
      <c r="W92" s="656"/>
      <c r="X92" s="656"/>
      <c r="Y92" s="656"/>
      <c r="Z92" s="656"/>
      <c r="AA92" s="656"/>
    </row>
    <row r="93" spans="2:27">
      <c r="B93" s="659" t="s">
        <v>2350</v>
      </c>
      <c r="C93" s="659" t="s">
        <v>1063</v>
      </c>
      <c r="D93" s="132">
        <v>30</v>
      </c>
      <c r="E93" s="132"/>
      <c r="F93" s="656"/>
      <c r="G93" s="664" t="s">
        <v>2350</v>
      </c>
      <c r="H93" s="738">
        <v>365</v>
      </c>
      <c r="I93" s="739" t="s">
        <v>1063</v>
      </c>
      <c r="J93" s="734">
        <v>30</v>
      </c>
      <c r="K93" s="734">
        <f t="shared" si="2"/>
        <v>30</v>
      </c>
      <c r="L93" s="132"/>
      <c r="M93" s="745">
        <v>365</v>
      </c>
      <c r="N93" s="739" t="s">
        <v>1063</v>
      </c>
      <c r="O93" s="734">
        <f t="shared" si="3"/>
        <v>30</v>
      </c>
      <c r="P93" s="655"/>
      <c r="Q93" s="655"/>
      <c r="R93" s="656"/>
      <c r="S93" s="656"/>
      <c r="T93" s="656"/>
      <c r="U93" s="656"/>
      <c r="V93" s="656"/>
      <c r="W93" s="656"/>
      <c r="X93" s="656"/>
      <c r="Y93" s="656"/>
      <c r="Z93" s="656"/>
      <c r="AA93" s="656"/>
    </row>
    <row r="94" spans="2:27">
      <c r="B94" s="659" t="s">
        <v>2354</v>
      </c>
      <c r="C94" s="657" t="s">
        <v>2682</v>
      </c>
      <c r="D94" s="132">
        <v>105</v>
      </c>
      <c r="E94" s="132"/>
      <c r="F94" s="656"/>
      <c r="G94" s="664" t="s">
        <v>2354</v>
      </c>
      <c r="H94" s="738">
        <v>370</v>
      </c>
      <c r="I94" s="736" t="s">
        <v>2682</v>
      </c>
      <c r="J94" s="734">
        <v>105</v>
      </c>
      <c r="K94" s="734">
        <f t="shared" si="2"/>
        <v>105</v>
      </c>
      <c r="L94" s="132"/>
      <c r="M94" s="745">
        <v>370</v>
      </c>
      <c r="N94" s="736" t="s">
        <v>2682</v>
      </c>
      <c r="O94" s="734">
        <f t="shared" si="3"/>
        <v>105</v>
      </c>
      <c r="P94" s="655"/>
      <c r="Q94" s="655"/>
      <c r="R94" s="656"/>
      <c r="S94" s="656"/>
      <c r="T94" s="656"/>
      <c r="U94" s="656"/>
      <c r="V94" s="656"/>
      <c r="W94" s="656"/>
      <c r="X94" s="656"/>
      <c r="Y94" s="656"/>
      <c r="Z94" s="656"/>
      <c r="AA94" s="656"/>
    </row>
    <row r="95" spans="2:27">
      <c r="B95" s="659" t="s">
        <v>2358</v>
      </c>
      <c r="C95" s="657" t="s">
        <v>2683</v>
      </c>
      <c r="D95" s="132">
        <v>160</v>
      </c>
      <c r="E95" s="132"/>
      <c r="F95" s="656"/>
      <c r="G95" s="664" t="s">
        <v>2358</v>
      </c>
      <c r="H95" s="738">
        <v>371</v>
      </c>
      <c r="I95" s="736" t="s">
        <v>2683</v>
      </c>
      <c r="J95" s="734">
        <v>160</v>
      </c>
      <c r="K95" s="734">
        <f t="shared" si="2"/>
        <v>160</v>
      </c>
      <c r="L95" s="132"/>
      <c r="M95" s="745">
        <v>371</v>
      </c>
      <c r="N95" s="736" t="s">
        <v>2683</v>
      </c>
      <c r="O95" s="734">
        <f t="shared" si="3"/>
        <v>160</v>
      </c>
      <c r="P95" s="655"/>
      <c r="Q95" s="655"/>
      <c r="R95" s="656"/>
      <c r="S95" s="656"/>
      <c r="T95" s="656"/>
      <c r="U95" s="656"/>
      <c r="V95" s="656"/>
      <c r="W95" s="656"/>
      <c r="X95" s="656"/>
      <c r="Y95" s="656"/>
      <c r="Z95" s="656"/>
      <c r="AA95" s="656"/>
    </row>
    <row r="96" spans="2:27">
      <c r="B96" s="659" t="s">
        <v>2367</v>
      </c>
      <c r="C96" s="657" t="s">
        <v>2684</v>
      </c>
      <c r="D96" s="132">
        <v>94</v>
      </c>
      <c r="E96" s="132"/>
      <c r="F96" s="656"/>
      <c r="G96" s="664" t="s">
        <v>2367</v>
      </c>
      <c r="H96" s="738">
        <v>372</v>
      </c>
      <c r="I96" s="736" t="s">
        <v>2684</v>
      </c>
      <c r="J96" s="734">
        <v>94</v>
      </c>
      <c r="K96" s="734">
        <f t="shared" si="2"/>
        <v>94</v>
      </c>
      <c r="L96" s="132"/>
      <c r="M96" s="745">
        <v>372</v>
      </c>
      <c r="N96" s="736" t="s">
        <v>2684</v>
      </c>
      <c r="O96" s="734">
        <f t="shared" si="3"/>
        <v>94</v>
      </c>
      <c r="P96" s="655"/>
      <c r="Q96" s="655"/>
      <c r="R96" s="656"/>
      <c r="S96" s="656"/>
      <c r="T96" s="656"/>
      <c r="U96" s="656"/>
      <c r="V96" s="656"/>
      <c r="W96" s="656"/>
      <c r="X96" s="656"/>
      <c r="Y96" s="656"/>
      <c r="Z96" s="656"/>
      <c r="AA96" s="656"/>
    </row>
    <row r="97" spans="2:27">
      <c r="B97" s="659" t="s">
        <v>2371</v>
      </c>
      <c r="C97" s="657" t="s">
        <v>2685</v>
      </c>
      <c r="D97" s="132">
        <v>197</v>
      </c>
      <c r="E97" s="132"/>
      <c r="F97" s="656"/>
      <c r="G97" s="664" t="s">
        <v>2371</v>
      </c>
      <c r="H97" s="738">
        <v>373</v>
      </c>
      <c r="I97" s="736" t="s">
        <v>2685</v>
      </c>
      <c r="J97" s="734">
        <v>197</v>
      </c>
      <c r="K97" s="734">
        <f t="shared" si="2"/>
        <v>197</v>
      </c>
      <c r="L97" s="132"/>
      <c r="M97" s="745">
        <v>373</v>
      </c>
      <c r="N97" s="736" t="s">
        <v>2685</v>
      </c>
      <c r="O97" s="734">
        <f t="shared" si="3"/>
        <v>197</v>
      </c>
      <c r="P97" s="655"/>
      <c r="Q97" s="655"/>
      <c r="R97" s="656"/>
      <c r="S97" s="656"/>
      <c r="T97" s="656"/>
      <c r="U97" s="656"/>
      <c r="V97" s="656"/>
      <c r="W97" s="656"/>
      <c r="X97" s="656"/>
      <c r="Y97" s="656"/>
      <c r="Z97" s="656"/>
      <c r="AA97" s="656"/>
    </row>
    <row r="98" spans="2:27">
      <c r="B98" s="659" t="s">
        <v>2377</v>
      </c>
      <c r="C98" s="657" t="s">
        <v>2686</v>
      </c>
      <c r="D98" s="132">
        <v>102</v>
      </c>
      <c r="E98" s="132"/>
      <c r="F98" s="656"/>
      <c r="G98" s="664" t="s">
        <v>2377</v>
      </c>
      <c r="H98" s="738">
        <v>381</v>
      </c>
      <c r="I98" s="736" t="s">
        <v>2686</v>
      </c>
      <c r="J98" s="734">
        <v>102</v>
      </c>
      <c r="K98" s="734">
        <f t="shared" si="2"/>
        <v>102</v>
      </c>
      <c r="L98" s="132"/>
      <c r="M98" s="745">
        <v>381</v>
      </c>
      <c r="N98" s="736" t="s">
        <v>2686</v>
      </c>
      <c r="O98" s="734">
        <f t="shared" si="3"/>
        <v>102</v>
      </c>
      <c r="P98" s="655"/>
      <c r="Q98" s="655"/>
      <c r="R98" s="656"/>
      <c r="S98" s="656"/>
      <c r="T98" s="656"/>
      <c r="U98" s="656"/>
      <c r="V98" s="656"/>
      <c r="W98" s="656"/>
      <c r="X98" s="656"/>
      <c r="Y98" s="656"/>
      <c r="Z98" s="656"/>
      <c r="AA98" s="656"/>
    </row>
    <row r="99" spans="2:27">
      <c r="B99" s="659" t="s">
        <v>2385</v>
      </c>
      <c r="C99" s="659" t="s">
        <v>398</v>
      </c>
      <c r="D99" s="132">
        <v>11</v>
      </c>
      <c r="E99" s="132"/>
      <c r="F99" s="656"/>
      <c r="G99" s="664" t="s">
        <v>2385</v>
      </c>
      <c r="H99" s="738">
        <v>382</v>
      </c>
      <c r="I99" s="739" t="s">
        <v>398</v>
      </c>
      <c r="J99" s="734">
        <v>11</v>
      </c>
      <c r="K99" s="734">
        <f t="shared" si="2"/>
        <v>11</v>
      </c>
      <c r="L99" s="132"/>
      <c r="M99" s="745">
        <v>382</v>
      </c>
      <c r="N99" s="739" t="s">
        <v>398</v>
      </c>
      <c r="O99" s="734">
        <f t="shared" si="3"/>
        <v>11</v>
      </c>
      <c r="P99" s="655"/>
      <c r="Q99" s="655"/>
      <c r="R99" s="656"/>
      <c r="S99" s="656"/>
      <c r="T99" s="656"/>
      <c r="U99" s="656"/>
      <c r="V99" s="656"/>
      <c r="W99" s="656"/>
      <c r="X99" s="656"/>
      <c r="Y99" s="656"/>
      <c r="Z99" s="656"/>
      <c r="AA99" s="656"/>
    </row>
    <row r="100" spans="2:27">
      <c r="B100" s="659" t="s">
        <v>2387</v>
      </c>
      <c r="C100" s="659" t="s">
        <v>399</v>
      </c>
      <c r="D100" s="660" t="s">
        <v>1186</v>
      </c>
      <c r="E100" s="660"/>
      <c r="F100" s="656"/>
      <c r="G100" s="664" t="s">
        <v>2387</v>
      </c>
      <c r="H100" s="738">
        <v>383</v>
      </c>
      <c r="I100" s="739" t="s">
        <v>399</v>
      </c>
      <c r="J100" s="740" t="s">
        <v>1186</v>
      </c>
      <c r="K100" s="734">
        <f t="shared" si="2"/>
        <v>5</v>
      </c>
      <c r="L100" s="660"/>
      <c r="M100" s="745">
        <v>383</v>
      </c>
      <c r="N100" s="739" t="s">
        <v>399</v>
      </c>
      <c r="O100" s="734">
        <f t="shared" si="3"/>
        <v>5</v>
      </c>
      <c r="P100" s="655"/>
      <c r="Q100" s="655"/>
      <c r="R100" s="656"/>
      <c r="S100" s="656"/>
      <c r="T100" s="656"/>
      <c r="U100" s="656"/>
      <c r="V100" s="656"/>
      <c r="W100" s="656"/>
      <c r="X100" s="656"/>
      <c r="Y100" s="656"/>
      <c r="Z100" s="656"/>
      <c r="AA100" s="656"/>
    </row>
    <row r="101" spans="2:27">
      <c r="B101" s="659" t="s">
        <v>2390</v>
      </c>
      <c r="C101" s="657" t="s">
        <v>2687</v>
      </c>
      <c r="D101" s="132">
        <v>169</v>
      </c>
      <c r="E101" s="132"/>
      <c r="F101" s="656"/>
      <c r="G101" s="664" t="s">
        <v>2390</v>
      </c>
      <c r="H101" s="738">
        <v>391</v>
      </c>
      <c r="I101" s="736" t="s">
        <v>2687</v>
      </c>
      <c r="J101" s="734">
        <v>169</v>
      </c>
      <c r="K101" s="734">
        <f t="shared" si="2"/>
        <v>169</v>
      </c>
      <c r="L101" s="132"/>
      <c r="M101" s="745">
        <v>391</v>
      </c>
      <c r="N101" s="736" t="s">
        <v>2687</v>
      </c>
      <c r="O101" s="734">
        <f t="shared" si="3"/>
        <v>169</v>
      </c>
      <c r="P101" s="655"/>
      <c r="Q101" s="655"/>
      <c r="R101" s="656"/>
      <c r="S101" s="656"/>
      <c r="T101" s="656"/>
      <c r="U101" s="656"/>
      <c r="V101" s="656"/>
      <c r="W101" s="656"/>
      <c r="X101" s="656"/>
      <c r="Y101" s="656"/>
      <c r="Z101" s="656"/>
      <c r="AA101" s="656"/>
    </row>
    <row r="102" spans="2:27">
      <c r="B102" s="659" t="s">
        <v>2395</v>
      </c>
      <c r="C102" s="659" t="s">
        <v>401</v>
      </c>
      <c r="D102" s="132">
        <v>15</v>
      </c>
      <c r="E102" s="132"/>
      <c r="F102" s="656"/>
      <c r="G102" s="664" t="s">
        <v>2395</v>
      </c>
      <c r="H102" s="738">
        <v>392</v>
      </c>
      <c r="I102" s="739" t="s">
        <v>401</v>
      </c>
      <c r="J102" s="734">
        <v>15</v>
      </c>
      <c r="K102" s="734">
        <f t="shared" si="2"/>
        <v>15</v>
      </c>
      <c r="L102" s="132"/>
      <c r="M102" s="745">
        <v>392</v>
      </c>
      <c r="N102" s="739" t="s">
        <v>401</v>
      </c>
      <c r="O102" s="734">
        <f t="shared" si="3"/>
        <v>15</v>
      </c>
      <c r="P102" s="655"/>
      <c r="Q102" s="655"/>
      <c r="R102" s="656"/>
      <c r="S102" s="656"/>
      <c r="T102" s="656"/>
      <c r="U102" s="656"/>
      <c r="V102" s="656"/>
      <c r="W102" s="656"/>
      <c r="X102" s="656"/>
      <c r="Y102" s="656"/>
      <c r="Z102" s="656"/>
      <c r="AA102" s="656"/>
    </row>
    <row r="103" spans="2:27">
      <c r="B103" s="659" t="s">
        <v>2398</v>
      </c>
      <c r="C103" s="657" t="s">
        <v>2688</v>
      </c>
      <c r="D103" s="132">
        <v>81</v>
      </c>
      <c r="E103" s="132"/>
      <c r="F103" s="656"/>
      <c r="G103" s="664" t="s">
        <v>2398</v>
      </c>
      <c r="H103" s="738">
        <v>393</v>
      </c>
      <c r="I103" s="736" t="s">
        <v>2688</v>
      </c>
      <c r="J103" s="734">
        <v>81</v>
      </c>
      <c r="K103" s="734">
        <f t="shared" si="2"/>
        <v>81</v>
      </c>
      <c r="L103" s="132"/>
      <c r="M103" s="745">
        <v>393</v>
      </c>
      <c r="N103" s="736" t="s">
        <v>2688</v>
      </c>
      <c r="O103" s="734">
        <f t="shared" si="3"/>
        <v>81</v>
      </c>
      <c r="P103" s="655"/>
      <c r="Q103" s="655"/>
      <c r="R103" s="656"/>
      <c r="S103" s="656"/>
      <c r="T103" s="656"/>
      <c r="U103" s="656"/>
      <c r="V103" s="656"/>
      <c r="W103" s="656"/>
      <c r="X103" s="656"/>
      <c r="Y103" s="656"/>
      <c r="Z103" s="656"/>
      <c r="AA103" s="656"/>
    </row>
    <row r="104" spans="2:27">
      <c r="B104" s="659" t="s">
        <v>2401</v>
      </c>
      <c r="C104" s="659" t="s">
        <v>403</v>
      </c>
      <c r="D104" s="660" t="s">
        <v>1186</v>
      </c>
      <c r="E104" s="660"/>
      <c r="F104" s="656"/>
      <c r="G104" s="664" t="s">
        <v>2401</v>
      </c>
      <c r="H104" s="738">
        <v>394</v>
      </c>
      <c r="I104" s="739" t="s">
        <v>403</v>
      </c>
      <c r="J104" s="740" t="s">
        <v>1186</v>
      </c>
      <c r="K104" s="734">
        <f t="shared" si="2"/>
        <v>5</v>
      </c>
      <c r="L104" s="660"/>
      <c r="M104" s="745">
        <v>394</v>
      </c>
      <c r="N104" s="739" t="s">
        <v>403</v>
      </c>
      <c r="O104" s="734">
        <f t="shared" si="3"/>
        <v>5</v>
      </c>
      <c r="P104" s="655"/>
      <c r="Q104" s="655"/>
      <c r="R104" s="656"/>
      <c r="S104" s="656"/>
      <c r="T104" s="656"/>
      <c r="U104" s="656"/>
      <c r="V104" s="656"/>
      <c r="W104" s="656"/>
      <c r="X104" s="656"/>
      <c r="Y104" s="656"/>
      <c r="Z104" s="656"/>
      <c r="AA104" s="656"/>
    </row>
    <row r="105" spans="2:27">
      <c r="B105" s="659" t="s">
        <v>2404</v>
      </c>
      <c r="C105" s="657" t="s">
        <v>2689</v>
      </c>
      <c r="D105" s="132">
        <v>173</v>
      </c>
      <c r="E105" s="132"/>
      <c r="F105" s="656"/>
      <c r="G105" s="664" t="s">
        <v>2404</v>
      </c>
      <c r="H105" s="738">
        <v>401</v>
      </c>
      <c r="I105" s="736" t="s">
        <v>2689</v>
      </c>
      <c r="J105" s="734">
        <v>173</v>
      </c>
      <c r="K105" s="734">
        <f t="shared" si="2"/>
        <v>173</v>
      </c>
      <c r="L105" s="132"/>
      <c r="M105" s="745">
        <v>401</v>
      </c>
      <c r="N105" s="736" t="s">
        <v>2689</v>
      </c>
      <c r="O105" s="734">
        <f t="shared" si="3"/>
        <v>173</v>
      </c>
      <c r="P105" s="655"/>
      <c r="Q105" s="655"/>
      <c r="R105" s="656"/>
      <c r="S105" s="656"/>
      <c r="T105" s="656"/>
      <c r="U105" s="656"/>
      <c r="V105" s="656"/>
      <c r="W105" s="656"/>
      <c r="X105" s="656"/>
      <c r="Y105" s="656"/>
      <c r="Z105" s="656"/>
      <c r="AA105" s="656"/>
    </row>
    <row r="106" spans="2:27">
      <c r="B106" s="659" t="s">
        <v>2414</v>
      </c>
      <c r="C106" s="657" t="s">
        <v>2690</v>
      </c>
      <c r="D106" s="132">
        <v>950</v>
      </c>
      <c r="E106" s="132"/>
      <c r="F106" s="656"/>
      <c r="G106" s="664" t="s">
        <v>2414</v>
      </c>
      <c r="H106" s="738">
        <v>411</v>
      </c>
      <c r="I106" s="736" t="s">
        <v>2690</v>
      </c>
      <c r="J106" s="734">
        <v>950</v>
      </c>
      <c r="K106" s="734">
        <f t="shared" si="2"/>
        <v>950</v>
      </c>
      <c r="L106" s="132"/>
      <c r="M106" s="745">
        <v>411</v>
      </c>
      <c r="N106" s="736" t="s">
        <v>2690</v>
      </c>
      <c r="O106" s="734">
        <f t="shared" si="3"/>
        <v>950</v>
      </c>
      <c r="P106" s="655"/>
      <c r="Q106" s="655"/>
      <c r="R106" s="656"/>
      <c r="S106" s="656"/>
      <c r="T106" s="656"/>
      <c r="U106" s="656"/>
      <c r="V106" s="656"/>
      <c r="W106" s="656"/>
      <c r="X106" s="656"/>
      <c r="Y106" s="656"/>
      <c r="Z106" s="656"/>
      <c r="AA106" s="656"/>
    </row>
    <row r="107" spans="2:27">
      <c r="B107" s="659" t="s">
        <v>2431</v>
      </c>
      <c r="C107" s="657" t="s">
        <v>2691</v>
      </c>
      <c r="D107" s="132">
        <v>104</v>
      </c>
      <c r="E107" s="132"/>
      <c r="F107" s="656"/>
      <c r="G107" s="664" t="s">
        <v>2431</v>
      </c>
      <c r="H107" s="738">
        <v>412</v>
      </c>
      <c r="I107" s="736" t="s">
        <v>2691</v>
      </c>
      <c r="J107" s="734">
        <v>104</v>
      </c>
      <c r="K107" s="734">
        <f t="shared" si="2"/>
        <v>104</v>
      </c>
      <c r="L107" s="132"/>
      <c r="M107" s="745">
        <v>412</v>
      </c>
      <c r="N107" s="736" t="s">
        <v>2691</v>
      </c>
      <c r="O107" s="734">
        <f t="shared" si="3"/>
        <v>104</v>
      </c>
      <c r="P107" s="655"/>
      <c r="Q107" s="655"/>
      <c r="R107" s="656"/>
      <c r="S107" s="656"/>
      <c r="T107" s="656"/>
      <c r="U107" s="656"/>
      <c r="V107" s="656"/>
      <c r="W107" s="656"/>
      <c r="X107" s="656"/>
      <c r="Y107" s="656"/>
      <c r="Z107" s="656"/>
      <c r="AA107" s="656"/>
    </row>
    <row r="108" spans="2:27">
      <c r="B108" s="659" t="s">
        <v>2435</v>
      </c>
      <c r="C108" s="657" t="s">
        <v>2692</v>
      </c>
      <c r="D108" s="132">
        <v>174</v>
      </c>
      <c r="E108" s="132"/>
      <c r="F108" s="656"/>
      <c r="G108" s="664" t="s">
        <v>2435</v>
      </c>
      <c r="H108" s="738">
        <v>413</v>
      </c>
      <c r="I108" s="736" t="s">
        <v>2692</v>
      </c>
      <c r="J108" s="734">
        <v>174</v>
      </c>
      <c r="K108" s="734">
        <f t="shared" si="2"/>
        <v>174</v>
      </c>
      <c r="L108" s="132"/>
      <c r="M108" s="745">
        <v>413</v>
      </c>
      <c r="N108" s="736" t="s">
        <v>2692</v>
      </c>
      <c r="O108" s="734">
        <f t="shared" si="3"/>
        <v>174</v>
      </c>
      <c r="P108" s="655"/>
      <c r="Q108" s="655"/>
      <c r="R108" s="656"/>
      <c r="S108" s="656"/>
      <c r="T108" s="656"/>
      <c r="U108" s="656"/>
      <c r="V108" s="656"/>
      <c r="W108" s="656"/>
      <c r="X108" s="656"/>
      <c r="Y108" s="656"/>
      <c r="Z108" s="656"/>
      <c r="AA108" s="656"/>
    </row>
    <row r="109" spans="2:27">
      <c r="B109" s="659" t="s">
        <v>2442</v>
      </c>
      <c r="C109" s="657" t="s">
        <v>2693</v>
      </c>
      <c r="D109" s="132">
        <v>136</v>
      </c>
      <c r="E109" s="132"/>
      <c r="F109" s="656"/>
      <c r="G109" s="664" t="s">
        <v>2442</v>
      </c>
      <c r="H109" s="738">
        <v>414</v>
      </c>
      <c r="I109" s="736" t="s">
        <v>2693</v>
      </c>
      <c r="J109" s="734">
        <v>136</v>
      </c>
      <c r="K109" s="734">
        <f t="shared" si="2"/>
        <v>136</v>
      </c>
      <c r="L109" s="132"/>
      <c r="M109" s="745">
        <v>414</v>
      </c>
      <c r="N109" s="736" t="s">
        <v>2693</v>
      </c>
      <c r="O109" s="734">
        <f t="shared" si="3"/>
        <v>136</v>
      </c>
      <c r="P109" s="655"/>
      <c r="Q109" s="655"/>
      <c r="R109" s="656"/>
      <c r="S109" s="656"/>
      <c r="T109" s="656"/>
      <c r="U109" s="656"/>
      <c r="V109" s="656"/>
      <c r="W109" s="656"/>
      <c r="X109" s="656"/>
      <c r="Y109" s="656"/>
      <c r="Z109" s="656"/>
      <c r="AA109" s="656"/>
    </row>
    <row r="110" spans="2:27">
      <c r="B110" s="659" t="s">
        <v>2446</v>
      </c>
      <c r="C110" s="657" t="s">
        <v>2694</v>
      </c>
      <c r="D110" s="132">
        <v>53</v>
      </c>
      <c r="E110" s="132"/>
      <c r="F110" s="656"/>
      <c r="G110" s="664" t="s">
        <v>2446</v>
      </c>
      <c r="H110" s="738">
        <v>415</v>
      </c>
      <c r="I110" s="736" t="s">
        <v>2694</v>
      </c>
      <c r="J110" s="734">
        <v>53</v>
      </c>
      <c r="K110" s="734">
        <f t="shared" si="2"/>
        <v>53</v>
      </c>
      <c r="L110" s="132"/>
      <c r="M110" s="745">
        <v>415</v>
      </c>
      <c r="N110" s="736" t="s">
        <v>2694</v>
      </c>
      <c r="O110" s="734">
        <f t="shared" si="3"/>
        <v>53</v>
      </c>
      <c r="P110" s="655"/>
      <c r="Q110" s="655"/>
      <c r="R110" s="656"/>
      <c r="S110" s="656"/>
      <c r="T110" s="656"/>
      <c r="U110" s="656"/>
      <c r="V110" s="656"/>
      <c r="W110" s="656"/>
      <c r="X110" s="656"/>
      <c r="Y110" s="656"/>
      <c r="Z110" s="656"/>
      <c r="AA110" s="656"/>
    </row>
    <row r="111" spans="2:27">
      <c r="B111" s="659" t="s">
        <v>2449</v>
      </c>
      <c r="C111" s="659" t="s">
        <v>410</v>
      </c>
      <c r="D111" s="660" t="s">
        <v>1186</v>
      </c>
      <c r="E111" s="660"/>
      <c r="F111" s="656"/>
      <c r="G111" s="664" t="s">
        <v>2449</v>
      </c>
      <c r="H111" s="738">
        <v>416</v>
      </c>
      <c r="I111" s="739" t="s">
        <v>410</v>
      </c>
      <c r="J111" s="740" t="s">
        <v>1186</v>
      </c>
      <c r="K111" s="734">
        <f t="shared" si="2"/>
        <v>5</v>
      </c>
      <c r="L111" s="660"/>
      <c r="M111" s="745">
        <v>416</v>
      </c>
      <c r="N111" s="739" t="s">
        <v>410</v>
      </c>
      <c r="O111" s="734">
        <f t="shared" si="3"/>
        <v>5</v>
      </c>
      <c r="P111" s="655"/>
      <c r="Q111" s="655"/>
      <c r="R111" s="656"/>
      <c r="S111" s="656"/>
      <c r="T111" s="656"/>
      <c r="U111" s="656"/>
      <c r="V111" s="656"/>
      <c r="W111" s="656"/>
      <c r="X111" s="656"/>
      <c r="Y111" s="656"/>
      <c r="Z111" s="656"/>
      <c r="AA111" s="656"/>
    </row>
    <row r="112" spans="2:27">
      <c r="B112" s="659" t="s">
        <v>2452</v>
      </c>
      <c r="C112" s="659" t="s">
        <v>411</v>
      </c>
      <c r="D112" s="132">
        <v>18</v>
      </c>
      <c r="E112" s="132"/>
      <c r="F112" s="656"/>
      <c r="G112" s="664" t="s">
        <v>2452</v>
      </c>
      <c r="H112" s="738">
        <v>417</v>
      </c>
      <c r="I112" s="739" t="s">
        <v>411</v>
      </c>
      <c r="J112" s="734">
        <v>18</v>
      </c>
      <c r="K112" s="734">
        <f t="shared" si="2"/>
        <v>18</v>
      </c>
      <c r="L112" s="132"/>
      <c r="M112" s="745">
        <v>417</v>
      </c>
      <c r="N112" s="739" t="s">
        <v>411</v>
      </c>
      <c r="O112" s="734">
        <f t="shared" si="3"/>
        <v>18</v>
      </c>
      <c r="P112" s="655"/>
      <c r="Q112" s="655"/>
      <c r="R112" s="656"/>
      <c r="S112" s="656"/>
      <c r="T112" s="656"/>
      <c r="U112" s="656"/>
      <c r="V112" s="656"/>
      <c r="W112" s="656"/>
      <c r="X112" s="656"/>
      <c r="Y112" s="656"/>
      <c r="Z112" s="656"/>
      <c r="AA112" s="656"/>
    </row>
    <row r="113" spans="2:27">
      <c r="B113" s="659" t="s">
        <v>2454</v>
      </c>
      <c r="C113" s="659" t="s">
        <v>412</v>
      </c>
      <c r="D113" s="132">
        <v>24</v>
      </c>
      <c r="E113" s="132"/>
      <c r="F113" s="656"/>
      <c r="G113" s="664" t="s">
        <v>2454</v>
      </c>
      <c r="H113" s="738">
        <v>418</v>
      </c>
      <c r="I113" s="739" t="s">
        <v>412</v>
      </c>
      <c r="J113" s="734">
        <v>24</v>
      </c>
      <c r="K113" s="734">
        <f t="shared" si="2"/>
        <v>24</v>
      </c>
      <c r="L113" s="132"/>
      <c r="M113" s="745">
        <v>418</v>
      </c>
      <c r="N113" s="739" t="s">
        <v>412</v>
      </c>
      <c r="O113" s="734">
        <f t="shared" si="3"/>
        <v>24</v>
      </c>
      <c r="P113" s="655"/>
      <c r="Q113" s="655"/>
      <c r="R113" s="656"/>
      <c r="S113" s="656"/>
      <c r="T113" s="656"/>
      <c r="U113" s="656"/>
      <c r="V113" s="656"/>
      <c r="W113" s="656"/>
      <c r="X113" s="656"/>
      <c r="Y113" s="656"/>
      <c r="Z113" s="656"/>
      <c r="AA113" s="656"/>
    </row>
    <row r="114" spans="2:27">
      <c r="B114" s="659" t="s">
        <v>2457</v>
      </c>
      <c r="C114" s="657" t="s">
        <v>2695</v>
      </c>
      <c r="D114" s="132">
        <v>121</v>
      </c>
      <c r="E114" s="132"/>
      <c r="F114" s="656"/>
      <c r="G114" s="664" t="s">
        <v>2457</v>
      </c>
      <c r="H114" s="738">
        <v>421</v>
      </c>
      <c r="I114" s="736" t="s">
        <v>2695</v>
      </c>
      <c r="J114" s="734">
        <v>121</v>
      </c>
      <c r="K114" s="734">
        <f t="shared" si="2"/>
        <v>121</v>
      </c>
      <c r="L114" s="132"/>
      <c r="M114" s="745">
        <v>421</v>
      </c>
      <c r="N114" s="736" t="s">
        <v>2695</v>
      </c>
      <c r="O114" s="734">
        <f t="shared" si="3"/>
        <v>121</v>
      </c>
      <c r="P114" s="655"/>
      <c r="Q114" s="655"/>
      <c r="R114" s="656"/>
      <c r="S114" s="656"/>
      <c r="T114" s="656"/>
      <c r="U114" s="656"/>
      <c r="V114" s="656"/>
      <c r="W114" s="656"/>
      <c r="X114" s="656"/>
      <c r="Y114" s="656"/>
      <c r="Z114" s="656"/>
      <c r="AA114" s="656"/>
    </row>
    <row r="115" spans="2:27">
      <c r="B115" s="659" t="s">
        <v>2465</v>
      </c>
      <c r="C115" s="659" t="s">
        <v>414</v>
      </c>
      <c r="D115" s="132">
        <v>34</v>
      </c>
      <c r="E115" s="132"/>
      <c r="F115" s="656"/>
      <c r="G115" s="664" t="s">
        <v>2465</v>
      </c>
      <c r="H115" s="738">
        <v>422</v>
      </c>
      <c r="I115" s="739" t="s">
        <v>414</v>
      </c>
      <c r="J115" s="734">
        <v>34</v>
      </c>
      <c r="K115" s="734">
        <f t="shared" si="2"/>
        <v>34</v>
      </c>
      <c r="L115" s="132"/>
      <c r="M115" s="745">
        <v>422</v>
      </c>
      <c r="N115" s="739" t="s">
        <v>414</v>
      </c>
      <c r="O115" s="734">
        <f t="shared" si="3"/>
        <v>34</v>
      </c>
      <c r="P115" s="655"/>
      <c r="Q115" s="655"/>
      <c r="R115" s="656"/>
      <c r="S115" s="656"/>
      <c r="T115" s="656"/>
      <c r="U115" s="656"/>
      <c r="V115" s="656"/>
      <c r="W115" s="656"/>
      <c r="X115" s="656"/>
      <c r="Y115" s="656"/>
      <c r="Z115" s="656"/>
      <c r="AA115" s="656"/>
    </row>
    <row r="116" spans="2:27">
      <c r="B116" s="659" t="s">
        <v>2468</v>
      </c>
      <c r="C116" s="657" t="s">
        <v>2696</v>
      </c>
      <c r="D116" s="132">
        <v>168</v>
      </c>
      <c r="E116" s="132"/>
      <c r="F116" s="656"/>
      <c r="G116" s="664" t="s">
        <v>2468</v>
      </c>
      <c r="H116" s="738">
        <v>431</v>
      </c>
      <c r="I116" s="736" t="s">
        <v>2696</v>
      </c>
      <c r="J116" s="734">
        <v>168</v>
      </c>
      <c r="K116" s="734">
        <f t="shared" si="2"/>
        <v>168</v>
      </c>
      <c r="L116" s="132"/>
      <c r="M116" s="745">
        <v>431</v>
      </c>
      <c r="N116" s="736" t="s">
        <v>2696</v>
      </c>
      <c r="O116" s="734">
        <f t="shared" si="3"/>
        <v>168</v>
      </c>
      <c r="P116" s="655"/>
      <c r="Q116" s="655"/>
      <c r="R116" s="656"/>
      <c r="S116" s="656"/>
      <c r="T116" s="656"/>
      <c r="U116" s="656"/>
      <c r="V116" s="656"/>
      <c r="W116" s="656"/>
      <c r="X116" s="656"/>
      <c r="Y116" s="656"/>
      <c r="Z116" s="656"/>
      <c r="AA116" s="656"/>
    </row>
    <row r="117" spans="2:27">
      <c r="B117" s="659" t="s">
        <v>2475</v>
      </c>
      <c r="C117" s="659" t="s">
        <v>416</v>
      </c>
      <c r="D117" s="132">
        <v>20</v>
      </c>
      <c r="E117" s="132"/>
      <c r="F117" s="656"/>
      <c r="G117" s="664" t="s">
        <v>2475</v>
      </c>
      <c r="H117" s="738">
        <v>432</v>
      </c>
      <c r="I117" s="739" t="s">
        <v>416</v>
      </c>
      <c r="J117" s="734">
        <v>20</v>
      </c>
      <c r="K117" s="734">
        <f t="shared" si="2"/>
        <v>20</v>
      </c>
      <c r="L117" s="132"/>
      <c r="M117" s="745">
        <v>432</v>
      </c>
      <c r="N117" s="739" t="s">
        <v>416</v>
      </c>
      <c r="O117" s="734">
        <f t="shared" si="3"/>
        <v>20</v>
      </c>
      <c r="P117" s="655"/>
      <c r="Q117" s="655"/>
      <c r="R117" s="656"/>
      <c r="S117" s="656"/>
      <c r="T117" s="656"/>
      <c r="U117" s="656"/>
      <c r="V117" s="656"/>
      <c r="W117" s="656"/>
      <c r="X117" s="656"/>
      <c r="Y117" s="656"/>
      <c r="Z117" s="656"/>
      <c r="AA117" s="656"/>
    </row>
    <row r="118" spans="2:27">
      <c r="B118" s="659" t="s">
        <v>2478</v>
      </c>
      <c r="C118" s="659" t="s">
        <v>417</v>
      </c>
      <c r="D118" s="132">
        <v>15</v>
      </c>
      <c r="E118" s="132"/>
      <c r="F118" s="656"/>
      <c r="G118" s="664" t="s">
        <v>2478</v>
      </c>
      <c r="H118" s="738">
        <v>433</v>
      </c>
      <c r="I118" s="739" t="s">
        <v>417</v>
      </c>
      <c r="J118" s="734">
        <v>15</v>
      </c>
      <c r="K118" s="734">
        <f t="shared" si="2"/>
        <v>15</v>
      </c>
      <c r="L118" s="132"/>
      <c r="M118" s="745">
        <v>433</v>
      </c>
      <c r="N118" s="739" t="s">
        <v>417</v>
      </c>
      <c r="O118" s="734">
        <f t="shared" si="3"/>
        <v>15</v>
      </c>
      <c r="P118" s="655"/>
      <c r="Q118" s="655"/>
      <c r="R118" s="656"/>
      <c r="S118" s="656"/>
      <c r="T118" s="656"/>
      <c r="U118" s="656"/>
      <c r="V118" s="656"/>
      <c r="W118" s="656"/>
      <c r="X118" s="656"/>
      <c r="Y118" s="656"/>
      <c r="Z118" s="656"/>
      <c r="AA118" s="656"/>
    </row>
    <row r="119" spans="2:27">
      <c r="B119" s="659" t="s">
        <v>2482</v>
      </c>
      <c r="C119" s="659" t="s">
        <v>418</v>
      </c>
      <c r="D119" s="132">
        <v>15</v>
      </c>
      <c r="E119" s="132"/>
      <c r="F119" s="656"/>
      <c r="G119" s="664" t="s">
        <v>2482</v>
      </c>
      <c r="H119" s="738">
        <v>451</v>
      </c>
      <c r="I119" s="739" t="s">
        <v>418</v>
      </c>
      <c r="J119" s="734">
        <v>15</v>
      </c>
      <c r="K119" s="734">
        <f t="shared" si="2"/>
        <v>15</v>
      </c>
      <c r="L119" s="132"/>
      <c r="M119" s="745">
        <v>451</v>
      </c>
      <c r="N119" s="739" t="s">
        <v>418</v>
      </c>
      <c r="O119" s="734">
        <f t="shared" si="3"/>
        <v>15</v>
      </c>
      <c r="P119" s="655"/>
      <c r="Q119" s="655"/>
      <c r="R119" s="656"/>
      <c r="S119" s="656"/>
      <c r="T119" s="656"/>
      <c r="U119" s="656"/>
      <c r="V119" s="656"/>
      <c r="W119" s="656"/>
      <c r="X119" s="656"/>
      <c r="Y119" s="656"/>
      <c r="Z119" s="656"/>
      <c r="AA119" s="656"/>
    </row>
    <row r="120" spans="2:27">
      <c r="B120" s="659" t="s">
        <v>2484</v>
      </c>
      <c r="C120" s="657" t="s">
        <v>223</v>
      </c>
      <c r="D120" s="132">
        <v>264</v>
      </c>
      <c r="E120" s="132"/>
      <c r="F120" s="656"/>
      <c r="G120" s="664" t="s">
        <v>2484</v>
      </c>
      <c r="H120" s="738">
        <v>452</v>
      </c>
      <c r="I120" s="736" t="s">
        <v>223</v>
      </c>
      <c r="J120" s="734">
        <v>264</v>
      </c>
      <c r="K120" s="734">
        <f t="shared" si="2"/>
        <v>264</v>
      </c>
      <c r="L120" s="132"/>
      <c r="M120" s="745">
        <v>452</v>
      </c>
      <c r="N120" s="736" t="s">
        <v>223</v>
      </c>
      <c r="O120" s="734">
        <f t="shared" si="3"/>
        <v>264</v>
      </c>
      <c r="P120" s="655"/>
      <c r="Q120" s="655"/>
      <c r="R120" s="656"/>
      <c r="S120" s="656"/>
      <c r="T120" s="656"/>
      <c r="U120" s="656"/>
      <c r="V120" s="656"/>
      <c r="W120" s="656"/>
      <c r="X120" s="656"/>
      <c r="Y120" s="656"/>
      <c r="Z120" s="656"/>
      <c r="AA120" s="656"/>
    </row>
    <row r="121" spans="2:27">
      <c r="B121" s="659" t="s">
        <v>2488</v>
      </c>
      <c r="C121" s="659" t="s">
        <v>1142</v>
      </c>
      <c r="D121" s="660" t="s">
        <v>1186</v>
      </c>
      <c r="E121" s="660"/>
      <c r="F121" s="656"/>
      <c r="G121" s="664" t="s">
        <v>2488</v>
      </c>
      <c r="H121" s="738">
        <v>453</v>
      </c>
      <c r="I121" s="739" t="s">
        <v>1142</v>
      </c>
      <c r="J121" s="740" t="s">
        <v>1186</v>
      </c>
      <c r="K121" s="734">
        <f t="shared" si="2"/>
        <v>5</v>
      </c>
      <c r="L121" s="660"/>
      <c r="M121" s="745">
        <v>453</v>
      </c>
      <c r="N121" s="739" t="s">
        <v>1142</v>
      </c>
      <c r="O121" s="734">
        <f t="shared" si="3"/>
        <v>5</v>
      </c>
      <c r="P121" s="655"/>
      <c r="Q121" s="655"/>
      <c r="R121" s="656"/>
      <c r="S121" s="656"/>
      <c r="T121" s="656"/>
      <c r="U121" s="656"/>
      <c r="V121" s="656"/>
      <c r="W121" s="656"/>
      <c r="X121" s="656"/>
      <c r="Y121" s="656"/>
      <c r="Z121" s="656"/>
      <c r="AA121" s="656"/>
    </row>
    <row r="122" spans="2:27">
      <c r="B122" s="659" t="s">
        <v>2493</v>
      </c>
      <c r="C122" s="659" t="s">
        <v>1144</v>
      </c>
      <c r="D122" s="132">
        <v>37</v>
      </c>
      <c r="E122" s="132"/>
      <c r="F122" s="656"/>
      <c r="G122" s="664" t="s">
        <v>2493</v>
      </c>
      <c r="H122" s="738">
        <v>454</v>
      </c>
      <c r="I122" s="739" t="s">
        <v>1144</v>
      </c>
      <c r="J122" s="734">
        <v>37</v>
      </c>
      <c r="K122" s="734">
        <f t="shared" si="2"/>
        <v>37</v>
      </c>
      <c r="L122" s="132"/>
      <c r="M122" s="745">
        <v>454</v>
      </c>
      <c r="N122" s="739" t="s">
        <v>1144</v>
      </c>
      <c r="O122" s="734">
        <f t="shared" si="3"/>
        <v>37</v>
      </c>
      <c r="P122" s="655"/>
      <c r="Q122" s="655"/>
      <c r="R122" s="656"/>
      <c r="S122" s="656"/>
      <c r="T122" s="656"/>
      <c r="U122" s="656"/>
      <c r="V122" s="656"/>
      <c r="W122" s="656"/>
      <c r="X122" s="656"/>
      <c r="Y122" s="656"/>
      <c r="Z122" s="656"/>
      <c r="AA122" s="656"/>
    </row>
    <row r="123" spans="2:27">
      <c r="B123" s="659" t="s">
        <v>2495</v>
      </c>
      <c r="C123" s="659" t="s">
        <v>1190</v>
      </c>
      <c r="D123" s="132">
        <v>29</v>
      </c>
      <c r="E123" s="132"/>
      <c r="F123" s="656"/>
      <c r="G123" s="664" t="s">
        <v>2495</v>
      </c>
      <c r="H123" s="738">
        <v>455</v>
      </c>
      <c r="I123" s="739" t="s">
        <v>1190</v>
      </c>
      <c r="J123" s="734">
        <v>29</v>
      </c>
      <c r="K123" s="734">
        <f t="shared" si="2"/>
        <v>29</v>
      </c>
      <c r="L123" s="132"/>
      <c r="M123" s="745">
        <v>455</v>
      </c>
      <c r="N123" s="739" t="s">
        <v>1190</v>
      </c>
      <c r="O123" s="734">
        <f t="shared" si="3"/>
        <v>29</v>
      </c>
      <c r="P123" s="655"/>
      <c r="Q123" s="655"/>
      <c r="R123" s="656"/>
      <c r="S123" s="656"/>
      <c r="T123" s="656"/>
      <c r="U123" s="656"/>
      <c r="V123" s="656"/>
      <c r="W123" s="656"/>
      <c r="X123" s="656"/>
      <c r="Y123" s="656"/>
      <c r="Z123" s="656"/>
      <c r="AA123" s="656"/>
    </row>
    <row r="124" spans="2:27">
      <c r="B124" s="659" t="s">
        <v>2499</v>
      </c>
      <c r="C124" s="659" t="s">
        <v>1146</v>
      </c>
      <c r="D124" s="132">
        <v>17</v>
      </c>
      <c r="E124" s="132"/>
      <c r="F124" s="656"/>
      <c r="G124" s="664" t="s">
        <v>2499</v>
      </c>
      <c r="H124" s="738">
        <v>456</v>
      </c>
      <c r="I124" s="739" t="s">
        <v>1146</v>
      </c>
      <c r="J124" s="734">
        <v>17</v>
      </c>
      <c r="K124" s="734">
        <f t="shared" si="2"/>
        <v>17</v>
      </c>
      <c r="L124" s="132"/>
      <c r="M124" s="745">
        <v>456</v>
      </c>
      <c r="N124" s="739" t="s">
        <v>1146</v>
      </c>
      <c r="O124" s="734">
        <f t="shared" si="3"/>
        <v>17</v>
      </c>
      <c r="P124" s="655"/>
      <c r="Q124" s="655"/>
      <c r="R124" s="656"/>
      <c r="S124" s="656"/>
      <c r="T124" s="656"/>
      <c r="U124" s="656"/>
      <c r="V124" s="656"/>
      <c r="W124" s="656"/>
      <c r="X124" s="656"/>
      <c r="Y124" s="656"/>
      <c r="Z124" s="656"/>
      <c r="AA124" s="656"/>
    </row>
    <row r="125" spans="2:27">
      <c r="B125" s="659" t="s">
        <v>2501</v>
      </c>
      <c r="C125" s="657" t="s">
        <v>2697</v>
      </c>
      <c r="D125" s="132">
        <v>94</v>
      </c>
      <c r="E125" s="132"/>
      <c r="F125" s="656"/>
      <c r="G125" s="664" t="s">
        <v>2501</v>
      </c>
      <c r="H125" s="738">
        <v>457</v>
      </c>
      <c r="I125" s="736" t="s">
        <v>2697</v>
      </c>
      <c r="J125" s="734">
        <v>94</v>
      </c>
      <c r="K125" s="734">
        <f t="shared" si="2"/>
        <v>94</v>
      </c>
      <c r="L125" s="132"/>
      <c r="M125" s="745">
        <v>457</v>
      </c>
      <c r="N125" s="736" t="s">
        <v>2697</v>
      </c>
      <c r="O125" s="734">
        <f t="shared" si="3"/>
        <v>94</v>
      </c>
      <c r="P125" s="655"/>
      <c r="Q125" s="655"/>
      <c r="R125" s="656"/>
      <c r="S125" s="656"/>
      <c r="T125" s="656"/>
      <c r="U125" s="656"/>
      <c r="V125" s="656"/>
      <c r="W125" s="656"/>
      <c r="X125" s="656"/>
      <c r="Y125" s="656"/>
      <c r="Z125" s="656"/>
      <c r="AA125" s="656"/>
    </row>
    <row r="126" spans="2:27">
      <c r="B126" s="659" t="s">
        <v>2504</v>
      </c>
      <c r="C126" s="659" t="s">
        <v>1149</v>
      </c>
      <c r="D126" s="132">
        <v>23</v>
      </c>
      <c r="E126" s="132"/>
      <c r="F126" s="656"/>
      <c r="G126" s="664" t="s">
        <v>2504</v>
      </c>
      <c r="H126" s="738">
        <v>458</v>
      </c>
      <c r="I126" s="739" t="s">
        <v>1149</v>
      </c>
      <c r="J126" s="734">
        <v>23</v>
      </c>
      <c r="K126" s="734">
        <f t="shared" si="2"/>
        <v>23</v>
      </c>
      <c r="L126" s="132"/>
      <c r="M126" s="745">
        <v>458</v>
      </c>
      <c r="N126" s="739" t="s">
        <v>1149</v>
      </c>
      <c r="O126" s="734">
        <f t="shared" si="3"/>
        <v>23</v>
      </c>
      <c r="P126" s="655"/>
      <c r="Q126" s="655"/>
      <c r="R126" s="656"/>
      <c r="S126" s="656"/>
      <c r="T126" s="656"/>
      <c r="U126" s="656"/>
      <c r="V126" s="656"/>
      <c r="W126" s="656"/>
      <c r="X126" s="656"/>
      <c r="Y126" s="656"/>
      <c r="Z126" s="656"/>
      <c r="AA126" s="656"/>
    </row>
    <row r="127" spans="2:27">
      <c r="B127" s="659" t="s">
        <v>2506</v>
      </c>
      <c r="C127" s="659" t="s">
        <v>1151</v>
      </c>
      <c r="D127" s="132">
        <v>39</v>
      </c>
      <c r="E127" s="132"/>
      <c r="F127" s="656"/>
      <c r="G127" s="664" t="s">
        <v>2506</v>
      </c>
      <c r="H127" s="738">
        <v>460</v>
      </c>
      <c r="I127" s="739" t="s">
        <v>1151</v>
      </c>
      <c r="J127" s="734">
        <v>39</v>
      </c>
      <c r="K127" s="734">
        <f t="shared" si="2"/>
        <v>39</v>
      </c>
      <c r="L127" s="132"/>
      <c r="M127" s="745">
        <v>460</v>
      </c>
      <c r="N127" s="739" t="s">
        <v>1151</v>
      </c>
      <c r="O127" s="734">
        <f t="shared" si="3"/>
        <v>39</v>
      </c>
      <c r="P127" s="655"/>
      <c r="Q127" s="655"/>
      <c r="R127" s="656"/>
      <c r="S127" s="656"/>
      <c r="T127" s="656"/>
      <c r="U127" s="656"/>
      <c r="V127" s="656"/>
      <c r="W127" s="656"/>
      <c r="X127" s="656"/>
      <c r="Y127" s="656"/>
      <c r="Z127" s="656"/>
      <c r="AA127" s="656"/>
    </row>
    <row r="128" spans="2:27">
      <c r="B128" s="659" t="s">
        <v>2509</v>
      </c>
      <c r="C128" s="659" t="s">
        <v>1153</v>
      </c>
      <c r="D128" s="132">
        <v>29</v>
      </c>
      <c r="E128" s="132"/>
      <c r="F128" s="656"/>
      <c r="G128" s="664" t="s">
        <v>2509</v>
      </c>
      <c r="H128" s="738">
        <v>461</v>
      </c>
      <c r="I128" s="739" t="s">
        <v>1153</v>
      </c>
      <c r="J128" s="734">
        <v>29</v>
      </c>
      <c r="K128" s="734">
        <f t="shared" si="2"/>
        <v>29</v>
      </c>
      <c r="L128" s="132"/>
      <c r="M128" s="745">
        <v>461</v>
      </c>
      <c r="N128" s="739" t="s">
        <v>1153</v>
      </c>
      <c r="O128" s="734">
        <f t="shared" si="3"/>
        <v>29</v>
      </c>
      <c r="P128" s="655"/>
      <c r="Q128" s="655"/>
      <c r="R128" s="656"/>
      <c r="S128" s="656"/>
      <c r="T128" s="656"/>
      <c r="U128" s="656"/>
      <c r="V128" s="656"/>
      <c r="W128" s="656"/>
      <c r="X128" s="656"/>
      <c r="Y128" s="656"/>
      <c r="Z128" s="656"/>
      <c r="AA128" s="656"/>
    </row>
    <row r="129" spans="2:27">
      <c r="B129" s="659" t="s">
        <v>2511</v>
      </c>
      <c r="C129" s="659" t="s">
        <v>427</v>
      </c>
      <c r="D129" s="132">
        <v>34</v>
      </c>
      <c r="E129" s="132"/>
      <c r="F129" s="656"/>
      <c r="G129" s="664" t="s">
        <v>2511</v>
      </c>
      <c r="H129" s="738">
        <v>462</v>
      </c>
      <c r="I129" s="739" t="s">
        <v>427</v>
      </c>
      <c r="J129" s="734">
        <v>34</v>
      </c>
      <c r="K129" s="734">
        <f t="shared" si="2"/>
        <v>34</v>
      </c>
      <c r="L129" s="132"/>
      <c r="M129" s="745">
        <v>462</v>
      </c>
      <c r="N129" s="739" t="s">
        <v>427</v>
      </c>
      <c r="O129" s="734">
        <f t="shared" si="3"/>
        <v>34</v>
      </c>
      <c r="P129" s="655"/>
      <c r="Q129" s="655"/>
      <c r="R129" s="656"/>
      <c r="S129" s="656"/>
      <c r="T129" s="656"/>
      <c r="U129" s="656"/>
      <c r="V129" s="656"/>
      <c r="W129" s="656"/>
      <c r="X129" s="656"/>
      <c r="Y129" s="656"/>
      <c r="Z129" s="656"/>
      <c r="AA129" s="656"/>
    </row>
    <row r="130" spans="2:27">
      <c r="B130" s="659" t="s">
        <v>2513</v>
      </c>
      <c r="C130" s="657" t="s">
        <v>233</v>
      </c>
      <c r="D130" s="132">
        <v>45</v>
      </c>
      <c r="E130" s="132"/>
      <c r="F130" s="656"/>
      <c r="G130" s="664" t="s">
        <v>2513</v>
      </c>
      <c r="H130" s="738">
        <v>463</v>
      </c>
      <c r="I130" s="736" t="s">
        <v>233</v>
      </c>
      <c r="J130" s="734">
        <v>45</v>
      </c>
      <c r="K130" s="734">
        <f t="shared" si="2"/>
        <v>45</v>
      </c>
      <c r="L130" s="132"/>
      <c r="M130" s="745">
        <v>463</v>
      </c>
      <c r="N130" s="736" t="s">
        <v>233</v>
      </c>
      <c r="O130" s="734">
        <f t="shared" si="3"/>
        <v>45</v>
      </c>
      <c r="P130" s="655"/>
      <c r="Q130" s="655"/>
      <c r="R130" s="656"/>
      <c r="S130" s="656"/>
      <c r="T130" s="656"/>
      <c r="U130" s="656"/>
      <c r="V130" s="656"/>
      <c r="W130" s="656"/>
      <c r="X130" s="656"/>
      <c r="Y130" s="656"/>
      <c r="Z130" s="656"/>
      <c r="AA130" s="656"/>
    </row>
    <row r="131" spans="2:27">
      <c r="B131" s="659" t="s">
        <v>2515</v>
      </c>
      <c r="C131" s="657" t="s">
        <v>1484</v>
      </c>
      <c r="D131" s="132">
        <v>50</v>
      </c>
      <c r="E131" s="132"/>
      <c r="F131" s="656"/>
      <c r="G131" s="664" t="s">
        <v>2515</v>
      </c>
      <c r="H131" s="738">
        <v>464</v>
      </c>
      <c r="I131" s="736" t="s">
        <v>1484</v>
      </c>
      <c r="J131" s="734">
        <v>50</v>
      </c>
      <c r="K131" s="734">
        <f t="shared" si="2"/>
        <v>50</v>
      </c>
      <c r="L131" s="132"/>
      <c r="M131" s="745">
        <v>464</v>
      </c>
      <c r="N131" s="736" t="s">
        <v>1484</v>
      </c>
      <c r="O131" s="734">
        <f t="shared" si="3"/>
        <v>50</v>
      </c>
      <c r="P131" s="655"/>
      <c r="Q131" s="655"/>
      <c r="R131" s="656"/>
      <c r="S131" s="656"/>
      <c r="T131" s="656"/>
      <c r="U131" s="656"/>
      <c r="V131" s="656"/>
      <c r="W131" s="656"/>
      <c r="X131" s="656"/>
      <c r="Y131" s="656"/>
      <c r="Z131" s="656"/>
      <c r="AA131" s="656"/>
    </row>
    <row r="132" spans="2:27">
      <c r="B132" s="659" t="s">
        <v>2517</v>
      </c>
      <c r="C132" s="659" t="s">
        <v>430</v>
      </c>
      <c r="D132" s="132">
        <v>21</v>
      </c>
      <c r="E132" s="132"/>
      <c r="F132" s="656"/>
      <c r="G132" s="664" t="s">
        <v>2517</v>
      </c>
      <c r="H132" s="738">
        <v>465</v>
      </c>
      <c r="I132" s="739" t="s">
        <v>430</v>
      </c>
      <c r="J132" s="734">
        <v>21</v>
      </c>
      <c r="K132" s="734">
        <f t="shared" si="2"/>
        <v>21</v>
      </c>
      <c r="L132" s="132"/>
      <c r="M132" s="745">
        <v>465</v>
      </c>
      <c r="N132" s="739" t="s">
        <v>430</v>
      </c>
      <c r="O132" s="734">
        <f t="shared" si="3"/>
        <v>21</v>
      </c>
      <c r="P132" s="655"/>
      <c r="Q132" s="655"/>
      <c r="R132" s="656"/>
      <c r="S132" s="656"/>
      <c r="T132" s="656"/>
      <c r="U132" s="656"/>
      <c r="V132" s="656"/>
      <c r="W132" s="656"/>
      <c r="X132" s="656"/>
      <c r="Y132" s="656"/>
      <c r="Z132" s="656"/>
      <c r="AA132" s="656"/>
    </row>
    <row r="133" spans="2:27">
      <c r="B133" s="659" t="s">
        <v>2519</v>
      </c>
      <c r="C133" s="659" t="s">
        <v>431</v>
      </c>
      <c r="D133" s="132">
        <v>20</v>
      </c>
      <c r="E133" s="132"/>
      <c r="F133" s="656"/>
      <c r="G133" s="664" t="s">
        <v>2519</v>
      </c>
      <c r="H133" s="738">
        <v>466</v>
      </c>
      <c r="I133" s="739" t="s">
        <v>431</v>
      </c>
      <c r="J133" s="734">
        <v>20</v>
      </c>
      <c r="K133" s="734">
        <f t="shared" ref="K133:K171" si="4">IF(ISNUMBER(J133), J133, 5)</f>
        <v>20</v>
      </c>
      <c r="L133" s="132"/>
      <c r="M133" s="745">
        <v>466</v>
      </c>
      <c r="N133" s="739" t="s">
        <v>431</v>
      </c>
      <c r="O133" s="734">
        <f t="shared" ref="O133:O170" si="5">SUMIF(G:G,M133, K:K)</f>
        <v>20</v>
      </c>
      <c r="P133" s="655"/>
      <c r="Q133" s="655"/>
      <c r="R133" s="656"/>
      <c r="S133" s="656"/>
      <c r="T133" s="656"/>
      <c r="U133" s="656"/>
      <c r="V133" s="656"/>
      <c r="W133" s="656"/>
      <c r="X133" s="656"/>
      <c r="Y133" s="656"/>
      <c r="Z133" s="656"/>
      <c r="AA133" s="656"/>
    </row>
    <row r="134" spans="2:27">
      <c r="B134" s="659" t="s">
        <v>2521</v>
      </c>
      <c r="C134" s="659" t="s">
        <v>1155</v>
      </c>
      <c r="D134" s="132">
        <v>20</v>
      </c>
      <c r="E134" s="132"/>
      <c r="F134" s="656"/>
      <c r="G134" s="664" t="s">
        <v>2521</v>
      </c>
      <c r="H134" s="738">
        <v>468</v>
      </c>
      <c r="I134" s="739" t="s">
        <v>1155</v>
      </c>
      <c r="J134" s="734">
        <v>20</v>
      </c>
      <c r="K134" s="734">
        <f t="shared" si="4"/>
        <v>20</v>
      </c>
      <c r="L134" s="132"/>
      <c r="M134" s="745">
        <v>468</v>
      </c>
      <c r="N134" s="739" t="s">
        <v>1155</v>
      </c>
      <c r="O134" s="734">
        <f t="shared" si="5"/>
        <v>20</v>
      </c>
      <c r="P134" s="655"/>
      <c r="Q134" s="655"/>
      <c r="R134" s="656"/>
      <c r="S134" s="656"/>
      <c r="T134" s="656"/>
      <c r="U134" s="656"/>
      <c r="V134" s="656"/>
      <c r="W134" s="656"/>
      <c r="X134" s="656"/>
      <c r="Y134" s="656"/>
      <c r="Z134" s="656"/>
      <c r="AA134" s="656"/>
    </row>
    <row r="135" spans="2:27">
      <c r="B135" s="659" t="s">
        <v>2524</v>
      </c>
      <c r="C135" s="659" t="s">
        <v>1191</v>
      </c>
      <c r="D135" s="132">
        <v>18</v>
      </c>
      <c r="E135" s="132"/>
      <c r="F135" s="656"/>
      <c r="G135" s="664" t="s">
        <v>2524</v>
      </c>
      <c r="H135" s="738">
        <v>469</v>
      </c>
      <c r="I135" s="739" t="s">
        <v>1191</v>
      </c>
      <c r="J135" s="734">
        <v>18</v>
      </c>
      <c r="K135" s="734">
        <f t="shared" si="4"/>
        <v>18</v>
      </c>
      <c r="L135" s="132"/>
      <c r="M135" s="745">
        <v>469</v>
      </c>
      <c r="N135" s="739" t="s">
        <v>1191</v>
      </c>
      <c r="O135" s="734">
        <f t="shared" si="5"/>
        <v>18</v>
      </c>
      <c r="P135" s="655"/>
      <c r="Q135" s="655"/>
      <c r="R135" s="656"/>
      <c r="S135" s="656"/>
      <c r="T135" s="656"/>
      <c r="U135" s="656"/>
      <c r="V135" s="656"/>
      <c r="W135" s="656"/>
      <c r="X135" s="656"/>
      <c r="Y135" s="656"/>
      <c r="Z135" s="656"/>
      <c r="AA135" s="656"/>
    </row>
    <row r="136" spans="2:27">
      <c r="B136" s="659" t="s">
        <v>2530</v>
      </c>
      <c r="C136" s="659" t="s">
        <v>434</v>
      </c>
      <c r="D136" s="132">
        <v>24</v>
      </c>
      <c r="E136" s="132"/>
      <c r="F136" s="656"/>
      <c r="G136" s="664" t="s">
        <v>2530</v>
      </c>
      <c r="H136" s="738">
        <v>470</v>
      </c>
      <c r="I136" s="739" t="s">
        <v>434</v>
      </c>
      <c r="J136" s="734">
        <v>24</v>
      </c>
      <c r="K136" s="734">
        <f t="shared" si="4"/>
        <v>24</v>
      </c>
      <c r="L136" s="132"/>
      <c r="M136" s="745">
        <v>470</v>
      </c>
      <c r="N136" s="739" t="s">
        <v>434</v>
      </c>
      <c r="O136" s="734">
        <f t="shared" si="5"/>
        <v>24</v>
      </c>
      <c r="P136" s="655"/>
      <c r="Q136" s="655"/>
      <c r="R136" s="656"/>
      <c r="S136" s="656"/>
      <c r="T136" s="656"/>
      <c r="U136" s="656"/>
      <c r="V136" s="656"/>
      <c r="W136" s="656"/>
      <c r="X136" s="656"/>
      <c r="Y136" s="656"/>
      <c r="Z136" s="656"/>
      <c r="AA136" s="656"/>
    </row>
    <row r="137" spans="2:27">
      <c r="B137" s="659" t="s">
        <v>2533</v>
      </c>
      <c r="C137" s="659" t="s">
        <v>1158</v>
      </c>
      <c r="D137" s="132">
        <v>16</v>
      </c>
      <c r="E137" s="132"/>
      <c r="F137" s="656"/>
      <c r="G137" s="664" t="s">
        <v>2533</v>
      </c>
      <c r="H137" s="738">
        <v>472</v>
      </c>
      <c r="I137" s="739" t="s">
        <v>1158</v>
      </c>
      <c r="J137" s="734">
        <v>16</v>
      </c>
      <c r="K137" s="734">
        <f t="shared" si="4"/>
        <v>16</v>
      </c>
      <c r="L137" s="132"/>
      <c r="M137" s="745">
        <v>472</v>
      </c>
      <c r="N137" s="739" t="s">
        <v>1158</v>
      </c>
      <c r="O137" s="734">
        <f t="shared" si="5"/>
        <v>16</v>
      </c>
      <c r="P137" s="655"/>
      <c r="Q137" s="655"/>
      <c r="R137" s="656"/>
      <c r="S137" s="656"/>
      <c r="T137" s="656"/>
      <c r="U137" s="656"/>
      <c r="V137" s="656"/>
      <c r="W137" s="656"/>
      <c r="X137" s="656"/>
      <c r="Y137" s="656"/>
      <c r="Z137" s="656"/>
      <c r="AA137" s="656"/>
    </row>
    <row r="138" spans="2:27">
      <c r="B138" s="659" t="s">
        <v>2536</v>
      </c>
      <c r="C138" s="659" t="s">
        <v>1160</v>
      </c>
      <c r="D138" s="132">
        <v>39</v>
      </c>
      <c r="E138" s="132"/>
      <c r="F138" s="656"/>
      <c r="G138" s="664" t="s">
        <v>2536</v>
      </c>
      <c r="H138" s="738">
        <v>473</v>
      </c>
      <c r="I138" s="739" t="s">
        <v>1160</v>
      </c>
      <c r="J138" s="734">
        <v>39</v>
      </c>
      <c r="K138" s="734">
        <f t="shared" si="4"/>
        <v>39</v>
      </c>
      <c r="L138" s="132"/>
      <c r="M138" s="745">
        <v>473</v>
      </c>
      <c r="N138" s="739" t="s">
        <v>1160</v>
      </c>
      <c r="O138" s="734">
        <f t="shared" si="5"/>
        <v>39</v>
      </c>
      <c r="P138" s="655"/>
      <c r="Q138" s="655"/>
      <c r="R138" s="656"/>
      <c r="S138" s="656"/>
      <c r="T138" s="656"/>
      <c r="U138" s="656"/>
      <c r="V138" s="656"/>
      <c r="W138" s="656"/>
      <c r="X138" s="656"/>
      <c r="Y138" s="656"/>
      <c r="Z138" s="656"/>
      <c r="AA138" s="656"/>
    </row>
    <row r="139" spans="2:27">
      <c r="B139" s="659" t="s">
        <v>2538</v>
      </c>
      <c r="C139" s="659" t="s">
        <v>1162</v>
      </c>
      <c r="D139" s="132">
        <v>28</v>
      </c>
      <c r="E139" s="132"/>
      <c r="F139" s="656"/>
      <c r="G139" s="664" t="s">
        <v>2538</v>
      </c>
      <c r="H139" s="738">
        <v>474</v>
      </c>
      <c r="I139" s="739" t="s">
        <v>1162</v>
      </c>
      <c r="J139" s="734">
        <v>28</v>
      </c>
      <c r="K139" s="734">
        <f t="shared" si="4"/>
        <v>28</v>
      </c>
      <c r="L139" s="132"/>
      <c r="M139" s="745">
        <v>474</v>
      </c>
      <c r="N139" s="739" t="s">
        <v>1162</v>
      </c>
      <c r="O139" s="734">
        <f t="shared" si="5"/>
        <v>28</v>
      </c>
      <c r="P139" s="655"/>
      <c r="Q139" s="655"/>
      <c r="R139" s="656"/>
      <c r="S139" s="656"/>
      <c r="T139" s="656"/>
      <c r="U139" s="656"/>
      <c r="V139" s="656"/>
      <c r="W139" s="656"/>
      <c r="X139" s="656"/>
      <c r="Y139" s="656"/>
      <c r="Z139" s="656"/>
      <c r="AA139" s="656"/>
    </row>
    <row r="140" spans="2:27">
      <c r="B140" s="659" t="s">
        <v>2540</v>
      </c>
      <c r="C140" s="659" t="s">
        <v>438</v>
      </c>
      <c r="D140" s="132">
        <v>46</v>
      </c>
      <c r="E140" s="132"/>
      <c r="F140" s="656"/>
      <c r="G140" s="664" t="s">
        <v>2540</v>
      </c>
      <c r="H140" s="738">
        <v>475</v>
      </c>
      <c r="I140" s="739" t="s">
        <v>438</v>
      </c>
      <c r="J140" s="734">
        <v>46</v>
      </c>
      <c r="K140" s="734">
        <f t="shared" si="4"/>
        <v>46</v>
      </c>
      <c r="L140" s="132"/>
      <c r="M140" s="745">
        <v>475</v>
      </c>
      <c r="N140" s="739" t="s">
        <v>438</v>
      </c>
      <c r="O140" s="734">
        <f t="shared" si="5"/>
        <v>46</v>
      </c>
      <c r="P140" s="655"/>
      <c r="Q140" s="655"/>
      <c r="R140" s="656"/>
      <c r="S140" s="656"/>
      <c r="T140" s="656"/>
      <c r="U140" s="656"/>
      <c r="V140" s="656"/>
      <c r="W140" s="656"/>
      <c r="X140" s="656"/>
      <c r="Y140" s="656"/>
      <c r="Z140" s="656"/>
      <c r="AA140" s="656"/>
    </row>
    <row r="141" spans="2:27">
      <c r="B141" s="659" t="s">
        <v>2542</v>
      </c>
      <c r="C141" s="657" t="s">
        <v>2698</v>
      </c>
      <c r="D141" s="132">
        <v>124</v>
      </c>
      <c r="E141" s="132"/>
      <c r="F141" s="656"/>
      <c r="G141" s="664" t="s">
        <v>2542</v>
      </c>
      <c r="H141" s="738">
        <v>476</v>
      </c>
      <c r="I141" s="736" t="s">
        <v>2698</v>
      </c>
      <c r="J141" s="734">
        <v>124</v>
      </c>
      <c r="K141" s="734">
        <f t="shared" si="4"/>
        <v>124</v>
      </c>
      <c r="L141" s="132"/>
      <c r="M141" s="745">
        <v>476</v>
      </c>
      <c r="N141" s="736" t="s">
        <v>2698</v>
      </c>
      <c r="O141" s="734">
        <f t="shared" si="5"/>
        <v>124</v>
      </c>
      <c r="P141" s="655"/>
      <c r="Q141" s="655"/>
      <c r="R141" s="656"/>
      <c r="S141" s="656"/>
      <c r="T141" s="656"/>
      <c r="U141" s="656"/>
      <c r="V141" s="656"/>
      <c r="W141" s="656"/>
      <c r="X141" s="656"/>
      <c r="Y141" s="656"/>
      <c r="Z141" s="656"/>
      <c r="AA141" s="656"/>
    </row>
    <row r="142" spans="2:27">
      <c r="B142" s="659" t="s">
        <v>2544</v>
      </c>
      <c r="C142" s="659" t="s">
        <v>440</v>
      </c>
      <c r="D142" s="132">
        <v>40</v>
      </c>
      <c r="E142" s="132"/>
      <c r="F142" s="656"/>
      <c r="G142" s="664" t="s">
        <v>2544</v>
      </c>
      <c r="H142" s="738">
        <v>477</v>
      </c>
      <c r="I142" s="739" t="s">
        <v>440</v>
      </c>
      <c r="J142" s="734">
        <v>40</v>
      </c>
      <c r="K142" s="734">
        <f t="shared" si="4"/>
        <v>40</v>
      </c>
      <c r="L142" s="132"/>
      <c r="M142" s="745">
        <v>477</v>
      </c>
      <c r="N142" s="739" t="s">
        <v>440</v>
      </c>
      <c r="O142" s="734">
        <f t="shared" si="5"/>
        <v>40</v>
      </c>
      <c r="P142" s="655"/>
      <c r="Q142" s="655"/>
      <c r="R142" s="656"/>
      <c r="S142" s="656"/>
      <c r="T142" s="656"/>
      <c r="U142" s="656"/>
      <c r="V142" s="656"/>
      <c r="W142" s="656"/>
      <c r="X142" s="656"/>
      <c r="Y142" s="656"/>
      <c r="Z142" s="656"/>
      <c r="AA142" s="656"/>
    </row>
    <row r="143" spans="2:27">
      <c r="B143" s="659" t="s">
        <v>2547</v>
      </c>
      <c r="C143" s="659" t="s">
        <v>1167</v>
      </c>
      <c r="D143" s="132">
        <v>18</v>
      </c>
      <c r="E143" s="132"/>
      <c r="F143" s="656"/>
      <c r="G143" s="664" t="s">
        <v>2547</v>
      </c>
      <c r="H143" s="738">
        <v>478</v>
      </c>
      <c r="I143" s="739" t="s">
        <v>1167</v>
      </c>
      <c r="J143" s="734">
        <v>18</v>
      </c>
      <c r="K143" s="734">
        <f t="shared" si="4"/>
        <v>18</v>
      </c>
      <c r="L143" s="132"/>
      <c r="M143" s="745">
        <v>478</v>
      </c>
      <c r="N143" s="739" t="s">
        <v>1167</v>
      </c>
      <c r="O143" s="734">
        <f t="shared" si="5"/>
        <v>18</v>
      </c>
      <c r="P143" s="655"/>
      <c r="Q143" s="655"/>
      <c r="R143" s="656"/>
      <c r="S143" s="656"/>
      <c r="T143" s="656"/>
      <c r="U143" s="656"/>
      <c r="V143" s="656"/>
      <c r="W143" s="656"/>
      <c r="X143" s="656"/>
      <c r="Y143" s="656"/>
      <c r="Z143" s="656"/>
      <c r="AA143" s="656"/>
    </row>
    <row r="144" spans="2:27">
      <c r="B144" s="659" t="s">
        <v>2549</v>
      </c>
      <c r="C144" s="659" t="s">
        <v>1169</v>
      </c>
      <c r="D144" s="132">
        <v>23</v>
      </c>
      <c r="E144" s="132"/>
      <c r="F144" s="656"/>
      <c r="G144" s="664" t="s">
        <v>2549</v>
      </c>
      <c r="H144" s="738">
        <v>479</v>
      </c>
      <c r="I144" s="739" t="s">
        <v>1169</v>
      </c>
      <c r="J144" s="734">
        <v>23</v>
      </c>
      <c r="K144" s="734">
        <f t="shared" si="4"/>
        <v>23</v>
      </c>
      <c r="L144" s="132"/>
      <c r="M144" s="745">
        <v>479</v>
      </c>
      <c r="N144" s="739" t="s">
        <v>1169</v>
      </c>
      <c r="O144" s="734">
        <f t="shared" si="5"/>
        <v>23</v>
      </c>
      <c r="P144" s="655"/>
      <c r="Q144" s="655"/>
      <c r="R144" s="656"/>
      <c r="S144" s="656"/>
      <c r="T144" s="656"/>
      <c r="U144" s="656"/>
      <c r="V144" s="656"/>
      <c r="W144" s="656"/>
      <c r="X144" s="656"/>
      <c r="Y144" s="656"/>
      <c r="Z144" s="656"/>
      <c r="AA144" s="656"/>
    </row>
    <row r="145" spans="2:27">
      <c r="B145" s="659" t="s">
        <v>2551</v>
      </c>
      <c r="C145" s="659" t="s">
        <v>1192</v>
      </c>
      <c r="D145" s="660" t="s">
        <v>1186</v>
      </c>
      <c r="E145" s="660"/>
      <c r="F145" s="656"/>
      <c r="G145" s="664" t="s">
        <v>2551</v>
      </c>
      <c r="H145" s="738">
        <v>480</v>
      </c>
      <c r="I145" s="739" t="s">
        <v>1192</v>
      </c>
      <c r="J145" s="740" t="s">
        <v>1186</v>
      </c>
      <c r="K145" s="734">
        <f t="shared" si="4"/>
        <v>5</v>
      </c>
      <c r="L145" s="660"/>
      <c r="M145" s="745">
        <v>480</v>
      </c>
      <c r="N145" s="739" t="s">
        <v>1192</v>
      </c>
      <c r="O145" s="734">
        <f t="shared" si="5"/>
        <v>5</v>
      </c>
      <c r="P145" s="655"/>
      <c r="Q145" s="655"/>
      <c r="R145" s="656"/>
      <c r="S145" s="656"/>
      <c r="T145" s="656"/>
      <c r="U145" s="656"/>
      <c r="V145" s="656"/>
      <c r="W145" s="656"/>
      <c r="X145" s="656"/>
      <c r="Y145" s="656"/>
      <c r="Z145" s="656"/>
      <c r="AA145" s="656"/>
    </row>
    <row r="146" spans="2:27">
      <c r="B146" s="659" t="s">
        <v>2554</v>
      </c>
      <c r="C146" s="659" t="s">
        <v>1170</v>
      </c>
      <c r="D146" s="132">
        <v>44</v>
      </c>
      <c r="E146" s="132"/>
      <c r="F146" s="656"/>
      <c r="G146" s="664" t="s">
        <v>2554</v>
      </c>
      <c r="H146" s="738">
        <v>481</v>
      </c>
      <c r="I146" s="739" t="s">
        <v>1170</v>
      </c>
      <c r="J146" s="734">
        <v>44</v>
      </c>
      <c r="K146" s="734">
        <f t="shared" si="4"/>
        <v>44</v>
      </c>
      <c r="L146" s="132"/>
      <c r="M146" s="745">
        <v>481</v>
      </c>
      <c r="N146" s="739" t="s">
        <v>1170</v>
      </c>
      <c r="O146" s="734">
        <f t="shared" si="5"/>
        <v>44</v>
      </c>
      <c r="P146" s="655"/>
      <c r="Q146" s="655"/>
      <c r="R146" s="656"/>
      <c r="S146" s="656"/>
      <c r="T146" s="656"/>
      <c r="U146" s="656"/>
      <c r="V146" s="656"/>
      <c r="W146" s="656"/>
      <c r="X146" s="656"/>
      <c r="Y146" s="656"/>
      <c r="Z146" s="656"/>
      <c r="AA146" s="656"/>
    </row>
    <row r="147" spans="2:27">
      <c r="B147" s="659" t="s">
        <v>2556</v>
      </c>
      <c r="C147" s="659" t="s">
        <v>1172</v>
      </c>
      <c r="D147" s="132">
        <v>12</v>
      </c>
      <c r="E147" s="132"/>
      <c r="F147" s="656"/>
      <c r="G147" s="664" t="s">
        <v>2556</v>
      </c>
      <c r="H147" s="738">
        <v>482</v>
      </c>
      <c r="I147" s="739" t="s">
        <v>1172</v>
      </c>
      <c r="J147" s="734">
        <v>12</v>
      </c>
      <c r="K147" s="734">
        <f t="shared" si="4"/>
        <v>12</v>
      </c>
      <c r="L147" s="132"/>
      <c r="M147" s="745">
        <v>482</v>
      </c>
      <c r="N147" s="739" t="s">
        <v>1172</v>
      </c>
      <c r="O147" s="734">
        <f t="shared" si="5"/>
        <v>12</v>
      </c>
      <c r="P147" s="655"/>
      <c r="Q147" s="655"/>
      <c r="R147" s="656"/>
      <c r="S147" s="656"/>
      <c r="T147" s="656"/>
      <c r="U147" s="656"/>
      <c r="V147" s="656"/>
      <c r="W147" s="656"/>
      <c r="X147" s="656"/>
      <c r="Y147" s="656"/>
      <c r="Z147" s="656"/>
      <c r="AA147" s="656"/>
    </row>
    <row r="148" spans="2:27">
      <c r="B148" s="659" t="s">
        <v>2558</v>
      </c>
      <c r="C148" s="659" t="s">
        <v>1174</v>
      </c>
      <c r="D148" s="132">
        <v>26</v>
      </c>
      <c r="E148" s="132"/>
      <c r="F148" s="656"/>
      <c r="G148" s="664" t="s">
        <v>2558</v>
      </c>
      <c r="H148" s="738">
        <v>483</v>
      </c>
      <c r="I148" s="739" t="s">
        <v>1174</v>
      </c>
      <c r="J148" s="734">
        <v>26</v>
      </c>
      <c r="K148" s="734">
        <f t="shared" si="4"/>
        <v>26</v>
      </c>
      <c r="L148" s="132"/>
      <c r="M148" s="745">
        <v>483</v>
      </c>
      <c r="N148" s="739" t="s">
        <v>1174</v>
      </c>
      <c r="O148" s="734">
        <f t="shared" si="5"/>
        <v>26</v>
      </c>
      <c r="P148" s="655"/>
      <c r="Q148" s="655"/>
      <c r="R148" s="656"/>
      <c r="S148" s="656"/>
      <c r="T148" s="656"/>
      <c r="U148" s="656"/>
      <c r="V148" s="656"/>
      <c r="W148" s="656"/>
      <c r="X148" s="656"/>
      <c r="Y148" s="656"/>
      <c r="Z148" s="656"/>
      <c r="AA148" s="656"/>
    </row>
    <row r="149" spans="2:27">
      <c r="B149" s="659" t="s">
        <v>1245</v>
      </c>
      <c r="C149" s="659" t="s">
        <v>1193</v>
      </c>
      <c r="D149" s="132">
        <v>10</v>
      </c>
      <c r="E149" s="132"/>
      <c r="F149" s="656"/>
      <c r="G149" s="664" t="s">
        <v>1245</v>
      </c>
      <c r="H149" s="738">
        <v>485</v>
      </c>
      <c r="I149" s="739" t="s">
        <v>1193</v>
      </c>
      <c r="J149" s="734">
        <v>10</v>
      </c>
      <c r="K149" s="734">
        <f t="shared" si="4"/>
        <v>10</v>
      </c>
      <c r="L149" s="132"/>
      <c r="M149" s="745">
        <v>485</v>
      </c>
      <c r="N149" s="739" t="s">
        <v>1193</v>
      </c>
      <c r="O149" s="734">
        <f t="shared" si="5"/>
        <v>10</v>
      </c>
      <c r="P149" s="655"/>
      <c r="Q149" s="655"/>
      <c r="R149" s="656"/>
      <c r="S149" s="656"/>
      <c r="T149" s="656"/>
      <c r="U149" s="656"/>
      <c r="V149" s="656"/>
      <c r="W149" s="656"/>
      <c r="X149" s="656"/>
      <c r="Y149" s="656"/>
      <c r="Z149" s="656"/>
      <c r="AA149" s="656"/>
    </row>
    <row r="150" spans="2:27">
      <c r="B150" s="659" t="s">
        <v>2562</v>
      </c>
      <c r="C150" s="659" t="s">
        <v>1194</v>
      </c>
      <c r="D150" s="660" t="s">
        <v>1186</v>
      </c>
      <c r="E150" s="660"/>
      <c r="F150" s="656"/>
      <c r="G150" s="664" t="s">
        <v>2562</v>
      </c>
      <c r="H150" s="738">
        <v>486</v>
      </c>
      <c r="I150" s="739" t="s">
        <v>1194</v>
      </c>
      <c r="J150" s="740" t="s">
        <v>1186</v>
      </c>
      <c r="K150" s="734">
        <f t="shared" si="4"/>
        <v>5</v>
      </c>
      <c r="L150" s="660"/>
      <c r="M150" s="745">
        <v>486</v>
      </c>
      <c r="N150" s="739" t="s">
        <v>1194</v>
      </c>
      <c r="O150" s="734">
        <f t="shared" si="5"/>
        <v>5</v>
      </c>
      <c r="P150" s="655"/>
      <c r="Q150" s="655"/>
      <c r="R150" s="656"/>
      <c r="S150" s="656"/>
      <c r="T150" s="656"/>
      <c r="U150" s="656"/>
      <c r="V150" s="656"/>
      <c r="W150" s="656"/>
      <c r="X150" s="656"/>
      <c r="Y150" s="656"/>
      <c r="Z150" s="656"/>
      <c r="AA150" s="656"/>
    </row>
    <row r="151" spans="2:27">
      <c r="B151" s="659" t="s">
        <v>2568</v>
      </c>
      <c r="C151" s="659" t="s">
        <v>1176</v>
      </c>
      <c r="D151" s="132">
        <v>30</v>
      </c>
      <c r="E151" s="132"/>
      <c r="F151" s="656"/>
      <c r="G151" s="664" t="s">
        <v>2568</v>
      </c>
      <c r="H151" s="738">
        <v>487</v>
      </c>
      <c r="I151" s="739" t="s">
        <v>1176</v>
      </c>
      <c r="J151" s="734">
        <v>30</v>
      </c>
      <c r="K151" s="734">
        <f t="shared" si="4"/>
        <v>30</v>
      </c>
      <c r="L151" s="132"/>
      <c r="M151" s="745">
        <v>487</v>
      </c>
      <c r="N151" s="739" t="s">
        <v>1176</v>
      </c>
      <c r="O151" s="734">
        <f t="shared" si="5"/>
        <v>30</v>
      </c>
      <c r="P151" s="655"/>
      <c r="Q151" s="655"/>
      <c r="R151" s="656"/>
      <c r="S151" s="656"/>
      <c r="T151" s="656"/>
      <c r="U151" s="656"/>
      <c r="V151" s="656"/>
      <c r="W151" s="656"/>
      <c r="X151" s="656"/>
      <c r="Y151" s="656"/>
      <c r="Z151" s="656"/>
      <c r="AA151" s="656"/>
    </row>
    <row r="152" spans="2:27">
      <c r="B152" s="659" t="s">
        <v>2571</v>
      </c>
      <c r="C152" s="659" t="s">
        <v>2699</v>
      </c>
      <c r="D152" s="660" t="s">
        <v>1186</v>
      </c>
      <c r="E152" s="660"/>
      <c r="F152" s="656"/>
      <c r="G152" s="664" t="s">
        <v>2571</v>
      </c>
      <c r="H152" s="738">
        <v>488</v>
      </c>
      <c r="I152" s="739" t="s">
        <v>2699</v>
      </c>
      <c r="J152" s="740" t="s">
        <v>1186</v>
      </c>
      <c r="K152" s="734">
        <f t="shared" si="4"/>
        <v>5</v>
      </c>
      <c r="L152" s="660"/>
      <c r="M152" s="745">
        <v>488</v>
      </c>
      <c r="N152" s="739" t="s">
        <v>2699</v>
      </c>
      <c r="O152" s="734">
        <f t="shared" si="5"/>
        <v>5</v>
      </c>
      <c r="P152" s="655"/>
      <c r="Q152" s="655"/>
      <c r="R152" s="656"/>
      <c r="S152" s="656"/>
      <c r="T152" s="656"/>
      <c r="U152" s="656"/>
      <c r="V152" s="656"/>
      <c r="W152" s="656"/>
      <c r="X152" s="656"/>
      <c r="Y152" s="656"/>
      <c r="Z152" s="656"/>
      <c r="AA152" s="656"/>
    </row>
    <row r="153" spans="2:27">
      <c r="B153" s="659" t="s">
        <v>2574</v>
      </c>
      <c r="C153" s="659" t="s">
        <v>1180</v>
      </c>
      <c r="D153" s="660" t="s">
        <v>1186</v>
      </c>
      <c r="E153" s="660"/>
      <c r="F153" s="656"/>
      <c r="G153" s="664" t="s">
        <v>2574</v>
      </c>
      <c r="H153" s="738">
        <v>489</v>
      </c>
      <c r="I153" s="739" t="s">
        <v>1180</v>
      </c>
      <c r="J153" s="740" t="s">
        <v>1186</v>
      </c>
      <c r="K153" s="734">
        <f t="shared" si="4"/>
        <v>5</v>
      </c>
      <c r="L153" s="660"/>
      <c r="M153" s="745">
        <v>489</v>
      </c>
      <c r="N153" s="739" t="s">
        <v>1180</v>
      </c>
      <c r="O153" s="734">
        <f t="shared" si="5"/>
        <v>5</v>
      </c>
      <c r="P153" s="655"/>
      <c r="Q153" s="655"/>
      <c r="R153" s="656"/>
      <c r="S153" s="656"/>
      <c r="T153" s="656"/>
      <c r="U153" s="656"/>
      <c r="V153" s="656"/>
      <c r="W153" s="656"/>
      <c r="X153" s="656"/>
      <c r="Y153" s="656"/>
      <c r="Z153" s="656"/>
      <c r="AA153" s="656"/>
    </row>
    <row r="154" spans="2:27">
      <c r="B154" s="659" t="s">
        <v>2576</v>
      </c>
      <c r="C154" s="659" t="s">
        <v>1181</v>
      </c>
      <c r="D154" s="132">
        <v>51</v>
      </c>
      <c r="E154" s="132"/>
      <c r="F154" s="656"/>
      <c r="G154" s="664" t="s">
        <v>2576</v>
      </c>
      <c r="H154" s="738">
        <v>490</v>
      </c>
      <c r="I154" s="739" t="s">
        <v>1181</v>
      </c>
      <c r="J154" s="734">
        <v>51</v>
      </c>
      <c r="K154" s="734">
        <f t="shared" si="4"/>
        <v>51</v>
      </c>
      <c r="L154" s="132"/>
      <c r="M154" s="745">
        <v>490</v>
      </c>
      <c r="N154" s="739" t="s">
        <v>1181</v>
      </c>
      <c r="O154" s="734">
        <f t="shared" si="5"/>
        <v>51</v>
      </c>
      <c r="P154" s="655"/>
      <c r="Q154" s="655"/>
      <c r="R154" s="656"/>
      <c r="S154" s="656"/>
      <c r="T154" s="656"/>
      <c r="U154" s="656"/>
      <c r="V154" s="656"/>
      <c r="W154" s="656"/>
      <c r="X154" s="656"/>
      <c r="Y154" s="656"/>
      <c r="Z154" s="656"/>
      <c r="AA154" s="656"/>
    </row>
    <row r="155" spans="2:27">
      <c r="B155" s="659" t="s">
        <v>2580</v>
      </c>
      <c r="C155" s="659" t="s">
        <v>1195</v>
      </c>
      <c r="D155" s="660" t="s">
        <v>1186</v>
      </c>
      <c r="E155" s="660"/>
      <c r="F155" s="656"/>
      <c r="G155" s="664" t="s">
        <v>2580</v>
      </c>
      <c r="H155" s="738">
        <v>491</v>
      </c>
      <c r="I155" s="739" t="s">
        <v>1195</v>
      </c>
      <c r="J155" s="740" t="s">
        <v>1186</v>
      </c>
      <c r="K155" s="734">
        <f t="shared" si="4"/>
        <v>5</v>
      </c>
      <c r="L155" s="660"/>
      <c r="M155" s="745">
        <v>491</v>
      </c>
      <c r="N155" s="739" t="s">
        <v>1195</v>
      </c>
      <c r="O155" s="734">
        <f t="shared" si="5"/>
        <v>5</v>
      </c>
      <c r="P155" s="655"/>
      <c r="Q155" s="655"/>
      <c r="R155" s="656"/>
      <c r="S155" s="656"/>
      <c r="T155" s="656"/>
      <c r="U155" s="656"/>
      <c r="V155" s="656"/>
      <c r="W155" s="656"/>
      <c r="X155" s="656"/>
      <c r="Y155" s="656"/>
      <c r="Z155" s="656"/>
      <c r="AA155" s="656"/>
    </row>
    <row r="156" spans="2:27">
      <c r="B156" s="659" t="s">
        <v>2584</v>
      </c>
      <c r="C156" s="659" t="s">
        <v>455</v>
      </c>
      <c r="D156" s="132">
        <v>48</v>
      </c>
      <c r="E156" s="132"/>
      <c r="F156" s="656"/>
      <c r="G156" s="665">
        <v>1</v>
      </c>
      <c r="H156" s="738">
        <v>492</v>
      </c>
      <c r="I156" s="739" t="s">
        <v>455</v>
      </c>
      <c r="J156" s="734">
        <v>48</v>
      </c>
      <c r="K156" s="734">
        <f t="shared" si="4"/>
        <v>48</v>
      </c>
      <c r="L156" s="132"/>
      <c r="M156" s="665">
        <v>1</v>
      </c>
      <c r="N156" s="739" t="s">
        <v>455</v>
      </c>
      <c r="O156" s="734">
        <f t="shared" si="5"/>
        <v>2953</v>
      </c>
      <c r="P156" s="655"/>
      <c r="Q156" s="655"/>
      <c r="R156" s="656"/>
      <c r="S156" s="656"/>
      <c r="T156" s="656"/>
      <c r="U156" s="656"/>
      <c r="V156" s="656"/>
      <c r="W156" s="656"/>
      <c r="X156" s="656"/>
      <c r="Y156" s="656"/>
      <c r="Z156" s="656"/>
      <c r="AA156" s="656"/>
    </row>
    <row r="157" spans="2:27">
      <c r="B157" s="659" t="s">
        <v>2587</v>
      </c>
      <c r="C157" s="657" t="s">
        <v>2700</v>
      </c>
      <c r="D157" s="132">
        <v>37</v>
      </c>
      <c r="E157" s="132"/>
      <c r="F157" s="656"/>
      <c r="G157" s="664">
        <v>493</v>
      </c>
      <c r="H157" s="738">
        <v>493</v>
      </c>
      <c r="I157" s="736" t="s">
        <v>2700</v>
      </c>
      <c r="J157" s="734">
        <v>37</v>
      </c>
      <c r="K157" s="734">
        <f t="shared" si="4"/>
        <v>37</v>
      </c>
      <c r="L157" s="132"/>
      <c r="M157" s="665">
        <v>493</v>
      </c>
      <c r="N157" s="736" t="s">
        <v>2700</v>
      </c>
      <c r="O157" s="734">
        <f t="shared" si="5"/>
        <v>37</v>
      </c>
      <c r="P157" s="655"/>
      <c r="Q157" s="655"/>
      <c r="R157" s="656"/>
      <c r="S157" s="656"/>
      <c r="T157" s="656"/>
      <c r="U157" s="656"/>
      <c r="V157" s="656"/>
      <c r="W157" s="656"/>
      <c r="X157" s="656"/>
      <c r="Y157" s="656"/>
      <c r="Z157" s="656"/>
      <c r="AA157" s="656"/>
    </row>
    <row r="158" spans="2:27">
      <c r="B158" s="659" t="s">
        <v>2591</v>
      </c>
      <c r="C158" s="659" t="s">
        <v>457</v>
      </c>
      <c r="D158" s="132">
        <v>43</v>
      </c>
      <c r="E158" s="132"/>
      <c r="F158" s="656"/>
      <c r="G158" s="664">
        <v>494</v>
      </c>
      <c r="H158" s="738">
        <v>494</v>
      </c>
      <c r="I158" s="739" t="s">
        <v>457</v>
      </c>
      <c r="J158" s="734">
        <v>43</v>
      </c>
      <c r="K158" s="734">
        <f t="shared" si="4"/>
        <v>43</v>
      </c>
      <c r="L158" s="132"/>
      <c r="M158" s="665">
        <v>494</v>
      </c>
      <c r="N158" s="739" t="s">
        <v>457</v>
      </c>
      <c r="O158" s="734">
        <f t="shared" si="5"/>
        <v>43</v>
      </c>
      <c r="P158" s="655"/>
      <c r="Q158" s="655"/>
      <c r="R158" s="656"/>
      <c r="S158" s="656"/>
      <c r="T158" s="656"/>
      <c r="U158" s="656"/>
      <c r="V158" s="656"/>
      <c r="W158" s="656"/>
      <c r="X158" s="656"/>
      <c r="Y158" s="656"/>
      <c r="Z158" s="656"/>
      <c r="AA158" s="656"/>
    </row>
    <row r="159" spans="2:27">
      <c r="B159" s="659" t="s">
        <v>2593</v>
      </c>
      <c r="C159" s="659" t="s">
        <v>1197</v>
      </c>
      <c r="D159" s="132">
        <v>37</v>
      </c>
      <c r="E159" s="132"/>
      <c r="F159" s="656"/>
      <c r="G159" s="664">
        <v>555</v>
      </c>
      <c r="H159" s="738">
        <v>555</v>
      </c>
      <c r="I159" s="739" t="s">
        <v>1197</v>
      </c>
      <c r="J159" s="734">
        <v>37</v>
      </c>
      <c r="K159" s="734">
        <f t="shared" si="4"/>
        <v>37</v>
      </c>
      <c r="L159" s="132"/>
      <c r="M159" s="665">
        <v>555</v>
      </c>
      <c r="N159" s="739" t="s">
        <v>1197</v>
      </c>
      <c r="O159" s="734">
        <f t="shared" si="5"/>
        <v>37</v>
      </c>
      <c r="P159" s="655"/>
      <c r="Q159" s="655"/>
      <c r="R159" s="656"/>
      <c r="S159" s="656"/>
      <c r="T159" s="656"/>
      <c r="U159" s="656"/>
      <c r="V159" s="656"/>
      <c r="W159" s="656"/>
      <c r="X159" s="656"/>
      <c r="Y159" s="656"/>
      <c r="Z159" s="656"/>
      <c r="AA159" s="656"/>
    </row>
    <row r="160" spans="2:27">
      <c r="B160" s="659" t="s">
        <v>2596</v>
      </c>
      <c r="C160" s="659" t="s">
        <v>459</v>
      </c>
      <c r="D160" s="132">
        <v>15</v>
      </c>
      <c r="E160" s="132"/>
      <c r="F160" s="656"/>
      <c r="G160" s="665">
        <v>139</v>
      </c>
      <c r="H160" s="738">
        <v>559</v>
      </c>
      <c r="I160" s="739" t="s">
        <v>459</v>
      </c>
      <c r="J160" s="734">
        <v>15</v>
      </c>
      <c r="K160" s="734">
        <f t="shared" si="4"/>
        <v>15</v>
      </c>
      <c r="L160" s="132"/>
      <c r="M160" s="665">
        <v>139</v>
      </c>
      <c r="N160" s="739" t="s">
        <v>459</v>
      </c>
      <c r="O160" s="734">
        <f t="shared" si="5"/>
        <v>785</v>
      </c>
      <c r="P160" s="655"/>
      <c r="Q160" s="655"/>
      <c r="R160" s="656"/>
      <c r="S160" s="656"/>
      <c r="T160" s="656"/>
      <c r="U160" s="656"/>
      <c r="V160" s="656"/>
      <c r="W160" s="656"/>
      <c r="X160" s="656"/>
      <c r="Y160" s="656"/>
      <c r="Z160" s="656"/>
      <c r="AA160" s="656"/>
    </row>
    <row r="161" spans="2:27">
      <c r="B161" s="659" t="s">
        <v>2598</v>
      </c>
      <c r="C161" s="657" t="s">
        <v>2701</v>
      </c>
      <c r="D161" s="132">
        <v>83</v>
      </c>
      <c r="E161" s="132"/>
      <c r="F161" s="656"/>
      <c r="G161" s="664">
        <v>596</v>
      </c>
      <c r="H161" s="738">
        <v>596</v>
      </c>
      <c r="I161" s="736" t="s">
        <v>2701</v>
      </c>
      <c r="J161" s="734">
        <v>83</v>
      </c>
      <c r="K161" s="734">
        <f t="shared" si="4"/>
        <v>83</v>
      </c>
      <c r="L161" s="132"/>
      <c r="M161" s="665">
        <v>596</v>
      </c>
      <c r="N161" s="736" t="s">
        <v>2701</v>
      </c>
      <c r="O161" s="734">
        <f t="shared" si="5"/>
        <v>83</v>
      </c>
      <c r="P161" s="655"/>
      <c r="Q161" s="655"/>
      <c r="R161" s="656"/>
      <c r="S161" s="656"/>
      <c r="T161" s="656"/>
      <c r="U161" s="656"/>
      <c r="V161" s="656"/>
      <c r="W161" s="656"/>
      <c r="X161" s="656"/>
      <c r="Y161" s="656"/>
      <c r="Z161" s="656"/>
      <c r="AA161" s="656"/>
    </row>
    <row r="162" spans="2:27">
      <c r="B162" s="659" t="s">
        <v>2702</v>
      </c>
      <c r="C162" s="661" t="s">
        <v>2703</v>
      </c>
      <c r="D162" s="132">
        <v>24</v>
      </c>
      <c r="E162" s="132"/>
      <c r="F162" s="656"/>
      <c r="G162" s="664">
        <v>671</v>
      </c>
      <c r="H162" s="738">
        <v>671</v>
      </c>
      <c r="I162" s="741" t="s">
        <v>2703</v>
      </c>
      <c r="J162" s="734">
        <v>24</v>
      </c>
      <c r="K162" s="734">
        <f t="shared" si="4"/>
        <v>24</v>
      </c>
      <c r="L162" s="132"/>
      <c r="M162" s="665">
        <v>671</v>
      </c>
      <c r="N162" s="741" t="s">
        <v>2703</v>
      </c>
      <c r="O162" s="734">
        <f t="shared" si="5"/>
        <v>24</v>
      </c>
      <c r="P162" s="655"/>
      <c r="Q162" s="655"/>
      <c r="R162" s="656"/>
      <c r="S162" s="656"/>
      <c r="T162" s="656"/>
      <c r="U162" s="656"/>
      <c r="V162" s="656"/>
      <c r="W162" s="656"/>
      <c r="X162" s="656"/>
      <c r="Y162" s="656"/>
      <c r="Z162" s="656"/>
      <c r="AA162" s="656"/>
    </row>
    <row r="163" spans="2:27">
      <c r="B163" s="659" t="s">
        <v>2704</v>
      </c>
      <c r="C163" s="661" t="s">
        <v>2705</v>
      </c>
      <c r="D163" s="132">
        <v>77</v>
      </c>
      <c r="E163" s="132"/>
      <c r="F163" s="656"/>
      <c r="G163" s="664">
        <v>709</v>
      </c>
      <c r="H163" s="738">
        <v>709</v>
      </c>
      <c r="I163" s="741" t="s">
        <v>2705</v>
      </c>
      <c r="J163" s="734">
        <v>77</v>
      </c>
      <c r="K163" s="734">
        <f t="shared" si="4"/>
        <v>77</v>
      </c>
      <c r="L163" s="132"/>
      <c r="M163" s="665">
        <v>709</v>
      </c>
      <c r="N163" s="741" t="s">
        <v>2705</v>
      </c>
      <c r="O163" s="734">
        <f t="shared" si="5"/>
        <v>77</v>
      </c>
      <c r="P163" s="655"/>
      <c r="Q163" s="655"/>
      <c r="R163" s="656"/>
      <c r="S163" s="656"/>
      <c r="T163" s="656"/>
      <c r="U163" s="656"/>
      <c r="V163" s="656"/>
      <c r="W163" s="656"/>
      <c r="X163" s="656"/>
      <c r="Y163" s="656"/>
      <c r="Z163" s="656"/>
      <c r="AA163" s="656"/>
    </row>
    <row r="164" spans="2:27">
      <c r="B164" s="659" t="s">
        <v>2601</v>
      </c>
      <c r="C164" s="659" t="s">
        <v>2706</v>
      </c>
      <c r="D164" s="660" t="s">
        <v>1186</v>
      </c>
      <c r="E164" s="660"/>
      <c r="F164" s="656"/>
      <c r="G164" s="665">
        <v>201</v>
      </c>
      <c r="H164" s="738">
        <v>751</v>
      </c>
      <c r="I164" s="739" t="s">
        <v>2706</v>
      </c>
      <c r="J164" s="740" t="s">
        <v>1186</v>
      </c>
      <c r="K164" s="734">
        <f t="shared" si="4"/>
        <v>5</v>
      </c>
      <c r="L164" s="660"/>
      <c r="M164" s="665">
        <v>201</v>
      </c>
      <c r="N164" s="739" t="s">
        <v>2706</v>
      </c>
      <c r="O164" s="734">
        <f t="shared" si="5"/>
        <v>259</v>
      </c>
      <c r="P164" s="655"/>
      <c r="Q164" s="655"/>
      <c r="R164" s="656"/>
      <c r="S164" s="656"/>
      <c r="T164" s="656"/>
      <c r="U164" s="656"/>
      <c r="V164" s="656"/>
      <c r="W164" s="656"/>
      <c r="X164" s="656"/>
      <c r="Y164" s="656"/>
      <c r="Z164" s="656"/>
      <c r="AA164" s="656"/>
    </row>
    <row r="165" spans="2:27">
      <c r="B165" s="659" t="s">
        <v>2605</v>
      </c>
      <c r="C165" s="659" t="s">
        <v>1199</v>
      </c>
      <c r="D165" s="660" t="s">
        <v>1186</v>
      </c>
      <c r="E165" s="660"/>
      <c r="G165" s="665">
        <v>2</v>
      </c>
      <c r="H165" s="738">
        <v>768</v>
      </c>
      <c r="I165" s="739" t="s">
        <v>1199</v>
      </c>
      <c r="J165" s="740" t="s">
        <v>1186</v>
      </c>
      <c r="K165" s="734">
        <f t="shared" si="4"/>
        <v>5</v>
      </c>
      <c r="L165" s="660"/>
      <c r="M165" s="665">
        <v>2</v>
      </c>
      <c r="N165" s="739" t="s">
        <v>1199</v>
      </c>
      <c r="O165" s="734">
        <f t="shared" si="5"/>
        <v>3615</v>
      </c>
      <c r="AA165" s="656"/>
    </row>
    <row r="166" spans="2:27">
      <c r="B166" s="659" t="s">
        <v>2608</v>
      </c>
      <c r="C166" s="659" t="s">
        <v>2609</v>
      </c>
      <c r="D166" s="660" t="s">
        <v>1186</v>
      </c>
      <c r="E166" s="660"/>
      <c r="G166" s="664">
        <v>771</v>
      </c>
      <c r="H166" s="738">
        <v>771</v>
      </c>
      <c r="I166" s="739" t="s">
        <v>2609</v>
      </c>
      <c r="J166" s="740" t="s">
        <v>1186</v>
      </c>
      <c r="K166" s="734">
        <f t="shared" si="4"/>
        <v>5</v>
      </c>
      <c r="L166" s="660"/>
      <c r="M166" s="665">
        <v>771</v>
      </c>
      <c r="N166" s="739" t="s">
        <v>2609</v>
      </c>
      <c r="O166" s="734">
        <f t="shared" si="5"/>
        <v>5</v>
      </c>
    </row>
    <row r="167" spans="2:27">
      <c r="B167" s="659" t="s">
        <v>2612</v>
      </c>
      <c r="C167" s="659" t="s">
        <v>456</v>
      </c>
      <c r="D167" s="660" t="s">
        <v>1186</v>
      </c>
      <c r="E167" s="660"/>
      <c r="G167" s="665">
        <v>2</v>
      </c>
      <c r="H167" s="738">
        <v>785</v>
      </c>
      <c r="I167" s="739" t="s">
        <v>456</v>
      </c>
      <c r="J167" s="740" t="s">
        <v>1186</v>
      </c>
      <c r="K167" s="734">
        <f t="shared" si="4"/>
        <v>5</v>
      </c>
      <c r="L167" s="660"/>
      <c r="M167" s="665">
        <v>2</v>
      </c>
      <c r="N167" s="739" t="s">
        <v>456</v>
      </c>
      <c r="O167" s="734">
        <f t="shared" si="5"/>
        <v>3615</v>
      </c>
    </row>
    <row r="168" spans="2:27">
      <c r="B168" s="659" t="s">
        <v>2614</v>
      </c>
      <c r="C168" s="659" t="s">
        <v>2707</v>
      </c>
      <c r="D168" s="660" t="s">
        <v>1186</v>
      </c>
      <c r="E168" s="660"/>
      <c r="G168" s="664">
        <v>790</v>
      </c>
      <c r="H168" s="738">
        <v>790</v>
      </c>
      <c r="I168" s="739" t="s">
        <v>2707</v>
      </c>
      <c r="J168" s="740" t="s">
        <v>1186</v>
      </c>
      <c r="K168" s="734">
        <f t="shared" si="4"/>
        <v>5</v>
      </c>
      <c r="L168" s="660"/>
      <c r="M168" s="665">
        <v>790</v>
      </c>
      <c r="N168" s="739" t="s">
        <v>2707</v>
      </c>
      <c r="O168" s="734">
        <f t="shared" si="5"/>
        <v>5</v>
      </c>
    </row>
    <row r="169" spans="2:27">
      <c r="B169" s="659" t="s">
        <v>2616</v>
      </c>
      <c r="C169" s="659" t="s">
        <v>1247</v>
      </c>
      <c r="D169" s="660" t="s">
        <v>1186</v>
      </c>
      <c r="E169" s="660"/>
      <c r="G169" s="665">
        <v>221</v>
      </c>
      <c r="H169" s="738">
        <v>794</v>
      </c>
      <c r="I169" s="739" t="s">
        <v>1247</v>
      </c>
      <c r="J169" s="740" t="s">
        <v>1186</v>
      </c>
      <c r="K169" s="734">
        <f t="shared" si="4"/>
        <v>5</v>
      </c>
      <c r="L169" s="660"/>
      <c r="M169" s="665">
        <v>221</v>
      </c>
      <c r="N169" s="739" t="s">
        <v>1247</v>
      </c>
      <c r="O169" s="734">
        <f t="shared" si="5"/>
        <v>325</v>
      </c>
    </row>
    <row r="170" spans="2:27">
      <c r="B170" s="659" t="s">
        <v>2620</v>
      </c>
      <c r="C170" s="659" t="s">
        <v>458</v>
      </c>
      <c r="D170" s="132">
        <v>41</v>
      </c>
      <c r="E170" s="132"/>
      <c r="G170" s="665">
        <v>131</v>
      </c>
      <c r="H170" s="738">
        <v>795</v>
      </c>
      <c r="I170" s="739" t="s">
        <v>458</v>
      </c>
      <c r="J170" s="734">
        <v>41</v>
      </c>
      <c r="K170" s="734">
        <f t="shared" si="4"/>
        <v>41</v>
      </c>
      <c r="L170" s="132"/>
      <c r="M170" s="665">
        <v>131</v>
      </c>
      <c r="N170" s="739" t="s">
        <v>458</v>
      </c>
      <c r="O170" s="734">
        <f t="shared" si="5"/>
        <v>1536</v>
      </c>
    </row>
    <row r="171" spans="2:27">
      <c r="B171" s="659" t="s">
        <v>2622</v>
      </c>
      <c r="C171" s="659" t="s">
        <v>460</v>
      </c>
      <c r="D171" s="132">
        <v>19</v>
      </c>
      <c r="E171" s="132"/>
      <c r="G171" s="665">
        <v>281</v>
      </c>
      <c r="H171" s="738">
        <v>813</v>
      </c>
      <c r="I171" s="739" t="s">
        <v>460</v>
      </c>
      <c r="J171" s="734">
        <v>19</v>
      </c>
      <c r="K171" s="734">
        <f t="shared" si="4"/>
        <v>19</v>
      </c>
      <c r="L171" s="132"/>
      <c r="M171" s="665">
        <v>281</v>
      </c>
      <c r="N171" s="739" t="s">
        <v>460</v>
      </c>
      <c r="O171" s="734">
        <f>SUMIF(G:G,M171, K:K)</f>
        <v>254</v>
      </c>
    </row>
    <row r="172" spans="2:27">
      <c r="B172" s="659"/>
      <c r="C172" s="659"/>
      <c r="D172" s="132"/>
      <c r="E172" s="132"/>
      <c r="G172" s="664"/>
      <c r="H172" s="739"/>
      <c r="I172" s="739"/>
      <c r="J172" s="734"/>
      <c r="K172" s="734"/>
      <c r="L172" s="132"/>
      <c r="M172" s="665"/>
      <c r="N172" s="739"/>
      <c r="O172" s="734"/>
    </row>
    <row r="173" spans="2:27">
      <c r="C173" s="4" t="s">
        <v>265</v>
      </c>
      <c r="D173" s="132">
        <v>29718</v>
      </c>
      <c r="E173" s="132"/>
      <c r="I173" s="145" t="s">
        <v>265</v>
      </c>
      <c r="J173" s="734">
        <v>29718</v>
      </c>
      <c r="K173" s="734"/>
      <c r="L173" s="132"/>
      <c r="N173" s="145" t="s">
        <v>265</v>
      </c>
      <c r="O173" s="734"/>
    </row>
  </sheetData>
  <mergeCells count="1">
    <mergeCell ref="Q7:U14"/>
  </mergeCells>
  <pageMargins left="0.7" right="0.7" top="0.75" bottom="0.75" header="0.3" footer="0.3"/>
  <ignoredErrors>
    <ignoredError sqref="B4:B171 G4:G155"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98"/>
  <sheetViews>
    <sheetView workbookViewId="0">
      <selection activeCell="SS10" sqref="SS10"/>
    </sheetView>
  </sheetViews>
  <sheetFormatPr defaultRowHeight="14.5"/>
  <cols>
    <col min="2" max="2" width="9.453125" customWidth="1"/>
    <col min="3" max="3" width="9.453125" bestFit="1" customWidth="1"/>
    <col min="4" max="4" width="36.7265625" customWidth="1"/>
    <col min="5" max="5" width="13.453125" customWidth="1"/>
    <col min="6" max="7" width="13.453125" style="145" customWidth="1"/>
  </cols>
  <sheetData>
    <row r="1" spans="2:14">
      <c r="B1" t="s">
        <v>1242</v>
      </c>
      <c r="C1" t="s">
        <v>1242</v>
      </c>
    </row>
    <row r="2" spans="2:14">
      <c r="B2" s="125">
        <v>42738</v>
      </c>
      <c r="C2" s="125">
        <v>42738</v>
      </c>
    </row>
    <row r="5" spans="2:14">
      <c r="B5" s="136" t="s">
        <v>2714</v>
      </c>
      <c r="C5" s="136" t="s">
        <v>1243</v>
      </c>
      <c r="D5" s="136" t="s">
        <v>1208</v>
      </c>
      <c r="E5" s="160" t="s">
        <v>2713</v>
      </c>
      <c r="F5" s="733" t="s">
        <v>2715</v>
      </c>
      <c r="G5" s="733" t="s">
        <v>2716</v>
      </c>
    </row>
    <row r="6" spans="2:14">
      <c r="B6">
        <v>1</v>
      </c>
      <c r="C6">
        <v>1</v>
      </c>
      <c r="D6" s="136" t="s">
        <v>303</v>
      </c>
      <c r="E6" s="139">
        <v>626</v>
      </c>
      <c r="F6" s="145">
        <f>IF(ISNUMBER(E6), E6, 5)</f>
        <v>626</v>
      </c>
      <c r="G6" s="145">
        <f>SUMIF(B:B, B6, F:F)</f>
        <v>626</v>
      </c>
    </row>
    <row r="7" spans="2:14">
      <c r="B7">
        <v>2</v>
      </c>
      <c r="C7">
        <v>2</v>
      </c>
      <c r="D7" s="136" t="s">
        <v>552</v>
      </c>
      <c r="E7" s="139">
        <v>2103</v>
      </c>
      <c r="F7" s="145">
        <f t="shared" ref="F7:F70" si="0">IF(ISNUMBER(E7), E7, 5)</f>
        <v>2103</v>
      </c>
      <c r="G7" s="145">
        <f t="shared" ref="G7:G70" si="1">SUMIF(B:B, B7, F:F)</f>
        <v>2117</v>
      </c>
    </row>
    <row r="8" spans="2:14">
      <c r="B8">
        <v>3</v>
      </c>
      <c r="C8">
        <v>3</v>
      </c>
      <c r="D8" s="136" t="s">
        <v>305</v>
      </c>
      <c r="E8" s="139">
        <v>40</v>
      </c>
      <c r="F8" s="145">
        <f t="shared" si="0"/>
        <v>40</v>
      </c>
      <c r="G8" s="145">
        <f t="shared" si="1"/>
        <v>40</v>
      </c>
    </row>
    <row r="9" spans="2:14">
      <c r="B9">
        <v>21</v>
      </c>
      <c r="C9">
        <v>21</v>
      </c>
      <c r="D9" s="136" t="s">
        <v>308</v>
      </c>
      <c r="E9" s="139">
        <v>76</v>
      </c>
      <c r="F9" s="145">
        <f t="shared" si="0"/>
        <v>76</v>
      </c>
      <c r="G9" s="145">
        <f t="shared" si="1"/>
        <v>76</v>
      </c>
    </row>
    <row r="10" spans="2:14">
      <c r="B10">
        <v>44</v>
      </c>
      <c r="C10">
        <v>44</v>
      </c>
      <c r="D10" s="136" t="s">
        <v>312</v>
      </c>
      <c r="E10" s="160" t="s">
        <v>1186</v>
      </c>
      <c r="F10" s="145">
        <f t="shared" si="0"/>
        <v>5</v>
      </c>
      <c r="G10" s="145">
        <f t="shared" si="1"/>
        <v>5</v>
      </c>
      <c r="J10" s="1093" t="s">
        <v>2727</v>
      </c>
      <c r="K10" s="1094"/>
      <c r="L10" s="1094"/>
      <c r="M10" s="1094"/>
      <c r="N10" s="1094"/>
    </row>
    <row r="11" spans="2:14">
      <c r="B11">
        <v>52</v>
      </c>
      <c r="C11">
        <v>52</v>
      </c>
      <c r="D11" s="136" t="s">
        <v>313</v>
      </c>
      <c r="E11" s="139">
        <v>58</v>
      </c>
      <c r="F11" s="145">
        <f t="shared" si="0"/>
        <v>58</v>
      </c>
      <c r="G11" s="145">
        <f t="shared" si="1"/>
        <v>58</v>
      </c>
      <c r="J11" s="1094"/>
      <c r="K11" s="1094"/>
      <c r="L11" s="1094"/>
      <c r="M11" s="1094"/>
      <c r="N11" s="1094"/>
    </row>
    <row r="12" spans="2:14">
      <c r="B12">
        <v>55</v>
      </c>
      <c r="C12">
        <v>55</v>
      </c>
      <c r="D12" s="136" t="s">
        <v>314</v>
      </c>
      <c r="E12" s="139">
        <v>200</v>
      </c>
      <c r="F12" s="145">
        <f t="shared" si="0"/>
        <v>200</v>
      </c>
      <c r="G12" s="145">
        <f t="shared" si="1"/>
        <v>200</v>
      </c>
      <c r="J12" s="1094"/>
      <c r="K12" s="1094"/>
      <c r="L12" s="1094"/>
      <c r="M12" s="1094"/>
      <c r="N12" s="1094"/>
    </row>
    <row r="13" spans="2:14">
      <c r="B13">
        <v>58</v>
      </c>
      <c r="C13">
        <v>58</v>
      </c>
      <c r="D13" s="136" t="s">
        <v>315</v>
      </c>
      <c r="E13" s="139">
        <v>47</v>
      </c>
      <c r="F13" s="145">
        <f t="shared" si="0"/>
        <v>47</v>
      </c>
      <c r="G13" s="145">
        <f t="shared" si="1"/>
        <v>47</v>
      </c>
      <c r="J13" s="1094"/>
      <c r="K13" s="1094"/>
      <c r="L13" s="1094"/>
      <c r="M13" s="1094"/>
      <c r="N13" s="1094"/>
    </row>
    <row r="14" spans="2:14">
      <c r="B14">
        <v>60</v>
      </c>
      <c r="C14">
        <v>60</v>
      </c>
      <c r="D14" s="136" t="s">
        <v>317</v>
      </c>
      <c r="E14" s="139">
        <v>120</v>
      </c>
      <c r="F14" s="145">
        <f t="shared" si="0"/>
        <v>120</v>
      </c>
      <c r="G14" s="145">
        <f t="shared" si="1"/>
        <v>120</v>
      </c>
      <c r="J14" s="1094"/>
      <c r="K14" s="1094"/>
      <c r="L14" s="1094"/>
      <c r="M14" s="1094"/>
      <c r="N14" s="1094"/>
    </row>
    <row r="15" spans="2:14">
      <c r="B15">
        <v>61</v>
      </c>
      <c r="C15">
        <v>61</v>
      </c>
      <c r="D15" s="136" t="s">
        <v>318</v>
      </c>
      <c r="E15" s="139">
        <v>221</v>
      </c>
      <c r="F15" s="145">
        <f t="shared" si="0"/>
        <v>221</v>
      </c>
      <c r="G15" s="145">
        <f t="shared" si="1"/>
        <v>221</v>
      </c>
      <c r="J15" s="1094"/>
      <c r="K15" s="1094"/>
      <c r="L15" s="1094"/>
      <c r="M15" s="1094"/>
      <c r="N15" s="1094"/>
    </row>
    <row r="16" spans="2:14">
      <c r="B16">
        <v>72</v>
      </c>
      <c r="C16">
        <v>72</v>
      </c>
      <c r="D16" s="136" t="s">
        <v>320</v>
      </c>
      <c r="E16" s="160" t="s">
        <v>1186</v>
      </c>
      <c r="F16" s="145">
        <f t="shared" si="0"/>
        <v>5</v>
      </c>
      <c r="G16" s="145">
        <f t="shared" si="1"/>
        <v>5</v>
      </c>
      <c r="J16" s="1094"/>
      <c r="K16" s="1094"/>
      <c r="L16" s="1094"/>
      <c r="M16" s="1094"/>
      <c r="N16" s="1094"/>
    </row>
    <row r="17" spans="2:14">
      <c r="B17">
        <v>73</v>
      </c>
      <c r="C17">
        <v>73</v>
      </c>
      <c r="D17" s="136" t="s">
        <v>321</v>
      </c>
      <c r="E17" s="160" t="s">
        <v>1186</v>
      </c>
      <c r="F17" s="145">
        <f t="shared" si="0"/>
        <v>5</v>
      </c>
      <c r="G17" s="145">
        <f t="shared" si="1"/>
        <v>5</v>
      </c>
      <c r="J17" s="1094"/>
      <c r="K17" s="1094"/>
      <c r="L17" s="1094"/>
      <c r="M17" s="1094"/>
      <c r="N17" s="1094"/>
    </row>
    <row r="18" spans="2:14">
      <c r="B18">
        <v>91</v>
      </c>
      <c r="C18">
        <v>91</v>
      </c>
      <c r="D18" s="136" t="s">
        <v>324</v>
      </c>
      <c r="E18" s="139">
        <v>485</v>
      </c>
      <c r="F18" s="145">
        <f t="shared" si="0"/>
        <v>485</v>
      </c>
      <c r="G18" s="145">
        <f t="shared" si="1"/>
        <v>485</v>
      </c>
    </row>
    <row r="19" spans="2:14">
      <c r="B19">
        <v>101</v>
      </c>
      <c r="C19">
        <v>101</v>
      </c>
      <c r="D19" s="136" t="s">
        <v>327</v>
      </c>
      <c r="E19" s="139">
        <v>31</v>
      </c>
      <c r="F19" s="145">
        <f t="shared" si="0"/>
        <v>31</v>
      </c>
      <c r="G19" s="145">
        <f t="shared" si="1"/>
        <v>31</v>
      </c>
    </row>
    <row r="20" spans="2:14">
      <c r="B20">
        <v>132</v>
      </c>
      <c r="C20">
        <v>132</v>
      </c>
      <c r="D20" s="136" t="s">
        <v>331</v>
      </c>
      <c r="E20" s="139">
        <v>225</v>
      </c>
      <c r="F20" s="145">
        <f t="shared" si="0"/>
        <v>225</v>
      </c>
      <c r="G20" s="145">
        <f t="shared" si="1"/>
        <v>225</v>
      </c>
    </row>
    <row r="21" spans="2:14">
      <c r="B21">
        <v>133</v>
      </c>
      <c r="C21">
        <v>133</v>
      </c>
      <c r="D21" s="136" t="s">
        <v>332</v>
      </c>
      <c r="E21" s="160" t="s">
        <v>1186</v>
      </c>
      <c r="F21" s="145">
        <f t="shared" si="0"/>
        <v>5</v>
      </c>
      <c r="G21" s="145">
        <f t="shared" si="1"/>
        <v>5</v>
      </c>
    </row>
    <row r="22" spans="2:14">
      <c r="B22">
        <v>134</v>
      </c>
      <c r="C22">
        <v>134</v>
      </c>
      <c r="D22" s="136" t="s">
        <v>333</v>
      </c>
      <c r="E22" s="139">
        <v>232</v>
      </c>
      <c r="F22" s="145">
        <f t="shared" si="0"/>
        <v>232</v>
      </c>
      <c r="G22" s="145">
        <f t="shared" si="1"/>
        <v>232</v>
      </c>
    </row>
    <row r="23" spans="2:14">
      <c r="B23">
        <v>135</v>
      </c>
      <c r="C23">
        <v>135</v>
      </c>
      <c r="D23" s="136" t="s">
        <v>334</v>
      </c>
      <c r="E23" s="139">
        <v>19</v>
      </c>
      <c r="F23" s="145">
        <f t="shared" si="0"/>
        <v>19</v>
      </c>
      <c r="G23" s="145">
        <f t="shared" si="1"/>
        <v>19</v>
      </c>
    </row>
    <row r="24" spans="2:14">
      <c r="B24">
        <v>137</v>
      </c>
      <c r="C24">
        <v>137</v>
      </c>
      <c r="D24" s="136" t="s">
        <v>336</v>
      </c>
      <c r="E24" s="139">
        <v>45</v>
      </c>
      <c r="F24" s="145">
        <f t="shared" si="0"/>
        <v>45</v>
      </c>
      <c r="G24" s="145">
        <f t="shared" si="1"/>
        <v>45</v>
      </c>
    </row>
    <row r="25" spans="2:14">
      <c r="B25">
        <v>139</v>
      </c>
      <c r="C25">
        <v>139</v>
      </c>
      <c r="D25" s="136" t="s">
        <v>337</v>
      </c>
      <c r="E25" s="139">
        <v>53</v>
      </c>
      <c r="F25" s="145">
        <f t="shared" si="0"/>
        <v>53</v>
      </c>
      <c r="G25" s="145">
        <f t="shared" si="1"/>
        <v>53</v>
      </c>
    </row>
    <row r="26" spans="2:14">
      <c r="B26">
        <v>150</v>
      </c>
      <c r="C26">
        <v>150</v>
      </c>
      <c r="D26" s="136" t="s">
        <v>340</v>
      </c>
      <c r="E26" s="139">
        <v>28</v>
      </c>
      <c r="F26" s="145">
        <f t="shared" si="0"/>
        <v>28</v>
      </c>
      <c r="G26" s="145">
        <f t="shared" si="1"/>
        <v>28</v>
      </c>
    </row>
    <row r="27" spans="2:14">
      <c r="B27">
        <v>151</v>
      </c>
      <c r="C27">
        <v>151</v>
      </c>
      <c r="D27" s="136" t="s">
        <v>341</v>
      </c>
      <c r="E27" s="139">
        <v>59</v>
      </c>
      <c r="F27" s="145">
        <f t="shared" si="0"/>
        <v>59</v>
      </c>
      <c r="G27" s="145">
        <f t="shared" si="1"/>
        <v>59</v>
      </c>
    </row>
    <row r="28" spans="2:14">
      <c r="B28">
        <v>171</v>
      </c>
      <c r="C28">
        <v>171</v>
      </c>
      <c r="D28" s="136" t="s">
        <v>343</v>
      </c>
      <c r="E28" s="160" t="s">
        <v>1186</v>
      </c>
      <c r="F28" s="145">
        <f t="shared" si="0"/>
        <v>5</v>
      </c>
      <c r="G28" s="145">
        <f t="shared" si="1"/>
        <v>5</v>
      </c>
    </row>
    <row r="29" spans="2:14">
      <c r="B29">
        <v>192</v>
      </c>
      <c r="C29">
        <v>192</v>
      </c>
      <c r="D29" s="136" t="s">
        <v>347</v>
      </c>
      <c r="E29" s="160" t="s">
        <v>1186</v>
      </c>
      <c r="F29" s="145">
        <f t="shared" si="0"/>
        <v>5</v>
      </c>
      <c r="G29" s="145">
        <f t="shared" si="1"/>
        <v>5</v>
      </c>
    </row>
    <row r="30" spans="2:14">
      <c r="B30">
        <v>193</v>
      </c>
      <c r="C30">
        <v>193</v>
      </c>
      <c r="D30" s="136" t="s">
        <v>348</v>
      </c>
      <c r="E30" s="139">
        <v>64</v>
      </c>
      <c r="F30" s="145">
        <f t="shared" si="0"/>
        <v>64</v>
      </c>
      <c r="G30" s="145">
        <f t="shared" si="1"/>
        <v>64</v>
      </c>
    </row>
    <row r="31" spans="2:14">
      <c r="B31">
        <v>215</v>
      </c>
      <c r="C31">
        <v>215</v>
      </c>
      <c r="D31" s="136" t="s">
        <v>351</v>
      </c>
      <c r="E31" s="139">
        <v>178</v>
      </c>
      <c r="F31" s="145">
        <f t="shared" si="0"/>
        <v>178</v>
      </c>
      <c r="G31" s="145">
        <f t="shared" si="1"/>
        <v>178</v>
      </c>
    </row>
    <row r="32" spans="2:14">
      <c r="B32">
        <v>221</v>
      </c>
      <c r="C32">
        <v>221</v>
      </c>
      <c r="D32" s="136" t="s">
        <v>352</v>
      </c>
      <c r="E32" s="139">
        <v>39</v>
      </c>
      <c r="F32" s="145">
        <f t="shared" si="0"/>
        <v>39</v>
      </c>
      <c r="G32" s="145">
        <f t="shared" si="1"/>
        <v>56</v>
      </c>
    </row>
    <row r="33" spans="2:7">
      <c r="B33">
        <v>232</v>
      </c>
      <c r="C33">
        <v>232</v>
      </c>
      <c r="D33" s="136" t="s">
        <v>354</v>
      </c>
      <c r="E33" s="139">
        <v>62</v>
      </c>
      <c r="F33" s="145">
        <f t="shared" si="0"/>
        <v>62</v>
      </c>
      <c r="G33" s="145">
        <f t="shared" si="1"/>
        <v>62</v>
      </c>
    </row>
    <row r="34" spans="2:7">
      <c r="B34">
        <v>251</v>
      </c>
      <c r="C34">
        <v>251</v>
      </c>
      <c r="D34" s="136" t="s">
        <v>360</v>
      </c>
      <c r="E34" s="139">
        <v>180</v>
      </c>
      <c r="F34" s="145">
        <f t="shared" si="0"/>
        <v>180</v>
      </c>
      <c r="G34" s="145">
        <f t="shared" si="1"/>
        <v>180</v>
      </c>
    </row>
    <row r="35" spans="2:7">
      <c r="B35">
        <v>253</v>
      </c>
      <c r="C35">
        <v>253</v>
      </c>
      <c r="D35" s="136" t="s">
        <v>362</v>
      </c>
      <c r="E35" s="139">
        <v>24</v>
      </c>
      <c r="F35" s="145">
        <f t="shared" si="0"/>
        <v>24</v>
      </c>
      <c r="G35" s="145">
        <f t="shared" si="1"/>
        <v>24</v>
      </c>
    </row>
    <row r="36" spans="2:7">
      <c r="B36">
        <v>261</v>
      </c>
      <c r="C36">
        <v>261</v>
      </c>
      <c r="D36" s="136" t="s">
        <v>363</v>
      </c>
      <c r="E36" s="139">
        <v>106</v>
      </c>
      <c r="F36" s="145">
        <f t="shared" si="0"/>
        <v>106</v>
      </c>
      <c r="G36" s="145">
        <f t="shared" si="1"/>
        <v>106</v>
      </c>
    </row>
    <row r="37" spans="2:7">
      <c r="B37">
        <v>272</v>
      </c>
      <c r="C37">
        <v>272</v>
      </c>
      <c r="D37" s="136" t="s">
        <v>366</v>
      </c>
      <c r="E37" s="139">
        <v>91</v>
      </c>
      <c r="F37" s="145">
        <f t="shared" si="0"/>
        <v>91</v>
      </c>
      <c r="G37" s="145">
        <f t="shared" si="1"/>
        <v>91</v>
      </c>
    </row>
    <row r="38" spans="2:7">
      <c r="B38">
        <v>273</v>
      </c>
      <c r="C38">
        <v>273</v>
      </c>
      <c r="D38" s="136" t="s">
        <v>367</v>
      </c>
      <c r="E38" s="139">
        <v>399</v>
      </c>
      <c r="F38" s="145">
        <f t="shared" si="0"/>
        <v>399</v>
      </c>
      <c r="G38" s="145">
        <f t="shared" si="1"/>
        <v>399</v>
      </c>
    </row>
    <row r="39" spans="2:7">
      <c r="B39">
        <v>281</v>
      </c>
      <c r="C39">
        <v>281</v>
      </c>
      <c r="D39" s="136" t="s">
        <v>369</v>
      </c>
      <c r="E39" s="139">
        <v>205</v>
      </c>
      <c r="F39" s="145">
        <f t="shared" si="0"/>
        <v>205</v>
      </c>
      <c r="G39" s="145">
        <f t="shared" si="1"/>
        <v>210</v>
      </c>
    </row>
    <row r="40" spans="2:7">
      <c r="B40">
        <v>282</v>
      </c>
      <c r="C40">
        <v>282</v>
      </c>
      <c r="D40" s="136" t="s">
        <v>370</v>
      </c>
      <c r="E40" s="139">
        <v>18</v>
      </c>
      <c r="F40" s="145">
        <f t="shared" si="0"/>
        <v>18</v>
      </c>
      <c r="G40" s="145">
        <f t="shared" si="1"/>
        <v>18</v>
      </c>
    </row>
    <row r="41" spans="2:7">
      <c r="B41">
        <v>283</v>
      </c>
      <c r="C41">
        <v>283</v>
      </c>
      <c r="D41" s="136" t="s">
        <v>371</v>
      </c>
      <c r="E41" s="139">
        <v>16</v>
      </c>
      <c r="F41" s="145">
        <f t="shared" si="0"/>
        <v>16</v>
      </c>
      <c r="G41" s="145">
        <f t="shared" si="1"/>
        <v>16</v>
      </c>
    </row>
    <row r="42" spans="2:7">
      <c r="B42">
        <v>285</v>
      </c>
      <c r="C42">
        <v>285</v>
      </c>
      <c r="D42" s="136" t="s">
        <v>372</v>
      </c>
      <c r="E42" s="160" t="s">
        <v>1186</v>
      </c>
      <c r="F42" s="145">
        <f t="shared" si="0"/>
        <v>5</v>
      </c>
      <c r="G42" s="145">
        <f t="shared" si="1"/>
        <v>5</v>
      </c>
    </row>
    <row r="43" spans="2:7">
      <c r="B43">
        <v>287</v>
      </c>
      <c r="C43">
        <v>287</v>
      </c>
      <c r="D43" s="136" t="s">
        <v>373</v>
      </c>
      <c r="E43" s="160" t="s">
        <v>1186</v>
      </c>
      <c r="F43" s="145">
        <f t="shared" si="0"/>
        <v>5</v>
      </c>
      <c r="G43" s="145">
        <f t="shared" si="1"/>
        <v>5</v>
      </c>
    </row>
    <row r="44" spans="2:7">
      <c r="B44">
        <v>288</v>
      </c>
      <c r="C44">
        <v>288</v>
      </c>
      <c r="D44" s="136" t="s">
        <v>374</v>
      </c>
      <c r="E44" s="139">
        <v>10</v>
      </c>
      <c r="F44" s="145">
        <f t="shared" si="0"/>
        <v>10</v>
      </c>
      <c r="G44" s="145">
        <f t="shared" si="1"/>
        <v>10</v>
      </c>
    </row>
    <row r="45" spans="2:7">
      <c r="B45">
        <v>291</v>
      </c>
      <c r="C45">
        <v>291</v>
      </c>
      <c r="D45" s="136" t="s">
        <v>375</v>
      </c>
      <c r="E45" s="139">
        <v>30</v>
      </c>
      <c r="F45" s="145">
        <f t="shared" si="0"/>
        <v>30</v>
      </c>
      <c r="G45" s="145">
        <f t="shared" si="1"/>
        <v>30</v>
      </c>
    </row>
    <row r="46" spans="2:7">
      <c r="B46">
        <v>321</v>
      </c>
      <c r="C46">
        <v>321</v>
      </c>
      <c r="D46" s="136" t="s">
        <v>383</v>
      </c>
      <c r="E46" s="139">
        <v>115</v>
      </c>
      <c r="F46" s="145">
        <f t="shared" si="0"/>
        <v>115</v>
      </c>
      <c r="G46" s="145">
        <f t="shared" si="1"/>
        <v>115</v>
      </c>
    </row>
    <row r="47" spans="2:7">
      <c r="B47">
        <v>322</v>
      </c>
      <c r="C47">
        <v>322</v>
      </c>
      <c r="D47" s="136" t="s">
        <v>384</v>
      </c>
      <c r="E47" s="139">
        <v>122</v>
      </c>
      <c r="F47" s="145">
        <f t="shared" si="0"/>
        <v>122</v>
      </c>
      <c r="G47" s="145">
        <f t="shared" si="1"/>
        <v>122</v>
      </c>
    </row>
    <row r="48" spans="2:7">
      <c r="B48">
        <v>340</v>
      </c>
      <c r="C48">
        <v>340</v>
      </c>
      <c r="D48" s="136" t="s">
        <v>386</v>
      </c>
      <c r="E48" s="139">
        <v>619</v>
      </c>
      <c r="F48" s="145">
        <f t="shared" si="0"/>
        <v>619</v>
      </c>
      <c r="G48" s="145">
        <f t="shared" si="1"/>
        <v>619</v>
      </c>
    </row>
    <row r="49" spans="2:19">
      <c r="B49">
        <v>351</v>
      </c>
      <c r="C49">
        <v>351</v>
      </c>
      <c r="D49" s="136" t="s">
        <v>389</v>
      </c>
      <c r="E49" s="139">
        <v>76</v>
      </c>
      <c r="F49" s="145">
        <f t="shared" si="0"/>
        <v>76</v>
      </c>
      <c r="G49" s="145">
        <f t="shared" si="1"/>
        <v>76</v>
      </c>
    </row>
    <row r="50" spans="2:19">
      <c r="B50">
        <v>363</v>
      </c>
      <c r="C50">
        <v>363</v>
      </c>
      <c r="D50" s="136" t="s">
        <v>390</v>
      </c>
      <c r="E50" s="139">
        <v>39</v>
      </c>
      <c r="F50" s="145">
        <f t="shared" si="0"/>
        <v>39</v>
      </c>
      <c r="G50" s="145">
        <f t="shared" si="1"/>
        <v>39</v>
      </c>
    </row>
    <row r="51" spans="2:19">
      <c r="B51">
        <v>370</v>
      </c>
      <c r="C51">
        <v>370</v>
      </c>
      <c r="D51" s="136" t="s">
        <v>393</v>
      </c>
      <c r="E51" s="139">
        <v>53</v>
      </c>
      <c r="F51" s="145">
        <f t="shared" si="0"/>
        <v>53</v>
      </c>
      <c r="G51" s="145">
        <f t="shared" si="1"/>
        <v>53</v>
      </c>
    </row>
    <row r="52" spans="2:19">
      <c r="B52">
        <v>371</v>
      </c>
      <c r="C52">
        <v>371</v>
      </c>
      <c r="D52" s="136" t="s">
        <v>394</v>
      </c>
      <c r="E52" s="139">
        <v>169</v>
      </c>
      <c r="F52" s="145">
        <f t="shared" si="0"/>
        <v>169</v>
      </c>
      <c r="G52" s="145">
        <f t="shared" si="1"/>
        <v>169</v>
      </c>
    </row>
    <row r="53" spans="2:19">
      <c r="B53">
        <v>372</v>
      </c>
      <c r="C53">
        <v>372</v>
      </c>
      <c r="D53" s="136" t="s">
        <v>395</v>
      </c>
      <c r="E53" s="160" t="s">
        <v>1186</v>
      </c>
      <c r="F53" s="145">
        <f t="shared" si="0"/>
        <v>5</v>
      </c>
      <c r="G53" s="145">
        <f t="shared" si="1"/>
        <v>5</v>
      </c>
    </row>
    <row r="54" spans="2:19">
      <c r="B54">
        <v>373</v>
      </c>
      <c r="C54">
        <v>373</v>
      </c>
      <c r="D54" s="136" t="s">
        <v>396</v>
      </c>
      <c r="E54" s="139">
        <v>87</v>
      </c>
      <c r="F54" s="145">
        <f t="shared" si="0"/>
        <v>87</v>
      </c>
      <c r="G54" s="145">
        <f t="shared" si="1"/>
        <v>87</v>
      </c>
    </row>
    <row r="55" spans="2:19">
      <c r="B55">
        <v>381</v>
      </c>
      <c r="C55">
        <v>381</v>
      </c>
      <c r="D55" s="136" t="s">
        <v>397</v>
      </c>
      <c r="E55" s="160" t="s">
        <v>1186</v>
      </c>
      <c r="F55" s="145">
        <f t="shared" si="0"/>
        <v>5</v>
      </c>
      <c r="G55" s="145">
        <f t="shared" si="1"/>
        <v>5</v>
      </c>
    </row>
    <row r="56" spans="2:19">
      <c r="B56">
        <v>391</v>
      </c>
      <c r="C56">
        <v>391</v>
      </c>
      <c r="D56" s="136" t="s">
        <v>400</v>
      </c>
      <c r="E56" s="139">
        <v>37</v>
      </c>
      <c r="F56" s="145">
        <f t="shared" si="0"/>
        <v>37</v>
      </c>
      <c r="G56" s="145">
        <f t="shared" si="1"/>
        <v>37</v>
      </c>
    </row>
    <row r="57" spans="2:19">
      <c r="B57">
        <v>401</v>
      </c>
      <c r="C57">
        <v>401</v>
      </c>
      <c r="D57" s="136" t="s">
        <v>404</v>
      </c>
      <c r="E57" s="139">
        <v>35</v>
      </c>
      <c r="F57" s="145">
        <f t="shared" si="0"/>
        <v>35</v>
      </c>
      <c r="G57" s="145">
        <f t="shared" si="1"/>
        <v>35</v>
      </c>
    </row>
    <row r="58" spans="2:19">
      <c r="B58">
        <v>411</v>
      </c>
      <c r="C58">
        <v>411</v>
      </c>
      <c r="D58" s="136" t="s">
        <v>405</v>
      </c>
      <c r="E58" s="139">
        <v>189</v>
      </c>
      <c r="F58" s="145">
        <f t="shared" si="0"/>
        <v>189</v>
      </c>
      <c r="G58" s="145">
        <f t="shared" si="1"/>
        <v>189</v>
      </c>
    </row>
    <row r="59" spans="2:19">
      <c r="B59">
        <v>414</v>
      </c>
      <c r="C59">
        <v>414</v>
      </c>
      <c r="D59" s="136" t="s">
        <v>408</v>
      </c>
      <c r="E59" s="139">
        <v>69</v>
      </c>
      <c r="F59" s="145">
        <f t="shared" si="0"/>
        <v>69</v>
      </c>
      <c r="G59" s="145">
        <f t="shared" si="1"/>
        <v>69</v>
      </c>
    </row>
    <row r="60" spans="2:19">
      <c r="B60">
        <v>418</v>
      </c>
      <c r="C60">
        <v>418</v>
      </c>
      <c r="D60" s="136" t="s">
        <v>412</v>
      </c>
      <c r="E60" s="160" t="s">
        <v>1186</v>
      </c>
      <c r="F60" s="145">
        <f t="shared" si="0"/>
        <v>5</v>
      </c>
      <c r="G60" s="145">
        <f t="shared" si="1"/>
        <v>5</v>
      </c>
    </row>
    <row r="61" spans="2:19">
      <c r="B61">
        <v>421</v>
      </c>
      <c r="C61">
        <v>421</v>
      </c>
      <c r="D61" s="136" t="s">
        <v>1127</v>
      </c>
      <c r="E61" s="139">
        <v>42</v>
      </c>
      <c r="F61" s="145">
        <f t="shared" si="0"/>
        <v>42</v>
      </c>
      <c r="G61" s="145">
        <f t="shared" si="1"/>
        <v>42</v>
      </c>
    </row>
    <row r="62" spans="2:19">
      <c r="B62">
        <v>433</v>
      </c>
      <c r="C62">
        <v>433</v>
      </c>
      <c r="D62" s="136" t="s">
        <v>417</v>
      </c>
      <c r="E62" s="139">
        <v>16</v>
      </c>
      <c r="F62" s="145">
        <f t="shared" si="0"/>
        <v>16</v>
      </c>
      <c r="G62" s="145">
        <f t="shared" si="1"/>
        <v>16</v>
      </c>
    </row>
    <row r="63" spans="2:19">
      <c r="B63">
        <v>452</v>
      </c>
      <c r="C63">
        <v>452</v>
      </c>
      <c r="D63" s="162" t="s">
        <v>419</v>
      </c>
      <c r="E63" s="139">
        <v>249</v>
      </c>
      <c r="F63" s="145">
        <f t="shared" si="0"/>
        <v>249</v>
      </c>
      <c r="G63" s="145">
        <f t="shared" si="1"/>
        <v>249</v>
      </c>
      <c r="I63" s="109"/>
      <c r="J63" s="109"/>
      <c r="K63" s="110"/>
      <c r="L63" s="111"/>
      <c r="P63" s="161"/>
      <c r="Q63" s="161"/>
      <c r="R63" s="113"/>
      <c r="S63" s="163"/>
    </row>
    <row r="64" spans="2:19">
      <c r="B64">
        <v>463</v>
      </c>
      <c r="C64">
        <v>463</v>
      </c>
      <c r="D64" s="162" t="s">
        <v>428</v>
      </c>
      <c r="E64" s="139">
        <v>30</v>
      </c>
      <c r="F64" s="145">
        <f t="shared" si="0"/>
        <v>30</v>
      </c>
      <c r="G64" s="145">
        <f t="shared" si="1"/>
        <v>30</v>
      </c>
      <c r="J64" s="109"/>
      <c r="K64" s="110"/>
      <c r="L64" s="111"/>
      <c r="P64" s="161"/>
      <c r="Q64" s="161"/>
      <c r="R64" s="113"/>
      <c r="S64" s="163"/>
    </row>
    <row r="65" spans="2:19">
      <c r="B65">
        <v>472</v>
      </c>
      <c r="C65">
        <v>472</v>
      </c>
      <c r="D65" s="162" t="s">
        <v>1158</v>
      </c>
      <c r="E65" s="139">
        <v>14</v>
      </c>
      <c r="F65" s="145">
        <f t="shared" si="0"/>
        <v>14</v>
      </c>
      <c r="G65" s="145">
        <f t="shared" si="1"/>
        <v>14</v>
      </c>
      <c r="I65" s="109"/>
      <c r="J65" s="109"/>
      <c r="K65" s="110"/>
      <c r="L65" s="111"/>
      <c r="P65" s="161"/>
      <c r="Q65" s="161"/>
      <c r="R65" s="113"/>
      <c r="S65" s="163"/>
    </row>
    <row r="66" spans="2:19">
      <c r="B66">
        <v>480</v>
      </c>
      <c r="C66">
        <v>480</v>
      </c>
      <c r="D66" s="162" t="s">
        <v>1192</v>
      </c>
      <c r="E66" s="139">
        <v>65</v>
      </c>
      <c r="F66" s="145">
        <f t="shared" si="0"/>
        <v>65</v>
      </c>
      <c r="G66" s="145">
        <f t="shared" si="1"/>
        <v>65</v>
      </c>
      <c r="I66" s="109"/>
      <c r="J66" s="109"/>
      <c r="K66" s="110"/>
      <c r="L66" s="111"/>
      <c r="P66" s="161"/>
      <c r="Q66" s="161"/>
      <c r="R66" s="113"/>
      <c r="S66" s="163"/>
    </row>
    <row r="67" spans="2:19">
      <c r="B67">
        <v>490</v>
      </c>
      <c r="C67">
        <v>490</v>
      </c>
      <c r="D67" s="162" t="s">
        <v>1181</v>
      </c>
      <c r="E67" s="139">
        <v>29</v>
      </c>
      <c r="F67" s="145">
        <f t="shared" si="0"/>
        <v>29</v>
      </c>
      <c r="G67" s="145">
        <f t="shared" si="1"/>
        <v>29</v>
      </c>
      <c r="I67" s="112"/>
      <c r="J67" s="112"/>
      <c r="K67" s="113"/>
      <c r="L67" s="111"/>
      <c r="P67" s="161"/>
      <c r="Q67" s="161"/>
      <c r="R67" s="113"/>
      <c r="S67" s="163"/>
    </row>
    <row r="68" spans="2:19">
      <c r="B68" s="145">
        <v>25</v>
      </c>
      <c r="C68">
        <v>494</v>
      </c>
      <c r="D68" s="162" t="s">
        <v>457</v>
      </c>
      <c r="E68" s="160" t="s">
        <v>1186</v>
      </c>
      <c r="F68" s="145">
        <f t="shared" si="0"/>
        <v>5</v>
      </c>
      <c r="G68" s="145">
        <f t="shared" si="1"/>
        <v>5</v>
      </c>
      <c r="I68" s="114"/>
      <c r="J68" s="114"/>
      <c r="K68" s="113"/>
      <c r="L68" s="111"/>
      <c r="P68" s="161"/>
      <c r="Q68" s="161"/>
      <c r="R68" s="113"/>
      <c r="S68" s="163"/>
    </row>
    <row r="69" spans="2:19">
      <c r="B69" s="145">
        <v>2</v>
      </c>
      <c r="C69">
        <v>768</v>
      </c>
      <c r="D69" s="162" t="s">
        <v>1199</v>
      </c>
      <c r="E69" s="139">
        <v>14</v>
      </c>
      <c r="F69" s="145">
        <f t="shared" si="0"/>
        <v>14</v>
      </c>
      <c r="G69" s="145">
        <f t="shared" si="1"/>
        <v>2117</v>
      </c>
      <c r="I69" s="114"/>
      <c r="J69" s="114"/>
      <c r="K69" s="113"/>
      <c r="L69" s="111"/>
      <c r="P69" s="161"/>
      <c r="Q69" s="161"/>
      <c r="R69" s="113"/>
      <c r="S69" s="163"/>
    </row>
    <row r="70" spans="2:19">
      <c r="B70" s="145">
        <v>221</v>
      </c>
      <c r="C70">
        <v>794</v>
      </c>
      <c r="D70" s="162" t="s">
        <v>1247</v>
      </c>
      <c r="E70" s="139">
        <v>17</v>
      </c>
      <c r="F70" s="145">
        <f t="shared" si="0"/>
        <v>17</v>
      </c>
      <c r="G70" s="145">
        <f t="shared" si="1"/>
        <v>56</v>
      </c>
      <c r="I70" s="114"/>
      <c r="J70" s="114"/>
      <c r="K70" s="113"/>
      <c r="L70" s="111"/>
      <c r="P70" s="161"/>
      <c r="Q70" s="161"/>
      <c r="R70" s="113"/>
      <c r="S70" s="163"/>
    </row>
    <row r="71" spans="2:19">
      <c r="B71" s="145">
        <v>281</v>
      </c>
      <c r="C71">
        <v>813</v>
      </c>
      <c r="D71" s="162" t="s">
        <v>460</v>
      </c>
      <c r="E71" s="160" t="s">
        <v>1186</v>
      </c>
      <c r="F71" s="145">
        <f t="shared" ref="F71" si="2">IF(ISNUMBER(E71), E71, 5)</f>
        <v>5</v>
      </c>
      <c r="G71" s="145">
        <f t="shared" ref="G71" si="3">SUMIF(B:B, B71, F:F)</f>
        <v>210</v>
      </c>
      <c r="I71" s="114"/>
      <c r="J71" s="114"/>
      <c r="K71" s="113"/>
      <c r="L71" s="111"/>
      <c r="P71" s="161"/>
      <c r="Q71" s="161"/>
      <c r="R71" s="113"/>
      <c r="S71" s="163"/>
    </row>
    <row r="72" spans="2:19">
      <c r="B72" s="164"/>
      <c r="C72" s="164"/>
      <c r="D72" s="165"/>
      <c r="E72" s="166"/>
      <c r="I72" s="114"/>
      <c r="J72" s="114"/>
      <c r="K72" s="113"/>
      <c r="L72" s="111"/>
      <c r="P72" s="161"/>
      <c r="Q72" s="161"/>
      <c r="R72" s="113"/>
      <c r="S72" s="163"/>
    </row>
    <row r="73" spans="2:19">
      <c r="B73" s="162"/>
      <c r="C73" s="162"/>
      <c r="E73" s="132"/>
      <c r="I73" s="167"/>
      <c r="J73" s="167"/>
      <c r="K73" s="113"/>
      <c r="L73" s="111"/>
      <c r="P73" s="161"/>
      <c r="Q73" s="161"/>
      <c r="R73" s="113"/>
      <c r="S73" s="163"/>
    </row>
    <row r="74" spans="2:19">
      <c r="B74" s="136"/>
      <c r="C74" s="136"/>
      <c r="E74" s="132"/>
      <c r="I74" s="161"/>
      <c r="J74" s="161"/>
      <c r="K74" s="113"/>
      <c r="L74" s="163"/>
      <c r="P74" s="161"/>
      <c r="Q74" s="161"/>
      <c r="R74" s="113"/>
      <c r="S74" s="163"/>
    </row>
    <row r="75" spans="2:19">
      <c r="D75" s="162"/>
      <c r="P75" s="161"/>
      <c r="Q75" s="161"/>
      <c r="R75" s="113"/>
      <c r="S75" s="163"/>
    </row>
    <row r="76" spans="2:19">
      <c r="P76" s="161"/>
      <c r="Q76" s="161"/>
      <c r="R76" s="113"/>
      <c r="S76" s="163"/>
    </row>
    <row r="77" spans="2:19">
      <c r="P77" s="161"/>
      <c r="Q77" s="161"/>
      <c r="R77" s="113"/>
      <c r="S77" s="163"/>
    </row>
    <row r="78" spans="2:19">
      <c r="P78" s="161"/>
      <c r="Q78" s="161"/>
      <c r="R78" s="113"/>
      <c r="S78" s="163"/>
    </row>
    <row r="79" spans="2:19">
      <c r="P79" s="161"/>
      <c r="Q79" s="161"/>
      <c r="R79" s="113"/>
      <c r="S79" s="163"/>
    </row>
    <row r="80" spans="2:19">
      <c r="P80" s="161"/>
      <c r="Q80" s="161"/>
      <c r="R80" s="113"/>
      <c r="S80" s="163"/>
    </row>
    <row r="81" spans="16:19">
      <c r="P81" s="161"/>
      <c r="Q81" s="161"/>
      <c r="R81" s="113"/>
      <c r="S81" s="163"/>
    </row>
    <row r="82" spans="16:19">
      <c r="P82" s="161"/>
      <c r="Q82" s="161"/>
      <c r="R82" s="113"/>
      <c r="S82" s="163"/>
    </row>
    <row r="83" spans="16:19">
      <c r="P83" s="161"/>
      <c r="Q83" s="161"/>
      <c r="R83" s="113"/>
      <c r="S83" s="163"/>
    </row>
    <row r="84" spans="16:19">
      <c r="P84" s="161"/>
      <c r="Q84" s="161"/>
      <c r="R84" s="113"/>
      <c r="S84" s="163"/>
    </row>
    <row r="85" spans="16:19">
      <c r="P85" s="161"/>
      <c r="Q85" s="161"/>
      <c r="R85" s="113"/>
      <c r="S85" s="163"/>
    </row>
    <row r="86" spans="16:19">
      <c r="P86" s="161"/>
      <c r="Q86" s="161"/>
      <c r="R86" s="113"/>
      <c r="S86" s="163"/>
    </row>
    <row r="87" spans="16:19">
      <c r="P87" s="161"/>
      <c r="Q87" s="161"/>
      <c r="R87" s="113"/>
      <c r="S87" s="163"/>
    </row>
    <row r="88" spans="16:19">
      <c r="P88" s="161"/>
      <c r="Q88" s="161"/>
      <c r="R88" s="113"/>
      <c r="S88" s="163"/>
    </row>
    <row r="89" spans="16:19">
      <c r="P89" s="161"/>
      <c r="Q89" s="161"/>
      <c r="R89" s="113"/>
      <c r="S89" s="163"/>
    </row>
    <row r="90" spans="16:19">
      <c r="P90" s="161"/>
      <c r="Q90" s="161"/>
      <c r="R90" s="113"/>
      <c r="S90" s="163"/>
    </row>
    <row r="91" spans="16:19">
      <c r="P91" s="161"/>
      <c r="Q91" s="161"/>
      <c r="R91" s="113"/>
      <c r="S91" s="163"/>
    </row>
    <row r="92" spans="16:19">
      <c r="P92" s="161"/>
      <c r="Q92" s="161"/>
      <c r="R92" s="113"/>
      <c r="S92" s="163"/>
    </row>
    <row r="93" spans="16:19">
      <c r="P93" s="161"/>
      <c r="Q93" s="161"/>
      <c r="R93" s="113"/>
      <c r="S93" s="163"/>
    </row>
    <row r="94" spans="16:19">
      <c r="P94" s="161"/>
      <c r="Q94" s="161"/>
      <c r="R94" s="113"/>
      <c r="S94" s="163"/>
    </row>
    <row r="95" spans="16:19">
      <c r="P95" s="161"/>
      <c r="Q95" s="161"/>
      <c r="R95" s="113"/>
      <c r="S95" s="163"/>
    </row>
    <row r="96" spans="16:19">
      <c r="P96" s="161"/>
      <c r="Q96" s="161"/>
      <c r="R96" s="113"/>
      <c r="S96" s="163"/>
    </row>
    <row r="97" spans="16:19">
      <c r="P97" s="161"/>
      <c r="Q97" s="161"/>
      <c r="R97" s="113"/>
      <c r="S97" s="163"/>
    </row>
    <row r="98" spans="16:19">
      <c r="P98" s="161"/>
      <c r="Q98" s="161"/>
      <c r="R98" s="113"/>
      <c r="S98" s="163"/>
    </row>
  </sheetData>
  <autoFilter ref="C5:S74"/>
  <mergeCells count="1">
    <mergeCell ref="J10:N1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4"/>
  <sheetViews>
    <sheetView workbookViewId="0">
      <selection activeCell="SS10" sqref="SS10"/>
    </sheetView>
  </sheetViews>
  <sheetFormatPr defaultColWidth="9.1796875" defaultRowHeight="14.5"/>
  <cols>
    <col min="1" max="1" width="9.1796875" style="4"/>
    <col min="2" max="2" width="13.54296875" style="4" customWidth="1"/>
    <col min="3" max="16384" width="9.1796875" style="4"/>
  </cols>
  <sheetData>
    <row r="2" spans="2:4">
      <c r="B2" s="746" t="s">
        <v>1385</v>
      </c>
      <c r="D2" s="4" t="s">
        <v>1472</v>
      </c>
    </row>
    <row r="3" spans="2:4">
      <c r="B3" s="746" t="s">
        <v>1386</v>
      </c>
    </row>
    <row r="4" spans="2:4">
      <c r="B4" s="746" t="s">
        <v>1471</v>
      </c>
    </row>
    <row r="5" spans="2:4">
      <c r="B5" s="747" t="s">
        <v>1387</v>
      </c>
    </row>
    <row r="6" spans="2:4">
      <c r="B6" s="748">
        <v>42936</v>
      </c>
    </row>
    <row r="7" spans="2:4">
      <c r="B7" s="749"/>
    </row>
    <row r="8" spans="2:4">
      <c r="B8" s="746" t="s">
        <v>1388</v>
      </c>
    </row>
    <row r="9" spans="2:4">
      <c r="B9" s="746" t="s">
        <v>2725</v>
      </c>
    </row>
    <row r="10" spans="2:4">
      <c r="B10" s="746"/>
    </row>
    <row r="11" spans="2:4">
      <c r="B11" s="749"/>
    </row>
    <row r="12" spans="2:4">
      <c r="B12" s="746" t="s">
        <v>1389</v>
      </c>
    </row>
    <row r="13" spans="2:4">
      <c r="B13" s="747" t="s">
        <v>481</v>
      </c>
    </row>
    <row r="14" spans="2:4">
      <c r="B14" s="748" t="s">
        <v>1521</v>
      </c>
    </row>
    <row r="15" spans="2:4">
      <c r="B15" s="749"/>
    </row>
    <row r="16" spans="2:4">
      <c r="B16" s="746" t="s">
        <v>1391</v>
      </c>
    </row>
    <row r="17" spans="2:3">
      <c r="B17" s="746" t="s">
        <v>1392</v>
      </c>
    </row>
    <row r="18" spans="2:3">
      <c r="B18" s="746"/>
    </row>
    <row r="19" spans="2:3">
      <c r="B19" s="749"/>
    </row>
    <row r="20" spans="2:3">
      <c r="B20" s="746" t="s">
        <v>1393</v>
      </c>
    </row>
    <row r="21" spans="2:3">
      <c r="B21" s="746" t="s">
        <v>1390</v>
      </c>
    </row>
    <row r="22" spans="2:3">
      <c r="B22" s="747" t="s">
        <v>276</v>
      </c>
    </row>
    <row r="23" spans="2:3">
      <c r="B23" s="750"/>
    </row>
    <row r="24" spans="2:3">
      <c r="B24" s="746" t="s">
        <v>1394</v>
      </c>
    </row>
    <row r="25" spans="2:3">
      <c r="B25" s="746" t="s">
        <v>1395</v>
      </c>
    </row>
    <row r="26" spans="2:3">
      <c r="B26" s="748"/>
    </row>
    <row r="27" spans="2:3">
      <c r="B27" s="749"/>
    </row>
    <row r="28" spans="2:3">
      <c r="B28" s="746" t="s">
        <v>2726</v>
      </c>
    </row>
    <row r="29" spans="2:3">
      <c r="B29" s="746" t="s">
        <v>1396</v>
      </c>
    </row>
    <row r="30" spans="2:3">
      <c r="B30" s="750"/>
    </row>
    <row r="32" spans="2:3">
      <c r="B32" s="4" t="s">
        <v>1459</v>
      </c>
      <c r="C32" s="4" t="s">
        <v>1473</v>
      </c>
    </row>
    <row r="33" spans="2:2">
      <c r="B33" s="4" t="s">
        <v>1460</v>
      </c>
    </row>
    <row r="34" spans="2:2">
      <c r="B34" s="751"/>
    </row>
  </sheetData>
  <hyperlinks>
    <hyperlink ref="B5" r:id="rId1"/>
    <hyperlink ref="B13" r:id="rId2" display="http://apps.sde.idaho.gov/CFSGA/ViewReport?reportName=Title1SchoolStatus&amp;selectedYear=2014-2015"/>
    <hyperlink ref="B22" r:id="rId3" display="http://www.sde.idaho.gov/finan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7"/>
  <sheetViews>
    <sheetView zoomScaleNormal="100" workbookViewId="0">
      <selection activeCell="G10" sqref="G10"/>
    </sheetView>
  </sheetViews>
  <sheetFormatPr defaultRowHeight="14.5"/>
  <cols>
    <col min="1" max="1" width="3" style="40" customWidth="1"/>
    <col min="2" max="2" width="29.7265625" customWidth="1"/>
    <col min="3" max="3" width="13" customWidth="1"/>
    <col min="4" max="4" width="14.26953125" customWidth="1"/>
    <col min="5" max="5" width="11.1796875" customWidth="1"/>
    <col min="6" max="6" width="14.7265625" customWidth="1"/>
    <col min="7" max="7" width="15.54296875" customWidth="1"/>
    <col min="8" max="8" width="14.26953125" customWidth="1"/>
    <col min="9" max="9" width="10.1796875" customWidth="1"/>
    <col min="10" max="10" width="9.7265625" customWidth="1"/>
    <col min="11" max="11" width="11.26953125" customWidth="1"/>
    <col min="12" max="12" width="8.81640625" customWidth="1"/>
    <col min="13" max="13" width="3.7265625" style="40" customWidth="1"/>
    <col min="14" max="15" width="9.1796875" style="40"/>
    <col min="16" max="16" width="38.26953125" customWidth="1"/>
    <col min="17" max="17" width="4.453125" customWidth="1"/>
    <col min="18" max="18" width="22.7265625" customWidth="1"/>
    <col min="19" max="19" width="20.1796875" customWidth="1"/>
    <col min="20" max="20" width="13.7265625" style="40" customWidth="1"/>
    <col min="21" max="21" width="9.1796875" style="40"/>
  </cols>
  <sheetData>
    <row r="1" spans="1:21" s="40" customFormat="1"/>
    <row r="2" spans="1:21" ht="20">
      <c r="B2" s="297" t="s">
        <v>1384</v>
      </c>
      <c r="C2" s="40"/>
      <c r="D2" s="40"/>
      <c r="E2" s="40"/>
      <c r="F2" s="40"/>
      <c r="G2" s="40"/>
      <c r="H2" s="40"/>
      <c r="I2" s="40"/>
      <c r="J2" s="40"/>
      <c r="K2" s="40"/>
      <c r="L2" s="40"/>
      <c r="P2" s="40"/>
      <c r="Q2" s="40"/>
      <c r="R2" s="40"/>
      <c r="S2" s="40"/>
    </row>
    <row r="3" spans="1:21">
      <c r="B3" s="40"/>
      <c r="C3" s="40"/>
      <c r="D3" s="40"/>
      <c r="E3" s="40"/>
      <c r="F3" s="40"/>
      <c r="G3" s="40"/>
      <c r="H3" s="40"/>
      <c r="I3" s="40"/>
      <c r="J3" s="40"/>
      <c r="K3" s="40"/>
      <c r="L3" s="40"/>
      <c r="P3" s="40"/>
      <c r="Q3" s="40"/>
      <c r="R3" s="40"/>
      <c r="S3" s="40"/>
    </row>
    <row r="4" spans="1:21">
      <c r="B4" s="188" t="s">
        <v>1311</v>
      </c>
      <c r="C4" s="210"/>
      <c r="D4" s="211"/>
      <c r="E4" s="210"/>
      <c r="F4" s="210"/>
      <c r="G4" s="210"/>
      <c r="H4" s="210"/>
      <c r="I4" s="40"/>
      <c r="J4" s="40"/>
      <c r="K4" s="40"/>
      <c r="L4" s="40"/>
      <c r="P4" s="188" t="s">
        <v>1466</v>
      </c>
      <c r="Q4" s="210"/>
      <c r="R4" s="210"/>
      <c r="S4" s="210"/>
    </row>
    <row r="5" spans="1:21" hidden="1">
      <c r="B5" s="319" t="s">
        <v>1312</v>
      </c>
      <c r="C5" s="210"/>
      <c r="D5" s="210"/>
      <c r="E5" s="210"/>
      <c r="F5" s="210"/>
      <c r="G5" s="210"/>
      <c r="H5" s="210"/>
      <c r="I5" s="40"/>
      <c r="J5" s="40"/>
      <c r="K5" s="40"/>
      <c r="L5" s="40"/>
      <c r="P5" s="319" t="s">
        <v>1349</v>
      </c>
      <c r="Q5" s="319"/>
      <c r="R5" s="319"/>
      <c r="S5" s="319"/>
    </row>
    <row r="6" spans="1:21" hidden="1">
      <c r="B6" s="210"/>
      <c r="C6" s="210"/>
      <c r="D6" s="210"/>
      <c r="E6" s="210"/>
      <c r="F6" s="210"/>
      <c r="G6" s="210"/>
      <c r="H6" s="210"/>
      <c r="I6" s="40"/>
      <c r="J6" s="40"/>
      <c r="K6" s="40"/>
      <c r="L6" s="40"/>
      <c r="P6" s="419" t="s">
        <v>1350</v>
      </c>
      <c r="Q6" s="319"/>
      <c r="R6" s="319"/>
      <c r="S6" s="319"/>
    </row>
    <row r="7" spans="1:21" ht="28">
      <c r="B7" s="407"/>
      <c r="C7" s="964" t="s">
        <v>1343</v>
      </c>
      <c r="D7" s="965"/>
      <c r="E7" s="966"/>
      <c r="F7" s="967" t="s">
        <v>1433</v>
      </c>
      <c r="G7" s="967"/>
      <c r="H7" s="967"/>
      <c r="I7" s="967" t="s">
        <v>1434</v>
      </c>
      <c r="J7" s="967"/>
      <c r="K7" s="967"/>
      <c r="L7" s="967"/>
      <c r="P7" s="420"/>
      <c r="Q7" s="421"/>
      <c r="R7" s="422" t="s">
        <v>1351</v>
      </c>
      <c r="S7" s="423" t="s">
        <v>1352</v>
      </c>
    </row>
    <row r="8" spans="1:21" s="128" customFormat="1" ht="30.75" customHeight="1">
      <c r="A8" s="489"/>
      <c r="B8" s="490" t="s">
        <v>1185</v>
      </c>
      <c r="C8" s="491" t="s">
        <v>1344</v>
      </c>
      <c r="D8" s="491" t="s">
        <v>1346</v>
      </c>
      <c r="E8" s="491" t="s">
        <v>1342</v>
      </c>
      <c r="F8" s="491" t="s">
        <v>1315</v>
      </c>
      <c r="G8" s="491" t="s">
        <v>1316</v>
      </c>
      <c r="H8" s="491" t="s">
        <v>1317</v>
      </c>
      <c r="I8" s="491" t="s">
        <v>1315</v>
      </c>
      <c r="J8" s="491" t="s">
        <v>1316</v>
      </c>
      <c r="K8" s="491" t="s">
        <v>1317</v>
      </c>
      <c r="L8" s="491" t="s">
        <v>1324</v>
      </c>
      <c r="M8" s="489"/>
      <c r="N8" s="489"/>
      <c r="O8" s="489"/>
      <c r="P8" s="424" t="s">
        <v>1353</v>
      </c>
      <c r="Q8" s="425"/>
      <c r="R8" s="425"/>
      <c r="S8" s="426"/>
      <c r="T8" s="489"/>
      <c r="U8" s="489"/>
    </row>
    <row r="9" spans="1:21">
      <c r="B9" s="412" t="str">
        <f>'2. Results'!B16</f>
        <v>Boise Independent</v>
      </c>
      <c r="C9" s="492">
        <f>'2. Results'!C16</f>
        <v>24238</v>
      </c>
      <c r="D9" s="487">
        <f>'2. Results'!D16</f>
        <v>694830.44376598729</v>
      </c>
      <c r="E9" s="493">
        <f>'2. Results'!E16</f>
        <v>0.3524982351556985</v>
      </c>
      <c r="F9" s="488">
        <f>'2. Results'!K16</f>
        <v>20705949</v>
      </c>
      <c r="G9" s="488">
        <f>'2. Results'!L16</f>
        <v>131460543</v>
      </c>
      <c r="H9" s="488">
        <f>'2. Results'!R16</f>
        <v>254480291</v>
      </c>
      <c r="I9" s="488">
        <f>'2. Results'!Y16</f>
        <v>854.27630167505572</v>
      </c>
      <c r="J9" s="488" t="e">
        <f>'2. Results'!#REF!</f>
        <v>#REF!</v>
      </c>
      <c r="K9" s="488" t="e">
        <f>'2. Results'!#REF!</f>
        <v>#REF!</v>
      </c>
      <c r="L9" s="499" t="e">
        <f>'2. Results'!#REF!</f>
        <v>#REF!</v>
      </c>
      <c r="P9" s="427" t="s">
        <v>1354</v>
      </c>
      <c r="Q9" s="428"/>
      <c r="R9" s="429">
        <f>'2. Results'!D29</f>
        <v>38</v>
      </c>
      <c r="S9" s="430">
        <f>'2. Results'!E29</f>
        <v>116</v>
      </c>
    </row>
    <row r="10" spans="1:21">
      <c r="B10" s="412" t="str">
        <f>'2. Results'!B17</f>
        <v>Meridian Joint</v>
      </c>
      <c r="C10" s="492">
        <f>'2. Results'!C17</f>
        <v>34911</v>
      </c>
      <c r="D10" s="487">
        <f>'2. Results'!D17</f>
        <v>435012.0196213228</v>
      </c>
      <c r="E10" s="493">
        <f>'2. Results'!E17</f>
        <v>0.26971913320101143</v>
      </c>
      <c r="F10" s="488">
        <f>'2. Results'!K17</f>
        <v>16155252</v>
      </c>
      <c r="G10" s="488">
        <f>'2. Results'!L17</f>
        <v>189607584</v>
      </c>
      <c r="H10" s="488">
        <f>'2. Results'!R17</f>
        <v>292228946</v>
      </c>
      <c r="I10" s="488">
        <f>'2. Results'!Y17</f>
        <v>462.75534931683421</v>
      </c>
      <c r="J10" s="488" t="e">
        <f>'2. Results'!#REF!</f>
        <v>#REF!</v>
      </c>
      <c r="K10" s="488" t="e">
        <f>'2. Results'!#REF!</f>
        <v>#REF!</v>
      </c>
      <c r="L10" s="499" t="e">
        <f>'2. Results'!#REF!</f>
        <v>#REF!</v>
      </c>
      <c r="P10" s="431" t="s">
        <v>1355</v>
      </c>
      <c r="Q10" s="432"/>
      <c r="R10" s="433">
        <f>'2. Results'!D30</f>
        <v>0.73496284404857459</v>
      </c>
      <c r="S10" s="434">
        <f>'2. Results'!E30</f>
        <v>0.26503715595142541</v>
      </c>
    </row>
    <row r="11" spans="1:21">
      <c r="B11" s="412" t="str">
        <f>'2. Results'!B18</f>
        <v>Nampa</v>
      </c>
      <c r="C11" s="492">
        <f>'2. Results'!C18</f>
        <v>14413</v>
      </c>
      <c r="D11" s="487">
        <f>'2. Results'!D18</f>
        <v>271543.59709984041</v>
      </c>
      <c r="E11" s="493">
        <f>'2. Results'!E18</f>
        <v>0.60365717683788001</v>
      </c>
      <c r="F11" s="488">
        <f>'2. Results'!K18</f>
        <v>15340948</v>
      </c>
      <c r="G11" s="488">
        <f>'2. Results'!L18</f>
        <v>81437455</v>
      </c>
      <c r="H11" s="488">
        <f>'2. Results'!R18</f>
        <v>118470672</v>
      </c>
      <c r="I11" s="488">
        <f>'2. Results'!Y18</f>
        <v>1064.382710053424</v>
      </c>
      <c r="J11" s="488" t="e">
        <f>'2. Results'!#REF!</f>
        <v>#REF!</v>
      </c>
      <c r="K11" s="488" t="e">
        <f>'2. Results'!#REF!</f>
        <v>#REF!</v>
      </c>
      <c r="L11" s="499" t="e">
        <f>'2. Results'!#REF!</f>
        <v>#REF!</v>
      </c>
      <c r="P11" s="431" t="s">
        <v>1356</v>
      </c>
      <c r="Q11" s="432"/>
      <c r="R11" s="435">
        <f>'2. Results'!D31</f>
        <v>284.19567746349401</v>
      </c>
      <c r="S11" s="436">
        <f>'2. Results'!E31</f>
        <v>-1328.4428801520262</v>
      </c>
    </row>
    <row r="12" spans="1:21">
      <c r="B12" s="412" t="str">
        <f>'2. Results'!B19</f>
        <v>Idaho Falls</v>
      </c>
      <c r="C12" s="492">
        <f>'2. Results'!C19</f>
        <v>9490</v>
      </c>
      <c r="D12" s="487">
        <f>'2. Results'!D19</f>
        <v>308800.54236037936</v>
      </c>
      <c r="E12" s="493">
        <f>'2. Results'!E19</f>
        <v>0.49492940942533309</v>
      </c>
      <c r="F12" s="488">
        <f>'2. Results'!K19</f>
        <v>7208708</v>
      </c>
      <c r="G12" s="488">
        <f>'2. Results'!L19</f>
        <v>51055947</v>
      </c>
      <c r="H12" s="488">
        <f>'2. Results'!R19</f>
        <v>77207056</v>
      </c>
      <c r="I12" s="488">
        <f>'2. Results'!Y19</f>
        <v>759.61095890410957</v>
      </c>
      <c r="J12" s="488" t="e">
        <f>'2. Results'!#REF!</f>
        <v>#REF!</v>
      </c>
      <c r="K12" s="488" t="e">
        <f>'2. Results'!#REF!</f>
        <v>#REF!</v>
      </c>
      <c r="L12" s="499" t="e">
        <f>'2. Results'!#REF!</f>
        <v>#REF!</v>
      </c>
      <c r="P12" s="431" t="s">
        <v>1357</v>
      </c>
      <c r="Q12" s="432"/>
      <c r="R12" s="437">
        <f>'2. Results'!D32</f>
        <v>5.1811598777668291E-2</v>
      </c>
      <c r="S12" s="438">
        <f>'2. Results'!E32</f>
        <v>-0.18778359991509816</v>
      </c>
    </row>
    <row r="13" spans="1:21">
      <c r="B13" s="412" t="str">
        <f>'2. Results'!B20</f>
        <v>Syringa Mountain School</v>
      </c>
      <c r="C13" s="492">
        <f>'2. Results'!C20</f>
        <v>118</v>
      </c>
      <c r="D13" s="487">
        <f>'2. Results'!D20</f>
        <v>0</v>
      </c>
      <c r="E13" s="493">
        <f>'2. Results'!E20</f>
        <v>0.31538461538461537</v>
      </c>
      <c r="F13" s="488">
        <f>'2. Results'!K20</f>
        <v>33003</v>
      </c>
      <c r="G13" s="488">
        <f>'2. Results'!L20</f>
        <v>721117</v>
      </c>
      <c r="H13" s="488">
        <f>'2. Results'!R20</f>
        <v>1143099</v>
      </c>
      <c r="I13" s="488">
        <f>'2. Results'!Y20</f>
        <v>279.68644067796612</v>
      </c>
      <c r="J13" s="488" t="e">
        <f>'2. Results'!#REF!</f>
        <v>#REF!</v>
      </c>
      <c r="K13" s="488" t="e">
        <f>'2. Results'!#REF!</f>
        <v>#REF!</v>
      </c>
      <c r="L13" s="499" t="e">
        <f>'2. Results'!#REF!</f>
        <v>#REF!</v>
      </c>
      <c r="P13" s="431" t="s">
        <v>1360</v>
      </c>
      <c r="Q13" s="432"/>
      <c r="R13" s="435">
        <f>'2. Results'!D33</f>
        <v>302.46699677072695</v>
      </c>
      <c r="S13" s="439">
        <f>'2. Results'!E33</f>
        <v>-2870.2091167021599</v>
      </c>
    </row>
    <row r="14" spans="1:21">
      <c r="B14" s="412" t="str">
        <f>'2. Results'!B21</f>
        <v>Heritage Community Charter Sch</v>
      </c>
      <c r="C14" s="492">
        <f>'2. Results'!C21</f>
        <v>461</v>
      </c>
      <c r="D14" s="487">
        <f>'2. Results'!D21</f>
        <v>0</v>
      </c>
      <c r="E14" s="493">
        <f>'2. Results'!E21</f>
        <v>0.71296296296296291</v>
      </c>
      <c r="F14" s="488">
        <f>'2. Results'!K21</f>
        <v>463862</v>
      </c>
      <c r="G14" s="488">
        <f>'2. Results'!L21</f>
        <v>2625599</v>
      </c>
      <c r="H14" s="488">
        <f>'2. Results'!R21</f>
        <v>3209337</v>
      </c>
      <c r="I14" s="488">
        <f>'2. Results'!Y21</f>
        <v>1006.2082429501085</v>
      </c>
      <c r="J14" s="488" t="e">
        <f>'2. Results'!#REF!</f>
        <v>#REF!</v>
      </c>
      <c r="K14" s="488" t="e">
        <f>'2. Results'!#REF!</f>
        <v>#REF!</v>
      </c>
      <c r="L14" s="499" t="e">
        <f>'2. Results'!#REF!</f>
        <v>#REF!</v>
      </c>
      <c r="P14" s="440" t="s">
        <v>1359</v>
      </c>
      <c r="Q14" s="441"/>
      <c r="R14" s="442">
        <f>'2. Results'!D34</f>
        <v>5.7318789287631046E-2</v>
      </c>
      <c r="S14" s="443">
        <f>'2. Results'!E34</f>
        <v>-0.23785635676763406</v>
      </c>
    </row>
    <row r="15" spans="1:21" hidden="1">
      <c r="B15" s="412" t="str">
        <f>'2. Results'!B21</f>
        <v>Heritage Community Charter Sch</v>
      </c>
      <c r="C15" s="410">
        <f>'2. Results'!C21</f>
        <v>461</v>
      </c>
      <c r="D15" s="487">
        <f>'2. Results'!D21</f>
        <v>0</v>
      </c>
      <c r="E15" s="306">
        <f>'2. Results'!E21</f>
        <v>0.71296296296296291</v>
      </c>
      <c r="F15" s="488">
        <f>'2. Results'!K21</f>
        <v>463862</v>
      </c>
      <c r="G15" s="488">
        <f>'2. Results'!L21</f>
        <v>2625599</v>
      </c>
      <c r="H15" s="488">
        <f>'2. Results'!R21</f>
        <v>3209337</v>
      </c>
      <c r="I15" s="488">
        <f>'2. Results'!Y21</f>
        <v>1006.2082429501085</v>
      </c>
      <c r="J15" s="488" t="e">
        <f>'2. Results'!#REF!</f>
        <v>#REF!</v>
      </c>
      <c r="K15" s="488" t="e">
        <f>'2. Results'!#REF!</f>
        <v>#REF!</v>
      </c>
      <c r="L15" s="488" t="e">
        <f>'2. Results'!#REF!</f>
        <v>#REF!</v>
      </c>
      <c r="P15" s="444"/>
      <c r="Q15" s="425"/>
      <c r="R15" s="425"/>
      <c r="S15" s="426"/>
    </row>
    <row r="16" spans="1:21">
      <c r="B16" s="40"/>
      <c r="C16" s="40"/>
      <c r="D16" s="40"/>
      <c r="E16" s="40"/>
      <c r="F16" s="40"/>
      <c r="G16" s="40"/>
      <c r="H16" s="40"/>
      <c r="I16" s="40"/>
      <c r="J16" s="40"/>
      <c r="K16" s="40"/>
      <c r="L16" s="40"/>
      <c r="P16" s="445" t="s">
        <v>1361</v>
      </c>
      <c r="Q16" s="464">
        <f>'2. Results'!C36</f>
        <v>300</v>
      </c>
      <c r="R16" s="465" t="s">
        <v>1447</v>
      </c>
      <c r="S16" s="446"/>
    </row>
    <row r="17" spans="2:19">
      <c r="B17" s="188" t="s">
        <v>1348</v>
      </c>
      <c r="C17" s="40"/>
      <c r="D17" s="40"/>
      <c r="E17" s="40"/>
      <c r="F17" s="40"/>
      <c r="G17" s="40"/>
      <c r="H17" s="40"/>
      <c r="I17" s="40"/>
      <c r="J17" s="40"/>
      <c r="K17" s="40"/>
      <c r="L17" s="40"/>
      <c r="P17" s="427" t="s">
        <v>1362</v>
      </c>
      <c r="Q17" s="428"/>
      <c r="R17" s="429">
        <f>'2. Results'!D37</f>
        <v>2</v>
      </c>
      <c r="S17" s="430">
        <f>'2. Results'!E37</f>
        <v>53</v>
      </c>
    </row>
    <row r="18" spans="2:19">
      <c r="B18" s="40"/>
      <c r="C18" s="40"/>
      <c r="D18" s="40"/>
      <c r="E18" s="40"/>
      <c r="F18" s="40"/>
      <c r="G18" s="40"/>
      <c r="H18" s="40"/>
      <c r="I18" s="40"/>
      <c r="J18" s="40"/>
      <c r="K18" s="40"/>
      <c r="L18" s="40"/>
      <c r="P18" s="431" t="s">
        <v>1355</v>
      </c>
      <c r="Q18" s="432"/>
      <c r="R18" s="433">
        <f>'2. Results'!D38</f>
        <v>1.675624290263994E-3</v>
      </c>
      <c r="S18" s="438">
        <f>'2. Results'!E38</f>
        <v>3.1803570966202697E-2</v>
      </c>
    </row>
    <row r="19" spans="2:19">
      <c r="B19" s="40"/>
      <c r="C19" s="40"/>
      <c r="D19" s="40"/>
      <c r="E19" s="40"/>
      <c r="F19" s="40"/>
      <c r="G19" s="40"/>
      <c r="H19" s="40"/>
      <c r="I19" s="40"/>
      <c r="J19" s="40"/>
      <c r="K19" s="40"/>
      <c r="L19" s="40"/>
      <c r="P19" s="431" t="s">
        <v>1356</v>
      </c>
      <c r="Q19" s="432"/>
      <c r="R19" s="435">
        <f>'2. Results'!D39</f>
        <v>207.05385654630311</v>
      </c>
      <c r="S19" s="436">
        <f>'2. Results'!E39</f>
        <v>-3296.3906976744188</v>
      </c>
    </row>
    <row r="20" spans="2:19">
      <c r="B20" s="40"/>
      <c r="C20" s="40"/>
      <c r="D20" s="40"/>
      <c r="E20" s="40"/>
      <c r="F20" s="40"/>
      <c r="G20" s="40"/>
      <c r="H20" s="40"/>
      <c r="I20" s="40"/>
      <c r="J20" s="40"/>
      <c r="K20" s="40"/>
      <c r="L20" s="40"/>
      <c r="P20" s="431" t="s">
        <v>1357</v>
      </c>
      <c r="Q20" s="432"/>
      <c r="R20" s="437">
        <f>'2. Results'!D40</f>
        <v>3.6437661844696725E-2</v>
      </c>
      <c r="S20" s="436">
        <f>'2. Results'!E40</f>
        <v>-0.36512929786473314</v>
      </c>
    </row>
    <row r="21" spans="2:19">
      <c r="B21" s="40"/>
      <c r="C21" s="40"/>
      <c r="D21" s="40"/>
      <c r="E21" s="40"/>
      <c r="F21" s="40"/>
      <c r="G21" s="40"/>
      <c r="H21" s="40"/>
      <c r="I21" s="40"/>
      <c r="J21" s="40"/>
      <c r="K21" s="40"/>
      <c r="L21" s="40"/>
      <c r="P21" s="431" t="s">
        <v>1360</v>
      </c>
      <c r="Q21" s="432"/>
      <c r="R21" s="435">
        <f>'2. Results'!D41</f>
        <v>207.053856546303</v>
      </c>
      <c r="S21" s="439">
        <f>'2. Results'!E41</f>
        <v>-5324.3878276303885</v>
      </c>
    </row>
    <row r="22" spans="2:19">
      <c r="B22" s="40"/>
      <c r="C22" s="40"/>
      <c r="D22" s="40"/>
      <c r="E22" s="40"/>
      <c r="F22" s="40"/>
      <c r="G22" s="40"/>
      <c r="H22" s="40"/>
      <c r="I22" s="40"/>
      <c r="J22" s="40"/>
      <c r="K22" s="40"/>
      <c r="L22" s="40"/>
      <c r="P22" s="440" t="s">
        <v>1359</v>
      </c>
      <c r="Q22" s="441"/>
      <c r="R22" s="442">
        <f>'2. Results'!D42</f>
        <v>3.6437661844696725E-2</v>
      </c>
      <c r="S22" s="443">
        <f>'2. Results'!E42</f>
        <v>-0.38323529445369647</v>
      </c>
    </row>
    <row r="23" spans="2:19">
      <c r="B23" s="40"/>
      <c r="C23" s="40"/>
      <c r="D23" s="40"/>
      <c r="E23" s="40"/>
      <c r="F23" s="40"/>
      <c r="G23" s="40"/>
      <c r="H23" s="40"/>
      <c r="I23" s="40"/>
      <c r="J23" s="40"/>
      <c r="K23" s="40"/>
      <c r="L23" s="40"/>
      <c r="P23" s="444"/>
      <c r="Q23" s="425"/>
      <c r="R23" s="425"/>
      <c r="S23" s="426"/>
    </row>
    <row r="24" spans="2:19">
      <c r="B24" s="40"/>
      <c r="C24" s="40"/>
      <c r="D24" s="40"/>
      <c r="E24" s="40"/>
      <c r="F24" s="40"/>
      <c r="G24" s="40"/>
      <c r="H24" s="40"/>
      <c r="I24" s="40"/>
      <c r="J24" s="40"/>
      <c r="K24" s="40"/>
      <c r="L24" s="40"/>
      <c r="P24" s="445" t="s">
        <v>1364</v>
      </c>
      <c r="Q24" s="428"/>
      <c r="R24" s="428"/>
      <c r="S24" s="446"/>
    </row>
    <row r="25" spans="2:19">
      <c r="B25" s="40"/>
      <c r="C25" s="40"/>
      <c r="D25" s="40"/>
      <c r="E25" s="40"/>
      <c r="F25" s="40"/>
      <c r="G25" s="40"/>
      <c r="H25" s="40"/>
      <c r="I25" s="40"/>
      <c r="J25" s="40"/>
      <c r="K25" s="40"/>
      <c r="L25" s="40"/>
      <c r="P25" s="427" t="s">
        <v>1365</v>
      </c>
      <c r="Q25" s="428"/>
      <c r="R25" s="429">
        <f>'2. Results'!D45</f>
        <v>36</v>
      </c>
      <c r="S25" s="430">
        <f>'2. Results'!E45</f>
        <v>63</v>
      </c>
    </row>
    <row r="26" spans="2:19">
      <c r="B26" s="40"/>
      <c r="C26" s="40"/>
      <c r="D26" s="40"/>
      <c r="E26" s="40"/>
      <c r="F26" s="40"/>
      <c r="G26" s="40"/>
      <c r="H26" s="40"/>
      <c r="I26" s="40"/>
      <c r="J26" s="40"/>
      <c r="K26" s="40"/>
      <c r="L26" s="40"/>
      <c r="P26" s="431" t="s">
        <v>1355</v>
      </c>
      <c r="Q26" s="432"/>
      <c r="R26" s="433">
        <f>'2. Results'!D46</f>
        <v>0.73328721975831057</v>
      </c>
      <c r="S26" s="434">
        <f>'2. Results'!E46</f>
        <v>0.2332335849852227</v>
      </c>
    </row>
    <row r="27" spans="2:19">
      <c r="B27" s="40"/>
      <c r="C27" s="40"/>
      <c r="D27" s="40"/>
      <c r="E27" s="40"/>
      <c r="F27" s="40"/>
      <c r="G27" s="40"/>
      <c r="H27" s="40"/>
      <c r="I27" s="40"/>
      <c r="J27" s="40"/>
      <c r="K27" s="40"/>
      <c r="L27" s="40"/>
      <c r="P27" s="431" t="s">
        <v>1356</v>
      </c>
      <c r="Q27" s="432"/>
      <c r="R27" s="435">
        <f>'2. Results'!D47</f>
        <v>284.19567746349401</v>
      </c>
      <c r="S27" s="436">
        <f>'2. Results'!E47</f>
        <v>-602.96597633136093</v>
      </c>
    </row>
    <row r="28" spans="2:19">
      <c r="B28" s="40"/>
      <c r="C28" s="40"/>
      <c r="D28" s="40"/>
      <c r="E28" s="40"/>
      <c r="F28" s="40"/>
      <c r="G28" s="40"/>
      <c r="H28" s="40"/>
      <c r="I28" s="40"/>
      <c r="J28" s="40"/>
      <c r="K28" s="40"/>
      <c r="L28" s="40"/>
      <c r="P28" s="431" t="s">
        <v>1357</v>
      </c>
      <c r="Q28" s="432"/>
      <c r="R28" s="437">
        <f>'2. Results'!D48</f>
        <v>5.1811598777668291E-2</v>
      </c>
      <c r="S28" s="447">
        <f>'2. Results'!E48</f>
        <v>-9.4352725327446929E-2</v>
      </c>
    </row>
    <row r="29" spans="2:19" s="40" customFormat="1">
      <c r="P29" s="431" t="s">
        <v>1360</v>
      </c>
      <c r="Q29" s="432"/>
      <c r="R29" s="435">
        <f>'2. Results'!D49</f>
        <v>307.76772678319492</v>
      </c>
      <c r="S29" s="439">
        <f>'2. Results'!E49</f>
        <v>-805.5825821117437</v>
      </c>
    </row>
    <row r="30" spans="2:19" s="40" customFormat="1">
      <c r="P30" s="440" t="s">
        <v>1359</v>
      </c>
      <c r="Q30" s="441"/>
      <c r="R30" s="442">
        <f>'2. Results'!D50</f>
        <v>5.8478851923349624E-2</v>
      </c>
      <c r="S30" s="443">
        <f>'2. Results'!E50</f>
        <v>-0.11555344093650204</v>
      </c>
    </row>
    <row r="31" spans="2:19" s="40" customFormat="1">
      <c r="P31" s="444"/>
      <c r="Q31" s="425"/>
      <c r="R31" s="425"/>
      <c r="S31" s="426"/>
    </row>
    <row r="32" spans="2:19" s="40" customFormat="1">
      <c r="P32" s="445" t="s">
        <v>1380</v>
      </c>
      <c r="Q32" s="428"/>
      <c r="R32" s="428"/>
      <c r="S32" s="446"/>
    </row>
    <row r="33" spans="2:19" s="40" customFormat="1">
      <c r="P33" s="427" t="s">
        <v>1381</v>
      </c>
      <c r="Q33" s="428"/>
      <c r="R33" s="429">
        <f>'2. Results'!D53</f>
        <v>11</v>
      </c>
      <c r="S33" s="430">
        <f>'2. Results'!E53</f>
        <v>28</v>
      </c>
    </row>
    <row r="34" spans="2:19" s="40" customFormat="1">
      <c r="P34" s="431" t="s">
        <v>1355</v>
      </c>
      <c r="Q34" s="432"/>
      <c r="R34" s="433">
        <f>'2. Results'!D54</f>
        <v>2.5578238338135804E-2</v>
      </c>
      <c r="S34" s="434">
        <f>'2. Results'!E54</f>
        <v>3.4429825372576724E-2</v>
      </c>
    </row>
    <row r="35" spans="2:19" s="40" customFormat="1">
      <c r="P35" s="431" t="s">
        <v>1450</v>
      </c>
      <c r="Q35" s="432"/>
      <c r="R35" s="435">
        <f>'2. Results'!D55</f>
        <v>357.8478260869565</v>
      </c>
      <c r="S35" s="436">
        <f>'2. Results'!E55</f>
        <v>-1135.1542067830724</v>
      </c>
    </row>
    <row r="36" spans="2:19" s="40" customFormat="1">
      <c r="B36" s="188" t="s">
        <v>1368</v>
      </c>
      <c r="C36" s="319"/>
      <c r="D36" s="319"/>
      <c r="E36" s="319"/>
      <c r="F36" s="319"/>
      <c r="P36" s="431" t="s">
        <v>1357</v>
      </c>
      <c r="Q36" s="432"/>
      <c r="R36" s="437">
        <f>'2. Results'!D56</f>
        <v>6.3350767205846703E-2</v>
      </c>
      <c r="S36" s="447">
        <f>'2. Results'!E56</f>
        <v>-0.16557458508831402</v>
      </c>
    </row>
    <row r="37" spans="2:19" s="40" customFormat="1" ht="15" customHeight="1">
      <c r="B37" s="963" t="s">
        <v>1369</v>
      </c>
      <c r="C37" s="963"/>
      <c r="D37" s="963"/>
      <c r="E37" s="963"/>
      <c r="F37" s="963"/>
      <c r="G37" s="963"/>
      <c r="H37" s="963"/>
      <c r="P37" s="431" t="s">
        <v>1360</v>
      </c>
      <c r="Q37" s="432"/>
      <c r="R37" s="435">
        <f>'2. Results'!D57</f>
        <v>398.57121231979346</v>
      </c>
      <c r="S37" s="439">
        <f>'2. Results'!E57</f>
        <v>-1258.3522242513034</v>
      </c>
    </row>
    <row r="38" spans="2:19" s="40" customFormat="1">
      <c r="B38" s="963"/>
      <c r="C38" s="963"/>
      <c r="D38" s="963"/>
      <c r="E38" s="963"/>
      <c r="F38" s="963"/>
      <c r="G38" s="963"/>
      <c r="H38" s="963"/>
      <c r="P38" s="440" t="s">
        <v>1359</v>
      </c>
      <c r="Q38" s="441"/>
      <c r="R38" s="442">
        <f>'2. Results'!D58</f>
        <v>7.8252651542768711E-2</v>
      </c>
      <c r="S38" s="443">
        <f>'2. Results'!E58</f>
        <v>-0.16363587395148813</v>
      </c>
    </row>
    <row r="39" spans="2:19" s="40" customFormat="1">
      <c r="B39" s="963"/>
      <c r="C39" s="963"/>
      <c r="D39" s="963"/>
      <c r="E39" s="963"/>
      <c r="F39" s="963"/>
      <c r="G39" s="963"/>
      <c r="H39" s="963"/>
    </row>
    <row r="40" spans="2:19" s="40" customFormat="1">
      <c r="B40" s="496"/>
      <c r="C40" s="496"/>
      <c r="D40" s="496"/>
      <c r="E40" s="496"/>
      <c r="F40" s="496"/>
      <c r="G40" s="496"/>
      <c r="H40" s="496"/>
    </row>
    <row r="41" spans="2:19" s="40" customFormat="1" ht="15" customHeight="1">
      <c r="B41" s="448"/>
      <c r="C41" s="334"/>
      <c r="D41" s="334"/>
      <c r="E41" s="334"/>
      <c r="F41" s="334"/>
      <c r="G41" s="334"/>
      <c r="H41" s="449" t="s">
        <v>1370</v>
      </c>
    </row>
    <row r="42" spans="2:19" s="40" customFormat="1">
      <c r="B42" s="450" t="s">
        <v>1451</v>
      </c>
      <c r="C42" s="451"/>
      <c r="D42" s="451"/>
      <c r="E42" s="451"/>
      <c r="F42" s="451"/>
      <c r="G42" s="451"/>
      <c r="H42" s="452">
        <f>'2. Results'!G83</f>
        <v>0.26623376623376621</v>
      </c>
    </row>
    <row r="43" spans="2:19" s="40" customFormat="1">
      <c r="B43" s="961" t="s">
        <v>1469</v>
      </c>
      <c r="C43" s="962"/>
      <c r="D43" s="962"/>
      <c r="E43" s="962"/>
      <c r="F43" s="319" t="s">
        <v>1465</v>
      </c>
      <c r="H43" s="453">
        <f>'2. Results'!G84</f>
        <v>0.75697529471383074</v>
      </c>
    </row>
    <row r="44" spans="2:19" s="40" customFormat="1">
      <c r="B44" s="431" t="s">
        <v>1468</v>
      </c>
      <c r="C44" s="432"/>
      <c r="D44" s="432"/>
      <c r="E44" s="432"/>
      <c r="F44" s="432"/>
      <c r="G44" s="432"/>
      <c r="H44" s="453">
        <f>'2. Results'!G85</f>
        <v>0.70785582447770368</v>
      </c>
    </row>
    <row r="45" spans="2:19" s="40" customFormat="1">
      <c r="B45" s="431" t="s">
        <v>1374</v>
      </c>
      <c r="C45" s="432"/>
      <c r="D45" s="432"/>
      <c r="E45" s="432"/>
      <c r="F45" s="432"/>
      <c r="G45" s="432"/>
      <c r="H45" s="454">
        <f>'2. Results'!G86</f>
        <v>0.73102134146341469</v>
      </c>
    </row>
    <row r="46" spans="2:19" s="40" customFormat="1">
      <c r="B46" s="455" t="s">
        <v>1375</v>
      </c>
      <c r="C46" s="456"/>
      <c r="D46" s="456"/>
      <c r="E46" s="456"/>
      <c r="F46" s="456"/>
      <c r="G46" s="456"/>
      <c r="H46" s="457">
        <f>'2. Results'!G87</f>
        <v>0.72536737319699329</v>
      </c>
    </row>
    <row r="47" spans="2:19" s="40" customFormat="1">
      <c r="B47" s="448" t="s">
        <v>1452</v>
      </c>
      <c r="C47" s="334"/>
      <c r="D47" s="334"/>
      <c r="E47" s="334"/>
      <c r="F47" s="494"/>
      <c r="G47" s="494"/>
      <c r="H47" s="495">
        <f>'2. Results'!G88</f>
        <v>59283493</v>
      </c>
    </row>
    <row r="48" spans="2:19"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pans="16:19" s="40" customFormat="1"/>
    <row r="98" spans="16:19" s="40" customFormat="1"/>
    <row r="99" spans="16:19" s="40" customFormat="1"/>
    <row r="100" spans="16:19" s="40" customFormat="1"/>
    <row r="101" spans="16:19" s="40" customFormat="1"/>
    <row r="102" spans="16:19" s="40" customFormat="1"/>
    <row r="103" spans="16:19" s="40" customFormat="1"/>
    <row r="104" spans="16:19" s="40" customFormat="1"/>
    <row r="105" spans="16:19" s="40" customFormat="1"/>
    <row r="106" spans="16:19" s="40" customFormat="1">
      <c r="P106"/>
      <c r="Q106"/>
      <c r="R106"/>
      <c r="S106"/>
    </row>
    <row r="107" spans="16:19" s="40" customFormat="1">
      <c r="P107"/>
      <c r="Q107"/>
      <c r="R107"/>
      <c r="S107"/>
    </row>
  </sheetData>
  <mergeCells count="5">
    <mergeCell ref="B43:E43"/>
    <mergeCell ref="B37:H39"/>
    <mergeCell ref="C7:E7"/>
    <mergeCell ref="F7:H7"/>
    <mergeCell ref="I7:L7"/>
  </mergeCells>
  <pageMargins left="0.7" right="0.7" top="0.75" bottom="0.75" header="0.3" footer="0.3"/>
  <pageSetup scale="83"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J255"/>
  <sheetViews>
    <sheetView zoomScale="80" zoomScaleNormal="80" workbookViewId="0">
      <selection activeCell="J33" sqref="J33"/>
    </sheetView>
  </sheetViews>
  <sheetFormatPr defaultColWidth="9.1796875" defaultRowHeight="14.5"/>
  <cols>
    <col min="1" max="1" width="9.1796875" style="40"/>
    <col min="2" max="2" width="38.26953125" style="40" customWidth="1"/>
    <col min="3" max="3" width="20.1796875" style="40" customWidth="1"/>
    <col min="4" max="4" width="22.7265625" style="40" customWidth="1"/>
    <col min="5" max="5" width="20.1796875" style="40" customWidth="1"/>
    <col min="6" max="6" width="1.26953125" style="40" customWidth="1"/>
    <col min="7" max="7" width="15.1796875" style="40" customWidth="1"/>
    <col min="8" max="9" width="14.7265625" style="40" customWidth="1"/>
    <col min="10" max="10" width="14.1796875" style="40" bestFit="1" customWidth="1"/>
    <col min="11" max="11" width="15.453125" style="40" customWidth="1"/>
    <col min="12" max="12" width="16.453125" style="40" customWidth="1"/>
    <col min="13" max="13" width="15.54296875" style="40" customWidth="1"/>
    <col min="14" max="14" width="16.26953125" style="40" customWidth="1"/>
    <col min="15" max="15" width="15.1796875" style="40" customWidth="1"/>
    <col min="16" max="16" width="19.1796875" style="381" customWidth="1"/>
    <col min="17" max="17" width="15.1796875" style="40" customWidth="1"/>
    <col min="18" max="18" width="16.7265625" style="40" customWidth="1"/>
    <col min="19" max="19" width="16.54296875" style="40" customWidth="1"/>
    <col min="20" max="20" width="0.54296875" style="40" customWidth="1"/>
    <col min="21" max="26" width="12.1796875" style="40" customWidth="1"/>
    <col min="27" max="27" width="16.7265625" style="40" customWidth="1"/>
    <col min="28" max="28" width="15.81640625" style="40" customWidth="1"/>
    <col min="29" max="29" width="17.26953125" style="40" customWidth="1"/>
    <col min="30" max="30" width="11.81640625" style="40" customWidth="1"/>
    <col min="31" max="16384" width="9.1796875" style="40"/>
  </cols>
  <sheetData>
    <row r="6" spans="2:29">
      <c r="B6" s="351"/>
      <c r="C6" s="351"/>
      <c r="D6" s="351"/>
      <c r="E6" s="351"/>
      <c r="F6" s="351"/>
      <c r="G6" s="351"/>
      <c r="H6" s="351"/>
      <c r="I6" s="351"/>
      <c r="J6" s="351"/>
      <c r="K6" s="351"/>
      <c r="L6" s="351"/>
      <c r="M6" s="351"/>
      <c r="N6" s="351"/>
    </row>
    <row r="7" spans="2:29">
      <c r="B7" s="351"/>
      <c r="C7" s="351"/>
      <c r="D7" s="351"/>
      <c r="E7" s="351"/>
      <c r="F7" s="351"/>
      <c r="G7" s="351"/>
      <c r="H7" s="351"/>
      <c r="I7" s="351"/>
      <c r="J7" s="351"/>
      <c r="K7" s="351"/>
      <c r="L7" s="351"/>
      <c r="M7" s="351"/>
      <c r="N7" s="351"/>
    </row>
    <row r="8" spans="2:29" ht="20">
      <c r="B8" s="297" t="s">
        <v>1384</v>
      </c>
    </row>
    <row r="10" spans="2:29">
      <c r="B10" s="188" t="s">
        <v>1311</v>
      </c>
      <c r="C10" s="210"/>
      <c r="D10" s="211"/>
      <c r="E10" s="210"/>
      <c r="F10" s="210"/>
      <c r="G10" s="210"/>
      <c r="H10" s="210"/>
    </row>
    <row r="11" spans="2:29">
      <c r="B11" s="319" t="s">
        <v>1312</v>
      </c>
      <c r="C11" s="210"/>
      <c r="D11" s="210"/>
      <c r="E11" s="210"/>
      <c r="F11" s="210"/>
      <c r="G11" s="210"/>
      <c r="H11" s="210"/>
    </row>
    <row r="12" spans="2:29">
      <c r="B12" s="210"/>
      <c r="C12" s="210"/>
      <c r="D12" s="210"/>
      <c r="E12" s="210"/>
      <c r="F12" s="210"/>
      <c r="G12" s="210"/>
      <c r="H12" s="210"/>
    </row>
    <row r="13" spans="2:29">
      <c r="B13" s="407"/>
      <c r="C13" s="964" t="s">
        <v>1343</v>
      </c>
      <c r="D13" s="965"/>
      <c r="E13" s="966"/>
      <c r="G13" s="967" t="s">
        <v>2760</v>
      </c>
      <c r="H13" s="967"/>
      <c r="I13" s="967"/>
      <c r="K13" s="964" t="s">
        <v>1433</v>
      </c>
      <c r="L13" s="965"/>
      <c r="M13" s="965"/>
      <c r="N13" s="965"/>
      <c r="O13" s="965"/>
      <c r="P13" s="965"/>
      <c r="Q13" s="965"/>
      <c r="R13" s="965"/>
      <c r="S13" s="966"/>
      <c r="U13" s="964" t="s">
        <v>2761</v>
      </c>
      <c r="V13" s="965"/>
      <c r="W13" s="965"/>
      <c r="X13" s="965"/>
      <c r="Y13" s="965"/>
      <c r="Z13" s="965"/>
      <c r="AA13" s="965"/>
      <c r="AB13" s="965"/>
      <c r="AC13" s="966"/>
    </row>
    <row r="14" spans="2:29">
      <c r="B14" s="407"/>
      <c r="C14" s="788"/>
      <c r="D14" s="789"/>
      <c r="E14" s="790"/>
      <c r="G14" s="815"/>
      <c r="H14" s="816"/>
      <c r="I14" s="817"/>
      <c r="K14" s="968" t="s">
        <v>2756</v>
      </c>
      <c r="L14" s="969"/>
      <c r="M14" s="969"/>
      <c r="N14" s="969"/>
      <c r="O14" s="975" t="s">
        <v>2757</v>
      </c>
      <c r="P14" s="976"/>
      <c r="Q14" s="976"/>
      <c r="R14" s="976"/>
      <c r="S14" s="977"/>
      <c r="U14" s="968" t="s">
        <v>2756</v>
      </c>
      <c r="V14" s="969"/>
      <c r="W14" s="969"/>
      <c r="X14" s="969"/>
      <c r="Y14" s="975" t="s">
        <v>2757</v>
      </c>
      <c r="Z14" s="976"/>
      <c r="AA14" s="976"/>
      <c r="AB14" s="976"/>
      <c r="AC14" s="977"/>
    </row>
    <row r="15" spans="2:29" ht="56.5">
      <c r="B15" s="408" t="s">
        <v>1185</v>
      </c>
      <c r="C15" s="814" t="s">
        <v>1205</v>
      </c>
      <c r="D15" s="814" t="s">
        <v>1346</v>
      </c>
      <c r="E15" s="814" t="s">
        <v>1342</v>
      </c>
      <c r="G15" s="491" t="s">
        <v>2759</v>
      </c>
      <c r="H15" s="491" t="s">
        <v>2758</v>
      </c>
      <c r="I15" s="491" t="s">
        <v>1324</v>
      </c>
      <c r="K15" s="409" t="s">
        <v>1480</v>
      </c>
      <c r="L15" s="409" t="s">
        <v>1398</v>
      </c>
      <c r="M15" s="409" t="s">
        <v>1399</v>
      </c>
      <c r="N15" s="813" t="s">
        <v>266</v>
      </c>
      <c r="O15" s="927" t="s">
        <v>1480</v>
      </c>
      <c r="P15" s="928" t="s">
        <v>1398</v>
      </c>
      <c r="Q15" s="928" t="s">
        <v>1399</v>
      </c>
      <c r="R15" s="928" t="s">
        <v>266</v>
      </c>
      <c r="S15" s="929" t="s">
        <v>2822</v>
      </c>
      <c r="U15" s="409" t="s">
        <v>1480</v>
      </c>
      <c r="V15" s="409" t="s">
        <v>1398</v>
      </c>
      <c r="W15" s="409" t="s">
        <v>1399</v>
      </c>
      <c r="X15" s="813" t="s">
        <v>266</v>
      </c>
      <c r="Y15" s="927" t="s">
        <v>1480</v>
      </c>
      <c r="Z15" s="928" t="s">
        <v>1398</v>
      </c>
      <c r="AA15" s="928" t="s">
        <v>1399</v>
      </c>
      <c r="AB15" s="928" t="s">
        <v>266</v>
      </c>
      <c r="AC15" s="929" t="s">
        <v>2822</v>
      </c>
    </row>
    <row r="16" spans="2:29">
      <c r="B16" s="412" t="s">
        <v>97</v>
      </c>
      <c r="C16" s="410">
        <f t="shared" ref="C16:C21" si="0">IFERROR(VLOOKUP($B16, $B$97:$AD$250, 2, FALSE), "")</f>
        <v>24238</v>
      </c>
      <c r="D16" s="411">
        <f t="shared" ref="D16:D21" si="1">IFERROR(VLOOKUP($B16, $B$97:$AD$250, 3, FALSE), "")</f>
        <v>694830.44376598729</v>
      </c>
      <c r="E16" s="306">
        <f t="shared" ref="E16:E21" si="2">IFERROR(VLOOKUP($B16, $B$97:$AD$250, 4, FALSE), "")</f>
        <v>0.3524982351556985</v>
      </c>
      <c r="G16" s="830">
        <f>IFERROR(VLOOKUP($B16, $B$97:$AD$250, 17, FALSE), "")</f>
        <v>7313895</v>
      </c>
      <c r="H16" s="830">
        <f>IFERROR(VLOOKUP($B16, $B$97:$AD$250, 28, FALSE), "")</f>
        <v>301.75323871606571</v>
      </c>
      <c r="I16" s="926">
        <f>IFERROR(VLOOKUP($B16, $B$97:$AD$250, 29, FALSE), "")</f>
        <v>5.5635667045738586E-2</v>
      </c>
      <c r="K16" s="828">
        <f t="shared" ref="K16:K21" si="3">IFERROR(VLOOKUP($B16, $B$97:$AD$250, 7, FALSE), "")</f>
        <v>20705949</v>
      </c>
      <c r="L16" s="828">
        <f t="shared" ref="L16:L21" si="4">IFERROR(VLOOKUP($B16, $B$97:$AD$250, 8, FALSE), "")</f>
        <v>131460543</v>
      </c>
      <c r="M16" s="828">
        <f t="shared" ref="M16:M21" si="5">IFERROR(VLOOKUP($B16, $B$97:$AD$250, 10, FALSE), "")</f>
        <v>94999904</v>
      </c>
      <c r="N16" s="829">
        <f t="shared" ref="N16:N21" si="6">IFERROR(VLOOKUP($B16, $B$97:$AD$250, 11, FALSE), "")</f>
        <v>247166396</v>
      </c>
      <c r="O16" s="930">
        <f t="shared" ref="O16:O21" si="7">IFERROR(VLOOKUP($B16, $B$97:$AD$250, 12, FALSE), "")</f>
        <v>20705949</v>
      </c>
      <c r="P16" s="931">
        <f t="shared" ref="P16:P21" si="8">IFERROR(VLOOKUP($B16, $B$97:$AD$250, 13, FALSE), "")</f>
        <v>138774438</v>
      </c>
      <c r="Q16" s="931">
        <f t="shared" ref="Q16:Q21" si="9">IFERROR(VLOOKUP($B16, $B$97:$AD$250, 14, FALSE), "")</f>
        <v>94999904</v>
      </c>
      <c r="R16" s="931">
        <f t="shared" ref="R16:R21" si="10">IFERROR(VLOOKUP($B16, $B$97:$AD$250, 16, FALSE), "")</f>
        <v>254480291</v>
      </c>
      <c r="S16" s="931">
        <f>IFERROR(VLOOKUP($B16, $B$97:$AD$250, 15, FALSE), "")</f>
        <v>0</v>
      </c>
      <c r="U16" s="828">
        <f t="shared" ref="U16:U21" si="11">IFERROR(VLOOKUP($B16, $B$97:$AD$250, 19, FALSE), "")</f>
        <v>0</v>
      </c>
      <c r="V16" s="828">
        <f t="shared" ref="V16:V21" si="12">IFERROR(VLOOKUP($B16, $B$97:$AD$250, 20, FALSE), "")</f>
        <v>5423.7372307946198</v>
      </c>
      <c r="W16" s="829">
        <f t="shared" ref="W16:W21" si="13">IFERROR(VLOOKUP($B16, $B$97:$AD$250, 21, FALSE), "")</f>
        <v>3919.4613416948591</v>
      </c>
      <c r="X16" s="829">
        <f t="shared" ref="X16:X21" si="14">IFERROR(VLOOKUP($B16, $B$97:$AD$250, 22, FALSE), "")</f>
        <v>10197.474874164534</v>
      </c>
      <c r="Y16" s="930">
        <f t="shared" ref="Y16:Y21" si="15">IFERROR(VLOOKUP($B16, $B$97:$AD$250, 23, FALSE), "")</f>
        <v>854.27630167505572</v>
      </c>
      <c r="Z16" s="931">
        <f t="shared" ref="Z16:Z21" si="16">IFERROR(VLOOKUP($B16, $B$97:$AD$250, 24, FALSE), "")</f>
        <v>5725.4904695106861</v>
      </c>
      <c r="AA16" s="931">
        <f t="shared" ref="AA16:AA21" si="17">IFERROR(VLOOKUP($B16, $B$97:$AD$250, 25, FALSE), "")</f>
        <v>3919.4613416948591</v>
      </c>
      <c r="AB16" s="931">
        <f>IFERROR(VLOOKUP($B16, $B$97:$AD$250, 27, FALSE), "")</f>
        <v>10499.228112880601</v>
      </c>
      <c r="AC16" s="931">
        <f>IFERROR(VLOOKUP($B16, $B$97:$AD$250, 26, FALSE), "")</f>
        <v>0</v>
      </c>
    </row>
    <row r="17" spans="2:29">
      <c r="B17" s="412" t="s">
        <v>99</v>
      </c>
      <c r="C17" s="410">
        <f t="shared" si="0"/>
        <v>34911</v>
      </c>
      <c r="D17" s="411">
        <f t="shared" si="1"/>
        <v>435012.0196213228</v>
      </c>
      <c r="E17" s="306">
        <f t="shared" si="2"/>
        <v>0.26971913320101143</v>
      </c>
      <c r="G17" s="830">
        <f t="shared" ref="G17:G21" si="18">IFERROR(VLOOKUP($B17, $B$97:$AD$250, 17, FALSE), "")</f>
        <v>10397697</v>
      </c>
      <c r="H17" s="830">
        <f t="shared" ref="H17:H21" si="19">IFERROR(VLOOKUP($B17, $B$97:$AD$250, 28, FALSE), "")</f>
        <v>297.83440749334022</v>
      </c>
      <c r="I17" s="926">
        <f t="shared" ref="I17:I21" si="20">IFERROR(VLOOKUP($B17, $B$97:$AD$250, 29, FALSE), "")</f>
        <v>5.4837980531411652E-2</v>
      </c>
      <c r="K17" s="828">
        <f t="shared" si="3"/>
        <v>16155252</v>
      </c>
      <c r="L17" s="828">
        <f t="shared" si="4"/>
        <v>189607584</v>
      </c>
      <c r="M17" s="828">
        <f t="shared" si="5"/>
        <v>76068413</v>
      </c>
      <c r="N17" s="829">
        <f t="shared" si="6"/>
        <v>281831249</v>
      </c>
      <c r="O17" s="930">
        <f t="shared" si="7"/>
        <v>16155252</v>
      </c>
      <c r="P17" s="931">
        <f t="shared" si="8"/>
        <v>200005281</v>
      </c>
      <c r="Q17" s="931">
        <f t="shared" si="9"/>
        <v>76068413</v>
      </c>
      <c r="R17" s="931">
        <f t="shared" si="10"/>
        <v>292228946</v>
      </c>
      <c r="S17" s="931">
        <f t="shared" ref="S17:S21" si="21">IFERROR(VLOOKUP($B17, $B$97:$AD$250, 15, FALSE), "")</f>
        <v>0</v>
      </c>
      <c r="U17" s="828">
        <f t="shared" si="11"/>
        <v>0</v>
      </c>
      <c r="V17" s="828">
        <f t="shared" si="12"/>
        <v>5431.1702328778892</v>
      </c>
      <c r="W17" s="829">
        <f t="shared" si="13"/>
        <v>2178.9239208272465</v>
      </c>
      <c r="X17" s="829">
        <f t="shared" si="14"/>
        <v>8072.8495030219701</v>
      </c>
      <c r="Y17" s="930">
        <f t="shared" si="15"/>
        <v>462.75534931683421</v>
      </c>
      <c r="Z17" s="931">
        <f t="shared" si="16"/>
        <v>5729.0046403712295</v>
      </c>
      <c r="AA17" s="931">
        <f t="shared" si="17"/>
        <v>2178.9239208272465</v>
      </c>
      <c r="AB17" s="931">
        <f>IFERROR(VLOOKUP($B17, $B$97:$AD$250, 27, FALSE), "")</f>
        <v>8370.6839105153103</v>
      </c>
      <c r="AC17" s="931">
        <f>IFERROR(VLOOKUP($B17, $B$97:$AD$250, 26, FALSE), "")</f>
        <v>0</v>
      </c>
    </row>
    <row r="18" spans="2:29">
      <c r="B18" s="412" t="s">
        <v>128</v>
      </c>
      <c r="C18" s="410">
        <f t="shared" si="0"/>
        <v>14413</v>
      </c>
      <c r="D18" s="411">
        <f t="shared" si="1"/>
        <v>271543.59709984041</v>
      </c>
      <c r="E18" s="306">
        <f t="shared" si="2"/>
        <v>0.60365717683788001</v>
      </c>
      <c r="G18" s="830">
        <f t="shared" si="18"/>
        <v>1195586</v>
      </c>
      <c r="H18" s="830">
        <f t="shared" si="19"/>
        <v>82.951918406993684</v>
      </c>
      <c r="I18" s="926">
        <f t="shared" si="20"/>
        <v>1.4681033438483558E-2</v>
      </c>
      <c r="K18" s="828">
        <f t="shared" si="3"/>
        <v>15340948</v>
      </c>
      <c r="L18" s="828">
        <f t="shared" si="4"/>
        <v>81437455</v>
      </c>
      <c r="M18" s="828">
        <f t="shared" si="5"/>
        <v>20496683</v>
      </c>
      <c r="N18" s="829">
        <f t="shared" si="6"/>
        <v>117275086</v>
      </c>
      <c r="O18" s="930">
        <f t="shared" si="7"/>
        <v>15340948</v>
      </c>
      <c r="P18" s="931">
        <f t="shared" si="8"/>
        <v>82633041</v>
      </c>
      <c r="Q18" s="931">
        <f t="shared" si="9"/>
        <v>20496683</v>
      </c>
      <c r="R18" s="931">
        <f t="shared" si="10"/>
        <v>118470672</v>
      </c>
      <c r="S18" s="931">
        <f t="shared" si="21"/>
        <v>0</v>
      </c>
      <c r="U18" s="828">
        <f t="shared" si="11"/>
        <v>0</v>
      </c>
      <c r="V18" s="828">
        <f t="shared" si="12"/>
        <v>5650.2778741414004</v>
      </c>
      <c r="W18" s="829">
        <f t="shared" si="13"/>
        <v>1422.0969263859017</v>
      </c>
      <c r="X18" s="829">
        <f t="shared" si="14"/>
        <v>8136.7575105807255</v>
      </c>
      <c r="Y18" s="930">
        <f t="shared" si="15"/>
        <v>1064.382710053424</v>
      </c>
      <c r="Z18" s="931">
        <f t="shared" si="16"/>
        <v>5733.2297925483936</v>
      </c>
      <c r="AA18" s="931">
        <f t="shared" si="17"/>
        <v>1422.0969263859017</v>
      </c>
      <c r="AB18" s="931">
        <f>IFERROR(VLOOKUP($B18, $B$97:$AD$250, 27, FALSE), "")</f>
        <v>8219.7094289877205</v>
      </c>
      <c r="AC18" s="931">
        <f>IFERROR(VLOOKUP($B18, $B$97:$AD$250, 26, FALSE), "")</f>
        <v>0</v>
      </c>
    </row>
    <row r="19" spans="2:29">
      <c r="B19" s="412" t="s">
        <v>122</v>
      </c>
      <c r="C19" s="410">
        <f t="shared" si="0"/>
        <v>9490</v>
      </c>
      <c r="D19" s="411">
        <f t="shared" si="1"/>
        <v>308800.54236037936</v>
      </c>
      <c r="E19" s="306">
        <f t="shared" si="2"/>
        <v>0.49492940942533309</v>
      </c>
      <c r="G19" s="830">
        <f t="shared" si="18"/>
        <v>3540933</v>
      </c>
      <c r="H19" s="830">
        <f t="shared" si="19"/>
        <v>373.12255005268702</v>
      </c>
      <c r="I19" s="926">
        <f t="shared" si="20"/>
        <v>6.9353977510200726E-2</v>
      </c>
      <c r="K19" s="828">
        <f t="shared" si="3"/>
        <v>7208708</v>
      </c>
      <c r="L19" s="828">
        <f t="shared" si="4"/>
        <v>51055947</v>
      </c>
      <c r="M19" s="828">
        <f t="shared" si="5"/>
        <v>15401468</v>
      </c>
      <c r="N19" s="829">
        <f t="shared" si="6"/>
        <v>73666123</v>
      </c>
      <c r="O19" s="930">
        <f t="shared" si="7"/>
        <v>7208708</v>
      </c>
      <c r="P19" s="931">
        <f t="shared" si="8"/>
        <v>54596880</v>
      </c>
      <c r="Q19" s="931">
        <f t="shared" si="9"/>
        <v>15401468</v>
      </c>
      <c r="R19" s="931">
        <f t="shared" si="10"/>
        <v>77207056</v>
      </c>
      <c r="S19" s="931">
        <f t="shared" si="21"/>
        <v>0</v>
      </c>
      <c r="U19" s="828">
        <f t="shared" si="11"/>
        <v>0</v>
      </c>
      <c r="V19" s="828">
        <f t="shared" si="12"/>
        <v>5379.9733403582723</v>
      </c>
      <c r="W19" s="829">
        <f t="shared" si="13"/>
        <v>1622.9154899894627</v>
      </c>
      <c r="X19" s="829">
        <f t="shared" si="14"/>
        <v>7762.499789251845</v>
      </c>
      <c r="Y19" s="930">
        <f t="shared" si="15"/>
        <v>759.61095890410957</v>
      </c>
      <c r="Z19" s="931">
        <f t="shared" si="16"/>
        <v>5753.0958904109593</v>
      </c>
      <c r="AA19" s="931">
        <f t="shared" si="17"/>
        <v>1622.9154899894627</v>
      </c>
      <c r="AB19" s="931">
        <f>IFERROR(VLOOKUP($B19, $B$97:$AD$250, 27, FALSE), "")</f>
        <v>8135.622339304532</v>
      </c>
      <c r="AC19" s="931">
        <f>IFERROR(VLOOKUP($B19, $B$97:$AD$250, 26, FALSE), "")</f>
        <v>0</v>
      </c>
    </row>
    <row r="20" spans="2:29">
      <c r="B20" s="412" t="s">
        <v>1495</v>
      </c>
      <c r="C20" s="410">
        <f t="shared" si="0"/>
        <v>118</v>
      </c>
      <c r="D20" s="411">
        <f t="shared" si="1"/>
        <v>0</v>
      </c>
      <c r="E20" s="306">
        <f t="shared" si="2"/>
        <v>0.31538461538461537</v>
      </c>
      <c r="G20" s="830">
        <f t="shared" si="18"/>
        <v>-33130</v>
      </c>
      <c r="H20" s="830">
        <f t="shared" si="19"/>
        <v>-280.76271186440675</v>
      </c>
      <c r="I20" s="926">
        <f t="shared" si="20"/>
        <v>-4.5942614027959405E-2</v>
      </c>
      <c r="K20" s="828">
        <f t="shared" si="3"/>
        <v>33003</v>
      </c>
      <c r="L20" s="828">
        <f t="shared" si="4"/>
        <v>721117</v>
      </c>
      <c r="M20" s="828">
        <f t="shared" si="5"/>
        <v>422109</v>
      </c>
      <c r="N20" s="829">
        <f t="shared" si="6"/>
        <v>1176229</v>
      </c>
      <c r="O20" s="930">
        <f t="shared" si="7"/>
        <v>33003</v>
      </c>
      <c r="P20" s="931">
        <f t="shared" si="8"/>
        <v>687987</v>
      </c>
      <c r="Q20" s="931">
        <f t="shared" si="9"/>
        <v>422109</v>
      </c>
      <c r="R20" s="931">
        <f t="shared" si="10"/>
        <v>1143099</v>
      </c>
      <c r="S20" s="931">
        <f t="shared" si="21"/>
        <v>0</v>
      </c>
      <c r="U20" s="828">
        <f t="shared" si="11"/>
        <v>0</v>
      </c>
      <c r="V20" s="828">
        <f t="shared" si="12"/>
        <v>6111.1610169491523</v>
      </c>
      <c r="W20" s="829">
        <f t="shared" si="13"/>
        <v>3577.1949152542375</v>
      </c>
      <c r="X20" s="829">
        <f t="shared" si="14"/>
        <v>9968.0423728813548</v>
      </c>
      <c r="Y20" s="930">
        <f t="shared" si="15"/>
        <v>279.68644067796612</v>
      </c>
      <c r="Z20" s="931">
        <f t="shared" si="16"/>
        <v>5830.3983050847455</v>
      </c>
      <c r="AA20" s="931">
        <f t="shared" si="17"/>
        <v>3577.1949152542375</v>
      </c>
      <c r="AB20" s="931">
        <f>IFERROR(VLOOKUP($B20, $B$97:$AD$250, 27, FALSE), "")</f>
        <v>9687.2796610169498</v>
      </c>
      <c r="AC20" s="931">
        <f>IFERROR(VLOOKUP($B20, $B$97:$AD$250, 26, FALSE), "")</f>
        <v>0</v>
      </c>
    </row>
    <row r="21" spans="2:29">
      <c r="B21" s="412" t="s">
        <v>1493</v>
      </c>
      <c r="C21" s="410">
        <f t="shared" si="0"/>
        <v>461</v>
      </c>
      <c r="D21" s="411">
        <f t="shared" si="1"/>
        <v>0</v>
      </c>
      <c r="E21" s="306">
        <f t="shared" si="2"/>
        <v>0.71296296296296291</v>
      </c>
      <c r="G21" s="830">
        <f t="shared" si="18"/>
        <v>87667</v>
      </c>
      <c r="H21" s="830">
        <f t="shared" si="19"/>
        <v>190.16702819956615</v>
      </c>
      <c r="I21" s="926">
        <f t="shared" si="20"/>
        <v>3.3389333253097675E-2</v>
      </c>
      <c r="K21" s="828">
        <f t="shared" si="3"/>
        <v>463862</v>
      </c>
      <c r="L21" s="828">
        <f t="shared" si="4"/>
        <v>2625599</v>
      </c>
      <c r="M21" s="828">
        <f t="shared" si="5"/>
        <v>32209</v>
      </c>
      <c r="N21" s="829">
        <f t="shared" si="6"/>
        <v>3121670</v>
      </c>
      <c r="O21" s="930">
        <f t="shared" si="7"/>
        <v>463862</v>
      </c>
      <c r="P21" s="931">
        <f t="shared" si="8"/>
        <v>2713266</v>
      </c>
      <c r="Q21" s="931">
        <f t="shared" si="9"/>
        <v>32209</v>
      </c>
      <c r="R21" s="931">
        <f t="shared" si="10"/>
        <v>3209337</v>
      </c>
      <c r="S21" s="931">
        <f t="shared" si="21"/>
        <v>0</v>
      </c>
      <c r="U21" s="828">
        <f t="shared" si="11"/>
        <v>0</v>
      </c>
      <c r="V21" s="828">
        <f t="shared" si="12"/>
        <v>5695.4425162689804</v>
      </c>
      <c r="W21" s="829">
        <f t="shared" si="13"/>
        <v>69.867678958785248</v>
      </c>
      <c r="X21" s="829">
        <f t="shared" si="14"/>
        <v>6771.5184381778745</v>
      </c>
      <c r="Y21" s="930">
        <f t="shared" si="15"/>
        <v>1006.2082429501085</v>
      </c>
      <c r="Z21" s="931">
        <f t="shared" si="16"/>
        <v>5885.609544468547</v>
      </c>
      <c r="AA21" s="931">
        <f t="shared" si="17"/>
        <v>69.867678958785248</v>
      </c>
      <c r="AB21" s="931">
        <f>IFERROR(VLOOKUP($B21, $B$97:$AD$250, 25, FALSE), "")</f>
        <v>69.867678958785248</v>
      </c>
      <c r="AC21" s="931">
        <f>IFERROR(VLOOKUP($B21, $B$97:$AD$250, 25, FALSE), "")</f>
        <v>69.867678958785248</v>
      </c>
    </row>
    <row r="24" spans="2:29">
      <c r="B24" s="188" t="s">
        <v>1348</v>
      </c>
      <c r="C24" s="210"/>
      <c r="D24" s="210"/>
      <c r="E24" s="210"/>
    </row>
    <row r="25" spans="2:29">
      <c r="B25" s="319" t="s">
        <v>1349</v>
      </c>
      <c r="C25" s="319"/>
      <c r="D25" s="319"/>
      <c r="E25" s="319"/>
    </row>
    <row r="26" spans="2:29">
      <c r="B26" s="419" t="s">
        <v>1350</v>
      </c>
      <c r="C26" s="319"/>
      <c r="D26" s="319"/>
      <c r="E26" s="319"/>
    </row>
    <row r="27" spans="2:29" ht="28">
      <c r="B27" s="420"/>
      <c r="C27" s="421"/>
      <c r="D27" s="422" t="s">
        <v>1351</v>
      </c>
      <c r="E27" s="423" t="s">
        <v>1352</v>
      </c>
    </row>
    <row r="28" spans="2:29">
      <c r="B28" s="424" t="s">
        <v>1353</v>
      </c>
      <c r="C28" s="425"/>
      <c r="D28" s="425"/>
      <c r="E28" s="426"/>
    </row>
    <row r="29" spans="2:29">
      <c r="B29" s="427" t="s">
        <v>1354</v>
      </c>
      <c r="C29" s="428"/>
      <c r="D29" s="429">
        <f>COUNTIFS('Idaho Data'!$VZ$10:$VZ$163, "&gt;=0")</f>
        <v>38</v>
      </c>
      <c r="E29" s="430">
        <f>COUNTIFS('Idaho Data'!$VZ$10:$VZ$163, "&lt;0")</f>
        <v>116</v>
      </c>
    </row>
    <row r="30" spans="2:29">
      <c r="B30" s="431" t="s">
        <v>1355</v>
      </c>
      <c r="C30" s="432"/>
      <c r="D30" s="433">
        <f>SUMIFS('Idaho Data'!$ST$10:$ST$163, 'Idaho Data'!$VZ$10:$VZ$163, "&gt;=0")/'Idaho Data'!ST5</f>
        <v>0.73496284404857459</v>
      </c>
      <c r="E30" s="434">
        <f>SUMIFS('Idaho Data'!$ST$10:$ST$163, 'Idaho Data'!$VZ$10:$VZ$163, "&lt;0")/'Idaho Data'!ST5</f>
        <v>0.26503715595142541</v>
      </c>
    </row>
    <row r="31" spans="2:29">
      <c r="B31" s="431" t="s">
        <v>1356</v>
      </c>
      <c r="C31" s="432"/>
      <c r="D31" s="435">
        <f t="array" ref="D31">MEDIAN(IF('Idaho Data'!$WA$10:$WA$163&gt;=0,'Idaho Data'!$WA$10:$WA$163))</f>
        <v>284.19567746349401</v>
      </c>
      <c r="E31" s="436">
        <f t="array" ref="E31">MEDIAN(IF('Idaho Data'!$WA$10:$WA$163&lt;0,'Idaho Data'!$WA$10:$WA$163))</f>
        <v>-1328.4428801520262</v>
      </c>
    </row>
    <row r="32" spans="2:29">
      <c r="B32" s="431" t="s">
        <v>1357</v>
      </c>
      <c r="C32" s="432"/>
      <c r="D32" s="437">
        <f t="array" ref="D32">MEDIAN(IF('Idaho Data'!$WB$10:$WB$163&gt;=0,'Idaho Data'!$WB$10:$WB$163))</f>
        <v>5.1811598777668291E-2</v>
      </c>
      <c r="E32" s="438">
        <f t="array" ref="E32">MEDIAN(IF('Idaho Data'!$WB$10:$WB$163&lt;0,'Idaho Data'!$WB$10:$WB$163))</f>
        <v>-0.18778359991509816</v>
      </c>
    </row>
    <row r="33" spans="2:11">
      <c r="B33" s="431" t="s">
        <v>1360</v>
      </c>
      <c r="C33" s="432"/>
      <c r="D33" s="435">
        <f t="array" ref="D33">AVERAGEIF('Idaho Data'!$WA$10:$WA$163, "&gt;=0", 'Idaho Data'!$WA$10:$WA$163)</f>
        <v>302.46699677072695</v>
      </c>
      <c r="E33" s="439">
        <f t="array" ref="E33">AVERAGEIF('Idaho Data'!$WA$10:$WA$163, "&lt;0", 'Idaho Data'!$WA$10:$WA$163)</f>
        <v>-2870.2091167021599</v>
      </c>
    </row>
    <row r="34" spans="2:11">
      <c r="B34" s="440" t="s">
        <v>1359</v>
      </c>
      <c r="C34" s="441"/>
      <c r="D34" s="442">
        <f t="array" ref="D34">AVERAGEIF('Idaho Data'!$WB$10:$WB$163, "&gt;=0", 'Idaho Data'!$WB$10:$WB$163)</f>
        <v>5.7318789287631046E-2</v>
      </c>
      <c r="E34" s="443">
        <f t="array" ref="E34">AVERAGEIF('Idaho Data'!$WB$10:$WB$163, "&lt;0", 'Idaho Data'!$WB$10:$WB$163)</f>
        <v>-0.23785635676763406</v>
      </c>
    </row>
    <row r="35" spans="2:11">
      <c r="B35" s="444"/>
      <c r="C35" s="425"/>
      <c r="D35" s="425"/>
      <c r="E35" s="426"/>
    </row>
    <row r="36" spans="2:11">
      <c r="B36" s="445" t="s">
        <v>1361</v>
      </c>
      <c r="C36" s="464">
        <f>'1. Simulator Input'!E103</f>
        <v>300</v>
      </c>
      <c r="D36" s="465" t="s">
        <v>1447</v>
      </c>
      <c r="E36" s="446"/>
    </row>
    <row r="37" spans="2:11">
      <c r="B37" s="427" t="s">
        <v>1362</v>
      </c>
      <c r="C37" s="428"/>
      <c r="D37" s="429">
        <f>COUNTIFS('Idaho Data'!$VZ$10:$VZ$163, "&gt;=0", 'Idaho Data'!$UE$10:$UE$163, "yes")</f>
        <v>2</v>
      </c>
      <c r="E37" s="430">
        <f>IF(G37=0, "-", G37)</f>
        <v>53</v>
      </c>
      <c r="F37" s="40">
        <f>COUNTIFS('Idaho Data'!$VZ$10:$VZ$163, "&gt;=0", 'Idaho Data'!$UE$10:$UE$163, "yes")</f>
        <v>2</v>
      </c>
      <c r="G37" s="40">
        <f>COUNTIFS('Idaho Data'!$VZ$10:$VZ$163,"&lt;0",'Idaho Data'!$UE$10:$UE$163,"yes")</f>
        <v>53</v>
      </c>
    </row>
    <row r="38" spans="2:11">
      <c r="B38" s="431" t="s">
        <v>1355</v>
      </c>
      <c r="C38" s="432"/>
      <c r="D38" s="433">
        <f>SUMIFS('Idaho Data'!$ST$10:$ST$163, 'Idaho Data'!$VZ$10:$VZ$163, "&gt;=0", 'Idaho Data'!$UE$10:$UE$163, "yes")/'Idaho Data'!$ST$5</f>
        <v>1.675624290263994E-3</v>
      </c>
      <c r="E38" s="438">
        <f>IF(G38=0, "-", G38)</f>
        <v>3.1803570966202697E-2</v>
      </c>
      <c r="F38" s="460">
        <f>SUMIFS('Idaho Data'!$ST$10:$ST$163, 'Idaho Data'!$WA$10:$WA$163, "&gt;=0", 'Idaho Data'!$UE$10:$UE$163, "yes")/'Idaho Data'!$ST$5</f>
        <v>1.675624290263994E-3</v>
      </c>
      <c r="G38" s="460">
        <f>SUMIFS('Idaho Data'!$ST$10:$ST$163, 'Idaho Data'!$XY$10:$XY$163, "&lt;0", 'Idaho Data'!$UE$10:$UE$163, "yes")/'Idaho Data'!$ST$5</f>
        <v>3.1803570966202697E-2</v>
      </c>
    </row>
    <row r="39" spans="2:11">
      <c r="B39" s="431" t="s">
        <v>1356</v>
      </c>
      <c r="C39" s="432"/>
      <c r="D39" s="501">
        <f>IFERROR(F39, "-")</f>
        <v>207.05385654630311</v>
      </c>
      <c r="E39" s="436">
        <f>IF(ISERROR(G39), "-", G39)</f>
        <v>-3296.3906976744188</v>
      </c>
      <c r="F39" s="40">
        <f t="array" ref="F39">MEDIAN(IF('Idaho Data'!$WA$10:$WA$163&gt;=0, IF('Idaho Data'!$UE$10:$UE$163="yes", 'Idaho Data'!$WA$10:$WA$163)))</f>
        <v>207.05385654630311</v>
      </c>
      <c r="G39" s="40">
        <f t="array" ref="G39">MEDIAN(IF('Idaho Data'!$WA$10:$WA$163&lt;0, IF('Idaho Data'!$UE$10:$UE$163="yes", 'Idaho Data'!$WA$10:$WA$163)))</f>
        <v>-3296.3906976744188</v>
      </c>
    </row>
    <row r="40" spans="2:11">
      <c r="B40" s="431" t="s">
        <v>1357</v>
      </c>
      <c r="C40" s="432"/>
      <c r="D40" s="437">
        <f>IFERROR(F40, "-")</f>
        <v>3.6437661844696725E-2</v>
      </c>
      <c r="E40" s="436">
        <f>IF(ISERROR(G40), "-", G40)</f>
        <v>-0.36512929786473314</v>
      </c>
      <c r="F40" s="40">
        <f t="array" ref="F40">MEDIAN(IF('Idaho Data'!$WB$10:$WB$163&gt;=0, IF('Idaho Data'!$UE$10:$UE$163="yes", 'Idaho Data'!$WB$10:$WB$163)))</f>
        <v>3.6437661844696725E-2</v>
      </c>
      <c r="G40" s="40">
        <f t="array" ref="G40">MEDIAN(IF('Idaho Data'!$WB$10:$WB$163&lt;0, IF('Idaho Data'!$UE$10:$UE$163="yes", 'Idaho Data'!$WB$10:$WB$163)))</f>
        <v>-0.36512929786473314</v>
      </c>
    </row>
    <row r="41" spans="2:11">
      <c r="B41" s="431" t="s">
        <v>1360</v>
      </c>
      <c r="C41" s="432"/>
      <c r="D41" s="501">
        <f>IFERROR(AVERAGEIFS('Idaho Data'!$XZ$10:'Idaho Data'!$XZ$163, 'Idaho Data'!$XZ$10:'Idaho Data'!$XZ$163, "&gt;=0", 'Idaho Data'!$UE$10:$UE$163, "yes"), "-")</f>
        <v>207.053856546303</v>
      </c>
      <c r="E41" s="439">
        <f>IFERROR(AVERAGEIFS('Idaho Data'!$XZ$10:'Idaho Data'!$XZ$163, 'Idaho Data'!$XZ$10:'Idaho Data'!$XZ$163, "&lt;0", 'Idaho Data'!$UE$10:$UE$163, "yes"), "-")</f>
        <v>-5324.3878276303885</v>
      </c>
    </row>
    <row r="42" spans="2:11">
      <c r="B42" s="440" t="s">
        <v>1359</v>
      </c>
      <c r="C42" s="441"/>
      <c r="D42" s="500">
        <f>IFERROR(AVERAGEIFS('Idaho Data'!$WB$10:'Idaho Data'!$WB$163, 'Idaho Data'!$WB$10:'Idaho Data'!$WB$163, "&gt;=0", 'Idaho Data'!$UE$10:$UE$163, "yes"), "-")</f>
        <v>3.6437661844696725E-2</v>
      </c>
      <c r="E42" s="443">
        <f>IFERROR(AVERAGEIFS('Idaho Data'!$WB$10:'Idaho Data'!$WB$163, 'Idaho Data'!$WB$10:'Idaho Data'!$WB$163, "&lt;0", 'Idaho Data'!$UE$10:$UE$163, "yes"), "-")</f>
        <v>-0.38323529445369647</v>
      </c>
    </row>
    <row r="43" spans="2:11">
      <c r="B43" s="444"/>
      <c r="C43" s="425"/>
      <c r="D43" s="425"/>
      <c r="E43" s="426"/>
    </row>
    <row r="44" spans="2:11">
      <c r="B44" s="445" t="s">
        <v>1364</v>
      </c>
      <c r="C44" s="428"/>
      <c r="D44" s="428"/>
      <c r="E44" s="446"/>
    </row>
    <row r="45" spans="2:11">
      <c r="B45" s="427" t="s">
        <v>1365</v>
      </c>
      <c r="C45" s="428"/>
      <c r="D45" s="429">
        <f>COUNTIFS('Idaho Data'!$VZ$10:$VZ$163, "&gt;=0", 'Idaho Data'!$UE$10:$UE$163, "")</f>
        <v>36</v>
      </c>
      <c r="E45" s="430">
        <f>COUNTIFS('Idaho Data'!$VZ$10:$VZ$163, "&lt;0", 'Idaho Data'!$UE$10:$UE$163, "")</f>
        <v>63</v>
      </c>
      <c r="F45" s="381"/>
      <c r="G45" s="381"/>
      <c r="H45" s="381"/>
      <c r="I45" s="381"/>
      <c r="J45" s="381"/>
      <c r="K45" s="381"/>
    </row>
    <row r="46" spans="2:11">
      <c r="B46" s="431" t="s">
        <v>1355</v>
      </c>
      <c r="C46" s="432"/>
      <c r="D46" s="433">
        <f>SUMIFS('Idaho Data'!$ST$10:$ST$163, 'Idaho Data'!$VZ$10:$VZ$163, "&gt;=0", 'Idaho Data'!$UE$10:$UE$163, "")/'Idaho Data'!$ST$5</f>
        <v>0.73328721975831057</v>
      </c>
      <c r="E46" s="434">
        <f>SUMIFS('Idaho Data'!$ST$10:$ST$163, 'Idaho Data'!$VZ$10:$VZ$163, "&lt;0", 'Idaho Data'!$UE$10:$UE$163, "")/'Idaho Data'!$ST$5</f>
        <v>0.2332335849852227</v>
      </c>
      <c r="F46" s="381"/>
      <c r="G46" s="914" t="str">
        <f>B28</f>
        <v>All Districts</v>
      </c>
      <c r="H46" s="914" t="str">
        <f>B36</f>
        <v>Small Districts</v>
      </c>
      <c r="I46" s="914" t="str">
        <f>B44</f>
        <v>Medium to Large Districts</v>
      </c>
      <c r="J46" s="914" t="str">
        <f>B52</f>
        <v>Charter Schools</v>
      </c>
      <c r="K46" s="381"/>
    </row>
    <row r="47" spans="2:11">
      <c r="B47" s="431" t="s">
        <v>1356</v>
      </c>
      <c r="C47" s="432"/>
      <c r="D47" s="435">
        <f t="array" ref="D47">MEDIAN(IF('Idaho Data'!$WA$10:$WA$163&gt;=0, IF('Idaho Data'!$UE$10:$UE$163="", 'Idaho Data'!$WA$10:$WA$163)))</f>
        <v>284.19567746349401</v>
      </c>
      <c r="E47" s="436">
        <f t="array" ref="E47">MEDIAN(IF('Idaho Data'!$WA$10:$WA$163&lt;0, IF('Idaho Data'!$UE$10:$UE$163="", 'Idaho Data'!$WA$10:$WA$163)))</f>
        <v>-602.96597633136093</v>
      </c>
      <c r="F47" s="381"/>
      <c r="G47" s="915">
        <f>D31</f>
        <v>284.19567746349401</v>
      </c>
      <c r="H47" s="915">
        <f>D39</f>
        <v>207.05385654630311</v>
      </c>
      <c r="I47" s="915">
        <f>D47</f>
        <v>284.19567746349401</v>
      </c>
      <c r="J47" s="915">
        <f>D55</f>
        <v>357.8478260869565</v>
      </c>
      <c r="K47" s="381"/>
    </row>
    <row r="48" spans="2:11">
      <c r="B48" s="431" t="s">
        <v>1357</v>
      </c>
      <c r="C48" s="432"/>
      <c r="D48" s="437">
        <f t="array" ref="D48">MEDIAN(IF('Idaho Data'!$WB$10:$WB$163&gt;=0, IF('Idaho Data'!$UE$10:$UE$163="", 'Idaho Data'!$WB$10:$WB$163)))</f>
        <v>5.1811598777668291E-2</v>
      </c>
      <c r="E48" s="447">
        <f t="array" ref="E48">MEDIAN(IF('Idaho Data'!$WB$10:$WB$163&lt;0, IF('Idaho Data'!$UE$10:$UE$163="", 'Idaho Data'!$WB$10:$WB$163)))</f>
        <v>-9.4352725327446929E-2</v>
      </c>
      <c r="F48" s="381"/>
      <c r="G48" s="916">
        <f>E31</f>
        <v>-1328.4428801520262</v>
      </c>
      <c r="H48" s="916">
        <f>E39</f>
        <v>-3296.3906976744188</v>
      </c>
      <c r="I48" s="916">
        <f>E47</f>
        <v>-602.96597633136093</v>
      </c>
      <c r="J48" s="916">
        <f>E55</f>
        <v>-1135.1542067830724</v>
      </c>
      <c r="K48" s="381"/>
    </row>
    <row r="49" spans="2:11">
      <c r="B49" s="431" t="s">
        <v>1360</v>
      </c>
      <c r="C49" s="432"/>
      <c r="D49" s="435">
        <f>AVERAGEIFS('Idaho Data'!$WA$10:'Idaho Data'!$WA$163, 'Idaho Data'!$WA$10:'Idaho Data'!$WA$163, "&gt;=0", 'Idaho Data'!$UE$10:$UE$163, "")</f>
        <v>307.76772678319492</v>
      </c>
      <c r="E49" s="439">
        <f>AVERAGEIFS('Idaho Data'!$WA$10:'Idaho Data'!$WA$163, 'Idaho Data'!$WA$10:'Idaho Data'!$WA$163, "&lt;0", 'Idaho Data'!$UE$10:$UE$163, "")</f>
        <v>-805.5825821117437</v>
      </c>
      <c r="F49" s="381"/>
      <c r="G49" s="381"/>
      <c r="H49" s="381"/>
      <c r="I49" s="381"/>
      <c r="J49" s="381"/>
      <c r="K49" s="381"/>
    </row>
    <row r="50" spans="2:11">
      <c r="B50" s="440" t="s">
        <v>1359</v>
      </c>
      <c r="C50" s="441"/>
      <c r="D50" s="442">
        <f>AVERAGEIFS('Idaho Data'!$WB$10:'Idaho Data'!$WB$163, 'Idaho Data'!$WB$10:'Idaho Data'!$WB$163, "&gt;=0", 'Idaho Data'!$UE$10:$UE$163, "")</f>
        <v>5.8478851923349624E-2</v>
      </c>
      <c r="E50" s="443">
        <f>AVERAGEIFS('Idaho Data'!$WB$10:'Idaho Data'!$WB$163, 'Idaho Data'!$WB$10:'Idaho Data'!$WB$163, "&lt;0", 'Idaho Data'!$UE$10:$UE$163, "")</f>
        <v>-0.11555344093650204</v>
      </c>
      <c r="F50" s="381"/>
      <c r="G50" s="381"/>
      <c r="H50" s="381"/>
      <c r="I50" s="381"/>
      <c r="J50" s="381"/>
      <c r="K50" s="381"/>
    </row>
    <row r="51" spans="2:11">
      <c r="B51" s="444"/>
      <c r="C51" s="425"/>
      <c r="D51" s="425"/>
      <c r="E51" s="426"/>
      <c r="F51" s="381"/>
      <c r="G51" s="381"/>
      <c r="H51" s="381"/>
      <c r="I51" s="381"/>
      <c r="J51" s="381"/>
      <c r="K51" s="381"/>
    </row>
    <row r="52" spans="2:11">
      <c r="B52" s="445" t="s">
        <v>1380</v>
      </c>
      <c r="C52" s="428"/>
      <c r="D52" s="428"/>
      <c r="E52" s="446"/>
      <c r="F52" s="381"/>
      <c r="G52" s="381"/>
      <c r="H52" s="381"/>
      <c r="I52" s="381"/>
      <c r="J52" s="381"/>
      <c r="K52" s="381"/>
    </row>
    <row r="53" spans="2:11">
      <c r="B53" s="427" t="s">
        <v>1381</v>
      </c>
      <c r="C53" s="428"/>
      <c r="D53" s="429">
        <f>COUNTIFS('Idaho Data'!$VZ$10:$VZ$163, "&gt;=0", 'Idaho Data'!$RC$10:$RC$163, "&gt;0")</f>
        <v>11</v>
      </c>
      <c r="E53" s="430">
        <f>COUNTIFS('Idaho Data'!$VZ$10:$VZ$163, "&lt;0", 'Idaho Data'!$RC$10:$RC$163, "&gt;0")</f>
        <v>28</v>
      </c>
      <c r="F53" s="381"/>
      <c r="G53" s="40" t="s">
        <v>1353</v>
      </c>
      <c r="H53" s="224">
        <f>D31</f>
        <v>284.19567746349401</v>
      </c>
      <c r="I53" s="917">
        <f>E31</f>
        <v>-1328.4428801520262</v>
      </c>
      <c r="J53" s="381"/>
      <c r="K53" s="381"/>
    </row>
    <row r="54" spans="2:11">
      <c r="B54" s="431" t="s">
        <v>1355</v>
      </c>
      <c r="C54" s="432"/>
      <c r="D54" s="433">
        <f>SUMIFS('Idaho Data'!$ST$10:$ST$163, 'Idaho Data'!$VZ$10:$VZ$163, "&gt;=0", 'Idaho Data'!$RC$10:$RC$163, "&gt;0")/'Idaho Data'!$ST$5</f>
        <v>2.5578238338135804E-2</v>
      </c>
      <c r="E54" s="434">
        <f>SUMIFS('Idaho Data'!$ST$10:$ST$163, 'Idaho Data'!$VZ$10:$VZ$163, "&lt;0", 'Idaho Data'!$RC$10:$RC$163, "&gt;0")/'Idaho Data'!$ST$5</f>
        <v>3.4429825372576724E-2</v>
      </c>
      <c r="F54" s="381"/>
      <c r="G54" s="40" t="s">
        <v>1361</v>
      </c>
      <c r="H54" s="918">
        <f>D39</f>
        <v>207.05385654630311</v>
      </c>
      <c r="I54" s="917">
        <f>E39</f>
        <v>-3296.3906976744188</v>
      </c>
      <c r="J54" s="381"/>
      <c r="K54" s="381"/>
    </row>
    <row r="55" spans="2:11">
      <c r="B55" s="431" t="s">
        <v>1450</v>
      </c>
      <c r="C55" s="432"/>
      <c r="D55" s="435">
        <f t="array" ref="D55">MEDIAN(IF('Idaho Data'!$WA$10:$WA$163&gt;=0, IF('Idaho Data'!$RC$10:$RC$163&gt;0, 'Idaho Data'!$WA$10:$WA$163)))</f>
        <v>357.8478260869565</v>
      </c>
      <c r="E55" s="436">
        <f t="array" ref="E55">MEDIAN(IF('Idaho Data'!$WA$10:$WA$163&lt;0, IF('Idaho Data'!$RC$10:$RC$163&gt;0, 'Idaho Data'!$WA$10:$WA$163)))</f>
        <v>-1135.1542067830724</v>
      </c>
      <c r="F55" s="381"/>
      <c r="G55" s="40" t="s">
        <v>1364</v>
      </c>
      <c r="H55" s="224">
        <f>D47</f>
        <v>284.19567746349401</v>
      </c>
      <c r="I55" s="917">
        <f>E47</f>
        <v>-602.96597633136093</v>
      </c>
      <c r="J55" s="381"/>
      <c r="K55" s="381"/>
    </row>
    <row r="56" spans="2:11">
      <c r="B56" s="431" t="s">
        <v>1357</v>
      </c>
      <c r="C56" s="432"/>
      <c r="D56" s="437">
        <f t="array" ref="D56">MEDIAN(IF('Idaho Data'!$WB$10:$WB$163&gt;=0, IF('Idaho Data'!$RC$10:$RC$163&gt;0, 'Idaho Data'!$WB$10:$WB$163)))</f>
        <v>6.3350767205846703E-2</v>
      </c>
      <c r="E56" s="447">
        <f t="array" ref="E56">MEDIAN(IF('Idaho Data'!$WB$10:$WB$163&lt;0, IF('Idaho Data'!$RC$10:$RC$163&gt;0, 'Idaho Data'!$WB$10:$WB$163)))</f>
        <v>-0.16557458508831402</v>
      </c>
      <c r="F56" s="381"/>
      <c r="G56" s="40" t="s">
        <v>1380</v>
      </c>
      <c r="H56" s="224">
        <f>D55</f>
        <v>357.8478260869565</v>
      </c>
      <c r="I56" s="917">
        <f>E55</f>
        <v>-1135.1542067830724</v>
      </c>
      <c r="J56" s="381"/>
      <c r="K56" s="381"/>
    </row>
    <row r="57" spans="2:11">
      <c r="B57" s="431" t="s">
        <v>1360</v>
      </c>
      <c r="C57" s="432"/>
      <c r="D57" s="435">
        <f>AVERAGEIFS('Idaho Data'!$WA$10:'Idaho Data'!$WA$163, 'Idaho Data'!$WA$10:'Idaho Data'!$WA$163, "&gt;=0", 'Idaho Data'!$RC$10:$RC$163, "&gt;0")</f>
        <v>398.57121231979346</v>
      </c>
      <c r="E57" s="439">
        <f>AVERAGEIFS('Idaho Data'!$WA$10:'Idaho Data'!$WA$163, 'Idaho Data'!$WA$10:'Idaho Data'!$WA$163, "&lt;0", 'Idaho Data'!$RC$10:$RC$163, "&gt;0")</f>
        <v>-1258.3522242513034</v>
      </c>
      <c r="F57" s="381"/>
      <c r="G57" s="381"/>
      <c r="H57" s="381"/>
      <c r="I57" s="381"/>
      <c r="J57" s="381"/>
      <c r="K57" s="381"/>
    </row>
    <row r="58" spans="2:11">
      <c r="B58" s="440" t="s">
        <v>1359</v>
      </c>
      <c r="C58" s="441"/>
      <c r="D58" s="442">
        <f>AVERAGEIFS('Idaho Data'!$WB$10:'Idaho Data'!$WB$163, 'Idaho Data'!$WB$10:'Idaho Data'!$WB$163, "&gt;=0", 'Idaho Data'!$RC$10:$RC$163, "&gt;0")</f>
        <v>7.8252651542768711E-2</v>
      </c>
      <c r="E58" s="443">
        <f>AVERAGEIFS('Idaho Data'!$WB$10:'Idaho Data'!$WB$163, 'Idaho Data'!$WB$10:'Idaho Data'!$WB$163, "&lt;0", 'Idaho Data'!$RC$10:$RC$163, "&gt;0")</f>
        <v>-0.16363587395148813</v>
      </c>
      <c r="F58" s="381"/>
      <c r="G58" s="381"/>
      <c r="H58" s="381"/>
      <c r="I58" s="381"/>
      <c r="J58" s="381"/>
      <c r="K58" s="381"/>
    </row>
    <row r="59" spans="2:11">
      <c r="B59" s="257"/>
      <c r="C59" s="257"/>
      <c r="D59" s="262"/>
      <c r="E59" s="262"/>
    </row>
    <row r="60" spans="2:11">
      <c r="B60" s="257"/>
      <c r="C60" s="257"/>
      <c r="D60" s="262"/>
      <c r="E60" s="262"/>
    </row>
    <row r="61" spans="2:11">
      <c r="B61" s="257"/>
      <c r="C61" s="257"/>
      <c r="D61" s="262"/>
      <c r="E61" s="262"/>
    </row>
    <row r="62" spans="2:11">
      <c r="B62" s="257"/>
      <c r="C62" s="257"/>
      <c r="D62" s="262"/>
      <c r="E62" s="262"/>
    </row>
    <row r="63" spans="2:11">
      <c r="B63" s="257"/>
      <c r="C63" s="257"/>
      <c r="D63" s="262"/>
      <c r="E63" s="262"/>
    </row>
    <row r="64" spans="2:11">
      <c r="B64" s="257"/>
      <c r="C64" s="257"/>
      <c r="D64" s="262"/>
      <c r="E64" s="262"/>
    </row>
    <row r="65" spans="2:6">
      <c r="B65" s="257"/>
      <c r="C65" s="257"/>
      <c r="D65" s="262"/>
      <c r="E65" s="262"/>
    </row>
    <row r="66" spans="2:6">
      <c r="B66" s="257"/>
      <c r="C66" s="257"/>
      <c r="D66" s="262"/>
      <c r="E66" s="262"/>
    </row>
    <row r="67" spans="2:6">
      <c r="B67" s="257"/>
      <c r="C67" s="257"/>
      <c r="D67" s="262"/>
      <c r="E67" s="262"/>
    </row>
    <row r="68" spans="2:6">
      <c r="B68" s="257"/>
      <c r="C68" s="257"/>
      <c r="D68" s="262"/>
      <c r="E68" s="262"/>
    </row>
    <row r="69" spans="2:6">
      <c r="B69" s="257"/>
      <c r="C69" s="257"/>
      <c r="D69" s="262"/>
      <c r="E69" s="262"/>
    </row>
    <row r="70" spans="2:6">
      <c r="B70" s="257"/>
      <c r="C70" s="257"/>
      <c r="D70" s="262"/>
      <c r="E70" s="262"/>
    </row>
    <row r="71" spans="2:6">
      <c r="B71" s="257"/>
      <c r="C71" s="257"/>
      <c r="D71" s="262"/>
      <c r="E71" s="262"/>
    </row>
    <row r="72" spans="2:6">
      <c r="B72" s="257"/>
      <c r="C72" s="257"/>
      <c r="D72" s="262"/>
      <c r="E72" s="262"/>
    </row>
    <row r="73" spans="2:6">
      <c r="B73" s="257"/>
      <c r="C73" s="257"/>
      <c r="D73" s="262"/>
      <c r="E73" s="262"/>
    </row>
    <row r="74" spans="2:6">
      <c r="B74" s="257"/>
      <c r="C74" s="257"/>
      <c r="D74" s="262"/>
      <c r="E74" s="262"/>
    </row>
    <row r="75" spans="2:6">
      <c r="B75" s="257"/>
      <c r="C75" s="257"/>
      <c r="D75" s="262"/>
      <c r="E75" s="262"/>
    </row>
    <row r="76" spans="2:6">
      <c r="B76" s="257"/>
      <c r="C76" s="257"/>
      <c r="D76" s="262"/>
      <c r="E76" s="262"/>
    </row>
    <row r="77" spans="2:6">
      <c r="B77" s="257"/>
      <c r="C77" s="257"/>
      <c r="D77" s="262"/>
      <c r="E77" s="262"/>
    </row>
    <row r="79" spans="2:6">
      <c r="B79" s="188" t="s">
        <v>1449</v>
      </c>
      <c r="C79" s="319"/>
      <c r="D79" s="319"/>
      <c r="E79" s="319"/>
      <c r="F79" s="319"/>
    </row>
    <row r="80" spans="2:6" ht="47.25" customHeight="1">
      <c r="B80" s="970" t="s">
        <v>1369</v>
      </c>
      <c r="C80" s="970"/>
      <c r="D80" s="970"/>
      <c r="E80" s="970"/>
      <c r="F80" s="970"/>
    </row>
    <row r="81" spans="2:36">
      <c r="B81" s="319"/>
      <c r="C81" s="319"/>
      <c r="D81" s="319"/>
      <c r="E81" s="319"/>
      <c r="F81" s="319"/>
    </row>
    <row r="82" spans="2:36">
      <c r="B82" s="448"/>
      <c r="C82" s="334"/>
      <c r="D82" s="334"/>
      <c r="E82" s="334"/>
      <c r="F82" s="334"/>
      <c r="G82" s="449" t="s">
        <v>1370</v>
      </c>
    </row>
    <row r="83" spans="2:36">
      <c r="B83" s="450" t="s">
        <v>2820</v>
      </c>
      <c r="C83" s="451"/>
      <c r="D83" s="451"/>
      <c r="E83" s="451"/>
      <c r="F83" s="809"/>
      <c r="G83" s="919">
        <f>COUNTIF($AD$97:$AD$250, "&gt;=-2%")/COUNT($AD$97:$AD$250)</f>
        <v>0.26623376623376621</v>
      </c>
    </row>
    <row r="84" spans="2:36">
      <c r="B84" s="961" t="s">
        <v>2824</v>
      </c>
      <c r="C84" s="962"/>
      <c r="D84" s="962"/>
      <c r="E84" s="962"/>
      <c r="F84" s="811"/>
      <c r="G84" s="453">
        <f>SUMIF('Idaho Data'!$WB$10:$WB$163, "&gt;=-.02", 'Idaho Data'!$ST$10:$ST$163)/'Idaho Data'!ST5</f>
        <v>0.75697529471383074</v>
      </c>
    </row>
    <row r="85" spans="2:36">
      <c r="B85" s="431" t="s">
        <v>1468</v>
      </c>
      <c r="C85" s="432"/>
      <c r="D85" s="432"/>
      <c r="E85" s="432"/>
      <c r="F85" s="811"/>
      <c r="G85" s="453">
        <f>SUMIF('Idaho Data'!$WB$10:$WB$163, "&gt;0", 'Idaho Data'!$SU$10:$SU$163)/'Idaho Data'!SU5</f>
        <v>0.70785582447770368</v>
      </c>
    </row>
    <row r="86" spans="2:36">
      <c r="B86" s="431" t="s">
        <v>1374</v>
      </c>
      <c r="C86" s="432"/>
      <c r="D86" s="432"/>
      <c r="E86" s="432"/>
      <c r="F86" s="810"/>
      <c r="G86" s="454">
        <f>SUMIF('Idaho Data'!$WB$10:$WB$163, "&gt;0", 'Idaho Data'!$SW$10:$SW$163)/'Idaho Data'!SW5</f>
        <v>0.73102134146341469</v>
      </c>
    </row>
    <row r="87" spans="2:36" ht="14.25" customHeight="1">
      <c r="B87" s="455" t="s">
        <v>1375</v>
      </c>
      <c r="C87" s="456"/>
      <c r="D87" s="456"/>
      <c r="E87" s="456"/>
      <c r="F87" s="812"/>
      <c r="G87" s="457">
        <f>SUMIF('Idaho Data'!$WB$10:$WB$163, "&gt;0", 'Idaho Data'!$SY$10:$SY$163)/'Idaho Data'!SY5</f>
        <v>0.72536737319699329</v>
      </c>
    </row>
    <row r="88" spans="2:36">
      <c r="B88" s="455" t="s">
        <v>1452</v>
      </c>
      <c r="C88" s="456"/>
      <c r="D88" s="456"/>
      <c r="E88" s="456"/>
      <c r="F88" s="494"/>
      <c r="G88" s="458">
        <f>-SUMIF('Idaho Data'!$XY$10:$XY$163, "&lt;0", 'Idaho Data'!$XY$10:$XY$163)</f>
        <v>59283493</v>
      </c>
    </row>
    <row r="89" spans="2:36">
      <c r="M89" s="224"/>
    </row>
    <row r="90" spans="2:36">
      <c r="B90" s="188" t="s">
        <v>1318</v>
      </c>
      <c r="C90" s="210"/>
      <c r="D90" s="210"/>
      <c r="E90" s="210"/>
      <c r="F90" s="210"/>
      <c r="G90" s="210"/>
      <c r="H90" s="210"/>
      <c r="I90" s="210"/>
      <c r="J90" s="210"/>
      <c r="K90" s="210"/>
      <c r="L90" s="210"/>
      <c r="Q90" s="224"/>
      <c r="V90" s="224"/>
      <c r="AA90" s="224"/>
    </row>
    <row r="91" spans="2:36">
      <c r="B91" s="210" t="s">
        <v>1319</v>
      </c>
      <c r="C91" s="210"/>
      <c r="D91" s="210"/>
      <c r="E91" s="210"/>
      <c r="F91" s="210"/>
      <c r="G91" s="210"/>
      <c r="H91" s="210"/>
      <c r="I91" s="210"/>
      <c r="J91" s="210"/>
      <c r="K91" s="210"/>
      <c r="L91" s="210"/>
    </row>
    <row r="92" spans="2:36">
      <c r="B92" s="210"/>
      <c r="C92" s="210"/>
      <c r="D92" s="210"/>
      <c r="E92" s="210"/>
      <c r="F92" s="210"/>
      <c r="G92" s="210"/>
      <c r="H92" s="210"/>
      <c r="I92" s="211"/>
      <c r="J92" s="211"/>
      <c r="K92" s="796"/>
      <c r="L92" s="210"/>
      <c r="M92" s="224"/>
      <c r="P92" s="834"/>
    </row>
    <row r="93" spans="2:36" s="381" customFormat="1">
      <c r="B93" s="925">
        <v>1</v>
      </c>
      <c r="C93" s="925">
        <v>2</v>
      </c>
      <c r="D93" s="925">
        <v>3</v>
      </c>
      <c r="E93" s="925">
        <v>4</v>
      </c>
      <c r="F93" s="925">
        <v>5</v>
      </c>
      <c r="G93" s="925">
        <v>6</v>
      </c>
      <c r="H93" s="925">
        <v>7</v>
      </c>
      <c r="I93" s="925">
        <v>8</v>
      </c>
      <c r="J93" s="925">
        <v>9</v>
      </c>
      <c r="K93" s="925">
        <v>10</v>
      </c>
      <c r="L93" s="925">
        <v>11</v>
      </c>
      <c r="M93" s="925">
        <v>12</v>
      </c>
      <c r="N93" s="925">
        <v>13</v>
      </c>
      <c r="O93" s="381">
        <v>14</v>
      </c>
      <c r="P93" s="381">
        <v>15</v>
      </c>
      <c r="Q93" s="381">
        <v>16</v>
      </c>
      <c r="R93" s="381">
        <v>17</v>
      </c>
      <c r="S93" s="381">
        <v>18</v>
      </c>
      <c r="T93" s="381">
        <v>19</v>
      </c>
      <c r="U93" s="381">
        <v>20</v>
      </c>
      <c r="V93" s="381">
        <v>21</v>
      </c>
      <c r="W93" s="381">
        <v>22</v>
      </c>
      <c r="X93" s="381">
        <v>23</v>
      </c>
      <c r="Y93" s="381">
        <v>24</v>
      </c>
      <c r="Z93" s="381">
        <v>25</v>
      </c>
      <c r="AA93" s="381">
        <v>26</v>
      </c>
      <c r="AB93" s="381">
        <v>27</v>
      </c>
      <c r="AC93" s="381">
        <v>28</v>
      </c>
      <c r="AD93" s="381">
        <v>29</v>
      </c>
    </row>
    <row r="94" spans="2:36">
      <c r="B94" s="254"/>
      <c r="C94" s="971" t="s">
        <v>1343</v>
      </c>
      <c r="D94" s="972"/>
      <c r="E94" s="972"/>
      <c r="F94" s="972"/>
      <c r="G94" s="973"/>
      <c r="H94" s="971" t="s">
        <v>1382</v>
      </c>
      <c r="I94" s="972"/>
      <c r="J94" s="972"/>
      <c r="K94" s="972"/>
      <c r="L94" s="972"/>
      <c r="M94" s="972"/>
      <c r="N94" s="972"/>
      <c r="O94" s="972"/>
      <c r="P94" s="972"/>
      <c r="Q94" s="972"/>
      <c r="R94" s="973"/>
      <c r="S94" s="971" t="s">
        <v>1383</v>
      </c>
      <c r="T94" s="972"/>
      <c r="U94" s="972"/>
      <c r="V94" s="972"/>
      <c r="W94" s="972"/>
      <c r="X94" s="972"/>
      <c r="Y94" s="972"/>
      <c r="Z94" s="972"/>
      <c r="AA94" s="972"/>
      <c r="AB94" s="972"/>
      <c r="AC94" s="973"/>
      <c r="AD94" s="820"/>
      <c r="AE94" s="381"/>
    </row>
    <row r="95" spans="2:36">
      <c r="B95" s="254"/>
      <c r="C95" s="218"/>
      <c r="D95" s="793"/>
      <c r="E95" s="793"/>
      <c r="F95" s="793"/>
      <c r="G95" s="219"/>
      <c r="H95" s="971" t="s">
        <v>1315</v>
      </c>
      <c r="I95" s="972"/>
      <c r="J95" s="972"/>
      <c r="K95" s="972"/>
      <c r="L95" s="972"/>
      <c r="M95" s="974" t="s">
        <v>1316</v>
      </c>
      <c r="N95" s="974"/>
      <c r="O95" s="974"/>
      <c r="P95" s="974"/>
      <c r="Q95" s="974"/>
      <c r="R95" s="792"/>
      <c r="S95" s="971" t="s">
        <v>1315</v>
      </c>
      <c r="T95" s="972"/>
      <c r="U95" s="972"/>
      <c r="V95" s="972"/>
      <c r="W95" s="972"/>
      <c r="X95" s="974" t="s">
        <v>1316</v>
      </c>
      <c r="Y95" s="974"/>
      <c r="Z95" s="974"/>
      <c r="AA95" s="974"/>
      <c r="AB95" s="974"/>
      <c r="AC95" s="819"/>
      <c r="AD95" s="821"/>
      <c r="AE95" s="381"/>
    </row>
    <row r="96" spans="2:36" ht="35.5">
      <c r="B96" s="254" t="s">
        <v>1185</v>
      </c>
      <c r="C96" s="845" t="s">
        <v>1205</v>
      </c>
      <c r="D96" s="908" t="s">
        <v>1341</v>
      </c>
      <c r="E96" s="846" t="s">
        <v>1342</v>
      </c>
      <c r="F96" s="846"/>
      <c r="G96" s="847" t="s">
        <v>1322</v>
      </c>
      <c r="H96" s="845" t="s">
        <v>1480</v>
      </c>
      <c r="I96" s="846" t="s">
        <v>1398</v>
      </c>
      <c r="J96" s="494"/>
      <c r="K96" s="846" t="s">
        <v>1399</v>
      </c>
      <c r="L96" s="846" t="s">
        <v>266</v>
      </c>
      <c r="M96" s="848" t="s">
        <v>1480</v>
      </c>
      <c r="N96" s="848" t="s">
        <v>1398</v>
      </c>
      <c r="O96" s="848" t="s">
        <v>1399</v>
      </c>
      <c r="P96" s="920" t="s">
        <v>2821</v>
      </c>
      <c r="Q96" s="848" t="s">
        <v>266</v>
      </c>
      <c r="R96" s="847" t="s">
        <v>1317</v>
      </c>
      <c r="S96" s="921" t="s">
        <v>1480</v>
      </c>
      <c r="T96" s="494"/>
      <c r="U96" s="921" t="s">
        <v>1398</v>
      </c>
      <c r="V96" s="921" t="s">
        <v>1399</v>
      </c>
      <c r="W96" s="921" t="s">
        <v>266</v>
      </c>
      <c r="X96" s="848" t="s">
        <v>1480</v>
      </c>
      <c r="Y96" s="848" t="s">
        <v>1398</v>
      </c>
      <c r="Z96" s="848" t="s">
        <v>1399</v>
      </c>
      <c r="AA96" s="920" t="s">
        <v>2821</v>
      </c>
      <c r="AB96" s="848" t="s">
        <v>266</v>
      </c>
      <c r="AC96" s="791" t="s">
        <v>1317</v>
      </c>
      <c r="AD96" s="822" t="s">
        <v>1324</v>
      </c>
      <c r="AE96" s="381"/>
      <c r="AF96" s="381"/>
      <c r="AG96" s="381"/>
      <c r="AH96" s="381"/>
      <c r="AI96" s="381"/>
      <c r="AJ96" s="381"/>
    </row>
    <row r="97" spans="2:36">
      <c r="B97" s="227" t="str">
        <f>'Idaho Data'!B10</f>
        <v>Boise Independent</v>
      </c>
      <c r="C97" s="404">
        <f>'Idaho Data'!ST10</f>
        <v>24238</v>
      </c>
      <c r="D97" s="241">
        <f>'Idaho Data'!SE10</f>
        <v>694830.44376598729</v>
      </c>
      <c r="E97" s="240">
        <f>'Idaho Data'!SV10</f>
        <v>0.3524982351556985</v>
      </c>
      <c r="G97" s="799" t="str">
        <f>'Idaho Data'!UE10</f>
        <v/>
      </c>
      <c r="H97" s="894">
        <f>'Idaho Data'!VO10</f>
        <v>20705949</v>
      </c>
      <c r="I97" s="895">
        <f>'Idaho Data'!VP10</f>
        <v>131460543</v>
      </c>
      <c r="J97" s="895"/>
      <c r="K97" s="895">
        <f>'Idaho Data'!VQ10</f>
        <v>94999904</v>
      </c>
      <c r="L97" s="896">
        <f>SUM(H97:K97)</f>
        <v>247166396</v>
      </c>
      <c r="M97" s="804">
        <f>'Idaho Data'!VR10</f>
        <v>20705949</v>
      </c>
      <c r="N97" s="804">
        <f>'Idaho Data'!VS10</f>
        <v>138774438</v>
      </c>
      <c r="O97" s="805">
        <f>'Idaho Data'!VT10</f>
        <v>94999904</v>
      </c>
      <c r="P97" s="804">
        <f>'Idaho Data'!VU10</f>
        <v>0</v>
      </c>
      <c r="Q97" s="804">
        <f t="shared" ref="Q97:Q128" si="22">SUM(M97:O97)</f>
        <v>254480291</v>
      </c>
      <c r="R97" s="897">
        <f>'Idaho Data'!VS10-'Idaho Data'!VP10</f>
        <v>7313895</v>
      </c>
      <c r="S97" s="230">
        <f t="shared" ref="S97:S128" si="23">H97/$C97</f>
        <v>854.27630167505572</v>
      </c>
      <c r="U97" s="230">
        <f t="shared" ref="U97:U128" si="24">I97/$C97</f>
        <v>5423.7372307946198</v>
      </c>
      <c r="V97" s="230">
        <f t="shared" ref="V97:V128" si="25">K97/$C97</f>
        <v>3919.4613416948591</v>
      </c>
      <c r="W97" s="907">
        <f t="shared" ref="W97:W128" si="26">SUM(S97:V97)</f>
        <v>10197.474874164534</v>
      </c>
      <c r="X97" s="807">
        <f>M97/$C97</f>
        <v>854.27630167505572</v>
      </c>
      <c r="Y97" s="807">
        <f>N97/$C97</f>
        <v>5725.4904695106861</v>
      </c>
      <c r="Z97" s="807">
        <f>O97/$C97</f>
        <v>3919.4613416948591</v>
      </c>
      <c r="AA97" s="922">
        <f>P97/$C97</f>
        <v>0</v>
      </c>
      <c r="AB97" s="807">
        <f>SUM(X97:Z97)</f>
        <v>10499.228112880601</v>
      </c>
      <c r="AC97" s="231">
        <f>'Idaho Data'!WA10</f>
        <v>301.75323871606571</v>
      </c>
      <c r="AD97" s="906">
        <f>'Idaho Data'!WB10</f>
        <v>5.5635667045738586E-2</v>
      </c>
      <c r="AE97" s="382"/>
      <c r="AF97" s="201" t="s">
        <v>113</v>
      </c>
      <c r="AG97" s="201"/>
      <c r="AH97" s="201"/>
      <c r="AI97" s="201"/>
      <c r="AJ97" s="381"/>
    </row>
    <row r="98" spans="2:36">
      <c r="B98" s="228" t="str">
        <f>'Idaho Data'!B11</f>
        <v>Meridian Joint</v>
      </c>
      <c r="C98" s="405">
        <f>'Idaho Data'!ST11</f>
        <v>34911</v>
      </c>
      <c r="D98" s="242">
        <f>'Idaho Data'!SE11</f>
        <v>435012.0196213228</v>
      </c>
      <c r="E98" s="243">
        <f>'Idaho Data'!SV11</f>
        <v>0.26971913320101143</v>
      </c>
      <c r="G98" s="794" t="str">
        <f>'Idaho Data'!UE11</f>
        <v/>
      </c>
      <c r="H98" s="801">
        <f>'Idaho Data'!VO11</f>
        <v>16155252</v>
      </c>
      <c r="I98" s="800">
        <f>'Idaho Data'!VP11</f>
        <v>189607584</v>
      </c>
      <c r="J98" s="800"/>
      <c r="K98" s="800">
        <f>'Idaho Data'!VQ11</f>
        <v>76068413</v>
      </c>
      <c r="L98" s="229">
        <f t="shared" ref="L98:L161" si="27">SUM(H98:K98)</f>
        <v>281831249</v>
      </c>
      <c r="M98" s="805">
        <f>'Idaho Data'!VR11</f>
        <v>16155252</v>
      </c>
      <c r="N98" s="805">
        <f>'Idaho Data'!VS11</f>
        <v>200005281</v>
      </c>
      <c r="O98" s="805">
        <f>'Idaho Data'!VT11 +'Idaho Data'!VU11</f>
        <v>76068413</v>
      </c>
      <c r="P98" s="805">
        <f>'Idaho Data'!VU11</f>
        <v>0</v>
      </c>
      <c r="Q98" s="805">
        <f t="shared" si="22"/>
        <v>292228946</v>
      </c>
      <c r="R98" s="898">
        <f>'Idaho Data'!VS11-'Idaho Data'!VP11</f>
        <v>10397697</v>
      </c>
      <c r="S98" s="230">
        <f t="shared" si="23"/>
        <v>462.75534931683421</v>
      </c>
      <c r="U98" s="230">
        <f t="shared" si="24"/>
        <v>5431.1702328778892</v>
      </c>
      <c r="V98" s="230">
        <f t="shared" si="25"/>
        <v>2178.9239208272465</v>
      </c>
      <c r="W98" s="230">
        <f t="shared" si="26"/>
        <v>8072.8495030219701</v>
      </c>
      <c r="X98" s="807">
        <f t="shared" ref="X98:X128" si="28">M98/$C98</f>
        <v>462.75534931683421</v>
      </c>
      <c r="Y98" s="807">
        <f t="shared" ref="Y98:Y128" si="29">N98/$C98</f>
        <v>5729.0046403712295</v>
      </c>
      <c r="Z98" s="807">
        <f t="shared" ref="Z98:Z128" si="30">O98/$C98</f>
        <v>2178.9239208272465</v>
      </c>
      <c r="AA98" s="807">
        <f t="shared" ref="AA98:AA161" si="31">P98/$C98</f>
        <v>0</v>
      </c>
      <c r="AB98" s="807">
        <f t="shared" ref="AB98:AB161" si="32">SUM(X98:Z98)</f>
        <v>8370.6839105153103</v>
      </c>
      <c r="AC98" s="231">
        <f>'Idaho Data'!WA11</f>
        <v>297.83440749334022</v>
      </c>
      <c r="AD98" s="823">
        <f>'Idaho Data'!WB11</f>
        <v>5.4837980531411652E-2</v>
      </c>
      <c r="AE98" s="382"/>
      <c r="AF98" s="201" t="s">
        <v>230</v>
      </c>
      <c r="AG98" s="201"/>
      <c r="AH98" s="201"/>
      <c r="AI98" s="201"/>
      <c r="AJ98" s="381"/>
    </row>
    <row r="99" spans="2:36">
      <c r="B99" s="228" t="str">
        <f>'Idaho Data'!B12</f>
        <v>Kuna Joint</v>
      </c>
      <c r="C99" s="405">
        <f>'Idaho Data'!ST12</f>
        <v>4890</v>
      </c>
      <c r="D99" s="242">
        <f>'Idaho Data'!SE12</f>
        <v>253724.48773006134</v>
      </c>
      <c r="E99" s="243">
        <f>'Idaho Data'!SV12</f>
        <v>0.40529575058723039</v>
      </c>
      <c r="G99" s="794" t="str">
        <f>'Idaho Data'!UE12</f>
        <v/>
      </c>
      <c r="H99" s="801">
        <f>'Idaho Data'!VO12</f>
        <v>4450081</v>
      </c>
      <c r="I99" s="800">
        <f>'Idaho Data'!VP12</f>
        <v>25567780</v>
      </c>
      <c r="J99" s="800"/>
      <c r="K99" s="800">
        <f>'Idaho Data'!VQ12</f>
        <v>8582946</v>
      </c>
      <c r="L99" s="229">
        <f t="shared" si="27"/>
        <v>38600807</v>
      </c>
      <c r="M99" s="805">
        <f>'Idaho Data'!VR12</f>
        <v>4450081</v>
      </c>
      <c r="N99" s="805">
        <f>'Idaho Data'!VS12</f>
        <v>27983664</v>
      </c>
      <c r="O99" s="805">
        <f>'Idaho Data'!VT12 +'Idaho Data'!VU12</f>
        <v>8582946</v>
      </c>
      <c r="P99" s="805">
        <f>'Idaho Data'!VU12</f>
        <v>0</v>
      </c>
      <c r="Q99" s="805">
        <f t="shared" si="22"/>
        <v>41016691</v>
      </c>
      <c r="R99" s="898">
        <f>'Idaho Data'!VS12-'Idaho Data'!VP12</f>
        <v>2415884</v>
      </c>
      <c r="S99" s="230">
        <f t="shared" si="23"/>
        <v>910.03701431492846</v>
      </c>
      <c r="U99" s="230">
        <f t="shared" si="24"/>
        <v>5228.584867075665</v>
      </c>
      <c r="V99" s="230">
        <f t="shared" si="25"/>
        <v>1755.2036809815952</v>
      </c>
      <c r="W99" s="230">
        <f t="shared" si="26"/>
        <v>7893.8255623721889</v>
      </c>
      <c r="X99" s="807">
        <f t="shared" si="28"/>
        <v>910.03701431492846</v>
      </c>
      <c r="Y99" s="807">
        <f t="shared" si="29"/>
        <v>5722.6306748466259</v>
      </c>
      <c r="Z99" s="807">
        <f t="shared" si="30"/>
        <v>1755.2036809815952</v>
      </c>
      <c r="AA99" s="807">
        <f t="shared" si="31"/>
        <v>0</v>
      </c>
      <c r="AB99" s="807">
        <f t="shared" si="32"/>
        <v>8387.8713701431498</v>
      </c>
      <c r="AC99" s="231">
        <f>'Idaho Data'!WA12</f>
        <v>494.04580777096112</v>
      </c>
      <c r="AD99" s="823">
        <f>'Idaho Data'!WB12</f>
        <v>9.4489392508852937E-2</v>
      </c>
      <c r="AE99" s="382"/>
      <c r="AF99" s="201" t="s">
        <v>201</v>
      </c>
      <c r="AG99" s="201"/>
      <c r="AH99" s="201"/>
      <c r="AI99" s="201"/>
      <c r="AJ99" s="381"/>
    </row>
    <row r="100" spans="2:36">
      <c r="B100" s="228" t="str">
        <f>'Idaho Data'!B13</f>
        <v>Meadows Valley</v>
      </c>
      <c r="C100" s="405">
        <f>'Idaho Data'!ST13</f>
        <v>140</v>
      </c>
      <c r="D100" s="242">
        <f>'Idaho Data'!SE13</f>
        <v>1624694.55</v>
      </c>
      <c r="E100" s="243">
        <f>'Idaho Data'!SV13</f>
        <v>0.65189873417721522</v>
      </c>
      <c r="G100" s="794" t="str">
        <f>'Idaho Data'!UE13</f>
        <v>yes</v>
      </c>
      <c r="H100" s="801">
        <f>'Idaho Data'!VO13</f>
        <v>261324</v>
      </c>
      <c r="I100" s="800">
        <f>'Idaho Data'!VP13</f>
        <v>1488731</v>
      </c>
      <c r="J100" s="800"/>
      <c r="K100" s="800">
        <f>'Idaho Data'!VQ13</f>
        <v>346865</v>
      </c>
      <c r="L100" s="229">
        <f t="shared" si="27"/>
        <v>2096920</v>
      </c>
      <c r="M100" s="805">
        <f>'Idaho Data'!VR13</f>
        <v>261324</v>
      </c>
      <c r="N100" s="805">
        <f>'Idaho Data'!VS13</f>
        <v>798507</v>
      </c>
      <c r="O100" s="805">
        <f>'Idaho Data'!VT13 +'Idaho Data'!VU13</f>
        <v>346865</v>
      </c>
      <c r="P100" s="805">
        <f>'Idaho Data'!VU13</f>
        <v>0</v>
      </c>
      <c r="Q100" s="805">
        <f t="shared" si="22"/>
        <v>1406696</v>
      </c>
      <c r="R100" s="898">
        <f>'Idaho Data'!VS13-'Idaho Data'!VP13</f>
        <v>-690224</v>
      </c>
      <c r="S100" s="230">
        <f t="shared" si="23"/>
        <v>1866.6</v>
      </c>
      <c r="U100" s="230">
        <f t="shared" si="24"/>
        <v>10633.792857142857</v>
      </c>
      <c r="V100" s="230">
        <f t="shared" si="25"/>
        <v>2477.6071428571427</v>
      </c>
      <c r="W100" s="230">
        <f t="shared" si="26"/>
        <v>14978</v>
      </c>
      <c r="X100" s="807">
        <f t="shared" si="28"/>
        <v>1866.6</v>
      </c>
      <c r="Y100" s="807">
        <f t="shared" si="29"/>
        <v>5703.6214285714286</v>
      </c>
      <c r="Z100" s="807">
        <f t="shared" si="30"/>
        <v>2477.6071428571427</v>
      </c>
      <c r="AA100" s="807">
        <f t="shared" si="31"/>
        <v>0</v>
      </c>
      <c r="AB100" s="807">
        <f t="shared" si="32"/>
        <v>10047.828571428572</v>
      </c>
      <c r="AC100" s="231">
        <f>'Idaho Data'!WA13</f>
        <v>-4930.1714285714288</v>
      </c>
      <c r="AD100" s="823">
        <f>'Idaho Data'!WB13</f>
        <v>-0.46363244938138587</v>
      </c>
      <c r="AE100" s="382"/>
      <c r="AF100" s="201" t="s">
        <v>250</v>
      </c>
      <c r="AG100" s="201"/>
      <c r="AH100" s="201"/>
      <c r="AI100" s="201"/>
      <c r="AJ100" s="381"/>
    </row>
    <row r="101" spans="2:36">
      <c r="B101" s="228" t="str">
        <f>'Idaho Data'!B14</f>
        <v>Council</v>
      </c>
      <c r="C101" s="405">
        <f>'Idaho Data'!ST14</f>
        <v>237</v>
      </c>
      <c r="D101" s="242">
        <f>'Idaho Data'!SE14</f>
        <v>655846.20253164554</v>
      </c>
      <c r="E101" s="243">
        <f>'Idaho Data'!SV14</f>
        <v>0.54085603112840464</v>
      </c>
      <c r="G101" s="794" t="str">
        <f>'Idaho Data'!UE14</f>
        <v>yes</v>
      </c>
      <c r="H101" s="801">
        <f>'Idaho Data'!VO14</f>
        <v>355346</v>
      </c>
      <c r="I101" s="800">
        <f>'Idaho Data'!VP14</f>
        <v>1833073</v>
      </c>
      <c r="J101" s="800"/>
      <c r="K101" s="800">
        <f>'Idaho Data'!VQ14</f>
        <v>257682</v>
      </c>
      <c r="L101" s="229">
        <f t="shared" si="27"/>
        <v>2446101</v>
      </c>
      <c r="M101" s="805">
        <f>'Idaho Data'!VR14</f>
        <v>355346</v>
      </c>
      <c r="N101" s="805">
        <f>'Idaho Data'!VS14</f>
        <v>1353870</v>
      </c>
      <c r="O101" s="805">
        <f>'Idaho Data'!VT14 +'Idaho Data'!VU14</f>
        <v>257682</v>
      </c>
      <c r="P101" s="805">
        <f>'Idaho Data'!VU14</f>
        <v>0</v>
      </c>
      <c r="Q101" s="805">
        <f t="shared" si="22"/>
        <v>1966898</v>
      </c>
      <c r="R101" s="898">
        <f>'Idaho Data'!VS14-'Idaho Data'!VP14</f>
        <v>-479203</v>
      </c>
      <c r="S101" s="230">
        <f t="shared" si="23"/>
        <v>1499.3502109704641</v>
      </c>
      <c r="U101" s="230">
        <f t="shared" si="24"/>
        <v>7734.4852320675109</v>
      </c>
      <c r="V101" s="230">
        <f t="shared" si="25"/>
        <v>1087.2658227848101</v>
      </c>
      <c r="W101" s="230">
        <f t="shared" si="26"/>
        <v>10321.101265822785</v>
      </c>
      <c r="X101" s="807">
        <f t="shared" si="28"/>
        <v>1499.3502109704641</v>
      </c>
      <c r="Y101" s="807">
        <f t="shared" si="29"/>
        <v>5712.5316455696202</v>
      </c>
      <c r="Z101" s="807">
        <f t="shared" si="30"/>
        <v>1087.2658227848101</v>
      </c>
      <c r="AA101" s="807">
        <f t="shared" si="31"/>
        <v>0</v>
      </c>
      <c r="AB101" s="807">
        <f t="shared" si="32"/>
        <v>8299.1476793248949</v>
      </c>
      <c r="AC101" s="231">
        <f>'Idaho Data'!WA14</f>
        <v>-2021.9535864978902</v>
      </c>
      <c r="AD101" s="823">
        <f>'Idaho Data'!WB14</f>
        <v>-0.26142057626728449</v>
      </c>
      <c r="AE101" s="382"/>
      <c r="AF101" s="201" t="s">
        <v>1490</v>
      </c>
      <c r="AG101" s="201"/>
      <c r="AH101" s="201"/>
      <c r="AI101" s="201"/>
      <c r="AJ101" s="381"/>
    </row>
    <row r="102" spans="2:36">
      <c r="B102" s="228" t="str">
        <f>'Idaho Data'!B15</f>
        <v>Marsh Valley Joint</v>
      </c>
      <c r="C102" s="405">
        <f>'Idaho Data'!ST15</f>
        <v>1177</v>
      </c>
      <c r="D102" s="242">
        <f>'Idaho Data'!SE15</f>
        <v>535613.07731520815</v>
      </c>
      <c r="E102" s="243">
        <f>'Idaho Data'!SV15</f>
        <v>0.48328025477707004</v>
      </c>
      <c r="G102" s="794" t="str">
        <f>'Idaho Data'!UE15</f>
        <v/>
      </c>
      <c r="H102" s="801">
        <f>'Idaho Data'!VO15</f>
        <v>1041694</v>
      </c>
      <c r="I102" s="800">
        <f>'Idaho Data'!VP15</f>
        <v>6985005</v>
      </c>
      <c r="J102" s="800"/>
      <c r="K102" s="800">
        <f>'Idaho Data'!VQ15</f>
        <v>1919809</v>
      </c>
      <c r="L102" s="229">
        <f t="shared" si="27"/>
        <v>9946508</v>
      </c>
      <c r="M102" s="805">
        <f>'Idaho Data'!VR15</f>
        <v>1041694</v>
      </c>
      <c r="N102" s="805">
        <f>'Idaho Data'!VS15</f>
        <v>6722379</v>
      </c>
      <c r="O102" s="805">
        <f>'Idaho Data'!VT15 +'Idaho Data'!VU15</f>
        <v>1919809</v>
      </c>
      <c r="P102" s="805">
        <f>'Idaho Data'!VU15</f>
        <v>0</v>
      </c>
      <c r="Q102" s="805">
        <f t="shared" si="22"/>
        <v>9683882</v>
      </c>
      <c r="R102" s="898">
        <f>'Idaho Data'!VS15-'Idaho Data'!VP15</f>
        <v>-262626</v>
      </c>
      <c r="S102" s="230">
        <f t="shared" si="23"/>
        <v>885.04163126593028</v>
      </c>
      <c r="U102" s="230">
        <f t="shared" si="24"/>
        <v>5934.583687340697</v>
      </c>
      <c r="V102" s="230">
        <f t="shared" si="25"/>
        <v>1631.1036533559898</v>
      </c>
      <c r="W102" s="230">
        <f t="shared" si="26"/>
        <v>8450.7289719626169</v>
      </c>
      <c r="X102" s="807">
        <f t="shared" si="28"/>
        <v>885.04163126593028</v>
      </c>
      <c r="Y102" s="807">
        <f t="shared" si="29"/>
        <v>5711.4519966015296</v>
      </c>
      <c r="Z102" s="807">
        <f t="shared" si="30"/>
        <v>1631.1036533559898</v>
      </c>
      <c r="AA102" s="807">
        <f t="shared" si="31"/>
        <v>0</v>
      </c>
      <c r="AB102" s="807">
        <f t="shared" si="32"/>
        <v>8227.5972812234486</v>
      </c>
      <c r="AC102" s="231">
        <f>'Idaho Data'!WA15</f>
        <v>-223.13169073916737</v>
      </c>
      <c r="AD102" s="823">
        <f>'Idaho Data'!WB15</f>
        <v>-3.759854144699968E-2</v>
      </c>
      <c r="AE102" s="382"/>
      <c r="AF102" s="201" t="s">
        <v>203</v>
      </c>
      <c r="AG102" s="201"/>
      <c r="AH102" s="201"/>
      <c r="AI102" s="201"/>
      <c r="AJ102" s="381"/>
    </row>
    <row r="103" spans="2:36">
      <c r="B103" s="228" t="str">
        <f>'Idaho Data'!B16</f>
        <v>Pocatello</v>
      </c>
      <c r="C103" s="405">
        <f>'Idaho Data'!ST16</f>
        <v>11675</v>
      </c>
      <c r="D103" s="242">
        <f>'Idaho Data'!SE16</f>
        <v>288140.12419700215</v>
      </c>
      <c r="E103" s="243">
        <f>'Idaho Data'!SV16</f>
        <v>0.49444620755315771</v>
      </c>
      <c r="G103" s="794" t="str">
        <f>'Idaho Data'!UE16</f>
        <v/>
      </c>
      <c r="H103" s="801">
        <f>'Idaho Data'!VO16</f>
        <v>12380087</v>
      </c>
      <c r="I103" s="800">
        <f>'Idaho Data'!VP16</f>
        <v>60848781</v>
      </c>
      <c r="J103" s="800"/>
      <c r="K103" s="800">
        <f>'Idaho Data'!VQ16</f>
        <v>18438432</v>
      </c>
      <c r="L103" s="229">
        <f t="shared" si="27"/>
        <v>91667300</v>
      </c>
      <c r="M103" s="805">
        <f>'Idaho Data'!VR16</f>
        <v>12380087</v>
      </c>
      <c r="N103" s="805">
        <f>'Idaho Data'!VS16</f>
        <v>67135374</v>
      </c>
      <c r="O103" s="805">
        <f>'Idaho Data'!VT16 +'Idaho Data'!VU16</f>
        <v>18438432</v>
      </c>
      <c r="P103" s="805">
        <f>'Idaho Data'!VU16</f>
        <v>0</v>
      </c>
      <c r="Q103" s="805">
        <f t="shared" si="22"/>
        <v>97953893</v>
      </c>
      <c r="R103" s="898">
        <f>'Idaho Data'!VS16-'Idaho Data'!VP16</f>
        <v>6286593</v>
      </c>
      <c r="S103" s="230">
        <f t="shared" si="23"/>
        <v>1060.3928907922912</v>
      </c>
      <c r="U103" s="230">
        <f t="shared" si="24"/>
        <v>5211.8870235546037</v>
      </c>
      <c r="V103" s="230">
        <f t="shared" si="25"/>
        <v>1579.3089507494647</v>
      </c>
      <c r="W103" s="230">
        <f t="shared" si="26"/>
        <v>7851.5888650963589</v>
      </c>
      <c r="X103" s="807">
        <f t="shared" si="28"/>
        <v>1060.3928907922912</v>
      </c>
      <c r="Y103" s="807">
        <f t="shared" si="29"/>
        <v>5750.3532334047113</v>
      </c>
      <c r="Z103" s="807">
        <f t="shared" si="30"/>
        <v>1579.3089507494647</v>
      </c>
      <c r="AA103" s="807">
        <f t="shared" si="31"/>
        <v>0</v>
      </c>
      <c r="AB103" s="807">
        <f t="shared" si="32"/>
        <v>8390.0550749464674</v>
      </c>
      <c r="AC103" s="231">
        <f>'Idaho Data'!WA16</f>
        <v>538.46620985010702</v>
      </c>
      <c r="AD103" s="823">
        <f>'Idaho Data'!WB16</f>
        <v>0.1033150195728654</v>
      </c>
      <c r="AE103" s="382"/>
      <c r="AF103" s="201" t="s">
        <v>207</v>
      </c>
      <c r="AG103" s="201"/>
      <c r="AH103" s="201"/>
      <c r="AI103" s="201"/>
      <c r="AJ103" s="381"/>
    </row>
    <row r="104" spans="2:36">
      <c r="B104" s="228" t="str">
        <f>'Idaho Data'!B17</f>
        <v>Bear Lake County</v>
      </c>
      <c r="C104" s="405">
        <f>'Idaho Data'!ST17</f>
        <v>990</v>
      </c>
      <c r="D104" s="242">
        <f>'Idaho Data'!SE17</f>
        <v>825628.6</v>
      </c>
      <c r="E104" s="243">
        <f>'Idaho Data'!SV17</f>
        <v>0.46146872166817771</v>
      </c>
      <c r="G104" s="794" t="str">
        <f>'Idaho Data'!UE17</f>
        <v/>
      </c>
      <c r="H104" s="801">
        <f>'Idaho Data'!VO17</f>
        <v>865580</v>
      </c>
      <c r="I104" s="800">
        <f>'Idaho Data'!VP17</f>
        <v>6231440</v>
      </c>
      <c r="J104" s="800"/>
      <c r="K104" s="800">
        <f>'Idaho Data'!VQ17</f>
        <v>1533405</v>
      </c>
      <c r="L104" s="229">
        <f t="shared" si="27"/>
        <v>8630425</v>
      </c>
      <c r="M104" s="805">
        <f>'Idaho Data'!VR17</f>
        <v>865580</v>
      </c>
      <c r="N104" s="805">
        <f>'Idaho Data'!VS17</f>
        <v>5760855</v>
      </c>
      <c r="O104" s="805">
        <f>'Idaho Data'!VT17 +'Idaho Data'!VU17</f>
        <v>1533405</v>
      </c>
      <c r="P104" s="805">
        <f>'Idaho Data'!VU17</f>
        <v>0</v>
      </c>
      <c r="Q104" s="805">
        <f t="shared" si="22"/>
        <v>8159840</v>
      </c>
      <c r="R104" s="898">
        <f>'Idaho Data'!VS17-'Idaho Data'!VP17</f>
        <v>-470585</v>
      </c>
      <c r="S104" s="230">
        <f t="shared" si="23"/>
        <v>874.32323232323233</v>
      </c>
      <c r="U104" s="230">
        <f t="shared" si="24"/>
        <v>6294.3838383838383</v>
      </c>
      <c r="V104" s="230">
        <f t="shared" si="25"/>
        <v>1548.8939393939395</v>
      </c>
      <c r="W104" s="230">
        <f t="shared" si="26"/>
        <v>8717.6010101010106</v>
      </c>
      <c r="X104" s="807">
        <f t="shared" si="28"/>
        <v>874.32323232323233</v>
      </c>
      <c r="Y104" s="807">
        <f t="shared" si="29"/>
        <v>5819.045454545455</v>
      </c>
      <c r="Z104" s="807">
        <f t="shared" si="30"/>
        <v>1548.8939393939395</v>
      </c>
      <c r="AA104" s="807">
        <f t="shared" si="31"/>
        <v>0</v>
      </c>
      <c r="AB104" s="807">
        <f t="shared" si="32"/>
        <v>8242.2626262626272</v>
      </c>
      <c r="AC104" s="231">
        <f>'Idaho Data'!WA17</f>
        <v>-475.33838383838383</v>
      </c>
      <c r="AD104" s="823">
        <f>'Idaho Data'!WB17</f>
        <v>-7.5517857830613794E-2</v>
      </c>
      <c r="AE104" s="382"/>
      <c r="AF104" s="201" t="s">
        <v>118</v>
      </c>
      <c r="AG104" s="201"/>
      <c r="AH104" s="201"/>
      <c r="AI104" s="201"/>
      <c r="AJ104" s="381"/>
    </row>
    <row r="105" spans="2:36">
      <c r="B105" s="228" t="str">
        <f>'Idaho Data'!B18</f>
        <v>St. Maries Joint</v>
      </c>
      <c r="C105" s="405">
        <f>'Idaho Data'!ST18</f>
        <v>843</v>
      </c>
      <c r="D105" s="242">
        <f>'Idaho Data'!SE18</f>
        <v>534803.24436536175</v>
      </c>
      <c r="E105" s="243">
        <f>'Idaho Data'!SV18</f>
        <v>0.50708833151581245</v>
      </c>
      <c r="G105" s="794" t="str">
        <f>'Idaho Data'!UE18</f>
        <v/>
      </c>
      <c r="H105" s="801">
        <f>'Idaho Data'!VO18</f>
        <v>871378</v>
      </c>
      <c r="I105" s="800">
        <f>'Idaho Data'!VP18</f>
        <v>5494371</v>
      </c>
      <c r="J105" s="800"/>
      <c r="K105" s="800">
        <f>'Idaho Data'!VQ18</f>
        <v>2434746</v>
      </c>
      <c r="L105" s="229">
        <f t="shared" si="27"/>
        <v>8800495</v>
      </c>
      <c r="M105" s="805">
        <f>'Idaho Data'!VR18</f>
        <v>871378</v>
      </c>
      <c r="N105" s="805">
        <f>'Idaho Data'!VS18</f>
        <v>4854591</v>
      </c>
      <c r="O105" s="805">
        <f>'Idaho Data'!VT18 +'Idaho Data'!VU18</f>
        <v>2434746</v>
      </c>
      <c r="P105" s="805">
        <f>'Idaho Data'!VU18</f>
        <v>0</v>
      </c>
      <c r="Q105" s="805">
        <f t="shared" si="22"/>
        <v>8160715</v>
      </c>
      <c r="R105" s="898">
        <f>'Idaho Data'!VS18-'Idaho Data'!VP18</f>
        <v>-639780</v>
      </c>
      <c r="S105" s="230">
        <f t="shared" si="23"/>
        <v>1033.6631079478054</v>
      </c>
      <c r="U105" s="230">
        <f t="shared" si="24"/>
        <v>6517.6405693950182</v>
      </c>
      <c r="V105" s="230">
        <f t="shared" si="25"/>
        <v>2888.1921708185055</v>
      </c>
      <c r="W105" s="230">
        <f t="shared" si="26"/>
        <v>10439.495848161328</v>
      </c>
      <c r="X105" s="807">
        <f t="shared" si="28"/>
        <v>1033.6631079478054</v>
      </c>
      <c r="Y105" s="807">
        <f t="shared" si="29"/>
        <v>5758.7081850533805</v>
      </c>
      <c r="Z105" s="807">
        <f t="shared" si="30"/>
        <v>2888.1921708185055</v>
      </c>
      <c r="AA105" s="807">
        <f t="shared" si="31"/>
        <v>0</v>
      </c>
      <c r="AB105" s="807">
        <f t="shared" si="32"/>
        <v>9680.5634638196916</v>
      </c>
      <c r="AC105" s="231">
        <f>'Idaho Data'!WA18</f>
        <v>-758.93238434163698</v>
      </c>
      <c r="AD105" s="823">
        <f>'Idaho Data'!WB18</f>
        <v>-0.1164428102871102</v>
      </c>
      <c r="AE105" s="382"/>
      <c r="AF105" s="201" t="s">
        <v>108</v>
      </c>
      <c r="AG105" s="201"/>
      <c r="AH105" s="201"/>
      <c r="AI105" s="201"/>
      <c r="AJ105" s="381"/>
    </row>
    <row r="106" spans="2:36">
      <c r="B106" s="228" t="str">
        <f>'Idaho Data'!B19</f>
        <v>Plummer / Worley Joint</v>
      </c>
      <c r="C106" s="405">
        <f>'Idaho Data'!ST19</f>
        <v>293</v>
      </c>
      <c r="D106" s="242">
        <f>'Idaho Data'!SE19</f>
        <v>1736504.5665529009</v>
      </c>
      <c r="E106" s="243">
        <f>'Idaho Data'!SV19</f>
        <v>0.67791411042944782</v>
      </c>
      <c r="G106" s="794" t="str">
        <f>'Idaho Data'!UE19</f>
        <v>yes</v>
      </c>
      <c r="H106" s="801">
        <f>'Idaho Data'!VO19</f>
        <v>2073931</v>
      </c>
      <c r="I106" s="800">
        <f>'Idaho Data'!VP19</f>
        <v>2335839</v>
      </c>
      <c r="J106" s="800"/>
      <c r="K106" s="800">
        <f>'Idaho Data'!VQ19</f>
        <v>874002</v>
      </c>
      <c r="L106" s="229">
        <f t="shared" si="27"/>
        <v>5283772</v>
      </c>
      <c r="M106" s="805">
        <f>'Idaho Data'!VR19</f>
        <v>2073931</v>
      </c>
      <c r="N106" s="805">
        <f>'Idaho Data'!VS19</f>
        <v>1721349</v>
      </c>
      <c r="O106" s="805">
        <f>'Idaho Data'!VT19 +'Idaho Data'!VU19</f>
        <v>874002</v>
      </c>
      <c r="P106" s="805">
        <f>'Idaho Data'!VU19</f>
        <v>0</v>
      </c>
      <c r="Q106" s="805">
        <f t="shared" si="22"/>
        <v>4669282</v>
      </c>
      <c r="R106" s="898">
        <f>'Idaho Data'!VS19-'Idaho Data'!VP19</f>
        <v>-614490</v>
      </c>
      <c r="S106" s="230">
        <f t="shared" si="23"/>
        <v>7078.2627986348125</v>
      </c>
      <c r="U106" s="230">
        <f t="shared" si="24"/>
        <v>7972.1467576791811</v>
      </c>
      <c r="V106" s="230">
        <f t="shared" si="25"/>
        <v>2982.9419795221843</v>
      </c>
      <c r="W106" s="230">
        <f t="shared" si="26"/>
        <v>18033.351535836176</v>
      </c>
      <c r="X106" s="807">
        <f t="shared" si="28"/>
        <v>7078.2627986348125</v>
      </c>
      <c r="Y106" s="807">
        <f t="shared" si="29"/>
        <v>5874.9112627986351</v>
      </c>
      <c r="Z106" s="807">
        <f t="shared" si="30"/>
        <v>2982.9419795221843</v>
      </c>
      <c r="AA106" s="807">
        <f t="shared" si="31"/>
        <v>0</v>
      </c>
      <c r="AB106" s="807">
        <f t="shared" si="32"/>
        <v>15936.116040955632</v>
      </c>
      <c r="AC106" s="231">
        <f>'Idaho Data'!WA19</f>
        <v>-2097.235494880546</v>
      </c>
      <c r="AD106" s="823">
        <f>'Idaho Data'!WB19</f>
        <v>-0.26307035716074612</v>
      </c>
      <c r="AE106" s="382"/>
      <c r="AF106" s="201" t="s">
        <v>1494</v>
      </c>
      <c r="AG106" s="201"/>
      <c r="AH106" s="201"/>
      <c r="AI106" s="201"/>
      <c r="AJ106" s="381"/>
    </row>
    <row r="107" spans="2:36">
      <c r="B107" s="228" t="str">
        <f>'Idaho Data'!B20</f>
        <v>Snake River</v>
      </c>
      <c r="C107" s="405">
        <f>'Idaho Data'!ST20</f>
        <v>1552</v>
      </c>
      <c r="D107" s="242">
        <f>'Idaho Data'!SE20</f>
        <v>224672.35051546391</v>
      </c>
      <c r="E107" s="243">
        <f>'Idaho Data'!SV20</f>
        <v>0.44536326048434732</v>
      </c>
      <c r="G107" s="794" t="str">
        <f>'Idaho Data'!UE20</f>
        <v/>
      </c>
      <c r="H107" s="801">
        <f>'Idaho Data'!VO20</f>
        <v>1237104</v>
      </c>
      <c r="I107" s="800">
        <f>'Idaho Data'!VP20</f>
        <v>9362026</v>
      </c>
      <c r="J107" s="800"/>
      <c r="K107" s="800">
        <f>'Idaho Data'!VQ20</f>
        <v>2471460</v>
      </c>
      <c r="L107" s="229">
        <f t="shared" si="27"/>
        <v>13070590</v>
      </c>
      <c r="M107" s="805">
        <f>'Idaho Data'!VR20</f>
        <v>1237104</v>
      </c>
      <c r="N107" s="805">
        <f>'Idaho Data'!VS20</f>
        <v>8949357</v>
      </c>
      <c r="O107" s="805">
        <f>'Idaho Data'!VT20 +'Idaho Data'!VU20</f>
        <v>2471460</v>
      </c>
      <c r="P107" s="805">
        <f>'Idaho Data'!VU20</f>
        <v>0</v>
      </c>
      <c r="Q107" s="805">
        <f t="shared" si="22"/>
        <v>12657921</v>
      </c>
      <c r="R107" s="898">
        <f>'Idaho Data'!VS20-'Idaho Data'!VP20</f>
        <v>-412669</v>
      </c>
      <c r="S107" s="230">
        <f t="shared" si="23"/>
        <v>797.10309278350519</v>
      </c>
      <c r="U107" s="230">
        <f t="shared" si="24"/>
        <v>6032.2332474226805</v>
      </c>
      <c r="V107" s="230">
        <f t="shared" si="25"/>
        <v>1592.4355670103093</v>
      </c>
      <c r="W107" s="230">
        <f t="shared" si="26"/>
        <v>8421.7719072164946</v>
      </c>
      <c r="X107" s="807">
        <f t="shared" si="28"/>
        <v>797.10309278350519</v>
      </c>
      <c r="Y107" s="807">
        <f t="shared" si="29"/>
        <v>5766.3382731958764</v>
      </c>
      <c r="Z107" s="807">
        <f t="shared" si="30"/>
        <v>1592.4355670103093</v>
      </c>
      <c r="AA107" s="807">
        <f t="shared" si="31"/>
        <v>0</v>
      </c>
      <c r="AB107" s="807">
        <f t="shared" si="32"/>
        <v>8155.8769329896913</v>
      </c>
      <c r="AC107" s="231">
        <f>'Idaho Data'!WA20</f>
        <v>-265.89497422680415</v>
      </c>
      <c r="AD107" s="823">
        <f>'Idaho Data'!WB20</f>
        <v>-4.407902733874057E-2</v>
      </c>
      <c r="AE107" s="382"/>
      <c r="AF107" s="201" t="s">
        <v>112</v>
      </c>
      <c r="AG107" s="201"/>
      <c r="AH107" s="201"/>
      <c r="AI107" s="201"/>
      <c r="AJ107" s="381"/>
    </row>
    <row r="108" spans="2:36">
      <c r="B108" s="228" t="str">
        <f>'Idaho Data'!B21</f>
        <v>Blackfoot</v>
      </c>
      <c r="C108" s="405">
        <f>'Idaho Data'!ST21</f>
        <v>3619</v>
      </c>
      <c r="D108" s="242">
        <f>'Idaho Data'!SE21</f>
        <v>208656.08234318873</v>
      </c>
      <c r="E108" s="243">
        <f>'Idaho Data'!SV21</f>
        <v>0.56882480957562565</v>
      </c>
      <c r="G108" s="794" t="str">
        <f>'Idaho Data'!UE21</f>
        <v/>
      </c>
      <c r="H108" s="801">
        <f>'Idaho Data'!VO21</f>
        <v>4706179</v>
      </c>
      <c r="I108" s="800">
        <f>'Idaho Data'!VP21</f>
        <v>20439366</v>
      </c>
      <c r="J108" s="800"/>
      <c r="K108" s="800">
        <f>'Idaho Data'!VQ21</f>
        <v>4592754</v>
      </c>
      <c r="L108" s="229">
        <f t="shared" si="27"/>
        <v>29738299</v>
      </c>
      <c r="M108" s="805">
        <f>'Idaho Data'!VR21</f>
        <v>4706179</v>
      </c>
      <c r="N108" s="805">
        <f>'Idaho Data'!VS21</f>
        <v>20703159</v>
      </c>
      <c r="O108" s="805">
        <f>'Idaho Data'!VT21 +'Idaho Data'!VU21</f>
        <v>4592754</v>
      </c>
      <c r="P108" s="805">
        <f>'Idaho Data'!VU21</f>
        <v>0</v>
      </c>
      <c r="Q108" s="805">
        <f t="shared" si="22"/>
        <v>30002092</v>
      </c>
      <c r="R108" s="898">
        <f>'Idaho Data'!VS21-'Idaho Data'!VP21</f>
        <v>263793</v>
      </c>
      <c r="S108" s="230">
        <f t="shared" si="23"/>
        <v>1300.4086764299529</v>
      </c>
      <c r="U108" s="230">
        <f t="shared" si="24"/>
        <v>5647.7938657087598</v>
      </c>
      <c r="V108" s="230">
        <f t="shared" si="25"/>
        <v>1269.0671456203372</v>
      </c>
      <c r="W108" s="230">
        <f t="shared" si="26"/>
        <v>8217.2696877590497</v>
      </c>
      <c r="X108" s="807">
        <f t="shared" si="28"/>
        <v>1300.4086764299529</v>
      </c>
      <c r="Y108" s="807">
        <f t="shared" si="29"/>
        <v>5720.6849958552084</v>
      </c>
      <c r="Z108" s="807">
        <f t="shared" si="30"/>
        <v>1269.0671456203372</v>
      </c>
      <c r="AA108" s="807">
        <f t="shared" si="31"/>
        <v>0</v>
      </c>
      <c r="AB108" s="807">
        <f t="shared" si="32"/>
        <v>8290.1608179054983</v>
      </c>
      <c r="AC108" s="231">
        <f>'Idaho Data'!WA21</f>
        <v>72.891130146449299</v>
      </c>
      <c r="AD108" s="823">
        <f>'Idaho Data'!WB21</f>
        <v>1.2906124387615545E-2</v>
      </c>
      <c r="AE108" s="382"/>
      <c r="AF108" s="201" t="s">
        <v>1491</v>
      </c>
      <c r="AG108" s="201"/>
      <c r="AH108" s="201"/>
      <c r="AI108" s="201"/>
      <c r="AJ108" s="381"/>
    </row>
    <row r="109" spans="2:36">
      <c r="B109" s="228" t="str">
        <f>'Idaho Data'!B22</f>
        <v>Aberdeen</v>
      </c>
      <c r="C109" s="405">
        <f>'Idaho Data'!ST22</f>
        <v>665</v>
      </c>
      <c r="D109" s="242">
        <f>'Idaho Data'!SE22</f>
        <v>320175.05263157893</v>
      </c>
      <c r="E109" s="243">
        <f>'Idaho Data'!SV22</f>
        <v>0.70292887029288698</v>
      </c>
      <c r="G109" s="794" t="str">
        <f>'Idaho Data'!UE22</f>
        <v/>
      </c>
      <c r="H109" s="801">
        <f>'Idaho Data'!VO22</f>
        <v>947895</v>
      </c>
      <c r="I109" s="800">
        <f>'Idaho Data'!VP22</f>
        <v>4388547</v>
      </c>
      <c r="J109" s="800"/>
      <c r="K109" s="800">
        <f>'Idaho Data'!VQ22</f>
        <v>1805139</v>
      </c>
      <c r="L109" s="229">
        <f t="shared" si="27"/>
        <v>7141581</v>
      </c>
      <c r="M109" s="805">
        <f>'Idaho Data'!VR22</f>
        <v>947895</v>
      </c>
      <c r="N109" s="805">
        <f>'Idaho Data'!VS22</f>
        <v>3846096</v>
      </c>
      <c r="O109" s="805">
        <f>'Idaho Data'!VT22 +'Idaho Data'!VU22</f>
        <v>1805139</v>
      </c>
      <c r="P109" s="805">
        <f>'Idaho Data'!VU22</f>
        <v>0</v>
      </c>
      <c r="Q109" s="805">
        <f t="shared" si="22"/>
        <v>6599130</v>
      </c>
      <c r="R109" s="898">
        <f>'Idaho Data'!VS22-'Idaho Data'!VP22</f>
        <v>-542451</v>
      </c>
      <c r="S109" s="230">
        <f t="shared" si="23"/>
        <v>1425.406015037594</v>
      </c>
      <c r="U109" s="230">
        <f t="shared" si="24"/>
        <v>6599.3187969924811</v>
      </c>
      <c r="V109" s="230">
        <f t="shared" si="25"/>
        <v>2714.4947368421053</v>
      </c>
      <c r="W109" s="230">
        <f t="shared" si="26"/>
        <v>10739.219548872181</v>
      </c>
      <c r="X109" s="807">
        <f t="shared" si="28"/>
        <v>1425.406015037594</v>
      </c>
      <c r="Y109" s="807">
        <f t="shared" si="29"/>
        <v>5783.6030075187973</v>
      </c>
      <c r="Z109" s="807">
        <f t="shared" si="30"/>
        <v>2714.4947368421053</v>
      </c>
      <c r="AA109" s="807">
        <f t="shared" si="31"/>
        <v>0</v>
      </c>
      <c r="AB109" s="807">
        <f t="shared" si="32"/>
        <v>9923.5037593984962</v>
      </c>
      <c r="AC109" s="231">
        <f>'Idaho Data'!WA22</f>
        <v>-815.71578947368425</v>
      </c>
      <c r="AD109" s="823">
        <f>'Idaho Data'!WB22</f>
        <v>-0.1236060591352901</v>
      </c>
      <c r="AE109" s="382"/>
      <c r="AF109" s="201" t="s">
        <v>116</v>
      </c>
      <c r="AG109" s="201"/>
      <c r="AH109" s="201"/>
      <c r="AI109" s="201"/>
      <c r="AJ109" s="381"/>
    </row>
    <row r="110" spans="2:36">
      <c r="B110" s="228" t="str">
        <f>'Idaho Data'!B23</f>
        <v>Firth</v>
      </c>
      <c r="C110" s="405">
        <f>'Idaho Data'!ST23</f>
        <v>676</v>
      </c>
      <c r="D110" s="242">
        <f>'Idaho Data'!SE23</f>
        <v>282951.24408284022</v>
      </c>
      <c r="E110" s="243">
        <f>'Idaho Data'!SV23</f>
        <v>0.55466666666666664</v>
      </c>
      <c r="G110" s="794" t="str">
        <f>'Idaho Data'!UE23</f>
        <v/>
      </c>
      <c r="H110" s="801">
        <f>'Idaho Data'!VO23</f>
        <v>586823</v>
      </c>
      <c r="I110" s="800">
        <f>'Idaho Data'!VP23</f>
        <v>4320013</v>
      </c>
      <c r="J110" s="800"/>
      <c r="K110" s="800">
        <f>'Idaho Data'!VQ23</f>
        <v>453234</v>
      </c>
      <c r="L110" s="229">
        <f t="shared" si="27"/>
        <v>5360070</v>
      </c>
      <c r="M110" s="805">
        <f>'Idaho Data'!VR23</f>
        <v>586823</v>
      </c>
      <c r="N110" s="805">
        <f>'Idaho Data'!VS23</f>
        <v>3912408</v>
      </c>
      <c r="O110" s="805">
        <f>'Idaho Data'!VT23 +'Idaho Data'!VU23</f>
        <v>453234</v>
      </c>
      <c r="P110" s="805">
        <f>'Idaho Data'!VU23</f>
        <v>0</v>
      </c>
      <c r="Q110" s="805">
        <f t="shared" si="22"/>
        <v>4952465</v>
      </c>
      <c r="R110" s="898">
        <f>'Idaho Data'!VS23-'Idaho Data'!VP23</f>
        <v>-407605</v>
      </c>
      <c r="S110" s="230">
        <f t="shared" si="23"/>
        <v>868.08136094674558</v>
      </c>
      <c r="U110" s="230">
        <f t="shared" si="24"/>
        <v>6390.5517751479292</v>
      </c>
      <c r="V110" s="230">
        <f t="shared" si="25"/>
        <v>670.46449704142015</v>
      </c>
      <c r="W110" s="230">
        <f t="shared" si="26"/>
        <v>7929.0976331360953</v>
      </c>
      <c r="X110" s="807">
        <f t="shared" si="28"/>
        <v>868.08136094674558</v>
      </c>
      <c r="Y110" s="807">
        <f t="shared" si="29"/>
        <v>5787.5857988165681</v>
      </c>
      <c r="Z110" s="807">
        <f t="shared" si="30"/>
        <v>670.46449704142015</v>
      </c>
      <c r="AA110" s="807">
        <f t="shared" si="31"/>
        <v>0</v>
      </c>
      <c r="AB110" s="807">
        <f t="shared" si="32"/>
        <v>7326.1316568047341</v>
      </c>
      <c r="AC110" s="231">
        <f>'Idaho Data'!WA23</f>
        <v>-602.96597633136093</v>
      </c>
      <c r="AD110" s="823">
        <f>'Idaho Data'!WB23</f>
        <v>-9.4352725327446929E-2</v>
      </c>
      <c r="AE110" s="382"/>
      <c r="AF110" s="201" t="s">
        <v>158</v>
      </c>
      <c r="AG110" s="201"/>
      <c r="AH110" s="201"/>
      <c r="AI110" s="201"/>
      <c r="AJ110" s="381"/>
    </row>
    <row r="111" spans="2:36">
      <c r="B111" s="228" t="str">
        <f>'Idaho Data'!B24</f>
        <v>Shelley Joint</v>
      </c>
      <c r="C111" s="405">
        <f>'Idaho Data'!ST24</f>
        <v>2038</v>
      </c>
      <c r="D111" s="242">
        <f>'Idaho Data'!SE24</f>
        <v>245081.64720314034</v>
      </c>
      <c r="E111" s="243">
        <f>'Idaho Data'!SV24</f>
        <v>0.42863574966231427</v>
      </c>
      <c r="G111" s="794" t="str">
        <f>'Idaho Data'!UE24</f>
        <v/>
      </c>
      <c r="H111" s="801">
        <f>'Idaho Data'!VO24</f>
        <v>1357610</v>
      </c>
      <c r="I111" s="800">
        <f>'Idaho Data'!VP24</f>
        <v>11143129</v>
      </c>
      <c r="J111" s="800"/>
      <c r="K111" s="800">
        <f>'Idaho Data'!VQ24</f>
        <v>2123950</v>
      </c>
      <c r="L111" s="229">
        <f t="shared" si="27"/>
        <v>14624689</v>
      </c>
      <c r="M111" s="805">
        <f>'Idaho Data'!VR24</f>
        <v>1357610</v>
      </c>
      <c r="N111" s="805">
        <f>'Idaho Data'!VS24</f>
        <v>11784195</v>
      </c>
      <c r="O111" s="805">
        <f>'Idaho Data'!VT24 +'Idaho Data'!VU24</f>
        <v>2123950</v>
      </c>
      <c r="P111" s="805">
        <f>'Idaho Data'!VU24</f>
        <v>0</v>
      </c>
      <c r="Q111" s="805">
        <f t="shared" si="22"/>
        <v>15265755</v>
      </c>
      <c r="R111" s="898">
        <f>'Idaho Data'!VS24-'Idaho Data'!VP24</f>
        <v>641066</v>
      </c>
      <c r="S111" s="230">
        <f t="shared" si="23"/>
        <v>666.14818449460256</v>
      </c>
      <c r="U111" s="230">
        <f t="shared" si="24"/>
        <v>5467.6786064769385</v>
      </c>
      <c r="V111" s="230">
        <f t="shared" si="25"/>
        <v>1042.1736997055937</v>
      </c>
      <c r="W111" s="230">
        <f t="shared" si="26"/>
        <v>7176.0004906771355</v>
      </c>
      <c r="X111" s="807">
        <f t="shared" si="28"/>
        <v>666.14818449460256</v>
      </c>
      <c r="Y111" s="807">
        <f t="shared" si="29"/>
        <v>5782.2350343473991</v>
      </c>
      <c r="Z111" s="807">
        <f t="shared" si="30"/>
        <v>1042.1736997055937</v>
      </c>
      <c r="AA111" s="807">
        <f t="shared" si="31"/>
        <v>0</v>
      </c>
      <c r="AB111" s="807">
        <f t="shared" si="32"/>
        <v>7490.5569185475961</v>
      </c>
      <c r="AC111" s="231">
        <f>'Idaho Data'!WA24</f>
        <v>314.55642787046122</v>
      </c>
      <c r="AD111" s="823">
        <f>'Idaho Data'!WB24</f>
        <v>5.7530160514160787E-2</v>
      </c>
      <c r="AE111" s="382"/>
      <c r="AF111" s="201" t="s">
        <v>97</v>
      </c>
      <c r="AG111" s="201"/>
      <c r="AH111" s="201"/>
      <c r="AI111" s="201"/>
      <c r="AJ111" s="381"/>
    </row>
    <row r="112" spans="2:36">
      <c r="B112" s="228" t="str">
        <f>'Idaho Data'!B25</f>
        <v>Blaine County</v>
      </c>
      <c r="C112" s="405">
        <f>'Idaho Data'!ST25</f>
        <v>3054</v>
      </c>
      <c r="D112" s="242">
        <f>'Idaho Data'!SE25</f>
        <v>2927623.0697445972</v>
      </c>
      <c r="E112" s="243">
        <f>'Idaho Data'!SV25</f>
        <v>0.41674221819280749</v>
      </c>
      <c r="G112" s="794" t="str">
        <f>'Idaho Data'!UE25</f>
        <v/>
      </c>
      <c r="H112" s="801">
        <f>'Idaho Data'!VO25</f>
        <v>1795423</v>
      </c>
      <c r="I112" s="800">
        <f>'Idaho Data'!VP25</f>
        <v>16803273</v>
      </c>
      <c r="J112" s="800"/>
      <c r="K112" s="800">
        <f>'Idaho Data'!VQ25</f>
        <v>40457615</v>
      </c>
      <c r="L112" s="229">
        <f t="shared" si="27"/>
        <v>59056311</v>
      </c>
      <c r="M112" s="805">
        <f>'Idaho Data'!VR25</f>
        <v>1795423</v>
      </c>
      <c r="N112" s="805">
        <f>'Idaho Data'!VS25</f>
        <v>17475975</v>
      </c>
      <c r="O112" s="805">
        <f>'Idaho Data'!VT25 +'Idaho Data'!VU25</f>
        <v>40457615</v>
      </c>
      <c r="P112" s="805">
        <f>'Idaho Data'!VU25</f>
        <v>0</v>
      </c>
      <c r="Q112" s="805">
        <f t="shared" si="22"/>
        <v>59729013</v>
      </c>
      <c r="R112" s="898">
        <f>'Idaho Data'!VS25-'Idaho Data'!VP25</f>
        <v>672702</v>
      </c>
      <c r="S112" s="230">
        <f t="shared" si="23"/>
        <v>587.89227242960055</v>
      </c>
      <c r="U112" s="230">
        <f t="shared" si="24"/>
        <v>5502.0540275049116</v>
      </c>
      <c r="V112" s="230">
        <f t="shared" si="25"/>
        <v>13247.418140144073</v>
      </c>
      <c r="W112" s="230">
        <f t="shared" si="26"/>
        <v>19337.364440078585</v>
      </c>
      <c r="X112" s="807">
        <f t="shared" si="28"/>
        <v>587.89227242960055</v>
      </c>
      <c r="Y112" s="807">
        <f t="shared" si="29"/>
        <v>5722.3231827111986</v>
      </c>
      <c r="Z112" s="807">
        <f t="shared" si="30"/>
        <v>13247.418140144073</v>
      </c>
      <c r="AA112" s="807">
        <f t="shared" si="31"/>
        <v>0</v>
      </c>
      <c r="AB112" s="807">
        <f t="shared" si="32"/>
        <v>19557.633595284871</v>
      </c>
      <c r="AC112" s="231">
        <f>'Idaho Data'!WA25</f>
        <v>220.26915520628683</v>
      </c>
      <c r="AD112" s="823">
        <f>'Idaho Data'!WB25</f>
        <v>4.0033986235895831E-2</v>
      </c>
      <c r="AE112" s="382"/>
      <c r="AF112" s="201" t="s">
        <v>124</v>
      </c>
      <c r="AG112" s="201"/>
      <c r="AH112" s="201"/>
      <c r="AI112" s="201"/>
      <c r="AJ112" s="381"/>
    </row>
    <row r="113" spans="2:36">
      <c r="B113" s="228" t="str">
        <f>'Idaho Data'!B26</f>
        <v>Garden Valley</v>
      </c>
      <c r="C113" s="405">
        <f>'Idaho Data'!ST26</f>
        <v>215</v>
      </c>
      <c r="D113" s="242">
        <f>'Idaho Data'!SE26</f>
        <v>1818085.6790697675</v>
      </c>
      <c r="E113" s="243">
        <f>'Idaho Data'!SV26</f>
        <v>0.50622406639004147</v>
      </c>
      <c r="G113" s="794" t="str">
        <f>'Idaho Data'!UE26</f>
        <v>yes</v>
      </c>
      <c r="H113" s="801">
        <f>'Idaho Data'!VO26</f>
        <v>327409</v>
      </c>
      <c r="I113" s="800">
        <f>'Idaho Data'!VP26</f>
        <v>1941022</v>
      </c>
      <c r="J113" s="800"/>
      <c r="K113" s="800">
        <f>'Idaho Data'!VQ26</f>
        <v>1460798</v>
      </c>
      <c r="L113" s="229">
        <f t="shared" si="27"/>
        <v>3729229</v>
      </c>
      <c r="M113" s="805">
        <f>'Idaho Data'!VR26</f>
        <v>327409</v>
      </c>
      <c r="N113" s="805">
        <f>'Idaho Data'!VS26</f>
        <v>1232298</v>
      </c>
      <c r="O113" s="805">
        <f>'Idaho Data'!VT26 +'Idaho Data'!VU26</f>
        <v>1460798</v>
      </c>
      <c r="P113" s="805">
        <f>'Idaho Data'!VU26</f>
        <v>0</v>
      </c>
      <c r="Q113" s="805">
        <f t="shared" si="22"/>
        <v>3020505</v>
      </c>
      <c r="R113" s="898">
        <f>'Idaho Data'!VS26-'Idaho Data'!VP26</f>
        <v>-708724</v>
      </c>
      <c r="S113" s="230">
        <f t="shared" si="23"/>
        <v>1522.832558139535</v>
      </c>
      <c r="U113" s="230">
        <f t="shared" si="24"/>
        <v>9028.0093023255813</v>
      </c>
      <c r="V113" s="230">
        <f t="shared" si="25"/>
        <v>6794.4093023255818</v>
      </c>
      <c r="W113" s="230">
        <f t="shared" si="26"/>
        <v>17345.251162790697</v>
      </c>
      <c r="X113" s="807">
        <f t="shared" si="28"/>
        <v>1522.832558139535</v>
      </c>
      <c r="Y113" s="807">
        <f t="shared" si="29"/>
        <v>5731.618604651163</v>
      </c>
      <c r="Z113" s="807">
        <f t="shared" si="30"/>
        <v>6794.4093023255818</v>
      </c>
      <c r="AA113" s="807">
        <f t="shared" si="31"/>
        <v>0</v>
      </c>
      <c r="AB113" s="807">
        <f t="shared" si="32"/>
        <v>14048.860465116279</v>
      </c>
      <c r="AC113" s="231">
        <f>'Idaho Data'!WA26</f>
        <v>-3296.3906976744188</v>
      </c>
      <c r="AD113" s="823">
        <f>'Idaho Data'!WB26</f>
        <v>-0.36512929786473314</v>
      </c>
      <c r="AE113" s="382"/>
      <c r="AF113" s="201" t="s">
        <v>125</v>
      </c>
      <c r="AG113" s="201"/>
      <c r="AH113" s="201"/>
      <c r="AI113" s="201"/>
      <c r="AJ113" s="381"/>
    </row>
    <row r="114" spans="2:36">
      <c r="B114" s="228" t="str">
        <f>'Idaho Data'!B27</f>
        <v>Basin</v>
      </c>
      <c r="C114" s="405">
        <f>'Idaho Data'!ST27</f>
        <v>332</v>
      </c>
      <c r="D114" s="242">
        <f>'Idaho Data'!SE27</f>
        <v>841338.00602409639</v>
      </c>
      <c r="E114" s="243">
        <f>'Idaho Data'!SV27</f>
        <v>0.45454545454545453</v>
      </c>
      <c r="G114" s="794" t="str">
        <f>'Idaho Data'!UE27</f>
        <v/>
      </c>
      <c r="H114" s="801">
        <f>'Idaho Data'!VO27</f>
        <v>432776</v>
      </c>
      <c r="I114" s="800">
        <f>'Idaho Data'!VP27</f>
        <v>2301573</v>
      </c>
      <c r="J114" s="800"/>
      <c r="K114" s="800">
        <f>'Idaho Data'!VQ27</f>
        <v>510652</v>
      </c>
      <c r="L114" s="229">
        <f t="shared" si="27"/>
        <v>3245001</v>
      </c>
      <c r="M114" s="805">
        <f>'Idaho Data'!VR27</f>
        <v>432776</v>
      </c>
      <c r="N114" s="805">
        <f>'Idaho Data'!VS27</f>
        <v>1878840</v>
      </c>
      <c r="O114" s="805">
        <f>'Idaho Data'!VT27 +'Idaho Data'!VU27</f>
        <v>510652</v>
      </c>
      <c r="P114" s="805">
        <f>'Idaho Data'!VU27</f>
        <v>0</v>
      </c>
      <c r="Q114" s="805">
        <f t="shared" si="22"/>
        <v>2822268</v>
      </c>
      <c r="R114" s="898">
        <f>'Idaho Data'!VS27-'Idaho Data'!VP27</f>
        <v>-422733</v>
      </c>
      <c r="S114" s="230">
        <f t="shared" si="23"/>
        <v>1303.5421686746988</v>
      </c>
      <c r="U114" s="230">
        <f t="shared" si="24"/>
        <v>6932.4487951807232</v>
      </c>
      <c r="V114" s="230">
        <f t="shared" si="25"/>
        <v>1538.1084337349398</v>
      </c>
      <c r="W114" s="230">
        <f t="shared" si="26"/>
        <v>9774.0993975903621</v>
      </c>
      <c r="X114" s="807">
        <f t="shared" si="28"/>
        <v>1303.5421686746988</v>
      </c>
      <c r="Y114" s="807">
        <f t="shared" si="29"/>
        <v>5659.1566265060237</v>
      </c>
      <c r="Z114" s="807">
        <f t="shared" si="30"/>
        <v>1538.1084337349398</v>
      </c>
      <c r="AA114" s="807">
        <f t="shared" si="31"/>
        <v>0</v>
      </c>
      <c r="AB114" s="807">
        <f t="shared" si="32"/>
        <v>8500.8072289156626</v>
      </c>
      <c r="AC114" s="231">
        <f>'Idaho Data'!WA27</f>
        <v>-1273.2921686746988</v>
      </c>
      <c r="AD114" s="823">
        <f>'Idaho Data'!WB27</f>
        <v>-0.18367134129571386</v>
      </c>
      <c r="AE114" s="382"/>
      <c r="AF114" s="201" t="s">
        <v>196</v>
      </c>
      <c r="AG114" s="201"/>
      <c r="AH114" s="201"/>
      <c r="AI114" s="201"/>
      <c r="AJ114" s="381"/>
    </row>
    <row r="115" spans="2:36">
      <c r="B115" s="228" t="str">
        <f>'Idaho Data'!B28</f>
        <v>Horseshoe Bend</v>
      </c>
      <c r="C115" s="405">
        <f>'Idaho Data'!ST28</f>
        <v>207</v>
      </c>
      <c r="D115" s="242">
        <f>'Idaho Data'!SE28</f>
        <v>508926.961352657</v>
      </c>
      <c r="E115" s="243">
        <f>'Idaho Data'!SV28</f>
        <v>0.66816143497757852</v>
      </c>
      <c r="G115" s="794" t="str">
        <f>'Idaho Data'!UE28</f>
        <v>yes</v>
      </c>
      <c r="H115" s="801">
        <f>'Idaho Data'!VO28</f>
        <v>518456</v>
      </c>
      <c r="I115" s="800">
        <f>'Idaho Data'!VP28</f>
        <v>1828159</v>
      </c>
      <c r="J115" s="800"/>
      <c r="K115" s="800">
        <f>'Idaho Data'!VQ28</f>
        <v>539333</v>
      </c>
      <c r="L115" s="229">
        <f t="shared" si="27"/>
        <v>2885948</v>
      </c>
      <c r="M115" s="805">
        <f>'Idaho Data'!VR28</f>
        <v>518456</v>
      </c>
      <c r="N115" s="805">
        <f>'Idaho Data'!VS28</f>
        <v>1201905</v>
      </c>
      <c r="O115" s="805">
        <f>'Idaho Data'!VT28 +'Idaho Data'!VU28</f>
        <v>539333</v>
      </c>
      <c r="P115" s="805">
        <f>'Idaho Data'!VU28</f>
        <v>0</v>
      </c>
      <c r="Q115" s="805">
        <f t="shared" si="22"/>
        <v>2259694</v>
      </c>
      <c r="R115" s="898">
        <f>'Idaho Data'!VS28-'Idaho Data'!VP28</f>
        <v>-626254</v>
      </c>
      <c r="S115" s="230">
        <f t="shared" si="23"/>
        <v>2504.6183574879228</v>
      </c>
      <c r="U115" s="230">
        <f t="shared" si="24"/>
        <v>8831.6859903381646</v>
      </c>
      <c r="V115" s="230">
        <f t="shared" si="25"/>
        <v>2605.4734299516908</v>
      </c>
      <c r="W115" s="230">
        <f t="shared" si="26"/>
        <v>13941.777777777779</v>
      </c>
      <c r="X115" s="807">
        <f t="shared" si="28"/>
        <v>2504.6183574879228</v>
      </c>
      <c r="Y115" s="807">
        <f t="shared" si="29"/>
        <v>5806.304347826087</v>
      </c>
      <c r="Z115" s="807">
        <f t="shared" si="30"/>
        <v>2605.4734299516908</v>
      </c>
      <c r="AA115" s="807">
        <f t="shared" si="31"/>
        <v>0</v>
      </c>
      <c r="AB115" s="807">
        <f t="shared" si="32"/>
        <v>10916.396135265701</v>
      </c>
      <c r="AC115" s="231">
        <f>'Idaho Data'!WA28</f>
        <v>-3025.3816425120772</v>
      </c>
      <c r="AD115" s="823">
        <f>'Idaho Data'!WB28</f>
        <v>-0.34255991956935911</v>
      </c>
      <c r="AE115" s="382"/>
      <c r="AF115" s="201" t="s">
        <v>210</v>
      </c>
      <c r="AG115" s="201"/>
      <c r="AH115" s="201"/>
      <c r="AI115" s="201"/>
      <c r="AJ115" s="381"/>
    </row>
    <row r="116" spans="2:36">
      <c r="B116" s="228" t="str">
        <f>'Idaho Data'!B29</f>
        <v>West Bonner County</v>
      </c>
      <c r="C116" s="405">
        <f>'Idaho Data'!ST29</f>
        <v>1006</v>
      </c>
      <c r="D116" s="242">
        <f>'Idaho Data'!SE29</f>
        <v>1630195.6093439364</v>
      </c>
      <c r="E116" s="243">
        <f>'Idaho Data'!SV29</f>
        <v>0.5542056074766355</v>
      </c>
      <c r="G116" s="794" t="str">
        <f>'Idaho Data'!UE29</f>
        <v/>
      </c>
      <c r="H116" s="801">
        <f>'Idaho Data'!VO29</f>
        <v>1686817</v>
      </c>
      <c r="I116" s="800">
        <f>'Idaho Data'!VP29</f>
        <v>6132486</v>
      </c>
      <c r="J116" s="800"/>
      <c r="K116" s="800">
        <f>'Idaho Data'!VQ29</f>
        <v>3640285</v>
      </c>
      <c r="L116" s="229">
        <f t="shared" si="27"/>
        <v>11459588</v>
      </c>
      <c r="M116" s="805">
        <f>'Idaho Data'!VR29</f>
        <v>1686817</v>
      </c>
      <c r="N116" s="805">
        <f>'Idaho Data'!VS29</f>
        <v>5744277</v>
      </c>
      <c r="O116" s="805">
        <f>'Idaho Data'!VT29 +'Idaho Data'!VU29</f>
        <v>3640285</v>
      </c>
      <c r="P116" s="805">
        <f>'Idaho Data'!VU29</f>
        <v>0</v>
      </c>
      <c r="Q116" s="805">
        <f t="shared" si="22"/>
        <v>11071379</v>
      </c>
      <c r="R116" s="898">
        <f>'Idaho Data'!VS29-'Idaho Data'!VP29</f>
        <v>-388209</v>
      </c>
      <c r="S116" s="230">
        <f t="shared" si="23"/>
        <v>1676.7564612326044</v>
      </c>
      <c r="U116" s="230">
        <f t="shared" si="24"/>
        <v>6095.9105367793245</v>
      </c>
      <c r="V116" s="230">
        <f t="shared" si="25"/>
        <v>3618.5735586481114</v>
      </c>
      <c r="W116" s="230">
        <f t="shared" si="26"/>
        <v>11391.240556660039</v>
      </c>
      <c r="X116" s="807">
        <f t="shared" si="28"/>
        <v>1676.7564612326044</v>
      </c>
      <c r="Y116" s="807">
        <f t="shared" si="29"/>
        <v>5710.0168986083499</v>
      </c>
      <c r="Z116" s="807">
        <f t="shared" si="30"/>
        <v>3618.5735586481114</v>
      </c>
      <c r="AA116" s="807">
        <f t="shared" si="31"/>
        <v>0</v>
      </c>
      <c r="AB116" s="807">
        <f t="shared" si="32"/>
        <v>11005.346918489066</v>
      </c>
      <c r="AC116" s="231">
        <f>'Idaho Data'!WA29</f>
        <v>-385.89363817097416</v>
      </c>
      <c r="AD116" s="823">
        <f>'Idaho Data'!WB29</f>
        <v>-6.3303691194729186E-2</v>
      </c>
      <c r="AE116" s="382"/>
      <c r="AF116" s="201" t="s">
        <v>126</v>
      </c>
      <c r="AG116" s="201"/>
      <c r="AH116" s="201"/>
      <c r="AI116" s="201"/>
      <c r="AJ116" s="381"/>
    </row>
    <row r="117" spans="2:36">
      <c r="B117" s="228" t="str">
        <f>'Idaho Data'!B30</f>
        <v>Lake Pend Oreille</v>
      </c>
      <c r="C117" s="405">
        <f>'Idaho Data'!ST30</f>
        <v>3353</v>
      </c>
      <c r="D117" s="242">
        <f>'Idaho Data'!SE30</f>
        <v>1252955.4894124665</v>
      </c>
      <c r="E117" s="243">
        <f>'Idaho Data'!SV30</f>
        <v>0.45081266039349871</v>
      </c>
      <c r="G117" s="794" t="str">
        <f>'Idaho Data'!UE30</f>
        <v/>
      </c>
      <c r="H117" s="801">
        <f>'Idaho Data'!VO30</f>
        <v>3152892</v>
      </c>
      <c r="I117" s="800">
        <f>'Idaho Data'!VP30</f>
        <v>19240780</v>
      </c>
      <c r="J117" s="800"/>
      <c r="K117" s="800">
        <f>'Idaho Data'!VQ30</f>
        <v>9248684</v>
      </c>
      <c r="L117" s="229">
        <f t="shared" si="27"/>
        <v>31642356</v>
      </c>
      <c r="M117" s="805">
        <f>'Idaho Data'!VR30</f>
        <v>3152892</v>
      </c>
      <c r="N117" s="805">
        <f>'Idaho Data'!VS30</f>
        <v>19153116</v>
      </c>
      <c r="O117" s="805">
        <f>'Idaho Data'!VT30 +'Idaho Data'!VU30</f>
        <v>9248684</v>
      </c>
      <c r="P117" s="805">
        <f>'Idaho Data'!VU30</f>
        <v>0</v>
      </c>
      <c r="Q117" s="805">
        <f t="shared" si="22"/>
        <v>31554692</v>
      </c>
      <c r="R117" s="898">
        <f>'Idaho Data'!VS30-'Idaho Data'!VP30</f>
        <v>-87664</v>
      </c>
      <c r="S117" s="230">
        <f t="shared" si="23"/>
        <v>940.31971368923348</v>
      </c>
      <c r="U117" s="230">
        <f t="shared" si="24"/>
        <v>5738.377572323293</v>
      </c>
      <c r="V117" s="230">
        <f t="shared" si="25"/>
        <v>2758.3310468237401</v>
      </c>
      <c r="W117" s="230">
        <f t="shared" si="26"/>
        <v>9437.0283328362657</v>
      </c>
      <c r="X117" s="807">
        <f t="shared" si="28"/>
        <v>940.31971368923348</v>
      </c>
      <c r="Y117" s="807">
        <f t="shared" si="29"/>
        <v>5712.2326274977631</v>
      </c>
      <c r="Z117" s="807">
        <f t="shared" si="30"/>
        <v>2758.3310468237401</v>
      </c>
      <c r="AA117" s="807">
        <f t="shared" si="31"/>
        <v>0</v>
      </c>
      <c r="AB117" s="807">
        <f t="shared" si="32"/>
        <v>9410.8833880107359</v>
      </c>
      <c r="AC117" s="231">
        <f>'Idaho Data'!WA30</f>
        <v>-26.144944825529375</v>
      </c>
      <c r="AD117" s="823">
        <f>'Idaho Data'!WB30</f>
        <v>-4.5561562473039035E-3</v>
      </c>
      <c r="AE117" s="382"/>
      <c r="AF117" s="201" t="s">
        <v>130</v>
      </c>
      <c r="AG117" s="201"/>
      <c r="AH117" s="201"/>
      <c r="AI117" s="201"/>
      <c r="AJ117" s="381"/>
    </row>
    <row r="118" spans="2:36">
      <c r="B118" s="228" t="str">
        <f>'Idaho Data'!B31</f>
        <v>Idaho Falls</v>
      </c>
      <c r="C118" s="405">
        <f>'Idaho Data'!ST31</f>
        <v>9490</v>
      </c>
      <c r="D118" s="242">
        <f>'Idaho Data'!SE31</f>
        <v>308800.54236037936</v>
      </c>
      <c r="E118" s="243">
        <f>'Idaho Data'!SV31</f>
        <v>0.49492940942533309</v>
      </c>
      <c r="G118" s="794" t="str">
        <f>'Idaho Data'!UE31</f>
        <v/>
      </c>
      <c r="H118" s="801">
        <f>'Idaho Data'!VO31</f>
        <v>7208708</v>
      </c>
      <c r="I118" s="800">
        <f>'Idaho Data'!VP31</f>
        <v>51055947</v>
      </c>
      <c r="J118" s="800"/>
      <c r="K118" s="800">
        <f>'Idaho Data'!VQ31</f>
        <v>15401468</v>
      </c>
      <c r="L118" s="229">
        <f t="shared" si="27"/>
        <v>73666123</v>
      </c>
      <c r="M118" s="805">
        <f>'Idaho Data'!VR31</f>
        <v>7208708</v>
      </c>
      <c r="N118" s="805">
        <f>'Idaho Data'!VS31</f>
        <v>54596880</v>
      </c>
      <c r="O118" s="805">
        <f>'Idaho Data'!VT31 +'Idaho Data'!VU31</f>
        <v>15401468</v>
      </c>
      <c r="P118" s="805">
        <f>'Idaho Data'!VU31</f>
        <v>0</v>
      </c>
      <c r="Q118" s="805">
        <f t="shared" si="22"/>
        <v>77207056</v>
      </c>
      <c r="R118" s="898">
        <f>'Idaho Data'!VS31-'Idaho Data'!VP31</f>
        <v>3540933</v>
      </c>
      <c r="S118" s="230">
        <f t="shared" si="23"/>
        <v>759.61095890410957</v>
      </c>
      <c r="U118" s="230">
        <f t="shared" si="24"/>
        <v>5379.9733403582723</v>
      </c>
      <c r="V118" s="230">
        <f t="shared" si="25"/>
        <v>1622.9154899894627</v>
      </c>
      <c r="W118" s="230">
        <f t="shared" si="26"/>
        <v>7762.499789251845</v>
      </c>
      <c r="X118" s="807">
        <f t="shared" si="28"/>
        <v>759.61095890410957</v>
      </c>
      <c r="Y118" s="807">
        <f t="shared" si="29"/>
        <v>5753.0958904109593</v>
      </c>
      <c r="Z118" s="807">
        <f t="shared" si="30"/>
        <v>1622.9154899894627</v>
      </c>
      <c r="AA118" s="807">
        <f t="shared" si="31"/>
        <v>0</v>
      </c>
      <c r="AB118" s="807">
        <f t="shared" si="32"/>
        <v>8135.622339304532</v>
      </c>
      <c r="AC118" s="231">
        <f>'Idaho Data'!WA31</f>
        <v>373.12255005268702</v>
      </c>
      <c r="AD118" s="823">
        <f>'Idaho Data'!WB31</f>
        <v>6.9353977510200726E-2</v>
      </c>
      <c r="AE118" s="382"/>
      <c r="AF118" s="201" t="s">
        <v>127</v>
      </c>
      <c r="AG118" s="201"/>
      <c r="AH118" s="201"/>
      <c r="AI118" s="201"/>
      <c r="AJ118" s="381"/>
    </row>
    <row r="119" spans="2:36">
      <c r="B119" s="228" t="str">
        <f>'Idaho Data'!B32</f>
        <v>Swan Valley Elementary</v>
      </c>
      <c r="C119" s="405">
        <f>'Idaho Data'!ST32</f>
        <v>49</v>
      </c>
      <c r="D119" s="242">
        <f>'Idaho Data'!SE32</f>
        <v>3849730.612244898</v>
      </c>
      <c r="E119" s="243">
        <f>'Idaho Data'!SV32</f>
        <v>0.55102040816326525</v>
      </c>
      <c r="G119" s="794" t="str">
        <f>'Idaho Data'!UE32</f>
        <v>yes</v>
      </c>
      <c r="H119" s="801">
        <f>'Idaho Data'!VO32</f>
        <v>51337</v>
      </c>
      <c r="I119" s="800">
        <f>'Idaho Data'!VP32</f>
        <v>582145</v>
      </c>
      <c r="J119" s="800"/>
      <c r="K119" s="800">
        <f>'Idaho Data'!VQ32</f>
        <v>361062</v>
      </c>
      <c r="L119" s="229">
        <f t="shared" si="27"/>
        <v>994544</v>
      </c>
      <c r="M119" s="805">
        <f>'Idaho Data'!VR32</f>
        <v>51337</v>
      </c>
      <c r="N119" s="805">
        <f>'Idaho Data'!VS32</f>
        <v>273537</v>
      </c>
      <c r="O119" s="805">
        <f>'Idaho Data'!VT32 +'Idaho Data'!VU32</f>
        <v>361062</v>
      </c>
      <c r="P119" s="805">
        <f>'Idaho Data'!VU32</f>
        <v>0</v>
      </c>
      <c r="Q119" s="805">
        <f t="shared" si="22"/>
        <v>685936</v>
      </c>
      <c r="R119" s="898">
        <f>'Idaho Data'!VS32-'Idaho Data'!VP32</f>
        <v>-308608</v>
      </c>
      <c r="S119" s="230">
        <f t="shared" si="23"/>
        <v>1047.6938775510205</v>
      </c>
      <c r="U119" s="230">
        <f t="shared" si="24"/>
        <v>11880.510204081633</v>
      </c>
      <c r="V119" s="230">
        <f t="shared" si="25"/>
        <v>7368.6122448979595</v>
      </c>
      <c r="W119" s="230">
        <f t="shared" si="26"/>
        <v>20296.816326530614</v>
      </c>
      <c r="X119" s="807">
        <f t="shared" si="28"/>
        <v>1047.6938775510205</v>
      </c>
      <c r="Y119" s="807">
        <f t="shared" si="29"/>
        <v>5582.3877551020405</v>
      </c>
      <c r="Z119" s="807">
        <f t="shared" si="30"/>
        <v>7368.6122448979595</v>
      </c>
      <c r="AA119" s="807">
        <f t="shared" si="31"/>
        <v>0</v>
      </c>
      <c r="AB119" s="807">
        <f t="shared" si="32"/>
        <v>13998.693877551021</v>
      </c>
      <c r="AC119" s="231">
        <f>'Idaho Data'!WA32</f>
        <v>-6298.1224489795923</v>
      </c>
      <c r="AD119" s="823">
        <f>'Idaho Data'!WB32</f>
        <v>-0.53012222040900459</v>
      </c>
      <c r="AE119" s="382"/>
      <c r="AF119" s="201" t="s">
        <v>220</v>
      </c>
      <c r="AG119" s="201"/>
      <c r="AH119" s="201"/>
      <c r="AI119" s="201"/>
      <c r="AJ119" s="381"/>
    </row>
    <row r="120" spans="2:36">
      <c r="B120" s="228" t="str">
        <f>'Idaho Data'!B33</f>
        <v>Bonneville Joint</v>
      </c>
      <c r="C120" s="405">
        <f>'Idaho Data'!ST33</f>
        <v>10858</v>
      </c>
      <c r="D120" s="242">
        <f>'Idaho Data'!SE33</f>
        <v>222169.39952109044</v>
      </c>
      <c r="E120" s="243">
        <f>'Idaho Data'!SV33</f>
        <v>0.42962774094849565</v>
      </c>
      <c r="G120" s="794" t="str">
        <f>'Idaho Data'!UE33</f>
        <v/>
      </c>
      <c r="H120" s="801">
        <f>'Idaho Data'!VO33</f>
        <v>6730516</v>
      </c>
      <c r="I120" s="800">
        <f>'Idaho Data'!VP33</f>
        <v>59408826</v>
      </c>
      <c r="J120" s="800"/>
      <c r="K120" s="800">
        <f>'Idaho Data'!VQ33</f>
        <v>16569565</v>
      </c>
      <c r="L120" s="229">
        <f t="shared" si="27"/>
        <v>82708907</v>
      </c>
      <c r="M120" s="805">
        <f>'Idaho Data'!VR33</f>
        <v>6730516</v>
      </c>
      <c r="N120" s="805">
        <f>'Idaho Data'!VS33</f>
        <v>62496297</v>
      </c>
      <c r="O120" s="805">
        <f>'Idaho Data'!VT33 +'Idaho Data'!VU33</f>
        <v>16569565</v>
      </c>
      <c r="P120" s="805">
        <f>'Idaho Data'!VU33</f>
        <v>0</v>
      </c>
      <c r="Q120" s="805">
        <f t="shared" si="22"/>
        <v>85796378</v>
      </c>
      <c r="R120" s="898">
        <f>'Idaho Data'!VS33-'Idaho Data'!VP33</f>
        <v>3087471</v>
      </c>
      <c r="S120" s="230">
        <f t="shared" si="23"/>
        <v>619.8670104991711</v>
      </c>
      <c r="U120" s="230">
        <f t="shared" si="24"/>
        <v>5471.4335973475781</v>
      </c>
      <c r="V120" s="230">
        <f t="shared" si="25"/>
        <v>1526.0236691840119</v>
      </c>
      <c r="W120" s="230">
        <f t="shared" si="26"/>
        <v>7617.3242770307616</v>
      </c>
      <c r="X120" s="807">
        <f t="shared" si="28"/>
        <v>619.8670104991711</v>
      </c>
      <c r="Y120" s="807">
        <f t="shared" si="29"/>
        <v>5755.783477620188</v>
      </c>
      <c r="Z120" s="807">
        <f t="shared" si="30"/>
        <v>1526.0236691840119</v>
      </c>
      <c r="AA120" s="807">
        <f t="shared" si="31"/>
        <v>0</v>
      </c>
      <c r="AB120" s="807">
        <f t="shared" si="32"/>
        <v>7901.6741573033714</v>
      </c>
      <c r="AC120" s="231">
        <f>'Idaho Data'!WA33</f>
        <v>284.34988027261005</v>
      </c>
      <c r="AD120" s="823">
        <f>'Idaho Data'!WB33</f>
        <v>5.196990426977971E-2</v>
      </c>
      <c r="AE120" s="382"/>
      <c r="AF120" s="201" t="s">
        <v>218</v>
      </c>
      <c r="AG120" s="201"/>
      <c r="AH120" s="201"/>
      <c r="AI120" s="201"/>
      <c r="AJ120" s="381"/>
    </row>
    <row r="121" spans="2:36">
      <c r="B121" s="228" t="str">
        <f>'Idaho Data'!B34</f>
        <v>Boundary County</v>
      </c>
      <c r="C121" s="405">
        <f>'Idaho Data'!ST34</f>
        <v>1308</v>
      </c>
      <c r="D121" s="242">
        <f>'Idaho Data'!SE34</f>
        <v>649734.42813455663</v>
      </c>
      <c r="E121" s="243">
        <f>'Idaho Data'!SV34</f>
        <v>0.56206896551724139</v>
      </c>
      <c r="G121" s="794" t="str">
        <f>'Idaho Data'!UE34</f>
        <v/>
      </c>
      <c r="H121" s="801">
        <f>'Idaho Data'!VO34</f>
        <v>1842095</v>
      </c>
      <c r="I121" s="800">
        <f>'Idaho Data'!VP34</f>
        <v>7655587</v>
      </c>
      <c r="J121" s="800"/>
      <c r="K121" s="800">
        <f>'Idaho Data'!VQ34</f>
        <v>3566277</v>
      </c>
      <c r="L121" s="229">
        <f t="shared" si="27"/>
        <v>13063959</v>
      </c>
      <c r="M121" s="805">
        <f>'Idaho Data'!VR34</f>
        <v>1842095</v>
      </c>
      <c r="N121" s="805">
        <f>'Idaho Data'!VS34</f>
        <v>7471152</v>
      </c>
      <c r="O121" s="805">
        <f>'Idaho Data'!VT34 +'Idaho Data'!VU34</f>
        <v>3566277</v>
      </c>
      <c r="P121" s="805">
        <f>'Idaho Data'!VU34</f>
        <v>0</v>
      </c>
      <c r="Q121" s="805">
        <f t="shared" si="22"/>
        <v>12879524</v>
      </c>
      <c r="R121" s="898">
        <f>'Idaho Data'!VS34-'Idaho Data'!VP34</f>
        <v>-184435</v>
      </c>
      <c r="S121" s="230">
        <f t="shared" si="23"/>
        <v>1408.3295107033639</v>
      </c>
      <c r="U121" s="230">
        <f t="shared" si="24"/>
        <v>5852.8952599388376</v>
      </c>
      <c r="V121" s="230">
        <f t="shared" si="25"/>
        <v>2726.5114678899081</v>
      </c>
      <c r="W121" s="230">
        <f t="shared" si="26"/>
        <v>9987.7362385321103</v>
      </c>
      <c r="X121" s="807">
        <f t="shared" si="28"/>
        <v>1408.3295107033639</v>
      </c>
      <c r="Y121" s="807">
        <f t="shared" si="29"/>
        <v>5711.8899082568805</v>
      </c>
      <c r="Z121" s="807">
        <f t="shared" si="30"/>
        <v>2726.5114678899081</v>
      </c>
      <c r="AA121" s="807">
        <f t="shared" si="31"/>
        <v>0</v>
      </c>
      <c r="AB121" s="807">
        <f t="shared" si="32"/>
        <v>9846.7308868501532</v>
      </c>
      <c r="AC121" s="231">
        <f>'Idaho Data'!WA34</f>
        <v>-141.00535168195719</v>
      </c>
      <c r="AD121" s="823">
        <f>'Idaho Data'!WB34</f>
        <v>-2.4091555618138753E-2</v>
      </c>
      <c r="AE121" s="382"/>
      <c r="AF121" s="201" t="s">
        <v>141</v>
      </c>
      <c r="AG121" s="201"/>
      <c r="AH121" s="201"/>
      <c r="AI121" s="201"/>
      <c r="AJ121" s="381"/>
    </row>
    <row r="122" spans="2:36">
      <c r="B122" s="228" t="str">
        <f>'Idaho Data'!B35</f>
        <v>Butte County</v>
      </c>
      <c r="C122" s="405">
        <f>'Idaho Data'!ST35</f>
        <v>392</v>
      </c>
      <c r="D122" s="242">
        <f>'Idaho Data'!SE35</f>
        <v>401072.45663265308</v>
      </c>
      <c r="E122" s="243">
        <f>'Idaho Data'!SV35</f>
        <v>0.46186440677966101</v>
      </c>
      <c r="G122" s="794" t="str">
        <f>'Idaho Data'!UE35</f>
        <v/>
      </c>
      <c r="H122" s="801">
        <f>'Idaho Data'!VO35</f>
        <v>378291</v>
      </c>
      <c r="I122" s="800">
        <f>'Idaho Data'!VP35</f>
        <v>2990209</v>
      </c>
      <c r="J122" s="800"/>
      <c r="K122" s="800">
        <f>'Idaho Data'!VQ35</f>
        <v>808681</v>
      </c>
      <c r="L122" s="229">
        <f t="shared" si="27"/>
        <v>4177181</v>
      </c>
      <c r="M122" s="805">
        <f>'Idaho Data'!VR35</f>
        <v>378291</v>
      </c>
      <c r="N122" s="805">
        <f>'Idaho Data'!VS35</f>
        <v>2265660</v>
      </c>
      <c r="O122" s="805">
        <f>'Idaho Data'!VT35 +'Idaho Data'!VU35</f>
        <v>808681</v>
      </c>
      <c r="P122" s="805">
        <f>'Idaho Data'!VU35</f>
        <v>0</v>
      </c>
      <c r="Q122" s="805">
        <f t="shared" si="22"/>
        <v>3452632</v>
      </c>
      <c r="R122" s="898">
        <f>'Idaho Data'!VS35-'Idaho Data'!VP35</f>
        <v>-724549</v>
      </c>
      <c r="S122" s="230">
        <f t="shared" si="23"/>
        <v>965.02806122448976</v>
      </c>
      <c r="U122" s="230">
        <f t="shared" si="24"/>
        <v>7628.0841836734689</v>
      </c>
      <c r="V122" s="230">
        <f t="shared" si="25"/>
        <v>2062.9617346938776</v>
      </c>
      <c r="W122" s="230">
        <f t="shared" si="26"/>
        <v>10656.073979591836</v>
      </c>
      <c r="X122" s="807">
        <f t="shared" si="28"/>
        <v>965.02806122448976</v>
      </c>
      <c r="Y122" s="807">
        <f t="shared" si="29"/>
        <v>5779.7448979591836</v>
      </c>
      <c r="Z122" s="807">
        <f t="shared" si="30"/>
        <v>2062.9617346938776</v>
      </c>
      <c r="AA122" s="807">
        <f t="shared" si="31"/>
        <v>0</v>
      </c>
      <c r="AB122" s="807">
        <f t="shared" si="32"/>
        <v>8807.7346938775518</v>
      </c>
      <c r="AC122" s="231">
        <f>'Idaho Data'!WA35</f>
        <v>-1848.3392857142858</v>
      </c>
      <c r="AD122" s="823">
        <f>'Idaho Data'!WB35</f>
        <v>-0.24230714307929646</v>
      </c>
      <c r="AE122" s="382"/>
      <c r="AF122" s="201" t="s">
        <v>215</v>
      </c>
      <c r="AG122" s="201"/>
      <c r="AH122" s="201"/>
      <c r="AI122" s="201"/>
      <c r="AJ122" s="381"/>
    </row>
    <row r="123" spans="2:36">
      <c r="B123" s="228" t="str">
        <f>'Idaho Data'!B36</f>
        <v>Camas County</v>
      </c>
      <c r="C123" s="405">
        <f>'Idaho Data'!ST36</f>
        <v>129</v>
      </c>
      <c r="D123" s="242">
        <f>'Idaho Data'!SE36</f>
        <v>991893.81395348837</v>
      </c>
      <c r="E123" s="243">
        <f>'Idaho Data'!SV36</f>
        <v>0.40799999999999997</v>
      </c>
      <c r="G123" s="794" t="str">
        <f>'Idaho Data'!UE36</f>
        <v>yes</v>
      </c>
      <c r="H123" s="801">
        <f>'Idaho Data'!VO36</f>
        <v>218674</v>
      </c>
      <c r="I123" s="800">
        <f>'Idaho Data'!VP36</f>
        <v>1505501</v>
      </c>
      <c r="J123" s="800"/>
      <c r="K123" s="800">
        <f>'Idaho Data'!VQ36</f>
        <v>610183</v>
      </c>
      <c r="L123" s="229">
        <f t="shared" si="27"/>
        <v>2334358</v>
      </c>
      <c r="M123" s="805">
        <f>'Idaho Data'!VR36</f>
        <v>218674</v>
      </c>
      <c r="N123" s="805">
        <f>'Idaho Data'!VS36</f>
        <v>732195</v>
      </c>
      <c r="O123" s="805">
        <f>'Idaho Data'!VT36 +'Idaho Data'!VU36</f>
        <v>610183</v>
      </c>
      <c r="P123" s="805">
        <f>'Idaho Data'!VU36</f>
        <v>0</v>
      </c>
      <c r="Q123" s="805">
        <f t="shared" si="22"/>
        <v>1561052</v>
      </c>
      <c r="R123" s="898">
        <f>'Idaho Data'!VS36-'Idaho Data'!VP36</f>
        <v>-773306</v>
      </c>
      <c r="S123" s="230">
        <f t="shared" si="23"/>
        <v>1695.1472868217054</v>
      </c>
      <c r="U123" s="230">
        <f t="shared" si="24"/>
        <v>11670.550387596899</v>
      </c>
      <c r="V123" s="230">
        <f t="shared" si="25"/>
        <v>4730.1007751937987</v>
      </c>
      <c r="W123" s="230">
        <f t="shared" si="26"/>
        <v>18095.798449612405</v>
      </c>
      <c r="X123" s="807">
        <f t="shared" si="28"/>
        <v>1695.1472868217054</v>
      </c>
      <c r="Y123" s="807">
        <f t="shared" si="29"/>
        <v>5675.9302325581393</v>
      </c>
      <c r="Z123" s="807">
        <f t="shared" si="30"/>
        <v>4730.1007751937987</v>
      </c>
      <c r="AA123" s="807">
        <f t="shared" si="31"/>
        <v>0</v>
      </c>
      <c r="AB123" s="807">
        <f t="shared" si="32"/>
        <v>12101.178294573643</v>
      </c>
      <c r="AC123" s="231">
        <f>'Idaho Data'!WA36</f>
        <v>-5994.6201550387595</v>
      </c>
      <c r="AD123" s="823">
        <f>'Idaho Data'!WB36</f>
        <v>-0.51365359438485925</v>
      </c>
      <c r="AE123" s="382"/>
      <c r="AF123" s="201" t="s">
        <v>144</v>
      </c>
      <c r="AG123" s="201"/>
      <c r="AH123" s="201"/>
      <c r="AI123" s="201"/>
      <c r="AJ123" s="381"/>
    </row>
    <row r="124" spans="2:36">
      <c r="B124" s="228" t="str">
        <f>'Idaho Data'!B37</f>
        <v>Nampa</v>
      </c>
      <c r="C124" s="405">
        <f>'Idaho Data'!ST37</f>
        <v>14413</v>
      </c>
      <c r="D124" s="242">
        <f>'Idaho Data'!SE37</f>
        <v>271543.59709984041</v>
      </c>
      <c r="E124" s="243">
        <f>'Idaho Data'!SV37</f>
        <v>0.60365717683788001</v>
      </c>
      <c r="G124" s="794" t="str">
        <f>'Idaho Data'!UE37</f>
        <v/>
      </c>
      <c r="H124" s="801">
        <f>'Idaho Data'!VO37</f>
        <v>15340948</v>
      </c>
      <c r="I124" s="800">
        <f>'Idaho Data'!VP37</f>
        <v>81437455</v>
      </c>
      <c r="J124" s="800"/>
      <c r="K124" s="800">
        <f>'Idaho Data'!VQ37</f>
        <v>20496683</v>
      </c>
      <c r="L124" s="229">
        <f t="shared" si="27"/>
        <v>117275086</v>
      </c>
      <c r="M124" s="805">
        <f>'Idaho Data'!VR37</f>
        <v>15340948</v>
      </c>
      <c r="N124" s="805">
        <f>'Idaho Data'!VS37</f>
        <v>82633041</v>
      </c>
      <c r="O124" s="805">
        <f>'Idaho Data'!VT37 +'Idaho Data'!VU37</f>
        <v>20496683</v>
      </c>
      <c r="P124" s="805">
        <f>'Idaho Data'!VU37</f>
        <v>0</v>
      </c>
      <c r="Q124" s="805">
        <f t="shared" si="22"/>
        <v>118470672</v>
      </c>
      <c r="R124" s="898">
        <f>'Idaho Data'!VS37-'Idaho Data'!VP37</f>
        <v>1195586</v>
      </c>
      <c r="S124" s="230">
        <f t="shared" si="23"/>
        <v>1064.382710053424</v>
      </c>
      <c r="U124" s="230">
        <f t="shared" si="24"/>
        <v>5650.2778741414004</v>
      </c>
      <c r="V124" s="230">
        <f t="shared" si="25"/>
        <v>1422.0969263859017</v>
      </c>
      <c r="W124" s="230">
        <f t="shared" si="26"/>
        <v>8136.7575105807255</v>
      </c>
      <c r="X124" s="807">
        <f t="shared" si="28"/>
        <v>1064.382710053424</v>
      </c>
      <c r="Y124" s="807">
        <f t="shared" si="29"/>
        <v>5733.2297925483936</v>
      </c>
      <c r="Z124" s="807">
        <f t="shared" si="30"/>
        <v>1422.0969263859017</v>
      </c>
      <c r="AA124" s="807">
        <f t="shared" si="31"/>
        <v>0</v>
      </c>
      <c r="AB124" s="807">
        <f t="shared" si="32"/>
        <v>8219.7094289877205</v>
      </c>
      <c r="AC124" s="231">
        <f>'Idaho Data'!WA37</f>
        <v>82.951918406993684</v>
      </c>
      <c r="AD124" s="823">
        <f>'Idaho Data'!WB37</f>
        <v>1.4681033438483558E-2</v>
      </c>
      <c r="AE124" s="382"/>
      <c r="AF124" s="201" t="s">
        <v>1175</v>
      </c>
      <c r="AG124" s="201"/>
      <c r="AH124" s="201"/>
      <c r="AI124" s="201"/>
      <c r="AJ124" s="381"/>
    </row>
    <row r="125" spans="2:36">
      <c r="B125" s="228" t="str">
        <f>'Idaho Data'!B38</f>
        <v>Caldwell</v>
      </c>
      <c r="C125" s="405">
        <f>'Idaho Data'!ST38</f>
        <v>5715</v>
      </c>
      <c r="D125" s="242">
        <f>'Idaho Data'!SE38</f>
        <v>266807.13263342081</v>
      </c>
      <c r="E125" s="243">
        <f>'Idaho Data'!SV38</f>
        <v>0.82184634840341453</v>
      </c>
      <c r="G125" s="794" t="str">
        <f>'Idaho Data'!UE38</f>
        <v/>
      </c>
      <c r="H125" s="801">
        <f>'Idaho Data'!VO38</f>
        <v>8558835</v>
      </c>
      <c r="I125" s="800">
        <f>'Idaho Data'!VP38</f>
        <v>31823013</v>
      </c>
      <c r="J125" s="800"/>
      <c r="K125" s="800">
        <f>'Idaho Data'!VQ38</f>
        <v>8164442</v>
      </c>
      <c r="L125" s="229">
        <f t="shared" si="27"/>
        <v>48546290</v>
      </c>
      <c r="M125" s="805">
        <f>'Idaho Data'!VR38</f>
        <v>8558835</v>
      </c>
      <c r="N125" s="805">
        <f>'Idaho Data'!VS38</f>
        <v>33059295</v>
      </c>
      <c r="O125" s="805">
        <f>'Idaho Data'!VT38 +'Idaho Data'!VU38</f>
        <v>8164442</v>
      </c>
      <c r="P125" s="805">
        <f>'Idaho Data'!VU38</f>
        <v>0</v>
      </c>
      <c r="Q125" s="805">
        <f t="shared" si="22"/>
        <v>49782572</v>
      </c>
      <c r="R125" s="898">
        <f>'Idaho Data'!VS38-'Idaho Data'!VP38</f>
        <v>1236282</v>
      </c>
      <c r="S125" s="230">
        <f t="shared" si="23"/>
        <v>1497.6089238845145</v>
      </c>
      <c r="U125" s="230">
        <f t="shared" si="24"/>
        <v>5568.3312335958008</v>
      </c>
      <c r="V125" s="230">
        <f t="shared" si="25"/>
        <v>1428.5987751531059</v>
      </c>
      <c r="W125" s="230">
        <f t="shared" si="26"/>
        <v>8494.5389326334207</v>
      </c>
      <c r="X125" s="807">
        <f t="shared" si="28"/>
        <v>1497.6089238845145</v>
      </c>
      <c r="Y125" s="807">
        <f t="shared" si="29"/>
        <v>5784.6535433070867</v>
      </c>
      <c r="Z125" s="807">
        <f t="shared" si="30"/>
        <v>1428.5987751531059</v>
      </c>
      <c r="AA125" s="807">
        <f t="shared" si="31"/>
        <v>0</v>
      </c>
      <c r="AB125" s="807">
        <f t="shared" si="32"/>
        <v>8710.8612423447066</v>
      </c>
      <c r="AC125" s="231">
        <f>'Idaho Data'!WA38</f>
        <v>216.3223097112861</v>
      </c>
      <c r="AD125" s="823">
        <f>'Idaho Data'!WB38</f>
        <v>3.8848678470514403E-2</v>
      </c>
      <c r="AE125" s="382"/>
      <c r="AF125" s="201" t="s">
        <v>142</v>
      </c>
      <c r="AG125" s="201"/>
      <c r="AH125" s="201"/>
      <c r="AI125" s="201"/>
      <c r="AJ125" s="381"/>
    </row>
    <row r="126" spans="2:36">
      <c r="B126" s="228" t="str">
        <f>'Idaho Data'!B39</f>
        <v>Wilder</v>
      </c>
      <c r="C126" s="405">
        <f>'Idaho Data'!ST39</f>
        <v>407</v>
      </c>
      <c r="D126" s="242">
        <f>'Idaho Data'!SE39</f>
        <v>467336.24815724813</v>
      </c>
      <c r="E126" s="243">
        <f>'Idaho Data'!SV39</f>
        <v>0</v>
      </c>
      <c r="G126" s="794" t="str">
        <f>'Idaho Data'!UE39</f>
        <v/>
      </c>
      <c r="H126" s="801">
        <f>'Idaho Data'!VO39</f>
        <v>753643</v>
      </c>
      <c r="I126" s="800">
        <f>'Idaho Data'!VP39</f>
        <v>2875791</v>
      </c>
      <c r="J126" s="800"/>
      <c r="K126" s="800">
        <f>'Idaho Data'!VQ39</f>
        <v>1704892</v>
      </c>
      <c r="L126" s="229">
        <f t="shared" si="27"/>
        <v>5334326</v>
      </c>
      <c r="M126" s="805">
        <f>'Idaho Data'!VR39</f>
        <v>753643</v>
      </c>
      <c r="N126" s="805">
        <f>'Idaho Data'!VS39</f>
        <v>2367891</v>
      </c>
      <c r="O126" s="805">
        <f>'Idaho Data'!VT39 +'Idaho Data'!VU39</f>
        <v>1704892</v>
      </c>
      <c r="P126" s="805">
        <f>'Idaho Data'!VU39</f>
        <v>0</v>
      </c>
      <c r="Q126" s="805">
        <f t="shared" si="22"/>
        <v>4826426</v>
      </c>
      <c r="R126" s="898">
        <f>'Idaho Data'!VS39-'Idaho Data'!VP39</f>
        <v>-507900</v>
      </c>
      <c r="S126" s="230">
        <f t="shared" si="23"/>
        <v>1851.7027027027027</v>
      </c>
      <c r="U126" s="230">
        <f t="shared" si="24"/>
        <v>7065.8255528255531</v>
      </c>
      <c r="V126" s="230">
        <f t="shared" si="25"/>
        <v>4188.9238329238333</v>
      </c>
      <c r="W126" s="230">
        <f t="shared" si="26"/>
        <v>13106.45208845209</v>
      </c>
      <c r="X126" s="807">
        <f t="shared" si="28"/>
        <v>1851.7027027027027</v>
      </c>
      <c r="Y126" s="807">
        <f t="shared" si="29"/>
        <v>5817.9140049140051</v>
      </c>
      <c r="Z126" s="807">
        <f t="shared" si="30"/>
        <v>4188.9238329238333</v>
      </c>
      <c r="AA126" s="807">
        <f t="shared" si="31"/>
        <v>0</v>
      </c>
      <c r="AB126" s="807">
        <f t="shared" si="32"/>
        <v>11858.54054054054</v>
      </c>
      <c r="AC126" s="231">
        <f>'Idaho Data'!WA39</f>
        <v>-1247.9115479115478</v>
      </c>
      <c r="AD126" s="823">
        <f>'Idaho Data'!WB39</f>
        <v>-0.1766122781523414</v>
      </c>
      <c r="AE126" s="382"/>
      <c r="AF126" s="201" t="s">
        <v>167</v>
      </c>
      <c r="AG126" s="201"/>
      <c r="AH126" s="201"/>
      <c r="AI126" s="201"/>
      <c r="AJ126" s="381"/>
    </row>
    <row r="127" spans="2:36">
      <c r="B127" s="228" t="str">
        <f>'Idaho Data'!B40</f>
        <v>Middleton</v>
      </c>
      <c r="C127" s="405">
        <f>'Idaho Data'!ST40</f>
        <v>3612</v>
      </c>
      <c r="D127" s="242">
        <f>'Idaho Data'!SE40</f>
        <v>233017.69186046513</v>
      </c>
      <c r="E127" s="243">
        <f>'Idaho Data'!SV40</f>
        <v>0.45277127244340359</v>
      </c>
      <c r="G127" s="794" t="str">
        <f>'Idaho Data'!UE40</f>
        <v/>
      </c>
      <c r="H127" s="801">
        <f>'Idaho Data'!VO40</f>
        <v>2604045</v>
      </c>
      <c r="I127" s="800">
        <f>'Idaho Data'!VP40</f>
        <v>21141311</v>
      </c>
      <c r="J127" s="800"/>
      <c r="K127" s="800">
        <f>'Idaho Data'!VQ40</f>
        <v>5109137</v>
      </c>
      <c r="L127" s="229">
        <f t="shared" si="27"/>
        <v>28854493</v>
      </c>
      <c r="M127" s="805">
        <f>'Idaho Data'!VR40</f>
        <v>2604045</v>
      </c>
      <c r="N127" s="805">
        <f>'Idaho Data'!VS40</f>
        <v>20614743</v>
      </c>
      <c r="O127" s="805">
        <f>'Idaho Data'!VT40 +'Idaho Data'!VU40</f>
        <v>5109137</v>
      </c>
      <c r="P127" s="805">
        <f>'Idaho Data'!VU40</f>
        <v>0</v>
      </c>
      <c r="Q127" s="805">
        <f t="shared" si="22"/>
        <v>28327925</v>
      </c>
      <c r="R127" s="898">
        <f>'Idaho Data'!VS40-'Idaho Data'!VP40</f>
        <v>-526568</v>
      </c>
      <c r="S127" s="230">
        <f t="shared" si="23"/>
        <v>720.94269102990029</v>
      </c>
      <c r="U127" s="230">
        <f t="shared" si="24"/>
        <v>5853.0761351052051</v>
      </c>
      <c r="V127" s="230">
        <f t="shared" si="25"/>
        <v>1414.4897563676634</v>
      </c>
      <c r="W127" s="230">
        <f t="shared" si="26"/>
        <v>7988.5085825027681</v>
      </c>
      <c r="X127" s="807">
        <f t="shared" si="28"/>
        <v>720.94269102990029</v>
      </c>
      <c r="Y127" s="807">
        <f t="shared" si="29"/>
        <v>5707.293189368771</v>
      </c>
      <c r="Z127" s="807">
        <f t="shared" si="30"/>
        <v>1414.4897563676634</v>
      </c>
      <c r="AA127" s="807">
        <f t="shared" si="31"/>
        <v>0</v>
      </c>
      <c r="AB127" s="807">
        <f t="shared" si="32"/>
        <v>7842.7256367663349</v>
      </c>
      <c r="AC127" s="231">
        <f>'Idaho Data'!WA40</f>
        <v>-145.7829457364341</v>
      </c>
      <c r="AD127" s="823">
        <f>'Idaho Data'!WB40</f>
        <v>-2.4907064656491739E-2</v>
      </c>
      <c r="AE127" s="382"/>
      <c r="AF127" s="201" t="s">
        <v>258</v>
      </c>
      <c r="AG127" s="201"/>
      <c r="AH127" s="201"/>
      <c r="AI127" s="201"/>
      <c r="AJ127" s="381"/>
    </row>
    <row r="128" spans="2:36">
      <c r="B128" s="228" t="str">
        <f>'Idaho Data'!B41</f>
        <v>Notus</v>
      </c>
      <c r="C128" s="405">
        <f>'Idaho Data'!ST41</f>
        <v>375</v>
      </c>
      <c r="D128" s="242">
        <f>'Idaho Data'!SE41</f>
        <v>244914.48266666668</v>
      </c>
      <c r="E128" s="243">
        <f>'Idaho Data'!SV41</f>
        <v>0.67007672634271098</v>
      </c>
      <c r="G128" s="794" t="str">
        <f>'Idaho Data'!UE41</f>
        <v/>
      </c>
      <c r="H128" s="801">
        <f>'Idaho Data'!VO41</f>
        <v>435870</v>
      </c>
      <c r="I128" s="800">
        <f>'Idaho Data'!VP41</f>
        <v>2781552</v>
      </c>
      <c r="J128" s="800"/>
      <c r="K128" s="800">
        <f>'Idaho Data'!VQ41</f>
        <v>545182</v>
      </c>
      <c r="L128" s="229">
        <f t="shared" si="27"/>
        <v>3762604</v>
      </c>
      <c r="M128" s="805">
        <f>'Idaho Data'!VR41</f>
        <v>435870</v>
      </c>
      <c r="N128" s="805">
        <f>'Idaho Data'!VS41</f>
        <v>2146851</v>
      </c>
      <c r="O128" s="805">
        <f>'Idaho Data'!VT41 +'Idaho Data'!VU41</f>
        <v>545182</v>
      </c>
      <c r="P128" s="805">
        <f>'Idaho Data'!VU41</f>
        <v>0</v>
      </c>
      <c r="Q128" s="805">
        <f t="shared" si="22"/>
        <v>3127903</v>
      </c>
      <c r="R128" s="898">
        <f>'Idaho Data'!VS41-'Idaho Data'!VP41</f>
        <v>-634701</v>
      </c>
      <c r="S128" s="230">
        <f t="shared" si="23"/>
        <v>1162.32</v>
      </c>
      <c r="U128" s="230">
        <f t="shared" si="24"/>
        <v>7417.4719999999998</v>
      </c>
      <c r="V128" s="230">
        <f t="shared" si="25"/>
        <v>1453.8186666666666</v>
      </c>
      <c r="W128" s="230">
        <f t="shared" si="26"/>
        <v>10033.610666666666</v>
      </c>
      <c r="X128" s="807">
        <f t="shared" si="28"/>
        <v>1162.32</v>
      </c>
      <c r="Y128" s="807">
        <f t="shared" si="29"/>
        <v>5724.9359999999997</v>
      </c>
      <c r="Z128" s="807">
        <f t="shared" si="30"/>
        <v>1453.8186666666666</v>
      </c>
      <c r="AA128" s="807">
        <f t="shared" si="31"/>
        <v>0</v>
      </c>
      <c r="AB128" s="807">
        <f t="shared" si="32"/>
        <v>8341.0746666666655</v>
      </c>
      <c r="AC128" s="231">
        <f>'Idaho Data'!WA41</f>
        <v>-1692.5360000000001</v>
      </c>
      <c r="AD128" s="823">
        <f>'Idaho Data'!WB41</f>
        <v>-0.22818232411258174</v>
      </c>
      <c r="AE128" s="382"/>
      <c r="AF128" s="201" t="s">
        <v>226</v>
      </c>
      <c r="AG128" s="201"/>
      <c r="AH128" s="201"/>
      <c r="AI128" s="201"/>
      <c r="AJ128" s="381"/>
    </row>
    <row r="129" spans="2:36">
      <c r="B129" s="228" t="str">
        <f>'Idaho Data'!B42</f>
        <v>Melba Joint</v>
      </c>
      <c r="C129" s="405">
        <f>'Idaho Data'!ST42</f>
        <v>747</v>
      </c>
      <c r="D129" s="242">
        <f>'Idaho Data'!SE42</f>
        <v>303068.6265060241</v>
      </c>
      <c r="E129" s="243">
        <f>'Idaho Data'!SV42</f>
        <v>0.50686641697877655</v>
      </c>
      <c r="G129" s="794" t="str">
        <f>'Idaho Data'!UE42</f>
        <v/>
      </c>
      <c r="H129" s="801">
        <f>'Idaho Data'!VO42</f>
        <v>533462</v>
      </c>
      <c r="I129" s="800">
        <f>'Idaho Data'!VP42</f>
        <v>4780275</v>
      </c>
      <c r="J129" s="800"/>
      <c r="K129" s="800">
        <f>'Idaho Data'!VQ42</f>
        <v>856142</v>
      </c>
      <c r="L129" s="229">
        <f t="shared" si="27"/>
        <v>6169879</v>
      </c>
      <c r="M129" s="805">
        <f>'Idaho Data'!VR42</f>
        <v>533462</v>
      </c>
      <c r="N129" s="805">
        <f>'Idaho Data'!VS42</f>
        <v>4266072</v>
      </c>
      <c r="O129" s="805">
        <f>'Idaho Data'!VT42 +'Idaho Data'!VU42</f>
        <v>856142</v>
      </c>
      <c r="P129" s="805">
        <f>'Idaho Data'!VU42</f>
        <v>0</v>
      </c>
      <c r="Q129" s="805">
        <f t="shared" ref="Q129:Q160" si="33">SUM(M129:O129)</f>
        <v>5655676</v>
      </c>
      <c r="R129" s="898">
        <f>'Idaho Data'!VS42-'Idaho Data'!VP42</f>
        <v>-514203</v>
      </c>
      <c r="S129" s="230">
        <f t="shared" ref="S129:S160" si="34">H129/$C129</f>
        <v>714.1392235609103</v>
      </c>
      <c r="U129" s="230">
        <f t="shared" ref="U129:U160" si="35">I129/$C129</f>
        <v>6399.2971887550202</v>
      </c>
      <c r="V129" s="230">
        <f t="shared" ref="V129:V160" si="36">K129/$C129</f>
        <v>1146.1070950468541</v>
      </c>
      <c r="W129" s="230">
        <f t="shared" ref="W129:W160" si="37">SUM(S129:V129)</f>
        <v>8259.543507362785</v>
      </c>
      <c r="X129" s="807">
        <f t="shared" ref="X129:X160" si="38">M129/$C129</f>
        <v>714.1392235609103</v>
      </c>
      <c r="Y129" s="807">
        <f t="shared" ref="Y129:Y160" si="39">N129/$C129</f>
        <v>5710.939759036145</v>
      </c>
      <c r="Z129" s="807">
        <f t="shared" ref="Z129:Z160" si="40">O129/$C129</f>
        <v>1146.1070950468541</v>
      </c>
      <c r="AA129" s="807">
        <f t="shared" si="31"/>
        <v>0</v>
      </c>
      <c r="AB129" s="807">
        <f t="shared" si="32"/>
        <v>7571.1860776439089</v>
      </c>
      <c r="AC129" s="231">
        <f>'Idaho Data'!WA42</f>
        <v>-688.35742971887555</v>
      </c>
      <c r="AD129" s="823">
        <f>'Idaho Data'!WB42</f>
        <v>-0.10756766085633149</v>
      </c>
      <c r="AE129" s="382"/>
      <c r="AF129" s="201" t="s">
        <v>1498</v>
      </c>
      <c r="AG129" s="201"/>
      <c r="AH129" s="201"/>
      <c r="AI129" s="201"/>
      <c r="AJ129" s="381"/>
    </row>
    <row r="130" spans="2:36">
      <c r="B130" s="228" t="str">
        <f>'Idaho Data'!B43</f>
        <v>Parma</v>
      </c>
      <c r="C130" s="405">
        <f>'Idaho Data'!ST43</f>
        <v>942</v>
      </c>
      <c r="D130" s="242">
        <f>'Idaho Data'!SE43</f>
        <v>292204.2823779193</v>
      </c>
      <c r="E130" s="243">
        <f>'Idaho Data'!SV43</f>
        <v>0.69078014184397163</v>
      </c>
      <c r="G130" s="794" t="str">
        <f>'Idaho Data'!UE43</f>
        <v/>
      </c>
      <c r="H130" s="801">
        <f>'Idaho Data'!VO43</f>
        <v>1109581</v>
      </c>
      <c r="I130" s="800">
        <f>'Idaho Data'!VP43</f>
        <v>5881332</v>
      </c>
      <c r="J130" s="800"/>
      <c r="K130" s="800">
        <f>'Idaho Data'!VQ43</f>
        <v>1771867</v>
      </c>
      <c r="L130" s="229">
        <f t="shared" si="27"/>
        <v>8762780</v>
      </c>
      <c r="M130" s="805">
        <f>'Idaho Data'!VR43</f>
        <v>1109581</v>
      </c>
      <c r="N130" s="805">
        <f>'Idaho Data'!VS43</f>
        <v>5432058</v>
      </c>
      <c r="O130" s="805">
        <f>'Idaho Data'!VT43 +'Idaho Data'!VU43</f>
        <v>1771867</v>
      </c>
      <c r="P130" s="805">
        <f>'Idaho Data'!VU43</f>
        <v>0</v>
      </c>
      <c r="Q130" s="805">
        <f t="shared" si="33"/>
        <v>8313506</v>
      </c>
      <c r="R130" s="898">
        <f>'Idaho Data'!VS43-'Idaho Data'!VP43</f>
        <v>-449274</v>
      </c>
      <c r="S130" s="230">
        <f t="shared" si="34"/>
        <v>1177.8991507430999</v>
      </c>
      <c r="U130" s="230">
        <f t="shared" si="35"/>
        <v>6243.4522292993634</v>
      </c>
      <c r="V130" s="230">
        <f t="shared" si="36"/>
        <v>1880.9628450106156</v>
      </c>
      <c r="W130" s="230">
        <f t="shared" si="37"/>
        <v>9302.31422505308</v>
      </c>
      <c r="X130" s="807">
        <f t="shared" si="38"/>
        <v>1177.8991507430999</v>
      </c>
      <c r="Y130" s="807">
        <f t="shared" si="39"/>
        <v>5766.5159235668789</v>
      </c>
      <c r="Z130" s="807">
        <f t="shared" si="40"/>
        <v>1880.9628450106156</v>
      </c>
      <c r="AA130" s="807">
        <f t="shared" si="31"/>
        <v>0</v>
      </c>
      <c r="AB130" s="807">
        <f t="shared" si="32"/>
        <v>8825.3779193205955</v>
      </c>
      <c r="AC130" s="231">
        <f>'Idaho Data'!WA43</f>
        <v>-476.93630573248407</v>
      </c>
      <c r="AD130" s="823">
        <f>'Idaho Data'!WB43</f>
        <v>-7.6389838220321513E-2</v>
      </c>
      <c r="AE130" s="382"/>
      <c r="AF130" s="201" t="s">
        <v>159</v>
      </c>
      <c r="AG130" s="201"/>
      <c r="AH130" s="201"/>
      <c r="AI130" s="201"/>
      <c r="AJ130" s="381"/>
    </row>
    <row r="131" spans="2:36">
      <c r="B131" s="228" t="str">
        <f>'Idaho Data'!B44</f>
        <v>Vallivue</v>
      </c>
      <c r="C131" s="405">
        <f>'Idaho Data'!ST44</f>
        <v>7839</v>
      </c>
      <c r="D131" s="242">
        <f>'Idaho Data'!SE44</f>
        <v>241733.09337925757</v>
      </c>
      <c r="E131" s="243">
        <f>'Idaho Data'!SV44</f>
        <v>0.66835269993164725</v>
      </c>
      <c r="G131" s="794" t="str">
        <f>'Idaho Data'!UE44</f>
        <v/>
      </c>
      <c r="H131" s="801">
        <f>'Idaho Data'!VO44</f>
        <v>7387695</v>
      </c>
      <c r="I131" s="800">
        <f>'Idaho Data'!VP44</f>
        <v>44124875</v>
      </c>
      <c r="J131" s="800"/>
      <c r="K131" s="800">
        <f>'Idaho Data'!VQ44</f>
        <v>13582878</v>
      </c>
      <c r="L131" s="229">
        <f t="shared" si="27"/>
        <v>65095448</v>
      </c>
      <c r="M131" s="805">
        <f>'Idaho Data'!VR44</f>
        <v>7387695</v>
      </c>
      <c r="N131" s="805">
        <f>'Idaho Data'!VS44</f>
        <v>45175050</v>
      </c>
      <c r="O131" s="805">
        <f>'Idaho Data'!VT44 +'Idaho Data'!VU44</f>
        <v>13582878</v>
      </c>
      <c r="P131" s="805">
        <f>'Idaho Data'!VU44</f>
        <v>0</v>
      </c>
      <c r="Q131" s="805">
        <f t="shared" si="33"/>
        <v>66145623</v>
      </c>
      <c r="R131" s="898">
        <f>'Idaho Data'!VS44-'Idaho Data'!VP44</f>
        <v>1050175</v>
      </c>
      <c r="S131" s="230">
        <f t="shared" si="34"/>
        <v>942.42824339839262</v>
      </c>
      <c r="U131" s="230">
        <f t="shared" si="35"/>
        <v>5628.8908023982649</v>
      </c>
      <c r="V131" s="230">
        <f t="shared" si="36"/>
        <v>1732.7309605817068</v>
      </c>
      <c r="W131" s="230">
        <f t="shared" si="37"/>
        <v>8304.0500063783638</v>
      </c>
      <c r="X131" s="807">
        <f t="shared" si="38"/>
        <v>942.42824339839262</v>
      </c>
      <c r="Y131" s="807">
        <f t="shared" si="39"/>
        <v>5762.8587830080369</v>
      </c>
      <c r="Z131" s="807">
        <f t="shared" si="40"/>
        <v>1732.7309605817068</v>
      </c>
      <c r="AA131" s="807">
        <f t="shared" si="31"/>
        <v>0</v>
      </c>
      <c r="AB131" s="807">
        <f t="shared" si="32"/>
        <v>8438.0179869881358</v>
      </c>
      <c r="AC131" s="231">
        <f>'Idaho Data'!WA44</f>
        <v>133.96798060977164</v>
      </c>
      <c r="AD131" s="823">
        <f>'Idaho Data'!WB44</f>
        <v>2.3800067422287314E-2</v>
      </c>
      <c r="AE131" s="382"/>
      <c r="AF131" s="201" t="s">
        <v>104</v>
      </c>
      <c r="AG131" s="201"/>
      <c r="AH131" s="201"/>
      <c r="AI131" s="201"/>
      <c r="AJ131" s="381"/>
    </row>
    <row r="132" spans="2:36">
      <c r="B132" s="228" t="str">
        <f>'Idaho Data'!B45</f>
        <v>Grace Joint</v>
      </c>
      <c r="C132" s="405">
        <f>'Idaho Data'!ST45</f>
        <v>465</v>
      </c>
      <c r="D132" s="242">
        <f>'Idaho Data'!SE45</f>
        <v>296314.29247311829</v>
      </c>
      <c r="E132" s="243">
        <f>'Idaho Data'!SV45</f>
        <v>0.47544204322200395</v>
      </c>
      <c r="G132" s="794" t="str">
        <f>'Idaho Data'!UE45</f>
        <v/>
      </c>
      <c r="H132" s="801">
        <f>'Idaho Data'!VO45</f>
        <v>419213</v>
      </c>
      <c r="I132" s="800">
        <f>'Idaho Data'!VP45</f>
        <v>3429881</v>
      </c>
      <c r="J132" s="800"/>
      <c r="K132" s="800">
        <f>'Idaho Data'!VQ45</f>
        <v>549782</v>
      </c>
      <c r="L132" s="229">
        <f t="shared" si="27"/>
        <v>4398876</v>
      </c>
      <c r="M132" s="805">
        <f>'Idaho Data'!VR45</f>
        <v>419213</v>
      </c>
      <c r="N132" s="805">
        <f>'Idaho Data'!VS45</f>
        <v>2707740</v>
      </c>
      <c r="O132" s="805">
        <f>'Idaho Data'!VT45 +'Idaho Data'!VU45</f>
        <v>549782</v>
      </c>
      <c r="P132" s="805">
        <f>'Idaho Data'!VU45</f>
        <v>0</v>
      </c>
      <c r="Q132" s="805">
        <f t="shared" si="33"/>
        <v>3676735</v>
      </c>
      <c r="R132" s="898">
        <f>'Idaho Data'!VS45-'Idaho Data'!VP45</f>
        <v>-722141</v>
      </c>
      <c r="S132" s="230">
        <f t="shared" si="34"/>
        <v>901.5333333333333</v>
      </c>
      <c r="U132" s="230">
        <f t="shared" si="35"/>
        <v>7376.0881720430107</v>
      </c>
      <c r="V132" s="230">
        <f t="shared" si="36"/>
        <v>1182.32688172043</v>
      </c>
      <c r="W132" s="230">
        <f t="shared" si="37"/>
        <v>9459.9483870967742</v>
      </c>
      <c r="X132" s="807">
        <f t="shared" si="38"/>
        <v>901.5333333333333</v>
      </c>
      <c r="Y132" s="807">
        <f t="shared" si="39"/>
        <v>5823.0967741935483</v>
      </c>
      <c r="Z132" s="807">
        <f t="shared" si="40"/>
        <v>1182.32688172043</v>
      </c>
      <c r="AA132" s="807">
        <f t="shared" si="31"/>
        <v>0</v>
      </c>
      <c r="AB132" s="807">
        <f t="shared" si="32"/>
        <v>7906.9569892473119</v>
      </c>
      <c r="AC132" s="231">
        <f>'Idaho Data'!WA45</f>
        <v>-1552.9913978494624</v>
      </c>
      <c r="AD132" s="823">
        <f>'Idaho Data'!WB45</f>
        <v>-0.21054403928299553</v>
      </c>
      <c r="AE132" s="382"/>
      <c r="AF132" s="201" t="s">
        <v>192</v>
      </c>
      <c r="AG132" s="201"/>
      <c r="AH132" s="201"/>
      <c r="AI132" s="201"/>
      <c r="AJ132" s="381"/>
    </row>
    <row r="133" spans="2:36">
      <c r="B133" s="228" t="str">
        <f>'Idaho Data'!B46</f>
        <v>North Gem</v>
      </c>
      <c r="C133" s="405">
        <f>'Idaho Data'!ST46</f>
        <v>166</v>
      </c>
      <c r="D133" s="242">
        <f>'Idaho Data'!SE46</f>
        <v>620361.77108433738</v>
      </c>
      <c r="E133" s="243">
        <f>'Idaho Data'!SV46</f>
        <v>0.41025641025641024</v>
      </c>
      <c r="G133" s="794" t="str">
        <f>'Idaho Data'!UE46</f>
        <v>yes</v>
      </c>
      <c r="H133" s="801">
        <f>'Idaho Data'!VO46</f>
        <v>165803</v>
      </c>
      <c r="I133" s="800">
        <f>'Idaho Data'!VP46</f>
        <v>1577043</v>
      </c>
      <c r="J133" s="800"/>
      <c r="K133" s="800">
        <f>'Idaho Data'!VQ46</f>
        <v>342320</v>
      </c>
      <c r="L133" s="229">
        <f t="shared" si="27"/>
        <v>2085166</v>
      </c>
      <c r="M133" s="805">
        <f>'Idaho Data'!VR46</f>
        <v>165803</v>
      </c>
      <c r="N133" s="805">
        <f>'Idaho Data'!VS46</f>
        <v>967050</v>
      </c>
      <c r="O133" s="805">
        <f>'Idaho Data'!VT46 +'Idaho Data'!VU46</f>
        <v>342320</v>
      </c>
      <c r="P133" s="805">
        <f>'Idaho Data'!VU46</f>
        <v>0</v>
      </c>
      <c r="Q133" s="805">
        <f t="shared" si="33"/>
        <v>1475173</v>
      </c>
      <c r="R133" s="898">
        <f>'Idaho Data'!VS46-'Idaho Data'!VP46</f>
        <v>-609993</v>
      </c>
      <c r="S133" s="230">
        <f t="shared" si="34"/>
        <v>998.81325301204822</v>
      </c>
      <c r="U133" s="230">
        <f t="shared" si="35"/>
        <v>9500.2590361445782</v>
      </c>
      <c r="V133" s="230">
        <f t="shared" si="36"/>
        <v>2062.1686746987953</v>
      </c>
      <c r="W133" s="230">
        <f t="shared" si="37"/>
        <v>12561.24096385542</v>
      </c>
      <c r="X133" s="807">
        <f t="shared" si="38"/>
        <v>998.81325301204822</v>
      </c>
      <c r="Y133" s="807">
        <f t="shared" si="39"/>
        <v>5825.6024096385545</v>
      </c>
      <c r="Z133" s="807">
        <f t="shared" si="40"/>
        <v>2062.1686746987953</v>
      </c>
      <c r="AA133" s="807">
        <f t="shared" si="31"/>
        <v>0</v>
      </c>
      <c r="AB133" s="807">
        <f t="shared" si="32"/>
        <v>8886.584337349399</v>
      </c>
      <c r="AC133" s="231">
        <f>'Idaho Data'!WA46</f>
        <v>-3674.6566265060242</v>
      </c>
      <c r="AD133" s="823">
        <f>'Idaho Data'!WB46</f>
        <v>-0.3867954139487636</v>
      </c>
      <c r="AE133" s="382"/>
      <c r="AF133" s="201" t="s">
        <v>184</v>
      </c>
      <c r="AG133" s="201"/>
      <c r="AH133" s="201"/>
      <c r="AI133" s="201"/>
      <c r="AJ133" s="381"/>
    </row>
    <row r="134" spans="2:36">
      <c r="B134" s="228" t="str">
        <f>'Idaho Data'!B47</f>
        <v>Soda Springs Joint</v>
      </c>
      <c r="C134" s="405">
        <f>'Idaho Data'!ST47</f>
        <v>770</v>
      </c>
      <c r="D134" s="242">
        <f>'Idaho Data'!SE47</f>
        <v>770654.95064935065</v>
      </c>
      <c r="E134" s="243">
        <f>'Idaho Data'!SV47</f>
        <v>0.34972677595628415</v>
      </c>
      <c r="G134" s="794" t="str">
        <f>'Idaho Data'!UE47</f>
        <v/>
      </c>
      <c r="H134" s="801">
        <f>'Idaho Data'!VO47</f>
        <v>429354</v>
      </c>
      <c r="I134" s="800">
        <f>'Idaho Data'!VP47</f>
        <v>4855744</v>
      </c>
      <c r="J134" s="800"/>
      <c r="K134" s="800">
        <f>'Idaho Data'!VQ47</f>
        <v>1838726</v>
      </c>
      <c r="L134" s="229">
        <f t="shared" si="27"/>
        <v>7123824</v>
      </c>
      <c r="M134" s="805">
        <f>'Idaho Data'!VR47</f>
        <v>429354</v>
      </c>
      <c r="N134" s="805">
        <f>'Idaho Data'!VS47</f>
        <v>4431852</v>
      </c>
      <c r="O134" s="805">
        <f>'Idaho Data'!VT47 +'Idaho Data'!VU47</f>
        <v>1838726</v>
      </c>
      <c r="P134" s="805">
        <f>'Idaho Data'!VU47</f>
        <v>0</v>
      </c>
      <c r="Q134" s="805">
        <f t="shared" si="33"/>
        <v>6699932</v>
      </c>
      <c r="R134" s="898">
        <f>'Idaho Data'!VS47-'Idaho Data'!VP47</f>
        <v>-423892</v>
      </c>
      <c r="S134" s="230">
        <f t="shared" si="34"/>
        <v>557.60259740259744</v>
      </c>
      <c r="U134" s="230">
        <f t="shared" si="35"/>
        <v>6306.1610389610387</v>
      </c>
      <c r="V134" s="230">
        <f t="shared" si="36"/>
        <v>2387.9558441558443</v>
      </c>
      <c r="W134" s="230">
        <f t="shared" si="37"/>
        <v>9251.7194805194795</v>
      </c>
      <c r="X134" s="807">
        <f t="shared" si="38"/>
        <v>557.60259740259744</v>
      </c>
      <c r="Y134" s="807">
        <f t="shared" si="39"/>
        <v>5755.6519480519482</v>
      </c>
      <c r="Z134" s="807">
        <f t="shared" si="40"/>
        <v>2387.9558441558443</v>
      </c>
      <c r="AA134" s="807">
        <f t="shared" si="31"/>
        <v>0</v>
      </c>
      <c r="AB134" s="807">
        <f t="shared" si="32"/>
        <v>8701.210389610389</v>
      </c>
      <c r="AC134" s="231">
        <f>'Idaho Data'!WA47</f>
        <v>-550.5090909090909</v>
      </c>
      <c r="AD134" s="823">
        <f>'Idaho Data'!WB47</f>
        <v>-8.7297023895823167E-2</v>
      </c>
      <c r="AE134" s="382"/>
      <c r="AF134" s="201" t="s">
        <v>153</v>
      </c>
      <c r="AG134" s="201"/>
      <c r="AH134" s="201"/>
      <c r="AI134" s="201"/>
      <c r="AJ134" s="381"/>
    </row>
    <row r="135" spans="2:36">
      <c r="B135" s="228" t="str">
        <f>'Idaho Data'!B48</f>
        <v>Cassia County Joint</v>
      </c>
      <c r="C135" s="405">
        <f>'Idaho Data'!ST48</f>
        <v>4910</v>
      </c>
      <c r="D135" s="242">
        <f>'Idaho Data'!SE48</f>
        <v>262903.39389002038</v>
      </c>
      <c r="E135" s="243">
        <f>'Idaho Data'!SV48</f>
        <v>0.53291901340066028</v>
      </c>
      <c r="G135" s="794" t="str">
        <f>'Idaho Data'!UE48</f>
        <v/>
      </c>
      <c r="H135" s="801">
        <f>'Idaho Data'!VO48</f>
        <v>4768596</v>
      </c>
      <c r="I135" s="800">
        <f>'Idaho Data'!VP48</f>
        <v>29979829</v>
      </c>
      <c r="J135" s="800"/>
      <c r="K135" s="800">
        <f>'Idaho Data'!VQ48</f>
        <v>5660433</v>
      </c>
      <c r="L135" s="229">
        <f t="shared" si="27"/>
        <v>40408858</v>
      </c>
      <c r="M135" s="805">
        <f>'Idaho Data'!VR48</f>
        <v>4768596</v>
      </c>
      <c r="N135" s="805">
        <f>'Idaho Data'!VS48</f>
        <v>28353906</v>
      </c>
      <c r="O135" s="805">
        <f>'Idaho Data'!VT48 +'Idaho Data'!VU48</f>
        <v>5660433</v>
      </c>
      <c r="P135" s="805">
        <f>'Idaho Data'!VU48</f>
        <v>0</v>
      </c>
      <c r="Q135" s="805">
        <f t="shared" si="33"/>
        <v>38782935</v>
      </c>
      <c r="R135" s="898">
        <f>'Idaho Data'!VS48-'Idaho Data'!VP48</f>
        <v>-1625923</v>
      </c>
      <c r="S135" s="230">
        <f t="shared" si="34"/>
        <v>971.20081466395106</v>
      </c>
      <c r="U135" s="230">
        <f t="shared" si="35"/>
        <v>6105.8714867617109</v>
      </c>
      <c r="V135" s="230">
        <f t="shared" si="36"/>
        <v>1152.8376782077394</v>
      </c>
      <c r="W135" s="230">
        <f t="shared" si="37"/>
        <v>8229.9099796334012</v>
      </c>
      <c r="X135" s="807">
        <f t="shared" si="38"/>
        <v>971.20081466395106</v>
      </c>
      <c r="Y135" s="807">
        <f t="shared" si="39"/>
        <v>5774.7262729124241</v>
      </c>
      <c r="Z135" s="807">
        <f t="shared" si="40"/>
        <v>1152.8376782077394</v>
      </c>
      <c r="AA135" s="807">
        <f t="shared" si="31"/>
        <v>0</v>
      </c>
      <c r="AB135" s="807">
        <f t="shared" si="32"/>
        <v>7898.7647657841144</v>
      </c>
      <c r="AC135" s="231">
        <f>'Idaho Data'!WA48</f>
        <v>-331.14521384928719</v>
      </c>
      <c r="AD135" s="823">
        <f>'Idaho Data'!WB48</f>
        <v>-5.4233898398820084E-2</v>
      </c>
      <c r="AE135" s="382"/>
      <c r="AF135" s="201" t="s">
        <v>227</v>
      </c>
      <c r="AG135" s="201"/>
      <c r="AH135" s="201"/>
      <c r="AI135" s="201"/>
      <c r="AJ135" s="381"/>
    </row>
    <row r="136" spans="2:36">
      <c r="B136" s="228" t="str">
        <f>'Idaho Data'!B49</f>
        <v>Clark County Joint</v>
      </c>
      <c r="C136" s="405">
        <f>'Idaho Data'!ST49</f>
        <v>139</v>
      </c>
      <c r="D136" s="242">
        <f>'Idaho Data'!SE49</f>
        <v>841549.82733812951</v>
      </c>
      <c r="E136" s="243">
        <f>'Idaho Data'!SV49</f>
        <v>0.76100628930817615</v>
      </c>
      <c r="G136" s="794" t="str">
        <f>'Idaho Data'!UE49</f>
        <v>yes</v>
      </c>
      <c r="H136" s="801">
        <f>'Idaho Data'!VO49</f>
        <v>530080</v>
      </c>
      <c r="I136" s="800">
        <f>'Idaho Data'!VP49</f>
        <v>1563784</v>
      </c>
      <c r="J136" s="800"/>
      <c r="K136" s="800">
        <f>'Idaho Data'!VQ49</f>
        <v>457923</v>
      </c>
      <c r="L136" s="229">
        <f t="shared" si="27"/>
        <v>2551787</v>
      </c>
      <c r="M136" s="805">
        <f>'Idaho Data'!VR49</f>
        <v>530080</v>
      </c>
      <c r="N136" s="805">
        <f>'Idaho Data'!VS49</f>
        <v>798507</v>
      </c>
      <c r="O136" s="805">
        <f>'Idaho Data'!VT49 +'Idaho Data'!VU49</f>
        <v>457923</v>
      </c>
      <c r="P136" s="805">
        <f>'Idaho Data'!VU49</f>
        <v>0</v>
      </c>
      <c r="Q136" s="805">
        <f t="shared" si="33"/>
        <v>1786510</v>
      </c>
      <c r="R136" s="898">
        <f>'Idaho Data'!VS49-'Idaho Data'!VP49</f>
        <v>-765277</v>
      </c>
      <c r="S136" s="230">
        <f t="shared" si="34"/>
        <v>3813.5251798561153</v>
      </c>
      <c r="U136" s="230">
        <f t="shared" si="35"/>
        <v>11250.244604316547</v>
      </c>
      <c r="V136" s="230">
        <f t="shared" si="36"/>
        <v>3294.4100719424459</v>
      </c>
      <c r="W136" s="230">
        <f t="shared" si="37"/>
        <v>18358.179856115108</v>
      </c>
      <c r="X136" s="807">
        <f t="shared" si="38"/>
        <v>3813.5251798561153</v>
      </c>
      <c r="Y136" s="807">
        <f t="shared" si="39"/>
        <v>5744.6546762589924</v>
      </c>
      <c r="Z136" s="807">
        <f t="shared" si="40"/>
        <v>3294.4100719424459</v>
      </c>
      <c r="AA136" s="807">
        <f t="shared" si="31"/>
        <v>0</v>
      </c>
      <c r="AB136" s="807">
        <f t="shared" si="32"/>
        <v>12852.589928057554</v>
      </c>
      <c r="AC136" s="231">
        <f>'Idaho Data'!WA49</f>
        <v>-5505.5899280575541</v>
      </c>
      <c r="AD136" s="823">
        <f>'Idaho Data'!WB49</f>
        <v>-0.4893751310922736</v>
      </c>
      <c r="AE136" s="382"/>
      <c r="AF136" s="201" t="s">
        <v>211</v>
      </c>
      <c r="AG136" s="201"/>
      <c r="AH136" s="201"/>
      <c r="AI136" s="201"/>
      <c r="AJ136" s="381"/>
    </row>
    <row r="137" spans="2:36">
      <c r="B137" s="228" t="str">
        <f>'Idaho Data'!B50</f>
        <v>Orofino Joint</v>
      </c>
      <c r="C137" s="405">
        <f>'Idaho Data'!ST50</f>
        <v>1033</v>
      </c>
      <c r="D137" s="242">
        <f>'Idaho Data'!SE50</f>
        <v>514476.51306873187</v>
      </c>
      <c r="E137" s="243">
        <f>'Idaho Data'!SV50</f>
        <v>0.57473684210526321</v>
      </c>
      <c r="G137" s="794" t="str">
        <f>'Idaho Data'!UE50</f>
        <v/>
      </c>
      <c r="H137" s="801">
        <f>'Idaho Data'!VO50</f>
        <v>2205959</v>
      </c>
      <c r="I137" s="800">
        <f>'Idaho Data'!VP50</f>
        <v>7986845</v>
      </c>
      <c r="J137" s="800"/>
      <c r="K137" s="800">
        <f>'Idaho Data'!VQ50</f>
        <v>3930128</v>
      </c>
      <c r="L137" s="229">
        <f t="shared" si="27"/>
        <v>14122932</v>
      </c>
      <c r="M137" s="805">
        <f>'Idaho Data'!VR50</f>
        <v>2205959</v>
      </c>
      <c r="N137" s="805">
        <f>'Idaho Data'!VS50</f>
        <v>5907294</v>
      </c>
      <c r="O137" s="805">
        <f>'Idaho Data'!VT50 +'Idaho Data'!VU50</f>
        <v>3930128</v>
      </c>
      <c r="P137" s="805">
        <f>'Idaho Data'!VU50</f>
        <v>0</v>
      </c>
      <c r="Q137" s="805">
        <f t="shared" si="33"/>
        <v>12043381</v>
      </c>
      <c r="R137" s="898">
        <f>'Idaho Data'!VS50-'Idaho Data'!VP50</f>
        <v>-2079551</v>
      </c>
      <c r="S137" s="230">
        <f t="shared" si="34"/>
        <v>2135.487899322362</v>
      </c>
      <c r="U137" s="230">
        <f t="shared" si="35"/>
        <v>7731.6989351403681</v>
      </c>
      <c r="V137" s="230">
        <f t="shared" si="36"/>
        <v>3804.5769603097774</v>
      </c>
      <c r="W137" s="230">
        <f t="shared" si="37"/>
        <v>13671.763794772507</v>
      </c>
      <c r="X137" s="807">
        <f t="shared" si="38"/>
        <v>2135.487899322362</v>
      </c>
      <c r="Y137" s="807">
        <f t="shared" si="39"/>
        <v>5718.5808325266216</v>
      </c>
      <c r="Z137" s="807">
        <f t="shared" si="40"/>
        <v>3804.5769603097774</v>
      </c>
      <c r="AA137" s="807">
        <f t="shared" si="31"/>
        <v>0</v>
      </c>
      <c r="AB137" s="807">
        <f t="shared" si="32"/>
        <v>11658.645692158761</v>
      </c>
      <c r="AC137" s="231">
        <f>'Idaho Data'!WA50</f>
        <v>-2013.1181026137463</v>
      </c>
      <c r="AD137" s="823">
        <f>'Idaho Data'!WB50</f>
        <v>-0.26037202424737177</v>
      </c>
      <c r="AE137" s="382"/>
      <c r="AF137" s="201" t="s">
        <v>114</v>
      </c>
      <c r="AG137" s="201"/>
      <c r="AH137" s="201"/>
      <c r="AI137" s="201"/>
      <c r="AJ137" s="381"/>
    </row>
    <row r="138" spans="2:36">
      <c r="B138" s="228" t="str">
        <f>'Idaho Data'!B51</f>
        <v>Challis Joint</v>
      </c>
      <c r="C138" s="405">
        <f>'Idaho Data'!ST51</f>
        <v>355</v>
      </c>
      <c r="D138" s="242">
        <f>'Idaho Data'!SE51</f>
        <v>1870354.6084507043</v>
      </c>
      <c r="E138" s="243">
        <f>'Idaho Data'!SV51</f>
        <v>0.38095238095238093</v>
      </c>
      <c r="G138" s="794" t="str">
        <f>'Idaho Data'!UE51</f>
        <v/>
      </c>
      <c r="H138" s="801">
        <f>'Idaho Data'!VO51</f>
        <v>562052</v>
      </c>
      <c r="I138" s="800">
        <f>'Idaho Data'!VP51</f>
        <v>2751330</v>
      </c>
      <c r="J138" s="800"/>
      <c r="K138" s="800">
        <f>'Idaho Data'!VQ51</f>
        <v>779354</v>
      </c>
      <c r="L138" s="229">
        <f t="shared" si="27"/>
        <v>4092736</v>
      </c>
      <c r="M138" s="805">
        <f>'Idaho Data'!VR51</f>
        <v>562052</v>
      </c>
      <c r="N138" s="805">
        <f>'Idaho Data'!VS51</f>
        <v>2005938</v>
      </c>
      <c r="O138" s="805">
        <f>'Idaho Data'!VT51 +'Idaho Data'!VU51</f>
        <v>779354</v>
      </c>
      <c r="P138" s="805">
        <f>'Idaho Data'!VU51</f>
        <v>0</v>
      </c>
      <c r="Q138" s="805">
        <f t="shared" si="33"/>
        <v>3347344</v>
      </c>
      <c r="R138" s="898">
        <f>'Idaho Data'!VS51-'Idaho Data'!VP51</f>
        <v>-745392</v>
      </c>
      <c r="S138" s="230">
        <f t="shared" si="34"/>
        <v>1583.2450704225353</v>
      </c>
      <c r="U138" s="230">
        <f t="shared" si="35"/>
        <v>7750.2253521126759</v>
      </c>
      <c r="V138" s="230">
        <f t="shared" si="36"/>
        <v>2195.3633802816903</v>
      </c>
      <c r="W138" s="230">
        <f t="shared" si="37"/>
        <v>11528.833802816902</v>
      </c>
      <c r="X138" s="807">
        <f t="shared" si="38"/>
        <v>1583.2450704225353</v>
      </c>
      <c r="Y138" s="807">
        <f t="shared" si="39"/>
        <v>5650.5295774647884</v>
      </c>
      <c r="Z138" s="807">
        <f t="shared" si="40"/>
        <v>2195.3633802816903</v>
      </c>
      <c r="AA138" s="807">
        <f t="shared" si="31"/>
        <v>0</v>
      </c>
      <c r="AB138" s="807">
        <f t="shared" si="32"/>
        <v>9429.1380281690144</v>
      </c>
      <c r="AC138" s="231">
        <f>'Idaho Data'!WA51</f>
        <v>-2099.6957746478874</v>
      </c>
      <c r="AD138" s="823">
        <f>'Idaho Data'!WB51</f>
        <v>-0.27092060930531781</v>
      </c>
      <c r="AE138" s="382"/>
      <c r="AF138" s="201" t="s">
        <v>254</v>
      </c>
      <c r="AG138" s="201"/>
      <c r="AH138" s="201"/>
      <c r="AI138" s="201"/>
      <c r="AJ138" s="381"/>
    </row>
    <row r="139" spans="2:36">
      <c r="B139" s="228" t="str">
        <f>'Idaho Data'!B52</f>
        <v>Mackay Joint</v>
      </c>
      <c r="C139" s="405">
        <f>'Idaho Data'!ST52</f>
        <v>158</v>
      </c>
      <c r="D139" s="242">
        <f>'Idaho Data'!SE52</f>
        <v>909629.74683544307</v>
      </c>
      <c r="E139" s="243">
        <f>'Idaho Data'!SV52</f>
        <v>0.5</v>
      </c>
      <c r="G139" s="794" t="str">
        <f>'Idaho Data'!UE52</f>
        <v>yes</v>
      </c>
      <c r="H139" s="801">
        <f>'Idaho Data'!VO52</f>
        <v>219393</v>
      </c>
      <c r="I139" s="800">
        <f>'Idaho Data'!VP52</f>
        <v>1655488</v>
      </c>
      <c r="J139" s="800"/>
      <c r="K139" s="800">
        <f>'Idaho Data'!VQ52</f>
        <v>381717</v>
      </c>
      <c r="L139" s="229">
        <f t="shared" si="27"/>
        <v>2256598</v>
      </c>
      <c r="M139" s="805">
        <f>'Idaho Data'!VR52</f>
        <v>219393</v>
      </c>
      <c r="N139" s="805">
        <f>'Idaho Data'!VS52</f>
        <v>900738</v>
      </c>
      <c r="O139" s="805">
        <f>'Idaho Data'!VT52 +'Idaho Data'!VU52</f>
        <v>381717</v>
      </c>
      <c r="P139" s="805">
        <f>'Idaho Data'!VU52</f>
        <v>0</v>
      </c>
      <c r="Q139" s="805">
        <f t="shared" si="33"/>
        <v>1501848</v>
      </c>
      <c r="R139" s="898">
        <f>'Idaho Data'!VS52-'Idaho Data'!VP52</f>
        <v>-754750</v>
      </c>
      <c r="S139" s="230">
        <f t="shared" si="34"/>
        <v>1388.5632911392406</v>
      </c>
      <c r="U139" s="230">
        <f t="shared" si="35"/>
        <v>10477.772151898735</v>
      </c>
      <c r="V139" s="230">
        <f t="shared" si="36"/>
        <v>2415.9303797468356</v>
      </c>
      <c r="W139" s="230">
        <f t="shared" si="37"/>
        <v>14282.265822784811</v>
      </c>
      <c r="X139" s="807">
        <f t="shared" si="38"/>
        <v>1388.5632911392406</v>
      </c>
      <c r="Y139" s="807">
        <f t="shared" si="39"/>
        <v>5700.8734177215192</v>
      </c>
      <c r="Z139" s="807">
        <f t="shared" si="40"/>
        <v>2415.9303797468356</v>
      </c>
      <c r="AA139" s="807">
        <f t="shared" si="31"/>
        <v>0</v>
      </c>
      <c r="AB139" s="807">
        <f t="shared" si="32"/>
        <v>9505.3670886075961</v>
      </c>
      <c r="AC139" s="231">
        <f>'Idaho Data'!WA52</f>
        <v>-4776.8987341772154</v>
      </c>
      <c r="AD139" s="823">
        <f>'Idaho Data'!WB52</f>
        <v>-0.45590786523369542</v>
      </c>
      <c r="AE139" s="382"/>
      <c r="AF139" s="201" t="s">
        <v>152</v>
      </c>
      <c r="AG139" s="201"/>
      <c r="AH139" s="201"/>
      <c r="AI139" s="201"/>
      <c r="AJ139" s="381"/>
    </row>
    <row r="140" spans="2:36">
      <c r="B140" s="228" t="str">
        <f>'Idaho Data'!B53</f>
        <v>Prairie Elementary</v>
      </c>
      <c r="C140" s="405">
        <f>'Idaho Data'!ST53</f>
        <v>6</v>
      </c>
      <c r="D140" s="242">
        <f>'Idaho Data'!SE53</f>
        <v>1798935.5</v>
      </c>
      <c r="E140" s="243">
        <f>'Idaho Data'!SV53</f>
        <v>0</v>
      </c>
      <c r="G140" s="794" t="str">
        <f>'Idaho Data'!UE53</f>
        <v>yes</v>
      </c>
      <c r="H140" s="801">
        <f>'Idaho Data'!VO53</f>
        <v>20380</v>
      </c>
      <c r="I140" s="800">
        <f>'Idaho Data'!VP53</f>
        <v>131701</v>
      </c>
      <c r="J140" s="800"/>
      <c r="K140" s="800">
        <f>'Idaho Data'!VQ53</f>
        <v>10</v>
      </c>
      <c r="L140" s="229">
        <f t="shared" si="27"/>
        <v>152091</v>
      </c>
      <c r="M140" s="805">
        <f>'Idaho Data'!VR53</f>
        <v>20380</v>
      </c>
      <c r="N140" s="805">
        <f>'Idaho Data'!VS53</f>
        <v>33156</v>
      </c>
      <c r="O140" s="805">
        <f>'Idaho Data'!VT53 +'Idaho Data'!VU53</f>
        <v>10</v>
      </c>
      <c r="P140" s="805">
        <f>'Idaho Data'!VU53</f>
        <v>0</v>
      </c>
      <c r="Q140" s="805">
        <f t="shared" si="33"/>
        <v>53546</v>
      </c>
      <c r="R140" s="898">
        <f>'Idaho Data'!VS53-'Idaho Data'!VP53</f>
        <v>-98545</v>
      </c>
      <c r="S140" s="230">
        <f t="shared" si="34"/>
        <v>3396.6666666666665</v>
      </c>
      <c r="U140" s="230">
        <f t="shared" si="35"/>
        <v>21950.166666666668</v>
      </c>
      <c r="V140" s="230">
        <f t="shared" si="36"/>
        <v>1.6666666666666667</v>
      </c>
      <c r="W140" s="230">
        <f t="shared" si="37"/>
        <v>25348.500000000004</v>
      </c>
      <c r="X140" s="807">
        <f t="shared" si="38"/>
        <v>3396.6666666666665</v>
      </c>
      <c r="Y140" s="807">
        <f t="shared" si="39"/>
        <v>5526</v>
      </c>
      <c r="Z140" s="807">
        <f t="shared" si="40"/>
        <v>1.6666666666666667</v>
      </c>
      <c r="AA140" s="807">
        <f t="shared" si="31"/>
        <v>0</v>
      </c>
      <c r="AB140" s="807">
        <f t="shared" si="32"/>
        <v>8924.3333333333321</v>
      </c>
      <c r="AC140" s="231">
        <f>'Idaho Data'!WA53</f>
        <v>-16424.166666666668</v>
      </c>
      <c r="AD140" s="823">
        <f>'Idaho Data'!WB53</f>
        <v>-0.74824792522456174</v>
      </c>
      <c r="AE140" s="382"/>
      <c r="AF140" s="201" t="s">
        <v>200</v>
      </c>
      <c r="AG140" s="201"/>
      <c r="AH140" s="201"/>
      <c r="AI140" s="201"/>
      <c r="AJ140" s="381"/>
    </row>
    <row r="141" spans="2:36">
      <c r="B141" s="228" t="str">
        <f>'Idaho Data'!B54</f>
        <v>Glenns Ferry Joint</v>
      </c>
      <c r="C141" s="405">
        <f>'Idaho Data'!ST54</f>
        <v>387</v>
      </c>
      <c r="D141" s="242">
        <f>'Idaho Data'!SE54</f>
        <v>687170.07751937979</v>
      </c>
      <c r="E141" s="243">
        <f>'Idaho Data'!SV54</f>
        <v>0.67441860465116277</v>
      </c>
      <c r="G141" s="794" t="str">
        <f>'Idaho Data'!UE54</f>
        <v/>
      </c>
      <c r="H141" s="801">
        <f>'Idaho Data'!VO54</f>
        <v>568544</v>
      </c>
      <c r="I141" s="800">
        <f>'Idaho Data'!VP54</f>
        <v>2713025</v>
      </c>
      <c r="J141" s="800"/>
      <c r="K141" s="800">
        <f>'Idaho Data'!VQ54</f>
        <v>820132</v>
      </c>
      <c r="L141" s="229">
        <f t="shared" si="27"/>
        <v>4101701</v>
      </c>
      <c r="M141" s="805">
        <f>'Idaho Data'!VR54</f>
        <v>568544</v>
      </c>
      <c r="N141" s="805">
        <f>'Idaho Data'!VS54</f>
        <v>2204874</v>
      </c>
      <c r="O141" s="805">
        <f>'Idaho Data'!VT54 +'Idaho Data'!VU54</f>
        <v>820132</v>
      </c>
      <c r="P141" s="805">
        <f>'Idaho Data'!VU54</f>
        <v>0</v>
      </c>
      <c r="Q141" s="805">
        <f t="shared" si="33"/>
        <v>3593550</v>
      </c>
      <c r="R141" s="898">
        <f>'Idaho Data'!VS54-'Idaho Data'!VP54</f>
        <v>-508151</v>
      </c>
      <c r="S141" s="230">
        <f t="shared" si="34"/>
        <v>1469.1059431524548</v>
      </c>
      <c r="U141" s="230">
        <f t="shared" si="35"/>
        <v>7010.4005167958658</v>
      </c>
      <c r="V141" s="230">
        <f t="shared" si="36"/>
        <v>2119.2041343669252</v>
      </c>
      <c r="W141" s="230">
        <f t="shared" si="37"/>
        <v>10598.710594315246</v>
      </c>
      <c r="X141" s="807">
        <f t="shared" si="38"/>
        <v>1469.1059431524548</v>
      </c>
      <c r="Y141" s="807">
        <f t="shared" si="39"/>
        <v>5697.3488372093025</v>
      </c>
      <c r="Z141" s="807">
        <f t="shared" si="40"/>
        <v>2119.2041343669252</v>
      </c>
      <c r="AA141" s="807">
        <f t="shared" si="31"/>
        <v>0</v>
      </c>
      <c r="AB141" s="807">
        <f t="shared" si="32"/>
        <v>9285.6589147286832</v>
      </c>
      <c r="AC141" s="231">
        <f>'Idaho Data'!WA54</f>
        <v>-1313.0516795865633</v>
      </c>
      <c r="AD141" s="823">
        <f>'Idaho Data'!WB54</f>
        <v>-0.18730052247952009</v>
      </c>
      <c r="AE141" s="382"/>
      <c r="AF141" s="201" t="s">
        <v>117</v>
      </c>
      <c r="AG141" s="201"/>
      <c r="AH141" s="201"/>
      <c r="AI141" s="201"/>
      <c r="AJ141" s="381"/>
    </row>
    <row r="142" spans="2:36">
      <c r="B142" s="228" t="str">
        <f>'Idaho Data'!B55</f>
        <v>Mountain Home</v>
      </c>
      <c r="C142" s="405">
        <f>'Idaho Data'!ST55</f>
        <v>3472</v>
      </c>
      <c r="D142" s="242">
        <f>'Idaho Data'!SE55</f>
        <v>308906.73761520738</v>
      </c>
      <c r="E142" s="243">
        <f>'Idaho Data'!SV55</f>
        <v>0.52148337595907923</v>
      </c>
      <c r="G142" s="794" t="str">
        <f>'Idaho Data'!UE55</f>
        <v/>
      </c>
      <c r="H142" s="801">
        <f>'Idaho Data'!VO55</f>
        <v>4393955</v>
      </c>
      <c r="I142" s="800">
        <f>'Idaho Data'!VP55</f>
        <v>19092529</v>
      </c>
      <c r="J142" s="800"/>
      <c r="K142" s="800">
        <f>'Idaho Data'!VQ55</f>
        <v>3990593</v>
      </c>
      <c r="L142" s="229">
        <f t="shared" si="27"/>
        <v>27477077</v>
      </c>
      <c r="M142" s="805">
        <f>'Idaho Data'!VR55</f>
        <v>4393955</v>
      </c>
      <c r="N142" s="805">
        <f>'Idaho Data'!VS55</f>
        <v>20078721</v>
      </c>
      <c r="O142" s="805">
        <f>'Idaho Data'!VT55 +'Idaho Data'!VU55</f>
        <v>3990593</v>
      </c>
      <c r="P142" s="805">
        <f>'Idaho Data'!VU55</f>
        <v>0</v>
      </c>
      <c r="Q142" s="805">
        <f t="shared" si="33"/>
        <v>28463269</v>
      </c>
      <c r="R142" s="898">
        <f>'Idaho Data'!VS55-'Idaho Data'!VP55</f>
        <v>986192</v>
      </c>
      <c r="S142" s="230">
        <f t="shared" si="34"/>
        <v>1265.540034562212</v>
      </c>
      <c r="U142" s="230">
        <f t="shared" si="35"/>
        <v>5499.0002880184329</v>
      </c>
      <c r="V142" s="230">
        <f t="shared" si="36"/>
        <v>1149.3643433179723</v>
      </c>
      <c r="W142" s="230">
        <f t="shared" si="37"/>
        <v>7913.9046658986172</v>
      </c>
      <c r="X142" s="807">
        <f t="shared" si="38"/>
        <v>1265.540034562212</v>
      </c>
      <c r="Y142" s="807">
        <f t="shared" si="39"/>
        <v>5783.0417626728113</v>
      </c>
      <c r="Z142" s="807">
        <f t="shared" si="40"/>
        <v>1149.3643433179723</v>
      </c>
      <c r="AA142" s="807">
        <f t="shared" si="31"/>
        <v>0</v>
      </c>
      <c r="AB142" s="807">
        <f t="shared" si="32"/>
        <v>8197.9461405529946</v>
      </c>
      <c r="AC142" s="231">
        <f>'Idaho Data'!WA55</f>
        <v>284.04147465437791</v>
      </c>
      <c r="AD142" s="823">
        <f>'Idaho Data'!WB55</f>
        <v>5.165329328555688E-2</v>
      </c>
      <c r="AE142" s="382"/>
      <c r="AF142" s="201" t="s">
        <v>173</v>
      </c>
      <c r="AG142" s="201"/>
      <c r="AH142" s="201"/>
      <c r="AI142" s="201"/>
      <c r="AJ142" s="381"/>
    </row>
    <row r="143" spans="2:36">
      <c r="B143" s="228" t="str">
        <f>'Idaho Data'!B56</f>
        <v>Preston Joint</v>
      </c>
      <c r="C143" s="405">
        <f>'Idaho Data'!ST56</f>
        <v>2427</v>
      </c>
      <c r="D143" s="242">
        <f>'Idaho Data'!SE56</f>
        <v>191855.02760609807</v>
      </c>
      <c r="E143" s="243">
        <f>'Idaho Data'!SV56</f>
        <v>0.43193069306930693</v>
      </c>
      <c r="G143" s="794" t="str">
        <f>'Idaho Data'!UE56</f>
        <v/>
      </c>
      <c r="H143" s="801">
        <f>'Idaho Data'!VO56</f>
        <v>1852303</v>
      </c>
      <c r="I143" s="800">
        <f>'Idaho Data'!VP56</f>
        <v>13203005</v>
      </c>
      <c r="J143" s="800"/>
      <c r="K143" s="800">
        <f>'Idaho Data'!VQ56</f>
        <v>1416031</v>
      </c>
      <c r="L143" s="229">
        <f t="shared" si="27"/>
        <v>16471339</v>
      </c>
      <c r="M143" s="805">
        <f>'Idaho Data'!VR56</f>
        <v>1852303</v>
      </c>
      <c r="N143" s="805">
        <f>'Idaho Data'!VS56</f>
        <v>13853682</v>
      </c>
      <c r="O143" s="805">
        <f>'Idaho Data'!VT56 +'Idaho Data'!VU56</f>
        <v>1416031</v>
      </c>
      <c r="P143" s="805">
        <f>'Idaho Data'!VU56</f>
        <v>0</v>
      </c>
      <c r="Q143" s="805">
        <f t="shared" si="33"/>
        <v>17122016</v>
      </c>
      <c r="R143" s="898">
        <f>'Idaho Data'!VS56-'Idaho Data'!VP56</f>
        <v>650677</v>
      </c>
      <c r="S143" s="230">
        <f t="shared" si="34"/>
        <v>763.20683971981873</v>
      </c>
      <c r="U143" s="230">
        <f t="shared" si="35"/>
        <v>5440.0515039142974</v>
      </c>
      <c r="V143" s="230">
        <f t="shared" si="36"/>
        <v>583.44911413267414</v>
      </c>
      <c r="W143" s="230">
        <f t="shared" si="37"/>
        <v>6786.7074577667909</v>
      </c>
      <c r="X143" s="807">
        <f t="shared" si="38"/>
        <v>763.20683971981873</v>
      </c>
      <c r="Y143" s="807">
        <f t="shared" si="39"/>
        <v>5708.1508034610633</v>
      </c>
      <c r="Z143" s="807">
        <f t="shared" si="40"/>
        <v>583.44911413267414</v>
      </c>
      <c r="AA143" s="807">
        <f t="shared" si="31"/>
        <v>0</v>
      </c>
      <c r="AB143" s="807">
        <f t="shared" si="32"/>
        <v>7054.8067573135568</v>
      </c>
      <c r="AC143" s="231">
        <f>'Idaho Data'!WA56</f>
        <v>268.09929954676556</v>
      </c>
      <c r="AD143" s="823">
        <f>'Idaho Data'!WB56</f>
        <v>4.9282492887035942E-2</v>
      </c>
      <c r="AE143" s="382"/>
      <c r="AF143" s="201" t="s">
        <v>147</v>
      </c>
      <c r="AG143" s="201"/>
      <c r="AH143" s="201"/>
      <c r="AI143" s="201"/>
      <c r="AJ143" s="381"/>
    </row>
    <row r="144" spans="2:36">
      <c r="B144" s="228" t="str">
        <f>'Idaho Data'!B57</f>
        <v>West Side Joint</v>
      </c>
      <c r="C144" s="405">
        <f>'Idaho Data'!ST57</f>
        <v>586</v>
      </c>
      <c r="D144" s="242">
        <f>'Idaho Data'!SE57</f>
        <v>237204.09897610921</v>
      </c>
      <c r="E144" s="243">
        <f>'Idaho Data'!SV57</f>
        <v>0.47807017543859648</v>
      </c>
      <c r="G144" s="794" t="str">
        <f>'Idaho Data'!UE57</f>
        <v/>
      </c>
      <c r="H144" s="801">
        <f>'Idaho Data'!VO57</f>
        <v>743684</v>
      </c>
      <c r="I144" s="800">
        <f>'Idaho Data'!VP57</f>
        <v>3620958</v>
      </c>
      <c r="J144" s="800"/>
      <c r="K144" s="800">
        <f>'Idaho Data'!VQ57</f>
        <v>349343</v>
      </c>
      <c r="L144" s="229">
        <f t="shared" si="27"/>
        <v>4713985</v>
      </c>
      <c r="M144" s="805">
        <f>'Idaho Data'!VR57</f>
        <v>743684</v>
      </c>
      <c r="N144" s="805">
        <f>'Idaho Data'!VS57</f>
        <v>3384675</v>
      </c>
      <c r="O144" s="805">
        <f>'Idaho Data'!VT57 +'Idaho Data'!VU57</f>
        <v>349343</v>
      </c>
      <c r="P144" s="805">
        <f>'Idaho Data'!VU57</f>
        <v>0</v>
      </c>
      <c r="Q144" s="805">
        <f t="shared" si="33"/>
        <v>4477702</v>
      </c>
      <c r="R144" s="898">
        <f>'Idaho Data'!VS57-'Idaho Data'!VP57</f>
        <v>-236283</v>
      </c>
      <c r="S144" s="230">
        <f t="shared" si="34"/>
        <v>1269.0853242320818</v>
      </c>
      <c r="U144" s="230">
        <f t="shared" si="35"/>
        <v>6179.1092150170653</v>
      </c>
      <c r="V144" s="230">
        <f t="shared" si="36"/>
        <v>596.1484641638225</v>
      </c>
      <c r="W144" s="230">
        <f t="shared" si="37"/>
        <v>8044.3430034129697</v>
      </c>
      <c r="X144" s="807">
        <f t="shared" si="38"/>
        <v>1269.0853242320818</v>
      </c>
      <c r="Y144" s="807">
        <f t="shared" si="39"/>
        <v>5775.8959044368603</v>
      </c>
      <c r="Z144" s="807">
        <f t="shared" si="40"/>
        <v>596.1484641638225</v>
      </c>
      <c r="AA144" s="807">
        <f t="shared" si="31"/>
        <v>0</v>
      </c>
      <c r="AB144" s="807">
        <f t="shared" si="32"/>
        <v>7641.1296928327647</v>
      </c>
      <c r="AC144" s="231">
        <f>'Idaho Data'!WA57</f>
        <v>-403.21331058020479</v>
      </c>
      <c r="AD144" s="823">
        <f>'Idaho Data'!WB57</f>
        <v>-6.5254278011509667E-2</v>
      </c>
      <c r="AE144" s="382"/>
      <c r="AF144" s="201" t="s">
        <v>155</v>
      </c>
      <c r="AG144" s="201"/>
      <c r="AH144" s="201"/>
      <c r="AI144" s="201"/>
      <c r="AJ144" s="381"/>
    </row>
    <row r="145" spans="2:36">
      <c r="B145" s="228" t="str">
        <f>'Idaho Data'!B58</f>
        <v>Fremont County Joint</v>
      </c>
      <c r="C145" s="405">
        <f>'Idaho Data'!ST58</f>
        <v>1995</v>
      </c>
      <c r="D145" s="242">
        <f>'Idaho Data'!SE58</f>
        <v>782524.30526315793</v>
      </c>
      <c r="E145" s="243">
        <f>'Idaho Data'!SV58</f>
        <v>0.54722222222222228</v>
      </c>
      <c r="G145" s="794" t="str">
        <f>'Idaho Data'!UE58</f>
        <v/>
      </c>
      <c r="H145" s="801">
        <f>'Idaho Data'!VO58</f>
        <v>2166685</v>
      </c>
      <c r="I145" s="800">
        <f>'Idaho Data'!VP58</f>
        <v>11783942</v>
      </c>
      <c r="J145" s="800"/>
      <c r="K145" s="800">
        <f>'Idaho Data'!VQ58</f>
        <v>4221502</v>
      </c>
      <c r="L145" s="229">
        <f t="shared" si="27"/>
        <v>18172129</v>
      </c>
      <c r="M145" s="805">
        <f>'Idaho Data'!VR58</f>
        <v>2166685</v>
      </c>
      <c r="N145" s="805">
        <f>'Idaho Data'!VS58</f>
        <v>11449872</v>
      </c>
      <c r="O145" s="805">
        <f>'Idaho Data'!VT58 +'Idaho Data'!VU58</f>
        <v>4221502</v>
      </c>
      <c r="P145" s="805">
        <f>'Idaho Data'!VU58</f>
        <v>0</v>
      </c>
      <c r="Q145" s="805">
        <f t="shared" si="33"/>
        <v>17838059</v>
      </c>
      <c r="R145" s="898">
        <f>'Idaho Data'!VS58-'Idaho Data'!VP58</f>
        <v>-334070</v>
      </c>
      <c r="S145" s="230">
        <f t="shared" si="34"/>
        <v>1086.0576441102758</v>
      </c>
      <c r="U145" s="230">
        <f t="shared" si="35"/>
        <v>5906.737844611529</v>
      </c>
      <c r="V145" s="230">
        <f t="shared" si="36"/>
        <v>2116.0411027568921</v>
      </c>
      <c r="W145" s="230">
        <f t="shared" si="37"/>
        <v>9108.8365914786973</v>
      </c>
      <c r="X145" s="807">
        <f t="shared" si="38"/>
        <v>1086.0576441102758</v>
      </c>
      <c r="Y145" s="807">
        <f t="shared" si="39"/>
        <v>5739.2842105263162</v>
      </c>
      <c r="Z145" s="807">
        <f t="shared" si="40"/>
        <v>2116.0411027568921</v>
      </c>
      <c r="AA145" s="807">
        <f t="shared" si="31"/>
        <v>0</v>
      </c>
      <c r="AB145" s="807">
        <f t="shared" si="32"/>
        <v>8941.3829573934836</v>
      </c>
      <c r="AC145" s="231">
        <f>'Idaho Data'!WA58</f>
        <v>-167.45363408521303</v>
      </c>
      <c r="AD145" s="823">
        <f>'Idaho Data'!WB58</f>
        <v>-2.8349596425372766E-2</v>
      </c>
      <c r="AE145" s="382"/>
      <c r="AF145" s="201" t="s">
        <v>138</v>
      </c>
      <c r="AG145" s="201"/>
      <c r="AH145" s="201"/>
      <c r="AI145" s="201"/>
      <c r="AJ145" s="381"/>
    </row>
    <row r="146" spans="2:36">
      <c r="B146" s="228" t="str">
        <f>'Idaho Data'!B59</f>
        <v>Emmett Independent</v>
      </c>
      <c r="C146" s="405">
        <f>'Idaho Data'!ST59</f>
        <v>2310</v>
      </c>
      <c r="D146" s="242">
        <f>'Idaho Data'!SE59</f>
        <v>361089.95714285714</v>
      </c>
      <c r="E146" s="243">
        <f>'Idaho Data'!SV59</f>
        <v>0.57480946650621745</v>
      </c>
      <c r="G146" s="794" t="str">
        <f>'Idaho Data'!UE59</f>
        <v/>
      </c>
      <c r="H146" s="801">
        <f>'Idaho Data'!VO59</f>
        <v>2577422</v>
      </c>
      <c r="I146" s="800">
        <f>'Idaho Data'!VP59</f>
        <v>14818629</v>
      </c>
      <c r="J146" s="800"/>
      <c r="K146" s="800">
        <f>'Idaho Data'!VQ59</f>
        <v>3917505</v>
      </c>
      <c r="L146" s="229">
        <f t="shared" si="27"/>
        <v>21313556</v>
      </c>
      <c r="M146" s="805">
        <f>'Idaho Data'!VR59</f>
        <v>2577422</v>
      </c>
      <c r="N146" s="805">
        <f>'Idaho Data'!VS59</f>
        <v>13226481</v>
      </c>
      <c r="O146" s="805">
        <f>'Idaho Data'!VT59 +'Idaho Data'!VU59</f>
        <v>3917505</v>
      </c>
      <c r="P146" s="805">
        <f>'Idaho Data'!VU59</f>
        <v>0</v>
      </c>
      <c r="Q146" s="805">
        <f t="shared" si="33"/>
        <v>19721408</v>
      </c>
      <c r="R146" s="898">
        <f>'Idaho Data'!VS59-'Idaho Data'!VP59</f>
        <v>-1592148</v>
      </c>
      <c r="S146" s="230">
        <f t="shared" si="34"/>
        <v>1115.7670995670996</v>
      </c>
      <c r="U146" s="230">
        <f t="shared" si="35"/>
        <v>6414.9909090909086</v>
      </c>
      <c r="V146" s="230">
        <f t="shared" si="36"/>
        <v>1695.8896103896104</v>
      </c>
      <c r="W146" s="230">
        <f t="shared" si="37"/>
        <v>9226.6476190476187</v>
      </c>
      <c r="X146" s="807">
        <f t="shared" si="38"/>
        <v>1115.7670995670996</v>
      </c>
      <c r="Y146" s="807">
        <f t="shared" si="39"/>
        <v>5725.7493506493511</v>
      </c>
      <c r="Z146" s="807">
        <f t="shared" si="40"/>
        <v>1695.8896103896104</v>
      </c>
      <c r="AA146" s="807">
        <f t="shared" si="31"/>
        <v>0</v>
      </c>
      <c r="AB146" s="807">
        <f t="shared" si="32"/>
        <v>8537.4060606060611</v>
      </c>
      <c r="AC146" s="231">
        <f>'Idaho Data'!WA59</f>
        <v>-689.24155844155848</v>
      </c>
      <c r="AD146" s="823">
        <f>'Idaho Data'!WB59</f>
        <v>-0.107442328166796</v>
      </c>
      <c r="AE146" s="382"/>
      <c r="AF146" s="201" t="s">
        <v>157</v>
      </c>
      <c r="AG146" s="201"/>
      <c r="AH146" s="201"/>
      <c r="AI146" s="201"/>
      <c r="AJ146" s="381"/>
    </row>
    <row r="147" spans="2:36">
      <c r="B147" s="228" t="str">
        <f>'Idaho Data'!B60</f>
        <v>Gooding Joint</v>
      </c>
      <c r="C147" s="405">
        <f>'Idaho Data'!ST60</f>
        <v>1172</v>
      </c>
      <c r="D147" s="242">
        <f>'Idaho Data'!SE60</f>
        <v>353929.64761092153</v>
      </c>
      <c r="E147" s="243">
        <f>'Idaho Data'!SV60</f>
        <v>0.67711598746081503</v>
      </c>
      <c r="G147" s="794" t="str">
        <f>'Idaho Data'!UE60</f>
        <v/>
      </c>
      <c r="H147" s="801">
        <f>'Idaho Data'!VO60</f>
        <v>1447544</v>
      </c>
      <c r="I147" s="800">
        <f>'Idaho Data'!VP60</f>
        <v>7138930</v>
      </c>
      <c r="J147" s="800"/>
      <c r="K147" s="800">
        <f>'Idaho Data'!VQ60</f>
        <v>1436425</v>
      </c>
      <c r="L147" s="229">
        <f t="shared" si="27"/>
        <v>10022899</v>
      </c>
      <c r="M147" s="805">
        <f>'Idaho Data'!VR60</f>
        <v>1447544</v>
      </c>
      <c r="N147" s="805">
        <f>'Idaho Data'!VS60</f>
        <v>6730668</v>
      </c>
      <c r="O147" s="805">
        <f>'Idaho Data'!VT60 +'Idaho Data'!VU60</f>
        <v>1436425</v>
      </c>
      <c r="P147" s="805">
        <f>'Idaho Data'!VU60</f>
        <v>0</v>
      </c>
      <c r="Q147" s="805">
        <f t="shared" si="33"/>
        <v>9614637</v>
      </c>
      <c r="R147" s="898">
        <f>'Idaho Data'!VS60-'Idaho Data'!VP60</f>
        <v>-408262</v>
      </c>
      <c r="S147" s="230">
        <f t="shared" si="34"/>
        <v>1235.1058020477815</v>
      </c>
      <c r="U147" s="230">
        <f t="shared" si="35"/>
        <v>6091.2372013651875</v>
      </c>
      <c r="V147" s="230">
        <f t="shared" si="36"/>
        <v>1225.6186006825938</v>
      </c>
      <c r="W147" s="230">
        <f t="shared" si="37"/>
        <v>8551.9616040955625</v>
      </c>
      <c r="X147" s="807">
        <f t="shared" si="38"/>
        <v>1235.1058020477815</v>
      </c>
      <c r="Y147" s="807">
        <f t="shared" si="39"/>
        <v>5742.8907849829347</v>
      </c>
      <c r="Z147" s="807">
        <f t="shared" si="40"/>
        <v>1225.6186006825938</v>
      </c>
      <c r="AA147" s="807">
        <f t="shared" si="31"/>
        <v>0</v>
      </c>
      <c r="AB147" s="807">
        <f t="shared" si="32"/>
        <v>8203.6151877133088</v>
      </c>
      <c r="AC147" s="231">
        <f>'Idaho Data'!WA60</f>
        <v>-348.34641638225258</v>
      </c>
      <c r="AD147" s="823">
        <f>'Idaho Data'!WB60</f>
        <v>-5.7188122029491813E-2</v>
      </c>
      <c r="AE147" s="382"/>
      <c r="AF147" s="201" t="s">
        <v>213</v>
      </c>
      <c r="AG147" s="201"/>
      <c r="AH147" s="201"/>
      <c r="AI147" s="201"/>
      <c r="AJ147" s="381"/>
    </row>
    <row r="148" spans="2:36">
      <c r="B148" s="228" t="str">
        <f>'Idaho Data'!B61</f>
        <v>Wendell</v>
      </c>
      <c r="C148" s="405">
        <f>'Idaho Data'!ST61</f>
        <v>1041</v>
      </c>
      <c r="D148" s="242">
        <f>'Idaho Data'!SE61</f>
        <v>259798.49471661865</v>
      </c>
      <c r="E148" s="243">
        <f>'Idaho Data'!SV61</f>
        <v>0.77683854606931535</v>
      </c>
      <c r="G148" s="794" t="str">
        <f>'Idaho Data'!UE61</f>
        <v/>
      </c>
      <c r="H148" s="801">
        <f>'Idaho Data'!VO61</f>
        <v>1230229</v>
      </c>
      <c r="I148" s="800">
        <f>'Idaho Data'!VP61</f>
        <v>6204132</v>
      </c>
      <c r="J148" s="800"/>
      <c r="K148" s="800">
        <f>'Idaho Data'!VQ61</f>
        <v>1163455</v>
      </c>
      <c r="L148" s="229">
        <f t="shared" si="27"/>
        <v>8597816</v>
      </c>
      <c r="M148" s="805">
        <f>'Idaho Data'!VR61</f>
        <v>1230229</v>
      </c>
      <c r="N148" s="805">
        <f>'Idaho Data'!VS61</f>
        <v>6003999</v>
      </c>
      <c r="O148" s="805">
        <f>'Idaho Data'!VT61 +'Idaho Data'!VU61</f>
        <v>1163455</v>
      </c>
      <c r="P148" s="805">
        <f>'Idaho Data'!VU61</f>
        <v>0</v>
      </c>
      <c r="Q148" s="805">
        <f t="shared" si="33"/>
        <v>8397683</v>
      </c>
      <c r="R148" s="898">
        <f>'Idaho Data'!VS61-'Idaho Data'!VP61</f>
        <v>-200133</v>
      </c>
      <c r="S148" s="230">
        <f t="shared" si="34"/>
        <v>1181.7761767531219</v>
      </c>
      <c r="U148" s="230">
        <f t="shared" si="35"/>
        <v>5959.7809798270891</v>
      </c>
      <c r="V148" s="230">
        <f t="shared" si="36"/>
        <v>1117.6320845341018</v>
      </c>
      <c r="W148" s="230">
        <f t="shared" si="37"/>
        <v>8259.1892411143126</v>
      </c>
      <c r="X148" s="807">
        <f t="shared" si="38"/>
        <v>1181.7761767531219</v>
      </c>
      <c r="Y148" s="807">
        <f t="shared" si="39"/>
        <v>5767.5302593659944</v>
      </c>
      <c r="Z148" s="807">
        <f t="shared" si="40"/>
        <v>1117.6320845341018</v>
      </c>
      <c r="AA148" s="807">
        <f t="shared" si="31"/>
        <v>0</v>
      </c>
      <c r="AB148" s="807">
        <f t="shared" si="32"/>
        <v>8066.9385206532179</v>
      </c>
      <c r="AC148" s="231">
        <f>'Idaho Data'!WA61</f>
        <v>-192.25072046109511</v>
      </c>
      <c r="AD148" s="823">
        <f>'Idaho Data'!WB61</f>
        <v>-3.2258017721092977E-2</v>
      </c>
      <c r="AE148" s="382"/>
      <c r="AF148" s="201" t="s">
        <v>247</v>
      </c>
      <c r="AG148" s="201"/>
      <c r="AH148" s="201"/>
      <c r="AI148" s="201"/>
      <c r="AJ148" s="381"/>
    </row>
    <row r="149" spans="2:36">
      <c r="B149" s="228" t="str">
        <f>'Idaho Data'!B62</f>
        <v>Hagerman Joint</v>
      </c>
      <c r="C149" s="405">
        <f>'Idaho Data'!ST62</f>
        <v>307</v>
      </c>
      <c r="D149" s="242">
        <f>'Idaho Data'!SE62</f>
        <v>514798.55374592834</v>
      </c>
      <c r="E149" s="243">
        <f>'Idaho Data'!SV62</f>
        <v>0.71084337349397586</v>
      </c>
      <c r="G149" s="794" t="str">
        <f>'Idaho Data'!UE62</f>
        <v/>
      </c>
      <c r="H149" s="801">
        <f>'Idaho Data'!VO62</f>
        <v>325612</v>
      </c>
      <c r="I149" s="800">
        <f>'Idaho Data'!VP62</f>
        <v>2474999</v>
      </c>
      <c r="J149" s="800"/>
      <c r="K149" s="800">
        <f>'Idaho Data'!VQ62</f>
        <v>510035</v>
      </c>
      <c r="L149" s="229">
        <f t="shared" si="27"/>
        <v>3310646</v>
      </c>
      <c r="M149" s="805">
        <f>'Idaho Data'!VR62</f>
        <v>325612</v>
      </c>
      <c r="N149" s="805">
        <f>'Idaho Data'!VS62</f>
        <v>1793187</v>
      </c>
      <c r="O149" s="805">
        <f>'Idaho Data'!VT62 +'Idaho Data'!VU62</f>
        <v>510035</v>
      </c>
      <c r="P149" s="805">
        <f>'Idaho Data'!VU62</f>
        <v>0</v>
      </c>
      <c r="Q149" s="805">
        <f t="shared" si="33"/>
        <v>2628834</v>
      </c>
      <c r="R149" s="898">
        <f>'Idaho Data'!VS62-'Idaho Data'!VP62</f>
        <v>-681812</v>
      </c>
      <c r="S149" s="230">
        <f t="shared" si="34"/>
        <v>1060.6254071661238</v>
      </c>
      <c r="U149" s="230">
        <f t="shared" si="35"/>
        <v>8061.8859934853417</v>
      </c>
      <c r="V149" s="230">
        <f t="shared" si="36"/>
        <v>1661.3517915309446</v>
      </c>
      <c r="W149" s="230">
        <f t="shared" si="37"/>
        <v>10783.863192182409</v>
      </c>
      <c r="X149" s="807">
        <f t="shared" si="38"/>
        <v>1060.6254071661238</v>
      </c>
      <c r="Y149" s="807">
        <f t="shared" si="39"/>
        <v>5841</v>
      </c>
      <c r="Z149" s="807">
        <f t="shared" si="40"/>
        <v>1661.3517915309446</v>
      </c>
      <c r="AA149" s="807">
        <f t="shared" si="31"/>
        <v>0</v>
      </c>
      <c r="AB149" s="807">
        <f t="shared" si="32"/>
        <v>8562.9771986970682</v>
      </c>
      <c r="AC149" s="231">
        <f>'Idaho Data'!WA62</f>
        <v>-2220.8859934853422</v>
      </c>
      <c r="AD149" s="823">
        <f>'Idaho Data'!WB62</f>
        <v>-0.2754797072645282</v>
      </c>
      <c r="AE149" s="382"/>
      <c r="AF149" s="201" t="s">
        <v>1493</v>
      </c>
      <c r="AG149" s="201"/>
      <c r="AH149" s="201"/>
      <c r="AI149" s="201"/>
      <c r="AJ149" s="381"/>
    </row>
    <row r="150" spans="2:36">
      <c r="B150" s="228" t="str">
        <f>'Idaho Data'!B63</f>
        <v>Bliss Joint</v>
      </c>
      <c r="C150" s="405">
        <f>'Idaho Data'!ST63</f>
        <v>115</v>
      </c>
      <c r="D150" s="242">
        <f>'Idaho Data'!SE63</f>
        <v>688574.83478260867</v>
      </c>
      <c r="E150" s="243">
        <f>'Idaho Data'!SV63</f>
        <v>0.81967213114754101</v>
      </c>
      <c r="G150" s="794" t="str">
        <f>'Idaho Data'!UE63</f>
        <v>yes</v>
      </c>
      <c r="H150" s="801">
        <f>'Idaho Data'!VO63</f>
        <v>151366</v>
      </c>
      <c r="I150" s="800">
        <f>'Idaho Data'!VP63</f>
        <v>1516174</v>
      </c>
      <c r="J150" s="800"/>
      <c r="K150" s="800">
        <f>'Idaho Data'!VQ63</f>
        <v>209329</v>
      </c>
      <c r="L150" s="229">
        <f t="shared" si="27"/>
        <v>1876869</v>
      </c>
      <c r="M150" s="805">
        <f>'Idaho Data'!VR63</f>
        <v>151366</v>
      </c>
      <c r="N150" s="805">
        <f>'Idaho Data'!VS63</f>
        <v>671409</v>
      </c>
      <c r="O150" s="805">
        <f>'Idaho Data'!VT63 +'Idaho Data'!VU63</f>
        <v>209329</v>
      </c>
      <c r="P150" s="805">
        <f>'Idaho Data'!VU63</f>
        <v>0</v>
      </c>
      <c r="Q150" s="805">
        <f t="shared" si="33"/>
        <v>1032104</v>
      </c>
      <c r="R150" s="898">
        <f>'Idaho Data'!VS63-'Idaho Data'!VP63</f>
        <v>-844765</v>
      </c>
      <c r="S150" s="230">
        <f t="shared" si="34"/>
        <v>1316.2260869565218</v>
      </c>
      <c r="U150" s="230">
        <f t="shared" si="35"/>
        <v>13184.121739130434</v>
      </c>
      <c r="V150" s="230">
        <f t="shared" si="36"/>
        <v>1820.2521739130434</v>
      </c>
      <c r="W150" s="230">
        <f t="shared" si="37"/>
        <v>16320.599999999999</v>
      </c>
      <c r="X150" s="807">
        <f t="shared" si="38"/>
        <v>1316.2260869565218</v>
      </c>
      <c r="Y150" s="807">
        <f t="shared" si="39"/>
        <v>5838.3391304347824</v>
      </c>
      <c r="Z150" s="807">
        <f t="shared" si="40"/>
        <v>1820.2521739130434</v>
      </c>
      <c r="AA150" s="807">
        <f t="shared" si="31"/>
        <v>0</v>
      </c>
      <c r="AB150" s="807">
        <f t="shared" si="32"/>
        <v>8974.8173913043465</v>
      </c>
      <c r="AC150" s="231">
        <f>'Idaho Data'!WA63</f>
        <v>-7345.782608695652</v>
      </c>
      <c r="AD150" s="823">
        <f>'Idaho Data'!WB63</f>
        <v>-0.55716890013942988</v>
      </c>
      <c r="AE150" s="382"/>
      <c r="AF150" s="201" t="s">
        <v>182</v>
      </c>
      <c r="AG150" s="201"/>
      <c r="AH150" s="201"/>
      <c r="AI150" s="201"/>
      <c r="AJ150" s="381"/>
    </row>
    <row r="151" spans="2:36">
      <c r="B151" s="228" t="str">
        <f>'Idaho Data'!B64</f>
        <v>Cottonwood Joint</v>
      </c>
      <c r="C151" s="405">
        <f>'Idaho Data'!ST64</f>
        <v>377</v>
      </c>
      <c r="D151" s="242">
        <f>'Idaho Data'!SE64</f>
        <v>404009.68169761274</v>
      </c>
      <c r="E151" s="243">
        <f>'Idaho Data'!SV64</f>
        <v>0.38141809290953543</v>
      </c>
      <c r="G151" s="794" t="str">
        <f>'Idaho Data'!UE64</f>
        <v/>
      </c>
      <c r="H151" s="801">
        <f>'Idaho Data'!VO64</f>
        <v>812604</v>
      </c>
      <c r="I151" s="800">
        <f>'Idaho Data'!VP64</f>
        <v>3112424</v>
      </c>
      <c r="J151" s="800"/>
      <c r="K151" s="800">
        <f>'Idaho Data'!VQ64</f>
        <v>1154013</v>
      </c>
      <c r="L151" s="229">
        <f t="shared" si="27"/>
        <v>5079041</v>
      </c>
      <c r="M151" s="805">
        <f>'Idaho Data'!VR64</f>
        <v>812604</v>
      </c>
      <c r="N151" s="805">
        <f>'Idaho Data'!VS64</f>
        <v>2160666</v>
      </c>
      <c r="O151" s="805">
        <f>'Idaho Data'!VT64 +'Idaho Data'!VU64</f>
        <v>1154013</v>
      </c>
      <c r="P151" s="805">
        <f>'Idaho Data'!VU64</f>
        <v>0</v>
      </c>
      <c r="Q151" s="805">
        <f t="shared" si="33"/>
        <v>4127283</v>
      </c>
      <c r="R151" s="898">
        <f>'Idaho Data'!VS64-'Idaho Data'!VP64</f>
        <v>-951758</v>
      </c>
      <c r="S151" s="230">
        <f t="shared" si="34"/>
        <v>2155.4482758620688</v>
      </c>
      <c r="U151" s="230">
        <f t="shared" si="35"/>
        <v>8255.7665782493368</v>
      </c>
      <c r="V151" s="230">
        <f t="shared" si="36"/>
        <v>3061.0424403183024</v>
      </c>
      <c r="W151" s="230">
        <f t="shared" si="37"/>
        <v>13472.257294429708</v>
      </c>
      <c r="X151" s="807">
        <f t="shared" si="38"/>
        <v>2155.4482758620688</v>
      </c>
      <c r="Y151" s="807">
        <f t="shared" si="39"/>
        <v>5731.2095490716183</v>
      </c>
      <c r="Z151" s="807">
        <f t="shared" si="40"/>
        <v>3061.0424403183024</v>
      </c>
      <c r="AA151" s="807">
        <f t="shared" si="31"/>
        <v>0</v>
      </c>
      <c r="AB151" s="807">
        <f t="shared" si="32"/>
        <v>10947.70026525199</v>
      </c>
      <c r="AC151" s="231">
        <f>'Idaho Data'!WA64</f>
        <v>-2524.557029177719</v>
      </c>
      <c r="AD151" s="823">
        <f>'Idaho Data'!WB64</f>
        <v>-0.3057931695681565</v>
      </c>
      <c r="AE151" s="382"/>
      <c r="AF151" s="201" t="s">
        <v>197</v>
      </c>
      <c r="AG151" s="201"/>
      <c r="AH151" s="201"/>
      <c r="AI151" s="201"/>
      <c r="AJ151" s="381"/>
    </row>
    <row r="152" spans="2:36">
      <c r="B152" s="228" t="str">
        <f>'Idaho Data'!B65</f>
        <v>Salmon River</v>
      </c>
      <c r="C152" s="405">
        <f>'Idaho Data'!ST65</f>
        <v>106</v>
      </c>
      <c r="D152" s="242">
        <f>'Idaho Data'!SE65</f>
        <v>1234629.1603773586</v>
      </c>
      <c r="E152" s="243">
        <f>'Idaho Data'!SV65</f>
        <v>0.60431654676258995</v>
      </c>
      <c r="G152" s="794" t="str">
        <f>'Idaho Data'!UE65</f>
        <v>yes</v>
      </c>
      <c r="H152" s="801">
        <f>'Idaho Data'!VO65</f>
        <v>390968</v>
      </c>
      <c r="I152" s="800">
        <f>'Idaho Data'!VP65</f>
        <v>1324843</v>
      </c>
      <c r="J152" s="800"/>
      <c r="K152" s="800">
        <f>'Idaho Data'!VQ65</f>
        <v>618913</v>
      </c>
      <c r="L152" s="229">
        <f t="shared" si="27"/>
        <v>2334724</v>
      </c>
      <c r="M152" s="805">
        <f>'Idaho Data'!VR65</f>
        <v>390968</v>
      </c>
      <c r="N152" s="805">
        <f>'Idaho Data'!VS65</f>
        <v>605097</v>
      </c>
      <c r="O152" s="805">
        <f>'Idaho Data'!VT65 +'Idaho Data'!VU65</f>
        <v>618913</v>
      </c>
      <c r="P152" s="805">
        <f>'Idaho Data'!VU65</f>
        <v>0</v>
      </c>
      <c r="Q152" s="805">
        <f t="shared" si="33"/>
        <v>1614978</v>
      </c>
      <c r="R152" s="898">
        <f>'Idaho Data'!VS65-'Idaho Data'!VP65</f>
        <v>-719746</v>
      </c>
      <c r="S152" s="230">
        <f t="shared" si="34"/>
        <v>3688.3773584905662</v>
      </c>
      <c r="U152" s="230">
        <f t="shared" si="35"/>
        <v>12498.518867924528</v>
      </c>
      <c r="V152" s="230">
        <f t="shared" si="36"/>
        <v>5838.8018867924529</v>
      </c>
      <c r="W152" s="230">
        <f t="shared" si="37"/>
        <v>22025.698113207545</v>
      </c>
      <c r="X152" s="807">
        <f t="shared" si="38"/>
        <v>3688.3773584905662</v>
      </c>
      <c r="Y152" s="807">
        <f t="shared" si="39"/>
        <v>5708.4622641509432</v>
      </c>
      <c r="Z152" s="807">
        <f t="shared" si="40"/>
        <v>5838.8018867924529</v>
      </c>
      <c r="AA152" s="807">
        <f t="shared" si="31"/>
        <v>0</v>
      </c>
      <c r="AB152" s="807">
        <f t="shared" si="32"/>
        <v>15235.641509433963</v>
      </c>
      <c r="AC152" s="231">
        <f>'Idaho Data'!WA65</f>
        <v>-6790.0566037735853</v>
      </c>
      <c r="AD152" s="823">
        <f>'Idaho Data'!WB65</f>
        <v>-0.54326890054142263</v>
      </c>
      <c r="AE152" s="382"/>
      <c r="AF152" s="201" t="s">
        <v>119</v>
      </c>
      <c r="AG152" s="201"/>
      <c r="AH152" s="201"/>
      <c r="AI152" s="201"/>
      <c r="AJ152" s="381"/>
    </row>
    <row r="153" spans="2:36">
      <c r="B153" s="228" t="str">
        <f>'Idaho Data'!B66</f>
        <v>Mountain View</v>
      </c>
      <c r="C153" s="405">
        <f>'Idaho Data'!ST66</f>
        <v>1111</v>
      </c>
      <c r="D153" s="242">
        <f>'Idaho Data'!SE66</f>
        <v>743623.04950495053</v>
      </c>
      <c r="E153" s="243">
        <f>'Idaho Data'!SV66</f>
        <v>0.51584786053882725</v>
      </c>
      <c r="G153" s="794" t="str">
        <f>'Idaho Data'!UE66</f>
        <v/>
      </c>
      <c r="H153" s="801">
        <f>'Idaho Data'!VO66</f>
        <v>2499797</v>
      </c>
      <c r="I153" s="800">
        <f>'Idaho Data'!VP66</f>
        <v>7441194</v>
      </c>
      <c r="J153" s="800"/>
      <c r="K153" s="800">
        <f>'Idaho Data'!VQ66</f>
        <v>3435361</v>
      </c>
      <c r="L153" s="229">
        <f t="shared" si="27"/>
        <v>13376352</v>
      </c>
      <c r="M153" s="805">
        <f>'Idaho Data'!VR66</f>
        <v>2499797</v>
      </c>
      <c r="N153" s="805">
        <f>'Idaho Data'!VS66</f>
        <v>6410160</v>
      </c>
      <c r="O153" s="805">
        <f>'Idaho Data'!VT66 +'Idaho Data'!VU66</f>
        <v>3435361</v>
      </c>
      <c r="P153" s="805">
        <f>'Idaho Data'!VU66</f>
        <v>0</v>
      </c>
      <c r="Q153" s="805">
        <f t="shared" si="33"/>
        <v>12345318</v>
      </c>
      <c r="R153" s="898">
        <f>'Idaho Data'!VS66-'Idaho Data'!VP66</f>
        <v>-1031034</v>
      </c>
      <c r="S153" s="230">
        <f t="shared" si="34"/>
        <v>2250.0423042304233</v>
      </c>
      <c r="U153" s="230">
        <f t="shared" si="35"/>
        <v>6697.7443744374441</v>
      </c>
      <c r="V153" s="230">
        <f t="shared" si="36"/>
        <v>3092.1341134113413</v>
      </c>
      <c r="W153" s="230">
        <f t="shared" si="37"/>
        <v>12039.920792079209</v>
      </c>
      <c r="X153" s="807">
        <f t="shared" si="38"/>
        <v>2250.0423042304233</v>
      </c>
      <c r="Y153" s="807">
        <f t="shared" si="39"/>
        <v>5769.7209720972096</v>
      </c>
      <c r="Z153" s="807">
        <f t="shared" si="40"/>
        <v>3092.1341134113413</v>
      </c>
      <c r="AA153" s="807">
        <f t="shared" si="31"/>
        <v>0</v>
      </c>
      <c r="AB153" s="807">
        <f t="shared" si="32"/>
        <v>11111.897389738973</v>
      </c>
      <c r="AC153" s="231">
        <f>'Idaho Data'!WA66</f>
        <v>-928.02340234023404</v>
      </c>
      <c r="AD153" s="823">
        <f>'Idaho Data'!WB66</f>
        <v>-0.13855760244928436</v>
      </c>
      <c r="AE153" s="382"/>
      <c r="AF153" s="201" t="s">
        <v>1496</v>
      </c>
      <c r="AG153" s="201"/>
      <c r="AH153" s="201"/>
      <c r="AI153" s="201"/>
      <c r="AJ153" s="381"/>
    </row>
    <row r="154" spans="2:36">
      <c r="B154" s="228" t="str">
        <f>'Idaho Data'!B67</f>
        <v>Jefferson County Joint</v>
      </c>
      <c r="C154" s="405">
        <f>'Idaho Data'!ST67</f>
        <v>4936</v>
      </c>
      <c r="D154" s="242">
        <f>'Idaho Data'!SE67</f>
        <v>185696.1193273906</v>
      </c>
      <c r="E154" s="243">
        <f>'Idaho Data'!SV67</f>
        <v>0.4140067592940293</v>
      </c>
      <c r="G154" s="794" t="str">
        <f>'Idaho Data'!UE67</f>
        <v/>
      </c>
      <c r="H154" s="801">
        <f>'Idaho Data'!VO67</f>
        <v>3429716</v>
      </c>
      <c r="I154" s="800">
        <f>'Idaho Data'!VP67</f>
        <v>26859749</v>
      </c>
      <c r="J154" s="800"/>
      <c r="K154" s="800">
        <f>'Idaho Data'!VQ67</f>
        <v>5023789</v>
      </c>
      <c r="L154" s="229">
        <f t="shared" si="27"/>
        <v>35313254</v>
      </c>
      <c r="M154" s="805">
        <f>'Idaho Data'!VR67</f>
        <v>3429716</v>
      </c>
      <c r="N154" s="805">
        <f>'Idaho Data'!VS67</f>
        <v>28478241</v>
      </c>
      <c r="O154" s="805">
        <f>'Idaho Data'!VT67 +'Idaho Data'!VU67</f>
        <v>5023789</v>
      </c>
      <c r="P154" s="805">
        <f>'Idaho Data'!VU67</f>
        <v>0</v>
      </c>
      <c r="Q154" s="805">
        <f t="shared" si="33"/>
        <v>36931746</v>
      </c>
      <c r="R154" s="898">
        <f>'Idaho Data'!VS67-'Idaho Data'!VP67</f>
        <v>1618492</v>
      </c>
      <c r="S154" s="230">
        <f t="shared" si="34"/>
        <v>694.83711507293356</v>
      </c>
      <c r="U154" s="230">
        <f t="shared" si="35"/>
        <v>5441.6023095623987</v>
      </c>
      <c r="V154" s="230">
        <f t="shared" si="36"/>
        <v>1017.785453808752</v>
      </c>
      <c r="W154" s="230">
        <f t="shared" si="37"/>
        <v>7154.2248784440844</v>
      </c>
      <c r="X154" s="807">
        <f t="shared" si="38"/>
        <v>694.83711507293356</v>
      </c>
      <c r="Y154" s="807">
        <f t="shared" si="39"/>
        <v>5769.4977714748784</v>
      </c>
      <c r="Z154" s="807">
        <f t="shared" si="40"/>
        <v>1017.785453808752</v>
      </c>
      <c r="AA154" s="807">
        <f t="shared" si="31"/>
        <v>0</v>
      </c>
      <c r="AB154" s="807">
        <f t="shared" si="32"/>
        <v>7482.1203403565642</v>
      </c>
      <c r="AC154" s="231">
        <f>'Idaho Data'!WA67</f>
        <v>327.89546191247973</v>
      </c>
      <c r="AD154" s="823">
        <f>'Idaho Data'!WB67</f>
        <v>6.0257152812559792E-2</v>
      </c>
      <c r="AE154" s="382"/>
      <c r="AF154" s="201" t="s">
        <v>1487</v>
      </c>
      <c r="AG154" s="201"/>
      <c r="AH154" s="201"/>
      <c r="AI154" s="201"/>
      <c r="AJ154" s="381"/>
    </row>
    <row r="155" spans="2:36">
      <c r="B155" s="228" t="str">
        <f>'Idaho Data'!B68</f>
        <v>Ririe Joint</v>
      </c>
      <c r="C155" s="405">
        <f>'Idaho Data'!ST68</f>
        <v>675</v>
      </c>
      <c r="D155" s="242">
        <f>'Idaho Data'!SE68</f>
        <v>198510.04148148149</v>
      </c>
      <c r="E155" s="243">
        <f>'Idaho Data'!SV68</f>
        <v>0.47520661157024796</v>
      </c>
      <c r="G155" s="794" t="str">
        <f>'Idaho Data'!UE68</f>
        <v/>
      </c>
      <c r="H155" s="801">
        <f>'Idaho Data'!VO68</f>
        <v>560777</v>
      </c>
      <c r="I155" s="800">
        <f>'Idaho Data'!VP68</f>
        <v>4461438</v>
      </c>
      <c r="J155" s="800"/>
      <c r="K155" s="800">
        <f>'Idaho Data'!VQ68</f>
        <v>1172550</v>
      </c>
      <c r="L155" s="229">
        <f t="shared" si="27"/>
        <v>6194765</v>
      </c>
      <c r="M155" s="805">
        <f>'Idaho Data'!VR68</f>
        <v>560777</v>
      </c>
      <c r="N155" s="805">
        <f>'Idaho Data'!VS68</f>
        <v>3812940</v>
      </c>
      <c r="O155" s="805">
        <f>'Idaho Data'!VT68 +'Idaho Data'!VU68</f>
        <v>1172550</v>
      </c>
      <c r="P155" s="805">
        <f>'Idaho Data'!VU68</f>
        <v>0</v>
      </c>
      <c r="Q155" s="805">
        <f t="shared" si="33"/>
        <v>5546267</v>
      </c>
      <c r="R155" s="898">
        <f>'Idaho Data'!VS68-'Idaho Data'!VP68</f>
        <v>-648498</v>
      </c>
      <c r="S155" s="230">
        <f t="shared" si="34"/>
        <v>830.78074074074073</v>
      </c>
      <c r="U155" s="230">
        <f t="shared" si="35"/>
        <v>6609.5377777777776</v>
      </c>
      <c r="V155" s="230">
        <f t="shared" si="36"/>
        <v>1737.1111111111111</v>
      </c>
      <c r="W155" s="230">
        <f t="shared" si="37"/>
        <v>9177.4296296296288</v>
      </c>
      <c r="X155" s="807">
        <f t="shared" si="38"/>
        <v>830.78074074074073</v>
      </c>
      <c r="Y155" s="807">
        <f t="shared" si="39"/>
        <v>5648.8</v>
      </c>
      <c r="Z155" s="807">
        <f t="shared" si="40"/>
        <v>1737.1111111111111</v>
      </c>
      <c r="AA155" s="807">
        <f t="shared" si="31"/>
        <v>0</v>
      </c>
      <c r="AB155" s="807">
        <f t="shared" si="32"/>
        <v>8216.6918518518523</v>
      </c>
      <c r="AC155" s="231">
        <f>'Idaho Data'!WA68</f>
        <v>-960.73777777777775</v>
      </c>
      <c r="AD155" s="823">
        <f>'Idaho Data'!WB68</f>
        <v>-0.14535627302228565</v>
      </c>
      <c r="AE155" s="382"/>
      <c r="AF155" s="201" t="s">
        <v>1497</v>
      </c>
      <c r="AG155" s="201"/>
      <c r="AH155" s="201"/>
      <c r="AI155" s="201"/>
      <c r="AJ155" s="381"/>
    </row>
    <row r="156" spans="2:36">
      <c r="B156" s="228" t="str">
        <f>'Idaho Data'!B69</f>
        <v>West Jefferson</v>
      </c>
      <c r="C156" s="405">
        <f>'Idaho Data'!ST69</f>
        <v>587</v>
      </c>
      <c r="D156" s="242">
        <f>'Idaho Data'!SE69</f>
        <v>291589.19761499146</v>
      </c>
      <c r="E156" s="243">
        <f>'Idaho Data'!SV69</f>
        <v>0.5088282504012841</v>
      </c>
      <c r="G156" s="794" t="str">
        <f>'Idaho Data'!UE69</f>
        <v/>
      </c>
      <c r="H156" s="801">
        <f>'Idaho Data'!VO69</f>
        <v>581952</v>
      </c>
      <c r="I156" s="800">
        <f>'Idaho Data'!VP69</f>
        <v>4065333</v>
      </c>
      <c r="J156" s="800"/>
      <c r="K156" s="800">
        <f>'Idaho Data'!VQ69</f>
        <v>993525</v>
      </c>
      <c r="L156" s="229">
        <f t="shared" si="27"/>
        <v>5640810</v>
      </c>
      <c r="M156" s="805">
        <f>'Idaho Data'!VR69</f>
        <v>581952</v>
      </c>
      <c r="N156" s="805">
        <f>'Idaho Data'!VS69</f>
        <v>3343230</v>
      </c>
      <c r="O156" s="805">
        <f>'Idaho Data'!VT69 +'Idaho Data'!VU69</f>
        <v>993525</v>
      </c>
      <c r="P156" s="805">
        <f>'Idaho Data'!VU69</f>
        <v>0</v>
      </c>
      <c r="Q156" s="805">
        <f t="shared" si="33"/>
        <v>4918707</v>
      </c>
      <c r="R156" s="898">
        <f>'Idaho Data'!VS69-'Idaho Data'!VP69</f>
        <v>-722103</v>
      </c>
      <c r="S156" s="230">
        <f t="shared" si="34"/>
        <v>991.40034071550258</v>
      </c>
      <c r="U156" s="230">
        <f t="shared" si="35"/>
        <v>6925.6098807495737</v>
      </c>
      <c r="V156" s="230">
        <f t="shared" si="36"/>
        <v>1692.5468483816014</v>
      </c>
      <c r="W156" s="230">
        <f t="shared" si="37"/>
        <v>9609.5570698466781</v>
      </c>
      <c r="X156" s="807">
        <f t="shared" si="38"/>
        <v>991.40034071550258</v>
      </c>
      <c r="Y156" s="807">
        <f t="shared" si="39"/>
        <v>5695.4514480408861</v>
      </c>
      <c r="Z156" s="807">
        <f t="shared" si="40"/>
        <v>1692.5468483816014</v>
      </c>
      <c r="AA156" s="807">
        <f t="shared" si="31"/>
        <v>0</v>
      </c>
      <c r="AB156" s="807">
        <f t="shared" si="32"/>
        <v>8379.3986371379906</v>
      </c>
      <c r="AC156" s="231">
        <f>'Idaho Data'!WA69</f>
        <v>-1230.1584327086882</v>
      </c>
      <c r="AD156" s="823">
        <f>'Idaho Data'!WB69</f>
        <v>-0.17762456359663525</v>
      </c>
      <c r="AE156" s="382"/>
      <c r="AF156" s="201" t="s">
        <v>122</v>
      </c>
      <c r="AG156" s="201"/>
      <c r="AH156" s="201"/>
      <c r="AI156" s="201"/>
      <c r="AJ156" s="381"/>
    </row>
    <row r="157" spans="2:36">
      <c r="B157" s="228" t="str">
        <f>'Idaho Data'!B70</f>
        <v>Jerome Joint</v>
      </c>
      <c r="C157" s="405">
        <f>'Idaho Data'!ST70</f>
        <v>3515</v>
      </c>
      <c r="D157" s="242">
        <f>'Idaho Data'!SE70</f>
        <v>300590.86657183501</v>
      </c>
      <c r="E157" s="243">
        <f>'Idaho Data'!SV70</f>
        <v>0.67589662447257381</v>
      </c>
      <c r="G157" s="794" t="str">
        <f>'Idaho Data'!UE70</f>
        <v/>
      </c>
      <c r="H157" s="801">
        <f>'Idaho Data'!VO70</f>
        <v>3521863</v>
      </c>
      <c r="I157" s="800">
        <f>'Idaho Data'!VP70</f>
        <v>20095606</v>
      </c>
      <c r="J157" s="800"/>
      <c r="K157" s="800">
        <f>'Idaho Data'!VQ70</f>
        <v>4682229</v>
      </c>
      <c r="L157" s="229">
        <f t="shared" si="27"/>
        <v>28299698</v>
      </c>
      <c r="M157" s="805">
        <f>'Idaho Data'!VR70</f>
        <v>3521863</v>
      </c>
      <c r="N157" s="805">
        <f>'Idaho Data'!VS70</f>
        <v>20230686</v>
      </c>
      <c r="O157" s="805">
        <f>'Idaho Data'!VT70 +'Idaho Data'!VU70</f>
        <v>4682229</v>
      </c>
      <c r="P157" s="805">
        <f>'Idaho Data'!VU70</f>
        <v>0</v>
      </c>
      <c r="Q157" s="805">
        <f t="shared" si="33"/>
        <v>28434778</v>
      </c>
      <c r="R157" s="898">
        <f>'Idaho Data'!VS70-'Idaho Data'!VP70</f>
        <v>135080</v>
      </c>
      <c r="S157" s="230">
        <f t="shared" si="34"/>
        <v>1001.9524893314367</v>
      </c>
      <c r="U157" s="230">
        <f t="shared" si="35"/>
        <v>5717.0998577524897</v>
      </c>
      <c r="V157" s="230">
        <f t="shared" si="36"/>
        <v>1332.0708392603131</v>
      </c>
      <c r="W157" s="230">
        <f t="shared" si="37"/>
        <v>8051.123186344239</v>
      </c>
      <c r="X157" s="807">
        <f t="shared" si="38"/>
        <v>1001.9524893314367</v>
      </c>
      <c r="Y157" s="807">
        <f t="shared" si="39"/>
        <v>5755.529445234708</v>
      </c>
      <c r="Z157" s="807">
        <f t="shared" si="40"/>
        <v>1332.0708392603131</v>
      </c>
      <c r="AA157" s="807">
        <f t="shared" si="31"/>
        <v>0</v>
      </c>
      <c r="AB157" s="807">
        <f t="shared" si="32"/>
        <v>8089.5527738264573</v>
      </c>
      <c r="AC157" s="231">
        <f>'Idaho Data'!WA70</f>
        <v>38.429587482219063</v>
      </c>
      <c r="AD157" s="823">
        <f>'Idaho Data'!WB70</f>
        <v>6.7218674569953256E-3</v>
      </c>
      <c r="AE157" s="382"/>
      <c r="AF157" s="201" t="s">
        <v>1486</v>
      </c>
      <c r="AG157" s="201"/>
      <c r="AH157" s="201"/>
      <c r="AI157" s="201"/>
      <c r="AJ157" s="381"/>
    </row>
    <row r="158" spans="2:36">
      <c r="B158" s="228" t="str">
        <f>'Idaho Data'!B71</f>
        <v>Valley</v>
      </c>
      <c r="C158" s="405">
        <f>'Idaho Data'!ST71</f>
        <v>556</v>
      </c>
      <c r="D158" s="242">
        <f>'Idaho Data'!SE71</f>
        <v>381797.85791366908</v>
      </c>
      <c r="E158" s="243">
        <f>'Idaho Data'!SV71</f>
        <v>0.60273972602739723</v>
      </c>
      <c r="G158" s="794" t="str">
        <f>'Idaho Data'!UE71</f>
        <v/>
      </c>
      <c r="H158" s="801">
        <f>'Idaho Data'!VO71</f>
        <v>502815</v>
      </c>
      <c r="I158" s="800">
        <f>'Idaho Data'!VP71</f>
        <v>3812400</v>
      </c>
      <c r="J158" s="800"/>
      <c r="K158" s="800">
        <f>'Idaho Data'!VQ71</f>
        <v>716585</v>
      </c>
      <c r="L158" s="229">
        <f t="shared" si="27"/>
        <v>5031800</v>
      </c>
      <c r="M158" s="805">
        <f>'Idaho Data'!VR71</f>
        <v>502815</v>
      </c>
      <c r="N158" s="805">
        <f>'Idaho Data'!VS71</f>
        <v>3177450</v>
      </c>
      <c r="O158" s="805">
        <f>'Idaho Data'!VT71 +'Idaho Data'!VU71</f>
        <v>716585</v>
      </c>
      <c r="P158" s="805">
        <f>'Idaho Data'!VU71</f>
        <v>0</v>
      </c>
      <c r="Q158" s="805">
        <f t="shared" si="33"/>
        <v>4396850</v>
      </c>
      <c r="R158" s="898">
        <f>'Idaho Data'!VS71-'Idaho Data'!VP71</f>
        <v>-634950</v>
      </c>
      <c r="S158" s="230">
        <f t="shared" si="34"/>
        <v>904.3435251798561</v>
      </c>
      <c r="U158" s="230">
        <f t="shared" si="35"/>
        <v>6856.8345323741005</v>
      </c>
      <c r="V158" s="230">
        <f t="shared" si="36"/>
        <v>1288.8219424460431</v>
      </c>
      <c r="W158" s="230">
        <f t="shared" si="37"/>
        <v>9050</v>
      </c>
      <c r="X158" s="807">
        <f t="shared" si="38"/>
        <v>904.3435251798561</v>
      </c>
      <c r="Y158" s="807">
        <f t="shared" si="39"/>
        <v>5714.8381294964029</v>
      </c>
      <c r="Z158" s="807">
        <f t="shared" si="40"/>
        <v>1288.8219424460431</v>
      </c>
      <c r="AA158" s="807">
        <f t="shared" si="31"/>
        <v>0</v>
      </c>
      <c r="AB158" s="807">
        <f t="shared" si="32"/>
        <v>7908.0035971223024</v>
      </c>
      <c r="AC158" s="231">
        <f>'Idaho Data'!WA71</f>
        <v>-1141.9964028776978</v>
      </c>
      <c r="AD158" s="823">
        <f>'Idaho Data'!WB71</f>
        <v>-0.16654863078375826</v>
      </c>
      <c r="AE158" s="382"/>
      <c r="AF158" s="201" t="s">
        <v>223</v>
      </c>
      <c r="AG158" s="201"/>
      <c r="AH158" s="201"/>
      <c r="AI158" s="201"/>
      <c r="AJ158" s="381"/>
    </row>
    <row r="159" spans="2:36">
      <c r="B159" s="228" t="str">
        <f>'Idaho Data'!B72</f>
        <v>Coeur d' Alene</v>
      </c>
      <c r="C159" s="405">
        <f>'Idaho Data'!ST72</f>
        <v>9849</v>
      </c>
      <c r="D159" s="242">
        <f>'Idaho Data'!SE72</f>
        <v>759417.3177987613</v>
      </c>
      <c r="E159" s="243">
        <f>'Idaho Data'!SV72</f>
        <v>0.41819390371284776</v>
      </c>
      <c r="G159" s="794" t="str">
        <f>'Idaho Data'!UE72</f>
        <v/>
      </c>
      <c r="H159" s="801">
        <f>'Idaho Data'!VO72</f>
        <v>8070564</v>
      </c>
      <c r="I159" s="800">
        <f>'Idaho Data'!VP72</f>
        <v>50542332</v>
      </c>
      <c r="J159" s="800"/>
      <c r="K159" s="800">
        <f>'Idaho Data'!VQ72</f>
        <v>23051937</v>
      </c>
      <c r="L159" s="229">
        <f t="shared" si="27"/>
        <v>81664833</v>
      </c>
      <c r="M159" s="805">
        <f>'Idaho Data'!VR72</f>
        <v>8070564</v>
      </c>
      <c r="N159" s="805">
        <f>'Idaho Data'!VS72</f>
        <v>56572425</v>
      </c>
      <c r="O159" s="805">
        <f>'Idaho Data'!VT72 +'Idaho Data'!VU72</f>
        <v>23051937</v>
      </c>
      <c r="P159" s="805">
        <f>'Idaho Data'!VU72</f>
        <v>0</v>
      </c>
      <c r="Q159" s="805">
        <f t="shared" si="33"/>
        <v>87694926</v>
      </c>
      <c r="R159" s="898">
        <f>'Idaho Data'!VS72-'Idaho Data'!VP72</f>
        <v>6030093</v>
      </c>
      <c r="S159" s="230">
        <f t="shared" si="34"/>
        <v>819.42978982637828</v>
      </c>
      <c r="U159" s="230">
        <f t="shared" si="35"/>
        <v>5131.7222053000305</v>
      </c>
      <c r="V159" s="230">
        <f t="shared" si="36"/>
        <v>2340.5357904355774</v>
      </c>
      <c r="W159" s="230">
        <f t="shared" si="37"/>
        <v>8291.6877855619859</v>
      </c>
      <c r="X159" s="807">
        <f t="shared" si="38"/>
        <v>819.42978982637828</v>
      </c>
      <c r="Y159" s="807">
        <f t="shared" si="39"/>
        <v>5743.9765458422171</v>
      </c>
      <c r="Z159" s="807">
        <f t="shared" si="40"/>
        <v>2340.5357904355774</v>
      </c>
      <c r="AA159" s="807">
        <f t="shared" si="31"/>
        <v>0</v>
      </c>
      <c r="AB159" s="807">
        <f t="shared" si="32"/>
        <v>8903.9421261041734</v>
      </c>
      <c r="AC159" s="231">
        <f>'Idaho Data'!WA72</f>
        <v>612.25434054218704</v>
      </c>
      <c r="AD159" s="823">
        <f>'Idaho Data'!WB72</f>
        <v>0.11930777155276492</v>
      </c>
      <c r="AE159" s="382"/>
      <c r="AF159" s="201" t="s">
        <v>1483</v>
      </c>
      <c r="AG159" s="201"/>
      <c r="AH159" s="201"/>
      <c r="AI159" s="201"/>
      <c r="AJ159" s="381"/>
    </row>
    <row r="160" spans="2:36">
      <c r="B160" s="228" t="str">
        <f>'Idaho Data'!B73</f>
        <v>Lakeland</v>
      </c>
      <c r="C160" s="405">
        <f>'Idaho Data'!ST73</f>
        <v>3921</v>
      </c>
      <c r="D160" s="242">
        <f>'Idaho Data'!SE73</f>
        <v>576720.6526396327</v>
      </c>
      <c r="E160" s="243">
        <f>'Idaho Data'!SV73</f>
        <v>0.44638583054092867</v>
      </c>
      <c r="G160" s="794" t="str">
        <f>'Idaho Data'!UE73</f>
        <v/>
      </c>
      <c r="H160" s="801">
        <f>'Idaho Data'!VO73</f>
        <v>2850193</v>
      </c>
      <c r="I160" s="800">
        <f>'Idaho Data'!VP73</f>
        <v>21368497</v>
      </c>
      <c r="J160" s="800"/>
      <c r="K160" s="800">
        <f>'Idaho Data'!VQ73</f>
        <v>8376665</v>
      </c>
      <c r="L160" s="229">
        <f t="shared" si="27"/>
        <v>32595355</v>
      </c>
      <c r="M160" s="805">
        <f>'Idaho Data'!VR73</f>
        <v>2850193</v>
      </c>
      <c r="N160" s="805">
        <f>'Idaho Data'!VS73</f>
        <v>22374774</v>
      </c>
      <c r="O160" s="805">
        <f>'Idaho Data'!VT73 +'Idaho Data'!VU73</f>
        <v>8376665</v>
      </c>
      <c r="P160" s="805">
        <f>'Idaho Data'!VU73</f>
        <v>0</v>
      </c>
      <c r="Q160" s="805">
        <f t="shared" si="33"/>
        <v>33601632</v>
      </c>
      <c r="R160" s="898">
        <f>'Idaho Data'!VS73-'Idaho Data'!VP73</f>
        <v>1006277</v>
      </c>
      <c r="S160" s="230">
        <f t="shared" si="34"/>
        <v>726.90461616934454</v>
      </c>
      <c r="U160" s="230">
        <f t="shared" si="35"/>
        <v>5449.7569497577151</v>
      </c>
      <c r="V160" s="230">
        <f t="shared" si="36"/>
        <v>2136.3593471053305</v>
      </c>
      <c r="W160" s="230">
        <f t="shared" si="37"/>
        <v>8313.0209130323892</v>
      </c>
      <c r="X160" s="807">
        <f t="shared" si="38"/>
        <v>726.90461616934454</v>
      </c>
      <c r="Y160" s="807">
        <f t="shared" si="39"/>
        <v>5706.3947972456008</v>
      </c>
      <c r="Z160" s="807">
        <f t="shared" si="40"/>
        <v>2136.3593471053305</v>
      </c>
      <c r="AA160" s="807">
        <f t="shared" si="31"/>
        <v>0</v>
      </c>
      <c r="AB160" s="807">
        <f t="shared" si="32"/>
        <v>8569.6587605202749</v>
      </c>
      <c r="AC160" s="231">
        <f>'Idaho Data'!WA73</f>
        <v>256.63784748788572</v>
      </c>
      <c r="AD160" s="823">
        <f>'Idaho Data'!WB73</f>
        <v>4.7091613415768084E-2</v>
      </c>
      <c r="AE160" s="382"/>
      <c r="AF160" s="201" t="s">
        <v>1485</v>
      </c>
      <c r="AG160" s="201"/>
      <c r="AH160" s="201"/>
      <c r="AI160" s="201"/>
      <c r="AJ160" s="381"/>
    </row>
    <row r="161" spans="2:36">
      <c r="B161" s="228" t="str">
        <f>'Idaho Data'!B74</f>
        <v>Post Falls</v>
      </c>
      <c r="C161" s="405">
        <f>'Idaho Data'!ST74</f>
        <v>5262</v>
      </c>
      <c r="D161" s="242">
        <f>'Idaho Data'!SE74</f>
        <v>454962.16229570506</v>
      </c>
      <c r="E161" s="243">
        <f>'Idaho Data'!SV74</f>
        <v>0.47652366046768552</v>
      </c>
      <c r="G161" s="794" t="str">
        <f>'Idaho Data'!UE74</f>
        <v/>
      </c>
      <c r="H161" s="801">
        <f>'Idaho Data'!VO74</f>
        <v>4125991</v>
      </c>
      <c r="I161" s="800">
        <f>'Idaho Data'!VP74</f>
        <v>28539794</v>
      </c>
      <c r="J161" s="800"/>
      <c r="K161" s="800">
        <f>'Idaho Data'!VQ74</f>
        <v>8365012</v>
      </c>
      <c r="L161" s="229">
        <f t="shared" si="27"/>
        <v>41030797</v>
      </c>
      <c r="M161" s="805">
        <f>'Idaho Data'!VR74</f>
        <v>4125991</v>
      </c>
      <c r="N161" s="805">
        <f>'Idaho Data'!VS74</f>
        <v>30174723</v>
      </c>
      <c r="O161" s="805">
        <f>'Idaho Data'!VT74 +'Idaho Data'!VU74</f>
        <v>8365012</v>
      </c>
      <c r="P161" s="805">
        <f>'Idaho Data'!VU74</f>
        <v>0</v>
      </c>
      <c r="Q161" s="805">
        <f t="shared" ref="Q161:Q192" si="41">SUM(M161:O161)</f>
        <v>42665726</v>
      </c>
      <c r="R161" s="898">
        <f>'Idaho Data'!VS74-'Idaho Data'!VP74</f>
        <v>1634929</v>
      </c>
      <c r="S161" s="230">
        <f t="shared" ref="S161:S192" si="42">H161/$C161</f>
        <v>784.11079437476246</v>
      </c>
      <c r="U161" s="230">
        <f t="shared" ref="U161:U192" si="43">I161/$C161</f>
        <v>5423.7540858988978</v>
      </c>
      <c r="V161" s="230">
        <f t="shared" ref="V161:V192" si="44">K161/$C161</f>
        <v>1589.7020144431774</v>
      </c>
      <c r="W161" s="230">
        <f t="shared" ref="W161:W192" si="45">SUM(S161:V161)</f>
        <v>7797.5668947168379</v>
      </c>
      <c r="X161" s="807">
        <f t="shared" ref="X161:X192" si="46">M161/$C161</f>
        <v>784.11079437476246</v>
      </c>
      <c r="Y161" s="807">
        <f t="shared" ref="Y161:Y192" si="47">N161/$C161</f>
        <v>5734.4589509692132</v>
      </c>
      <c r="Z161" s="807">
        <f t="shared" ref="Z161:Z192" si="48">O161/$C161</f>
        <v>1589.7020144431774</v>
      </c>
      <c r="AA161" s="807">
        <f t="shared" si="31"/>
        <v>0</v>
      </c>
      <c r="AB161" s="807">
        <f t="shared" si="32"/>
        <v>8108.2717597871524</v>
      </c>
      <c r="AC161" s="231">
        <f>'Idaho Data'!WA74</f>
        <v>310.70486507031546</v>
      </c>
      <c r="AD161" s="823">
        <f>'Idaho Data'!WB74</f>
        <v>5.7285942568471235E-2</v>
      </c>
      <c r="AE161" s="382"/>
      <c r="AF161" s="201" t="s">
        <v>162</v>
      </c>
      <c r="AG161" s="201"/>
      <c r="AH161" s="201"/>
      <c r="AI161" s="201"/>
      <c r="AJ161" s="381"/>
    </row>
    <row r="162" spans="2:36">
      <c r="B162" s="228" t="str">
        <f>'Idaho Data'!B75</f>
        <v>Kootenai Joint</v>
      </c>
      <c r="C162" s="405">
        <f>'Idaho Data'!ST75</f>
        <v>143</v>
      </c>
      <c r="D162" s="242">
        <f>'Idaho Data'!SE75</f>
        <v>3748133.7062937063</v>
      </c>
      <c r="E162" s="243">
        <f>'Idaho Data'!SV75</f>
        <v>0.5</v>
      </c>
      <c r="G162" s="794" t="str">
        <f>'Idaho Data'!UE75</f>
        <v>yes</v>
      </c>
      <c r="H162" s="801">
        <f>'Idaho Data'!VO75</f>
        <v>301697</v>
      </c>
      <c r="I162" s="800">
        <f>'Idaho Data'!VP75</f>
        <v>1506258</v>
      </c>
      <c r="J162" s="800"/>
      <c r="K162" s="800">
        <f>'Idaho Data'!VQ75</f>
        <v>1310124</v>
      </c>
      <c r="L162" s="229">
        <f t="shared" ref="L162:L225" si="49">SUM(H162:K162)</f>
        <v>3118079</v>
      </c>
      <c r="M162" s="805">
        <f>'Idaho Data'!VR75</f>
        <v>301697</v>
      </c>
      <c r="N162" s="805">
        <f>'Idaho Data'!VS75</f>
        <v>815085</v>
      </c>
      <c r="O162" s="805">
        <f>'Idaho Data'!VT75 +'Idaho Data'!VU75</f>
        <v>1310124</v>
      </c>
      <c r="P162" s="805">
        <f>'Idaho Data'!VU75</f>
        <v>0</v>
      </c>
      <c r="Q162" s="805">
        <f t="shared" si="41"/>
        <v>2426906</v>
      </c>
      <c r="R162" s="898">
        <f>'Idaho Data'!VS75-'Idaho Data'!VP75</f>
        <v>-691173</v>
      </c>
      <c r="S162" s="230">
        <f t="shared" si="42"/>
        <v>2109.7692307692309</v>
      </c>
      <c r="U162" s="230">
        <f t="shared" si="43"/>
        <v>10533.272727272728</v>
      </c>
      <c r="V162" s="230">
        <f t="shared" si="44"/>
        <v>9161.7062937062929</v>
      </c>
      <c r="W162" s="230">
        <f t="shared" si="45"/>
        <v>21804.748251748249</v>
      </c>
      <c r="X162" s="807">
        <f t="shared" si="46"/>
        <v>2109.7692307692309</v>
      </c>
      <c r="Y162" s="807">
        <f t="shared" si="47"/>
        <v>5699.8951048951049</v>
      </c>
      <c r="Z162" s="807">
        <f t="shared" si="48"/>
        <v>9161.7062937062929</v>
      </c>
      <c r="AA162" s="807">
        <f t="shared" ref="AA162:AA225" si="50">P162/$C162</f>
        <v>0</v>
      </c>
      <c r="AB162" s="807">
        <f t="shared" ref="AB162:AB225" si="51">SUM(X162:Z162)</f>
        <v>16971.370629370627</v>
      </c>
      <c r="AC162" s="231">
        <f>'Idaho Data'!WA75</f>
        <v>-4833.3776223776222</v>
      </c>
      <c r="AD162" s="823">
        <f>'Idaho Data'!WB75</f>
        <v>-0.45886760435463247</v>
      </c>
      <c r="AE162" s="382"/>
      <c r="AF162" s="201" t="s">
        <v>165</v>
      </c>
      <c r="AG162" s="201"/>
      <c r="AH162" s="201"/>
      <c r="AI162" s="201"/>
      <c r="AJ162" s="381"/>
    </row>
    <row r="163" spans="2:36">
      <c r="B163" s="228" t="str">
        <f>'Idaho Data'!B76</f>
        <v>Moscow</v>
      </c>
      <c r="C163" s="405">
        <f>'Idaho Data'!ST76</f>
        <v>2262</v>
      </c>
      <c r="D163" s="242">
        <f>'Idaho Data'!SE76</f>
        <v>599525.71485411143</v>
      </c>
      <c r="E163" s="243">
        <f>'Idaho Data'!SV76</f>
        <v>0.3125</v>
      </c>
      <c r="G163" s="794" t="str">
        <f>'Idaho Data'!UE76</f>
        <v/>
      </c>
      <c r="H163" s="801">
        <f>'Idaho Data'!VO76</f>
        <v>2094078</v>
      </c>
      <c r="I163" s="800">
        <f>'Idaho Data'!VP76</f>
        <v>12327482</v>
      </c>
      <c r="J163" s="800"/>
      <c r="K163" s="800">
        <f>'Idaho Data'!VQ76</f>
        <v>11862839</v>
      </c>
      <c r="L163" s="229">
        <f t="shared" si="49"/>
        <v>26284399</v>
      </c>
      <c r="M163" s="805">
        <f>'Idaho Data'!VR76</f>
        <v>2094078</v>
      </c>
      <c r="N163" s="805">
        <f>'Idaho Data'!VS76</f>
        <v>12986100</v>
      </c>
      <c r="O163" s="805">
        <f>'Idaho Data'!VT76 +'Idaho Data'!VU76</f>
        <v>11862839</v>
      </c>
      <c r="P163" s="805">
        <f>'Idaho Data'!VU76</f>
        <v>0</v>
      </c>
      <c r="Q163" s="805">
        <f t="shared" si="41"/>
        <v>26943017</v>
      </c>
      <c r="R163" s="898">
        <f>'Idaho Data'!VS76-'Idaho Data'!VP76</f>
        <v>658618</v>
      </c>
      <c r="S163" s="230">
        <f t="shared" si="42"/>
        <v>925.76392572944292</v>
      </c>
      <c r="U163" s="230">
        <f t="shared" si="43"/>
        <v>5449.8152077807254</v>
      </c>
      <c r="V163" s="230">
        <f t="shared" si="44"/>
        <v>5244.4027409372238</v>
      </c>
      <c r="W163" s="230">
        <f t="shared" si="45"/>
        <v>11619.981874447392</v>
      </c>
      <c r="X163" s="807">
        <f t="shared" si="46"/>
        <v>925.76392572944292</v>
      </c>
      <c r="Y163" s="807">
        <f t="shared" si="47"/>
        <v>5740.9814323607425</v>
      </c>
      <c r="Z163" s="807">
        <f t="shared" si="48"/>
        <v>5244.4027409372238</v>
      </c>
      <c r="AA163" s="807">
        <f t="shared" si="50"/>
        <v>0</v>
      </c>
      <c r="AB163" s="807">
        <f t="shared" si="51"/>
        <v>11911.14809902741</v>
      </c>
      <c r="AC163" s="231">
        <f>'Idaho Data'!WA76</f>
        <v>291.16622458001768</v>
      </c>
      <c r="AD163" s="823">
        <f>'Idaho Data'!WB76</f>
        <v>5.3426806869399608E-2</v>
      </c>
      <c r="AE163" s="382"/>
      <c r="AF163" s="201" t="s">
        <v>181</v>
      </c>
      <c r="AG163" s="201"/>
      <c r="AH163" s="201"/>
      <c r="AI163" s="201"/>
      <c r="AJ163" s="381"/>
    </row>
    <row r="164" spans="2:36">
      <c r="B164" s="228" t="str">
        <f>'Idaho Data'!B77</f>
        <v>Genesee Joint</v>
      </c>
      <c r="C164" s="405">
        <f>'Idaho Data'!ST77</f>
        <v>292</v>
      </c>
      <c r="D164" s="242">
        <f>'Idaho Data'!SE77</f>
        <v>570504.29452054796</v>
      </c>
      <c r="E164" s="243">
        <f>'Idaho Data'!SV77</f>
        <v>0.21069182389937108</v>
      </c>
      <c r="G164" s="794" t="str">
        <f>'Idaho Data'!UE77</f>
        <v>yes</v>
      </c>
      <c r="H164" s="801">
        <f>'Idaho Data'!VO77</f>
        <v>161111</v>
      </c>
      <c r="I164" s="800">
        <f>'Idaho Data'!VP77</f>
        <v>2318452</v>
      </c>
      <c r="J164" s="800"/>
      <c r="K164" s="800">
        <f>'Idaho Data'!VQ77</f>
        <v>1409934</v>
      </c>
      <c r="L164" s="229">
        <f t="shared" si="49"/>
        <v>3889497</v>
      </c>
      <c r="M164" s="805">
        <f>'Idaho Data'!VR77</f>
        <v>161111</v>
      </c>
      <c r="N164" s="805">
        <f>'Idaho Data'!VS77</f>
        <v>1685430</v>
      </c>
      <c r="O164" s="805">
        <f>'Idaho Data'!VT77 +'Idaho Data'!VU77</f>
        <v>1409934</v>
      </c>
      <c r="P164" s="805">
        <f>'Idaho Data'!VU77</f>
        <v>0</v>
      </c>
      <c r="Q164" s="805">
        <f t="shared" si="41"/>
        <v>3256475</v>
      </c>
      <c r="R164" s="898">
        <f>'Idaho Data'!VS77-'Idaho Data'!VP77</f>
        <v>-633022</v>
      </c>
      <c r="S164" s="230">
        <f t="shared" si="42"/>
        <v>551.75</v>
      </c>
      <c r="U164" s="230">
        <f t="shared" si="43"/>
        <v>7939.9041095890407</v>
      </c>
      <c r="V164" s="230">
        <f t="shared" si="44"/>
        <v>4828.5410958904113</v>
      </c>
      <c r="W164" s="230">
        <f t="shared" si="45"/>
        <v>13320.195205479453</v>
      </c>
      <c r="X164" s="807">
        <f t="shared" si="46"/>
        <v>551.75</v>
      </c>
      <c r="Y164" s="807">
        <f t="shared" si="47"/>
        <v>5772.0205479452052</v>
      </c>
      <c r="Z164" s="807">
        <f t="shared" si="48"/>
        <v>4828.5410958904113</v>
      </c>
      <c r="AA164" s="807">
        <f t="shared" si="50"/>
        <v>0</v>
      </c>
      <c r="AB164" s="807">
        <f t="shared" si="51"/>
        <v>11152.311643835616</v>
      </c>
      <c r="AC164" s="231">
        <f>'Idaho Data'!WA77</f>
        <v>-2167.8835616438355</v>
      </c>
      <c r="AD164" s="823">
        <f>'Idaho Data'!WB77</f>
        <v>-0.2730364915900782</v>
      </c>
      <c r="AE164" s="382"/>
      <c r="AF164" s="201" t="s">
        <v>204</v>
      </c>
      <c r="AG164" s="201"/>
      <c r="AH164" s="201"/>
      <c r="AI164" s="201"/>
      <c r="AJ164" s="381"/>
    </row>
    <row r="165" spans="2:36">
      <c r="B165" s="228" t="str">
        <f>'Idaho Data'!B78</f>
        <v>Kendrick Joint</v>
      </c>
      <c r="C165" s="405">
        <f>'Idaho Data'!ST78</f>
        <v>228</v>
      </c>
      <c r="D165" s="242">
        <f>'Idaho Data'!SE78</f>
        <v>549191.40350877191</v>
      </c>
      <c r="E165" s="243">
        <f>'Idaho Data'!SV78</f>
        <v>0.42016806722689076</v>
      </c>
      <c r="G165" s="794" t="str">
        <f>'Idaho Data'!UE78</f>
        <v>yes</v>
      </c>
      <c r="H165" s="801">
        <f>'Idaho Data'!VO78</f>
        <v>332346</v>
      </c>
      <c r="I165" s="800">
        <f>'Idaho Data'!VP78</f>
        <v>1972106</v>
      </c>
      <c r="J165" s="800"/>
      <c r="K165" s="800">
        <f>'Idaho Data'!VQ78</f>
        <v>1134083</v>
      </c>
      <c r="L165" s="229">
        <f t="shared" si="49"/>
        <v>3438535</v>
      </c>
      <c r="M165" s="805">
        <f>'Idaho Data'!VR78</f>
        <v>332346</v>
      </c>
      <c r="N165" s="805">
        <f>'Idaho Data'!VS78</f>
        <v>1329003</v>
      </c>
      <c r="O165" s="805">
        <f>'Idaho Data'!VT78 +'Idaho Data'!VU78</f>
        <v>1134083</v>
      </c>
      <c r="P165" s="805">
        <f>'Idaho Data'!VU78</f>
        <v>0</v>
      </c>
      <c r="Q165" s="805">
        <f t="shared" si="41"/>
        <v>2795432</v>
      </c>
      <c r="R165" s="898">
        <f>'Idaho Data'!VS78-'Idaho Data'!VP78</f>
        <v>-643103</v>
      </c>
      <c r="S165" s="230">
        <f t="shared" si="42"/>
        <v>1457.6578947368421</v>
      </c>
      <c r="U165" s="230">
        <f t="shared" si="43"/>
        <v>8649.5877192982462</v>
      </c>
      <c r="V165" s="230">
        <f t="shared" si="44"/>
        <v>4974.0482456140353</v>
      </c>
      <c r="W165" s="230">
        <f t="shared" si="45"/>
        <v>15081.293859649122</v>
      </c>
      <c r="X165" s="807">
        <f t="shared" si="46"/>
        <v>1457.6578947368421</v>
      </c>
      <c r="Y165" s="807">
        <f t="shared" si="47"/>
        <v>5828.9605263157891</v>
      </c>
      <c r="Z165" s="807">
        <f t="shared" si="48"/>
        <v>4974.0482456140353</v>
      </c>
      <c r="AA165" s="807">
        <f t="shared" si="50"/>
        <v>0</v>
      </c>
      <c r="AB165" s="807">
        <f t="shared" si="51"/>
        <v>12260.666666666668</v>
      </c>
      <c r="AC165" s="231">
        <f>'Idaho Data'!WA78</f>
        <v>-2820.6271929824561</v>
      </c>
      <c r="AD165" s="823">
        <f>'Idaho Data'!WB78</f>
        <v>-0.32609961127850123</v>
      </c>
      <c r="AE165" s="382"/>
      <c r="AF165" s="201" t="s">
        <v>174</v>
      </c>
      <c r="AG165" s="201"/>
      <c r="AH165" s="201"/>
      <c r="AI165" s="201"/>
      <c r="AJ165" s="381"/>
    </row>
    <row r="166" spans="2:36">
      <c r="B166" s="228" t="str">
        <f>'Idaho Data'!B79</f>
        <v>Potlatch</v>
      </c>
      <c r="C166" s="405">
        <f>'Idaho Data'!ST79</f>
        <v>416</v>
      </c>
      <c r="D166" s="242">
        <f>'Idaho Data'!SE79</f>
        <v>555171.33894230775</v>
      </c>
      <c r="E166" s="243">
        <f>'Idaho Data'!SV79</f>
        <v>0.43973214285714285</v>
      </c>
      <c r="G166" s="794" t="str">
        <f>'Idaho Data'!UE79</f>
        <v/>
      </c>
      <c r="H166" s="801">
        <f>'Idaho Data'!VO79</f>
        <v>365318</v>
      </c>
      <c r="I166" s="800">
        <f>'Idaho Data'!VP79</f>
        <v>3070623</v>
      </c>
      <c r="J166" s="800"/>
      <c r="K166" s="800">
        <f>'Idaho Data'!VQ79</f>
        <v>1487021</v>
      </c>
      <c r="L166" s="229">
        <f t="shared" si="49"/>
        <v>4922962</v>
      </c>
      <c r="M166" s="805">
        <f>'Idaho Data'!VR79</f>
        <v>365318</v>
      </c>
      <c r="N166" s="805">
        <f>'Idaho Data'!VS79</f>
        <v>2409336</v>
      </c>
      <c r="O166" s="805">
        <f>'Idaho Data'!VT79 +'Idaho Data'!VU79</f>
        <v>1487021</v>
      </c>
      <c r="P166" s="805">
        <f>'Idaho Data'!VU79</f>
        <v>0</v>
      </c>
      <c r="Q166" s="805">
        <f t="shared" si="41"/>
        <v>4261675</v>
      </c>
      <c r="R166" s="898">
        <f>'Idaho Data'!VS79-'Idaho Data'!VP79</f>
        <v>-661287</v>
      </c>
      <c r="S166" s="230">
        <f t="shared" si="42"/>
        <v>878.16826923076928</v>
      </c>
      <c r="U166" s="230">
        <f t="shared" si="43"/>
        <v>7381.3052884615381</v>
      </c>
      <c r="V166" s="230">
        <f t="shared" si="44"/>
        <v>3574.5697115384614</v>
      </c>
      <c r="W166" s="230">
        <f t="shared" si="45"/>
        <v>11834.043269230768</v>
      </c>
      <c r="X166" s="807">
        <f t="shared" si="46"/>
        <v>878.16826923076928</v>
      </c>
      <c r="Y166" s="807">
        <f t="shared" si="47"/>
        <v>5791.6730769230771</v>
      </c>
      <c r="Z166" s="807">
        <f t="shared" si="48"/>
        <v>3574.5697115384614</v>
      </c>
      <c r="AA166" s="807">
        <f t="shared" si="50"/>
        <v>0</v>
      </c>
      <c r="AB166" s="807">
        <f t="shared" si="51"/>
        <v>10244.411057692309</v>
      </c>
      <c r="AC166" s="231">
        <f>'Idaho Data'!WA79</f>
        <v>-1589.6322115384614</v>
      </c>
      <c r="AD166" s="823">
        <f>'Idaho Data'!WB79</f>
        <v>-0.21535922840413818</v>
      </c>
      <c r="AE166" s="382"/>
      <c r="AF166" s="201" t="s">
        <v>212</v>
      </c>
      <c r="AG166" s="201"/>
      <c r="AH166" s="201"/>
      <c r="AI166" s="201"/>
      <c r="AJ166" s="381"/>
    </row>
    <row r="167" spans="2:36">
      <c r="B167" s="228" t="str">
        <f>'Idaho Data'!B80</f>
        <v>Troy</v>
      </c>
      <c r="C167" s="405">
        <f>'Idaho Data'!ST80</f>
        <v>240</v>
      </c>
      <c r="D167" s="242">
        <f>'Idaho Data'!SE80</f>
        <v>559516.90416666667</v>
      </c>
      <c r="E167" s="243">
        <f>'Idaho Data'!SV80</f>
        <v>0.35546875</v>
      </c>
      <c r="G167" s="794" t="str">
        <f>'Idaho Data'!UE80</f>
        <v>yes</v>
      </c>
      <c r="H167" s="801">
        <f>'Idaho Data'!VO80</f>
        <v>145777</v>
      </c>
      <c r="I167" s="800">
        <f>'Idaho Data'!VP80</f>
        <v>2078954</v>
      </c>
      <c r="J167" s="800"/>
      <c r="K167" s="800">
        <f>'Idaho Data'!VQ80</f>
        <v>1360777</v>
      </c>
      <c r="L167" s="229">
        <f t="shared" si="49"/>
        <v>3585508</v>
      </c>
      <c r="M167" s="805">
        <f>'Idaho Data'!VR80</f>
        <v>145777</v>
      </c>
      <c r="N167" s="805">
        <f>'Idaho Data'!VS80</f>
        <v>1373211</v>
      </c>
      <c r="O167" s="805">
        <f>'Idaho Data'!VT80 +'Idaho Data'!VU80</f>
        <v>1360777</v>
      </c>
      <c r="P167" s="805">
        <f>'Idaho Data'!VU80</f>
        <v>0</v>
      </c>
      <c r="Q167" s="805">
        <f t="shared" si="41"/>
        <v>2879765</v>
      </c>
      <c r="R167" s="898">
        <f>'Idaho Data'!VS80-'Idaho Data'!VP80</f>
        <v>-705743</v>
      </c>
      <c r="S167" s="230">
        <f t="shared" si="42"/>
        <v>607.4041666666667</v>
      </c>
      <c r="U167" s="230">
        <f t="shared" si="43"/>
        <v>8662.3083333333325</v>
      </c>
      <c r="V167" s="230">
        <f t="shared" si="44"/>
        <v>5669.9041666666662</v>
      </c>
      <c r="W167" s="230">
        <f t="shared" si="45"/>
        <v>14939.616666666665</v>
      </c>
      <c r="X167" s="807">
        <f t="shared" si="46"/>
        <v>607.4041666666667</v>
      </c>
      <c r="Y167" s="807">
        <f t="shared" si="47"/>
        <v>5721.7124999999996</v>
      </c>
      <c r="Z167" s="807">
        <f t="shared" si="48"/>
        <v>5669.9041666666662</v>
      </c>
      <c r="AA167" s="807">
        <f t="shared" si="50"/>
        <v>0</v>
      </c>
      <c r="AB167" s="807">
        <f t="shared" si="51"/>
        <v>11999.020833333332</v>
      </c>
      <c r="AC167" s="231">
        <f>'Idaho Data'!WA80</f>
        <v>-2940.5958333333333</v>
      </c>
      <c r="AD167" s="823">
        <f>'Idaho Data'!WB80</f>
        <v>-0.33947023358862199</v>
      </c>
      <c r="AE167" s="382"/>
      <c r="AF167" s="201" t="s">
        <v>239</v>
      </c>
      <c r="AG167" s="201"/>
      <c r="AH167" s="201"/>
      <c r="AI167" s="201"/>
      <c r="AJ167" s="381"/>
    </row>
    <row r="168" spans="2:36">
      <c r="B168" s="228" t="str">
        <f>'Idaho Data'!B81</f>
        <v>Whitepine Joint</v>
      </c>
      <c r="C168" s="405">
        <f>'Idaho Data'!ST81</f>
        <v>211</v>
      </c>
      <c r="D168" s="242">
        <f>'Idaho Data'!SE81</f>
        <v>818991.69668246445</v>
      </c>
      <c r="E168" s="243">
        <f>'Idaho Data'!SV81</f>
        <v>0.44019138755980863</v>
      </c>
      <c r="G168" s="794" t="str">
        <f>'Idaho Data'!UE81</f>
        <v>yes</v>
      </c>
      <c r="H168" s="801">
        <f>'Idaho Data'!VO81</f>
        <v>211814</v>
      </c>
      <c r="I168" s="800">
        <f>'Idaho Data'!VP81</f>
        <v>1961634</v>
      </c>
      <c r="J168" s="800"/>
      <c r="K168" s="800">
        <f>'Idaho Data'!VQ81</f>
        <v>1148848</v>
      </c>
      <c r="L168" s="229">
        <f t="shared" si="49"/>
        <v>3322296</v>
      </c>
      <c r="M168" s="805">
        <f>'Idaho Data'!VR81</f>
        <v>211814</v>
      </c>
      <c r="N168" s="805">
        <f>'Idaho Data'!VS81</f>
        <v>1204668</v>
      </c>
      <c r="O168" s="805">
        <f>'Idaho Data'!VT81 +'Idaho Data'!VU81</f>
        <v>1148848</v>
      </c>
      <c r="P168" s="805">
        <f>'Idaho Data'!VU81</f>
        <v>0</v>
      </c>
      <c r="Q168" s="805">
        <f t="shared" si="41"/>
        <v>2565330</v>
      </c>
      <c r="R168" s="898">
        <f>'Idaho Data'!VS81-'Idaho Data'!VP81</f>
        <v>-756966</v>
      </c>
      <c r="S168" s="230">
        <f t="shared" si="42"/>
        <v>1003.8578199052133</v>
      </c>
      <c r="U168" s="230">
        <f t="shared" si="43"/>
        <v>9296.8436018957345</v>
      </c>
      <c r="V168" s="230">
        <f t="shared" si="44"/>
        <v>5444.7772511848343</v>
      </c>
      <c r="W168" s="230">
        <f t="shared" si="45"/>
        <v>15745.478672985782</v>
      </c>
      <c r="X168" s="807">
        <f t="shared" si="46"/>
        <v>1003.8578199052133</v>
      </c>
      <c r="Y168" s="807">
        <f t="shared" si="47"/>
        <v>5709.327014218009</v>
      </c>
      <c r="Z168" s="807">
        <f t="shared" si="48"/>
        <v>5444.7772511848343</v>
      </c>
      <c r="AA168" s="807">
        <f t="shared" si="50"/>
        <v>0</v>
      </c>
      <c r="AB168" s="807">
        <f t="shared" si="51"/>
        <v>12157.962085308056</v>
      </c>
      <c r="AC168" s="231">
        <f>'Idaho Data'!WA81</f>
        <v>-3587.5165876777251</v>
      </c>
      <c r="AD168" s="823">
        <f>'Idaho Data'!WB81</f>
        <v>-0.38588544040325568</v>
      </c>
      <c r="AE168" s="382"/>
      <c r="AF168" s="201" t="s">
        <v>170</v>
      </c>
      <c r="AG168" s="201"/>
      <c r="AH168" s="201"/>
      <c r="AI168" s="201"/>
      <c r="AJ168" s="381"/>
    </row>
    <row r="169" spans="2:36">
      <c r="B169" s="228" t="str">
        <f>'Idaho Data'!B82</f>
        <v>Salmon</v>
      </c>
      <c r="C169" s="405">
        <f>'Idaho Data'!ST82</f>
        <v>683</v>
      </c>
      <c r="D169" s="242">
        <f>'Idaho Data'!SE82</f>
        <v>777098.77159590041</v>
      </c>
      <c r="E169" s="243">
        <f>'Idaho Data'!SV82</f>
        <v>0.62875816993464051</v>
      </c>
      <c r="G169" s="794" t="str">
        <f>'Idaho Data'!UE82</f>
        <v/>
      </c>
      <c r="H169" s="801">
        <f>'Idaho Data'!VO82</f>
        <v>1182848</v>
      </c>
      <c r="I169" s="800">
        <f>'Idaho Data'!VP82</f>
        <v>4652455</v>
      </c>
      <c r="J169" s="800"/>
      <c r="K169" s="800">
        <f>'Idaho Data'!VQ82</f>
        <v>904599</v>
      </c>
      <c r="L169" s="229">
        <f t="shared" si="49"/>
        <v>6739902</v>
      </c>
      <c r="M169" s="805">
        <f>'Idaho Data'!VR82</f>
        <v>1182848</v>
      </c>
      <c r="N169" s="805">
        <f>'Idaho Data'!VS82</f>
        <v>3945564</v>
      </c>
      <c r="O169" s="805">
        <f>'Idaho Data'!VT82 +'Idaho Data'!VU82</f>
        <v>904599</v>
      </c>
      <c r="P169" s="805">
        <f>'Idaho Data'!VU82</f>
        <v>0</v>
      </c>
      <c r="Q169" s="805">
        <f t="shared" si="41"/>
        <v>6033011</v>
      </c>
      <c r="R169" s="898">
        <f>'Idaho Data'!VS82-'Idaho Data'!VP82</f>
        <v>-706891</v>
      </c>
      <c r="S169" s="230">
        <f t="shared" si="42"/>
        <v>1731.8418740849195</v>
      </c>
      <c r="U169" s="230">
        <f t="shared" si="43"/>
        <v>6811.7935578330889</v>
      </c>
      <c r="V169" s="230">
        <f t="shared" si="44"/>
        <v>1324.4494875549049</v>
      </c>
      <c r="W169" s="230">
        <f t="shared" si="45"/>
        <v>9868.0849194729126</v>
      </c>
      <c r="X169" s="807">
        <f t="shared" si="46"/>
        <v>1731.8418740849195</v>
      </c>
      <c r="Y169" s="807">
        <f t="shared" si="47"/>
        <v>5776.8140556368962</v>
      </c>
      <c r="Z169" s="807">
        <f t="shared" si="48"/>
        <v>1324.4494875549049</v>
      </c>
      <c r="AA169" s="807">
        <f t="shared" si="50"/>
        <v>0</v>
      </c>
      <c r="AB169" s="807">
        <f t="shared" si="51"/>
        <v>8833.1054172767199</v>
      </c>
      <c r="AC169" s="231">
        <f>'Idaho Data'!WA82</f>
        <v>-1034.9795021961932</v>
      </c>
      <c r="AD169" s="823">
        <f>'Idaho Data'!WB82</f>
        <v>-0.15193935244940573</v>
      </c>
      <c r="AE169" s="382"/>
      <c r="AF169" s="201" t="s">
        <v>102</v>
      </c>
      <c r="AG169" s="201"/>
      <c r="AH169" s="201"/>
      <c r="AI169" s="201"/>
      <c r="AJ169" s="381"/>
    </row>
    <row r="170" spans="2:36">
      <c r="B170" s="228" t="str">
        <f>'Idaho Data'!B83</f>
        <v>South Lemhi</v>
      </c>
      <c r="C170" s="405">
        <f>'Idaho Data'!ST83</f>
        <v>72</v>
      </c>
      <c r="D170" s="242">
        <f>'Idaho Data'!SE83</f>
        <v>1142739.1527777778</v>
      </c>
      <c r="E170" s="243">
        <f>'Idaho Data'!SV83</f>
        <v>0.64</v>
      </c>
      <c r="G170" s="794" t="str">
        <f>'Idaho Data'!UE83</f>
        <v>yes</v>
      </c>
      <c r="H170" s="801">
        <f>'Idaho Data'!VO83</f>
        <v>141051</v>
      </c>
      <c r="I170" s="800">
        <f>'Idaho Data'!VP83</f>
        <v>1353882</v>
      </c>
      <c r="J170" s="800"/>
      <c r="K170" s="800">
        <f>'Idaho Data'!VQ83</f>
        <v>148185</v>
      </c>
      <c r="L170" s="229">
        <f t="shared" si="49"/>
        <v>1643118</v>
      </c>
      <c r="M170" s="805">
        <f>'Idaho Data'!VR83</f>
        <v>141051</v>
      </c>
      <c r="N170" s="805">
        <f>'Idaho Data'!VS83</f>
        <v>414450</v>
      </c>
      <c r="O170" s="805">
        <f>'Idaho Data'!VT83 +'Idaho Data'!VU83</f>
        <v>148185</v>
      </c>
      <c r="P170" s="805">
        <f>'Idaho Data'!VU83</f>
        <v>0</v>
      </c>
      <c r="Q170" s="805">
        <f t="shared" si="41"/>
        <v>703686</v>
      </c>
      <c r="R170" s="898">
        <f>'Idaho Data'!VS83-'Idaho Data'!VP83</f>
        <v>-939432</v>
      </c>
      <c r="S170" s="230">
        <f t="shared" si="42"/>
        <v>1959.0416666666667</v>
      </c>
      <c r="U170" s="230">
        <f t="shared" si="43"/>
        <v>18803.916666666668</v>
      </c>
      <c r="V170" s="230">
        <f t="shared" si="44"/>
        <v>2058.125</v>
      </c>
      <c r="W170" s="230">
        <f t="shared" si="45"/>
        <v>22821.083333333336</v>
      </c>
      <c r="X170" s="807">
        <f t="shared" si="46"/>
        <v>1959.0416666666667</v>
      </c>
      <c r="Y170" s="807">
        <f t="shared" si="47"/>
        <v>5756.25</v>
      </c>
      <c r="Z170" s="807">
        <f t="shared" si="48"/>
        <v>2058.125</v>
      </c>
      <c r="AA170" s="807">
        <f t="shared" si="50"/>
        <v>0</v>
      </c>
      <c r="AB170" s="807">
        <f t="shared" si="51"/>
        <v>9773.4166666666679</v>
      </c>
      <c r="AC170" s="231">
        <f>'Idaho Data'!WA83</f>
        <v>-13047.666666666666</v>
      </c>
      <c r="AD170" s="823">
        <f>'Idaho Data'!WB83</f>
        <v>-0.69388026430663829</v>
      </c>
      <c r="AE170" s="382"/>
      <c r="AF170" s="201" t="s">
        <v>121</v>
      </c>
      <c r="AG170" s="201"/>
      <c r="AH170" s="201"/>
      <c r="AI170" s="201"/>
      <c r="AJ170" s="381"/>
    </row>
    <row r="171" spans="2:36">
      <c r="B171" s="228" t="str">
        <f>'Idaho Data'!B84</f>
        <v>Nezperce Joint</v>
      </c>
      <c r="C171" s="405">
        <f>'Idaho Data'!ST84</f>
        <v>132</v>
      </c>
      <c r="D171" s="242">
        <f>'Idaho Data'!SE84</f>
        <v>861358.31818181823</v>
      </c>
      <c r="E171" s="243">
        <f>'Idaho Data'!SV84</f>
        <v>0.47651006711409394</v>
      </c>
      <c r="G171" s="794" t="str">
        <f>'Idaho Data'!UE84</f>
        <v>yes</v>
      </c>
      <c r="H171" s="801">
        <f>'Idaho Data'!VO84</f>
        <v>192521</v>
      </c>
      <c r="I171" s="800">
        <f>'Idaho Data'!VP84</f>
        <v>1601128</v>
      </c>
      <c r="J171" s="800"/>
      <c r="K171" s="800">
        <f>'Idaho Data'!VQ84</f>
        <v>637416</v>
      </c>
      <c r="L171" s="229">
        <f t="shared" si="49"/>
        <v>2431065</v>
      </c>
      <c r="M171" s="805">
        <f>'Idaho Data'!VR84</f>
        <v>192521</v>
      </c>
      <c r="N171" s="805">
        <f>'Idaho Data'!VS84</f>
        <v>768114</v>
      </c>
      <c r="O171" s="805">
        <f>'Idaho Data'!VT84 +'Idaho Data'!VU84</f>
        <v>637416</v>
      </c>
      <c r="P171" s="805">
        <f>'Idaho Data'!VU84</f>
        <v>0</v>
      </c>
      <c r="Q171" s="805">
        <f t="shared" si="41"/>
        <v>1598051</v>
      </c>
      <c r="R171" s="898">
        <f>'Idaho Data'!VS84-'Idaho Data'!VP84</f>
        <v>-833014</v>
      </c>
      <c r="S171" s="230">
        <f t="shared" si="42"/>
        <v>1458.4924242424242</v>
      </c>
      <c r="U171" s="230">
        <f t="shared" si="43"/>
        <v>12129.757575757576</v>
      </c>
      <c r="V171" s="230">
        <f t="shared" si="44"/>
        <v>4828.909090909091</v>
      </c>
      <c r="W171" s="230">
        <f t="shared" si="45"/>
        <v>18417.159090909092</v>
      </c>
      <c r="X171" s="807">
        <f t="shared" si="46"/>
        <v>1458.4924242424242</v>
      </c>
      <c r="Y171" s="807">
        <f t="shared" si="47"/>
        <v>5819.045454545455</v>
      </c>
      <c r="Z171" s="807">
        <f t="shared" si="48"/>
        <v>4828.909090909091</v>
      </c>
      <c r="AA171" s="807">
        <f t="shared" si="50"/>
        <v>0</v>
      </c>
      <c r="AB171" s="807">
        <f t="shared" si="51"/>
        <v>12106.44696969697</v>
      </c>
      <c r="AC171" s="231">
        <f>'Idaho Data'!WA84</f>
        <v>-6310.712121212121</v>
      </c>
      <c r="AD171" s="823">
        <f>'Idaho Data'!WB84</f>
        <v>-0.52026696179193666</v>
      </c>
      <c r="AE171" s="382"/>
      <c r="AF171" s="201" t="s">
        <v>168</v>
      </c>
      <c r="AG171" s="201"/>
      <c r="AH171" s="201"/>
      <c r="AI171" s="201"/>
      <c r="AJ171" s="381"/>
    </row>
    <row r="172" spans="2:36">
      <c r="B172" s="228" t="str">
        <f>'Idaho Data'!B85</f>
        <v>Kamiah Joint</v>
      </c>
      <c r="C172" s="405">
        <f>'Idaho Data'!ST85</f>
        <v>397</v>
      </c>
      <c r="D172" s="242">
        <f>'Idaho Data'!SE85</f>
        <v>504261.69269521412</v>
      </c>
      <c r="E172" s="243">
        <f>'Idaho Data'!SV85</f>
        <v>0.93548387096774188</v>
      </c>
      <c r="G172" s="794" t="str">
        <f>'Idaho Data'!UE85</f>
        <v/>
      </c>
      <c r="H172" s="801">
        <f>'Idaho Data'!VO85</f>
        <v>1187544</v>
      </c>
      <c r="I172" s="800">
        <f>'Idaho Data'!VP85</f>
        <v>2744463</v>
      </c>
      <c r="J172" s="800"/>
      <c r="K172" s="800">
        <f>'Idaho Data'!VQ85</f>
        <v>241488</v>
      </c>
      <c r="L172" s="229">
        <f t="shared" si="49"/>
        <v>4173495</v>
      </c>
      <c r="M172" s="805">
        <f>'Idaho Data'!VR85</f>
        <v>1187544</v>
      </c>
      <c r="N172" s="805">
        <f>'Idaho Data'!VS85</f>
        <v>2282238</v>
      </c>
      <c r="O172" s="805">
        <f>'Idaho Data'!VT85 +'Idaho Data'!VU85</f>
        <v>241488</v>
      </c>
      <c r="P172" s="805">
        <f>'Idaho Data'!VU85</f>
        <v>0</v>
      </c>
      <c r="Q172" s="805">
        <f t="shared" si="41"/>
        <v>3711270</v>
      </c>
      <c r="R172" s="898">
        <f>'Idaho Data'!VS85-'Idaho Data'!VP85</f>
        <v>-462225</v>
      </c>
      <c r="S172" s="230">
        <f t="shared" si="42"/>
        <v>2991.294710327456</v>
      </c>
      <c r="U172" s="230">
        <f t="shared" si="43"/>
        <v>6913.005037783375</v>
      </c>
      <c r="V172" s="230">
        <f t="shared" si="44"/>
        <v>608.28211586901762</v>
      </c>
      <c r="W172" s="230">
        <f t="shared" si="45"/>
        <v>10512.581863979849</v>
      </c>
      <c r="X172" s="807">
        <f t="shared" si="46"/>
        <v>2991.294710327456</v>
      </c>
      <c r="Y172" s="807">
        <f t="shared" si="47"/>
        <v>5748.7103274559195</v>
      </c>
      <c r="Z172" s="807">
        <f t="shared" si="48"/>
        <v>608.28211586901762</v>
      </c>
      <c r="AA172" s="807">
        <f t="shared" si="50"/>
        <v>0</v>
      </c>
      <c r="AB172" s="807">
        <f t="shared" si="51"/>
        <v>9348.2871536523926</v>
      </c>
      <c r="AC172" s="231">
        <f>'Idaho Data'!WA85</f>
        <v>-1164.294710327456</v>
      </c>
      <c r="AD172" s="823">
        <f>'Idaho Data'!WB85</f>
        <v>-0.16842092606094525</v>
      </c>
      <c r="AE172" s="382"/>
      <c r="AF172" s="201" t="s">
        <v>191</v>
      </c>
      <c r="AG172" s="201"/>
      <c r="AH172" s="201"/>
      <c r="AI172" s="201"/>
      <c r="AJ172" s="381"/>
    </row>
    <row r="173" spans="2:36">
      <c r="B173" s="228" t="str">
        <f>'Idaho Data'!B86</f>
        <v>Highland Joint</v>
      </c>
      <c r="C173" s="405">
        <f>'Idaho Data'!ST86</f>
        <v>148</v>
      </c>
      <c r="D173" s="242">
        <f>'Idaho Data'!SE86</f>
        <v>966066.7297297297</v>
      </c>
      <c r="E173" s="243">
        <f>'Idaho Data'!SV86</f>
        <v>0.52439024390243905</v>
      </c>
      <c r="G173" s="794" t="str">
        <f>'Idaho Data'!UE86</f>
        <v>yes</v>
      </c>
      <c r="H173" s="801">
        <f>'Idaho Data'!VO86</f>
        <v>183415</v>
      </c>
      <c r="I173" s="800">
        <f>'Idaho Data'!VP86</f>
        <v>1705749</v>
      </c>
      <c r="J173" s="800"/>
      <c r="K173" s="800">
        <f>'Idaho Data'!VQ86</f>
        <v>657127</v>
      </c>
      <c r="L173" s="229">
        <f t="shared" si="49"/>
        <v>2546291</v>
      </c>
      <c r="M173" s="805">
        <f>'Idaho Data'!VR86</f>
        <v>183415</v>
      </c>
      <c r="N173" s="805">
        <f>'Idaho Data'!VS86</f>
        <v>853767</v>
      </c>
      <c r="O173" s="805">
        <f>'Idaho Data'!VT86 +'Idaho Data'!VU86</f>
        <v>657127</v>
      </c>
      <c r="P173" s="805">
        <f>'Idaho Data'!VU86</f>
        <v>0</v>
      </c>
      <c r="Q173" s="805">
        <f t="shared" si="41"/>
        <v>1694309</v>
      </c>
      <c r="R173" s="898">
        <f>'Idaho Data'!VS86-'Idaho Data'!VP86</f>
        <v>-851982</v>
      </c>
      <c r="S173" s="230">
        <f t="shared" si="42"/>
        <v>1239.2905405405406</v>
      </c>
      <c r="U173" s="230">
        <f t="shared" si="43"/>
        <v>11525.331081081082</v>
      </c>
      <c r="V173" s="230">
        <f t="shared" si="44"/>
        <v>4440.0472972972975</v>
      </c>
      <c r="W173" s="230">
        <f t="shared" si="45"/>
        <v>17204.66891891892</v>
      </c>
      <c r="X173" s="807">
        <f t="shared" si="46"/>
        <v>1239.2905405405406</v>
      </c>
      <c r="Y173" s="807">
        <f t="shared" si="47"/>
        <v>5768.6959459459458</v>
      </c>
      <c r="Z173" s="807">
        <f t="shared" si="48"/>
        <v>4440.0472972972975</v>
      </c>
      <c r="AA173" s="807">
        <f t="shared" si="50"/>
        <v>0</v>
      </c>
      <c r="AB173" s="807">
        <f t="shared" si="51"/>
        <v>11448.033783783783</v>
      </c>
      <c r="AC173" s="231">
        <f>'Idaho Data'!WA86</f>
        <v>-5756.635135135135</v>
      </c>
      <c r="AD173" s="823">
        <f>'Idaho Data'!WB86</f>
        <v>-0.49947676944263197</v>
      </c>
      <c r="AE173" s="382"/>
      <c r="AF173" s="201" t="s">
        <v>246</v>
      </c>
      <c r="AG173" s="201"/>
      <c r="AH173" s="201"/>
      <c r="AI173" s="201"/>
      <c r="AJ173" s="381"/>
    </row>
    <row r="174" spans="2:36">
      <c r="B174" s="228" t="str">
        <f>'Idaho Data'!B87</f>
        <v>Shoshone Joint</v>
      </c>
      <c r="C174" s="405">
        <f>'Idaho Data'!ST87</f>
        <v>472</v>
      </c>
      <c r="D174" s="242">
        <f>'Idaho Data'!SE87</f>
        <v>364583.89406779659</v>
      </c>
      <c r="E174" s="243">
        <f>'Idaho Data'!SV87</f>
        <v>0.6987951807228916</v>
      </c>
      <c r="G174" s="794" t="str">
        <f>'Idaho Data'!UE87</f>
        <v/>
      </c>
      <c r="H174" s="801">
        <f>'Idaho Data'!VO87</f>
        <v>681156</v>
      </c>
      <c r="I174" s="800">
        <f>'Idaho Data'!VP87</f>
        <v>3384094</v>
      </c>
      <c r="J174" s="800"/>
      <c r="K174" s="800">
        <f>'Idaho Data'!VQ87</f>
        <v>750396</v>
      </c>
      <c r="L174" s="229">
        <f t="shared" si="49"/>
        <v>4815646</v>
      </c>
      <c r="M174" s="805">
        <f>'Idaho Data'!VR87</f>
        <v>681156</v>
      </c>
      <c r="N174" s="805">
        <f>'Idaho Data'!VS87</f>
        <v>2729844</v>
      </c>
      <c r="O174" s="805">
        <f>'Idaho Data'!VT87 +'Idaho Data'!VU87</f>
        <v>750396</v>
      </c>
      <c r="P174" s="805">
        <f>'Idaho Data'!VU87</f>
        <v>0</v>
      </c>
      <c r="Q174" s="805">
        <f t="shared" si="41"/>
        <v>4161396</v>
      </c>
      <c r="R174" s="898">
        <f>'Idaho Data'!VS87-'Idaho Data'!VP87</f>
        <v>-654250</v>
      </c>
      <c r="S174" s="230">
        <f t="shared" si="42"/>
        <v>1443.1271186440679</v>
      </c>
      <c r="U174" s="230">
        <f t="shared" si="43"/>
        <v>7169.6906779661012</v>
      </c>
      <c r="V174" s="230">
        <f t="shared" si="44"/>
        <v>1589.8220338983051</v>
      </c>
      <c r="W174" s="230">
        <f t="shared" si="45"/>
        <v>10202.639830508473</v>
      </c>
      <c r="X174" s="807">
        <f t="shared" si="46"/>
        <v>1443.1271186440679</v>
      </c>
      <c r="Y174" s="807">
        <f t="shared" si="47"/>
        <v>5783.5677966101694</v>
      </c>
      <c r="Z174" s="807">
        <f t="shared" si="48"/>
        <v>1589.8220338983051</v>
      </c>
      <c r="AA174" s="807">
        <f t="shared" si="50"/>
        <v>0</v>
      </c>
      <c r="AB174" s="807">
        <f t="shared" si="51"/>
        <v>8816.516949152543</v>
      </c>
      <c r="AC174" s="231">
        <f>'Idaho Data'!WA87</f>
        <v>-1386.1228813559321</v>
      </c>
      <c r="AD174" s="823">
        <f>'Idaho Data'!WB87</f>
        <v>-0.19333091811279474</v>
      </c>
      <c r="AE174" s="382"/>
      <c r="AF174" s="201" t="s">
        <v>190</v>
      </c>
      <c r="AG174" s="201"/>
      <c r="AH174" s="201"/>
      <c r="AI174" s="201"/>
      <c r="AJ174" s="381"/>
    </row>
    <row r="175" spans="2:36">
      <c r="B175" s="228" t="str">
        <f>'Idaho Data'!B88</f>
        <v>Dietrich</v>
      </c>
      <c r="C175" s="405">
        <f>'Idaho Data'!ST88</f>
        <v>215</v>
      </c>
      <c r="D175" s="242">
        <f>'Idaho Data'!SE88</f>
        <v>211514.45581395348</v>
      </c>
      <c r="E175" s="243">
        <f>'Idaho Data'!SV88</f>
        <v>0.70940170940170943</v>
      </c>
      <c r="G175" s="794" t="str">
        <f>'Idaho Data'!UE88</f>
        <v>yes</v>
      </c>
      <c r="H175" s="801">
        <f>'Idaho Data'!VO88</f>
        <v>232336</v>
      </c>
      <c r="I175" s="800">
        <f>'Idaho Data'!VP88</f>
        <v>1917769</v>
      </c>
      <c r="J175" s="800"/>
      <c r="K175" s="800">
        <f>'Idaho Data'!VQ88</f>
        <v>313440</v>
      </c>
      <c r="L175" s="229">
        <f t="shared" si="49"/>
        <v>2463545</v>
      </c>
      <c r="M175" s="805">
        <f>'Idaho Data'!VR88</f>
        <v>232336</v>
      </c>
      <c r="N175" s="805">
        <f>'Idaho Data'!VS88</f>
        <v>1229535</v>
      </c>
      <c r="O175" s="805">
        <f>'Idaho Data'!VT88 +'Idaho Data'!VU88</f>
        <v>313440</v>
      </c>
      <c r="P175" s="805">
        <f>'Idaho Data'!VU88</f>
        <v>0</v>
      </c>
      <c r="Q175" s="805">
        <f t="shared" si="41"/>
        <v>1775311</v>
      </c>
      <c r="R175" s="898">
        <f>'Idaho Data'!VS88-'Idaho Data'!VP88</f>
        <v>-688234</v>
      </c>
      <c r="S175" s="230">
        <f t="shared" si="42"/>
        <v>1080.6325581395349</v>
      </c>
      <c r="U175" s="230">
        <f t="shared" si="43"/>
        <v>8919.8558139534889</v>
      </c>
      <c r="V175" s="230">
        <f t="shared" si="44"/>
        <v>1457.8604651162791</v>
      </c>
      <c r="W175" s="230">
        <f t="shared" si="45"/>
        <v>11458.348837209302</v>
      </c>
      <c r="X175" s="807">
        <f t="shared" si="46"/>
        <v>1080.6325581395349</v>
      </c>
      <c r="Y175" s="807">
        <f t="shared" si="47"/>
        <v>5718.7674418604647</v>
      </c>
      <c r="Z175" s="807">
        <f t="shared" si="48"/>
        <v>1457.8604651162791</v>
      </c>
      <c r="AA175" s="807">
        <f t="shared" si="50"/>
        <v>0</v>
      </c>
      <c r="AB175" s="807">
        <f t="shared" si="51"/>
        <v>8257.2604651162783</v>
      </c>
      <c r="AC175" s="231">
        <f>'Idaho Data'!WA88</f>
        <v>-3201.0883720930233</v>
      </c>
      <c r="AD175" s="823">
        <f>'Idaho Data'!WB88</f>
        <v>-0.35887221036527339</v>
      </c>
      <c r="AE175" s="382"/>
      <c r="AF175" s="201" t="s">
        <v>229</v>
      </c>
      <c r="AG175" s="201"/>
      <c r="AH175" s="201"/>
      <c r="AI175" s="201"/>
      <c r="AJ175" s="381"/>
    </row>
    <row r="176" spans="2:36">
      <c r="B176" s="228" t="str">
        <f>'Idaho Data'!B89</f>
        <v>Richfield</v>
      </c>
      <c r="C176" s="405">
        <f>'Idaho Data'!ST89</f>
        <v>193</v>
      </c>
      <c r="D176" s="242">
        <f>'Idaho Data'!SE89</f>
        <v>347524.94818652852</v>
      </c>
      <c r="E176" s="243">
        <f>'Idaho Data'!SV89</f>
        <v>0.49624060150375937</v>
      </c>
      <c r="G176" s="794" t="str">
        <f>'Idaho Data'!UE89</f>
        <v>yes</v>
      </c>
      <c r="H176" s="801">
        <f>'Idaho Data'!VO89</f>
        <v>172774</v>
      </c>
      <c r="I176" s="800">
        <f>'Idaho Data'!VP89</f>
        <v>1608791</v>
      </c>
      <c r="J176" s="800"/>
      <c r="K176" s="800">
        <f>'Idaho Data'!VQ89</f>
        <v>414196</v>
      </c>
      <c r="L176" s="229">
        <f t="shared" si="49"/>
        <v>2195761</v>
      </c>
      <c r="M176" s="805">
        <f>'Idaho Data'!VR89</f>
        <v>172774</v>
      </c>
      <c r="N176" s="805">
        <f>'Idaho Data'!VS89</f>
        <v>1105200</v>
      </c>
      <c r="O176" s="805">
        <f>'Idaho Data'!VT89 +'Idaho Data'!VU89</f>
        <v>414196</v>
      </c>
      <c r="P176" s="805">
        <f>'Idaho Data'!VU89</f>
        <v>0</v>
      </c>
      <c r="Q176" s="805">
        <f t="shared" si="41"/>
        <v>1692170</v>
      </c>
      <c r="R176" s="898">
        <f>'Idaho Data'!VS89-'Idaho Data'!VP89</f>
        <v>-503591</v>
      </c>
      <c r="S176" s="230">
        <f t="shared" si="42"/>
        <v>895.20207253886008</v>
      </c>
      <c r="U176" s="230">
        <f t="shared" si="43"/>
        <v>8335.7046632124348</v>
      </c>
      <c r="V176" s="230">
        <f t="shared" si="44"/>
        <v>2146.0932642487046</v>
      </c>
      <c r="W176" s="230">
        <f t="shared" si="45"/>
        <v>11376.999999999998</v>
      </c>
      <c r="X176" s="807">
        <f t="shared" si="46"/>
        <v>895.20207253886008</v>
      </c>
      <c r="Y176" s="807">
        <f t="shared" si="47"/>
        <v>5726.4248704663214</v>
      </c>
      <c r="Z176" s="807">
        <f t="shared" si="48"/>
        <v>2146.0932642487046</v>
      </c>
      <c r="AA176" s="807">
        <f t="shared" si="50"/>
        <v>0</v>
      </c>
      <c r="AB176" s="807">
        <f t="shared" si="51"/>
        <v>8767.7202072538857</v>
      </c>
      <c r="AC176" s="231">
        <f>'Idaho Data'!WA89</f>
        <v>-2609.2797927461138</v>
      </c>
      <c r="AD176" s="823">
        <f>'Idaho Data'!WB89</f>
        <v>-0.31302450100727813</v>
      </c>
      <c r="AE176" s="382"/>
      <c r="AF176" s="201" t="s">
        <v>145</v>
      </c>
      <c r="AG176" s="201"/>
      <c r="AH176" s="201"/>
      <c r="AI176" s="201"/>
      <c r="AJ176" s="381"/>
    </row>
    <row r="177" spans="2:36">
      <c r="B177" s="228" t="str">
        <f>'Idaho Data'!B90</f>
        <v>Madison</v>
      </c>
      <c r="C177" s="405">
        <f>'Idaho Data'!ST90</f>
        <v>4831</v>
      </c>
      <c r="D177" s="242">
        <f>'Idaho Data'!SE90</f>
        <v>281010.55599254812</v>
      </c>
      <c r="E177" s="243">
        <f>'Idaho Data'!SV90</f>
        <v>0.3919336163643381</v>
      </c>
      <c r="G177" s="794" t="str">
        <f>'Idaho Data'!UE90</f>
        <v/>
      </c>
      <c r="H177" s="801">
        <f>'Idaho Data'!VO90</f>
        <v>6787042</v>
      </c>
      <c r="I177" s="800">
        <f>'Idaho Data'!VP90</f>
        <v>25628501</v>
      </c>
      <c r="J177" s="800"/>
      <c r="K177" s="800">
        <f>'Idaho Data'!VQ90</f>
        <v>8393552</v>
      </c>
      <c r="L177" s="229">
        <f t="shared" si="49"/>
        <v>40809095</v>
      </c>
      <c r="M177" s="805">
        <f>'Idaho Data'!VR90</f>
        <v>6787042</v>
      </c>
      <c r="N177" s="805">
        <f>'Idaho Data'!VS90</f>
        <v>27851040</v>
      </c>
      <c r="O177" s="805">
        <f>'Idaho Data'!VT90 +'Idaho Data'!VU90</f>
        <v>8393552</v>
      </c>
      <c r="P177" s="805">
        <f>'Idaho Data'!VU90</f>
        <v>0</v>
      </c>
      <c r="Q177" s="805">
        <f t="shared" si="41"/>
        <v>43031634</v>
      </c>
      <c r="R177" s="898">
        <f>'Idaho Data'!VS90-'Idaho Data'!VP90</f>
        <v>2222539</v>
      </c>
      <c r="S177" s="230">
        <f t="shared" si="42"/>
        <v>1404.8938108052164</v>
      </c>
      <c r="U177" s="230">
        <f t="shared" si="43"/>
        <v>5305.0095218381284</v>
      </c>
      <c r="V177" s="230">
        <f t="shared" si="44"/>
        <v>1737.4357275926309</v>
      </c>
      <c r="W177" s="230">
        <f t="shared" si="45"/>
        <v>8447.3390602359759</v>
      </c>
      <c r="X177" s="807">
        <f t="shared" si="46"/>
        <v>1404.8938108052164</v>
      </c>
      <c r="Y177" s="807">
        <f t="shared" si="47"/>
        <v>5765.0672738563444</v>
      </c>
      <c r="Z177" s="807">
        <f t="shared" si="48"/>
        <v>1737.4357275926309</v>
      </c>
      <c r="AA177" s="807">
        <f t="shared" si="50"/>
        <v>0</v>
      </c>
      <c r="AB177" s="807">
        <f t="shared" si="51"/>
        <v>8907.3968122541919</v>
      </c>
      <c r="AC177" s="231">
        <f>'Idaho Data'!WA90</f>
        <v>460.05775201821569</v>
      </c>
      <c r="AD177" s="823">
        <f>'Idaho Data'!WB90</f>
        <v>8.6721381012490745E-2</v>
      </c>
      <c r="AE177" s="382"/>
      <c r="AF177" s="201" t="s">
        <v>186</v>
      </c>
      <c r="AG177" s="201"/>
      <c r="AH177" s="201"/>
      <c r="AI177" s="201"/>
      <c r="AJ177" s="381"/>
    </row>
    <row r="178" spans="2:36">
      <c r="B178" s="228" t="str">
        <f>'Idaho Data'!B91</f>
        <v>Sugar-Salem Joint</v>
      </c>
      <c r="C178" s="405">
        <f>'Idaho Data'!ST91</f>
        <v>1459</v>
      </c>
      <c r="D178" s="242">
        <f>'Idaho Data'!SE91</f>
        <v>176449.59081562713</v>
      </c>
      <c r="E178" s="243">
        <f>'Idaho Data'!SV91</f>
        <v>0.46358454718176062</v>
      </c>
      <c r="G178" s="794" t="str">
        <f>'Idaho Data'!UE91</f>
        <v/>
      </c>
      <c r="H178" s="801">
        <f>'Idaho Data'!VO91</f>
        <v>1167759</v>
      </c>
      <c r="I178" s="800">
        <f>'Idaho Data'!VP91</f>
        <v>8536149</v>
      </c>
      <c r="J178" s="800"/>
      <c r="K178" s="800">
        <f>'Idaho Data'!VQ91</f>
        <v>2101751</v>
      </c>
      <c r="L178" s="229">
        <f t="shared" si="49"/>
        <v>11805659</v>
      </c>
      <c r="M178" s="805">
        <f>'Idaho Data'!VR91</f>
        <v>1167759</v>
      </c>
      <c r="N178" s="805">
        <f>'Idaho Data'!VS91</f>
        <v>8302815</v>
      </c>
      <c r="O178" s="805">
        <f>'Idaho Data'!VT91 +'Idaho Data'!VU91</f>
        <v>2101751</v>
      </c>
      <c r="P178" s="805">
        <f>'Idaho Data'!VU91</f>
        <v>0</v>
      </c>
      <c r="Q178" s="805">
        <f t="shared" si="41"/>
        <v>11572325</v>
      </c>
      <c r="R178" s="898">
        <f>'Idaho Data'!VS91-'Idaho Data'!VP91</f>
        <v>-233334</v>
      </c>
      <c r="S178" s="230">
        <f t="shared" si="42"/>
        <v>800.38313913639479</v>
      </c>
      <c r="U178" s="230">
        <f t="shared" si="43"/>
        <v>5850.684715558602</v>
      </c>
      <c r="V178" s="230">
        <f t="shared" si="44"/>
        <v>1440.5421521590131</v>
      </c>
      <c r="W178" s="230">
        <f t="shared" si="45"/>
        <v>8091.61000685401</v>
      </c>
      <c r="X178" s="807">
        <f t="shared" si="46"/>
        <v>800.38313913639479</v>
      </c>
      <c r="Y178" s="807">
        <f t="shared" si="47"/>
        <v>5690.7573680603155</v>
      </c>
      <c r="Z178" s="807">
        <f t="shared" si="48"/>
        <v>1440.5421521590131</v>
      </c>
      <c r="AA178" s="807">
        <f t="shared" si="50"/>
        <v>0</v>
      </c>
      <c r="AB178" s="807">
        <f t="shared" si="51"/>
        <v>7931.6826593557234</v>
      </c>
      <c r="AC178" s="231">
        <f>'Idaho Data'!WA91</f>
        <v>-159.92734749828651</v>
      </c>
      <c r="AD178" s="823">
        <f>'Idaho Data'!WB91</f>
        <v>-2.733480870589302E-2</v>
      </c>
      <c r="AE178" s="382"/>
      <c r="AF178" s="201" t="s">
        <v>105</v>
      </c>
      <c r="AG178" s="201"/>
      <c r="AH178" s="201"/>
      <c r="AI178" s="201"/>
      <c r="AJ178" s="381"/>
    </row>
    <row r="179" spans="2:36">
      <c r="B179" s="228" t="str">
        <f>'Idaho Data'!B92</f>
        <v>Minidoka County Joint</v>
      </c>
      <c r="C179" s="405">
        <f>'Idaho Data'!ST92</f>
        <v>3962</v>
      </c>
      <c r="D179" s="242">
        <f>'Idaho Data'!SE92</f>
        <v>318176.68298838969</v>
      </c>
      <c r="E179" s="243">
        <f>'Idaho Data'!SV92</f>
        <v>0.63497081712062253</v>
      </c>
      <c r="G179" s="794" t="str">
        <f>'Idaho Data'!UE92</f>
        <v/>
      </c>
      <c r="H179" s="801">
        <f>'Idaho Data'!VO92</f>
        <v>4339160</v>
      </c>
      <c r="I179" s="800">
        <f>'Idaho Data'!VP92</f>
        <v>23735406</v>
      </c>
      <c r="J179" s="800"/>
      <c r="K179" s="800">
        <f>'Idaho Data'!VQ92</f>
        <v>4875098</v>
      </c>
      <c r="L179" s="229">
        <f t="shared" si="49"/>
        <v>32949664</v>
      </c>
      <c r="M179" s="805">
        <f>'Idaho Data'!VR92</f>
        <v>4339160</v>
      </c>
      <c r="N179" s="805">
        <f>'Idaho Data'!VS92</f>
        <v>22827906</v>
      </c>
      <c r="O179" s="805">
        <f>'Idaho Data'!VT92 +'Idaho Data'!VU92</f>
        <v>4875098</v>
      </c>
      <c r="P179" s="805">
        <f>'Idaho Data'!VU92</f>
        <v>0</v>
      </c>
      <c r="Q179" s="805">
        <f t="shared" si="41"/>
        <v>32042164</v>
      </c>
      <c r="R179" s="898">
        <f>'Idaho Data'!VS92-'Idaho Data'!VP92</f>
        <v>-907500</v>
      </c>
      <c r="S179" s="230">
        <f t="shared" si="42"/>
        <v>1095.1943462897527</v>
      </c>
      <c r="U179" s="230">
        <f t="shared" si="43"/>
        <v>5990.7637556789505</v>
      </c>
      <c r="V179" s="230">
        <f t="shared" si="44"/>
        <v>1230.4639071176173</v>
      </c>
      <c r="W179" s="230">
        <f t="shared" si="45"/>
        <v>8316.42200908632</v>
      </c>
      <c r="X179" s="807">
        <f t="shared" si="46"/>
        <v>1095.1943462897527</v>
      </c>
      <c r="Y179" s="807">
        <f t="shared" si="47"/>
        <v>5761.7127713276122</v>
      </c>
      <c r="Z179" s="807">
        <f t="shared" si="48"/>
        <v>1230.4639071176173</v>
      </c>
      <c r="AA179" s="807">
        <f t="shared" si="50"/>
        <v>0</v>
      </c>
      <c r="AB179" s="807">
        <f t="shared" si="51"/>
        <v>8087.3710247349818</v>
      </c>
      <c r="AC179" s="231">
        <f>'Idaho Data'!WA92</f>
        <v>-229.05098435133772</v>
      </c>
      <c r="AD179" s="823">
        <f>'Idaho Data'!WB92</f>
        <v>-3.8234020517702541E-2</v>
      </c>
      <c r="AE179" s="382"/>
      <c r="AF179" s="201" t="s">
        <v>194</v>
      </c>
      <c r="AG179" s="201"/>
      <c r="AH179" s="201"/>
      <c r="AI179" s="201"/>
      <c r="AJ179" s="381"/>
    </row>
    <row r="180" spans="2:36">
      <c r="B180" s="228" t="str">
        <f>'Idaho Data'!B93</f>
        <v>Lewiston Independent</v>
      </c>
      <c r="C180" s="405">
        <f>'Idaho Data'!ST93</f>
        <v>4363</v>
      </c>
      <c r="D180" s="242">
        <f>'Idaho Data'!SE93</f>
        <v>573209.76667430671</v>
      </c>
      <c r="E180" s="243">
        <f>'Idaho Data'!SV93</f>
        <v>0.39093242087254065</v>
      </c>
      <c r="G180" s="794" t="str">
        <f>'Idaho Data'!UE93</f>
        <v/>
      </c>
      <c r="H180" s="801">
        <f>'Idaho Data'!VO93</f>
        <v>3361127</v>
      </c>
      <c r="I180" s="800">
        <f>'Idaho Data'!VP93</f>
        <v>23711490</v>
      </c>
      <c r="J180" s="800"/>
      <c r="K180" s="800">
        <f>'Idaho Data'!VQ93</f>
        <v>15465472</v>
      </c>
      <c r="L180" s="229">
        <f t="shared" si="49"/>
        <v>42538089</v>
      </c>
      <c r="M180" s="805">
        <f>'Idaho Data'!VR93</f>
        <v>3361127</v>
      </c>
      <c r="N180" s="805">
        <f>'Idaho Data'!VS93</f>
        <v>25002387</v>
      </c>
      <c r="O180" s="805">
        <f>'Idaho Data'!VT93 +'Idaho Data'!VU93</f>
        <v>15465472</v>
      </c>
      <c r="P180" s="805">
        <f>'Idaho Data'!VU93</f>
        <v>0</v>
      </c>
      <c r="Q180" s="805">
        <f t="shared" si="41"/>
        <v>43828986</v>
      </c>
      <c r="R180" s="898">
        <f>'Idaho Data'!VS93-'Idaho Data'!VP93</f>
        <v>1290897</v>
      </c>
      <c r="S180" s="230">
        <f t="shared" si="42"/>
        <v>770.37061654824663</v>
      </c>
      <c r="U180" s="230">
        <f t="shared" si="43"/>
        <v>5434.6756818702725</v>
      </c>
      <c r="V180" s="230">
        <f t="shared" si="44"/>
        <v>3544.68760027504</v>
      </c>
      <c r="W180" s="230">
        <f t="shared" si="45"/>
        <v>9749.7338986935592</v>
      </c>
      <c r="X180" s="807">
        <f t="shared" si="46"/>
        <v>770.37061654824663</v>
      </c>
      <c r="Y180" s="807">
        <f t="shared" si="47"/>
        <v>5730.5493926197569</v>
      </c>
      <c r="Z180" s="807">
        <f t="shared" si="48"/>
        <v>3544.68760027504</v>
      </c>
      <c r="AA180" s="807">
        <f t="shared" si="50"/>
        <v>0</v>
      </c>
      <c r="AB180" s="807">
        <f t="shared" si="51"/>
        <v>10045.607609443043</v>
      </c>
      <c r="AC180" s="231">
        <f>'Idaho Data'!WA93</f>
        <v>295.8737107494843</v>
      </c>
      <c r="AD180" s="823">
        <f>'Idaho Data'!WB93</f>
        <v>5.4441833895718911E-2</v>
      </c>
      <c r="AE180" s="382"/>
      <c r="AF180" s="201" t="s">
        <v>217</v>
      </c>
      <c r="AG180" s="201"/>
      <c r="AH180" s="201"/>
      <c r="AI180" s="201"/>
      <c r="AJ180" s="381"/>
    </row>
    <row r="181" spans="2:36">
      <c r="B181" s="228" t="str">
        <f>'Idaho Data'!B94</f>
        <v>Lapwai</v>
      </c>
      <c r="C181" s="405">
        <f>'Idaho Data'!ST94</f>
        <v>449</v>
      </c>
      <c r="D181" s="242">
        <f>'Idaho Data'!SE94</f>
        <v>319092.28953229397</v>
      </c>
      <c r="E181" s="243">
        <f>'Idaho Data'!SV94</f>
        <v>0.8899253731343284</v>
      </c>
      <c r="G181" s="794" t="str">
        <f>'Idaho Data'!UE94</f>
        <v/>
      </c>
      <c r="H181" s="801">
        <f>'Idaho Data'!VO94</f>
        <v>3986965</v>
      </c>
      <c r="I181" s="800">
        <f>'Idaho Data'!VP94</f>
        <v>3244755</v>
      </c>
      <c r="J181" s="800"/>
      <c r="K181" s="800">
        <f>'Idaho Data'!VQ94</f>
        <v>506158</v>
      </c>
      <c r="L181" s="229">
        <f t="shared" si="49"/>
        <v>7737878</v>
      </c>
      <c r="M181" s="805">
        <f>'Idaho Data'!VR94</f>
        <v>3986965</v>
      </c>
      <c r="N181" s="805">
        <f>'Idaho Data'!VS94</f>
        <v>2586168</v>
      </c>
      <c r="O181" s="805">
        <f>'Idaho Data'!VT94 +'Idaho Data'!VU94</f>
        <v>506158</v>
      </c>
      <c r="P181" s="805">
        <f>'Idaho Data'!VU94</f>
        <v>0</v>
      </c>
      <c r="Q181" s="805">
        <f t="shared" si="41"/>
        <v>7079291</v>
      </c>
      <c r="R181" s="898">
        <f>'Idaho Data'!VS94-'Idaho Data'!VP94</f>
        <v>-658587</v>
      </c>
      <c r="S181" s="230">
        <f t="shared" si="42"/>
        <v>8879.6547884187075</v>
      </c>
      <c r="U181" s="230">
        <f t="shared" si="43"/>
        <v>7226.6258351893093</v>
      </c>
      <c r="V181" s="230">
        <f t="shared" si="44"/>
        <v>1127.3006681514476</v>
      </c>
      <c r="W181" s="230">
        <f t="shared" si="45"/>
        <v>17233.581291759467</v>
      </c>
      <c r="X181" s="807">
        <f t="shared" si="46"/>
        <v>8879.6547884187075</v>
      </c>
      <c r="Y181" s="807">
        <f t="shared" si="47"/>
        <v>5759.8396436525609</v>
      </c>
      <c r="Z181" s="807">
        <f t="shared" si="48"/>
        <v>1127.3006681514476</v>
      </c>
      <c r="AA181" s="807">
        <f t="shared" si="50"/>
        <v>0</v>
      </c>
      <c r="AB181" s="807">
        <f t="shared" si="51"/>
        <v>15766.795100222715</v>
      </c>
      <c r="AC181" s="231">
        <f>'Idaho Data'!WA94</f>
        <v>-1466.7861915367482</v>
      </c>
      <c r="AD181" s="823">
        <f>'Idaho Data'!WB94</f>
        <v>-0.20296971574125011</v>
      </c>
      <c r="AE181" s="382"/>
      <c r="AF181" s="201" t="s">
        <v>103</v>
      </c>
      <c r="AG181" s="201"/>
      <c r="AH181" s="201"/>
      <c r="AI181" s="201"/>
      <c r="AJ181" s="381"/>
    </row>
    <row r="182" spans="2:36">
      <c r="B182" s="228" t="str">
        <f>'Idaho Data'!B95</f>
        <v>Culdesac Joint</v>
      </c>
      <c r="C182" s="405">
        <f>'Idaho Data'!ST95</f>
        <v>71</v>
      </c>
      <c r="D182" s="242">
        <f>'Idaho Data'!SE95</f>
        <v>761185.14084507048</v>
      </c>
      <c r="E182" s="243">
        <f>'Idaho Data'!SV95</f>
        <v>0.59340659340659341</v>
      </c>
      <c r="G182" s="794" t="str">
        <f>'Idaho Data'!UE95</f>
        <v>yes</v>
      </c>
      <c r="H182" s="801">
        <f>'Idaho Data'!VO95</f>
        <v>195402</v>
      </c>
      <c r="I182" s="800">
        <f>'Idaho Data'!VP95</f>
        <v>1258853</v>
      </c>
      <c r="J182" s="800"/>
      <c r="K182" s="800">
        <f>'Idaho Data'!VQ95</f>
        <v>295555</v>
      </c>
      <c r="L182" s="229">
        <f t="shared" si="49"/>
        <v>1749810</v>
      </c>
      <c r="M182" s="805">
        <f>'Idaho Data'!VR95</f>
        <v>195402</v>
      </c>
      <c r="N182" s="805">
        <f>'Idaho Data'!VS95</f>
        <v>400635</v>
      </c>
      <c r="O182" s="805">
        <f>'Idaho Data'!VT95 +'Idaho Data'!VU95</f>
        <v>295555</v>
      </c>
      <c r="P182" s="805">
        <f>'Idaho Data'!VU95</f>
        <v>0</v>
      </c>
      <c r="Q182" s="805">
        <f t="shared" si="41"/>
        <v>891592</v>
      </c>
      <c r="R182" s="898">
        <f>'Idaho Data'!VS95-'Idaho Data'!VP95</f>
        <v>-858218</v>
      </c>
      <c r="S182" s="230">
        <f t="shared" si="42"/>
        <v>2752.1408450704225</v>
      </c>
      <c r="U182" s="230">
        <f t="shared" si="43"/>
        <v>17730.323943661973</v>
      </c>
      <c r="V182" s="230">
        <f t="shared" si="44"/>
        <v>4162.7464788732395</v>
      </c>
      <c r="W182" s="230">
        <f t="shared" si="45"/>
        <v>24645.211267605635</v>
      </c>
      <c r="X182" s="807">
        <f t="shared" si="46"/>
        <v>2752.1408450704225</v>
      </c>
      <c r="Y182" s="807">
        <f t="shared" si="47"/>
        <v>5642.7464788732395</v>
      </c>
      <c r="Z182" s="807">
        <f t="shared" si="48"/>
        <v>4162.7464788732395</v>
      </c>
      <c r="AA182" s="807">
        <f t="shared" si="50"/>
        <v>0</v>
      </c>
      <c r="AB182" s="807">
        <f t="shared" si="51"/>
        <v>12557.633802816901</v>
      </c>
      <c r="AC182" s="231">
        <f>'Idaho Data'!WA95</f>
        <v>-12087.577464788732</v>
      </c>
      <c r="AD182" s="823">
        <f>'Idaho Data'!WB95</f>
        <v>-0.68174600211462344</v>
      </c>
      <c r="AE182" s="382"/>
      <c r="AF182" s="201" t="s">
        <v>134</v>
      </c>
      <c r="AG182" s="201"/>
      <c r="AH182" s="201"/>
      <c r="AI182" s="201"/>
      <c r="AJ182" s="381"/>
    </row>
    <row r="183" spans="2:36">
      <c r="B183" s="228" t="str">
        <f>'Idaho Data'!B96</f>
        <v>Oneida County</v>
      </c>
      <c r="C183" s="405">
        <f>'Idaho Data'!ST96</f>
        <v>800</v>
      </c>
      <c r="D183" s="242">
        <f>'Idaho Data'!SE96</f>
        <v>376037.255</v>
      </c>
      <c r="E183" s="243">
        <f>'Idaho Data'!SV96</f>
        <v>0.46754675467546752</v>
      </c>
      <c r="G183" s="794" t="str">
        <f>'Idaho Data'!UE96</f>
        <v/>
      </c>
      <c r="H183" s="801">
        <f>'Idaho Data'!VO96</f>
        <v>805639</v>
      </c>
      <c r="I183" s="800">
        <f>'Idaho Data'!VP96</f>
        <v>4741697</v>
      </c>
      <c r="J183" s="800"/>
      <c r="K183" s="800">
        <f>'Idaho Data'!VQ96</f>
        <v>874673</v>
      </c>
      <c r="L183" s="229">
        <f t="shared" si="49"/>
        <v>6422009</v>
      </c>
      <c r="M183" s="805">
        <f>'Idaho Data'!VR96</f>
        <v>805639</v>
      </c>
      <c r="N183" s="805">
        <f>'Idaho Data'!VS96</f>
        <v>4625262</v>
      </c>
      <c r="O183" s="805">
        <f>'Idaho Data'!VT96 +'Idaho Data'!VU96</f>
        <v>874673</v>
      </c>
      <c r="P183" s="805">
        <f>'Idaho Data'!VU96</f>
        <v>0</v>
      </c>
      <c r="Q183" s="805">
        <f t="shared" si="41"/>
        <v>6305574</v>
      </c>
      <c r="R183" s="898">
        <f>'Idaho Data'!VS96-'Idaho Data'!VP96</f>
        <v>-116435</v>
      </c>
      <c r="S183" s="230">
        <f t="shared" si="42"/>
        <v>1007.04875</v>
      </c>
      <c r="U183" s="230">
        <f t="shared" si="43"/>
        <v>5927.1212500000001</v>
      </c>
      <c r="V183" s="230">
        <f t="shared" si="44"/>
        <v>1093.3412499999999</v>
      </c>
      <c r="W183" s="230">
        <f t="shared" si="45"/>
        <v>8027.5112499999996</v>
      </c>
      <c r="X183" s="807">
        <f t="shared" si="46"/>
        <v>1007.04875</v>
      </c>
      <c r="Y183" s="807">
        <f t="shared" si="47"/>
        <v>5781.5775000000003</v>
      </c>
      <c r="Z183" s="807">
        <f t="shared" si="48"/>
        <v>1093.3412499999999</v>
      </c>
      <c r="AA183" s="807">
        <f t="shared" si="50"/>
        <v>0</v>
      </c>
      <c r="AB183" s="807">
        <f t="shared" si="51"/>
        <v>7881.9675000000007</v>
      </c>
      <c r="AC183" s="231">
        <f>'Idaho Data'!WA96</f>
        <v>-145.54374999999999</v>
      </c>
      <c r="AD183" s="823">
        <f>'Idaho Data'!WB96</f>
        <v>-2.4555554688542942E-2</v>
      </c>
      <c r="AE183" s="382"/>
      <c r="AF183" s="201" t="s">
        <v>99</v>
      </c>
      <c r="AG183" s="201"/>
      <c r="AH183" s="201"/>
      <c r="AI183" s="201"/>
      <c r="AJ183" s="381"/>
    </row>
    <row r="184" spans="2:36">
      <c r="B184" s="228" t="str">
        <f>'Idaho Data'!B97</f>
        <v>Marsing Joint</v>
      </c>
      <c r="C184" s="405">
        <f>'Idaho Data'!ST97</f>
        <v>774</v>
      </c>
      <c r="D184" s="242">
        <f>'Idaho Data'!SE97</f>
        <v>294019.7002583979</v>
      </c>
      <c r="E184" s="243">
        <f>'Idaho Data'!SV97</f>
        <v>0.66383495145631066</v>
      </c>
      <c r="G184" s="794" t="str">
        <f>'Idaho Data'!UE97</f>
        <v/>
      </c>
      <c r="H184" s="801">
        <f>'Idaho Data'!VO97</f>
        <v>1246390</v>
      </c>
      <c r="I184" s="800">
        <f>'Idaho Data'!VP97</f>
        <v>4634879</v>
      </c>
      <c r="J184" s="800"/>
      <c r="K184" s="800">
        <f>'Idaho Data'!VQ97</f>
        <v>1108011</v>
      </c>
      <c r="L184" s="229">
        <f t="shared" si="49"/>
        <v>6989280</v>
      </c>
      <c r="M184" s="805">
        <f>'Idaho Data'!VR97</f>
        <v>1246390</v>
      </c>
      <c r="N184" s="805">
        <f>'Idaho Data'!VS97</f>
        <v>4429089</v>
      </c>
      <c r="O184" s="805">
        <f>'Idaho Data'!VT97 +'Idaho Data'!VU97</f>
        <v>1108011</v>
      </c>
      <c r="P184" s="805">
        <f>'Idaho Data'!VU97</f>
        <v>0</v>
      </c>
      <c r="Q184" s="805">
        <f t="shared" si="41"/>
        <v>6783490</v>
      </c>
      <c r="R184" s="898">
        <f>'Idaho Data'!VS97-'Idaho Data'!VP97</f>
        <v>-205790</v>
      </c>
      <c r="S184" s="230">
        <f t="shared" si="42"/>
        <v>1610.3229974160206</v>
      </c>
      <c r="U184" s="230">
        <f t="shared" si="43"/>
        <v>5988.2157622739014</v>
      </c>
      <c r="V184" s="230">
        <f t="shared" si="44"/>
        <v>1431.5387596899225</v>
      </c>
      <c r="W184" s="230">
        <f t="shared" si="45"/>
        <v>9030.0775193798436</v>
      </c>
      <c r="X184" s="807">
        <f t="shared" si="46"/>
        <v>1610.3229974160206</v>
      </c>
      <c r="Y184" s="807">
        <f t="shared" si="47"/>
        <v>5722.3372093023254</v>
      </c>
      <c r="Z184" s="807">
        <f t="shared" si="48"/>
        <v>1431.5387596899225</v>
      </c>
      <c r="AA184" s="807">
        <f t="shared" si="50"/>
        <v>0</v>
      </c>
      <c r="AB184" s="807">
        <f t="shared" si="51"/>
        <v>8764.1989664082685</v>
      </c>
      <c r="AC184" s="231">
        <f>'Idaho Data'!WA97</f>
        <v>-265.87855297157626</v>
      </c>
      <c r="AD184" s="823">
        <f>'Idaho Data'!WB97</f>
        <v>-4.4400296102659852E-2</v>
      </c>
      <c r="AE184" s="382"/>
      <c r="AF184" s="201" t="s">
        <v>132</v>
      </c>
      <c r="AG184" s="201"/>
      <c r="AH184" s="201"/>
      <c r="AI184" s="201"/>
      <c r="AJ184" s="381"/>
    </row>
    <row r="185" spans="2:36">
      <c r="B185" s="228" t="str">
        <f>'Idaho Data'!B98</f>
        <v>Pleasant Valley Elementary</v>
      </c>
      <c r="C185" s="405">
        <f>'Idaho Data'!ST98</f>
        <v>11</v>
      </c>
      <c r="D185" s="242">
        <f>'Idaho Data'!SE98</f>
        <v>1680812.7272727273</v>
      </c>
      <c r="E185" s="243">
        <f>'Idaho Data'!SV98</f>
        <v>0</v>
      </c>
      <c r="G185" s="794" t="str">
        <f>'Idaho Data'!UE98</f>
        <v>yes</v>
      </c>
      <c r="H185" s="801">
        <f>'Idaho Data'!VO98</f>
        <v>11618</v>
      </c>
      <c r="I185" s="800">
        <f>'Idaho Data'!VP98</f>
        <v>228067</v>
      </c>
      <c r="J185" s="800"/>
      <c r="K185" s="800">
        <f>'Idaho Data'!VQ98</f>
        <v>21642</v>
      </c>
      <c r="L185" s="229">
        <f t="shared" si="49"/>
        <v>261327</v>
      </c>
      <c r="M185" s="805">
        <f>'Idaho Data'!VR98</f>
        <v>11618</v>
      </c>
      <c r="N185" s="805">
        <f>'Idaho Data'!VS98</f>
        <v>63549</v>
      </c>
      <c r="O185" s="805">
        <f>'Idaho Data'!VT98 +'Idaho Data'!VU98</f>
        <v>21642</v>
      </c>
      <c r="P185" s="805">
        <f>'Idaho Data'!VU98</f>
        <v>0</v>
      </c>
      <c r="Q185" s="805">
        <f t="shared" si="41"/>
        <v>96809</v>
      </c>
      <c r="R185" s="898">
        <f>'Idaho Data'!VS98-'Idaho Data'!VP98</f>
        <v>-164518</v>
      </c>
      <c r="S185" s="230">
        <f t="shared" si="42"/>
        <v>1056.1818181818182</v>
      </c>
      <c r="U185" s="230">
        <f t="shared" si="43"/>
        <v>20733.363636363636</v>
      </c>
      <c r="V185" s="230">
        <f t="shared" si="44"/>
        <v>1967.4545454545455</v>
      </c>
      <c r="W185" s="230">
        <f t="shared" si="45"/>
        <v>23757</v>
      </c>
      <c r="X185" s="807">
        <f t="shared" si="46"/>
        <v>1056.1818181818182</v>
      </c>
      <c r="Y185" s="807">
        <f t="shared" si="47"/>
        <v>5777.181818181818</v>
      </c>
      <c r="Z185" s="807">
        <f t="shared" si="48"/>
        <v>1967.4545454545455</v>
      </c>
      <c r="AA185" s="807">
        <f t="shared" si="50"/>
        <v>0</v>
      </c>
      <c r="AB185" s="807">
        <f t="shared" si="51"/>
        <v>8800.818181818182</v>
      </c>
      <c r="AC185" s="231">
        <f>'Idaho Data'!WA98</f>
        <v>-14956.181818181818</v>
      </c>
      <c r="AD185" s="823">
        <f>'Idaho Data'!WB98</f>
        <v>-0.72135819737182494</v>
      </c>
      <c r="AE185" s="382"/>
      <c r="AF185" s="201" t="s">
        <v>221</v>
      </c>
      <c r="AG185" s="201"/>
      <c r="AH185" s="201"/>
      <c r="AI185" s="201"/>
      <c r="AJ185" s="381"/>
    </row>
    <row r="186" spans="2:36">
      <c r="B186" s="228" t="str">
        <f>'Idaho Data'!B99</f>
        <v>Bruneau-Grand View Joint</v>
      </c>
      <c r="C186" s="405">
        <f>'Idaho Data'!ST99</f>
        <v>280</v>
      </c>
      <c r="D186" s="242">
        <f>'Idaho Data'!SE99</f>
        <v>692965.01071428566</v>
      </c>
      <c r="E186" s="243">
        <f>'Idaho Data'!SV99</f>
        <v>0.64</v>
      </c>
      <c r="G186" s="794" t="str">
        <f>'Idaho Data'!UE99</f>
        <v>yes</v>
      </c>
      <c r="H186" s="801">
        <f>'Idaho Data'!VO99</f>
        <v>717174</v>
      </c>
      <c r="I186" s="800">
        <f>'Idaho Data'!VP99</f>
        <v>3051746</v>
      </c>
      <c r="J186" s="800"/>
      <c r="K186" s="800">
        <f>'Idaho Data'!VQ99</f>
        <v>1187047</v>
      </c>
      <c r="L186" s="229">
        <f t="shared" si="49"/>
        <v>4955967</v>
      </c>
      <c r="M186" s="805">
        <f>'Idaho Data'!VR99</f>
        <v>717174</v>
      </c>
      <c r="N186" s="805">
        <f>'Idaho Data'!VS99</f>
        <v>1599777</v>
      </c>
      <c r="O186" s="805">
        <f>'Idaho Data'!VT99 +'Idaho Data'!VU99</f>
        <v>1187047</v>
      </c>
      <c r="P186" s="805">
        <f>'Idaho Data'!VU99</f>
        <v>0</v>
      </c>
      <c r="Q186" s="805">
        <f t="shared" si="41"/>
        <v>3503998</v>
      </c>
      <c r="R186" s="898">
        <f>'Idaho Data'!VS99-'Idaho Data'!VP99</f>
        <v>-1451969</v>
      </c>
      <c r="S186" s="230">
        <f t="shared" si="42"/>
        <v>2561.3357142857144</v>
      </c>
      <c r="U186" s="230">
        <f t="shared" si="43"/>
        <v>10899.092857142858</v>
      </c>
      <c r="V186" s="230">
        <f t="shared" si="44"/>
        <v>4239.4535714285712</v>
      </c>
      <c r="W186" s="230">
        <f t="shared" si="45"/>
        <v>17699.882142857143</v>
      </c>
      <c r="X186" s="807">
        <f t="shared" si="46"/>
        <v>2561.3357142857144</v>
      </c>
      <c r="Y186" s="807">
        <f t="shared" si="47"/>
        <v>5713.4892857142859</v>
      </c>
      <c r="Z186" s="807">
        <f t="shared" si="48"/>
        <v>4239.4535714285712</v>
      </c>
      <c r="AA186" s="807">
        <f t="shared" si="50"/>
        <v>0</v>
      </c>
      <c r="AB186" s="807">
        <f t="shared" si="51"/>
        <v>12514.278571428571</v>
      </c>
      <c r="AC186" s="231">
        <f>'Idaho Data'!WA99</f>
        <v>-5185.6035714285717</v>
      </c>
      <c r="AD186" s="823">
        <f>'Idaho Data'!WB99</f>
        <v>-0.47578304354294232</v>
      </c>
      <c r="AE186" s="382"/>
      <c r="AF186" s="201" t="s">
        <v>188</v>
      </c>
      <c r="AG186" s="201"/>
      <c r="AH186" s="201"/>
      <c r="AI186" s="201"/>
      <c r="AJ186" s="381"/>
    </row>
    <row r="187" spans="2:36">
      <c r="B187" s="228" t="str">
        <f>'Idaho Data'!B100</f>
        <v>Homedale Joint</v>
      </c>
      <c r="C187" s="405">
        <f>'Idaho Data'!ST100</f>
        <v>1117</v>
      </c>
      <c r="D187" s="242">
        <f>'Idaho Data'!SE100</f>
        <v>219840.57743957028</v>
      </c>
      <c r="E187" s="243">
        <f>'Idaho Data'!SV100</f>
        <v>0.60843881856540083</v>
      </c>
      <c r="G187" s="794" t="str">
        <f>'Idaho Data'!UE100</f>
        <v/>
      </c>
      <c r="H187" s="801">
        <f>'Idaho Data'!VO100</f>
        <v>975943</v>
      </c>
      <c r="I187" s="800">
        <f>'Idaho Data'!VP100</f>
        <v>6226296</v>
      </c>
      <c r="J187" s="800"/>
      <c r="K187" s="800">
        <f>'Idaho Data'!VQ100</f>
        <v>1169425</v>
      </c>
      <c r="L187" s="229">
        <f t="shared" si="49"/>
        <v>8371664</v>
      </c>
      <c r="M187" s="805">
        <f>'Idaho Data'!VR100</f>
        <v>975943</v>
      </c>
      <c r="N187" s="805">
        <f>'Idaho Data'!VS100</f>
        <v>6388056</v>
      </c>
      <c r="O187" s="805">
        <f>'Idaho Data'!VT100 +'Idaho Data'!VU100</f>
        <v>1169425</v>
      </c>
      <c r="P187" s="805">
        <f>'Idaho Data'!VU100</f>
        <v>0</v>
      </c>
      <c r="Q187" s="805">
        <f t="shared" si="41"/>
        <v>8533424</v>
      </c>
      <c r="R187" s="898">
        <f>'Idaho Data'!VS100-'Idaho Data'!VP100</f>
        <v>161760</v>
      </c>
      <c r="S187" s="230">
        <f t="shared" si="42"/>
        <v>873.71799462846911</v>
      </c>
      <c r="U187" s="230">
        <f t="shared" si="43"/>
        <v>5574.1235452103847</v>
      </c>
      <c r="V187" s="230">
        <f t="shared" si="44"/>
        <v>1046.933751119069</v>
      </c>
      <c r="W187" s="230">
        <f t="shared" si="45"/>
        <v>7494.7752909579222</v>
      </c>
      <c r="X187" s="807">
        <f t="shared" si="46"/>
        <v>873.71799462846911</v>
      </c>
      <c r="Y187" s="807">
        <f t="shared" si="47"/>
        <v>5718.9400179051026</v>
      </c>
      <c r="Z187" s="807">
        <f t="shared" si="48"/>
        <v>1046.933751119069</v>
      </c>
      <c r="AA187" s="807">
        <f t="shared" si="50"/>
        <v>0</v>
      </c>
      <c r="AB187" s="807">
        <f t="shared" si="51"/>
        <v>7639.5917636526401</v>
      </c>
      <c r="AC187" s="231">
        <f>'Idaho Data'!WA100</f>
        <v>144.81647269471799</v>
      </c>
      <c r="AD187" s="823">
        <f>'Idaho Data'!WB100</f>
        <v>2.5980133292731345E-2</v>
      </c>
      <c r="AE187" s="382"/>
      <c r="AF187" s="201" t="s">
        <v>1488</v>
      </c>
      <c r="AG187" s="201"/>
      <c r="AH187" s="201"/>
      <c r="AI187" s="201"/>
      <c r="AJ187" s="381"/>
    </row>
    <row r="188" spans="2:36">
      <c r="B188" s="228" t="str">
        <f>'Idaho Data'!B101</f>
        <v>Payette Joint</v>
      </c>
      <c r="C188" s="405">
        <f>'Idaho Data'!ST101</f>
        <v>1378</v>
      </c>
      <c r="D188" s="242">
        <f>'Idaho Data'!SE101</f>
        <v>267558.22568940494</v>
      </c>
      <c r="E188" s="243">
        <f>'Idaho Data'!SV101</f>
        <v>0.76732358550540369</v>
      </c>
      <c r="G188" s="794" t="str">
        <f>'Idaho Data'!UE101</f>
        <v/>
      </c>
      <c r="H188" s="801">
        <f>'Idaho Data'!VO101</f>
        <v>2138792</v>
      </c>
      <c r="I188" s="800">
        <f>'Idaho Data'!VP101</f>
        <v>8350071</v>
      </c>
      <c r="J188" s="800"/>
      <c r="K188" s="800">
        <f>'Idaho Data'!VQ101</f>
        <v>1100277</v>
      </c>
      <c r="L188" s="229">
        <f t="shared" si="49"/>
        <v>11589140</v>
      </c>
      <c r="M188" s="805">
        <f>'Idaho Data'!VR101</f>
        <v>2138792</v>
      </c>
      <c r="N188" s="805">
        <f>'Idaho Data'!VS101</f>
        <v>7962966</v>
      </c>
      <c r="O188" s="805">
        <f>'Idaho Data'!VT101 +'Idaho Data'!VU101</f>
        <v>1100277</v>
      </c>
      <c r="P188" s="805">
        <f>'Idaho Data'!VU101</f>
        <v>0</v>
      </c>
      <c r="Q188" s="805">
        <f t="shared" si="41"/>
        <v>11202035</v>
      </c>
      <c r="R188" s="898">
        <f>'Idaho Data'!VS101-'Idaho Data'!VP101</f>
        <v>-387105</v>
      </c>
      <c r="S188" s="230">
        <f t="shared" si="42"/>
        <v>1552.098693759071</v>
      </c>
      <c r="U188" s="230">
        <f t="shared" si="43"/>
        <v>6059.5580551523944</v>
      </c>
      <c r="V188" s="230">
        <f t="shared" si="44"/>
        <v>798.45936139332366</v>
      </c>
      <c r="W188" s="230">
        <f t="shared" si="45"/>
        <v>8410.1161103047889</v>
      </c>
      <c r="X188" s="807">
        <f t="shared" si="46"/>
        <v>1552.098693759071</v>
      </c>
      <c r="Y188" s="807">
        <f t="shared" si="47"/>
        <v>5778.6400580551526</v>
      </c>
      <c r="Z188" s="807">
        <f t="shared" si="48"/>
        <v>798.45936139332366</v>
      </c>
      <c r="AA188" s="807">
        <f t="shared" si="50"/>
        <v>0</v>
      </c>
      <c r="AB188" s="807">
        <f t="shared" si="51"/>
        <v>8129.198113207548</v>
      </c>
      <c r="AC188" s="231">
        <f>'Idaho Data'!WA101</f>
        <v>-280.91799709724239</v>
      </c>
      <c r="AD188" s="823">
        <f>'Idaho Data'!WB101</f>
        <v>-4.6359486045088716E-2</v>
      </c>
      <c r="AE188" s="382"/>
      <c r="AF188" s="201" t="s">
        <v>171</v>
      </c>
      <c r="AG188" s="201"/>
      <c r="AH188" s="201"/>
      <c r="AI188" s="201"/>
      <c r="AJ188" s="381"/>
    </row>
    <row r="189" spans="2:36">
      <c r="B189" s="228" t="str">
        <f>'Idaho Data'!B102</f>
        <v>New Plymouth</v>
      </c>
      <c r="C189" s="405">
        <f>'Idaho Data'!ST102</f>
        <v>883</v>
      </c>
      <c r="D189" s="242">
        <f>'Idaho Data'!SE102</f>
        <v>438377.30690826726</v>
      </c>
      <c r="E189" s="243">
        <f>'Idaho Data'!SV102</f>
        <v>0.46262626262626261</v>
      </c>
      <c r="G189" s="794" t="str">
        <f>'Idaho Data'!UE102</f>
        <v/>
      </c>
      <c r="H189" s="801">
        <f>'Idaho Data'!VO102</f>
        <v>766069</v>
      </c>
      <c r="I189" s="800">
        <f>'Idaho Data'!VP102</f>
        <v>5642160</v>
      </c>
      <c r="J189" s="800"/>
      <c r="K189" s="800">
        <f>'Idaho Data'!VQ102</f>
        <v>1031651</v>
      </c>
      <c r="L189" s="229">
        <f t="shared" si="49"/>
        <v>7439880</v>
      </c>
      <c r="M189" s="805">
        <f>'Idaho Data'!VR102</f>
        <v>766069</v>
      </c>
      <c r="N189" s="805">
        <f>'Idaho Data'!VS102</f>
        <v>5070105</v>
      </c>
      <c r="O189" s="805">
        <f>'Idaho Data'!VT102 +'Idaho Data'!VU102</f>
        <v>1031651</v>
      </c>
      <c r="P189" s="805">
        <f>'Idaho Data'!VU102</f>
        <v>0</v>
      </c>
      <c r="Q189" s="805">
        <f t="shared" si="41"/>
        <v>6867825</v>
      </c>
      <c r="R189" s="898">
        <f>'Idaho Data'!VS102-'Idaho Data'!VP102</f>
        <v>-572055</v>
      </c>
      <c r="S189" s="230">
        <f t="shared" si="42"/>
        <v>867.57531143827862</v>
      </c>
      <c r="U189" s="230">
        <f t="shared" si="43"/>
        <v>6389.7621744054359</v>
      </c>
      <c r="V189" s="230">
        <f t="shared" si="44"/>
        <v>1168.3476783691958</v>
      </c>
      <c r="W189" s="230">
        <f t="shared" si="45"/>
        <v>8425.6851642129113</v>
      </c>
      <c r="X189" s="807">
        <f t="shared" si="46"/>
        <v>867.57531143827862</v>
      </c>
      <c r="Y189" s="807">
        <f t="shared" si="47"/>
        <v>5741.9082672706681</v>
      </c>
      <c r="Z189" s="807">
        <f t="shared" si="48"/>
        <v>1168.3476783691958</v>
      </c>
      <c r="AA189" s="807">
        <f t="shared" si="50"/>
        <v>0</v>
      </c>
      <c r="AB189" s="807">
        <f t="shared" si="51"/>
        <v>7777.8312570781427</v>
      </c>
      <c r="AC189" s="231">
        <f>'Idaho Data'!WA102</f>
        <v>-647.85390713476784</v>
      </c>
      <c r="AD189" s="823">
        <f>'Idaho Data'!WB102</f>
        <v>-0.10138936152111958</v>
      </c>
      <c r="AE189" s="382"/>
      <c r="AF189" s="201" t="s">
        <v>148</v>
      </c>
      <c r="AG189" s="201"/>
      <c r="AH189" s="201"/>
      <c r="AI189" s="201"/>
      <c r="AJ189" s="381"/>
    </row>
    <row r="190" spans="2:36">
      <c r="B190" s="228" t="str">
        <f>'Idaho Data'!B103</f>
        <v>Fruitland</v>
      </c>
      <c r="C190" s="405">
        <f>'Idaho Data'!ST103</f>
        <v>1572</v>
      </c>
      <c r="D190" s="242">
        <f>'Idaho Data'!SE103</f>
        <v>326871.7703562341</v>
      </c>
      <c r="E190" s="243">
        <f>'Idaho Data'!SV103</f>
        <v>0.46642899584076053</v>
      </c>
      <c r="G190" s="794" t="str">
        <f>'Idaho Data'!UE103</f>
        <v/>
      </c>
      <c r="H190" s="801">
        <f>'Idaho Data'!VO103</f>
        <v>1191393</v>
      </c>
      <c r="I190" s="800">
        <f>'Idaho Data'!VP103</f>
        <v>8929740</v>
      </c>
      <c r="J190" s="800"/>
      <c r="K190" s="800">
        <f>'Idaho Data'!VQ103</f>
        <v>1943260</v>
      </c>
      <c r="L190" s="229">
        <f t="shared" si="49"/>
        <v>12064393</v>
      </c>
      <c r="M190" s="805">
        <f>'Idaho Data'!VR103</f>
        <v>1191393</v>
      </c>
      <c r="N190" s="805">
        <f>'Idaho Data'!VS103</f>
        <v>9026721</v>
      </c>
      <c r="O190" s="805">
        <f>'Idaho Data'!VT103 +'Idaho Data'!VU103</f>
        <v>1943260</v>
      </c>
      <c r="P190" s="805">
        <f>'Idaho Data'!VU103</f>
        <v>0</v>
      </c>
      <c r="Q190" s="805">
        <f t="shared" si="41"/>
        <v>12161374</v>
      </c>
      <c r="R190" s="898">
        <f>'Idaho Data'!VS103-'Idaho Data'!VP103</f>
        <v>96981</v>
      </c>
      <c r="S190" s="230">
        <f t="shared" si="42"/>
        <v>757.88358778625957</v>
      </c>
      <c r="U190" s="230">
        <f t="shared" si="43"/>
        <v>5680.4961832061072</v>
      </c>
      <c r="V190" s="230">
        <f t="shared" si="44"/>
        <v>1236.1704834605598</v>
      </c>
      <c r="W190" s="230">
        <f t="shared" si="45"/>
        <v>7674.5502544529263</v>
      </c>
      <c r="X190" s="807">
        <f t="shared" si="46"/>
        <v>757.88358778625957</v>
      </c>
      <c r="Y190" s="807">
        <f t="shared" si="47"/>
        <v>5742.18893129771</v>
      </c>
      <c r="Z190" s="807">
        <f t="shared" si="48"/>
        <v>1236.1704834605598</v>
      </c>
      <c r="AA190" s="807">
        <f t="shared" si="50"/>
        <v>0</v>
      </c>
      <c r="AB190" s="807">
        <f t="shared" si="51"/>
        <v>7736.2430025445292</v>
      </c>
      <c r="AC190" s="231">
        <f>'Idaho Data'!WA103</f>
        <v>61.69274809160305</v>
      </c>
      <c r="AD190" s="823">
        <f>'Idaho Data'!WB103</f>
        <v>1.0860450584227537E-2</v>
      </c>
      <c r="AE190" s="382"/>
      <c r="AF190" s="201" t="s">
        <v>161</v>
      </c>
      <c r="AG190" s="201"/>
      <c r="AH190" s="201"/>
      <c r="AI190" s="201"/>
      <c r="AJ190" s="381"/>
    </row>
    <row r="191" spans="2:36">
      <c r="B191" s="228" t="str">
        <f>'Idaho Data'!B104</f>
        <v>American Falls Joint</v>
      </c>
      <c r="C191" s="405">
        <f>'Idaho Data'!ST104</f>
        <v>1347</v>
      </c>
      <c r="D191" s="242">
        <f>'Idaho Data'!SE104</f>
        <v>592603.88715664437</v>
      </c>
      <c r="E191" s="243">
        <f>'Idaho Data'!SV104</f>
        <v>0.68577348066298338</v>
      </c>
      <c r="G191" s="794" t="str">
        <f>'Idaho Data'!UE104</f>
        <v/>
      </c>
      <c r="H191" s="801">
        <f>'Idaho Data'!VO104</f>
        <v>2069247</v>
      </c>
      <c r="I191" s="800">
        <f>'Idaho Data'!VP104</f>
        <v>7939748</v>
      </c>
      <c r="J191" s="800"/>
      <c r="K191" s="800">
        <f>'Idaho Data'!VQ104</f>
        <v>4770267</v>
      </c>
      <c r="L191" s="229">
        <f t="shared" si="49"/>
        <v>14779262</v>
      </c>
      <c r="M191" s="805">
        <f>'Idaho Data'!VR104</f>
        <v>2069247</v>
      </c>
      <c r="N191" s="805">
        <f>'Idaho Data'!VS104</f>
        <v>7761267</v>
      </c>
      <c r="O191" s="805">
        <f>'Idaho Data'!VT104 +'Idaho Data'!VU104</f>
        <v>4770267</v>
      </c>
      <c r="P191" s="805">
        <f>'Idaho Data'!VU104</f>
        <v>0</v>
      </c>
      <c r="Q191" s="805">
        <f t="shared" si="41"/>
        <v>14600781</v>
      </c>
      <c r="R191" s="898">
        <f>'Idaho Data'!VS104-'Idaho Data'!VP104</f>
        <v>-178481</v>
      </c>
      <c r="S191" s="230">
        <f t="shared" si="42"/>
        <v>1536.1893095768373</v>
      </c>
      <c r="U191" s="230">
        <f t="shared" si="43"/>
        <v>5894.3934669636228</v>
      </c>
      <c r="V191" s="230">
        <f t="shared" si="44"/>
        <v>3541.4008908685969</v>
      </c>
      <c r="W191" s="230">
        <f t="shared" si="45"/>
        <v>10971.983667409057</v>
      </c>
      <c r="X191" s="807">
        <f t="shared" si="46"/>
        <v>1536.1893095768373</v>
      </c>
      <c r="Y191" s="807">
        <f t="shared" si="47"/>
        <v>5761.8908685968818</v>
      </c>
      <c r="Z191" s="807">
        <f t="shared" si="48"/>
        <v>3541.4008908685969</v>
      </c>
      <c r="AA191" s="807">
        <f t="shared" si="50"/>
        <v>0</v>
      </c>
      <c r="AB191" s="807">
        <f t="shared" si="51"/>
        <v>10839.481069042316</v>
      </c>
      <c r="AC191" s="231">
        <f>'Idaho Data'!WA104</f>
        <v>-132.5025983667409</v>
      </c>
      <c r="AD191" s="823">
        <f>'Idaho Data'!WB104</f>
        <v>-2.247942881814385E-2</v>
      </c>
      <c r="AE191" s="382"/>
      <c r="AF191" s="201" t="s">
        <v>205</v>
      </c>
      <c r="AG191" s="201"/>
      <c r="AH191" s="201"/>
      <c r="AI191" s="201"/>
      <c r="AJ191" s="381"/>
    </row>
    <row r="192" spans="2:36">
      <c r="B192" s="228" t="str">
        <f>'Idaho Data'!B105</f>
        <v>Rockland</v>
      </c>
      <c r="C192" s="405">
        <f>'Idaho Data'!ST105</f>
        <v>165</v>
      </c>
      <c r="D192" s="242">
        <f>'Idaho Data'!SE105</f>
        <v>242445.96363636362</v>
      </c>
      <c r="E192" s="243">
        <f>'Idaho Data'!SV105</f>
        <v>0</v>
      </c>
      <c r="G192" s="794" t="str">
        <f>'Idaho Data'!UE105</f>
        <v>yes</v>
      </c>
      <c r="H192" s="801">
        <f>'Idaho Data'!VO105</f>
        <v>123328</v>
      </c>
      <c r="I192" s="800">
        <f>'Idaho Data'!VP105</f>
        <v>1571359</v>
      </c>
      <c r="J192" s="800"/>
      <c r="K192" s="800">
        <f>'Idaho Data'!VQ105</f>
        <v>376448</v>
      </c>
      <c r="L192" s="229">
        <f t="shared" si="49"/>
        <v>2071135</v>
      </c>
      <c r="M192" s="805">
        <f>'Idaho Data'!VR105</f>
        <v>123328</v>
      </c>
      <c r="N192" s="805">
        <f>'Idaho Data'!VS105</f>
        <v>942183</v>
      </c>
      <c r="O192" s="805">
        <f>'Idaho Data'!VT105 +'Idaho Data'!VU105</f>
        <v>376448</v>
      </c>
      <c r="P192" s="805">
        <f>'Idaho Data'!VU105</f>
        <v>0</v>
      </c>
      <c r="Q192" s="805">
        <f t="shared" si="41"/>
        <v>1441959</v>
      </c>
      <c r="R192" s="898">
        <f>'Idaho Data'!VS105-'Idaho Data'!VP105</f>
        <v>-629176</v>
      </c>
      <c r="S192" s="230">
        <f t="shared" si="42"/>
        <v>747.44242424242429</v>
      </c>
      <c r="U192" s="230">
        <f t="shared" si="43"/>
        <v>9523.3878787878784</v>
      </c>
      <c r="V192" s="230">
        <f t="shared" si="44"/>
        <v>2281.5030303030303</v>
      </c>
      <c r="W192" s="230">
        <f t="shared" si="45"/>
        <v>12552.333333333334</v>
      </c>
      <c r="X192" s="807">
        <f t="shared" si="46"/>
        <v>747.44242424242429</v>
      </c>
      <c r="Y192" s="807">
        <f t="shared" si="47"/>
        <v>5710.2</v>
      </c>
      <c r="Z192" s="807">
        <f t="shared" si="48"/>
        <v>2281.5030303030303</v>
      </c>
      <c r="AA192" s="807">
        <f t="shared" si="50"/>
        <v>0</v>
      </c>
      <c r="AB192" s="807">
        <f t="shared" si="51"/>
        <v>8739.1454545454544</v>
      </c>
      <c r="AC192" s="231">
        <f>'Idaho Data'!WA105</f>
        <v>-3813.1878787878786</v>
      </c>
      <c r="AD192" s="823">
        <f>'Idaho Data'!WB105</f>
        <v>-0.4004024541813806</v>
      </c>
      <c r="AE192" s="382"/>
      <c r="AF192" s="201" t="s">
        <v>216</v>
      </c>
      <c r="AG192" s="201"/>
      <c r="AH192" s="201"/>
      <c r="AI192" s="201"/>
      <c r="AJ192" s="381"/>
    </row>
    <row r="193" spans="2:36">
      <c r="B193" s="228" t="str">
        <f>'Idaho Data'!B106</f>
        <v>Arbon Elementary</v>
      </c>
      <c r="C193" s="405">
        <f>'Idaho Data'!ST106</f>
        <v>18</v>
      </c>
      <c r="D193" s="242">
        <f>'Idaho Data'!SE106</f>
        <v>1395446.888888889</v>
      </c>
      <c r="E193" s="243">
        <f>'Idaho Data'!SV106</f>
        <v>0</v>
      </c>
      <c r="G193" s="794" t="str">
        <f>'Idaho Data'!UE106</f>
        <v>yes</v>
      </c>
      <c r="H193" s="801">
        <f>'Idaho Data'!VO106</f>
        <v>14960</v>
      </c>
      <c r="I193" s="800">
        <f>'Idaho Data'!VP106</f>
        <v>278455</v>
      </c>
      <c r="J193" s="800"/>
      <c r="K193" s="800">
        <f>'Idaho Data'!VQ106</f>
        <v>55816</v>
      </c>
      <c r="L193" s="229">
        <f t="shared" si="49"/>
        <v>349231</v>
      </c>
      <c r="M193" s="805">
        <f>'Idaho Data'!VR106</f>
        <v>14960</v>
      </c>
      <c r="N193" s="805">
        <f>'Idaho Data'!VS106</f>
        <v>99468</v>
      </c>
      <c r="O193" s="805">
        <f>'Idaho Data'!VT106 +'Idaho Data'!VU106</f>
        <v>55816</v>
      </c>
      <c r="P193" s="805">
        <f>'Idaho Data'!VU106</f>
        <v>0</v>
      </c>
      <c r="Q193" s="805">
        <f t="shared" ref="Q193:Q224" si="52">SUM(M193:O193)</f>
        <v>170244</v>
      </c>
      <c r="R193" s="898">
        <f>'Idaho Data'!VS106-'Idaho Data'!VP106</f>
        <v>-178987</v>
      </c>
      <c r="S193" s="230">
        <f t="shared" ref="S193:S224" si="53">H193/$C193</f>
        <v>831.11111111111109</v>
      </c>
      <c r="U193" s="230">
        <f t="shared" ref="U193:U224" si="54">I193/$C193</f>
        <v>15469.722222222223</v>
      </c>
      <c r="V193" s="230">
        <f t="shared" ref="V193:V224" si="55">K193/$C193</f>
        <v>3100.8888888888887</v>
      </c>
      <c r="W193" s="230">
        <f t="shared" ref="W193:W224" si="56">SUM(S193:V193)</f>
        <v>19401.722222222223</v>
      </c>
      <c r="X193" s="807">
        <f t="shared" ref="X193:X224" si="57">M193/$C193</f>
        <v>831.11111111111109</v>
      </c>
      <c r="Y193" s="807">
        <f t="shared" ref="Y193:Y224" si="58">N193/$C193</f>
        <v>5526</v>
      </c>
      <c r="Z193" s="807">
        <f t="shared" ref="Z193:Z224" si="59">O193/$C193</f>
        <v>3100.8888888888887</v>
      </c>
      <c r="AA193" s="807">
        <f t="shared" si="50"/>
        <v>0</v>
      </c>
      <c r="AB193" s="807">
        <f t="shared" si="51"/>
        <v>9458</v>
      </c>
      <c r="AC193" s="231">
        <f>'Idaho Data'!WA106</f>
        <v>-9943.7222222222226</v>
      </c>
      <c r="AD193" s="823">
        <f>'Idaho Data'!WB106</f>
        <v>-0.64278608751862953</v>
      </c>
      <c r="AE193" s="382"/>
      <c r="AF193" s="201" t="s">
        <v>1492</v>
      </c>
      <c r="AG193" s="201"/>
      <c r="AH193" s="201"/>
      <c r="AI193" s="201"/>
      <c r="AJ193" s="381"/>
    </row>
    <row r="194" spans="2:36">
      <c r="B194" s="228" t="str">
        <f>'Idaho Data'!B107</f>
        <v>Kellogg</v>
      </c>
      <c r="C194" s="405">
        <f>'Idaho Data'!ST107</f>
        <v>1003</v>
      </c>
      <c r="D194" s="242">
        <f>'Idaho Data'!SE107</f>
        <v>527574.146560319</v>
      </c>
      <c r="E194" s="243">
        <f>'Idaho Data'!SV107</f>
        <v>0.49909420289855072</v>
      </c>
      <c r="G194" s="794" t="str">
        <f>'Idaho Data'!UE107</f>
        <v/>
      </c>
      <c r="H194" s="801">
        <f>'Idaho Data'!VO107</f>
        <v>1479465</v>
      </c>
      <c r="I194" s="800">
        <f>'Idaho Data'!VP107</f>
        <v>6171469</v>
      </c>
      <c r="J194" s="800"/>
      <c r="K194" s="800">
        <f>'Idaho Data'!VQ107</f>
        <v>4534706</v>
      </c>
      <c r="L194" s="229">
        <f t="shared" si="49"/>
        <v>12185640</v>
      </c>
      <c r="M194" s="805">
        <f>'Idaho Data'!VR107</f>
        <v>1479465</v>
      </c>
      <c r="N194" s="805">
        <f>'Idaho Data'!VS107</f>
        <v>5752566</v>
      </c>
      <c r="O194" s="805">
        <f>'Idaho Data'!VT107 +'Idaho Data'!VU107</f>
        <v>4534706</v>
      </c>
      <c r="P194" s="805">
        <f>'Idaho Data'!VU107</f>
        <v>0</v>
      </c>
      <c r="Q194" s="805">
        <f t="shared" si="52"/>
        <v>11766737</v>
      </c>
      <c r="R194" s="898">
        <f>'Idaho Data'!VS107-'Idaho Data'!VP107</f>
        <v>-418903</v>
      </c>
      <c r="S194" s="230">
        <f t="shared" si="53"/>
        <v>1475.0398803589233</v>
      </c>
      <c r="U194" s="230">
        <f t="shared" si="54"/>
        <v>6153.0099700897308</v>
      </c>
      <c r="V194" s="230">
        <f t="shared" si="55"/>
        <v>4521.1425722831509</v>
      </c>
      <c r="W194" s="230">
        <f t="shared" si="56"/>
        <v>12149.192422731805</v>
      </c>
      <c r="X194" s="807">
        <f t="shared" si="57"/>
        <v>1475.0398803589233</v>
      </c>
      <c r="Y194" s="807">
        <f t="shared" si="58"/>
        <v>5735.3599202392825</v>
      </c>
      <c r="Z194" s="807">
        <f t="shared" si="59"/>
        <v>4521.1425722831509</v>
      </c>
      <c r="AA194" s="807">
        <f t="shared" si="50"/>
        <v>0</v>
      </c>
      <c r="AB194" s="807">
        <f t="shared" si="51"/>
        <v>11731.542372881357</v>
      </c>
      <c r="AC194" s="231">
        <f>'Idaho Data'!WA107</f>
        <v>-417.65004985044868</v>
      </c>
      <c r="AD194" s="823">
        <f>'Idaho Data'!WB107</f>
        <v>-6.7877356266392977E-2</v>
      </c>
      <c r="AE194" s="382"/>
      <c r="AF194" s="201" t="s">
        <v>128</v>
      </c>
      <c r="AG194" s="201"/>
      <c r="AH194" s="201"/>
      <c r="AI194" s="201"/>
      <c r="AJ194" s="381"/>
    </row>
    <row r="195" spans="2:36">
      <c r="B195" s="228" t="str">
        <f>'Idaho Data'!B108</f>
        <v>Mullan</v>
      </c>
      <c r="C195" s="405">
        <f>'Idaho Data'!ST108</f>
        <v>95</v>
      </c>
      <c r="D195" s="242">
        <f>'Idaho Data'!SE108</f>
        <v>766902.37894736847</v>
      </c>
      <c r="E195" s="243">
        <f>'Idaho Data'!SV108</f>
        <v>0.45794392523364486</v>
      </c>
      <c r="G195" s="794" t="str">
        <f>'Idaho Data'!UE108</f>
        <v>yes</v>
      </c>
      <c r="H195" s="801">
        <f>'Idaho Data'!VO108</f>
        <v>152257</v>
      </c>
      <c r="I195" s="800">
        <f>'Idaho Data'!VP108</f>
        <v>1330732</v>
      </c>
      <c r="J195" s="800"/>
      <c r="K195" s="800">
        <f>'Idaho Data'!VQ108</f>
        <v>599561</v>
      </c>
      <c r="L195" s="229">
        <f t="shared" si="49"/>
        <v>2082550</v>
      </c>
      <c r="M195" s="805">
        <f>'Idaho Data'!VR108</f>
        <v>152257</v>
      </c>
      <c r="N195" s="805">
        <f>'Idaho Data'!VS108</f>
        <v>544311</v>
      </c>
      <c r="O195" s="805">
        <f>'Idaho Data'!VT108 +'Idaho Data'!VU108</f>
        <v>599561</v>
      </c>
      <c r="P195" s="805">
        <f>'Idaho Data'!VU108</f>
        <v>0</v>
      </c>
      <c r="Q195" s="805">
        <f t="shared" si="52"/>
        <v>1296129</v>
      </c>
      <c r="R195" s="898">
        <f>'Idaho Data'!VS108-'Idaho Data'!VP108</f>
        <v>-786421</v>
      </c>
      <c r="S195" s="230">
        <f t="shared" si="53"/>
        <v>1602.7052631578947</v>
      </c>
      <c r="U195" s="230">
        <f t="shared" si="54"/>
        <v>14007.705263157895</v>
      </c>
      <c r="V195" s="230">
        <f t="shared" si="55"/>
        <v>6311.1684210526319</v>
      </c>
      <c r="W195" s="230">
        <f t="shared" si="56"/>
        <v>21921.578947368424</v>
      </c>
      <c r="X195" s="807">
        <f t="shared" si="57"/>
        <v>1602.7052631578947</v>
      </c>
      <c r="Y195" s="807">
        <f t="shared" si="58"/>
        <v>5729.5894736842101</v>
      </c>
      <c r="Z195" s="807">
        <f t="shared" si="59"/>
        <v>6311.1684210526319</v>
      </c>
      <c r="AA195" s="807">
        <f t="shared" si="50"/>
        <v>0</v>
      </c>
      <c r="AB195" s="807">
        <f t="shared" si="51"/>
        <v>13643.463157894737</v>
      </c>
      <c r="AC195" s="231">
        <f>'Idaho Data'!WA108</f>
        <v>-8278.1157894736843</v>
      </c>
      <c r="AD195" s="823">
        <f>'Idaho Data'!WB108</f>
        <v>-0.59096872999221484</v>
      </c>
      <c r="AE195" s="382"/>
      <c r="AF195" s="201" t="s">
        <v>199</v>
      </c>
      <c r="AG195" s="201"/>
      <c r="AH195" s="201"/>
      <c r="AI195" s="201"/>
      <c r="AJ195" s="381"/>
    </row>
    <row r="196" spans="2:36">
      <c r="B196" s="228" t="str">
        <f>'Idaho Data'!B109</f>
        <v>Wallace</v>
      </c>
      <c r="C196" s="405">
        <f>'Idaho Data'!ST109</f>
        <v>458</v>
      </c>
      <c r="D196" s="242">
        <f>'Idaho Data'!SE109</f>
        <v>522970.08515283844</v>
      </c>
      <c r="E196" s="243">
        <f>'Idaho Data'!SV109</f>
        <v>0.50819672131147542</v>
      </c>
      <c r="G196" s="794" t="str">
        <f>'Idaho Data'!UE109</f>
        <v/>
      </c>
      <c r="H196" s="801">
        <f>'Idaho Data'!VO109</f>
        <v>655249</v>
      </c>
      <c r="I196" s="800">
        <f>'Idaho Data'!VP109</f>
        <v>3176311</v>
      </c>
      <c r="J196" s="800"/>
      <c r="K196" s="800">
        <f>'Idaho Data'!VQ109</f>
        <v>2304737</v>
      </c>
      <c r="L196" s="229">
        <f t="shared" si="49"/>
        <v>6136297</v>
      </c>
      <c r="M196" s="805">
        <f>'Idaho Data'!VR109</f>
        <v>655249</v>
      </c>
      <c r="N196" s="805">
        <f>'Idaho Data'!VS109</f>
        <v>2608272</v>
      </c>
      <c r="O196" s="805">
        <f>'Idaho Data'!VT109 +'Idaho Data'!VU109</f>
        <v>2304737</v>
      </c>
      <c r="P196" s="805">
        <f>'Idaho Data'!VU109</f>
        <v>0</v>
      </c>
      <c r="Q196" s="805">
        <f t="shared" si="52"/>
        <v>5568258</v>
      </c>
      <c r="R196" s="898">
        <f>'Idaho Data'!VS109-'Idaho Data'!VP109</f>
        <v>-568039</v>
      </c>
      <c r="S196" s="230">
        <f t="shared" si="53"/>
        <v>1430.6746724890829</v>
      </c>
      <c r="U196" s="230">
        <f t="shared" si="54"/>
        <v>6935.1768558951962</v>
      </c>
      <c r="V196" s="230">
        <f t="shared" si="55"/>
        <v>5032.1768558951962</v>
      </c>
      <c r="W196" s="230">
        <f t="shared" si="56"/>
        <v>13398.028384279474</v>
      </c>
      <c r="X196" s="807">
        <f t="shared" si="57"/>
        <v>1430.6746724890829</v>
      </c>
      <c r="Y196" s="807">
        <f t="shared" si="58"/>
        <v>5694.9170305676853</v>
      </c>
      <c r="Z196" s="807">
        <f t="shared" si="59"/>
        <v>5032.1768558951962</v>
      </c>
      <c r="AA196" s="807">
        <f t="shared" si="50"/>
        <v>0</v>
      </c>
      <c r="AB196" s="807">
        <f t="shared" si="51"/>
        <v>12157.768558951964</v>
      </c>
      <c r="AC196" s="231">
        <f>'Idaho Data'!WA109</f>
        <v>-1240.259825327511</v>
      </c>
      <c r="AD196" s="823">
        <f>'Idaho Data'!WB109</f>
        <v>-0.17883607744959482</v>
      </c>
      <c r="AE196" s="382"/>
      <c r="AF196" s="201" t="s">
        <v>180</v>
      </c>
      <c r="AG196" s="201"/>
      <c r="AH196" s="201"/>
      <c r="AI196" s="201"/>
      <c r="AJ196" s="381"/>
    </row>
    <row r="197" spans="2:36">
      <c r="B197" s="228" t="str">
        <f>'Idaho Data'!B110</f>
        <v>Avery</v>
      </c>
      <c r="C197" s="405">
        <f>'Idaho Data'!ST110</f>
        <v>5</v>
      </c>
      <c r="D197" s="242">
        <f>'Idaho Data'!SE110</f>
        <v>23547814.600000001</v>
      </c>
      <c r="E197" s="243">
        <f>'Idaho Data'!SV110</f>
        <v>0</v>
      </c>
      <c r="G197" s="794" t="str">
        <f>'Idaho Data'!UE110</f>
        <v>yes</v>
      </c>
      <c r="H197" s="801">
        <f>'Idaho Data'!VO110</f>
        <v>33831</v>
      </c>
      <c r="I197" s="800">
        <f>'Idaho Data'!VP110</f>
        <v>289537</v>
      </c>
      <c r="J197" s="800"/>
      <c r="K197" s="800">
        <f>'Idaho Data'!VQ110</f>
        <v>177195</v>
      </c>
      <c r="L197" s="229">
        <f t="shared" si="49"/>
        <v>500563</v>
      </c>
      <c r="M197" s="805">
        <f>'Idaho Data'!VR110</f>
        <v>33831</v>
      </c>
      <c r="N197" s="805">
        <f>'Idaho Data'!VS110</f>
        <v>30393</v>
      </c>
      <c r="O197" s="805">
        <f>'Idaho Data'!VT110 +'Idaho Data'!VU110</f>
        <v>177195</v>
      </c>
      <c r="P197" s="805">
        <f>'Idaho Data'!VU110</f>
        <v>0</v>
      </c>
      <c r="Q197" s="805">
        <f t="shared" si="52"/>
        <v>241419</v>
      </c>
      <c r="R197" s="898">
        <f>'Idaho Data'!VS110-'Idaho Data'!VP110</f>
        <v>-259144</v>
      </c>
      <c r="S197" s="230">
        <f t="shared" si="53"/>
        <v>6766.2</v>
      </c>
      <c r="U197" s="230">
        <f t="shared" si="54"/>
        <v>57907.4</v>
      </c>
      <c r="V197" s="230">
        <f t="shared" si="55"/>
        <v>35439</v>
      </c>
      <c r="W197" s="230">
        <f t="shared" si="56"/>
        <v>100112.6</v>
      </c>
      <c r="X197" s="807">
        <f t="shared" si="57"/>
        <v>6766.2</v>
      </c>
      <c r="Y197" s="807">
        <f t="shared" si="58"/>
        <v>6078.6</v>
      </c>
      <c r="Z197" s="807">
        <f t="shared" si="59"/>
        <v>35439</v>
      </c>
      <c r="AA197" s="807">
        <f t="shared" si="50"/>
        <v>0</v>
      </c>
      <c r="AB197" s="807">
        <f t="shared" si="51"/>
        <v>48283.8</v>
      </c>
      <c r="AC197" s="231">
        <f>'Idaho Data'!WA110</f>
        <v>-51828.800000000003</v>
      </c>
      <c r="AD197" s="823">
        <f>'Idaho Data'!WB110</f>
        <v>-0.89502896002928811</v>
      </c>
      <c r="AE197" s="382"/>
      <c r="AF197" s="201" t="s">
        <v>139</v>
      </c>
      <c r="AG197" s="201"/>
      <c r="AH197" s="201"/>
      <c r="AI197" s="201"/>
      <c r="AJ197" s="381"/>
    </row>
    <row r="198" spans="2:36">
      <c r="B198" s="228" t="str">
        <f>'Idaho Data'!B111</f>
        <v>Teton County</v>
      </c>
      <c r="C198" s="405">
        <f>'Idaho Data'!ST111</f>
        <v>1625</v>
      </c>
      <c r="D198" s="242">
        <f>'Idaho Data'!SE111</f>
        <v>864859.20061538462</v>
      </c>
      <c r="E198" s="243">
        <f>'Idaho Data'!SV111</f>
        <v>0.46718576195773082</v>
      </c>
      <c r="G198" s="794" t="str">
        <f>'Idaho Data'!UE111</f>
        <v/>
      </c>
      <c r="H198" s="801">
        <f>'Idaho Data'!VO111</f>
        <v>1662539</v>
      </c>
      <c r="I198" s="800">
        <f>'Idaho Data'!VP111</f>
        <v>8925719</v>
      </c>
      <c r="J198" s="800"/>
      <c r="K198" s="800">
        <f>'Idaho Data'!VQ111</f>
        <v>5937881</v>
      </c>
      <c r="L198" s="229">
        <f t="shared" si="49"/>
        <v>16526139</v>
      </c>
      <c r="M198" s="805">
        <f>'Idaho Data'!VR111</f>
        <v>1662539</v>
      </c>
      <c r="N198" s="805">
        <f>'Idaho Data'!VS111</f>
        <v>9374859</v>
      </c>
      <c r="O198" s="805">
        <f>'Idaho Data'!VT111 +'Idaho Data'!VU111</f>
        <v>5937881</v>
      </c>
      <c r="P198" s="805">
        <f>'Idaho Data'!VU111</f>
        <v>0</v>
      </c>
      <c r="Q198" s="805">
        <f t="shared" si="52"/>
        <v>16975279</v>
      </c>
      <c r="R198" s="898">
        <f>'Idaho Data'!VS111-'Idaho Data'!VP111</f>
        <v>449140</v>
      </c>
      <c r="S198" s="230">
        <f t="shared" si="53"/>
        <v>1023.1009230769231</v>
      </c>
      <c r="U198" s="230">
        <f t="shared" si="54"/>
        <v>5492.7501538461538</v>
      </c>
      <c r="V198" s="230">
        <f t="shared" si="55"/>
        <v>3654.0806153846152</v>
      </c>
      <c r="W198" s="230">
        <f t="shared" si="56"/>
        <v>10169.931692307691</v>
      </c>
      <c r="X198" s="807">
        <f t="shared" si="57"/>
        <v>1023.1009230769231</v>
      </c>
      <c r="Y198" s="807">
        <f t="shared" si="58"/>
        <v>5769.1440000000002</v>
      </c>
      <c r="Z198" s="807">
        <f t="shared" si="59"/>
        <v>3654.0806153846152</v>
      </c>
      <c r="AA198" s="807">
        <f t="shared" si="50"/>
        <v>0</v>
      </c>
      <c r="AB198" s="807">
        <f t="shared" si="51"/>
        <v>10446.325538461539</v>
      </c>
      <c r="AC198" s="231">
        <f>'Idaho Data'!WA111</f>
        <v>276.39384615384614</v>
      </c>
      <c r="AD198" s="823">
        <f>'Idaho Data'!WB111</f>
        <v>5.0319755753009926E-2</v>
      </c>
      <c r="AE198" s="382"/>
      <c r="AF198" s="201" t="s">
        <v>259</v>
      </c>
      <c r="AG198" s="201"/>
      <c r="AH198" s="201"/>
      <c r="AI198" s="201"/>
      <c r="AJ198" s="381"/>
    </row>
    <row r="199" spans="2:36">
      <c r="B199" s="228" t="str">
        <f>'Idaho Data'!B112</f>
        <v>Twin Falls</v>
      </c>
      <c r="C199" s="405">
        <f>'Idaho Data'!ST112</f>
        <v>8238</v>
      </c>
      <c r="D199" s="242">
        <f>'Idaho Data'!SE112</f>
        <v>343142.58946346201</v>
      </c>
      <c r="E199" s="243">
        <f>'Idaho Data'!SV112</f>
        <v>0.59374306634124696</v>
      </c>
      <c r="G199" s="794" t="str">
        <f>'Idaho Data'!UE112</f>
        <v/>
      </c>
      <c r="H199" s="801">
        <f>'Idaho Data'!VO112</f>
        <v>8839305</v>
      </c>
      <c r="I199" s="800">
        <f>'Idaho Data'!VP112</f>
        <v>46617364</v>
      </c>
      <c r="J199" s="800"/>
      <c r="K199" s="800">
        <f>'Idaho Data'!VQ112</f>
        <v>20058738</v>
      </c>
      <c r="L199" s="229">
        <f t="shared" si="49"/>
        <v>75515407</v>
      </c>
      <c r="M199" s="805">
        <f>'Idaho Data'!VR112</f>
        <v>8839305</v>
      </c>
      <c r="N199" s="805">
        <f>'Idaho Data'!VS112</f>
        <v>47529126</v>
      </c>
      <c r="O199" s="805">
        <f>'Idaho Data'!VT112 +'Idaho Data'!VU112</f>
        <v>20058738</v>
      </c>
      <c r="P199" s="805">
        <f>'Idaho Data'!VU112</f>
        <v>0</v>
      </c>
      <c r="Q199" s="805">
        <f t="shared" si="52"/>
        <v>76427169</v>
      </c>
      <c r="R199" s="898">
        <f>'Idaho Data'!VS112-'Idaho Data'!VP112</f>
        <v>911762</v>
      </c>
      <c r="S199" s="230">
        <f t="shared" si="53"/>
        <v>1072.9916241806263</v>
      </c>
      <c r="U199" s="230">
        <f t="shared" si="54"/>
        <v>5658.8205875212434</v>
      </c>
      <c r="V199" s="230">
        <f t="shared" si="55"/>
        <v>2434.9038601602329</v>
      </c>
      <c r="W199" s="230">
        <f t="shared" si="56"/>
        <v>9166.7160718621035</v>
      </c>
      <c r="X199" s="807">
        <f t="shared" si="57"/>
        <v>1072.9916241806263</v>
      </c>
      <c r="Y199" s="807">
        <f t="shared" si="58"/>
        <v>5769.498179169701</v>
      </c>
      <c r="Z199" s="807">
        <f t="shared" si="59"/>
        <v>2434.9038601602329</v>
      </c>
      <c r="AA199" s="807">
        <f t="shared" si="50"/>
        <v>0</v>
      </c>
      <c r="AB199" s="807">
        <f t="shared" si="51"/>
        <v>9277.3936635105601</v>
      </c>
      <c r="AC199" s="231">
        <f>'Idaho Data'!WA112</f>
        <v>110.67759164845836</v>
      </c>
      <c r="AD199" s="823">
        <f>'Idaho Data'!WB112</f>
        <v>1.9558420334534574E-2</v>
      </c>
      <c r="AE199" s="382"/>
      <c r="AF199" s="201" t="s">
        <v>235</v>
      </c>
      <c r="AG199" s="201"/>
      <c r="AH199" s="201"/>
      <c r="AI199" s="201"/>
      <c r="AJ199" s="381"/>
    </row>
    <row r="200" spans="2:36">
      <c r="B200" s="228" t="str">
        <f>'Idaho Data'!B113</f>
        <v>Buhl Joint</v>
      </c>
      <c r="C200" s="405">
        <f>'Idaho Data'!ST113</f>
        <v>1176</v>
      </c>
      <c r="D200" s="242">
        <f>'Idaho Data'!SE113</f>
        <v>494659.71428571426</v>
      </c>
      <c r="E200" s="243">
        <f>'Idaho Data'!SV113</f>
        <v>0.66640502354788067</v>
      </c>
      <c r="G200" s="794" t="str">
        <f>'Idaho Data'!UE113</f>
        <v/>
      </c>
      <c r="H200" s="801">
        <f>'Idaho Data'!VO113</f>
        <v>2075675</v>
      </c>
      <c r="I200" s="800">
        <f>'Idaho Data'!VP113</f>
        <v>6795250</v>
      </c>
      <c r="J200" s="800"/>
      <c r="K200" s="800">
        <f>'Idaho Data'!VQ113</f>
        <v>1913402</v>
      </c>
      <c r="L200" s="229">
        <f t="shared" si="49"/>
        <v>10784327</v>
      </c>
      <c r="M200" s="805">
        <f>'Idaho Data'!VR113</f>
        <v>2075675</v>
      </c>
      <c r="N200" s="805">
        <f>'Idaho Data'!VS113</f>
        <v>6769350</v>
      </c>
      <c r="O200" s="805">
        <f>'Idaho Data'!VT113 +'Idaho Data'!VU113</f>
        <v>1913402</v>
      </c>
      <c r="P200" s="805">
        <f>'Idaho Data'!VU113</f>
        <v>0</v>
      </c>
      <c r="Q200" s="805">
        <f t="shared" si="52"/>
        <v>10758427</v>
      </c>
      <c r="R200" s="898">
        <f>'Idaho Data'!VS113-'Idaho Data'!VP113</f>
        <v>-25900</v>
      </c>
      <c r="S200" s="230">
        <f t="shared" si="53"/>
        <v>1765.0297619047619</v>
      </c>
      <c r="U200" s="230">
        <f t="shared" si="54"/>
        <v>5778.2738095238092</v>
      </c>
      <c r="V200" s="230">
        <f t="shared" si="55"/>
        <v>1627.0425170068027</v>
      </c>
      <c r="W200" s="230">
        <f t="shared" si="56"/>
        <v>9170.3460884353735</v>
      </c>
      <c r="X200" s="807">
        <f t="shared" si="57"/>
        <v>1765.0297619047619</v>
      </c>
      <c r="Y200" s="807">
        <f t="shared" si="58"/>
        <v>5756.25</v>
      </c>
      <c r="Z200" s="807">
        <f t="shared" si="59"/>
        <v>1627.0425170068027</v>
      </c>
      <c r="AA200" s="807">
        <f t="shared" si="50"/>
        <v>0</v>
      </c>
      <c r="AB200" s="807">
        <f t="shared" si="51"/>
        <v>9148.3222789115644</v>
      </c>
      <c r="AC200" s="231">
        <f>'Idaho Data'!WA113</f>
        <v>-22.023809523809526</v>
      </c>
      <c r="AD200" s="823">
        <f>'Idaho Data'!WB113</f>
        <v>-3.8114859644604688E-3</v>
      </c>
      <c r="AE200" s="382"/>
      <c r="AF200" s="201" t="s">
        <v>133</v>
      </c>
      <c r="AG200" s="201"/>
      <c r="AH200" s="201"/>
      <c r="AI200" s="201"/>
      <c r="AJ200" s="381"/>
    </row>
    <row r="201" spans="2:36">
      <c r="B201" s="228" t="str">
        <f>'Idaho Data'!B114</f>
        <v>Filer</v>
      </c>
      <c r="C201" s="405">
        <f>'Idaho Data'!ST114</f>
        <v>1495</v>
      </c>
      <c r="D201" s="242">
        <f>'Idaho Data'!SE114</f>
        <v>309585.56254180602</v>
      </c>
      <c r="E201" s="243">
        <f>'Idaho Data'!SV114</f>
        <v>0.46276923076923077</v>
      </c>
      <c r="G201" s="794" t="str">
        <f>'Idaho Data'!UE114</f>
        <v/>
      </c>
      <c r="H201" s="801">
        <f>'Idaho Data'!VO114</f>
        <v>1109352</v>
      </c>
      <c r="I201" s="800">
        <f>'Idaho Data'!VP114</f>
        <v>8756643</v>
      </c>
      <c r="J201" s="800"/>
      <c r="K201" s="800">
        <f>'Idaho Data'!VQ114</f>
        <v>2611603</v>
      </c>
      <c r="L201" s="229">
        <f t="shared" si="49"/>
        <v>12477598</v>
      </c>
      <c r="M201" s="805">
        <f>'Idaho Data'!VR114</f>
        <v>1109352</v>
      </c>
      <c r="N201" s="805">
        <f>'Idaho Data'!VS114</f>
        <v>8562537</v>
      </c>
      <c r="O201" s="805">
        <f>'Idaho Data'!VT114 +'Idaho Data'!VU114</f>
        <v>2611603</v>
      </c>
      <c r="P201" s="805">
        <f>'Idaho Data'!VU114</f>
        <v>0</v>
      </c>
      <c r="Q201" s="805">
        <f t="shared" si="52"/>
        <v>12283492</v>
      </c>
      <c r="R201" s="898">
        <f>'Idaho Data'!VS114-'Idaho Data'!VP114</f>
        <v>-194106</v>
      </c>
      <c r="S201" s="230">
        <f t="shared" si="53"/>
        <v>742.0414715719063</v>
      </c>
      <c r="U201" s="230">
        <f t="shared" si="54"/>
        <v>5857.2862876254185</v>
      </c>
      <c r="V201" s="230">
        <f t="shared" si="55"/>
        <v>1746.8916387959866</v>
      </c>
      <c r="W201" s="230">
        <f t="shared" si="56"/>
        <v>8346.2193979933108</v>
      </c>
      <c r="X201" s="807">
        <f t="shared" si="57"/>
        <v>742.0414715719063</v>
      </c>
      <c r="Y201" s="807">
        <f t="shared" si="58"/>
        <v>5727.4494983277591</v>
      </c>
      <c r="Z201" s="807">
        <f t="shared" si="59"/>
        <v>1746.8916387959866</v>
      </c>
      <c r="AA201" s="807">
        <f t="shared" si="50"/>
        <v>0</v>
      </c>
      <c r="AB201" s="807">
        <f t="shared" si="51"/>
        <v>8216.3826086956524</v>
      </c>
      <c r="AC201" s="231">
        <f>'Idaho Data'!WA114</f>
        <v>-129.83678929765887</v>
      </c>
      <c r="AD201" s="823">
        <f>'Idaho Data'!WB114</f>
        <v>-2.2166713887959117E-2</v>
      </c>
      <c r="AE201" s="382"/>
      <c r="AF201" s="201" t="s">
        <v>193</v>
      </c>
      <c r="AG201" s="201"/>
      <c r="AH201" s="201"/>
      <c r="AI201" s="201"/>
      <c r="AJ201" s="381"/>
    </row>
    <row r="202" spans="2:36">
      <c r="B202" s="228" t="str">
        <f>'Idaho Data'!B115</f>
        <v>Kimberly</v>
      </c>
      <c r="C202" s="405">
        <f>'Idaho Data'!ST115</f>
        <v>1650</v>
      </c>
      <c r="D202" s="242">
        <f>'Idaho Data'!SE115</f>
        <v>235645.31878787879</v>
      </c>
      <c r="E202" s="243">
        <f>'Idaho Data'!SV115</f>
        <v>0.34390112842557763</v>
      </c>
      <c r="G202" s="794" t="str">
        <f>'Idaho Data'!UE115</f>
        <v/>
      </c>
      <c r="H202" s="801">
        <f>'Idaho Data'!VO115</f>
        <v>1099950</v>
      </c>
      <c r="I202" s="800">
        <f>'Idaho Data'!VP115</f>
        <v>9441169</v>
      </c>
      <c r="J202" s="800"/>
      <c r="K202" s="800">
        <f>'Idaho Data'!VQ115</f>
        <v>1922005</v>
      </c>
      <c r="L202" s="229">
        <f t="shared" si="49"/>
        <v>12463124</v>
      </c>
      <c r="M202" s="805">
        <f>'Idaho Data'!VR115</f>
        <v>1099950</v>
      </c>
      <c r="N202" s="805">
        <f>'Idaho Data'!VS115</f>
        <v>9507483</v>
      </c>
      <c r="O202" s="805">
        <f>'Idaho Data'!VT115 +'Idaho Data'!VU115</f>
        <v>1922005</v>
      </c>
      <c r="P202" s="805">
        <f>'Idaho Data'!VU115</f>
        <v>0</v>
      </c>
      <c r="Q202" s="805">
        <f t="shared" si="52"/>
        <v>12529438</v>
      </c>
      <c r="R202" s="898">
        <f>'Idaho Data'!VS115-'Idaho Data'!VP115</f>
        <v>66314</v>
      </c>
      <c r="S202" s="230">
        <f t="shared" si="53"/>
        <v>666.63636363636363</v>
      </c>
      <c r="U202" s="230">
        <f t="shared" si="54"/>
        <v>5721.9206060606057</v>
      </c>
      <c r="V202" s="230">
        <f t="shared" si="55"/>
        <v>1164.8515151515151</v>
      </c>
      <c r="W202" s="230">
        <f t="shared" si="56"/>
        <v>7553.4084848484845</v>
      </c>
      <c r="X202" s="807">
        <f t="shared" si="57"/>
        <v>666.63636363636363</v>
      </c>
      <c r="Y202" s="807">
        <f t="shared" si="58"/>
        <v>5762.1109090909094</v>
      </c>
      <c r="Z202" s="807">
        <f t="shared" si="59"/>
        <v>1164.8515151515151</v>
      </c>
      <c r="AA202" s="807">
        <f t="shared" si="50"/>
        <v>0</v>
      </c>
      <c r="AB202" s="807">
        <f t="shared" si="51"/>
        <v>7593.5987878787882</v>
      </c>
      <c r="AC202" s="231">
        <f>'Idaho Data'!WA115</f>
        <v>40.190303030303028</v>
      </c>
      <c r="AD202" s="823">
        <f>'Idaho Data'!WB115</f>
        <v>7.0239183304525105E-3</v>
      </c>
      <c r="AE202" s="382"/>
      <c r="AF202" s="201" t="s">
        <v>143</v>
      </c>
      <c r="AG202" s="201"/>
      <c r="AH202" s="201"/>
      <c r="AI202" s="201"/>
      <c r="AJ202" s="381"/>
    </row>
    <row r="203" spans="2:36">
      <c r="B203" s="228" t="str">
        <f>'Idaho Data'!B116</f>
        <v>Hansen</v>
      </c>
      <c r="C203" s="405">
        <f>'Idaho Data'!ST116</f>
        <v>281</v>
      </c>
      <c r="D203" s="242">
        <f>'Idaho Data'!SE116</f>
        <v>494399.70818505337</v>
      </c>
      <c r="E203" s="243">
        <f>'Idaho Data'!SV116</f>
        <v>0.78333333333333333</v>
      </c>
      <c r="G203" s="794" t="str">
        <f>'Idaho Data'!UE116</f>
        <v>yes</v>
      </c>
      <c r="H203" s="801">
        <f>'Idaho Data'!VO116</f>
        <v>672339</v>
      </c>
      <c r="I203" s="800">
        <f>'Idaho Data'!VP116</f>
        <v>2166516</v>
      </c>
      <c r="J203" s="800"/>
      <c r="K203" s="800">
        <f>'Idaho Data'!VQ116</f>
        <v>575155</v>
      </c>
      <c r="L203" s="229">
        <f t="shared" si="49"/>
        <v>3414010</v>
      </c>
      <c r="M203" s="805">
        <f>'Idaho Data'!VR116</f>
        <v>672339</v>
      </c>
      <c r="N203" s="805">
        <f>'Idaho Data'!VS116</f>
        <v>1643985</v>
      </c>
      <c r="O203" s="805">
        <f>'Idaho Data'!VT116 +'Idaho Data'!VU116</f>
        <v>575155</v>
      </c>
      <c r="P203" s="805">
        <f>'Idaho Data'!VU116</f>
        <v>0</v>
      </c>
      <c r="Q203" s="805">
        <f t="shared" si="52"/>
        <v>2891479</v>
      </c>
      <c r="R203" s="898">
        <f>'Idaho Data'!VS116-'Idaho Data'!VP116</f>
        <v>-522531</v>
      </c>
      <c r="S203" s="230">
        <f t="shared" si="53"/>
        <v>2392.6654804270461</v>
      </c>
      <c r="U203" s="230">
        <f t="shared" si="54"/>
        <v>7710.021352313167</v>
      </c>
      <c r="V203" s="230">
        <f t="shared" si="55"/>
        <v>2046.8149466192172</v>
      </c>
      <c r="W203" s="230">
        <f t="shared" si="56"/>
        <v>12149.501779359431</v>
      </c>
      <c r="X203" s="807">
        <f t="shared" si="57"/>
        <v>2392.6654804270461</v>
      </c>
      <c r="Y203" s="807">
        <f t="shared" si="58"/>
        <v>5850.4804270462637</v>
      </c>
      <c r="Z203" s="807">
        <f t="shared" si="59"/>
        <v>2046.8149466192172</v>
      </c>
      <c r="AA203" s="807">
        <f t="shared" si="50"/>
        <v>0</v>
      </c>
      <c r="AB203" s="807">
        <f t="shared" si="51"/>
        <v>10289.960854092527</v>
      </c>
      <c r="AC203" s="231">
        <f>'Idaho Data'!WA116</f>
        <v>-1859.540925266904</v>
      </c>
      <c r="AD203" s="823">
        <f>'Idaho Data'!WB116</f>
        <v>-0.24118492547481762</v>
      </c>
      <c r="AE203" s="382"/>
      <c r="AF203" s="201" t="s">
        <v>1159</v>
      </c>
      <c r="AG203" s="201"/>
      <c r="AH203" s="201"/>
      <c r="AI203" s="201"/>
      <c r="AJ203" s="381"/>
    </row>
    <row r="204" spans="2:36">
      <c r="B204" s="228" t="str">
        <f>'Idaho Data'!B117</f>
        <v>Three Creek Joint Elementary</v>
      </c>
      <c r="C204" s="405">
        <f>'Idaho Data'!ST117</f>
        <v>9</v>
      </c>
      <c r="D204" s="242">
        <f>'Idaho Data'!SE117</f>
        <v>2157215.6666666665</v>
      </c>
      <c r="E204" s="243">
        <f>'Idaho Data'!SV117</f>
        <v>0</v>
      </c>
      <c r="G204" s="794" t="str">
        <f>'Idaho Data'!UE117</f>
        <v>yes</v>
      </c>
      <c r="H204" s="801">
        <f>'Idaho Data'!VO117</f>
        <v>17675</v>
      </c>
      <c r="I204" s="800">
        <f>'Idaho Data'!VP117</f>
        <v>138780</v>
      </c>
      <c r="J204" s="800"/>
      <c r="K204" s="800">
        <f>'Idaho Data'!VQ117</f>
        <v>25843</v>
      </c>
      <c r="L204" s="229">
        <f t="shared" si="49"/>
        <v>182298</v>
      </c>
      <c r="M204" s="805">
        <f>'Idaho Data'!VR117</f>
        <v>17675</v>
      </c>
      <c r="N204" s="805">
        <f>'Idaho Data'!VS117</f>
        <v>55260</v>
      </c>
      <c r="O204" s="805">
        <f>'Idaho Data'!VT117 +'Idaho Data'!VU117</f>
        <v>25843</v>
      </c>
      <c r="P204" s="805">
        <f>'Idaho Data'!VU117</f>
        <v>0</v>
      </c>
      <c r="Q204" s="805">
        <f t="shared" si="52"/>
        <v>98778</v>
      </c>
      <c r="R204" s="898">
        <f>'Idaho Data'!VS117-'Idaho Data'!VP117</f>
        <v>-83520</v>
      </c>
      <c r="S204" s="230">
        <f t="shared" si="53"/>
        <v>1963.8888888888889</v>
      </c>
      <c r="U204" s="230">
        <f t="shared" si="54"/>
        <v>15420</v>
      </c>
      <c r="V204" s="230">
        <f t="shared" si="55"/>
        <v>2871.4444444444443</v>
      </c>
      <c r="W204" s="230">
        <f t="shared" si="56"/>
        <v>20255.333333333336</v>
      </c>
      <c r="X204" s="807">
        <f t="shared" si="57"/>
        <v>1963.8888888888889</v>
      </c>
      <c r="Y204" s="807">
        <f t="shared" si="58"/>
        <v>6140</v>
      </c>
      <c r="Z204" s="807">
        <f t="shared" si="59"/>
        <v>2871.4444444444443</v>
      </c>
      <c r="AA204" s="807">
        <f t="shared" si="50"/>
        <v>0</v>
      </c>
      <c r="AB204" s="807">
        <f t="shared" si="51"/>
        <v>10975.333333333332</v>
      </c>
      <c r="AC204" s="231">
        <f>'Idaho Data'!WA117</f>
        <v>-9280</v>
      </c>
      <c r="AD204" s="823">
        <f>'Idaho Data'!WB117</f>
        <v>-0.60181582360570685</v>
      </c>
      <c r="AE204" s="382"/>
      <c r="AF204" s="201" t="s">
        <v>135</v>
      </c>
      <c r="AG204" s="201"/>
      <c r="AH204" s="201"/>
      <c r="AI204" s="201"/>
      <c r="AJ204" s="381"/>
    </row>
    <row r="205" spans="2:36">
      <c r="B205" s="228" t="str">
        <f>'Idaho Data'!B118</f>
        <v>Castleford Joint</v>
      </c>
      <c r="C205" s="405">
        <f>'Idaho Data'!ST118</f>
        <v>280</v>
      </c>
      <c r="D205" s="242">
        <f>'Idaho Data'!SE118</f>
        <v>555701.07857142854</v>
      </c>
      <c r="E205" s="243">
        <f>'Idaho Data'!SV118</f>
        <v>0.65346534653465349</v>
      </c>
      <c r="G205" s="794" t="str">
        <f>'Idaho Data'!UE118</f>
        <v>yes</v>
      </c>
      <c r="H205" s="801">
        <f>'Idaho Data'!VO118</f>
        <v>220635</v>
      </c>
      <c r="I205" s="800">
        <f>'Idaho Data'!VP118</f>
        <v>2281192</v>
      </c>
      <c r="J205" s="800"/>
      <c r="K205" s="800">
        <f>'Idaho Data'!VQ118</f>
        <v>526083</v>
      </c>
      <c r="L205" s="229">
        <f t="shared" si="49"/>
        <v>3027910</v>
      </c>
      <c r="M205" s="805">
        <f>'Idaho Data'!VR118</f>
        <v>220635</v>
      </c>
      <c r="N205" s="805">
        <f>'Idaho Data'!VS118</f>
        <v>1635696</v>
      </c>
      <c r="O205" s="805">
        <f>'Idaho Data'!VT118 +'Idaho Data'!VU118</f>
        <v>526083</v>
      </c>
      <c r="P205" s="805">
        <f>'Idaho Data'!VU118</f>
        <v>0</v>
      </c>
      <c r="Q205" s="805">
        <f t="shared" si="52"/>
        <v>2382414</v>
      </c>
      <c r="R205" s="898">
        <f>'Idaho Data'!VS118-'Idaho Data'!VP118</f>
        <v>-645496</v>
      </c>
      <c r="S205" s="230">
        <f t="shared" si="53"/>
        <v>787.98214285714289</v>
      </c>
      <c r="U205" s="230">
        <f t="shared" si="54"/>
        <v>8147.1142857142859</v>
      </c>
      <c r="V205" s="230">
        <f t="shared" si="55"/>
        <v>1878.8678571428572</v>
      </c>
      <c r="W205" s="230">
        <f t="shared" si="56"/>
        <v>10813.964285714286</v>
      </c>
      <c r="X205" s="807">
        <f t="shared" si="57"/>
        <v>787.98214285714289</v>
      </c>
      <c r="Y205" s="807">
        <f t="shared" si="58"/>
        <v>5841.7714285714283</v>
      </c>
      <c r="Z205" s="807">
        <f t="shared" si="59"/>
        <v>1878.8678571428572</v>
      </c>
      <c r="AA205" s="807">
        <f t="shared" si="50"/>
        <v>0</v>
      </c>
      <c r="AB205" s="807">
        <f t="shared" si="51"/>
        <v>8508.6214285714286</v>
      </c>
      <c r="AC205" s="231">
        <f>'Idaho Data'!WA118</f>
        <v>-2305.3428571428572</v>
      </c>
      <c r="AD205" s="823">
        <f>'Idaho Data'!WB118</f>
        <v>-0.28296434495649642</v>
      </c>
      <c r="AE205" s="382"/>
      <c r="AF205" s="201" t="s">
        <v>198</v>
      </c>
      <c r="AG205" s="201"/>
      <c r="AH205" s="201"/>
      <c r="AI205" s="201"/>
      <c r="AJ205" s="381"/>
    </row>
    <row r="206" spans="2:36">
      <c r="B206" s="228" t="str">
        <f>'Idaho Data'!B119</f>
        <v>Murtaugh Joint</v>
      </c>
      <c r="C206" s="405">
        <f>'Idaho Data'!ST119</f>
        <v>258</v>
      </c>
      <c r="D206" s="242">
        <f>'Idaho Data'!SE119</f>
        <v>578501.56589147286</v>
      </c>
      <c r="E206" s="243">
        <f>'Idaho Data'!SV119</f>
        <v>0.75163398692810457</v>
      </c>
      <c r="G206" s="794" t="str">
        <f>'Idaho Data'!UE119</f>
        <v>yes</v>
      </c>
      <c r="H206" s="801">
        <f>'Idaho Data'!VO119</f>
        <v>607684</v>
      </c>
      <c r="I206" s="800">
        <f>'Idaho Data'!VP119</f>
        <v>1909115</v>
      </c>
      <c r="J206" s="800"/>
      <c r="K206" s="800">
        <f>'Idaho Data'!VQ119</f>
        <v>511462</v>
      </c>
      <c r="L206" s="229">
        <f t="shared" si="49"/>
        <v>3028261</v>
      </c>
      <c r="M206" s="805">
        <f>'Idaho Data'!VR119</f>
        <v>607684</v>
      </c>
      <c r="N206" s="805">
        <f>'Idaho Data'!VS119</f>
        <v>1494783</v>
      </c>
      <c r="O206" s="805">
        <f>'Idaho Data'!VT119 +'Idaho Data'!VU119</f>
        <v>511462</v>
      </c>
      <c r="P206" s="805">
        <f>'Idaho Data'!VU119</f>
        <v>0</v>
      </c>
      <c r="Q206" s="805">
        <f t="shared" si="52"/>
        <v>2613929</v>
      </c>
      <c r="R206" s="898">
        <f>'Idaho Data'!VS119-'Idaho Data'!VP119</f>
        <v>-414332</v>
      </c>
      <c r="S206" s="230">
        <f t="shared" si="53"/>
        <v>2355.3643410852715</v>
      </c>
      <c r="U206" s="230">
        <f t="shared" si="54"/>
        <v>7399.6705426356593</v>
      </c>
      <c r="V206" s="230">
        <f t="shared" si="55"/>
        <v>1982.4108527131782</v>
      </c>
      <c r="W206" s="230">
        <f t="shared" si="56"/>
        <v>11737.445736434109</v>
      </c>
      <c r="X206" s="807">
        <f t="shared" si="57"/>
        <v>2355.3643410852715</v>
      </c>
      <c r="Y206" s="807">
        <f t="shared" si="58"/>
        <v>5793.7325581395353</v>
      </c>
      <c r="Z206" s="807">
        <f t="shared" si="59"/>
        <v>1982.4108527131782</v>
      </c>
      <c r="AA206" s="807">
        <f t="shared" si="50"/>
        <v>0</v>
      </c>
      <c r="AB206" s="807">
        <f t="shared" si="51"/>
        <v>10131.507751937985</v>
      </c>
      <c r="AC206" s="231">
        <f>'Idaho Data'!WA119</f>
        <v>-1605.937984496124</v>
      </c>
      <c r="AD206" s="823">
        <f>'Idaho Data'!WB119</f>
        <v>-0.21702830892848257</v>
      </c>
      <c r="AE206" s="382"/>
      <c r="AF206" s="201" t="s">
        <v>195</v>
      </c>
      <c r="AG206" s="201"/>
      <c r="AH206" s="201"/>
      <c r="AI206" s="201"/>
      <c r="AJ206" s="381"/>
    </row>
    <row r="207" spans="2:36">
      <c r="B207" s="228" t="str">
        <f>'Idaho Data'!B120</f>
        <v>McCall-Donnelly Joint</v>
      </c>
      <c r="C207" s="405">
        <f>'Idaho Data'!ST120</f>
        <v>969</v>
      </c>
      <c r="D207" s="242">
        <f>'Idaho Data'!SE120</f>
        <v>2930262.5644994839</v>
      </c>
      <c r="E207" s="243">
        <f>'Idaho Data'!SV120</f>
        <v>0.33653846153846156</v>
      </c>
      <c r="G207" s="794" t="str">
        <f>'Idaho Data'!UE120</f>
        <v/>
      </c>
      <c r="H207" s="801">
        <f>'Idaho Data'!VO120</f>
        <v>1002270</v>
      </c>
      <c r="I207" s="800">
        <f>'Idaho Data'!VP120</f>
        <v>6029728</v>
      </c>
      <c r="J207" s="800"/>
      <c r="K207" s="800">
        <f>'Idaho Data'!VQ120</f>
        <v>8342144</v>
      </c>
      <c r="L207" s="229">
        <f t="shared" si="49"/>
        <v>15374142</v>
      </c>
      <c r="M207" s="805">
        <f>'Idaho Data'!VR120</f>
        <v>1002270</v>
      </c>
      <c r="N207" s="805">
        <f>'Idaho Data'!VS120</f>
        <v>5548104</v>
      </c>
      <c r="O207" s="805">
        <f>'Idaho Data'!VT120 +'Idaho Data'!VU120</f>
        <v>8342144</v>
      </c>
      <c r="P207" s="805">
        <f>'Idaho Data'!VU120</f>
        <v>0</v>
      </c>
      <c r="Q207" s="805">
        <f t="shared" si="52"/>
        <v>14892518</v>
      </c>
      <c r="R207" s="898">
        <f>'Idaho Data'!VS120-'Idaho Data'!VP120</f>
        <v>-481624</v>
      </c>
      <c r="S207" s="230">
        <f t="shared" si="53"/>
        <v>1034.3343653250774</v>
      </c>
      <c r="U207" s="230">
        <f t="shared" si="54"/>
        <v>6222.62951496388</v>
      </c>
      <c r="V207" s="230">
        <f t="shared" si="55"/>
        <v>8609.0237358101131</v>
      </c>
      <c r="W207" s="230">
        <f t="shared" si="56"/>
        <v>15865.987616099072</v>
      </c>
      <c r="X207" s="807">
        <f t="shared" si="57"/>
        <v>1034.3343653250774</v>
      </c>
      <c r="Y207" s="807">
        <f t="shared" si="58"/>
        <v>5725.5975232198143</v>
      </c>
      <c r="Z207" s="807">
        <f t="shared" si="59"/>
        <v>8609.0237358101131</v>
      </c>
      <c r="AA207" s="807">
        <f t="shared" si="50"/>
        <v>0</v>
      </c>
      <c r="AB207" s="807">
        <f t="shared" si="51"/>
        <v>15368.955624355005</v>
      </c>
      <c r="AC207" s="231">
        <f>'Idaho Data'!WA120</f>
        <v>-497.03199174406603</v>
      </c>
      <c r="AD207" s="823">
        <f>'Idaho Data'!WB120</f>
        <v>-7.9874913097240874E-2</v>
      </c>
      <c r="AE207" s="382"/>
      <c r="AF207" s="201" t="s">
        <v>110</v>
      </c>
      <c r="AG207" s="201"/>
      <c r="AH207" s="201"/>
      <c r="AI207" s="201"/>
      <c r="AJ207" s="381"/>
    </row>
    <row r="208" spans="2:36">
      <c r="B208" s="228" t="str">
        <f>'Idaho Data'!B121</f>
        <v>Cascade</v>
      </c>
      <c r="C208" s="405">
        <f>'Idaho Data'!ST121</f>
        <v>257</v>
      </c>
      <c r="D208" s="242">
        <f>'Idaho Data'!SE121</f>
        <v>1823952.7859922179</v>
      </c>
      <c r="E208" s="243">
        <f>'Idaho Data'!SV121</f>
        <v>0.6</v>
      </c>
      <c r="G208" s="794" t="str">
        <f>'Idaho Data'!UE121</f>
        <v>yes</v>
      </c>
      <c r="H208" s="801">
        <f>'Idaho Data'!VO121</f>
        <v>352448</v>
      </c>
      <c r="I208" s="800">
        <f>'Idaho Data'!VP121</f>
        <v>1979535</v>
      </c>
      <c r="J208" s="800"/>
      <c r="K208" s="800">
        <f>'Idaho Data'!VQ121</f>
        <v>758629</v>
      </c>
      <c r="L208" s="229">
        <f t="shared" si="49"/>
        <v>3090612</v>
      </c>
      <c r="M208" s="805">
        <f>'Idaho Data'!VR121</f>
        <v>352448</v>
      </c>
      <c r="N208" s="805">
        <f>'Idaho Data'!VS121</f>
        <v>1461627</v>
      </c>
      <c r="O208" s="805">
        <f>'Idaho Data'!VT121 +'Idaho Data'!VU121</f>
        <v>758629</v>
      </c>
      <c r="P208" s="805">
        <f>'Idaho Data'!VU121</f>
        <v>0</v>
      </c>
      <c r="Q208" s="805">
        <f t="shared" si="52"/>
        <v>2572704</v>
      </c>
      <c r="R208" s="898">
        <f>'Idaho Data'!VS121-'Idaho Data'!VP121</f>
        <v>-517908</v>
      </c>
      <c r="S208" s="230">
        <f t="shared" si="53"/>
        <v>1371.3929961089493</v>
      </c>
      <c r="U208" s="230">
        <f t="shared" si="54"/>
        <v>7702.470817120623</v>
      </c>
      <c r="V208" s="230">
        <f t="shared" si="55"/>
        <v>2951.8638132295719</v>
      </c>
      <c r="W208" s="230">
        <f t="shared" si="56"/>
        <v>12025.727626459146</v>
      </c>
      <c r="X208" s="807">
        <f t="shared" si="57"/>
        <v>1371.3929961089493</v>
      </c>
      <c r="Y208" s="807">
        <f t="shared" si="58"/>
        <v>5687.264591439689</v>
      </c>
      <c r="Z208" s="807">
        <f t="shared" si="59"/>
        <v>2951.8638132295719</v>
      </c>
      <c r="AA208" s="807">
        <f t="shared" si="50"/>
        <v>0</v>
      </c>
      <c r="AB208" s="807">
        <f t="shared" si="51"/>
        <v>10010.521400778209</v>
      </c>
      <c r="AC208" s="231">
        <f>'Idaho Data'!WA121</f>
        <v>-2015.2062256809338</v>
      </c>
      <c r="AD208" s="823">
        <f>'Idaho Data'!WB121</f>
        <v>-0.26163114064666704</v>
      </c>
      <c r="AE208" s="382"/>
      <c r="AF208" s="201" t="s">
        <v>106</v>
      </c>
      <c r="AG208" s="201"/>
      <c r="AH208" s="201"/>
      <c r="AI208" s="201"/>
      <c r="AJ208" s="381"/>
    </row>
    <row r="209" spans="2:36">
      <c r="B209" s="228" t="str">
        <f>'Idaho Data'!B122</f>
        <v>Weiser</v>
      </c>
      <c r="C209" s="405">
        <f>'Idaho Data'!ST122</f>
        <v>1422</v>
      </c>
      <c r="D209" s="242">
        <f>'Idaho Data'!SE122</f>
        <v>311256.20815752464</v>
      </c>
      <c r="E209" s="243">
        <f>'Idaho Data'!SV122</f>
        <v>0.59727385377942999</v>
      </c>
      <c r="G209" s="794" t="str">
        <f>'Idaho Data'!UE122</f>
        <v/>
      </c>
      <c r="H209" s="801">
        <f>'Idaho Data'!VO122</f>
        <v>1636782</v>
      </c>
      <c r="I209" s="800">
        <f>'Idaho Data'!VP122</f>
        <v>8171641</v>
      </c>
      <c r="J209" s="800"/>
      <c r="K209" s="800">
        <f>'Idaho Data'!VQ122</f>
        <v>1185354</v>
      </c>
      <c r="L209" s="229">
        <f t="shared" si="49"/>
        <v>10993777</v>
      </c>
      <c r="M209" s="805">
        <f>'Idaho Data'!VR122</f>
        <v>1636782</v>
      </c>
      <c r="N209" s="805">
        <f>'Idaho Data'!VS122</f>
        <v>8114931</v>
      </c>
      <c r="O209" s="805">
        <f>'Idaho Data'!VT122 +'Idaho Data'!VU122</f>
        <v>1185354</v>
      </c>
      <c r="P209" s="805">
        <f>'Idaho Data'!VU122</f>
        <v>0</v>
      </c>
      <c r="Q209" s="805">
        <f t="shared" si="52"/>
        <v>10937067</v>
      </c>
      <c r="R209" s="898">
        <f>'Idaho Data'!VS122-'Idaho Data'!VP122</f>
        <v>-56710</v>
      </c>
      <c r="S209" s="230">
        <f t="shared" si="53"/>
        <v>1151.042194092827</v>
      </c>
      <c r="U209" s="230">
        <f t="shared" si="54"/>
        <v>5746.5829817158929</v>
      </c>
      <c r="V209" s="230">
        <f t="shared" si="55"/>
        <v>833.58227848101262</v>
      </c>
      <c r="W209" s="230">
        <f t="shared" si="56"/>
        <v>7731.2074542897326</v>
      </c>
      <c r="X209" s="807">
        <f t="shared" si="57"/>
        <v>1151.042194092827</v>
      </c>
      <c r="Y209" s="807">
        <f t="shared" si="58"/>
        <v>5706.7025316455693</v>
      </c>
      <c r="Z209" s="807">
        <f t="shared" si="59"/>
        <v>833.58227848101262</v>
      </c>
      <c r="AA209" s="807">
        <f t="shared" si="50"/>
        <v>0</v>
      </c>
      <c r="AB209" s="807">
        <f t="shared" si="51"/>
        <v>7691.327004219409</v>
      </c>
      <c r="AC209" s="231">
        <f>'Idaho Data'!WA122</f>
        <v>-39.880450070323491</v>
      </c>
      <c r="AD209" s="823">
        <f>'Idaho Data'!WB122</f>
        <v>-6.9398545530818109E-3</v>
      </c>
      <c r="AE209" s="382"/>
      <c r="AF209" s="201" t="s">
        <v>169</v>
      </c>
      <c r="AG209" s="201"/>
      <c r="AH209" s="201"/>
      <c r="AI209" s="201"/>
      <c r="AJ209" s="381"/>
    </row>
    <row r="210" spans="2:36">
      <c r="B210" s="228" t="str">
        <f>'Idaho Data'!B123</f>
        <v>Cambridge Joint</v>
      </c>
      <c r="C210" s="405">
        <f>'Idaho Data'!ST123</f>
        <v>110</v>
      </c>
      <c r="D210" s="242">
        <f>'Idaho Data'!SE123</f>
        <v>1471384.6090909091</v>
      </c>
      <c r="E210" s="243">
        <f>'Idaho Data'!SV123</f>
        <v>0.50420168067226889</v>
      </c>
      <c r="G210" s="794" t="str">
        <f>'Idaho Data'!UE123</f>
        <v>yes</v>
      </c>
      <c r="H210" s="801">
        <f>'Idaho Data'!VO123</f>
        <v>146014</v>
      </c>
      <c r="I210" s="800">
        <f>'Idaho Data'!VP123</f>
        <v>1379442</v>
      </c>
      <c r="J210" s="800"/>
      <c r="K210" s="800">
        <f>'Idaho Data'!VQ123</f>
        <v>309935</v>
      </c>
      <c r="L210" s="229">
        <f t="shared" si="49"/>
        <v>1835391</v>
      </c>
      <c r="M210" s="805">
        <f>'Idaho Data'!VR123</f>
        <v>146014</v>
      </c>
      <c r="N210" s="805">
        <f>'Idaho Data'!VS123</f>
        <v>635490</v>
      </c>
      <c r="O210" s="805">
        <f>'Idaho Data'!VT123 +'Idaho Data'!VU123</f>
        <v>309935</v>
      </c>
      <c r="P210" s="805">
        <f>'Idaho Data'!VU123</f>
        <v>0</v>
      </c>
      <c r="Q210" s="805">
        <f t="shared" si="52"/>
        <v>1091439</v>
      </c>
      <c r="R210" s="898">
        <f>'Idaho Data'!VS123-'Idaho Data'!VP123</f>
        <v>-743952</v>
      </c>
      <c r="S210" s="230">
        <f t="shared" si="53"/>
        <v>1327.4</v>
      </c>
      <c r="U210" s="230">
        <f t="shared" si="54"/>
        <v>12540.381818181819</v>
      </c>
      <c r="V210" s="230">
        <f t="shared" si="55"/>
        <v>2817.590909090909</v>
      </c>
      <c r="W210" s="230">
        <f t="shared" si="56"/>
        <v>16685.372727272726</v>
      </c>
      <c r="X210" s="807">
        <f t="shared" si="57"/>
        <v>1327.4</v>
      </c>
      <c r="Y210" s="807">
        <f t="shared" si="58"/>
        <v>5777.181818181818</v>
      </c>
      <c r="Z210" s="807">
        <f t="shared" si="59"/>
        <v>2817.590909090909</v>
      </c>
      <c r="AA210" s="807">
        <f t="shared" si="50"/>
        <v>0</v>
      </c>
      <c r="AB210" s="807">
        <f t="shared" si="51"/>
        <v>9922.1727272727258</v>
      </c>
      <c r="AC210" s="231">
        <f>'Idaho Data'!WA123</f>
        <v>-6763.2</v>
      </c>
      <c r="AD210" s="823">
        <f>'Idaho Data'!WB123</f>
        <v>-0.53931372250518683</v>
      </c>
      <c r="AE210" s="382"/>
      <c r="AF210" s="201" t="s">
        <v>175</v>
      </c>
      <c r="AG210" s="201"/>
      <c r="AH210" s="201"/>
      <c r="AI210" s="201"/>
      <c r="AJ210" s="381"/>
    </row>
    <row r="211" spans="2:36">
      <c r="B211" s="228" t="str">
        <f>'Idaho Data'!B124</f>
        <v>Midvale</v>
      </c>
      <c r="C211" s="405">
        <f>'Idaho Data'!ST124</f>
        <v>113</v>
      </c>
      <c r="D211" s="242">
        <f>'Idaho Data'!SE124</f>
        <v>1134844.5398230089</v>
      </c>
      <c r="E211" s="243">
        <f>'Idaho Data'!SV124</f>
        <v>0.6097560975609756</v>
      </c>
      <c r="G211" s="794" t="str">
        <f>'Idaho Data'!UE124</f>
        <v>yes</v>
      </c>
      <c r="H211" s="801">
        <f>'Idaho Data'!VO124</f>
        <v>141337</v>
      </c>
      <c r="I211" s="800">
        <f>'Idaho Data'!VP124</f>
        <v>1513533</v>
      </c>
      <c r="J211" s="800"/>
      <c r="K211" s="800">
        <f>'Idaho Data'!VQ124</f>
        <v>94432</v>
      </c>
      <c r="L211" s="229">
        <f t="shared" si="49"/>
        <v>1749302</v>
      </c>
      <c r="M211" s="805">
        <f>'Idaho Data'!VR124</f>
        <v>141337</v>
      </c>
      <c r="N211" s="805">
        <f>'Idaho Data'!VS124</f>
        <v>638253</v>
      </c>
      <c r="O211" s="805">
        <f>'Idaho Data'!VT124 +'Idaho Data'!VU124</f>
        <v>94432</v>
      </c>
      <c r="P211" s="805">
        <f>'Idaho Data'!VU124</f>
        <v>0</v>
      </c>
      <c r="Q211" s="805">
        <f t="shared" si="52"/>
        <v>874022</v>
      </c>
      <c r="R211" s="898">
        <f>'Idaho Data'!VS124-'Idaho Data'!VP124</f>
        <v>-875280</v>
      </c>
      <c r="S211" s="230">
        <f t="shared" si="53"/>
        <v>1250.7699115044247</v>
      </c>
      <c r="U211" s="230">
        <f t="shared" si="54"/>
        <v>13394.097345132743</v>
      </c>
      <c r="V211" s="230">
        <f t="shared" si="55"/>
        <v>835.68141592920358</v>
      </c>
      <c r="W211" s="230">
        <f t="shared" si="56"/>
        <v>15480.548672566372</v>
      </c>
      <c r="X211" s="807">
        <f t="shared" si="57"/>
        <v>1250.7699115044247</v>
      </c>
      <c r="Y211" s="807">
        <f t="shared" si="58"/>
        <v>5648.2566371681414</v>
      </c>
      <c r="Z211" s="807">
        <f t="shared" si="59"/>
        <v>835.68141592920358</v>
      </c>
      <c r="AA211" s="807">
        <f t="shared" si="50"/>
        <v>0</v>
      </c>
      <c r="AB211" s="807">
        <f t="shared" si="51"/>
        <v>7734.7079646017692</v>
      </c>
      <c r="AC211" s="231">
        <f>'Idaho Data'!WA124</f>
        <v>-7745.8407079646022</v>
      </c>
      <c r="AD211" s="823">
        <f>'Idaho Data'!WB124</f>
        <v>-0.57830255435461264</v>
      </c>
      <c r="AE211" s="382"/>
      <c r="AF211" s="201" t="s">
        <v>146</v>
      </c>
      <c r="AG211" s="201"/>
      <c r="AH211" s="201"/>
      <c r="AI211" s="201"/>
      <c r="AJ211" s="381"/>
    </row>
    <row r="212" spans="2:36">
      <c r="B212" s="228" t="str">
        <f>'Idaho Data'!B125</f>
        <v>Victory Charter School</v>
      </c>
      <c r="C212" s="405">
        <f>'Idaho Data'!ST125</f>
        <v>383</v>
      </c>
      <c r="D212" s="242">
        <f>'Idaho Data'!SE125</f>
        <v>0</v>
      </c>
      <c r="E212" s="243">
        <f>'Idaho Data'!SV125</f>
        <v>0.36138613861386137</v>
      </c>
      <c r="G212" s="794" t="str">
        <f>'Idaho Data'!UE125</f>
        <v/>
      </c>
      <c r="H212" s="801">
        <f>'Idaho Data'!VO125</f>
        <v>261210</v>
      </c>
      <c r="I212" s="800">
        <f>'Idaho Data'!VP125</f>
        <v>2628747</v>
      </c>
      <c r="J212" s="800"/>
      <c r="K212" s="800">
        <f>'Idaho Data'!VQ125</f>
        <v>83130</v>
      </c>
      <c r="L212" s="229">
        <f t="shared" si="49"/>
        <v>2973087</v>
      </c>
      <c r="M212" s="805">
        <f>'Idaho Data'!VR125</f>
        <v>261210</v>
      </c>
      <c r="N212" s="805">
        <f>'Idaho Data'!VS125</f>
        <v>2182770</v>
      </c>
      <c r="O212" s="805">
        <f>'Idaho Data'!VT125 +'Idaho Data'!VU125</f>
        <v>83130</v>
      </c>
      <c r="P212" s="805">
        <f>'Idaho Data'!VU125</f>
        <v>0</v>
      </c>
      <c r="Q212" s="805">
        <f t="shared" si="52"/>
        <v>2527110</v>
      </c>
      <c r="R212" s="898">
        <f>'Idaho Data'!VS125-'Idaho Data'!VP125</f>
        <v>-445977</v>
      </c>
      <c r="S212" s="230">
        <f t="shared" si="53"/>
        <v>682.01044386422973</v>
      </c>
      <c r="U212" s="230">
        <f t="shared" si="54"/>
        <v>6863.5691906005222</v>
      </c>
      <c r="V212" s="230">
        <f t="shared" si="55"/>
        <v>217.04960835509138</v>
      </c>
      <c r="W212" s="230">
        <f t="shared" si="56"/>
        <v>7762.6292428198431</v>
      </c>
      <c r="X212" s="807">
        <f t="shared" si="57"/>
        <v>682.01044386422973</v>
      </c>
      <c r="Y212" s="807">
        <f t="shared" si="58"/>
        <v>5699.1383812010445</v>
      </c>
      <c r="Z212" s="807">
        <f t="shared" si="59"/>
        <v>217.04960835509138</v>
      </c>
      <c r="AA212" s="807">
        <f t="shared" si="50"/>
        <v>0</v>
      </c>
      <c r="AB212" s="807">
        <f t="shared" si="51"/>
        <v>6598.1984334203662</v>
      </c>
      <c r="AC212" s="231">
        <f>'Idaho Data'!WA125</f>
        <v>-1164.4308093994778</v>
      </c>
      <c r="AD212" s="823">
        <f>'Idaho Data'!WB125</f>
        <v>-0.1696538312739872</v>
      </c>
      <c r="AE212" s="382"/>
      <c r="AF212" s="201" t="s">
        <v>149</v>
      </c>
      <c r="AG212" s="201"/>
      <c r="AH212" s="201"/>
      <c r="AI212" s="201"/>
      <c r="AJ212" s="381"/>
    </row>
    <row r="213" spans="2:36">
      <c r="B213" s="228" t="str">
        <f>'Idaho Data'!B126</f>
        <v>Idaho Virtual Academy</v>
      </c>
      <c r="C213" s="405">
        <f>'Idaho Data'!ST126</f>
        <v>2169</v>
      </c>
      <c r="D213" s="242">
        <f>'Idaho Data'!SE126</f>
        <v>0</v>
      </c>
      <c r="E213" s="243">
        <f>'Idaho Data'!SV126</f>
        <v>0.53649105848235867</v>
      </c>
      <c r="G213" s="794" t="str">
        <f>'Idaho Data'!UE126</f>
        <v/>
      </c>
      <c r="H213" s="801">
        <f>'Idaho Data'!VO126</f>
        <v>1295324</v>
      </c>
      <c r="I213" s="800">
        <f>'Idaho Data'!VP126</f>
        <v>11075305</v>
      </c>
      <c r="J213" s="800"/>
      <c r="K213" s="800">
        <f>'Idaho Data'!VQ126</f>
        <v>750082</v>
      </c>
      <c r="L213" s="229">
        <f t="shared" si="49"/>
        <v>13120711</v>
      </c>
      <c r="M213" s="805">
        <f>'Idaho Data'!VR126</f>
        <v>1295324</v>
      </c>
      <c r="N213" s="805">
        <f>'Idaho Data'!VS126</f>
        <v>12306402</v>
      </c>
      <c r="O213" s="805">
        <f>'Idaho Data'!VT126 +'Idaho Data'!VU126</f>
        <v>750082</v>
      </c>
      <c r="P213" s="805">
        <f>'Idaho Data'!VU126</f>
        <v>0</v>
      </c>
      <c r="Q213" s="805">
        <f t="shared" si="52"/>
        <v>14351808</v>
      </c>
      <c r="R213" s="898">
        <f>'Idaho Data'!VS126-'Idaho Data'!VP126</f>
        <v>1231097</v>
      </c>
      <c r="S213" s="230">
        <f t="shared" si="53"/>
        <v>597.19870908252653</v>
      </c>
      <c r="U213" s="230">
        <f t="shared" si="54"/>
        <v>5106.1802674043338</v>
      </c>
      <c r="V213" s="230">
        <f t="shared" si="55"/>
        <v>345.81927155371136</v>
      </c>
      <c r="W213" s="230">
        <f t="shared" si="56"/>
        <v>6049.1982480405723</v>
      </c>
      <c r="X213" s="807">
        <f t="shared" si="57"/>
        <v>597.19870908252653</v>
      </c>
      <c r="Y213" s="807">
        <f t="shared" si="58"/>
        <v>5673.767634854772</v>
      </c>
      <c r="Z213" s="807">
        <f t="shared" si="59"/>
        <v>345.81927155371136</v>
      </c>
      <c r="AA213" s="807">
        <f t="shared" si="50"/>
        <v>0</v>
      </c>
      <c r="AB213" s="807">
        <f t="shared" si="51"/>
        <v>6616.7856154910105</v>
      </c>
      <c r="AC213" s="231">
        <f>'Idaho Data'!WA126</f>
        <v>567.58736745043802</v>
      </c>
      <c r="AD213" s="823">
        <f>'Idaho Data'!WB126</f>
        <v>0.11115693879310773</v>
      </c>
      <c r="AE213" s="382"/>
      <c r="AF213" s="201" t="s">
        <v>1482</v>
      </c>
      <c r="AG213" s="201"/>
      <c r="AH213" s="201"/>
      <c r="AI213" s="201"/>
      <c r="AJ213" s="381"/>
    </row>
    <row r="214" spans="2:36">
      <c r="B214" s="228" t="str">
        <f>'Idaho Data'!B127</f>
        <v>Richard McKenna Charter School</v>
      </c>
      <c r="C214" s="405">
        <f>'Idaho Data'!ST127</f>
        <v>337</v>
      </c>
      <c r="D214" s="242">
        <f>'Idaho Data'!SE127</f>
        <v>0</v>
      </c>
      <c r="E214" s="243">
        <f>'Idaho Data'!SV127</f>
        <v>0</v>
      </c>
      <c r="G214" s="794" t="str">
        <f>'Idaho Data'!UE127</f>
        <v/>
      </c>
      <c r="H214" s="801">
        <f>'Idaho Data'!VO127</f>
        <v>0</v>
      </c>
      <c r="I214" s="800">
        <f>'Idaho Data'!VP127</f>
        <v>2392979</v>
      </c>
      <c r="J214" s="800"/>
      <c r="K214" s="800">
        <f>'Idaho Data'!VQ127</f>
        <v>16841</v>
      </c>
      <c r="L214" s="229">
        <f t="shared" si="49"/>
        <v>2409820</v>
      </c>
      <c r="M214" s="805">
        <f>'Idaho Data'!VR127</f>
        <v>0</v>
      </c>
      <c r="N214" s="805">
        <f>'Idaho Data'!VS127</f>
        <v>1862262</v>
      </c>
      <c r="O214" s="805">
        <f>'Idaho Data'!VT127 +'Idaho Data'!VU127</f>
        <v>16841</v>
      </c>
      <c r="P214" s="805">
        <f>'Idaho Data'!VU127</f>
        <v>0</v>
      </c>
      <c r="Q214" s="805">
        <f t="shared" si="52"/>
        <v>1879103</v>
      </c>
      <c r="R214" s="898">
        <f>'Idaho Data'!VS127-'Idaho Data'!VP127</f>
        <v>-530717</v>
      </c>
      <c r="S214" s="230">
        <f t="shared" si="53"/>
        <v>0</v>
      </c>
      <c r="U214" s="230">
        <f t="shared" si="54"/>
        <v>7100.8278931750738</v>
      </c>
      <c r="V214" s="230">
        <f t="shared" si="55"/>
        <v>49.973293768545993</v>
      </c>
      <c r="W214" s="230">
        <f t="shared" si="56"/>
        <v>7150.8011869436195</v>
      </c>
      <c r="X214" s="807">
        <f t="shared" si="57"/>
        <v>0</v>
      </c>
      <c r="Y214" s="807">
        <f t="shared" si="58"/>
        <v>5526</v>
      </c>
      <c r="Z214" s="807">
        <f t="shared" si="59"/>
        <v>49.973293768545993</v>
      </c>
      <c r="AA214" s="807">
        <f t="shared" si="50"/>
        <v>0</v>
      </c>
      <c r="AB214" s="807">
        <f t="shared" si="51"/>
        <v>5575.9732937685458</v>
      </c>
      <c r="AC214" s="231">
        <f>'Idaho Data'!WA127</f>
        <v>-1574.8278931750742</v>
      </c>
      <c r="AD214" s="823">
        <f>'Idaho Data'!WB127</f>
        <v>-0.22178088483016356</v>
      </c>
      <c r="AE214" s="382"/>
      <c r="AF214" s="201" t="s">
        <v>185</v>
      </c>
      <c r="AG214" s="201"/>
      <c r="AH214" s="201"/>
      <c r="AI214" s="201"/>
      <c r="AJ214" s="381"/>
    </row>
    <row r="215" spans="2:36">
      <c r="B215" s="228" t="str">
        <f>'Idaho Data'!B128</f>
        <v>Rolling Hills Charter School</v>
      </c>
      <c r="C215" s="405">
        <f>'Idaho Data'!ST128</f>
        <v>219</v>
      </c>
      <c r="D215" s="242">
        <f>'Idaho Data'!SE128</f>
        <v>0</v>
      </c>
      <c r="E215" s="243">
        <f>'Idaho Data'!SV128</f>
        <v>0.35080645161290325</v>
      </c>
      <c r="G215" s="794" t="str">
        <f>'Idaho Data'!UE128</f>
        <v>yes</v>
      </c>
      <c r="H215" s="801">
        <f>'Idaho Data'!VO128</f>
        <v>137466</v>
      </c>
      <c r="I215" s="800">
        <f>'Idaho Data'!VP128</f>
        <v>1326305</v>
      </c>
      <c r="J215" s="800"/>
      <c r="K215" s="800">
        <f>'Idaho Data'!VQ128</f>
        <v>903325</v>
      </c>
      <c r="L215" s="229">
        <f t="shared" si="49"/>
        <v>2367096</v>
      </c>
      <c r="M215" s="805">
        <f>'Idaho Data'!VR128</f>
        <v>137466</v>
      </c>
      <c r="N215" s="805">
        <f>'Idaho Data'!VS128</f>
        <v>1276506</v>
      </c>
      <c r="O215" s="805">
        <f>'Idaho Data'!VT128 +'Idaho Data'!VU128</f>
        <v>903325</v>
      </c>
      <c r="P215" s="805">
        <f>'Idaho Data'!VU128</f>
        <v>0</v>
      </c>
      <c r="Q215" s="805">
        <f t="shared" si="52"/>
        <v>2317297</v>
      </c>
      <c r="R215" s="898">
        <f>'Idaho Data'!VS128-'Idaho Data'!VP128</f>
        <v>-49799</v>
      </c>
      <c r="S215" s="230">
        <f t="shared" si="53"/>
        <v>627.69863013698625</v>
      </c>
      <c r="U215" s="230">
        <f t="shared" si="54"/>
        <v>6056.1872146118722</v>
      </c>
      <c r="V215" s="230">
        <f t="shared" si="55"/>
        <v>4124.7716894977166</v>
      </c>
      <c r="W215" s="230">
        <f t="shared" si="56"/>
        <v>10808.657534246575</v>
      </c>
      <c r="X215" s="807">
        <f t="shared" si="57"/>
        <v>627.69863013698625</v>
      </c>
      <c r="Y215" s="807">
        <f t="shared" si="58"/>
        <v>5828.7945205479455</v>
      </c>
      <c r="Z215" s="807">
        <f t="shared" si="59"/>
        <v>4124.7716894977166</v>
      </c>
      <c r="AA215" s="807">
        <f t="shared" si="50"/>
        <v>0</v>
      </c>
      <c r="AB215" s="807">
        <f t="shared" si="51"/>
        <v>10581.264840182648</v>
      </c>
      <c r="AC215" s="231">
        <f>'Idaho Data'!WA128</f>
        <v>-227.39269406392694</v>
      </c>
      <c r="AD215" s="823">
        <f>'Idaho Data'!WB128</f>
        <v>-3.754717052261735E-2</v>
      </c>
      <c r="AE215" s="382"/>
      <c r="AF215" s="201" t="s">
        <v>163</v>
      </c>
      <c r="AG215" s="201"/>
      <c r="AH215" s="201"/>
      <c r="AI215" s="201"/>
      <c r="AJ215" s="381"/>
    </row>
    <row r="216" spans="2:36">
      <c r="B216" s="228" t="str">
        <f>'Idaho Data'!B129</f>
        <v>Compass Charter School</v>
      </c>
      <c r="C216" s="405">
        <f>'Idaho Data'!ST129</f>
        <v>789</v>
      </c>
      <c r="D216" s="242">
        <f>'Idaho Data'!SE129</f>
        <v>0</v>
      </c>
      <c r="E216" s="243">
        <f>'Idaho Data'!SV129</f>
        <v>0</v>
      </c>
      <c r="G216" s="794" t="str">
        <f>'Idaho Data'!UE129</f>
        <v/>
      </c>
      <c r="H216" s="801">
        <f>'Idaho Data'!VO129</f>
        <v>212674</v>
      </c>
      <c r="I216" s="800">
        <f>'Idaho Data'!VP129</f>
        <v>4753795</v>
      </c>
      <c r="J216" s="800"/>
      <c r="K216" s="800">
        <f>'Idaho Data'!VQ129</f>
        <v>586493</v>
      </c>
      <c r="L216" s="229">
        <f t="shared" si="49"/>
        <v>5552962</v>
      </c>
      <c r="M216" s="805">
        <f>'Idaho Data'!VR129</f>
        <v>212674</v>
      </c>
      <c r="N216" s="805">
        <f>'Idaho Data'!VS129</f>
        <v>4556187</v>
      </c>
      <c r="O216" s="805">
        <f>'Idaho Data'!VT129 +'Idaho Data'!VU129</f>
        <v>586493</v>
      </c>
      <c r="P216" s="805">
        <f>'Idaho Data'!VU129</f>
        <v>0</v>
      </c>
      <c r="Q216" s="805">
        <f t="shared" si="52"/>
        <v>5355354</v>
      </c>
      <c r="R216" s="898">
        <f>'Idaho Data'!VS129-'Idaho Data'!VP129</f>
        <v>-197608</v>
      </c>
      <c r="S216" s="230">
        <f t="shared" si="53"/>
        <v>269.54879594423323</v>
      </c>
      <c r="U216" s="230">
        <f t="shared" si="54"/>
        <v>6025.0887198986056</v>
      </c>
      <c r="V216" s="230">
        <f t="shared" si="55"/>
        <v>743.33713561470211</v>
      </c>
      <c r="W216" s="230">
        <f t="shared" si="56"/>
        <v>7037.9746514575409</v>
      </c>
      <c r="X216" s="807">
        <f t="shared" si="57"/>
        <v>269.54879594423323</v>
      </c>
      <c r="Y216" s="807">
        <f t="shared" si="58"/>
        <v>5774.6349809885933</v>
      </c>
      <c r="Z216" s="807">
        <f t="shared" si="59"/>
        <v>743.33713561470211</v>
      </c>
      <c r="AA216" s="807">
        <f t="shared" si="50"/>
        <v>0</v>
      </c>
      <c r="AB216" s="807">
        <f t="shared" si="51"/>
        <v>6787.5209125475285</v>
      </c>
      <c r="AC216" s="231">
        <f>'Idaho Data'!WA129</f>
        <v>-250.45373891001267</v>
      </c>
      <c r="AD216" s="823">
        <f>'Idaho Data'!WB129</f>
        <v>-4.1568473188263275E-2</v>
      </c>
      <c r="AE216" s="382"/>
      <c r="AF216" s="201" t="s">
        <v>202</v>
      </c>
      <c r="AG216" s="201"/>
      <c r="AH216" s="201"/>
      <c r="AI216" s="201"/>
      <c r="AJ216" s="381"/>
    </row>
    <row r="217" spans="2:36">
      <c r="B217" s="228" t="str">
        <f>'Idaho Data'!B130</f>
        <v>Falcon Ridge Charter School</v>
      </c>
      <c r="C217" s="405">
        <f>'Idaho Data'!ST130</f>
        <v>250</v>
      </c>
      <c r="D217" s="242">
        <f>'Idaho Data'!SE130</f>
        <v>0</v>
      </c>
      <c r="E217" s="243">
        <f>'Idaho Data'!SV130</f>
        <v>0.22222222222222221</v>
      </c>
      <c r="G217" s="794" t="str">
        <f>'Idaho Data'!UE130</f>
        <v>yes</v>
      </c>
      <c r="H217" s="801">
        <f>'Idaho Data'!VO130</f>
        <v>95437</v>
      </c>
      <c r="I217" s="800">
        <f>'Idaho Data'!VP130</f>
        <v>1572978</v>
      </c>
      <c r="J217" s="800"/>
      <c r="K217" s="800">
        <f>'Idaho Data'!VQ130</f>
        <v>43454</v>
      </c>
      <c r="L217" s="229">
        <f t="shared" si="49"/>
        <v>1711869</v>
      </c>
      <c r="M217" s="805">
        <f>'Idaho Data'!VR130</f>
        <v>95437</v>
      </c>
      <c r="N217" s="805">
        <f>'Idaho Data'!VS130</f>
        <v>1447812</v>
      </c>
      <c r="O217" s="805">
        <f>'Idaho Data'!VT130 +'Idaho Data'!VU130</f>
        <v>43454</v>
      </c>
      <c r="P217" s="805">
        <f>'Idaho Data'!VU130</f>
        <v>0</v>
      </c>
      <c r="Q217" s="805">
        <f t="shared" si="52"/>
        <v>1586703</v>
      </c>
      <c r="R217" s="898">
        <f>'Idaho Data'!VS130-'Idaho Data'!VP130</f>
        <v>-125166</v>
      </c>
      <c r="S217" s="230">
        <f t="shared" si="53"/>
        <v>381.74799999999999</v>
      </c>
      <c r="U217" s="230">
        <f t="shared" si="54"/>
        <v>6291.9120000000003</v>
      </c>
      <c r="V217" s="230">
        <f t="shared" si="55"/>
        <v>173.816</v>
      </c>
      <c r="W217" s="230">
        <f t="shared" si="56"/>
        <v>6847.4759999999997</v>
      </c>
      <c r="X217" s="807">
        <f t="shared" si="57"/>
        <v>381.74799999999999</v>
      </c>
      <c r="Y217" s="807">
        <f t="shared" si="58"/>
        <v>5791.2479999999996</v>
      </c>
      <c r="Z217" s="807">
        <f t="shared" si="59"/>
        <v>173.816</v>
      </c>
      <c r="AA217" s="807">
        <f t="shared" si="50"/>
        <v>0</v>
      </c>
      <c r="AB217" s="807">
        <f t="shared" si="51"/>
        <v>6346.811999999999</v>
      </c>
      <c r="AC217" s="231">
        <f>'Idaho Data'!WA130</f>
        <v>-500.66399999999999</v>
      </c>
      <c r="AD217" s="823">
        <f>'Idaho Data'!WB130</f>
        <v>-7.9572632293649373E-2</v>
      </c>
      <c r="AE217" s="382"/>
      <c r="AF217" s="201" t="s">
        <v>225</v>
      </c>
      <c r="AG217" s="201"/>
      <c r="AH217" s="201"/>
      <c r="AI217" s="201"/>
      <c r="AJ217" s="381"/>
    </row>
    <row r="218" spans="2:36">
      <c r="B218" s="228" t="str">
        <f>'Idaho Data'!B131</f>
        <v>Inspire Charter School</v>
      </c>
      <c r="C218" s="405">
        <f>'Idaho Data'!ST131</f>
        <v>922</v>
      </c>
      <c r="D218" s="242">
        <f>'Idaho Data'!SE131</f>
        <v>0</v>
      </c>
      <c r="E218" s="243">
        <f>'Idaho Data'!SV131</f>
        <v>0.52716143840856922</v>
      </c>
      <c r="G218" s="794" t="str">
        <f>'Idaho Data'!UE131</f>
        <v/>
      </c>
      <c r="H218" s="801">
        <f>'Idaho Data'!VO131</f>
        <v>352714</v>
      </c>
      <c r="I218" s="800">
        <f>'Idaho Data'!VP131</f>
        <v>4432159</v>
      </c>
      <c r="J218" s="800"/>
      <c r="K218" s="800">
        <f>'Idaho Data'!VQ131</f>
        <v>2678</v>
      </c>
      <c r="L218" s="229">
        <f t="shared" si="49"/>
        <v>4787551</v>
      </c>
      <c r="M218" s="805">
        <f>'Idaho Data'!VR131</f>
        <v>352714</v>
      </c>
      <c r="N218" s="805">
        <f>'Idaho Data'!VS131</f>
        <v>5191677</v>
      </c>
      <c r="O218" s="805">
        <f>'Idaho Data'!VT131 +'Idaho Data'!VU131</f>
        <v>2678</v>
      </c>
      <c r="P218" s="805">
        <f>'Idaho Data'!VU131</f>
        <v>0</v>
      </c>
      <c r="Q218" s="805">
        <f t="shared" si="52"/>
        <v>5547069</v>
      </c>
      <c r="R218" s="898">
        <f>'Idaho Data'!VS131-'Idaho Data'!VP131</f>
        <v>759518</v>
      </c>
      <c r="S218" s="230">
        <f t="shared" si="53"/>
        <v>382.55314533622561</v>
      </c>
      <c r="U218" s="230">
        <f t="shared" si="54"/>
        <v>4807.1138828633402</v>
      </c>
      <c r="V218" s="230">
        <f t="shared" si="55"/>
        <v>2.9045553145336225</v>
      </c>
      <c r="W218" s="230">
        <f t="shared" si="56"/>
        <v>5192.5715835140991</v>
      </c>
      <c r="X218" s="807">
        <f t="shared" si="57"/>
        <v>382.55314533622561</v>
      </c>
      <c r="Y218" s="807">
        <f t="shared" si="58"/>
        <v>5630.8861171366598</v>
      </c>
      <c r="Z218" s="807">
        <f t="shared" si="59"/>
        <v>2.9045553145336225</v>
      </c>
      <c r="AA218" s="807">
        <f t="shared" si="50"/>
        <v>0</v>
      </c>
      <c r="AB218" s="807">
        <f t="shared" si="51"/>
        <v>6016.3438177874186</v>
      </c>
      <c r="AC218" s="231">
        <f>'Idaho Data'!WA131</f>
        <v>823.77223427331887</v>
      </c>
      <c r="AD218" s="823">
        <f>'Idaho Data'!WB131</f>
        <v>0.17136524208630602</v>
      </c>
      <c r="AE218" s="382"/>
      <c r="AF218" s="201" t="s">
        <v>1489</v>
      </c>
      <c r="AG218" s="201"/>
      <c r="AH218" s="201"/>
      <c r="AI218" s="201"/>
      <c r="AJ218" s="381"/>
    </row>
    <row r="219" spans="2:36">
      <c r="B219" s="228" t="str">
        <f>'Idaho Data'!B132</f>
        <v>Liberty Charter School</v>
      </c>
      <c r="C219" s="405">
        <f>'Idaho Data'!ST132</f>
        <v>394</v>
      </c>
      <c r="D219" s="242">
        <f>'Idaho Data'!SE132</f>
        <v>0</v>
      </c>
      <c r="E219" s="243">
        <f>'Idaho Data'!SV132</f>
        <v>0.35971223021582732</v>
      </c>
      <c r="G219" s="794" t="str">
        <f>'Idaho Data'!UE132</f>
        <v/>
      </c>
      <c r="H219" s="801">
        <f>'Idaho Data'!VO132</f>
        <v>334069</v>
      </c>
      <c r="I219" s="800">
        <f>'Idaho Data'!VP132</f>
        <v>2811131</v>
      </c>
      <c r="J219" s="800"/>
      <c r="K219" s="800">
        <f>'Idaho Data'!VQ132</f>
        <v>137675</v>
      </c>
      <c r="L219" s="229">
        <f t="shared" si="49"/>
        <v>3282875</v>
      </c>
      <c r="M219" s="805">
        <f>'Idaho Data'!VR132</f>
        <v>334069</v>
      </c>
      <c r="N219" s="805">
        <f>'Idaho Data'!VS132</f>
        <v>2243556</v>
      </c>
      <c r="O219" s="805">
        <f>'Idaho Data'!VT132 +'Idaho Data'!VU132</f>
        <v>137675</v>
      </c>
      <c r="P219" s="805">
        <f>'Idaho Data'!VU132</f>
        <v>0</v>
      </c>
      <c r="Q219" s="805">
        <f t="shared" si="52"/>
        <v>2715300</v>
      </c>
      <c r="R219" s="898">
        <f>'Idaho Data'!VS132-'Idaho Data'!VP132</f>
        <v>-567575</v>
      </c>
      <c r="S219" s="230">
        <f t="shared" si="53"/>
        <v>847.89086294416245</v>
      </c>
      <c r="U219" s="230">
        <f t="shared" si="54"/>
        <v>7134.850253807107</v>
      </c>
      <c r="V219" s="230">
        <f t="shared" si="55"/>
        <v>349.42893401015226</v>
      </c>
      <c r="W219" s="230">
        <f t="shared" si="56"/>
        <v>8332.1700507614223</v>
      </c>
      <c r="X219" s="807">
        <f t="shared" si="57"/>
        <v>847.89086294416245</v>
      </c>
      <c r="Y219" s="807">
        <f t="shared" si="58"/>
        <v>5694.3045685279185</v>
      </c>
      <c r="Z219" s="807">
        <f t="shared" si="59"/>
        <v>349.42893401015226</v>
      </c>
      <c r="AA219" s="807">
        <f t="shared" si="50"/>
        <v>0</v>
      </c>
      <c r="AB219" s="807">
        <f t="shared" si="51"/>
        <v>6891.6243654822329</v>
      </c>
      <c r="AC219" s="231">
        <f>'Idaho Data'!WA132</f>
        <v>-1440.5456852791879</v>
      </c>
      <c r="AD219" s="823">
        <f>'Idaho Data'!WB132</f>
        <v>-0.20190272171592147</v>
      </c>
      <c r="AE219" s="382"/>
      <c r="AF219" s="201" t="s">
        <v>178</v>
      </c>
      <c r="AG219" s="201"/>
      <c r="AH219" s="201"/>
      <c r="AI219" s="201"/>
      <c r="AJ219" s="381"/>
    </row>
    <row r="220" spans="2:36">
      <c r="B220" s="228" t="str">
        <f>'Idaho Data'!B133</f>
        <v>Academy at the Roosevelt Center</v>
      </c>
      <c r="C220" s="405">
        <f>'Idaho Data'!ST133</f>
        <v>437</v>
      </c>
      <c r="D220" s="242">
        <f>'Idaho Data'!SE133</f>
        <v>0</v>
      </c>
      <c r="E220" s="243">
        <f>'Idaho Data'!SV133</f>
        <v>0.36680327868852458</v>
      </c>
      <c r="G220" s="794" t="str">
        <f>'Idaho Data'!UE133</f>
        <v/>
      </c>
      <c r="H220" s="801">
        <f>'Idaho Data'!VO133</f>
        <v>125200</v>
      </c>
      <c r="I220" s="800">
        <f>'Idaho Data'!VP133</f>
        <v>2327813</v>
      </c>
      <c r="J220" s="800"/>
      <c r="K220" s="800">
        <f>'Idaho Data'!VQ133</f>
        <v>49313</v>
      </c>
      <c r="L220" s="229">
        <f t="shared" si="49"/>
        <v>2502326</v>
      </c>
      <c r="M220" s="805">
        <f>'Idaho Data'!VR133</f>
        <v>125200</v>
      </c>
      <c r="N220" s="805">
        <f>'Idaho Data'!VS133</f>
        <v>2547486</v>
      </c>
      <c r="O220" s="805">
        <f>'Idaho Data'!VT133 +'Idaho Data'!VU133</f>
        <v>49313</v>
      </c>
      <c r="P220" s="805">
        <f>'Idaho Data'!VU133</f>
        <v>0</v>
      </c>
      <c r="Q220" s="805">
        <f t="shared" si="52"/>
        <v>2721999</v>
      </c>
      <c r="R220" s="898">
        <f>'Idaho Data'!VS133-'Idaho Data'!VP133</f>
        <v>219673</v>
      </c>
      <c r="S220" s="230">
        <f t="shared" si="53"/>
        <v>286.49885583524025</v>
      </c>
      <c r="U220" s="230">
        <f t="shared" si="54"/>
        <v>5326.8032036613276</v>
      </c>
      <c r="V220" s="230">
        <f t="shared" si="55"/>
        <v>112.84439359267735</v>
      </c>
      <c r="W220" s="230">
        <f t="shared" si="56"/>
        <v>5726.1464530892454</v>
      </c>
      <c r="X220" s="807">
        <f t="shared" si="57"/>
        <v>286.49885583524025</v>
      </c>
      <c r="Y220" s="807">
        <f t="shared" si="58"/>
        <v>5829.4874141876426</v>
      </c>
      <c r="Z220" s="807">
        <f t="shared" si="59"/>
        <v>112.84439359267735</v>
      </c>
      <c r="AA220" s="807">
        <f t="shared" si="50"/>
        <v>0</v>
      </c>
      <c r="AB220" s="807">
        <f t="shared" si="51"/>
        <v>6228.8306636155603</v>
      </c>
      <c r="AC220" s="231">
        <f>'Idaho Data'!WA133</f>
        <v>502.68421052631578</v>
      </c>
      <c r="AD220" s="823">
        <f>'Idaho Data'!WB133</f>
        <v>9.4368834609996594E-2</v>
      </c>
      <c r="AE220" s="382"/>
      <c r="AF220" s="201" t="s">
        <v>1187</v>
      </c>
      <c r="AG220" s="201"/>
      <c r="AH220" s="201"/>
      <c r="AI220" s="201"/>
      <c r="AJ220" s="381"/>
    </row>
    <row r="221" spans="2:36">
      <c r="B221" s="228" t="str">
        <f>'Idaho Data'!B134</f>
        <v>Taylor's Crossing Charter School</v>
      </c>
      <c r="C221" s="405">
        <f>'Idaho Data'!ST134</f>
        <v>384</v>
      </c>
      <c r="D221" s="242">
        <f>'Idaho Data'!SE134</f>
        <v>0</v>
      </c>
      <c r="E221" s="243">
        <f>'Idaho Data'!SV134</f>
        <v>0.4375</v>
      </c>
      <c r="G221" s="794" t="str">
        <f>'Idaho Data'!UE134</f>
        <v/>
      </c>
      <c r="H221" s="801">
        <f>'Idaho Data'!VO134</f>
        <v>287951</v>
      </c>
      <c r="I221" s="800">
        <f>'Idaho Data'!VP134</f>
        <v>2629531</v>
      </c>
      <c r="J221" s="800"/>
      <c r="K221" s="800">
        <f>'Idaho Data'!VQ134</f>
        <v>105720</v>
      </c>
      <c r="L221" s="229">
        <f t="shared" si="49"/>
        <v>3023202</v>
      </c>
      <c r="M221" s="805">
        <f>'Idaho Data'!VR134</f>
        <v>287951</v>
      </c>
      <c r="N221" s="805">
        <f>'Idaho Data'!VS134</f>
        <v>2204874</v>
      </c>
      <c r="O221" s="805">
        <f>'Idaho Data'!VT134 +'Idaho Data'!VU134</f>
        <v>105720</v>
      </c>
      <c r="P221" s="805">
        <f>'Idaho Data'!VU134</f>
        <v>0</v>
      </c>
      <c r="Q221" s="805">
        <f t="shared" si="52"/>
        <v>2598545</v>
      </c>
      <c r="R221" s="898">
        <f>'Idaho Data'!VS134-'Idaho Data'!VP134</f>
        <v>-424657</v>
      </c>
      <c r="S221" s="230">
        <f t="shared" si="53"/>
        <v>749.87239583333337</v>
      </c>
      <c r="U221" s="230">
        <f t="shared" si="54"/>
        <v>6847.736979166667</v>
      </c>
      <c r="V221" s="230">
        <f t="shared" si="55"/>
        <v>275.3125</v>
      </c>
      <c r="W221" s="230">
        <f t="shared" si="56"/>
        <v>7872.921875</v>
      </c>
      <c r="X221" s="807">
        <f t="shared" si="57"/>
        <v>749.87239583333337</v>
      </c>
      <c r="Y221" s="807">
        <f t="shared" si="58"/>
        <v>5741.859375</v>
      </c>
      <c r="Z221" s="807">
        <f t="shared" si="59"/>
        <v>275.3125</v>
      </c>
      <c r="AA221" s="807">
        <f t="shared" si="50"/>
        <v>0</v>
      </c>
      <c r="AB221" s="807">
        <f t="shared" si="51"/>
        <v>6767.044270833333</v>
      </c>
      <c r="AC221" s="231">
        <f>'Idaho Data'!WA134</f>
        <v>-1105.8776041666667</v>
      </c>
      <c r="AD221" s="823">
        <f>'Idaho Data'!WB134</f>
        <v>-0.16149533890264081</v>
      </c>
      <c r="AE221" s="382"/>
      <c r="AF221" s="201" t="s">
        <v>115</v>
      </c>
      <c r="AG221" s="201"/>
      <c r="AH221" s="201"/>
      <c r="AI221" s="201"/>
      <c r="AJ221" s="381"/>
    </row>
    <row r="222" spans="2:36">
      <c r="B222" s="228" t="str">
        <f>'Idaho Data'!B135</f>
        <v>Xavier Charter School</v>
      </c>
      <c r="C222" s="405">
        <f>'Idaho Data'!ST135</f>
        <v>639</v>
      </c>
      <c r="D222" s="242">
        <f>'Idaho Data'!SE135</f>
        <v>0</v>
      </c>
      <c r="E222" s="243">
        <f>'Idaho Data'!SV135</f>
        <v>0.28235294117647058</v>
      </c>
      <c r="G222" s="794" t="str">
        <f>'Idaho Data'!UE135</f>
        <v/>
      </c>
      <c r="H222" s="801">
        <f>'Idaho Data'!VO135</f>
        <v>169474</v>
      </c>
      <c r="I222" s="800">
        <f>'Idaho Data'!VP135</f>
        <v>3777899</v>
      </c>
      <c r="J222" s="800"/>
      <c r="K222" s="800">
        <f>'Idaho Data'!VQ135</f>
        <v>23469</v>
      </c>
      <c r="L222" s="229">
        <f t="shared" si="49"/>
        <v>3970842</v>
      </c>
      <c r="M222" s="805">
        <f>'Idaho Data'!VR135</f>
        <v>169474</v>
      </c>
      <c r="N222" s="805">
        <f>'Idaho Data'!VS135</f>
        <v>3660975</v>
      </c>
      <c r="O222" s="805">
        <f>'Idaho Data'!VT135 +'Idaho Data'!VU135</f>
        <v>23469</v>
      </c>
      <c r="P222" s="805">
        <f>'Idaho Data'!VU135</f>
        <v>0</v>
      </c>
      <c r="Q222" s="805">
        <f t="shared" si="52"/>
        <v>3853918</v>
      </c>
      <c r="R222" s="898">
        <f>'Idaho Data'!VS135-'Idaho Data'!VP135</f>
        <v>-116924</v>
      </c>
      <c r="S222" s="230">
        <f t="shared" si="53"/>
        <v>265.21752738654146</v>
      </c>
      <c r="U222" s="230">
        <f t="shared" si="54"/>
        <v>5912.2050078247257</v>
      </c>
      <c r="V222" s="230">
        <f t="shared" si="55"/>
        <v>36.727699530516432</v>
      </c>
      <c r="W222" s="230">
        <f t="shared" si="56"/>
        <v>6214.1502347417836</v>
      </c>
      <c r="X222" s="807">
        <f t="shared" si="57"/>
        <v>265.21752738654146</v>
      </c>
      <c r="Y222" s="807">
        <f t="shared" si="58"/>
        <v>5729.2253521126759</v>
      </c>
      <c r="Z222" s="807">
        <f t="shared" si="59"/>
        <v>36.727699530516432</v>
      </c>
      <c r="AA222" s="807">
        <f t="shared" si="50"/>
        <v>0</v>
      </c>
      <c r="AB222" s="807">
        <f t="shared" si="51"/>
        <v>6031.1705790297337</v>
      </c>
      <c r="AC222" s="231">
        <f>'Idaho Data'!WA135</f>
        <v>-182.97965571205009</v>
      </c>
      <c r="AD222" s="823">
        <f>'Idaho Data'!WB135</f>
        <v>-3.0949477474119875E-2</v>
      </c>
      <c r="AE222" s="382"/>
      <c r="AF222" s="201" t="s">
        <v>183</v>
      </c>
      <c r="AG222" s="201"/>
      <c r="AH222" s="201"/>
      <c r="AI222" s="201"/>
      <c r="AJ222" s="381"/>
    </row>
    <row r="223" spans="2:36">
      <c r="B223" s="228" t="str">
        <f>'Idaho Data'!B136</f>
        <v>Vision Charter School</v>
      </c>
      <c r="C223" s="405">
        <f>'Idaho Data'!ST136</f>
        <v>627</v>
      </c>
      <c r="D223" s="242">
        <f>'Idaho Data'!SE136</f>
        <v>0</v>
      </c>
      <c r="E223" s="243">
        <f>'Idaho Data'!SV136</f>
        <v>0.42899850523168909</v>
      </c>
      <c r="G223" s="794" t="str">
        <f>'Idaho Data'!UE136</f>
        <v/>
      </c>
      <c r="H223" s="801">
        <f>'Idaho Data'!VO136</f>
        <v>270219</v>
      </c>
      <c r="I223" s="800">
        <f>'Idaho Data'!VP136</f>
        <v>3944537</v>
      </c>
      <c r="J223" s="800"/>
      <c r="K223" s="800">
        <f>'Idaho Data'!VQ136</f>
        <v>105176</v>
      </c>
      <c r="L223" s="229">
        <f t="shared" si="49"/>
        <v>4319932</v>
      </c>
      <c r="M223" s="805">
        <f>'Idaho Data'!VR136</f>
        <v>270219</v>
      </c>
      <c r="N223" s="805">
        <f>'Idaho Data'!VS136</f>
        <v>3583611</v>
      </c>
      <c r="O223" s="805">
        <f>'Idaho Data'!VT136 +'Idaho Data'!VU136</f>
        <v>105176</v>
      </c>
      <c r="P223" s="805">
        <f>'Idaho Data'!VU136</f>
        <v>0</v>
      </c>
      <c r="Q223" s="805">
        <f t="shared" si="52"/>
        <v>3959006</v>
      </c>
      <c r="R223" s="898">
        <f>'Idaho Data'!VS136-'Idaho Data'!VP136</f>
        <v>-360926</v>
      </c>
      <c r="S223" s="230">
        <f t="shared" si="53"/>
        <v>430.97129186602871</v>
      </c>
      <c r="U223" s="230">
        <f t="shared" si="54"/>
        <v>6291.1275917065386</v>
      </c>
      <c r="V223" s="230">
        <f t="shared" si="55"/>
        <v>167.74481658692184</v>
      </c>
      <c r="W223" s="230">
        <f t="shared" si="56"/>
        <v>6889.8437001594893</v>
      </c>
      <c r="X223" s="807">
        <f t="shared" si="57"/>
        <v>430.97129186602871</v>
      </c>
      <c r="Y223" s="807">
        <f t="shared" si="58"/>
        <v>5715.4880382775118</v>
      </c>
      <c r="Z223" s="807">
        <f t="shared" si="59"/>
        <v>167.74481658692184</v>
      </c>
      <c r="AA223" s="807">
        <f t="shared" si="50"/>
        <v>0</v>
      </c>
      <c r="AB223" s="807">
        <f t="shared" si="51"/>
        <v>6314.2041467304625</v>
      </c>
      <c r="AC223" s="231">
        <f>'Idaho Data'!WA136</f>
        <v>-575.63955342902716</v>
      </c>
      <c r="AD223" s="823">
        <f>'Idaho Data'!WB136</f>
        <v>-9.1500219163871452E-2</v>
      </c>
      <c r="AE223" s="382"/>
      <c r="AF223" s="201" t="s">
        <v>111</v>
      </c>
      <c r="AG223" s="201"/>
      <c r="AH223" s="201"/>
      <c r="AI223" s="201"/>
      <c r="AJ223" s="381"/>
    </row>
    <row r="224" spans="2:36">
      <c r="B224" s="228" t="str">
        <f>'Idaho Data'!B137</f>
        <v>White Pine Charter School</v>
      </c>
      <c r="C224" s="405">
        <f>'Idaho Data'!ST137</f>
        <v>367</v>
      </c>
      <c r="D224" s="242">
        <f>'Idaho Data'!SE137</f>
        <v>0</v>
      </c>
      <c r="E224" s="243">
        <f>'Idaho Data'!SV137</f>
        <v>0.30804597701149428</v>
      </c>
      <c r="G224" s="794" t="str">
        <f>'Idaho Data'!UE137</f>
        <v/>
      </c>
      <c r="H224" s="801">
        <f>'Idaho Data'!VO137</f>
        <v>118078</v>
      </c>
      <c r="I224" s="800">
        <f>'Idaho Data'!VP137</f>
        <v>2216800</v>
      </c>
      <c r="J224" s="800"/>
      <c r="K224" s="800">
        <f>'Idaho Data'!VQ137</f>
        <v>138491</v>
      </c>
      <c r="L224" s="229">
        <f t="shared" si="49"/>
        <v>2473369</v>
      </c>
      <c r="M224" s="805">
        <f>'Idaho Data'!VR137</f>
        <v>118078</v>
      </c>
      <c r="N224" s="805">
        <f>'Idaho Data'!VS137</f>
        <v>2218689</v>
      </c>
      <c r="O224" s="805">
        <f>'Idaho Data'!VT137 +'Idaho Data'!VU137</f>
        <v>138491</v>
      </c>
      <c r="P224" s="805">
        <f>'Idaho Data'!VU137</f>
        <v>0</v>
      </c>
      <c r="Q224" s="805">
        <f t="shared" si="52"/>
        <v>2475258</v>
      </c>
      <c r="R224" s="898">
        <f>'Idaho Data'!VS137-'Idaho Data'!VP137</f>
        <v>1889</v>
      </c>
      <c r="S224" s="230">
        <f t="shared" si="53"/>
        <v>321.73841961852861</v>
      </c>
      <c r="U224" s="230">
        <f t="shared" si="54"/>
        <v>6040.3269754768389</v>
      </c>
      <c r="V224" s="230">
        <f t="shared" si="55"/>
        <v>377.35967302452315</v>
      </c>
      <c r="W224" s="230">
        <f t="shared" si="56"/>
        <v>6739.425068119891</v>
      </c>
      <c r="X224" s="807">
        <f t="shared" si="57"/>
        <v>321.73841961852861</v>
      </c>
      <c r="Y224" s="807">
        <f t="shared" si="58"/>
        <v>6045.4741144414165</v>
      </c>
      <c r="Z224" s="807">
        <f t="shared" si="59"/>
        <v>377.35967302452315</v>
      </c>
      <c r="AA224" s="807">
        <f t="shared" si="50"/>
        <v>0</v>
      </c>
      <c r="AB224" s="807">
        <f t="shared" si="51"/>
        <v>6744.5722070844686</v>
      </c>
      <c r="AC224" s="231">
        <f>'Idaho Data'!WA137</f>
        <v>5.1471389645776568</v>
      </c>
      <c r="AD224" s="823">
        <f>'Idaho Data'!WB137</f>
        <v>8.5212919523637673E-4</v>
      </c>
      <c r="AE224" s="382"/>
      <c r="AF224" s="201" t="s">
        <v>140</v>
      </c>
      <c r="AG224" s="201"/>
      <c r="AH224" s="201"/>
      <c r="AI224" s="201"/>
      <c r="AJ224" s="381"/>
    </row>
    <row r="225" spans="2:36">
      <c r="B225" s="228" t="str">
        <f>'Idaho Data'!B138</f>
        <v>North Valley Academy</v>
      </c>
      <c r="C225" s="405">
        <f>'Idaho Data'!ST138</f>
        <v>223</v>
      </c>
      <c r="D225" s="242">
        <f>'Idaho Data'!SE138</f>
        <v>0</v>
      </c>
      <c r="E225" s="243">
        <f>'Idaho Data'!SV138</f>
        <v>0.5761316872427984</v>
      </c>
      <c r="G225" s="794" t="str">
        <f>'Idaho Data'!UE138</f>
        <v>yes</v>
      </c>
      <c r="H225" s="801">
        <f>'Idaho Data'!VO138</f>
        <v>231552</v>
      </c>
      <c r="I225" s="800">
        <f>'Idaho Data'!VP138</f>
        <v>1598285</v>
      </c>
      <c r="J225" s="800"/>
      <c r="K225" s="800">
        <f>'Idaho Data'!VQ138</f>
        <v>139200</v>
      </c>
      <c r="L225" s="229">
        <f t="shared" si="49"/>
        <v>1969037</v>
      </c>
      <c r="M225" s="805">
        <f>'Idaho Data'!VR138</f>
        <v>231552</v>
      </c>
      <c r="N225" s="805">
        <f>'Idaho Data'!VS138</f>
        <v>1298610</v>
      </c>
      <c r="O225" s="805">
        <f>'Idaho Data'!VT138 +'Idaho Data'!VU138</f>
        <v>139200</v>
      </c>
      <c r="P225" s="805">
        <f>'Idaho Data'!VU138</f>
        <v>0</v>
      </c>
      <c r="Q225" s="805">
        <f t="shared" ref="Q225:Q250" si="60">SUM(M225:O225)</f>
        <v>1669362</v>
      </c>
      <c r="R225" s="898">
        <f>'Idaho Data'!VS138-'Idaho Data'!VP138</f>
        <v>-299675</v>
      </c>
      <c r="S225" s="230">
        <f t="shared" ref="S225:S250" si="61">H225/$C225</f>
        <v>1038.3497757847533</v>
      </c>
      <c r="U225" s="230">
        <f t="shared" ref="U225:U250" si="62">I225/$C225</f>
        <v>7167.1973094170407</v>
      </c>
      <c r="V225" s="230">
        <f t="shared" ref="V225:V250" si="63">K225/$C225</f>
        <v>624.21524663677133</v>
      </c>
      <c r="W225" s="230">
        <f t="shared" ref="W225:W250" si="64">SUM(S225:V225)</f>
        <v>8829.7623318385649</v>
      </c>
      <c r="X225" s="807">
        <f t="shared" ref="X225:X250" si="65">M225/$C225</f>
        <v>1038.3497757847533</v>
      </c>
      <c r="Y225" s="807">
        <f t="shared" ref="Y225:Y250" si="66">N225/$C225</f>
        <v>5823.3632286995517</v>
      </c>
      <c r="Z225" s="807">
        <f t="shared" ref="Z225:Z250" si="67">O225/$C225</f>
        <v>624.21524663677133</v>
      </c>
      <c r="AA225" s="807">
        <f t="shared" si="50"/>
        <v>0</v>
      </c>
      <c r="AB225" s="807">
        <f t="shared" si="51"/>
        <v>7485.9282511210768</v>
      </c>
      <c r="AC225" s="231">
        <f>'Idaho Data'!WA138</f>
        <v>-1343.8340807174889</v>
      </c>
      <c r="AD225" s="823">
        <f>'Idaho Data'!WB138</f>
        <v>-0.18749784925717253</v>
      </c>
      <c r="AE225" s="382"/>
      <c r="AF225" s="201" t="s">
        <v>179</v>
      </c>
      <c r="AG225" s="201"/>
      <c r="AH225" s="201"/>
      <c r="AI225" s="201"/>
      <c r="AJ225" s="381"/>
    </row>
    <row r="226" spans="2:36">
      <c r="B226" s="228" t="str">
        <f>'Idaho Data'!B139</f>
        <v>iSucceed Virtual Charter School</v>
      </c>
      <c r="C226" s="405">
        <f>'Idaho Data'!ST139</f>
        <v>449</v>
      </c>
      <c r="D226" s="242">
        <f>'Idaho Data'!SE139</f>
        <v>0</v>
      </c>
      <c r="E226" s="243">
        <f>'Idaho Data'!SV139</f>
        <v>0.46889952153110048</v>
      </c>
      <c r="G226" s="794" t="str">
        <f>'Idaho Data'!UE139</f>
        <v/>
      </c>
      <c r="H226" s="801">
        <f>'Idaho Data'!VO139</f>
        <v>105415</v>
      </c>
      <c r="I226" s="800">
        <f>'Idaho Data'!VP139</f>
        <v>2135440</v>
      </c>
      <c r="J226" s="800"/>
      <c r="K226" s="800">
        <f>'Idaho Data'!VQ139</f>
        <v>6695</v>
      </c>
      <c r="L226" s="229">
        <f t="shared" ref="L226:L250" si="68">SUM(H226:K226)</f>
        <v>2247550</v>
      </c>
      <c r="M226" s="805">
        <f>'Idaho Data'!VR139</f>
        <v>105415</v>
      </c>
      <c r="N226" s="805">
        <f>'Idaho Data'!VS139</f>
        <v>2481174</v>
      </c>
      <c r="O226" s="805">
        <f>'Idaho Data'!VT139 +'Idaho Data'!VU139</f>
        <v>6695</v>
      </c>
      <c r="P226" s="805">
        <f>'Idaho Data'!VU139</f>
        <v>0</v>
      </c>
      <c r="Q226" s="805">
        <f t="shared" si="60"/>
        <v>2593284</v>
      </c>
      <c r="R226" s="898">
        <f>'Idaho Data'!VS139-'Idaho Data'!VP139</f>
        <v>345734</v>
      </c>
      <c r="S226" s="230">
        <f t="shared" si="61"/>
        <v>234.7772828507795</v>
      </c>
      <c r="U226" s="230">
        <f t="shared" si="62"/>
        <v>4755.9910913140311</v>
      </c>
      <c r="V226" s="230">
        <f t="shared" si="63"/>
        <v>14.910913140311804</v>
      </c>
      <c r="W226" s="230">
        <f t="shared" si="64"/>
        <v>5005.6792873051227</v>
      </c>
      <c r="X226" s="807">
        <f t="shared" si="65"/>
        <v>234.7772828507795</v>
      </c>
      <c r="Y226" s="807">
        <f t="shared" si="66"/>
        <v>5526</v>
      </c>
      <c r="Z226" s="807">
        <f t="shared" si="67"/>
        <v>14.910913140311804</v>
      </c>
      <c r="AA226" s="807">
        <f t="shared" ref="AA226:AA250" si="69">P226/$C226</f>
        <v>0</v>
      </c>
      <c r="AB226" s="807">
        <f t="shared" ref="AB226:AB250" si="70">SUM(X226:Z226)</f>
        <v>5775.6881959910916</v>
      </c>
      <c r="AC226" s="231">
        <f>'Idaho Data'!WA139</f>
        <v>770.00890868596878</v>
      </c>
      <c r="AD226" s="823">
        <f>'Idaho Data'!WB139</f>
        <v>0.1619029333533136</v>
      </c>
      <c r="AE226" s="382"/>
      <c r="AF226" s="201" t="s">
        <v>109</v>
      </c>
      <c r="AG226" s="201"/>
      <c r="AH226" s="201"/>
      <c r="AI226" s="201"/>
      <c r="AJ226" s="381"/>
    </row>
    <row r="227" spans="2:36">
      <c r="B227" s="228" t="str">
        <f>'Idaho Data'!B140</f>
        <v>Idaho Science &amp; Tech. Charter Sch</v>
      </c>
      <c r="C227" s="405">
        <f>'Idaho Data'!ST140</f>
        <v>262</v>
      </c>
      <c r="D227" s="242">
        <f>'Idaho Data'!SE140</f>
        <v>0</v>
      </c>
      <c r="E227" s="243">
        <f>'Idaho Data'!SV140</f>
        <v>0.38695652173913042</v>
      </c>
      <c r="G227" s="794" t="str">
        <f>'Idaho Data'!UE140</f>
        <v>yes</v>
      </c>
      <c r="H227" s="801">
        <f>'Idaho Data'!VO140</f>
        <v>115064</v>
      </c>
      <c r="I227" s="800">
        <f>'Idaho Data'!VP140</f>
        <v>1874184</v>
      </c>
      <c r="J227" s="800"/>
      <c r="K227" s="800">
        <f>'Idaho Data'!VQ140</f>
        <v>37359</v>
      </c>
      <c r="L227" s="229">
        <f t="shared" si="68"/>
        <v>2026607</v>
      </c>
      <c r="M227" s="805">
        <f>'Idaho Data'!VR140</f>
        <v>115064</v>
      </c>
      <c r="N227" s="805">
        <f>'Idaho Data'!VS140</f>
        <v>1447812</v>
      </c>
      <c r="O227" s="805">
        <f>'Idaho Data'!VT140 +'Idaho Data'!VU140</f>
        <v>37359</v>
      </c>
      <c r="P227" s="805">
        <f>'Idaho Data'!VU140</f>
        <v>0</v>
      </c>
      <c r="Q227" s="805">
        <f t="shared" si="60"/>
        <v>1600235</v>
      </c>
      <c r="R227" s="898">
        <f>'Idaho Data'!VS140-'Idaho Data'!VP140</f>
        <v>-426372</v>
      </c>
      <c r="S227" s="230">
        <f t="shared" si="61"/>
        <v>439.17557251908397</v>
      </c>
      <c r="U227" s="230">
        <f t="shared" si="62"/>
        <v>7153.3740458015263</v>
      </c>
      <c r="V227" s="230">
        <f t="shared" si="63"/>
        <v>142.59160305343511</v>
      </c>
      <c r="W227" s="230">
        <f t="shared" si="64"/>
        <v>7735.1412213740459</v>
      </c>
      <c r="X227" s="807">
        <f t="shared" si="65"/>
        <v>439.17557251908397</v>
      </c>
      <c r="Y227" s="807">
        <f t="shared" si="66"/>
        <v>5526</v>
      </c>
      <c r="Z227" s="807">
        <f t="shared" si="67"/>
        <v>142.59160305343511</v>
      </c>
      <c r="AA227" s="807">
        <f t="shared" si="69"/>
        <v>0</v>
      </c>
      <c r="AB227" s="807">
        <f t="shared" si="70"/>
        <v>6107.7671755725196</v>
      </c>
      <c r="AC227" s="231">
        <f>'Idaho Data'!WA140</f>
        <v>-1627.3740458015268</v>
      </c>
      <c r="AD227" s="823">
        <f>'Idaho Data'!WB140</f>
        <v>-0.22749740687147046</v>
      </c>
      <c r="AE227" s="382"/>
      <c r="AF227" s="201" t="s">
        <v>187</v>
      </c>
      <c r="AG227" s="201"/>
      <c r="AH227" s="201"/>
      <c r="AI227" s="201"/>
      <c r="AJ227" s="381"/>
    </row>
    <row r="228" spans="2:36">
      <c r="B228" s="228" t="str">
        <f>'Idaho Data'!B141</f>
        <v>Idaho Connects Online School</v>
      </c>
      <c r="C228" s="405">
        <f>'Idaho Data'!ST141</f>
        <v>240</v>
      </c>
      <c r="D228" s="242">
        <f>'Idaho Data'!SE141</f>
        <v>0</v>
      </c>
      <c r="E228" s="243">
        <f>'Idaho Data'!SV141</f>
        <v>0</v>
      </c>
      <c r="G228" s="794" t="str">
        <f>'Idaho Data'!UE141</f>
        <v>yes</v>
      </c>
      <c r="H228" s="801">
        <f>'Idaho Data'!VO141</f>
        <v>28240</v>
      </c>
      <c r="I228" s="800">
        <f>'Idaho Data'!VP141</f>
        <v>1750155</v>
      </c>
      <c r="J228" s="800"/>
      <c r="K228" s="800">
        <f>'Idaho Data'!VQ141</f>
        <v>16426</v>
      </c>
      <c r="L228" s="229">
        <f t="shared" si="68"/>
        <v>1794821</v>
      </c>
      <c r="M228" s="805">
        <f>'Idaho Data'!VR141</f>
        <v>28240</v>
      </c>
      <c r="N228" s="805">
        <f>'Idaho Data'!VS141</f>
        <v>1326240</v>
      </c>
      <c r="O228" s="805">
        <f>'Idaho Data'!VT141 +'Idaho Data'!VU141</f>
        <v>16426</v>
      </c>
      <c r="P228" s="805">
        <f>'Idaho Data'!VU141</f>
        <v>0</v>
      </c>
      <c r="Q228" s="805">
        <f t="shared" si="60"/>
        <v>1370906</v>
      </c>
      <c r="R228" s="898">
        <f>'Idaho Data'!VS141-'Idaho Data'!VP141</f>
        <v>-423915</v>
      </c>
      <c r="S228" s="230">
        <f t="shared" si="61"/>
        <v>117.66666666666667</v>
      </c>
      <c r="U228" s="230">
        <f t="shared" si="62"/>
        <v>7292.3125</v>
      </c>
      <c r="V228" s="230">
        <f t="shared" si="63"/>
        <v>68.441666666666663</v>
      </c>
      <c r="W228" s="230">
        <f t="shared" si="64"/>
        <v>7478.4208333333336</v>
      </c>
      <c r="X228" s="807">
        <f t="shared" si="65"/>
        <v>117.66666666666667</v>
      </c>
      <c r="Y228" s="807">
        <f t="shared" si="66"/>
        <v>5526</v>
      </c>
      <c r="Z228" s="807">
        <f t="shared" si="67"/>
        <v>68.441666666666663</v>
      </c>
      <c r="AA228" s="807">
        <f t="shared" si="69"/>
        <v>0</v>
      </c>
      <c r="AB228" s="807">
        <f t="shared" si="70"/>
        <v>5712.1083333333336</v>
      </c>
      <c r="AC228" s="231">
        <f>'Idaho Data'!WA141</f>
        <v>-1766.3125</v>
      </c>
      <c r="AD228" s="823">
        <f>'Idaho Data'!WB141</f>
        <v>-0.2422156894675043</v>
      </c>
      <c r="AE228" s="382"/>
      <c r="AF228" s="201" t="s">
        <v>123</v>
      </c>
      <c r="AG228" s="201"/>
      <c r="AH228" s="201"/>
      <c r="AI228" s="201"/>
      <c r="AJ228" s="381"/>
    </row>
    <row r="229" spans="2:36">
      <c r="B229" s="228" t="str">
        <f>'Idaho Data'!B142</f>
        <v>Kootenai Bridge Academy</v>
      </c>
      <c r="C229" s="405">
        <f>'Idaho Data'!ST142</f>
        <v>244</v>
      </c>
      <c r="D229" s="242">
        <f>'Idaho Data'!SE142</f>
        <v>0</v>
      </c>
      <c r="E229" s="243">
        <f>'Idaho Data'!SV142</f>
        <v>0</v>
      </c>
      <c r="G229" s="794" t="str">
        <f>'Idaho Data'!UE142</f>
        <v>yes</v>
      </c>
      <c r="H229" s="801">
        <f>'Idaho Data'!VO142</f>
        <v>47787</v>
      </c>
      <c r="I229" s="800">
        <f>'Idaho Data'!VP142</f>
        <v>1537714</v>
      </c>
      <c r="J229" s="800"/>
      <c r="K229" s="800">
        <f>'Idaho Data'!VQ142</f>
        <v>4841</v>
      </c>
      <c r="L229" s="229">
        <f t="shared" si="68"/>
        <v>1590342</v>
      </c>
      <c r="M229" s="805">
        <f>'Idaho Data'!VR142</f>
        <v>47787</v>
      </c>
      <c r="N229" s="805">
        <f>'Idaho Data'!VS142</f>
        <v>1348344</v>
      </c>
      <c r="O229" s="805">
        <f>'Idaho Data'!VT142 +'Idaho Data'!VU142</f>
        <v>4841</v>
      </c>
      <c r="P229" s="805">
        <f>'Idaho Data'!VU142</f>
        <v>0</v>
      </c>
      <c r="Q229" s="805">
        <f t="shared" si="60"/>
        <v>1400972</v>
      </c>
      <c r="R229" s="898">
        <f>'Idaho Data'!VS142-'Idaho Data'!VP142</f>
        <v>-189370</v>
      </c>
      <c r="S229" s="230">
        <f t="shared" si="61"/>
        <v>195.84836065573771</v>
      </c>
      <c r="U229" s="230">
        <f t="shared" si="62"/>
        <v>6302.1065573770493</v>
      </c>
      <c r="V229" s="230">
        <f t="shared" si="63"/>
        <v>19.840163934426229</v>
      </c>
      <c r="W229" s="230">
        <f t="shared" si="64"/>
        <v>6517.7950819672133</v>
      </c>
      <c r="X229" s="807">
        <f t="shared" si="65"/>
        <v>195.84836065573771</v>
      </c>
      <c r="Y229" s="807">
        <f t="shared" si="66"/>
        <v>5526</v>
      </c>
      <c r="Z229" s="807">
        <f t="shared" si="67"/>
        <v>19.840163934426229</v>
      </c>
      <c r="AA229" s="807">
        <f t="shared" si="69"/>
        <v>0</v>
      </c>
      <c r="AB229" s="807">
        <f t="shared" si="70"/>
        <v>5741.688524590164</v>
      </c>
      <c r="AC229" s="231">
        <f>'Idaho Data'!WA142</f>
        <v>-776.10655737704917</v>
      </c>
      <c r="AD229" s="823">
        <f>'Idaho Data'!WB142</f>
        <v>-0.12315033874959842</v>
      </c>
      <c r="AE229" s="382"/>
      <c r="AF229" s="201" t="s">
        <v>1495</v>
      </c>
      <c r="AG229" s="201"/>
      <c r="AH229" s="201"/>
      <c r="AI229" s="201"/>
      <c r="AJ229" s="381"/>
    </row>
    <row r="230" spans="2:36">
      <c r="B230" s="228" t="str">
        <f>'Idaho Data'!B143</f>
        <v>Palouse Prairie Charter School</v>
      </c>
      <c r="C230" s="405">
        <f>'Idaho Data'!ST143</f>
        <v>147</v>
      </c>
      <c r="D230" s="242">
        <f>'Idaho Data'!SE143</f>
        <v>0</v>
      </c>
      <c r="E230" s="243">
        <f>'Idaho Data'!SV143</f>
        <v>0.30857142857142855</v>
      </c>
      <c r="G230" s="794" t="str">
        <f>'Idaho Data'!UE143</f>
        <v>yes</v>
      </c>
      <c r="H230" s="801">
        <f>'Idaho Data'!VO143</f>
        <v>91009</v>
      </c>
      <c r="I230" s="800">
        <f>'Idaho Data'!VP143</f>
        <v>970279</v>
      </c>
      <c r="J230" s="800"/>
      <c r="K230" s="800">
        <f>'Idaho Data'!VQ143</f>
        <v>123481</v>
      </c>
      <c r="L230" s="229">
        <f t="shared" si="68"/>
        <v>1184769</v>
      </c>
      <c r="M230" s="805">
        <f>'Idaho Data'!VR143</f>
        <v>91009</v>
      </c>
      <c r="N230" s="805">
        <f>'Idaho Data'!VS143</f>
        <v>870345</v>
      </c>
      <c r="O230" s="805">
        <f>'Idaho Data'!VT143 +'Idaho Data'!VU143</f>
        <v>123481</v>
      </c>
      <c r="P230" s="805">
        <f>'Idaho Data'!VU143</f>
        <v>0</v>
      </c>
      <c r="Q230" s="805">
        <f t="shared" si="60"/>
        <v>1084835</v>
      </c>
      <c r="R230" s="898">
        <f>'Idaho Data'!VS143-'Idaho Data'!VP143</f>
        <v>-99934</v>
      </c>
      <c r="S230" s="230">
        <f t="shared" si="61"/>
        <v>619.10884353741494</v>
      </c>
      <c r="U230" s="230">
        <f t="shared" si="62"/>
        <v>6600.5374149659865</v>
      </c>
      <c r="V230" s="230">
        <f t="shared" si="63"/>
        <v>840.00680272108843</v>
      </c>
      <c r="W230" s="230">
        <f t="shared" si="64"/>
        <v>8059.6530612244896</v>
      </c>
      <c r="X230" s="807">
        <f t="shared" si="65"/>
        <v>619.10884353741494</v>
      </c>
      <c r="Y230" s="807">
        <f t="shared" si="66"/>
        <v>5920.7142857142853</v>
      </c>
      <c r="Z230" s="807">
        <f t="shared" si="67"/>
        <v>840.00680272108843</v>
      </c>
      <c r="AA230" s="807">
        <f t="shared" si="69"/>
        <v>0</v>
      </c>
      <c r="AB230" s="807">
        <f t="shared" si="70"/>
        <v>7379.8299319727885</v>
      </c>
      <c r="AC230" s="231">
        <f>'Idaho Data'!WA143</f>
        <v>-679.82312925170072</v>
      </c>
      <c r="AD230" s="823">
        <f>'Idaho Data'!WB143</f>
        <v>-0.10299511789907852</v>
      </c>
      <c r="AE230" s="382"/>
      <c r="AF230" s="201" t="s">
        <v>231</v>
      </c>
      <c r="AG230" s="201"/>
      <c r="AH230" s="201"/>
      <c r="AI230" s="201"/>
      <c r="AJ230" s="381"/>
    </row>
    <row r="231" spans="2:36">
      <c r="B231" s="228" t="str">
        <f>'Idaho Data'!B144</f>
        <v>The Village Charter School</v>
      </c>
      <c r="C231" s="405">
        <f>'Idaho Data'!ST144</f>
        <v>276</v>
      </c>
      <c r="D231" s="242">
        <f>'Idaho Data'!SE144</f>
        <v>0</v>
      </c>
      <c r="E231" s="243">
        <f>'Idaho Data'!SV144</f>
        <v>0.14613180515759314</v>
      </c>
      <c r="G231" s="794" t="str">
        <f>'Idaho Data'!UE144</f>
        <v>yes</v>
      </c>
      <c r="H231" s="801">
        <f>'Idaho Data'!VO144</f>
        <v>264159</v>
      </c>
      <c r="I231" s="800">
        <f>'Idaho Data'!VP144</f>
        <v>1559034</v>
      </c>
      <c r="J231" s="800"/>
      <c r="K231" s="800">
        <f>'Idaho Data'!VQ144</f>
        <v>37468</v>
      </c>
      <c r="L231" s="229">
        <f t="shared" si="68"/>
        <v>1860661</v>
      </c>
      <c r="M231" s="805">
        <f>'Idaho Data'!VR144</f>
        <v>264159</v>
      </c>
      <c r="N231" s="805">
        <f>'Idaho Data'!VS144</f>
        <v>1657800</v>
      </c>
      <c r="O231" s="805">
        <f>'Idaho Data'!VT144 +'Idaho Data'!VU144</f>
        <v>37468</v>
      </c>
      <c r="P231" s="805">
        <f>'Idaho Data'!VU144</f>
        <v>0</v>
      </c>
      <c r="Q231" s="805">
        <f t="shared" si="60"/>
        <v>1959427</v>
      </c>
      <c r="R231" s="898">
        <f>'Idaho Data'!VS144-'Idaho Data'!VP144</f>
        <v>98766</v>
      </c>
      <c r="S231" s="230">
        <f t="shared" si="61"/>
        <v>957.0978260869565</v>
      </c>
      <c r="U231" s="230">
        <f t="shared" si="62"/>
        <v>5648.673913043478</v>
      </c>
      <c r="V231" s="230">
        <f t="shared" si="63"/>
        <v>135.75362318840581</v>
      </c>
      <c r="W231" s="230">
        <f t="shared" si="64"/>
        <v>6741.5253623188401</v>
      </c>
      <c r="X231" s="807">
        <f t="shared" si="65"/>
        <v>957.0978260869565</v>
      </c>
      <c r="Y231" s="807">
        <f t="shared" si="66"/>
        <v>6006.521739130435</v>
      </c>
      <c r="Z231" s="807">
        <f t="shared" si="67"/>
        <v>135.75362318840581</v>
      </c>
      <c r="AA231" s="807">
        <f t="shared" si="69"/>
        <v>0</v>
      </c>
      <c r="AB231" s="807">
        <f t="shared" si="70"/>
        <v>7099.3731884057979</v>
      </c>
      <c r="AC231" s="231">
        <f>'Idaho Data'!WA144</f>
        <v>357.8478260869565</v>
      </c>
      <c r="AD231" s="823">
        <f>'Idaho Data'!WB144</f>
        <v>6.3350767205846703E-2</v>
      </c>
      <c r="AE231" s="382"/>
      <c r="AF231" s="201" t="s">
        <v>208</v>
      </c>
      <c r="AG231" s="201"/>
      <c r="AH231" s="201"/>
      <c r="AI231" s="201"/>
      <c r="AJ231" s="381"/>
    </row>
    <row r="232" spans="2:36">
      <c r="B232" s="228" t="str">
        <f>'Idaho Data'!B145</f>
        <v>Monticello Montessori</v>
      </c>
      <c r="C232" s="405">
        <f>'Idaho Data'!ST145</f>
        <v>177</v>
      </c>
      <c r="D232" s="242">
        <f>'Idaho Data'!SE145</f>
        <v>0</v>
      </c>
      <c r="E232" s="243">
        <f>'Idaho Data'!SV145</f>
        <v>0.54450261780104714</v>
      </c>
      <c r="G232" s="794" t="str">
        <f>'Idaho Data'!UE145</f>
        <v>yes</v>
      </c>
      <c r="H232" s="801">
        <f>'Idaho Data'!VO145</f>
        <v>110269</v>
      </c>
      <c r="I232" s="800">
        <f>'Idaho Data'!VP145</f>
        <v>1045508</v>
      </c>
      <c r="J232" s="800"/>
      <c r="K232" s="800">
        <f>'Idaho Data'!VQ145</f>
        <v>159292</v>
      </c>
      <c r="L232" s="229">
        <f t="shared" si="68"/>
        <v>1315069</v>
      </c>
      <c r="M232" s="805">
        <f>'Idaho Data'!VR145</f>
        <v>110269</v>
      </c>
      <c r="N232" s="805">
        <f>'Idaho Data'!VS145</f>
        <v>1055466</v>
      </c>
      <c r="O232" s="805">
        <f>'Idaho Data'!VT145 +'Idaho Data'!VU145</f>
        <v>159292</v>
      </c>
      <c r="P232" s="805">
        <f>'Idaho Data'!VU145</f>
        <v>0</v>
      </c>
      <c r="Q232" s="805">
        <f t="shared" si="60"/>
        <v>1325027</v>
      </c>
      <c r="R232" s="898">
        <f>'Idaho Data'!VS145-'Idaho Data'!VP145</f>
        <v>9958</v>
      </c>
      <c r="S232" s="230">
        <f t="shared" si="61"/>
        <v>622.98870056497174</v>
      </c>
      <c r="U232" s="230">
        <f t="shared" si="62"/>
        <v>5906.8248587570624</v>
      </c>
      <c r="V232" s="230">
        <f t="shared" si="63"/>
        <v>899.95480225988706</v>
      </c>
      <c r="W232" s="230">
        <f t="shared" si="64"/>
        <v>7429.7683615819215</v>
      </c>
      <c r="X232" s="807">
        <f t="shared" si="65"/>
        <v>622.98870056497174</v>
      </c>
      <c r="Y232" s="807">
        <f t="shared" si="66"/>
        <v>5963.0847457627115</v>
      </c>
      <c r="Z232" s="807">
        <f t="shared" si="67"/>
        <v>899.95480225988706</v>
      </c>
      <c r="AA232" s="807">
        <f t="shared" si="69"/>
        <v>0</v>
      </c>
      <c r="AB232" s="807">
        <f t="shared" si="70"/>
        <v>7486.0282485875705</v>
      </c>
      <c r="AC232" s="231">
        <f>'Idaho Data'!WA145</f>
        <v>56.259887005649716</v>
      </c>
      <c r="AD232" s="823">
        <f>'Idaho Data'!WB145</f>
        <v>9.5245564835467547E-3</v>
      </c>
      <c r="AE232" s="382"/>
      <c r="AF232" s="201" t="s">
        <v>241</v>
      </c>
      <c r="AG232" s="201"/>
      <c r="AH232" s="201"/>
      <c r="AI232" s="201"/>
      <c r="AJ232" s="381"/>
    </row>
    <row r="233" spans="2:36">
      <c r="B233" s="228" t="str">
        <f>'Idaho Data'!B146</f>
        <v>Sage International Charter</v>
      </c>
      <c r="C233" s="405">
        <f>'Idaho Data'!ST146</f>
        <v>854</v>
      </c>
      <c r="D233" s="242">
        <f>'Idaho Data'!SE146</f>
        <v>0</v>
      </c>
      <c r="E233" s="243">
        <f>'Idaho Data'!SV146</f>
        <v>0.17647058823529413</v>
      </c>
      <c r="G233" s="794" t="str">
        <f>'Idaho Data'!UE146</f>
        <v/>
      </c>
      <c r="H233" s="801">
        <f>'Idaho Data'!VO146</f>
        <v>178270</v>
      </c>
      <c r="I233" s="800">
        <f>'Idaho Data'!VP146</f>
        <v>4897735</v>
      </c>
      <c r="J233" s="800"/>
      <c r="K233" s="800">
        <f>'Idaho Data'!VQ146</f>
        <v>936578</v>
      </c>
      <c r="L233" s="229">
        <f t="shared" si="68"/>
        <v>6012583</v>
      </c>
      <c r="M233" s="805">
        <f>'Idaho Data'!VR146</f>
        <v>178270</v>
      </c>
      <c r="N233" s="805">
        <f>'Idaho Data'!VS146</f>
        <v>4901562</v>
      </c>
      <c r="O233" s="805">
        <f>'Idaho Data'!VT146 +'Idaho Data'!VU146</f>
        <v>936578</v>
      </c>
      <c r="P233" s="805">
        <f>'Idaho Data'!VU146</f>
        <v>0</v>
      </c>
      <c r="Q233" s="805">
        <f t="shared" si="60"/>
        <v>6016410</v>
      </c>
      <c r="R233" s="898">
        <f>'Idaho Data'!VS146-'Idaho Data'!VP146</f>
        <v>3827</v>
      </c>
      <c r="S233" s="230">
        <f t="shared" si="61"/>
        <v>208.74707259953161</v>
      </c>
      <c r="U233" s="230">
        <f t="shared" si="62"/>
        <v>5735.0526932084313</v>
      </c>
      <c r="V233" s="230">
        <f t="shared" si="63"/>
        <v>1096.6955503512881</v>
      </c>
      <c r="W233" s="230">
        <f t="shared" si="64"/>
        <v>7040.4953161592512</v>
      </c>
      <c r="X233" s="807">
        <f t="shared" si="65"/>
        <v>208.74707259953161</v>
      </c>
      <c r="Y233" s="807">
        <f t="shared" si="66"/>
        <v>5739.5339578454332</v>
      </c>
      <c r="Z233" s="807">
        <f t="shared" si="67"/>
        <v>1096.6955503512881</v>
      </c>
      <c r="AA233" s="807">
        <f t="shared" si="69"/>
        <v>0</v>
      </c>
      <c r="AB233" s="807">
        <f t="shared" si="70"/>
        <v>7044.9765807962531</v>
      </c>
      <c r="AC233" s="231">
        <f>'Idaho Data'!WA146</f>
        <v>4.4812646370023419</v>
      </c>
      <c r="AD233" s="823">
        <f>'Idaho Data'!WB146</f>
        <v>7.8138159782021688E-4</v>
      </c>
      <c r="AE233" s="382"/>
      <c r="AF233" s="201" t="s">
        <v>214</v>
      </c>
      <c r="AG233" s="201"/>
      <c r="AH233" s="201"/>
      <c r="AI233" s="201"/>
      <c r="AJ233" s="381"/>
    </row>
    <row r="234" spans="2:36">
      <c r="B234" s="228" t="str">
        <f>'Idaho Data'!B147</f>
        <v>Another Choice Charter School</v>
      </c>
      <c r="C234" s="405">
        <f>'Idaho Data'!ST147</f>
        <v>403</v>
      </c>
      <c r="D234" s="242">
        <f>'Idaho Data'!SE147</f>
        <v>0</v>
      </c>
      <c r="E234" s="243">
        <f>'Idaho Data'!SV147</f>
        <v>0.56399999999999995</v>
      </c>
      <c r="G234" s="794" t="str">
        <f>'Idaho Data'!UE147</f>
        <v/>
      </c>
      <c r="H234" s="801">
        <f>'Idaho Data'!VO147</f>
        <v>209474</v>
      </c>
      <c r="I234" s="800">
        <f>'Idaho Data'!VP147</f>
        <v>2756430</v>
      </c>
      <c r="J234" s="800"/>
      <c r="K234" s="800">
        <f>'Idaho Data'!VQ147</f>
        <v>607740</v>
      </c>
      <c r="L234" s="229">
        <f t="shared" si="68"/>
        <v>3573644</v>
      </c>
      <c r="M234" s="805">
        <f>'Idaho Data'!VR147</f>
        <v>209474</v>
      </c>
      <c r="N234" s="805">
        <f>'Idaho Data'!VS147</f>
        <v>2238030</v>
      </c>
      <c r="O234" s="805">
        <f>'Idaho Data'!VT147 +'Idaho Data'!VU147</f>
        <v>607740</v>
      </c>
      <c r="P234" s="805">
        <f>'Idaho Data'!VU147</f>
        <v>0</v>
      </c>
      <c r="Q234" s="805">
        <f t="shared" si="60"/>
        <v>3055244</v>
      </c>
      <c r="R234" s="898">
        <f>'Idaho Data'!VS147-'Idaho Data'!VP147</f>
        <v>-518400</v>
      </c>
      <c r="S234" s="230">
        <f t="shared" si="61"/>
        <v>519.78660049627797</v>
      </c>
      <c r="U234" s="230">
        <f t="shared" si="62"/>
        <v>6839.7766749379653</v>
      </c>
      <c r="V234" s="230">
        <f t="shared" si="63"/>
        <v>1508.0397022332506</v>
      </c>
      <c r="W234" s="230">
        <f t="shared" si="64"/>
        <v>8867.6029776674932</v>
      </c>
      <c r="X234" s="807">
        <f t="shared" si="65"/>
        <v>519.78660049627797</v>
      </c>
      <c r="Y234" s="807">
        <f t="shared" si="66"/>
        <v>5553.4243176178661</v>
      </c>
      <c r="Z234" s="807">
        <f t="shared" si="67"/>
        <v>1508.0397022332506</v>
      </c>
      <c r="AA234" s="807">
        <f t="shared" si="69"/>
        <v>0</v>
      </c>
      <c r="AB234" s="807">
        <f t="shared" si="70"/>
        <v>7581.2506203473949</v>
      </c>
      <c r="AC234" s="231">
        <f>'Idaho Data'!WA147</f>
        <v>-1286.3523573200991</v>
      </c>
      <c r="AD234" s="823">
        <f>'Idaho Data'!WB147</f>
        <v>-0.18806935057302379</v>
      </c>
      <c r="AE234" s="382"/>
      <c r="AF234" s="201" t="s">
        <v>176</v>
      </c>
      <c r="AG234" s="201"/>
      <c r="AH234" s="201"/>
      <c r="AI234" s="201"/>
      <c r="AJ234" s="381"/>
    </row>
    <row r="235" spans="2:36">
      <c r="B235" s="228" t="str">
        <f>'Idaho Data'!B148</f>
        <v>Blackfoot Charter Comm. Learning Ctr</v>
      </c>
      <c r="C235" s="405">
        <f>'Idaho Data'!ST148</f>
        <v>416</v>
      </c>
      <c r="D235" s="242">
        <f>'Idaho Data'!SE148</f>
        <v>0</v>
      </c>
      <c r="E235" s="243">
        <f>'Idaho Data'!SV148</f>
        <v>0.48063380281690143</v>
      </c>
      <c r="G235" s="794" t="str">
        <f>'Idaho Data'!UE148</f>
        <v/>
      </c>
      <c r="H235" s="801">
        <f>'Idaho Data'!VO148</f>
        <v>125601</v>
      </c>
      <c r="I235" s="800">
        <f>'Idaho Data'!VP148</f>
        <v>2123735</v>
      </c>
      <c r="J235" s="800"/>
      <c r="K235" s="800">
        <f>'Idaho Data'!VQ148</f>
        <v>44462</v>
      </c>
      <c r="L235" s="229">
        <f t="shared" si="68"/>
        <v>2293798</v>
      </c>
      <c r="M235" s="805">
        <f>'Idaho Data'!VR148</f>
        <v>125601</v>
      </c>
      <c r="N235" s="805">
        <f>'Idaho Data'!VS148</f>
        <v>2533671</v>
      </c>
      <c r="O235" s="805">
        <f>'Idaho Data'!VT148 +'Idaho Data'!VU148</f>
        <v>44462</v>
      </c>
      <c r="P235" s="805">
        <f>'Idaho Data'!VU148</f>
        <v>0</v>
      </c>
      <c r="Q235" s="805">
        <f t="shared" si="60"/>
        <v>2703734</v>
      </c>
      <c r="R235" s="898">
        <f>'Idaho Data'!VS148-'Idaho Data'!VP148</f>
        <v>409936</v>
      </c>
      <c r="S235" s="230">
        <f t="shared" si="61"/>
        <v>301.92548076923077</v>
      </c>
      <c r="U235" s="230">
        <f t="shared" si="62"/>
        <v>5105.1322115384619</v>
      </c>
      <c r="V235" s="230">
        <f t="shared" si="63"/>
        <v>106.87980769230769</v>
      </c>
      <c r="W235" s="230">
        <f t="shared" si="64"/>
        <v>5513.9375</v>
      </c>
      <c r="X235" s="807">
        <f t="shared" si="65"/>
        <v>301.92548076923077</v>
      </c>
      <c r="Y235" s="807">
        <f t="shared" si="66"/>
        <v>6090.5552884615381</v>
      </c>
      <c r="Z235" s="807">
        <f t="shared" si="67"/>
        <v>106.87980769230769</v>
      </c>
      <c r="AA235" s="807">
        <f t="shared" si="69"/>
        <v>0</v>
      </c>
      <c r="AB235" s="807">
        <f t="shared" si="70"/>
        <v>6499.3605769230762</v>
      </c>
      <c r="AC235" s="231">
        <f>'Idaho Data'!WA148</f>
        <v>985.42307692307691</v>
      </c>
      <c r="AD235" s="823">
        <f>'Idaho Data'!WB148</f>
        <v>0.19302596604566954</v>
      </c>
      <c r="AE235" s="382"/>
      <c r="AF235" s="201" t="s">
        <v>209</v>
      </c>
      <c r="AG235" s="201"/>
      <c r="AH235" s="201"/>
      <c r="AI235" s="201"/>
      <c r="AJ235" s="381"/>
    </row>
    <row r="236" spans="2:36">
      <c r="B236" s="228" t="str">
        <f>'Idaho Data'!B149</f>
        <v>Legacy Charter School</v>
      </c>
      <c r="C236" s="405">
        <f>'Idaho Data'!ST149</f>
        <v>276</v>
      </c>
      <c r="D236" s="242">
        <f>'Idaho Data'!SE149</f>
        <v>0</v>
      </c>
      <c r="E236" s="243">
        <f>'Idaho Data'!SV149</f>
        <v>0.38305084745762713</v>
      </c>
      <c r="G236" s="794" t="str">
        <f>'Idaho Data'!UE149</f>
        <v>yes</v>
      </c>
      <c r="H236" s="801">
        <f>'Idaho Data'!VO149</f>
        <v>116631</v>
      </c>
      <c r="I236" s="800">
        <f>'Idaho Data'!VP149</f>
        <v>1646476</v>
      </c>
      <c r="J236" s="800"/>
      <c r="K236" s="800">
        <f>'Idaho Data'!VQ149</f>
        <v>19052</v>
      </c>
      <c r="L236" s="229">
        <f t="shared" si="68"/>
        <v>1782159</v>
      </c>
      <c r="M236" s="805">
        <f>'Idaho Data'!VR149</f>
        <v>116631</v>
      </c>
      <c r="N236" s="805">
        <f>'Idaho Data'!VS149</f>
        <v>1591488</v>
      </c>
      <c r="O236" s="805">
        <f>'Idaho Data'!VT149 +'Idaho Data'!VU149</f>
        <v>19052</v>
      </c>
      <c r="P236" s="805">
        <f>'Idaho Data'!VU149</f>
        <v>0</v>
      </c>
      <c r="Q236" s="805">
        <f t="shared" si="60"/>
        <v>1727171</v>
      </c>
      <c r="R236" s="898">
        <f>'Idaho Data'!VS149-'Idaho Data'!VP149</f>
        <v>-54988</v>
      </c>
      <c r="S236" s="230">
        <f t="shared" si="61"/>
        <v>422.57608695652175</v>
      </c>
      <c r="U236" s="230">
        <f t="shared" si="62"/>
        <v>5965.492753623188</v>
      </c>
      <c r="V236" s="230">
        <f t="shared" si="63"/>
        <v>69.028985507246375</v>
      </c>
      <c r="W236" s="230">
        <f t="shared" si="64"/>
        <v>6457.097826086956</v>
      </c>
      <c r="X236" s="807">
        <f t="shared" si="65"/>
        <v>422.57608695652175</v>
      </c>
      <c r="Y236" s="807">
        <f t="shared" si="66"/>
        <v>5766.260869565217</v>
      </c>
      <c r="Z236" s="807">
        <f t="shared" si="67"/>
        <v>69.028985507246375</v>
      </c>
      <c r="AA236" s="807">
        <f t="shared" si="69"/>
        <v>0</v>
      </c>
      <c r="AB236" s="807">
        <f t="shared" si="70"/>
        <v>6257.865942028985</v>
      </c>
      <c r="AC236" s="231">
        <f>'Idaho Data'!WA149</f>
        <v>-199.231884057971</v>
      </c>
      <c r="AD236" s="823">
        <f>'Idaho Data'!WB149</f>
        <v>-3.3397389333339814E-2</v>
      </c>
      <c r="AE236" s="382"/>
      <c r="AF236" s="201" t="s">
        <v>253</v>
      </c>
      <c r="AG236" s="201"/>
      <c r="AH236" s="201"/>
      <c r="AI236" s="201"/>
      <c r="AJ236" s="381"/>
    </row>
    <row r="237" spans="2:36">
      <c r="B237" s="228" t="str">
        <f>'Idaho Data'!B150</f>
        <v>Heritage Academy</v>
      </c>
      <c r="C237" s="405">
        <f>'Idaho Data'!ST150</f>
        <v>157</v>
      </c>
      <c r="D237" s="242">
        <f>'Idaho Data'!SE150</f>
        <v>0</v>
      </c>
      <c r="E237" s="243">
        <f>'Idaho Data'!SV150</f>
        <v>0.9101123595505618</v>
      </c>
      <c r="G237" s="794" t="str">
        <f>'Idaho Data'!UE150</f>
        <v>yes</v>
      </c>
      <c r="H237" s="801">
        <f>'Idaho Data'!VO150</f>
        <v>176030</v>
      </c>
      <c r="I237" s="800">
        <f>'Idaho Data'!VP150</f>
        <v>1115436</v>
      </c>
      <c r="J237" s="800"/>
      <c r="K237" s="800">
        <f>'Idaho Data'!VQ150</f>
        <v>117416</v>
      </c>
      <c r="L237" s="229">
        <f t="shared" si="68"/>
        <v>1408882</v>
      </c>
      <c r="M237" s="805">
        <f>'Idaho Data'!VR150</f>
        <v>176030</v>
      </c>
      <c r="N237" s="805">
        <f>'Idaho Data'!VS150</f>
        <v>922842</v>
      </c>
      <c r="O237" s="805">
        <f>'Idaho Data'!VT150 +'Idaho Data'!VU150</f>
        <v>117416</v>
      </c>
      <c r="P237" s="805">
        <f>'Idaho Data'!VU150</f>
        <v>0</v>
      </c>
      <c r="Q237" s="805">
        <f t="shared" si="60"/>
        <v>1216288</v>
      </c>
      <c r="R237" s="898">
        <f>'Idaho Data'!VS150-'Idaho Data'!VP150</f>
        <v>-192594</v>
      </c>
      <c r="S237" s="230">
        <f t="shared" si="61"/>
        <v>1121.2101910828026</v>
      </c>
      <c r="U237" s="230">
        <f t="shared" si="62"/>
        <v>7104.6878980891715</v>
      </c>
      <c r="V237" s="230">
        <f t="shared" si="63"/>
        <v>747.87261146496814</v>
      </c>
      <c r="W237" s="230">
        <f t="shared" si="64"/>
        <v>8973.7707006369437</v>
      </c>
      <c r="X237" s="807">
        <f t="shared" si="65"/>
        <v>1121.2101910828026</v>
      </c>
      <c r="Y237" s="807">
        <f t="shared" si="66"/>
        <v>5877.9745222929932</v>
      </c>
      <c r="Z237" s="807">
        <f t="shared" si="67"/>
        <v>747.87261146496814</v>
      </c>
      <c r="AA237" s="807">
        <f t="shared" si="69"/>
        <v>0</v>
      </c>
      <c r="AB237" s="807">
        <f t="shared" si="70"/>
        <v>7747.0573248407636</v>
      </c>
      <c r="AC237" s="231">
        <f>'Idaho Data'!WA150</f>
        <v>-1226.7133757961783</v>
      </c>
      <c r="AD237" s="823">
        <f>'Idaho Data'!WB150</f>
        <v>-0.17266252837455487</v>
      </c>
      <c r="AE237" s="382"/>
      <c r="AF237" s="201" t="s">
        <v>166</v>
      </c>
      <c r="AG237" s="201"/>
      <c r="AH237" s="201"/>
      <c r="AI237" s="201"/>
      <c r="AJ237" s="381"/>
    </row>
    <row r="238" spans="2:36">
      <c r="B238" s="228" t="str">
        <f>'Idaho Data'!B151</f>
        <v>N. Idaho STEM Charter</v>
      </c>
      <c r="C238" s="405">
        <f>'Idaho Data'!ST151</f>
        <v>387</v>
      </c>
      <c r="D238" s="242">
        <f>'Idaho Data'!SE151</f>
        <v>0</v>
      </c>
      <c r="E238" s="243">
        <f>'Idaho Data'!SV151</f>
        <v>0</v>
      </c>
      <c r="G238" s="794" t="str">
        <f>'Idaho Data'!UE151</f>
        <v/>
      </c>
      <c r="H238" s="801">
        <f>'Idaho Data'!VO151</f>
        <v>38800</v>
      </c>
      <c r="I238" s="800">
        <f>'Idaho Data'!VP151</f>
        <v>2221633</v>
      </c>
      <c r="J238" s="800"/>
      <c r="K238" s="800">
        <f>'Idaho Data'!VQ151</f>
        <v>241508</v>
      </c>
      <c r="L238" s="229">
        <f t="shared" si="68"/>
        <v>2501941</v>
      </c>
      <c r="M238" s="805">
        <f>'Idaho Data'!VR151</f>
        <v>38800</v>
      </c>
      <c r="N238" s="805">
        <f>'Idaho Data'!VS151</f>
        <v>2268423</v>
      </c>
      <c r="O238" s="805">
        <f>'Idaho Data'!VT151 +'Idaho Data'!VU151</f>
        <v>241508</v>
      </c>
      <c r="P238" s="805">
        <f>'Idaho Data'!VU151</f>
        <v>0</v>
      </c>
      <c r="Q238" s="805">
        <f t="shared" si="60"/>
        <v>2548731</v>
      </c>
      <c r="R238" s="898">
        <f>'Idaho Data'!VS151-'Idaho Data'!VP151</f>
        <v>46790</v>
      </c>
      <c r="S238" s="230">
        <f t="shared" si="61"/>
        <v>100.25839793281654</v>
      </c>
      <c r="U238" s="230">
        <f t="shared" si="62"/>
        <v>5740.6537467700255</v>
      </c>
      <c r="V238" s="230">
        <f t="shared" si="63"/>
        <v>624.0516795865633</v>
      </c>
      <c r="W238" s="230">
        <f t="shared" si="64"/>
        <v>6464.9638242894052</v>
      </c>
      <c r="X238" s="807">
        <f t="shared" si="65"/>
        <v>100.25839793281654</v>
      </c>
      <c r="Y238" s="807">
        <f t="shared" si="66"/>
        <v>5861.5581395348836</v>
      </c>
      <c r="Z238" s="807">
        <f t="shared" si="67"/>
        <v>624.0516795865633</v>
      </c>
      <c r="AA238" s="807">
        <f t="shared" si="69"/>
        <v>0</v>
      </c>
      <c r="AB238" s="807">
        <f t="shared" si="70"/>
        <v>6585.8682170542634</v>
      </c>
      <c r="AC238" s="231">
        <f>'Idaho Data'!WA151</f>
        <v>120.90439276485787</v>
      </c>
      <c r="AD238" s="823">
        <f>'Idaho Data'!WB151</f>
        <v>2.1061084346514478E-2</v>
      </c>
      <c r="AE238" s="382"/>
      <c r="AF238" s="201" t="s">
        <v>136</v>
      </c>
      <c r="AG238" s="201"/>
      <c r="AH238" s="201"/>
      <c r="AI238" s="201"/>
      <c r="AJ238" s="381"/>
    </row>
    <row r="239" spans="2:36">
      <c r="B239" s="228" t="str">
        <f>'Idaho Data'!B152</f>
        <v>Heritage Community Charter Sch</v>
      </c>
      <c r="C239" s="405">
        <f>'Idaho Data'!ST152</f>
        <v>461</v>
      </c>
      <c r="D239" s="242">
        <f>'Idaho Data'!SE152</f>
        <v>0</v>
      </c>
      <c r="E239" s="243">
        <f>'Idaho Data'!SV152</f>
        <v>0.71296296296296291</v>
      </c>
      <c r="G239" s="794" t="str">
        <f>'Idaho Data'!UE152</f>
        <v/>
      </c>
      <c r="H239" s="801">
        <f>'Idaho Data'!VO152</f>
        <v>463862</v>
      </c>
      <c r="I239" s="800">
        <f>'Idaho Data'!VP152</f>
        <v>2625599</v>
      </c>
      <c r="J239" s="800"/>
      <c r="K239" s="800">
        <f>'Idaho Data'!VQ152</f>
        <v>32209</v>
      </c>
      <c r="L239" s="229">
        <f t="shared" si="68"/>
        <v>3121670</v>
      </c>
      <c r="M239" s="805">
        <f>'Idaho Data'!VR152</f>
        <v>463862</v>
      </c>
      <c r="N239" s="805">
        <f>'Idaho Data'!VS152</f>
        <v>2713266</v>
      </c>
      <c r="O239" s="805">
        <f>'Idaho Data'!VT152 +'Idaho Data'!VU152</f>
        <v>32209</v>
      </c>
      <c r="P239" s="805">
        <f>'Idaho Data'!VU152</f>
        <v>0</v>
      </c>
      <c r="Q239" s="805">
        <f t="shared" si="60"/>
        <v>3209337</v>
      </c>
      <c r="R239" s="898">
        <f>'Idaho Data'!VS152-'Idaho Data'!VP152</f>
        <v>87667</v>
      </c>
      <c r="S239" s="230">
        <f t="shared" si="61"/>
        <v>1006.2082429501085</v>
      </c>
      <c r="U239" s="230">
        <f t="shared" si="62"/>
        <v>5695.4425162689804</v>
      </c>
      <c r="V239" s="230">
        <f t="shared" si="63"/>
        <v>69.867678958785248</v>
      </c>
      <c r="W239" s="230">
        <f t="shared" si="64"/>
        <v>6771.5184381778745</v>
      </c>
      <c r="X239" s="807">
        <f t="shared" si="65"/>
        <v>1006.2082429501085</v>
      </c>
      <c r="Y239" s="807">
        <f t="shared" si="66"/>
        <v>5885.609544468547</v>
      </c>
      <c r="Z239" s="807">
        <f t="shared" si="67"/>
        <v>69.867678958785248</v>
      </c>
      <c r="AA239" s="807">
        <f t="shared" si="69"/>
        <v>0</v>
      </c>
      <c r="AB239" s="807">
        <f t="shared" si="70"/>
        <v>6961.6854663774411</v>
      </c>
      <c r="AC239" s="231">
        <f>'Idaho Data'!WA152</f>
        <v>190.16702819956615</v>
      </c>
      <c r="AD239" s="823">
        <f>'Idaho Data'!WB152</f>
        <v>3.3389333253097675E-2</v>
      </c>
      <c r="AE239" s="382"/>
      <c r="AF239" s="201" t="s">
        <v>222</v>
      </c>
      <c r="AG239" s="201"/>
      <c r="AH239" s="201"/>
      <c r="AI239" s="201"/>
      <c r="AJ239" s="381"/>
    </row>
    <row r="240" spans="2:36">
      <c r="B240" s="228" t="str">
        <f>'Idaho Data'!B153</f>
        <v>American Heritage Charter School</v>
      </c>
      <c r="C240" s="405">
        <f>'Idaho Data'!ST153</f>
        <v>236</v>
      </c>
      <c r="D240" s="242">
        <f>'Idaho Data'!SE153</f>
        <v>0</v>
      </c>
      <c r="E240" s="243">
        <f>'Idaho Data'!SV153</f>
        <v>0.2857142857142857</v>
      </c>
      <c r="G240" s="794" t="str">
        <f>'Idaho Data'!UE153</f>
        <v>yes</v>
      </c>
      <c r="H240" s="801">
        <f>'Idaho Data'!VO153</f>
        <v>88804</v>
      </c>
      <c r="I240" s="800">
        <f>'Idaho Data'!VP153</f>
        <v>1431114</v>
      </c>
      <c r="J240" s="800"/>
      <c r="K240" s="800">
        <f>'Idaho Data'!VQ153</f>
        <v>144939</v>
      </c>
      <c r="L240" s="229">
        <f t="shared" si="68"/>
        <v>1664857</v>
      </c>
      <c r="M240" s="805">
        <f>'Idaho Data'!VR153</f>
        <v>88804</v>
      </c>
      <c r="N240" s="805">
        <f>'Idaho Data'!VS153</f>
        <v>1370448</v>
      </c>
      <c r="O240" s="805">
        <f>'Idaho Data'!VT153 +'Idaho Data'!VU153</f>
        <v>144939</v>
      </c>
      <c r="P240" s="805">
        <f>'Idaho Data'!VU153</f>
        <v>0</v>
      </c>
      <c r="Q240" s="805">
        <f t="shared" si="60"/>
        <v>1604191</v>
      </c>
      <c r="R240" s="898">
        <f>'Idaho Data'!VS153-'Idaho Data'!VP153</f>
        <v>-60666</v>
      </c>
      <c r="S240" s="230">
        <f t="shared" si="61"/>
        <v>376.28813559322032</v>
      </c>
      <c r="U240" s="230">
        <f t="shared" si="62"/>
        <v>6064.0423728813557</v>
      </c>
      <c r="V240" s="230">
        <f t="shared" si="63"/>
        <v>614.14830508474574</v>
      </c>
      <c r="W240" s="230">
        <f t="shared" si="64"/>
        <v>7054.4788135593217</v>
      </c>
      <c r="X240" s="807">
        <f t="shared" si="65"/>
        <v>376.28813559322032</v>
      </c>
      <c r="Y240" s="807">
        <f t="shared" si="66"/>
        <v>5806.9830508474579</v>
      </c>
      <c r="Z240" s="807">
        <f t="shared" si="67"/>
        <v>614.14830508474574</v>
      </c>
      <c r="AA240" s="807">
        <f t="shared" si="69"/>
        <v>0</v>
      </c>
      <c r="AB240" s="807">
        <f t="shared" si="70"/>
        <v>6797.4194915254238</v>
      </c>
      <c r="AC240" s="231">
        <f>'Idaho Data'!WA153</f>
        <v>-257.0593220338983</v>
      </c>
      <c r="AD240" s="823">
        <f>'Idaho Data'!WB153</f>
        <v>-4.2390752937921085E-2</v>
      </c>
      <c r="AE240" s="382"/>
      <c r="AF240" s="201" t="s">
        <v>233</v>
      </c>
      <c r="AG240" s="201"/>
      <c r="AH240" s="201"/>
      <c r="AI240" s="201"/>
      <c r="AJ240" s="381"/>
    </row>
    <row r="241" spans="2:36">
      <c r="B241" s="228" t="str">
        <f>'Idaho Data'!B154</f>
        <v>Chief Tahgee Elementary Academy</v>
      </c>
      <c r="C241" s="405">
        <f>'Idaho Data'!ST154</f>
        <v>79</v>
      </c>
      <c r="D241" s="242">
        <f>'Idaho Data'!SE154</f>
        <v>0</v>
      </c>
      <c r="E241" s="243">
        <f>'Idaho Data'!SV154</f>
        <v>0.90476190476190477</v>
      </c>
      <c r="G241" s="794" t="str">
        <f>'Idaho Data'!UE154</f>
        <v>yes</v>
      </c>
      <c r="H241" s="801">
        <f>'Idaho Data'!VO154</f>
        <v>1203104</v>
      </c>
      <c r="I241" s="800">
        <f>'Idaho Data'!VP154</f>
        <v>729532</v>
      </c>
      <c r="J241" s="800"/>
      <c r="K241" s="800">
        <f>'Idaho Data'!VQ154</f>
        <v>166580</v>
      </c>
      <c r="L241" s="229">
        <f t="shared" si="68"/>
        <v>2099216</v>
      </c>
      <c r="M241" s="805">
        <f>'Idaho Data'!VR154</f>
        <v>1203104</v>
      </c>
      <c r="N241" s="805">
        <f>'Idaho Data'!VS154</f>
        <v>483525</v>
      </c>
      <c r="O241" s="805">
        <f>'Idaho Data'!VT154 +'Idaho Data'!VU154</f>
        <v>166580</v>
      </c>
      <c r="P241" s="805">
        <f>'Idaho Data'!VU154</f>
        <v>0</v>
      </c>
      <c r="Q241" s="805">
        <f t="shared" si="60"/>
        <v>1853209</v>
      </c>
      <c r="R241" s="898">
        <f>'Idaho Data'!VS154-'Idaho Data'!VP154</f>
        <v>-246007</v>
      </c>
      <c r="S241" s="230">
        <f t="shared" si="61"/>
        <v>15229.164556962025</v>
      </c>
      <c r="U241" s="230">
        <f t="shared" si="62"/>
        <v>9234.5822784810134</v>
      </c>
      <c r="V241" s="230">
        <f t="shared" si="63"/>
        <v>2108.6075949367087</v>
      </c>
      <c r="W241" s="230">
        <f t="shared" si="64"/>
        <v>26572.354430379746</v>
      </c>
      <c r="X241" s="807">
        <f t="shared" si="65"/>
        <v>15229.164556962025</v>
      </c>
      <c r="Y241" s="807">
        <f t="shared" si="66"/>
        <v>6120.5696202531644</v>
      </c>
      <c r="Z241" s="807">
        <f t="shared" si="67"/>
        <v>2108.6075949367087</v>
      </c>
      <c r="AA241" s="807">
        <f t="shared" si="69"/>
        <v>0</v>
      </c>
      <c r="AB241" s="807">
        <f t="shared" si="70"/>
        <v>23458.341772151896</v>
      </c>
      <c r="AC241" s="231">
        <f>'Idaho Data'!WA154</f>
        <v>-3114.0126582278481</v>
      </c>
      <c r="AD241" s="823">
        <f>'Idaho Data'!WB154</f>
        <v>-0.33721207568687872</v>
      </c>
      <c r="AE241" s="382"/>
      <c r="AF241" s="201" t="s">
        <v>206</v>
      </c>
      <c r="AG241" s="201"/>
      <c r="AH241" s="201"/>
      <c r="AI241" s="201"/>
      <c r="AJ241" s="381"/>
    </row>
    <row r="242" spans="2:36">
      <c r="B242" s="228" t="str">
        <f>'Idaho Data'!B155</f>
        <v>Bingham Academy</v>
      </c>
      <c r="C242" s="405">
        <f>'Idaho Data'!ST155</f>
        <v>79</v>
      </c>
      <c r="D242" s="242">
        <f>'Idaho Data'!SE155</f>
        <v>0</v>
      </c>
      <c r="E242" s="243">
        <f>'Idaho Data'!SV155</f>
        <v>0.58888888888888891</v>
      </c>
      <c r="G242" s="794" t="str">
        <f>'Idaho Data'!UE155</f>
        <v>yes</v>
      </c>
      <c r="H242" s="801">
        <f>'Idaho Data'!VO155</f>
        <v>175033</v>
      </c>
      <c r="I242" s="800">
        <f>'Idaho Data'!VP155</f>
        <v>746859</v>
      </c>
      <c r="J242" s="800"/>
      <c r="K242" s="800">
        <f>'Idaho Data'!VQ155</f>
        <v>59806</v>
      </c>
      <c r="L242" s="229">
        <f t="shared" si="68"/>
        <v>981698</v>
      </c>
      <c r="M242" s="805">
        <f>'Idaho Data'!VR155</f>
        <v>175033</v>
      </c>
      <c r="N242" s="805">
        <f>'Idaho Data'!VS155</f>
        <v>436554</v>
      </c>
      <c r="O242" s="805">
        <f>'Idaho Data'!VT155 +'Idaho Data'!VU155</f>
        <v>59806</v>
      </c>
      <c r="P242" s="805">
        <f>'Idaho Data'!VU155</f>
        <v>0</v>
      </c>
      <c r="Q242" s="805">
        <f t="shared" si="60"/>
        <v>671393</v>
      </c>
      <c r="R242" s="898">
        <f>'Idaho Data'!VS155-'Idaho Data'!VP155</f>
        <v>-310305</v>
      </c>
      <c r="S242" s="230">
        <f t="shared" si="61"/>
        <v>2215.6075949367087</v>
      </c>
      <c r="U242" s="230">
        <f t="shared" si="62"/>
        <v>9453.9113924050635</v>
      </c>
      <c r="V242" s="230">
        <f t="shared" si="63"/>
        <v>757.03797468354435</v>
      </c>
      <c r="W242" s="230">
        <f t="shared" si="64"/>
        <v>12426.556962025317</v>
      </c>
      <c r="X242" s="807">
        <f t="shared" si="65"/>
        <v>2215.6075949367087</v>
      </c>
      <c r="Y242" s="807">
        <f t="shared" si="66"/>
        <v>5526</v>
      </c>
      <c r="Z242" s="807">
        <f t="shared" si="67"/>
        <v>757.03797468354435</v>
      </c>
      <c r="AA242" s="807">
        <f t="shared" si="69"/>
        <v>0</v>
      </c>
      <c r="AB242" s="807">
        <f t="shared" si="70"/>
        <v>8498.6455696202538</v>
      </c>
      <c r="AC242" s="231">
        <f>'Idaho Data'!WA155</f>
        <v>-3927.9113924050635</v>
      </c>
      <c r="AD242" s="823">
        <f>'Idaho Data'!WB155</f>
        <v>-0.41548003036717773</v>
      </c>
      <c r="AE242" s="382"/>
      <c r="AF242" s="201" t="s">
        <v>219</v>
      </c>
      <c r="AG242" s="201"/>
      <c r="AH242" s="201"/>
      <c r="AI242" s="201"/>
      <c r="AJ242" s="381"/>
    </row>
    <row r="243" spans="2:36">
      <c r="B243" s="228" t="str">
        <f>'Idaho Data'!B156</f>
        <v>Upper Carmen Charter School</v>
      </c>
      <c r="C243" s="405">
        <f>'Idaho Data'!ST156</f>
        <v>94</v>
      </c>
      <c r="D243" s="242">
        <f>'Idaho Data'!SE156</f>
        <v>0</v>
      </c>
      <c r="E243" s="243">
        <f>'Idaho Data'!SV156</f>
        <v>0</v>
      </c>
      <c r="G243" s="794" t="str">
        <f>'Idaho Data'!UE156</f>
        <v>yes</v>
      </c>
      <c r="H243" s="801">
        <f>'Idaho Data'!VO156</f>
        <v>0</v>
      </c>
      <c r="I243" s="800">
        <f>'Idaho Data'!VP156</f>
        <v>822431</v>
      </c>
      <c r="J243" s="800"/>
      <c r="K243" s="800">
        <f>'Idaho Data'!VQ156</f>
        <v>35828</v>
      </c>
      <c r="L243" s="229">
        <f t="shared" si="68"/>
        <v>858259</v>
      </c>
      <c r="M243" s="805">
        <f>'Idaho Data'!VR156</f>
        <v>0</v>
      </c>
      <c r="N243" s="805">
        <f>'Idaho Data'!VS156</f>
        <v>547074</v>
      </c>
      <c r="O243" s="805">
        <f>'Idaho Data'!VT156 +'Idaho Data'!VU156</f>
        <v>35828</v>
      </c>
      <c r="P243" s="805">
        <f>'Idaho Data'!VU156</f>
        <v>0</v>
      </c>
      <c r="Q243" s="805">
        <f t="shared" si="60"/>
        <v>582902</v>
      </c>
      <c r="R243" s="898">
        <f>'Idaho Data'!VS156-'Idaho Data'!VP156</f>
        <v>-275357</v>
      </c>
      <c r="S243" s="230">
        <f t="shared" si="61"/>
        <v>0</v>
      </c>
      <c r="U243" s="230">
        <f t="shared" si="62"/>
        <v>8749.2659574468089</v>
      </c>
      <c r="V243" s="230">
        <f t="shared" si="63"/>
        <v>381.14893617021278</v>
      </c>
      <c r="W243" s="230">
        <f t="shared" si="64"/>
        <v>9130.4148936170222</v>
      </c>
      <c r="X243" s="807">
        <f t="shared" si="65"/>
        <v>0</v>
      </c>
      <c r="Y243" s="807">
        <f t="shared" si="66"/>
        <v>5819.9361702127662</v>
      </c>
      <c r="Z243" s="807">
        <f t="shared" si="67"/>
        <v>381.14893617021278</v>
      </c>
      <c r="AA243" s="807">
        <f t="shared" si="69"/>
        <v>0</v>
      </c>
      <c r="AB243" s="807">
        <f t="shared" si="70"/>
        <v>6201.0851063829787</v>
      </c>
      <c r="AC243" s="231">
        <f>'Idaho Data'!WA156</f>
        <v>-2929.3297872340427</v>
      </c>
      <c r="AD243" s="823">
        <f>'Idaho Data'!WB156</f>
        <v>-0.33480863440215652</v>
      </c>
      <c r="AE243" s="382"/>
      <c r="AF243" s="201" t="s">
        <v>156</v>
      </c>
      <c r="AG243" s="201"/>
      <c r="AH243" s="201"/>
      <c r="AI243" s="201"/>
      <c r="AJ243" s="381"/>
    </row>
    <row r="244" spans="2:36">
      <c r="B244" s="228" t="str">
        <f>'Idaho Data'!B157</f>
        <v>Forrest M. Bird Charter School</v>
      </c>
      <c r="C244" s="405">
        <f>'Idaho Data'!ST157</f>
        <v>339</v>
      </c>
      <c r="D244" s="242">
        <f>'Idaho Data'!SE157</f>
        <v>0</v>
      </c>
      <c r="E244" s="243">
        <f>'Idaho Data'!SV157</f>
        <v>0.49315068493150682</v>
      </c>
      <c r="G244" s="794" t="str">
        <f>'Idaho Data'!UE157</f>
        <v/>
      </c>
      <c r="H244" s="801">
        <f>'Idaho Data'!VO157</f>
        <v>148364</v>
      </c>
      <c r="I244" s="800">
        <f>'Idaho Data'!VP157</f>
        <v>2450026</v>
      </c>
      <c r="J244" s="800"/>
      <c r="K244" s="800">
        <f>'Idaho Data'!VQ157</f>
        <v>2139706</v>
      </c>
      <c r="L244" s="229">
        <f t="shared" si="68"/>
        <v>4738096</v>
      </c>
      <c r="M244" s="805">
        <f>'Idaho Data'!VR157</f>
        <v>148364</v>
      </c>
      <c r="N244" s="805">
        <f>'Idaho Data'!VS157</f>
        <v>1873314</v>
      </c>
      <c r="O244" s="805">
        <f>'Idaho Data'!VT157 +'Idaho Data'!VU157</f>
        <v>2139706</v>
      </c>
      <c r="P244" s="805">
        <f>'Idaho Data'!VU157</f>
        <v>0</v>
      </c>
      <c r="Q244" s="805">
        <f t="shared" si="60"/>
        <v>4161384</v>
      </c>
      <c r="R244" s="898">
        <f>'Idaho Data'!VS157-'Idaho Data'!VP157</f>
        <v>-576712</v>
      </c>
      <c r="S244" s="230">
        <f t="shared" si="61"/>
        <v>437.65191740412979</v>
      </c>
      <c r="U244" s="230">
        <f t="shared" si="62"/>
        <v>7227.2153392330383</v>
      </c>
      <c r="V244" s="230">
        <f t="shared" si="63"/>
        <v>6311.8171091445429</v>
      </c>
      <c r="W244" s="230">
        <f t="shared" si="64"/>
        <v>13976.684365781712</v>
      </c>
      <c r="X244" s="807">
        <f t="shared" si="65"/>
        <v>437.65191740412979</v>
      </c>
      <c r="Y244" s="807">
        <f t="shared" si="66"/>
        <v>5526</v>
      </c>
      <c r="Z244" s="807">
        <f t="shared" si="67"/>
        <v>6311.8171091445429</v>
      </c>
      <c r="AA244" s="807">
        <f t="shared" si="69"/>
        <v>0</v>
      </c>
      <c r="AB244" s="807">
        <f t="shared" si="70"/>
        <v>12275.469026548672</v>
      </c>
      <c r="AC244" s="231">
        <f>'Idaho Data'!WA157</f>
        <v>-1701.2153392330383</v>
      </c>
      <c r="AD244" s="823">
        <f>'Idaho Data'!WB157</f>
        <v>-0.23539015504325261</v>
      </c>
      <c r="AE244" s="382"/>
      <c r="AF244" s="201" t="s">
        <v>120</v>
      </c>
      <c r="AG244" s="201"/>
      <c r="AH244" s="201"/>
      <c r="AI244" s="201"/>
      <c r="AJ244" s="381"/>
    </row>
    <row r="245" spans="2:36">
      <c r="B245" s="228" t="str">
        <f>'Idaho Data'!B158</f>
        <v>Syringa Mountain School</v>
      </c>
      <c r="C245" s="405">
        <f>'Idaho Data'!ST158</f>
        <v>118</v>
      </c>
      <c r="D245" s="242">
        <f>'Idaho Data'!SE158</f>
        <v>0</v>
      </c>
      <c r="E245" s="243">
        <f>'Idaho Data'!SV158</f>
        <v>0.31538461538461537</v>
      </c>
      <c r="G245" s="794" t="str">
        <f>'Idaho Data'!UE158</f>
        <v>yes</v>
      </c>
      <c r="H245" s="801">
        <f>'Idaho Data'!VO158</f>
        <v>33003</v>
      </c>
      <c r="I245" s="800">
        <f>'Idaho Data'!VP158</f>
        <v>721117</v>
      </c>
      <c r="J245" s="800"/>
      <c r="K245" s="800">
        <f>'Idaho Data'!VQ158</f>
        <v>422109</v>
      </c>
      <c r="L245" s="229">
        <f t="shared" si="68"/>
        <v>1176229</v>
      </c>
      <c r="M245" s="805">
        <f>'Idaho Data'!VR158</f>
        <v>33003</v>
      </c>
      <c r="N245" s="805">
        <f>'Idaho Data'!VS158</f>
        <v>687987</v>
      </c>
      <c r="O245" s="805">
        <f>'Idaho Data'!VT158 +'Idaho Data'!VU158</f>
        <v>422109</v>
      </c>
      <c r="P245" s="805">
        <f>'Idaho Data'!VU158</f>
        <v>0</v>
      </c>
      <c r="Q245" s="805">
        <f t="shared" si="60"/>
        <v>1143099</v>
      </c>
      <c r="R245" s="898">
        <f>'Idaho Data'!VS158-'Idaho Data'!VP158</f>
        <v>-33130</v>
      </c>
      <c r="S245" s="230">
        <f t="shared" si="61"/>
        <v>279.68644067796612</v>
      </c>
      <c r="U245" s="230">
        <f t="shared" si="62"/>
        <v>6111.1610169491523</v>
      </c>
      <c r="V245" s="230">
        <f t="shared" si="63"/>
        <v>3577.1949152542375</v>
      </c>
      <c r="W245" s="230">
        <f t="shared" si="64"/>
        <v>9968.0423728813548</v>
      </c>
      <c r="X245" s="807">
        <f t="shared" si="65"/>
        <v>279.68644067796612</v>
      </c>
      <c r="Y245" s="807">
        <f t="shared" si="66"/>
        <v>5830.3983050847455</v>
      </c>
      <c r="Z245" s="807">
        <f t="shared" si="67"/>
        <v>3577.1949152542375</v>
      </c>
      <c r="AA245" s="807">
        <f t="shared" si="69"/>
        <v>0</v>
      </c>
      <c r="AB245" s="807">
        <f t="shared" si="70"/>
        <v>9687.2796610169498</v>
      </c>
      <c r="AC245" s="231">
        <f>'Idaho Data'!WA158</f>
        <v>-280.76271186440675</v>
      </c>
      <c r="AD245" s="823">
        <f>'Idaho Data'!WB158</f>
        <v>-4.5942614027959405E-2</v>
      </c>
      <c r="AE245" s="382"/>
      <c r="AF245" s="201" t="s">
        <v>164</v>
      </c>
      <c r="AG245" s="201"/>
      <c r="AH245" s="201"/>
      <c r="AI245" s="201"/>
      <c r="AJ245" s="381"/>
    </row>
    <row r="246" spans="2:36">
      <c r="B246" s="228" t="str">
        <f>'Idaho Data'!B159</f>
        <v>Idaho College &amp; Career Readiness Acad</v>
      </c>
      <c r="C246" s="405">
        <f>'Idaho Data'!ST159</f>
        <v>59</v>
      </c>
      <c r="D246" s="242">
        <f>'Idaho Data'!SE159</f>
        <v>0</v>
      </c>
      <c r="E246" s="243">
        <f>'Idaho Data'!SV159</f>
        <v>0</v>
      </c>
      <c r="G246" s="794" t="str">
        <f>'Idaho Data'!UE159</f>
        <v>yes</v>
      </c>
      <c r="H246" s="801">
        <f>'Idaho Data'!VO159</f>
        <v>7020</v>
      </c>
      <c r="I246" s="800">
        <f>'Idaho Data'!VP159</f>
        <v>554205</v>
      </c>
      <c r="J246" s="800"/>
      <c r="K246" s="800">
        <f>'Idaho Data'!VQ159</f>
        <v>7865</v>
      </c>
      <c r="L246" s="229">
        <f t="shared" si="68"/>
        <v>569090</v>
      </c>
      <c r="M246" s="805">
        <f>'Idaho Data'!VR159</f>
        <v>7020</v>
      </c>
      <c r="N246" s="805">
        <f>'Idaho Data'!VS159</f>
        <v>326034</v>
      </c>
      <c r="O246" s="805">
        <f>'Idaho Data'!VT159 +'Idaho Data'!VU159</f>
        <v>7865</v>
      </c>
      <c r="P246" s="805">
        <f>'Idaho Data'!VU159</f>
        <v>0</v>
      </c>
      <c r="Q246" s="805">
        <f t="shared" si="60"/>
        <v>340919</v>
      </c>
      <c r="R246" s="898">
        <f>'Idaho Data'!VS159-'Idaho Data'!VP159</f>
        <v>-228171</v>
      </c>
      <c r="S246" s="230">
        <f t="shared" si="61"/>
        <v>118.98305084745763</v>
      </c>
      <c r="U246" s="230">
        <f t="shared" si="62"/>
        <v>9393.3050847457635</v>
      </c>
      <c r="V246" s="230">
        <f t="shared" si="63"/>
        <v>133.30508474576271</v>
      </c>
      <c r="W246" s="230">
        <f t="shared" si="64"/>
        <v>9645.5932203389839</v>
      </c>
      <c r="X246" s="807">
        <f t="shared" si="65"/>
        <v>118.98305084745763</v>
      </c>
      <c r="Y246" s="807">
        <f t="shared" si="66"/>
        <v>5526</v>
      </c>
      <c r="Z246" s="807">
        <f t="shared" si="67"/>
        <v>133.30508474576271</v>
      </c>
      <c r="AA246" s="807">
        <f t="shared" si="69"/>
        <v>0</v>
      </c>
      <c r="AB246" s="807">
        <f t="shared" si="70"/>
        <v>5778.2881355932204</v>
      </c>
      <c r="AC246" s="231">
        <f>'Idaho Data'!WA159</f>
        <v>-3867.3050847457625</v>
      </c>
      <c r="AD246" s="823">
        <f>'Idaho Data'!WB159</f>
        <v>-0.41170866376160448</v>
      </c>
      <c r="AE246" s="382"/>
      <c r="AF246" s="201" t="s">
        <v>151</v>
      </c>
      <c r="AG246" s="201"/>
      <c r="AH246" s="201"/>
      <c r="AI246" s="201"/>
      <c r="AJ246" s="381"/>
    </row>
    <row r="247" spans="2:36">
      <c r="B247" s="228" t="str">
        <f>'Idaho Data'!B160</f>
        <v>Idaho Distance Education Acad.</v>
      </c>
      <c r="C247" s="405">
        <f>'Idaho Data'!ST160</f>
        <v>598</v>
      </c>
      <c r="D247" s="242">
        <f>'Idaho Data'!SE160</f>
        <v>0</v>
      </c>
      <c r="E247" s="243">
        <f>'Idaho Data'!SV160</f>
        <v>0.50928792569659442</v>
      </c>
      <c r="G247" s="794" t="str">
        <f>'Idaho Data'!UE160</f>
        <v/>
      </c>
      <c r="H247" s="801">
        <f>'Idaho Data'!VO160</f>
        <v>328129</v>
      </c>
      <c r="I247" s="800">
        <f>'Idaho Data'!VP160</f>
        <v>3642317</v>
      </c>
      <c r="J247" s="800"/>
      <c r="K247" s="800">
        <f>'Idaho Data'!VQ160</f>
        <v>136726</v>
      </c>
      <c r="L247" s="229">
        <f t="shared" si="68"/>
        <v>4107172</v>
      </c>
      <c r="M247" s="805">
        <f>'Idaho Data'!VR160</f>
        <v>328129</v>
      </c>
      <c r="N247" s="805">
        <f>'Idaho Data'!VS160</f>
        <v>3486906</v>
      </c>
      <c r="O247" s="805">
        <f>'Idaho Data'!VT160 +'Idaho Data'!VU160</f>
        <v>136726</v>
      </c>
      <c r="P247" s="805">
        <f>'Idaho Data'!VU160</f>
        <v>0</v>
      </c>
      <c r="Q247" s="805">
        <f t="shared" si="60"/>
        <v>3951761</v>
      </c>
      <c r="R247" s="898">
        <f>'Idaho Data'!VS160-'Idaho Data'!VP160</f>
        <v>-155411</v>
      </c>
      <c r="S247" s="230">
        <f t="shared" si="61"/>
        <v>548.71070234113711</v>
      </c>
      <c r="U247" s="230">
        <f t="shared" si="62"/>
        <v>6090.83110367893</v>
      </c>
      <c r="V247" s="230">
        <f t="shared" si="63"/>
        <v>228.63879598662209</v>
      </c>
      <c r="W247" s="230">
        <f t="shared" si="64"/>
        <v>6868.1806020066897</v>
      </c>
      <c r="X247" s="807">
        <f t="shared" si="65"/>
        <v>548.71070234113711</v>
      </c>
      <c r="Y247" s="807">
        <f t="shared" si="66"/>
        <v>5830.9464882943148</v>
      </c>
      <c r="Z247" s="807">
        <f t="shared" si="67"/>
        <v>228.63879598662209</v>
      </c>
      <c r="AA247" s="807">
        <f t="shared" si="69"/>
        <v>0</v>
      </c>
      <c r="AB247" s="807">
        <f t="shared" si="70"/>
        <v>6608.2959866220745</v>
      </c>
      <c r="AC247" s="231">
        <f>'Idaho Data'!WA160</f>
        <v>-259.88461538461536</v>
      </c>
      <c r="AD247" s="823">
        <f>'Idaho Data'!WB160</f>
        <v>-4.2668169739207215E-2</v>
      </c>
      <c r="AE247" s="382"/>
      <c r="AF247" s="201" t="s">
        <v>1484</v>
      </c>
      <c r="AG247" s="201"/>
      <c r="AH247" s="201"/>
      <c r="AI247" s="201"/>
      <c r="AJ247" s="381"/>
    </row>
    <row r="248" spans="2:36">
      <c r="B248" s="228" t="str">
        <f>'Idaho Data'!B161</f>
        <v>Coeur d' Alene Charter Academy</v>
      </c>
      <c r="C248" s="405">
        <f>'Idaho Data'!ST161</f>
        <v>721</v>
      </c>
      <c r="D248" s="242">
        <f>'Idaho Data'!SE161</f>
        <v>0</v>
      </c>
      <c r="E248" s="243">
        <f>'Idaho Data'!SV161</f>
        <v>0</v>
      </c>
      <c r="G248" s="794" t="str">
        <f>'Idaho Data'!UE161</f>
        <v/>
      </c>
      <c r="H248" s="801">
        <f>'Idaho Data'!VO161</f>
        <v>37376</v>
      </c>
      <c r="I248" s="800">
        <f>'Idaho Data'!VP161</f>
        <v>4253777</v>
      </c>
      <c r="J248" s="800"/>
      <c r="K248" s="800">
        <f>'Idaho Data'!VQ161</f>
        <v>381961</v>
      </c>
      <c r="L248" s="229">
        <f t="shared" si="68"/>
        <v>4673114</v>
      </c>
      <c r="M248" s="805">
        <f>'Idaho Data'!VR161</f>
        <v>37376</v>
      </c>
      <c r="N248" s="805">
        <f>'Idaho Data'!VS161</f>
        <v>3984246</v>
      </c>
      <c r="O248" s="805">
        <f>'Idaho Data'!VT161 +'Idaho Data'!VU161</f>
        <v>381961</v>
      </c>
      <c r="P248" s="805">
        <f>'Idaho Data'!VU161</f>
        <v>0</v>
      </c>
      <c r="Q248" s="805">
        <f t="shared" si="60"/>
        <v>4403583</v>
      </c>
      <c r="R248" s="898">
        <f>'Idaho Data'!VS161-'Idaho Data'!VP161</f>
        <v>-269531</v>
      </c>
      <c r="S248" s="230">
        <f t="shared" si="61"/>
        <v>51.839112343966711</v>
      </c>
      <c r="U248" s="230">
        <f t="shared" si="62"/>
        <v>5899.8294036061025</v>
      </c>
      <c r="V248" s="230">
        <f t="shared" si="63"/>
        <v>529.76560332871009</v>
      </c>
      <c r="W248" s="230">
        <f t="shared" si="64"/>
        <v>6481.4341192787797</v>
      </c>
      <c r="X248" s="807">
        <f t="shared" si="65"/>
        <v>51.839112343966711</v>
      </c>
      <c r="Y248" s="807">
        <f t="shared" si="66"/>
        <v>5526</v>
      </c>
      <c r="Z248" s="807">
        <f t="shared" si="67"/>
        <v>529.76560332871009</v>
      </c>
      <c r="AA248" s="807">
        <f t="shared" si="69"/>
        <v>0</v>
      </c>
      <c r="AB248" s="807">
        <f t="shared" si="70"/>
        <v>6107.6047156726772</v>
      </c>
      <c r="AC248" s="231">
        <f>'Idaho Data'!WA161</f>
        <v>-373.82940360610263</v>
      </c>
      <c r="AD248" s="823">
        <f>'Idaho Data'!WB161</f>
        <v>-6.3362747976680484E-2</v>
      </c>
      <c r="AE248" s="382"/>
      <c r="AF248" s="201" t="s">
        <v>1481</v>
      </c>
      <c r="AG248" s="201"/>
      <c r="AH248" s="201"/>
      <c r="AI248" s="201"/>
      <c r="AJ248" s="381"/>
    </row>
    <row r="249" spans="2:36">
      <c r="B249" s="228" t="str">
        <f>'Idaho Data'!B162</f>
        <v>North Star Charter School</v>
      </c>
      <c r="C249" s="405">
        <f>'Idaho Data'!ST162</f>
        <v>883</v>
      </c>
      <c r="D249" s="242">
        <f>'Idaho Data'!SE162</f>
        <v>0</v>
      </c>
      <c r="E249" s="243">
        <f>'Idaho Data'!SV162</f>
        <v>0</v>
      </c>
      <c r="G249" s="794" t="str">
        <f>'Idaho Data'!UE162</f>
        <v/>
      </c>
      <c r="H249" s="801">
        <f>'Idaho Data'!VO162</f>
        <v>118720</v>
      </c>
      <c r="I249" s="800">
        <f>'Idaho Data'!VP162</f>
        <v>5312904</v>
      </c>
      <c r="J249" s="800"/>
      <c r="K249" s="800">
        <f>'Idaho Data'!VQ162</f>
        <v>106989</v>
      </c>
      <c r="L249" s="229">
        <f t="shared" si="68"/>
        <v>5538613</v>
      </c>
      <c r="M249" s="805">
        <f>'Idaho Data'!VR162</f>
        <v>118720</v>
      </c>
      <c r="N249" s="805">
        <f>'Idaho Data'!VS162</f>
        <v>5092209</v>
      </c>
      <c r="O249" s="805">
        <f>'Idaho Data'!VT162 +'Idaho Data'!VU162</f>
        <v>106989</v>
      </c>
      <c r="P249" s="805">
        <f>'Idaho Data'!VU162</f>
        <v>0</v>
      </c>
      <c r="Q249" s="805">
        <f t="shared" si="60"/>
        <v>5317918</v>
      </c>
      <c r="R249" s="898">
        <f>'Idaho Data'!VS162-'Idaho Data'!VP162</f>
        <v>-220695</v>
      </c>
      <c r="S249" s="230">
        <f t="shared" si="61"/>
        <v>134.45073612684033</v>
      </c>
      <c r="U249" s="230">
        <f t="shared" si="62"/>
        <v>6016.8788221970553</v>
      </c>
      <c r="V249" s="230">
        <f t="shared" si="63"/>
        <v>121.16534541336354</v>
      </c>
      <c r="W249" s="230">
        <f t="shared" si="64"/>
        <v>6272.4949037372598</v>
      </c>
      <c r="X249" s="807">
        <f t="shared" si="65"/>
        <v>134.45073612684033</v>
      </c>
      <c r="Y249" s="807">
        <f t="shared" si="66"/>
        <v>5766.9411098527744</v>
      </c>
      <c r="Z249" s="807">
        <f t="shared" si="67"/>
        <v>121.16534541336354</v>
      </c>
      <c r="AA249" s="807">
        <f t="shared" si="69"/>
        <v>0</v>
      </c>
      <c r="AB249" s="807">
        <f t="shared" si="70"/>
        <v>6022.5571913929789</v>
      </c>
      <c r="AC249" s="231">
        <f>'Idaho Data'!WA162</f>
        <v>-249.93771234428087</v>
      </c>
      <c r="AD249" s="823">
        <f>'Idaho Data'!WB162</f>
        <v>-4.1539429283871873E-2</v>
      </c>
      <c r="AE249" s="382"/>
      <c r="AF249" s="201" t="s">
        <v>131</v>
      </c>
      <c r="AG249" s="201"/>
      <c r="AH249" s="201"/>
      <c r="AI249" s="201"/>
      <c r="AJ249" s="381"/>
    </row>
    <row r="250" spans="2:36">
      <c r="B250" s="232" t="str">
        <f>'Idaho Data'!B163</f>
        <v>COSSA  Academy</v>
      </c>
      <c r="C250" s="406">
        <f>'Idaho Data'!ST163</f>
        <v>128</v>
      </c>
      <c r="D250" s="244">
        <f>'Idaho Data'!SE163</f>
        <v>0</v>
      </c>
      <c r="E250" s="245">
        <f>'Idaho Data'!SV163</f>
        <v>0</v>
      </c>
      <c r="F250" s="818"/>
      <c r="G250" s="795" t="str">
        <f>'Idaho Data'!UE163</f>
        <v>yes</v>
      </c>
      <c r="H250" s="802">
        <f>'Idaho Data'!VO163</f>
        <v>78656</v>
      </c>
      <c r="I250" s="803">
        <f>'Idaho Data'!VP163</f>
        <v>1007367</v>
      </c>
      <c r="J250" s="803"/>
      <c r="K250" s="803">
        <f>'Idaho Data'!VQ163</f>
        <v>15185</v>
      </c>
      <c r="L250" s="233">
        <f t="shared" si="68"/>
        <v>1101208</v>
      </c>
      <c r="M250" s="806">
        <f>'Idaho Data'!VR163</f>
        <v>78656</v>
      </c>
      <c r="N250" s="806">
        <f>'Idaho Data'!VS163</f>
        <v>707328</v>
      </c>
      <c r="O250" s="806">
        <f>'Idaho Data'!VT163 +'Idaho Data'!VU163</f>
        <v>15185</v>
      </c>
      <c r="P250" s="806">
        <f>'Idaho Data'!VU163</f>
        <v>0</v>
      </c>
      <c r="Q250" s="806">
        <f t="shared" si="60"/>
        <v>801169</v>
      </c>
      <c r="R250" s="899">
        <f>'Idaho Data'!VS163-'Idaho Data'!VP163</f>
        <v>-300039</v>
      </c>
      <c r="S250" s="234">
        <f t="shared" si="61"/>
        <v>614.5</v>
      </c>
      <c r="U250" s="234">
        <f t="shared" si="62"/>
        <v>7870.0546875</v>
      </c>
      <c r="V250" s="234">
        <f t="shared" si="63"/>
        <v>118.6328125</v>
      </c>
      <c r="W250" s="234">
        <f t="shared" si="64"/>
        <v>8603.1875</v>
      </c>
      <c r="X250" s="808">
        <f t="shared" si="65"/>
        <v>614.5</v>
      </c>
      <c r="Y250" s="808">
        <f t="shared" si="66"/>
        <v>5526</v>
      </c>
      <c r="Z250" s="808">
        <f t="shared" si="67"/>
        <v>118.6328125</v>
      </c>
      <c r="AA250" s="808">
        <f t="shared" si="69"/>
        <v>0</v>
      </c>
      <c r="AB250" s="808">
        <f t="shared" si="70"/>
        <v>6259.1328125</v>
      </c>
      <c r="AC250" s="235">
        <f>'Idaho Data'!WA163</f>
        <v>-2344.0546875</v>
      </c>
      <c r="AD250" s="824">
        <f>'Idaho Data'!WB163</f>
        <v>-0.29784477752398081</v>
      </c>
      <c r="AE250" s="382"/>
      <c r="AF250" s="201" t="s">
        <v>232</v>
      </c>
      <c r="AG250" s="201"/>
      <c r="AH250" s="201"/>
      <c r="AI250" s="201"/>
      <c r="AJ250" s="381"/>
    </row>
    <row r="251" spans="2:36">
      <c r="C251" s="226"/>
      <c r="D251" s="197"/>
      <c r="E251" s="225"/>
      <c r="F251" s="225"/>
      <c r="G251" s="225"/>
      <c r="H251" s="223"/>
      <c r="I251" s="223"/>
      <c r="J251" s="223"/>
      <c r="K251" s="222"/>
      <c r="L251" s="198"/>
      <c r="AF251" s="201"/>
      <c r="AG251" s="201"/>
      <c r="AH251" s="201"/>
      <c r="AI251" s="201"/>
    </row>
    <row r="252" spans="2:36" s="825" customFormat="1">
      <c r="B252" s="825">
        <v>1</v>
      </c>
      <c r="C252" s="826">
        <v>2</v>
      </c>
      <c r="D252" s="827">
        <v>3</v>
      </c>
      <c r="E252" s="825">
        <v>4</v>
      </c>
      <c r="F252" s="826">
        <v>5</v>
      </c>
      <c r="G252" s="827">
        <v>6</v>
      </c>
      <c r="H252" s="825">
        <v>7</v>
      </c>
      <c r="I252" s="826">
        <v>8</v>
      </c>
      <c r="J252" s="827">
        <v>9</v>
      </c>
      <c r="K252" s="825">
        <v>10</v>
      </c>
      <c r="L252" s="826">
        <v>11</v>
      </c>
      <c r="M252" s="825">
        <v>12</v>
      </c>
      <c r="N252" s="826">
        <v>13</v>
      </c>
      <c r="O252" s="827">
        <v>14</v>
      </c>
      <c r="P252" s="825">
        <v>15</v>
      </c>
      <c r="Q252" s="826">
        <v>16</v>
      </c>
      <c r="R252" s="827">
        <v>17</v>
      </c>
      <c r="S252" s="825">
        <v>18</v>
      </c>
      <c r="T252" s="826">
        <v>19</v>
      </c>
      <c r="U252" s="827">
        <v>20</v>
      </c>
      <c r="V252" s="825">
        <v>21</v>
      </c>
      <c r="W252" s="826">
        <v>22</v>
      </c>
      <c r="X252" s="825">
        <v>23</v>
      </c>
      <c r="Y252" s="826">
        <v>24</v>
      </c>
      <c r="Z252" s="827">
        <v>25</v>
      </c>
      <c r="AA252" s="825">
        <v>26</v>
      </c>
      <c r="AB252" s="826">
        <v>27</v>
      </c>
    </row>
    <row r="253" spans="2:36">
      <c r="C253" s="226"/>
      <c r="D253" s="197"/>
      <c r="E253" s="225"/>
      <c r="F253" s="225"/>
      <c r="G253" s="225"/>
      <c r="H253" s="223"/>
      <c r="I253" s="223"/>
      <c r="J253" s="223"/>
      <c r="K253" s="222"/>
      <c r="L253" s="198"/>
    </row>
    <row r="254" spans="2:36">
      <c r="C254" s="226"/>
      <c r="D254" s="197"/>
      <c r="E254" s="225"/>
      <c r="F254" s="225"/>
      <c r="G254" s="225"/>
      <c r="H254" s="223"/>
      <c r="I254" s="223"/>
      <c r="J254" s="223"/>
      <c r="K254" s="222"/>
      <c r="L254" s="198"/>
    </row>
    <row r="255" spans="2:36">
      <c r="C255" s="226"/>
      <c r="D255" s="197"/>
      <c r="E255" s="225"/>
      <c r="F255" s="225"/>
      <c r="G255" s="225"/>
      <c r="H255" s="223"/>
      <c r="I255" s="223"/>
      <c r="J255" s="223"/>
      <c r="K255" s="222"/>
      <c r="L255" s="198"/>
    </row>
  </sheetData>
  <autoFilter ref="B96:AJ250"/>
  <sortState ref="AG97:AG250">
    <sortCondition ref="AG97:AG250"/>
  </sortState>
  <mergeCells count="17">
    <mergeCell ref="X95:AB95"/>
    <mergeCell ref="S94:AC94"/>
    <mergeCell ref="Y14:AC14"/>
    <mergeCell ref="U13:AC13"/>
    <mergeCell ref="K13:S13"/>
    <mergeCell ref="O14:S14"/>
    <mergeCell ref="C94:G94"/>
    <mergeCell ref="H95:L95"/>
    <mergeCell ref="S95:W95"/>
    <mergeCell ref="H94:R94"/>
    <mergeCell ref="M95:Q95"/>
    <mergeCell ref="B84:E84"/>
    <mergeCell ref="G13:I13"/>
    <mergeCell ref="K14:N14"/>
    <mergeCell ref="U14:X14"/>
    <mergeCell ref="C13:E13"/>
    <mergeCell ref="B80:F80"/>
  </mergeCells>
  <dataValidations count="1">
    <dataValidation type="list" allowBlank="1" showInputMessage="1" showErrorMessage="1" sqref="B16:B21">
      <formula1>$AF$97:$AF$250</formula1>
    </dataValidation>
  </dataValidations>
  <pageMargins left="0.7" right="0.7" top="0.75" bottom="0.75" header="0.3" footer="0.3"/>
  <pageSetup orientation="portrait" horizontalDpi="0" verticalDpi="0" r:id="rId1"/>
  <ignoredErrors>
    <ignoredError sqref="E38 E39:E40 E37"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J41940"/>
  <sheetViews>
    <sheetView zoomScale="90" zoomScaleNormal="90" workbookViewId="0">
      <pane xSplit="473" ySplit="8" topLeftCell="VF9" activePane="bottomRight" state="frozen"/>
      <selection pane="topRight" activeCell="RF1" sqref="RF1"/>
      <selection pane="bottomLeft" activeCell="A9" sqref="A9"/>
      <selection pane="bottomRight" activeCell="VP18" sqref="VP18"/>
    </sheetView>
  </sheetViews>
  <sheetFormatPr defaultRowHeight="14.5"/>
  <cols>
    <col min="1" max="1" width="13.1796875" style="1" customWidth="1"/>
    <col min="2" max="2" width="29.54296875" style="2" customWidth="1"/>
    <col min="3" max="3" width="14.26953125" style="21" hidden="1" customWidth="1"/>
    <col min="4" max="6" width="9.1796875" style="4" hidden="1" customWidth="1"/>
    <col min="7" max="7" width="14.81640625" style="4" hidden="1" customWidth="1"/>
    <col min="8" max="8" width="9.1796875" style="4" hidden="1" customWidth="1"/>
    <col min="9" max="9" width="13.1796875" style="4" hidden="1" customWidth="1"/>
    <col min="10" max="10" width="11.26953125" style="4" hidden="1" customWidth="1"/>
    <col min="11" max="11" width="10.81640625" style="4" hidden="1" customWidth="1"/>
    <col min="12" max="13" width="9.1796875" style="4" hidden="1" customWidth="1"/>
    <col min="14" max="14" width="14.7265625" style="4" hidden="1" customWidth="1"/>
    <col min="15" max="15" width="10.81640625" style="4" hidden="1" customWidth="1"/>
    <col min="16" max="18" width="9.1796875" style="4" hidden="1" customWidth="1"/>
    <col min="19" max="19" width="13" style="4" hidden="1" customWidth="1"/>
    <col min="20" max="20" width="13.1796875" style="4" hidden="1" customWidth="1"/>
    <col min="21" max="21" width="10.26953125" style="4" hidden="1" customWidth="1"/>
    <col min="22" max="22" width="13.26953125" style="4" hidden="1" customWidth="1"/>
    <col min="23" max="23" width="12.26953125" style="4" hidden="1" customWidth="1"/>
    <col min="24" max="24" width="13.1796875" style="4" hidden="1" customWidth="1"/>
    <col min="25" max="25" width="11.54296875" style="4" hidden="1" customWidth="1"/>
    <col min="26" max="26" width="9.1796875" style="4" hidden="1" customWidth="1"/>
    <col min="27" max="27" width="12.1796875" style="4" hidden="1" customWidth="1"/>
    <col min="28" max="29" width="9.1796875" style="4" hidden="1" customWidth="1"/>
    <col min="30" max="30" width="12.54296875" style="4" hidden="1" customWidth="1"/>
    <col min="31" max="37" width="9.1796875" style="4" hidden="1" customWidth="1"/>
    <col min="38" max="38" width="12.81640625" style="4" hidden="1" customWidth="1"/>
    <col min="39" max="56" width="9.1796875" style="4" hidden="1" customWidth="1"/>
    <col min="57" max="57" width="13" style="4" hidden="1" customWidth="1"/>
    <col min="58" max="58" width="12.26953125" style="4" hidden="1" customWidth="1"/>
    <col min="59" max="73" width="9.1796875" style="4" hidden="1" customWidth="1"/>
    <col min="74" max="74" width="12.1796875" style="4" hidden="1" customWidth="1"/>
    <col min="75" max="75" width="11" style="4" hidden="1" customWidth="1"/>
    <col min="76" max="81" width="9.1796875" style="4" hidden="1" customWidth="1"/>
    <col min="82" max="82" width="12.81640625" style="4" hidden="1" customWidth="1"/>
    <col min="83" max="83" width="12.453125" style="4" hidden="1" customWidth="1"/>
    <col min="84" max="101" width="9.1796875" style="4" hidden="1" customWidth="1"/>
    <col min="102" max="102" width="10.54296875" style="4" hidden="1" customWidth="1"/>
    <col min="103" max="109" width="9.1796875" style="4" hidden="1" customWidth="1"/>
    <col min="110" max="110" width="10.81640625" style="4" hidden="1" customWidth="1"/>
    <col min="111" max="111" width="13" style="4" hidden="1" customWidth="1"/>
    <col min="112" max="115" width="9.1796875" style="4" hidden="1" customWidth="1"/>
    <col min="116" max="116" width="11.26953125" style="4" hidden="1" customWidth="1"/>
    <col min="117" max="124" width="9.1796875" style="4" hidden="1" customWidth="1"/>
    <col min="125" max="125" width="10.453125" style="4" hidden="1" customWidth="1"/>
    <col min="126" max="126" width="9.1796875" style="4" hidden="1" customWidth="1"/>
    <col min="127" max="127" width="10.453125" style="4" hidden="1" customWidth="1"/>
    <col min="128" max="166" width="9.1796875" style="4" hidden="1" customWidth="1"/>
    <col min="167" max="167" width="12.7265625" style="4" hidden="1" customWidth="1"/>
    <col min="168" max="206" width="9.1796875" style="4" hidden="1" customWidth="1"/>
    <col min="207" max="207" width="12.453125" style="4" hidden="1" customWidth="1"/>
    <col min="208" max="210" width="9.1796875" style="4" hidden="1" customWidth="1"/>
    <col min="211" max="211" width="11.54296875" style="4" hidden="1" customWidth="1"/>
    <col min="212" max="212" width="15.81640625" style="4" hidden="1" customWidth="1"/>
    <col min="213" max="218" width="9.1796875" style="4" hidden="1" customWidth="1"/>
    <col min="219" max="219" width="14" style="4" hidden="1" customWidth="1"/>
    <col min="220" max="229" width="9.1796875" style="4" hidden="1" customWidth="1"/>
    <col min="230" max="230" width="13.26953125" style="4" hidden="1" customWidth="1"/>
    <col min="231" max="247" width="9.1796875" style="4" hidden="1" customWidth="1"/>
    <col min="248" max="248" width="14.54296875" style="4" hidden="1" customWidth="1"/>
    <col min="249" max="401" width="9.1796875" style="4" hidden="1" customWidth="1"/>
    <col min="402" max="403" width="14.453125" style="4" hidden="1" customWidth="1"/>
    <col min="404" max="410" width="9.1796875" style="4" hidden="1" customWidth="1"/>
    <col min="411" max="411" width="12.7265625" style="4" hidden="1" customWidth="1"/>
    <col min="412" max="459" width="9.1796875" style="4" hidden="1" customWidth="1"/>
    <col min="460" max="470" width="16" style="4" hidden="1" customWidth="1"/>
    <col min="471" max="471" width="12.54296875" style="4" customWidth="1"/>
    <col min="472" max="472" width="1.453125" style="5" customWidth="1"/>
    <col min="473" max="473" width="1.453125" customWidth="1"/>
    <col min="474" max="474" width="7.81640625" style="4" customWidth="1"/>
    <col min="475" max="475" width="15.81640625" style="4" customWidth="1"/>
    <col min="476" max="476" width="15.7265625" style="4" customWidth="1"/>
    <col min="477" max="477" width="13.7265625" style="4" customWidth="1"/>
    <col min="478" max="478" width="12.54296875" style="4" bestFit="1" customWidth="1"/>
    <col min="479" max="479" width="13.81640625" style="4" customWidth="1"/>
    <col min="480" max="480" width="15.26953125" style="4" bestFit="1" customWidth="1"/>
    <col min="481" max="481" width="14.26953125" style="4" bestFit="1" customWidth="1"/>
    <col min="482" max="485" width="14.453125" style="4" customWidth="1"/>
    <col min="486" max="486" width="16.1796875" style="4" customWidth="1"/>
    <col min="487" max="487" width="2.1796875" style="4" customWidth="1"/>
    <col min="488" max="488" width="1.453125" style="5" customWidth="1"/>
    <col min="489" max="489" width="2.26953125" style="4" customWidth="1"/>
    <col min="490" max="493" width="18" style="4" customWidth="1"/>
    <col min="494" max="494" width="1.26953125" style="4" customWidth="1"/>
    <col min="495" max="495" width="1.26953125" style="5" customWidth="1"/>
    <col min="496" max="496" width="1.26953125" style="4" customWidth="1"/>
    <col min="497" max="497" width="14.7265625" style="4" customWidth="1"/>
    <col min="498" max="498" width="17.453125" style="4" customWidth="1"/>
    <col min="499" max="499" width="19.54296875" style="4" customWidth="1"/>
    <col min="500" max="501" width="18" style="4" customWidth="1"/>
    <col min="502" max="503" width="16.1796875" style="4" customWidth="1"/>
    <col min="504" max="504" width="1.7265625" style="4" customWidth="1"/>
    <col min="505" max="505" width="1.7265625" style="5" customWidth="1"/>
    <col min="506" max="506" width="3" style="4" customWidth="1"/>
    <col min="507" max="507" width="16.81640625" style="4" customWidth="1"/>
    <col min="508" max="509" width="16.453125" style="4" customWidth="1"/>
    <col min="510" max="510" width="11.1796875" style="4" customWidth="1"/>
    <col min="511" max="511" width="1.81640625" customWidth="1"/>
    <col min="512" max="512" width="1.81640625" style="5" customWidth="1"/>
    <col min="513" max="513" width="1.81640625" customWidth="1"/>
    <col min="514" max="514" width="14.26953125" customWidth="1"/>
    <col min="515" max="515" width="11.1796875" customWidth="1"/>
    <col min="516" max="516" width="9.1796875" customWidth="1"/>
    <col min="517" max="517" width="10" customWidth="1"/>
    <col min="518" max="518" width="9.1796875" customWidth="1"/>
    <col min="519" max="520" width="10" customWidth="1"/>
    <col min="521" max="524" width="9.1796875" customWidth="1"/>
    <col min="525" max="525" width="9.26953125" customWidth="1"/>
    <col min="526" max="531" width="10" customWidth="1"/>
    <col min="532" max="532" width="9.1796875" customWidth="1"/>
    <col min="533" max="533" width="12.1796875" customWidth="1"/>
    <col min="534" max="534" width="9.1796875" customWidth="1"/>
    <col min="535" max="535" width="12.1796875" customWidth="1"/>
    <col min="536" max="537" width="12" customWidth="1"/>
    <col min="538" max="538" width="2" customWidth="1"/>
    <col min="539" max="539" width="1.54296875" style="5" customWidth="1"/>
    <col min="540" max="540" width="2" customWidth="1"/>
    <col min="541" max="541" width="10.54296875" customWidth="1"/>
    <col min="542" max="542" width="11.54296875" customWidth="1"/>
    <col min="543" max="543" width="9.1796875" customWidth="1"/>
    <col min="544" max="544" width="1.453125" style="5" customWidth="1"/>
    <col min="545" max="545" width="1.453125" customWidth="1"/>
    <col min="546" max="547" width="12.81640625" customWidth="1"/>
    <col min="548" max="548" width="8.54296875" customWidth="1"/>
    <col min="549" max="549" width="1.453125" style="5" customWidth="1"/>
    <col min="550" max="550" width="1.1796875" customWidth="1"/>
    <col min="551" max="551" width="21.54296875" customWidth="1"/>
    <col min="552" max="552" width="1.1796875" customWidth="1"/>
    <col min="553" max="553" width="1.1796875" style="5" customWidth="1"/>
    <col min="554" max="554" width="1.1796875" customWidth="1"/>
    <col min="555" max="556" width="19.7265625" customWidth="1"/>
    <col min="557" max="557" width="17" customWidth="1"/>
    <col min="558" max="558" width="1.26953125" style="4" customWidth="1"/>
    <col min="559" max="559" width="1.26953125" style="5" customWidth="1"/>
    <col min="560" max="560" width="1.26953125" style="4" customWidth="1"/>
    <col min="561" max="561" width="18.54296875" customWidth="1"/>
    <col min="562" max="563" width="18.26953125" style="200" customWidth="1"/>
    <col min="564" max="564" width="14.453125" customWidth="1"/>
    <col min="565" max="565" width="13.81640625" customWidth="1"/>
    <col min="566" max="567" width="13.26953125" customWidth="1"/>
    <col min="568" max="568" width="14.81640625" customWidth="1"/>
    <col min="569" max="569" width="13" customWidth="1"/>
    <col min="570" max="570" width="12.7265625" customWidth="1"/>
    <col min="571" max="571" width="14.7265625" customWidth="1"/>
    <col min="572" max="573" width="12.453125" customWidth="1"/>
    <col min="574" max="575" width="13.453125" customWidth="1"/>
    <col min="576" max="576" width="16" style="854" customWidth="1"/>
    <col min="577" max="577" width="1.453125" customWidth="1"/>
    <col min="578" max="578" width="1.453125" style="5" customWidth="1"/>
    <col min="579" max="579" width="1.453125" customWidth="1"/>
    <col min="580" max="580" width="17.1796875" style="854" customWidth="1"/>
    <col min="581" max="581" width="14.81640625" style="854" customWidth="1"/>
    <col min="582" max="582" width="17.1796875" style="854" customWidth="1"/>
    <col min="583" max="583" width="18.1796875" style="854" customWidth="1"/>
    <col min="584" max="584" width="1" style="854" customWidth="1"/>
    <col min="585" max="585" width="1" style="5" customWidth="1"/>
    <col min="586" max="586" width="1" style="854" customWidth="1"/>
    <col min="587" max="587" width="14.81640625" style="854" customWidth="1"/>
    <col min="588" max="588" width="16.81640625" style="854" customWidth="1"/>
    <col min="589" max="590" width="14.81640625" style="854" customWidth="1"/>
    <col min="591" max="591" width="17.453125" style="854" customWidth="1"/>
    <col min="592" max="592" width="14.81640625" style="854" customWidth="1"/>
    <col min="593" max="593" width="19.1796875" style="854" customWidth="1"/>
    <col min="594" max="594" width="1.54296875" style="854" customWidth="1"/>
    <col min="595" max="595" width="1.453125" style="5" customWidth="1"/>
    <col min="596" max="596" width="1.1796875" style="854" customWidth="1"/>
    <col min="597" max="597" width="1.7265625" customWidth="1"/>
    <col min="598" max="599" width="14.453125" style="854" customWidth="1"/>
    <col min="600" max="600" width="15.1796875" style="131" customWidth="1"/>
    <col min="601" max="601" width="2" customWidth="1"/>
    <col min="602" max="602" width="1.453125" style="5" customWidth="1"/>
    <col min="603" max="603" width="1.453125" style="4" customWidth="1"/>
    <col min="604" max="604" width="19" style="4" customWidth="1"/>
    <col min="605" max="605" width="17.453125" style="4" customWidth="1"/>
    <col min="606" max="606" width="1.453125" style="4" customWidth="1"/>
    <col min="607" max="607" width="13.453125" style="4" hidden="1" customWidth="1"/>
    <col min="608" max="608" width="15.453125" style="4" hidden="1" customWidth="1"/>
    <col min="609" max="609" width="12.81640625" hidden="1" customWidth="1"/>
    <col min="610" max="610" width="12.81640625" style="145" hidden="1" customWidth="1"/>
    <col min="611" max="611" width="12.81640625" hidden="1" customWidth="1"/>
    <col min="612" max="612" width="12.81640625" style="4" hidden="1" customWidth="1"/>
    <col min="613" max="613" width="1.1796875" style="4" hidden="1" customWidth="1"/>
    <col min="614" max="614" width="1.1796875" style="5" hidden="1" customWidth="1"/>
    <col min="615" max="615" width="1.1796875" style="4" hidden="1" customWidth="1"/>
    <col min="616" max="617" width="0" hidden="1" customWidth="1"/>
    <col min="618" max="618" width="11.1796875" hidden="1" customWidth="1"/>
    <col min="619" max="620" width="0" hidden="1" customWidth="1"/>
    <col min="621" max="621" width="15.1796875" style="798" hidden="1" customWidth="1"/>
    <col min="622" max="622" width="16" hidden="1" customWidth="1"/>
    <col min="623" max="623" width="14.54296875" style="798" hidden="1" customWidth="1"/>
    <col min="624" max="624" width="17.26953125" style="798" hidden="1" customWidth="1"/>
    <col min="625" max="626" width="17.26953125" style="833" hidden="1" customWidth="1"/>
    <col min="627" max="627" width="14.54296875" style="798" hidden="1" customWidth="1"/>
    <col min="628" max="628" width="14.54296875" style="833" hidden="1" customWidth="1"/>
    <col min="629" max="632" width="14.54296875" style="854" hidden="1" customWidth="1"/>
    <col min="633" max="633" width="14.54296875" style="833" hidden="1" customWidth="1"/>
    <col min="634" max="636" width="18.7265625" hidden="1" customWidth="1"/>
    <col min="637" max="639" width="0" hidden="1" customWidth="1"/>
    <col min="640" max="640" width="16.54296875" hidden="1" customWidth="1"/>
    <col min="641" max="641" width="14.54296875" hidden="1" customWidth="1"/>
    <col min="642" max="643" width="17.26953125" style="854" hidden="1" customWidth="1"/>
    <col min="644" max="644" width="14.54296875" style="854" hidden="1" customWidth="1"/>
    <col min="645" max="646" width="17.453125" hidden="1" customWidth="1"/>
    <col min="647" max="647" width="16.81640625" style="854" hidden="1" customWidth="1"/>
    <col min="648" max="648" width="14.54296875" style="854" hidden="1" customWidth="1"/>
    <col min="649" max="651" width="14.54296875" hidden="1" customWidth="1"/>
    <col min="652" max="652" width="1.54296875" hidden="1" customWidth="1"/>
    <col min="653" max="653" width="1.54296875" style="5" hidden="1" customWidth="1"/>
    <col min="654" max="654" width="1.54296875" hidden="1" customWidth="1"/>
    <col min="655" max="655" width="14.54296875" hidden="1" customWidth="1"/>
    <col min="656" max="656" width="15.26953125" hidden="1" customWidth="1"/>
    <col min="657" max="657" width="15.453125" hidden="1" customWidth="1"/>
    <col min="658" max="658" width="15.7265625" hidden="1" customWidth="1"/>
    <col min="659" max="659" width="1.7265625" hidden="1" customWidth="1"/>
    <col min="660" max="660" width="1.7265625" style="5" hidden="1" customWidth="1"/>
    <col min="661" max="661" width="0" hidden="1" customWidth="1"/>
  </cols>
  <sheetData>
    <row r="1" spans="1:660" s="523" customFormat="1" ht="21" customHeight="1">
      <c r="A1" s="685"/>
      <c r="B1" s="519"/>
      <c r="C1" s="520"/>
      <c r="D1" s="516"/>
      <c r="E1" s="519"/>
      <c r="F1" s="520"/>
      <c r="G1" s="516"/>
      <c r="H1" s="519"/>
      <c r="I1" s="520"/>
      <c r="J1" s="516"/>
      <c r="K1" s="519"/>
      <c r="L1" s="520"/>
      <c r="M1" s="516"/>
      <c r="N1" s="519"/>
      <c r="O1" s="520"/>
      <c r="P1" s="516"/>
      <c r="Q1" s="519"/>
      <c r="R1" s="520"/>
      <c r="S1" s="516"/>
      <c r="T1" s="519"/>
      <c r="U1" s="520"/>
      <c r="V1" s="516"/>
      <c r="W1" s="519"/>
      <c r="X1" s="520"/>
      <c r="Y1" s="516"/>
      <c r="Z1" s="519"/>
      <c r="AA1" s="520"/>
      <c r="AB1" s="516"/>
      <c r="AC1" s="519"/>
      <c r="AD1" s="520"/>
      <c r="AE1" s="516"/>
      <c r="AF1" s="519"/>
      <c r="AG1" s="520"/>
      <c r="AH1" s="516"/>
      <c r="AI1" s="519"/>
      <c r="AJ1" s="520"/>
      <c r="AK1" s="516"/>
      <c r="AL1" s="519"/>
      <c r="AM1" s="520"/>
      <c r="AN1" s="516"/>
      <c r="AO1" s="519"/>
      <c r="AP1" s="520"/>
      <c r="AQ1" s="516"/>
      <c r="AR1" s="519"/>
      <c r="AS1" s="520"/>
      <c r="AT1" s="516"/>
      <c r="AU1" s="519"/>
      <c r="AV1" s="520"/>
      <c r="AW1" s="516"/>
      <c r="AX1" s="519"/>
      <c r="AY1" s="520"/>
      <c r="AZ1" s="516"/>
      <c r="BA1" s="519"/>
      <c r="BB1" s="520"/>
      <c r="BC1" s="516"/>
      <c r="BD1" s="519"/>
      <c r="BE1" s="520"/>
      <c r="BF1" s="516"/>
      <c r="BG1" s="519"/>
      <c r="BH1" s="520"/>
      <c r="BI1" s="516"/>
      <c r="BJ1" s="519"/>
      <c r="BK1" s="520"/>
      <c r="BL1" s="516"/>
      <c r="BM1" s="519"/>
      <c r="BN1" s="520"/>
      <c r="BO1" s="516"/>
      <c r="BP1" s="519"/>
      <c r="BQ1" s="520"/>
      <c r="BR1" s="516"/>
      <c r="BS1" s="519"/>
      <c r="BT1" s="520"/>
      <c r="BU1" s="516"/>
      <c r="BV1" s="519"/>
      <c r="BW1" s="520"/>
      <c r="BX1" s="516"/>
      <c r="BY1" s="519"/>
      <c r="BZ1" s="520"/>
      <c r="CA1" s="516"/>
      <c r="CB1" s="519"/>
      <c r="CC1" s="520"/>
      <c r="CD1" s="516"/>
      <c r="CE1" s="519"/>
      <c r="CF1" s="520"/>
      <c r="CG1" s="516"/>
      <c r="CH1" s="519"/>
      <c r="CI1" s="520"/>
      <c r="CJ1" s="516"/>
      <c r="CK1" s="519"/>
      <c r="CL1" s="520"/>
      <c r="CM1" s="516"/>
      <c r="CN1" s="519"/>
      <c r="CO1" s="520"/>
      <c r="CP1" s="516"/>
      <c r="CQ1" s="519"/>
      <c r="CR1" s="520"/>
      <c r="CS1" s="516"/>
      <c r="CT1" s="519"/>
      <c r="CU1" s="520"/>
      <c r="CV1" s="516"/>
      <c r="CW1" s="519"/>
      <c r="CX1" s="520"/>
      <c r="CY1" s="516"/>
      <c r="CZ1" s="519"/>
      <c r="DA1" s="520"/>
      <c r="DB1" s="516"/>
      <c r="DC1" s="519"/>
      <c r="DD1" s="520"/>
      <c r="DE1" s="516"/>
      <c r="DF1" s="519"/>
      <c r="DG1" s="520"/>
      <c r="DH1" s="516"/>
      <c r="DI1" s="519"/>
      <c r="DJ1" s="520"/>
      <c r="DK1" s="516"/>
      <c r="DL1" s="519"/>
      <c r="DM1" s="520"/>
      <c r="DN1" s="516"/>
      <c r="DO1" s="519"/>
      <c r="DP1" s="520"/>
      <c r="DQ1" s="516"/>
      <c r="DR1" s="519"/>
      <c r="DS1" s="520"/>
      <c r="DT1" s="516"/>
      <c r="DU1" s="519"/>
      <c r="DV1" s="520"/>
      <c r="DW1" s="516"/>
      <c r="DX1" s="519"/>
      <c r="DY1" s="520"/>
      <c r="DZ1" s="516"/>
      <c r="EA1" s="519"/>
      <c r="EB1" s="520"/>
      <c r="EC1" s="516"/>
      <c r="ED1" s="519"/>
      <c r="EE1" s="520"/>
      <c r="EF1" s="516"/>
      <c r="EG1" s="519"/>
      <c r="EH1" s="520"/>
      <c r="EI1" s="516"/>
      <c r="EJ1" s="519"/>
      <c r="EK1" s="520"/>
      <c r="EL1" s="516"/>
      <c r="EM1" s="519"/>
      <c r="EN1" s="520"/>
      <c r="EO1" s="516"/>
      <c r="EP1" s="519"/>
      <c r="EQ1" s="520"/>
      <c r="ER1" s="516"/>
      <c r="ES1" s="519"/>
      <c r="ET1" s="520"/>
      <c r="EU1" s="516"/>
      <c r="EV1" s="519"/>
      <c r="EW1" s="520"/>
      <c r="EX1" s="516"/>
      <c r="EY1" s="519"/>
      <c r="EZ1" s="520"/>
      <c r="FA1" s="516"/>
      <c r="FB1" s="519"/>
      <c r="FC1" s="520"/>
      <c r="FD1" s="516"/>
      <c r="FE1" s="519"/>
      <c r="FF1" s="520"/>
      <c r="FG1" s="516"/>
      <c r="FH1" s="519"/>
      <c r="FI1" s="520"/>
      <c r="FJ1" s="516"/>
      <c r="FK1" s="519"/>
      <c r="FL1" s="520"/>
      <c r="FM1" s="516"/>
      <c r="FN1" s="519"/>
      <c r="FO1" s="520"/>
      <c r="FP1" s="516"/>
      <c r="FQ1" s="519"/>
      <c r="FR1" s="520"/>
      <c r="FS1" s="516"/>
      <c r="FT1" s="519"/>
      <c r="FU1" s="520"/>
      <c r="FV1" s="516"/>
      <c r="FW1" s="519"/>
      <c r="FX1" s="520"/>
      <c r="FY1" s="516"/>
      <c r="FZ1" s="519"/>
      <c r="GA1" s="520"/>
      <c r="GB1" s="516"/>
      <c r="GC1" s="519"/>
      <c r="GD1" s="520"/>
      <c r="GE1" s="516"/>
      <c r="GF1" s="519"/>
      <c r="GG1" s="520"/>
      <c r="GH1" s="516"/>
      <c r="GI1" s="519"/>
      <c r="GJ1" s="520"/>
      <c r="GK1" s="516"/>
      <c r="GL1" s="519"/>
      <c r="GM1" s="520"/>
      <c r="GN1" s="516"/>
      <c r="GO1" s="519"/>
      <c r="GP1" s="520"/>
      <c r="GQ1" s="516"/>
      <c r="GR1" s="519"/>
      <c r="GS1" s="520"/>
      <c r="GT1" s="516"/>
      <c r="GU1" s="519"/>
      <c r="GV1" s="520"/>
      <c r="GW1" s="516"/>
      <c r="GX1" s="519"/>
      <c r="GY1" s="520"/>
      <c r="GZ1" s="516"/>
      <c r="HA1" s="519"/>
      <c r="HB1" s="520"/>
      <c r="HC1" s="516"/>
      <c r="HD1" s="519"/>
      <c r="HE1" s="520"/>
      <c r="HF1" s="516"/>
      <c r="HG1" s="519"/>
      <c r="HH1" s="520"/>
      <c r="HI1" s="516"/>
      <c r="HJ1" s="519"/>
      <c r="HK1" s="520"/>
      <c r="HL1" s="516"/>
      <c r="HM1" s="519"/>
      <c r="HN1" s="520"/>
      <c r="HO1" s="516"/>
      <c r="HP1" s="519"/>
      <c r="HQ1" s="520"/>
      <c r="HR1" s="516"/>
      <c r="HS1" s="519"/>
      <c r="HT1" s="520"/>
      <c r="HU1" s="516"/>
      <c r="HV1" s="519"/>
      <c r="HW1" s="520"/>
      <c r="HX1" s="516"/>
      <c r="HY1" s="519"/>
      <c r="HZ1" s="520"/>
      <c r="IA1" s="516"/>
      <c r="IB1" s="519"/>
      <c r="IC1" s="520"/>
      <c r="ID1" s="516"/>
      <c r="IE1" s="519"/>
      <c r="IF1" s="520"/>
      <c r="IG1" s="516"/>
      <c r="IH1" s="519"/>
      <c r="II1" s="520"/>
      <c r="IJ1" s="516"/>
      <c r="IK1" s="519"/>
      <c r="IL1" s="520"/>
      <c r="IM1" s="516"/>
      <c r="IN1" s="519"/>
      <c r="IO1" s="520"/>
      <c r="IP1" s="516"/>
      <c r="IQ1" s="519"/>
      <c r="IR1" s="520"/>
      <c r="IS1" s="516"/>
      <c r="IT1" s="519"/>
      <c r="IU1" s="520"/>
      <c r="IV1" s="516"/>
      <c r="IW1" s="519"/>
      <c r="IX1" s="520"/>
      <c r="IY1" s="516"/>
      <c r="IZ1" s="519"/>
      <c r="JA1" s="520"/>
      <c r="JB1" s="516"/>
      <c r="JC1" s="519"/>
      <c r="JD1" s="520"/>
      <c r="JE1" s="516"/>
      <c r="JF1" s="519"/>
      <c r="JG1" s="520"/>
      <c r="JH1" s="516"/>
      <c r="JI1" s="519"/>
      <c r="JJ1" s="520"/>
      <c r="JK1" s="516"/>
      <c r="JL1" s="519"/>
      <c r="JM1" s="520"/>
      <c r="JN1" s="516"/>
      <c r="JO1" s="519"/>
      <c r="JP1" s="520"/>
      <c r="JQ1" s="516"/>
      <c r="JR1" s="519"/>
      <c r="JS1" s="520"/>
      <c r="JT1" s="516"/>
      <c r="JU1" s="519"/>
      <c r="JV1" s="520"/>
      <c r="JW1" s="516"/>
      <c r="JX1" s="519"/>
      <c r="JY1" s="520"/>
      <c r="JZ1" s="516"/>
      <c r="KA1" s="519"/>
      <c r="KB1" s="520"/>
      <c r="KC1" s="516"/>
      <c r="KD1" s="519"/>
      <c r="KE1" s="520"/>
      <c r="KF1" s="516"/>
      <c r="KG1" s="519"/>
      <c r="KH1" s="520"/>
      <c r="KI1" s="516"/>
      <c r="KJ1" s="519"/>
      <c r="KK1" s="520"/>
      <c r="KL1" s="516"/>
      <c r="KM1" s="519"/>
      <c r="KN1" s="520"/>
      <c r="KO1" s="516"/>
      <c r="KP1" s="519"/>
      <c r="KQ1" s="520"/>
      <c r="KR1" s="516"/>
      <c r="KS1" s="519"/>
      <c r="KT1" s="520"/>
      <c r="KU1" s="516"/>
      <c r="KV1" s="519"/>
      <c r="KW1" s="520"/>
      <c r="KX1" s="516"/>
      <c r="KY1" s="519"/>
      <c r="KZ1" s="520"/>
      <c r="LA1" s="516"/>
      <c r="LB1" s="519"/>
      <c r="LC1" s="520"/>
      <c r="LD1" s="516"/>
      <c r="LE1" s="519"/>
      <c r="LF1" s="520"/>
      <c r="LG1" s="516"/>
      <c r="LH1" s="519"/>
      <c r="LI1" s="520"/>
      <c r="LJ1" s="516"/>
      <c r="LK1" s="519"/>
      <c r="LL1" s="520"/>
      <c r="LM1" s="516"/>
      <c r="LN1" s="519"/>
      <c r="LO1" s="520"/>
      <c r="LP1" s="516"/>
      <c r="LQ1" s="519"/>
      <c r="LR1" s="520"/>
      <c r="LS1" s="516"/>
      <c r="LT1" s="519"/>
      <c r="LU1" s="520"/>
      <c r="LV1" s="516"/>
      <c r="LW1" s="519"/>
      <c r="LX1" s="520"/>
      <c r="LY1" s="516"/>
      <c r="LZ1" s="519"/>
      <c r="MA1" s="520"/>
      <c r="MB1" s="516"/>
      <c r="MC1" s="519"/>
      <c r="MD1" s="520"/>
      <c r="ME1" s="516"/>
      <c r="MF1" s="519"/>
      <c r="MG1" s="520"/>
      <c r="MH1" s="516"/>
      <c r="MI1" s="519"/>
      <c r="MJ1" s="520"/>
      <c r="MK1" s="516"/>
      <c r="ML1" s="519"/>
      <c r="MM1" s="520"/>
      <c r="MN1" s="516"/>
      <c r="MO1" s="519"/>
      <c r="MP1" s="520"/>
      <c r="MQ1" s="516"/>
      <c r="MR1" s="519"/>
      <c r="MS1" s="520"/>
      <c r="MT1" s="516"/>
      <c r="MU1" s="519"/>
      <c r="MV1" s="520"/>
      <c r="MW1" s="516"/>
      <c r="MX1" s="519"/>
      <c r="MY1" s="520"/>
      <c r="MZ1" s="516"/>
      <c r="NA1" s="519"/>
      <c r="NB1" s="520"/>
      <c r="NC1" s="516"/>
      <c r="ND1" s="519"/>
      <c r="NE1" s="520"/>
      <c r="NF1" s="516"/>
      <c r="NG1" s="519"/>
      <c r="NH1" s="520"/>
      <c r="NI1" s="516"/>
      <c r="NJ1" s="519"/>
      <c r="NK1" s="520"/>
      <c r="NL1" s="516"/>
      <c r="NM1" s="519"/>
      <c r="NN1" s="520"/>
      <c r="NO1" s="516"/>
      <c r="NP1" s="519"/>
      <c r="NQ1" s="520"/>
      <c r="NR1" s="516"/>
      <c r="NS1" s="519"/>
      <c r="NT1" s="520"/>
      <c r="NU1" s="516"/>
      <c r="NV1" s="519"/>
      <c r="NW1" s="520"/>
      <c r="NX1" s="516"/>
      <c r="NY1" s="519"/>
      <c r="NZ1" s="520"/>
      <c r="OA1" s="516"/>
      <c r="OB1" s="519"/>
      <c r="OC1" s="520"/>
      <c r="OD1" s="516"/>
      <c r="OE1" s="519"/>
      <c r="OF1" s="520"/>
      <c r="OG1" s="516"/>
      <c r="OH1" s="519"/>
      <c r="OI1" s="520"/>
      <c r="OJ1" s="516"/>
      <c r="OK1" s="519"/>
      <c r="OL1" s="520"/>
      <c r="OM1" s="516"/>
      <c r="ON1" s="519"/>
      <c r="OO1" s="520"/>
      <c r="OP1" s="516"/>
      <c r="OQ1" s="519"/>
      <c r="OR1" s="520"/>
      <c r="OS1" s="516"/>
      <c r="OT1" s="519"/>
      <c r="OU1" s="520"/>
      <c r="OV1" s="516"/>
      <c r="OW1" s="519"/>
      <c r="OX1" s="520"/>
      <c r="OY1" s="516"/>
      <c r="OZ1" s="519"/>
      <c r="PA1" s="520"/>
      <c r="PB1" s="516"/>
      <c r="PC1" s="519"/>
      <c r="PD1" s="520"/>
      <c r="PE1" s="516"/>
      <c r="PF1" s="519"/>
      <c r="PG1" s="520"/>
      <c r="PH1" s="516"/>
      <c r="PI1" s="519"/>
      <c r="PJ1" s="520"/>
      <c r="PK1" s="516"/>
      <c r="PL1" s="519"/>
      <c r="PM1" s="520"/>
      <c r="PN1" s="516"/>
      <c r="PO1" s="519"/>
      <c r="PP1" s="520"/>
      <c r="PQ1" s="516"/>
      <c r="PR1" s="519"/>
      <c r="PS1" s="520"/>
      <c r="PT1" s="516"/>
      <c r="PU1" s="519"/>
      <c r="PV1" s="520"/>
      <c r="PW1" s="516"/>
      <c r="PX1" s="519"/>
      <c r="PY1" s="520"/>
      <c r="PZ1" s="516"/>
      <c r="QA1" s="519"/>
      <c r="QB1" s="520"/>
      <c r="QC1" s="516"/>
      <c r="QD1" s="519"/>
      <c r="QE1" s="520"/>
      <c r="QF1" s="516"/>
      <c r="QG1" s="519"/>
      <c r="QH1" s="520"/>
      <c r="QI1" s="516"/>
      <c r="QJ1" s="519"/>
      <c r="QK1" s="520"/>
      <c r="QL1" s="516"/>
      <c r="QM1" s="519"/>
      <c r="QN1" s="520"/>
      <c r="QO1" s="516"/>
      <c r="QP1" s="519"/>
      <c r="QQ1" s="520"/>
      <c r="QR1" s="516"/>
      <c r="QS1" s="516"/>
      <c r="QT1" s="516"/>
      <c r="QU1" s="516"/>
      <c r="QV1" s="516"/>
      <c r="QW1" s="516"/>
      <c r="QX1" s="516"/>
      <c r="QY1" s="516"/>
      <c r="QZ1" s="516"/>
      <c r="RA1" s="516"/>
      <c r="RB1" s="516"/>
      <c r="RC1" s="521"/>
      <c r="RD1" s="522"/>
      <c r="RF1" s="982" t="s">
        <v>261</v>
      </c>
      <c r="RG1" s="982"/>
      <c r="RH1" s="982"/>
      <c r="RI1" s="982"/>
      <c r="RJ1" s="982"/>
      <c r="RK1" s="982"/>
      <c r="RL1" s="982"/>
      <c r="RM1" s="982"/>
      <c r="RN1" s="982"/>
      <c r="RO1" s="982"/>
      <c r="RP1" s="982"/>
      <c r="RQ1" s="982"/>
      <c r="RR1" s="982"/>
      <c r="RS1" s="518"/>
      <c r="RT1" s="517"/>
      <c r="RU1" s="518"/>
      <c r="RV1" s="518"/>
      <c r="RW1" s="518"/>
      <c r="RX1" s="518"/>
      <c r="RY1" s="518"/>
      <c r="RZ1" s="518"/>
      <c r="SA1" s="517"/>
      <c r="SB1" s="518"/>
      <c r="SC1" s="849"/>
      <c r="SD1" s="518"/>
      <c r="SE1" s="518"/>
      <c r="SF1" s="518"/>
      <c r="SG1" s="849"/>
      <c r="SH1" s="518"/>
      <c r="SI1" s="518"/>
      <c r="SJ1" s="518"/>
      <c r="SK1" s="517"/>
      <c r="SL1" s="982" t="s">
        <v>462</v>
      </c>
      <c r="SM1" s="982"/>
      <c r="SN1" s="982"/>
      <c r="SO1" s="982"/>
      <c r="SP1" s="982"/>
      <c r="SQ1" s="982"/>
      <c r="SR1" s="522"/>
      <c r="SS1" s="524"/>
      <c r="ST1" s="982" t="s">
        <v>464</v>
      </c>
      <c r="SU1" s="982"/>
      <c r="SV1" s="982"/>
      <c r="SW1" s="982"/>
      <c r="SX1" s="982"/>
      <c r="SY1" s="982"/>
      <c r="SZ1" s="982"/>
      <c r="TA1" s="982"/>
      <c r="TB1" s="982"/>
      <c r="TC1" s="982"/>
      <c r="TD1" s="982"/>
      <c r="TE1" s="982"/>
      <c r="TF1" s="982"/>
      <c r="TG1" s="982"/>
      <c r="TH1" s="982"/>
      <c r="TI1" s="982"/>
      <c r="TJ1" s="982"/>
      <c r="TK1" s="982"/>
      <c r="TL1" s="982"/>
      <c r="TM1" s="982"/>
      <c r="TN1" s="982"/>
      <c r="TO1" s="982"/>
      <c r="TP1" s="518"/>
      <c r="TQ1" s="518"/>
      <c r="TR1" s="518"/>
      <c r="TS1" s="666"/>
      <c r="TT1" s="518"/>
      <c r="TU1" s="518"/>
      <c r="TV1" s="518"/>
      <c r="TW1" s="518"/>
      <c r="TX1" s="522"/>
      <c r="TY1" s="524"/>
      <c r="TZ1" s="988"/>
      <c r="UA1" s="988"/>
      <c r="UB1" s="524"/>
      <c r="UC1" s="522"/>
      <c r="UD1" s="524"/>
      <c r="UE1" s="524"/>
      <c r="UF1" s="524"/>
      <c r="UG1" s="522"/>
      <c r="UL1" s="521"/>
      <c r="UM1" s="522"/>
      <c r="UN1" s="521"/>
      <c r="UP1" s="525"/>
      <c r="UQ1" s="525"/>
      <c r="VF1" s="522"/>
      <c r="VJ1" s="934" t="s">
        <v>2769</v>
      </c>
      <c r="VK1" s="932">
        <f>-SUMIF(VJ7:VJ165, "&lt;0", VJ7:VJ165)</f>
        <v>0</v>
      </c>
      <c r="VM1" s="522"/>
      <c r="VR1" s="523" t="s">
        <v>2803</v>
      </c>
      <c r="VS1" s="882">
        <f>VS5+UO3</f>
        <v>1552325077</v>
      </c>
      <c r="VW1" s="522"/>
      <c r="WB1" s="909"/>
      <c r="WD1" s="522"/>
      <c r="WE1" s="521"/>
      <c r="WF1" s="521"/>
      <c r="WG1" s="521"/>
      <c r="WH1" s="521"/>
      <c r="WI1" s="521"/>
      <c r="WJ1" s="885"/>
      <c r="WK1" s="855"/>
      <c r="WL1" s="885"/>
      <c r="WM1" s="855"/>
      <c r="WN1" s="885"/>
      <c r="WO1" s="885"/>
      <c r="WP1" s="890"/>
      <c r="WQ1" s="885"/>
      <c r="XP1" s="523" t="s">
        <v>2787</v>
      </c>
      <c r="XQ1" s="523" t="s">
        <v>2790</v>
      </c>
      <c r="XS1" s="855" t="s">
        <v>2787</v>
      </c>
      <c r="XT1" s="523" t="s">
        <v>2790</v>
      </c>
      <c r="XU1" s="867"/>
      <c r="XY1" s="523" t="s">
        <v>2790</v>
      </c>
      <c r="YC1" s="522"/>
      <c r="YJ1" s="522"/>
    </row>
    <row r="2" spans="1:660" s="527" customFormat="1" ht="14.25" customHeight="1">
      <c r="A2" s="526"/>
      <c r="B2" s="7" t="s">
        <v>0</v>
      </c>
      <c r="C2" s="689">
        <v>100</v>
      </c>
      <c r="D2" s="689">
        <v>310</v>
      </c>
      <c r="E2" s="689">
        <v>420</v>
      </c>
      <c r="F2" s="689">
        <v>425</v>
      </c>
      <c r="G2" s="689">
        <v>100</v>
      </c>
      <c r="H2" s="689">
        <v>235</v>
      </c>
      <c r="I2" s="689">
        <v>100</v>
      </c>
      <c r="J2" s="689">
        <v>100</v>
      </c>
      <c r="K2" s="689">
        <v>100</v>
      </c>
      <c r="L2" s="689">
        <v>100</v>
      </c>
      <c r="M2" s="689">
        <v>100</v>
      </c>
      <c r="N2" s="689">
        <v>100</v>
      </c>
      <c r="O2" s="689">
        <v>310</v>
      </c>
      <c r="P2" s="689">
        <v>100</v>
      </c>
      <c r="Q2" s="689">
        <v>236</v>
      </c>
      <c r="R2" s="689">
        <v>310</v>
      </c>
      <c r="S2" s="689">
        <v>410</v>
      </c>
      <c r="T2" s="689">
        <v>420</v>
      </c>
      <c r="U2" s="689">
        <v>425</v>
      </c>
      <c r="V2" s="689">
        <v>430</v>
      </c>
      <c r="W2" s="689">
        <v>100</v>
      </c>
      <c r="X2" s="689">
        <v>310</v>
      </c>
      <c r="Y2" s="689">
        <v>100</v>
      </c>
      <c r="Z2" s="689">
        <v>235</v>
      </c>
      <c r="AA2" s="689">
        <v>310</v>
      </c>
      <c r="AB2" s="689">
        <v>420</v>
      </c>
      <c r="AC2" s="689">
        <v>425</v>
      </c>
      <c r="AD2" s="689">
        <v>100</v>
      </c>
      <c r="AE2" s="689">
        <v>231</v>
      </c>
      <c r="AF2" s="689">
        <v>232</v>
      </c>
      <c r="AG2" s="689">
        <v>233</v>
      </c>
      <c r="AH2" s="689">
        <v>241</v>
      </c>
      <c r="AI2" s="689">
        <v>242</v>
      </c>
      <c r="AJ2" s="689">
        <v>100</v>
      </c>
      <c r="AK2" s="689">
        <v>100</v>
      </c>
      <c r="AL2" s="689">
        <v>100</v>
      </c>
      <c r="AM2" s="689">
        <v>220</v>
      </c>
      <c r="AN2" s="689">
        <v>230</v>
      </c>
      <c r="AO2" s="689">
        <v>231</v>
      </c>
      <c r="AP2" s="689">
        <v>232</v>
      </c>
      <c r="AQ2" s="689">
        <v>233</v>
      </c>
      <c r="AR2" s="689">
        <v>234</v>
      </c>
      <c r="AS2" s="689">
        <v>235</v>
      </c>
      <c r="AT2" s="689">
        <v>236</v>
      </c>
      <c r="AU2" s="689">
        <v>237</v>
      </c>
      <c r="AV2" s="689">
        <v>238</v>
      </c>
      <c r="AW2" s="689">
        <v>239</v>
      </c>
      <c r="AX2" s="689">
        <v>240</v>
      </c>
      <c r="AY2" s="689">
        <v>245</v>
      </c>
      <c r="AZ2" s="689">
        <v>248</v>
      </c>
      <c r="BA2" s="689">
        <v>278</v>
      </c>
      <c r="BB2" s="689">
        <v>288</v>
      </c>
      <c r="BC2" s="689">
        <v>290</v>
      </c>
      <c r="BD2" s="689">
        <v>310</v>
      </c>
      <c r="BE2" s="689">
        <v>410</v>
      </c>
      <c r="BF2" s="689">
        <v>420</v>
      </c>
      <c r="BG2" s="689">
        <v>424</v>
      </c>
      <c r="BH2" s="689">
        <v>425</v>
      </c>
      <c r="BI2" s="689">
        <v>430</v>
      </c>
      <c r="BJ2" s="689">
        <v>490</v>
      </c>
      <c r="BK2" s="689">
        <v>510</v>
      </c>
      <c r="BL2" s="689">
        <v>610</v>
      </c>
      <c r="BM2" s="689">
        <v>710</v>
      </c>
      <c r="BN2" s="689">
        <v>711</v>
      </c>
      <c r="BO2" s="689">
        <v>713</v>
      </c>
      <c r="BP2" s="689">
        <v>714</v>
      </c>
      <c r="BQ2" s="689">
        <v>715</v>
      </c>
      <c r="BR2" s="689">
        <v>716</v>
      </c>
      <c r="BS2" s="689">
        <v>720</v>
      </c>
      <c r="BT2" s="689">
        <v>721</v>
      </c>
      <c r="BU2" s="689">
        <v>722</v>
      </c>
      <c r="BV2" s="689">
        <v>723</v>
      </c>
      <c r="BW2" s="689">
        <v>724</v>
      </c>
      <c r="BX2" s="689">
        <v>725</v>
      </c>
      <c r="BY2" s="689">
        <v>726</v>
      </c>
      <c r="BZ2" s="689">
        <v>727</v>
      </c>
      <c r="CA2" s="689">
        <v>729</v>
      </c>
      <c r="CB2" s="689">
        <v>100</v>
      </c>
      <c r="CC2" s="689">
        <v>234</v>
      </c>
      <c r="CD2" s="689">
        <v>290</v>
      </c>
      <c r="CE2" s="689">
        <v>290</v>
      </c>
      <c r="CF2" s="689">
        <v>100</v>
      </c>
      <c r="CG2" s="689">
        <v>290</v>
      </c>
      <c r="CH2" s="689">
        <v>720</v>
      </c>
      <c r="CI2" s="689">
        <v>100</v>
      </c>
      <c r="CJ2" s="689">
        <v>231</v>
      </c>
      <c r="CK2" s="689">
        <v>234</v>
      </c>
      <c r="CL2" s="689">
        <v>235</v>
      </c>
      <c r="CM2" s="689">
        <v>236</v>
      </c>
      <c r="CN2" s="689">
        <v>237</v>
      </c>
      <c r="CO2" s="689">
        <v>238</v>
      </c>
      <c r="CP2" s="689">
        <v>100</v>
      </c>
      <c r="CQ2" s="689">
        <v>100</v>
      </c>
      <c r="CR2" s="689">
        <v>234</v>
      </c>
      <c r="CS2" s="689">
        <v>100</v>
      </c>
      <c r="CT2" s="689">
        <v>231</v>
      </c>
      <c r="CU2" s="689">
        <v>232</v>
      </c>
      <c r="CV2" s="689">
        <v>234</v>
      </c>
      <c r="CW2" s="689">
        <v>235</v>
      </c>
      <c r="CX2" s="689">
        <v>236</v>
      </c>
      <c r="CY2" s="689">
        <v>237</v>
      </c>
      <c r="CZ2" s="689">
        <v>238</v>
      </c>
      <c r="DA2" s="689">
        <v>239</v>
      </c>
      <c r="DB2" s="689">
        <v>241</v>
      </c>
      <c r="DC2" s="689">
        <v>258</v>
      </c>
      <c r="DD2" s="689">
        <v>100</v>
      </c>
      <c r="DE2" s="689">
        <v>231</v>
      </c>
      <c r="DF2" s="689">
        <v>232</v>
      </c>
      <c r="DG2" s="689">
        <v>233</v>
      </c>
      <c r="DH2" s="689">
        <v>234</v>
      </c>
      <c r="DI2" s="689">
        <v>236</v>
      </c>
      <c r="DJ2" s="689">
        <v>237</v>
      </c>
      <c r="DK2" s="689">
        <v>238</v>
      </c>
      <c r="DL2" s="689">
        <v>239</v>
      </c>
      <c r="DM2" s="689">
        <v>241</v>
      </c>
      <c r="DN2" s="689">
        <v>100</v>
      </c>
      <c r="DO2" s="689">
        <v>230</v>
      </c>
      <c r="DP2" s="689">
        <v>234</v>
      </c>
      <c r="DQ2" s="689">
        <v>235</v>
      </c>
      <c r="DR2" s="689">
        <v>236</v>
      </c>
      <c r="DS2" s="689">
        <v>241</v>
      </c>
      <c r="DT2" s="689">
        <v>720</v>
      </c>
      <c r="DU2" s="689">
        <v>100</v>
      </c>
      <c r="DV2" s="689">
        <v>230</v>
      </c>
      <c r="DW2" s="689">
        <v>231</v>
      </c>
      <c r="DX2" s="689">
        <v>234</v>
      </c>
      <c r="DY2" s="689">
        <v>236</v>
      </c>
      <c r="DZ2" s="689">
        <v>241</v>
      </c>
      <c r="EA2" s="689">
        <v>290</v>
      </c>
      <c r="EB2" s="689">
        <v>420</v>
      </c>
      <c r="EC2" s="689">
        <v>424</v>
      </c>
      <c r="ED2" s="689">
        <v>510</v>
      </c>
      <c r="EE2" s="689">
        <v>710</v>
      </c>
      <c r="EF2" s="689">
        <v>712</v>
      </c>
      <c r="EG2" s="689">
        <v>100</v>
      </c>
      <c r="EH2" s="689">
        <v>230</v>
      </c>
      <c r="EI2" s="689">
        <v>231</v>
      </c>
      <c r="EJ2" s="689">
        <v>232</v>
      </c>
      <c r="EK2" s="689">
        <v>233</v>
      </c>
      <c r="EL2" s="689">
        <v>234</v>
      </c>
      <c r="EM2" s="689">
        <v>235</v>
      </c>
      <c r="EN2" s="689">
        <v>236</v>
      </c>
      <c r="EO2" s="689">
        <v>237</v>
      </c>
      <c r="EP2" s="689">
        <v>238</v>
      </c>
      <c r="EQ2" s="689">
        <v>239</v>
      </c>
      <c r="ER2" s="689">
        <v>242</v>
      </c>
      <c r="ES2" s="689">
        <v>243</v>
      </c>
      <c r="ET2" s="689">
        <v>244</v>
      </c>
      <c r="EU2" s="689">
        <v>245</v>
      </c>
      <c r="EV2" s="689">
        <v>285</v>
      </c>
      <c r="EW2" s="689">
        <v>290</v>
      </c>
      <c r="EX2" s="689">
        <v>310</v>
      </c>
      <c r="EY2" s="689">
        <v>410</v>
      </c>
      <c r="EZ2" s="689">
        <v>420</v>
      </c>
      <c r="FA2" s="689">
        <v>610</v>
      </c>
      <c r="FB2" s="689">
        <v>710</v>
      </c>
      <c r="FC2" s="689">
        <v>711</v>
      </c>
      <c r="FD2" s="689">
        <v>712</v>
      </c>
      <c r="FE2" s="689">
        <v>715</v>
      </c>
      <c r="FF2" s="689">
        <v>716</v>
      </c>
      <c r="FG2" s="689">
        <v>720</v>
      </c>
      <c r="FH2" s="689">
        <v>723</v>
      </c>
      <c r="FI2" s="689">
        <v>725</v>
      </c>
      <c r="FJ2" s="689">
        <v>727</v>
      </c>
      <c r="FK2" s="689">
        <v>729</v>
      </c>
      <c r="FL2" s="689">
        <v>100</v>
      </c>
      <c r="FM2" s="689">
        <v>220</v>
      </c>
      <c r="FN2" s="689">
        <v>232</v>
      </c>
      <c r="FO2" s="689">
        <v>238</v>
      </c>
      <c r="FP2" s="689">
        <v>241</v>
      </c>
      <c r="FQ2" s="689">
        <v>420</v>
      </c>
      <c r="FR2" s="689">
        <v>424</v>
      </c>
      <c r="FS2" s="689">
        <v>100</v>
      </c>
      <c r="FT2" s="689">
        <v>220</v>
      </c>
      <c r="FU2" s="689">
        <v>230</v>
      </c>
      <c r="FV2" s="689">
        <v>231</v>
      </c>
      <c r="FW2" s="689">
        <v>232</v>
      </c>
      <c r="FX2" s="689">
        <v>233</v>
      </c>
      <c r="FY2" s="689">
        <v>234</v>
      </c>
      <c r="FZ2" s="689">
        <v>235</v>
      </c>
      <c r="GA2" s="689">
        <v>236</v>
      </c>
      <c r="GB2" s="689">
        <v>237</v>
      </c>
      <c r="GC2" s="689">
        <v>238</v>
      </c>
      <c r="GD2" s="689">
        <v>239</v>
      </c>
      <c r="GE2" s="689">
        <v>241</v>
      </c>
      <c r="GF2" s="689">
        <v>243</v>
      </c>
      <c r="GG2" s="689">
        <v>245</v>
      </c>
      <c r="GH2" s="689">
        <v>246</v>
      </c>
      <c r="GI2" s="689">
        <v>248</v>
      </c>
      <c r="GJ2" s="689">
        <v>249</v>
      </c>
      <c r="GK2" s="689">
        <v>251</v>
      </c>
      <c r="GL2" s="689">
        <v>253</v>
      </c>
      <c r="GM2" s="689">
        <v>257</v>
      </c>
      <c r="GN2" s="689">
        <v>269</v>
      </c>
      <c r="GO2" s="689">
        <v>273</v>
      </c>
      <c r="GP2" s="689">
        <v>275</v>
      </c>
      <c r="GQ2" s="689">
        <v>288</v>
      </c>
      <c r="GR2" s="689">
        <v>290</v>
      </c>
      <c r="GS2" s="689">
        <v>310</v>
      </c>
      <c r="GT2" s="689">
        <v>410</v>
      </c>
      <c r="GU2" s="689">
        <v>420</v>
      </c>
      <c r="GV2" s="689">
        <v>424</v>
      </c>
      <c r="GW2" s="689">
        <v>425</v>
      </c>
      <c r="GX2" s="689">
        <v>430</v>
      </c>
      <c r="GY2" s="689">
        <v>510</v>
      </c>
      <c r="GZ2" s="689">
        <v>610</v>
      </c>
      <c r="HA2" s="689">
        <v>710</v>
      </c>
      <c r="HB2" s="689">
        <v>720</v>
      </c>
      <c r="HC2" s="689">
        <v>100</v>
      </c>
      <c r="HD2" s="689">
        <v>100</v>
      </c>
      <c r="HE2" s="689">
        <v>233</v>
      </c>
      <c r="HF2" s="689">
        <v>240</v>
      </c>
      <c r="HG2" s="689">
        <v>245</v>
      </c>
      <c r="HH2" s="689">
        <v>246</v>
      </c>
      <c r="HI2" s="689">
        <v>100</v>
      </c>
      <c r="HJ2" s="689">
        <v>420</v>
      </c>
      <c r="HK2" s="689">
        <v>424</v>
      </c>
      <c r="HL2" s="689">
        <v>100</v>
      </c>
      <c r="HM2" s="689">
        <v>100</v>
      </c>
      <c r="HN2" s="689">
        <v>100</v>
      </c>
      <c r="HO2" s="689">
        <v>100</v>
      </c>
      <c r="HP2" s="689">
        <v>100</v>
      </c>
      <c r="HQ2" s="689">
        <v>230</v>
      </c>
      <c r="HR2" s="689">
        <v>232</v>
      </c>
      <c r="HS2" s="689">
        <v>233</v>
      </c>
      <c r="HT2" s="689">
        <v>236</v>
      </c>
      <c r="HU2" s="689">
        <v>238</v>
      </c>
      <c r="HV2" s="689">
        <v>240</v>
      </c>
      <c r="HW2" s="689">
        <v>241</v>
      </c>
      <c r="HX2" s="689">
        <v>242</v>
      </c>
      <c r="HY2" s="689">
        <v>243</v>
      </c>
      <c r="HZ2" s="689">
        <v>244</v>
      </c>
      <c r="IA2" s="689">
        <v>245</v>
      </c>
      <c r="IB2" s="689">
        <v>246</v>
      </c>
      <c r="IC2" s="689">
        <v>247</v>
      </c>
      <c r="ID2" s="689">
        <v>248</v>
      </c>
      <c r="IE2" s="689">
        <v>249</v>
      </c>
      <c r="IF2" s="689">
        <v>257</v>
      </c>
      <c r="IG2" s="689">
        <v>271</v>
      </c>
      <c r="IH2" s="689">
        <v>282</v>
      </c>
      <c r="II2" s="689">
        <v>288</v>
      </c>
      <c r="IJ2" s="689">
        <v>310</v>
      </c>
      <c r="IK2" s="689">
        <v>420</v>
      </c>
      <c r="IL2" s="689">
        <v>424</v>
      </c>
      <c r="IM2" s="689">
        <v>430</v>
      </c>
      <c r="IN2" s="689">
        <v>100</v>
      </c>
      <c r="IO2" s="689">
        <v>241</v>
      </c>
      <c r="IP2" s="689">
        <v>243</v>
      </c>
      <c r="IQ2" s="689">
        <v>100</v>
      </c>
      <c r="IR2" s="689">
        <v>243</v>
      </c>
      <c r="IS2" s="689">
        <v>244</v>
      </c>
      <c r="IT2" s="689">
        <v>247</v>
      </c>
      <c r="IU2" s="689">
        <v>263</v>
      </c>
      <c r="IV2" s="689">
        <v>273</v>
      </c>
      <c r="IW2" s="689">
        <v>100</v>
      </c>
      <c r="IX2" s="689">
        <v>240</v>
      </c>
      <c r="IY2" s="689">
        <v>420</v>
      </c>
      <c r="IZ2" s="689">
        <v>425</v>
      </c>
      <c r="JA2" s="689">
        <v>430</v>
      </c>
      <c r="JB2" s="689">
        <v>100</v>
      </c>
      <c r="JC2" s="689">
        <v>310</v>
      </c>
      <c r="JD2" s="689">
        <v>420</v>
      </c>
      <c r="JE2" s="689">
        <v>100</v>
      </c>
      <c r="JF2" s="689">
        <v>220</v>
      </c>
      <c r="JG2" s="689">
        <v>230</v>
      </c>
      <c r="JH2" s="689">
        <v>231</v>
      </c>
      <c r="JI2" s="689">
        <v>232</v>
      </c>
      <c r="JJ2" s="689">
        <v>233</v>
      </c>
      <c r="JK2" s="689">
        <v>234</v>
      </c>
      <c r="JL2" s="689">
        <v>235</v>
      </c>
      <c r="JM2" s="689">
        <v>236</v>
      </c>
      <c r="JN2" s="689">
        <v>238</v>
      </c>
      <c r="JO2" s="689">
        <v>240</v>
      </c>
      <c r="JP2" s="689">
        <v>241</v>
      </c>
      <c r="JQ2" s="689">
        <v>242</v>
      </c>
      <c r="JR2" s="689">
        <v>243</v>
      </c>
      <c r="JS2" s="689">
        <v>244</v>
      </c>
      <c r="JT2" s="689">
        <v>245</v>
      </c>
      <c r="JU2" s="689">
        <v>246</v>
      </c>
      <c r="JV2" s="689">
        <v>248</v>
      </c>
      <c r="JW2" s="689">
        <v>249</v>
      </c>
      <c r="JX2" s="689">
        <v>286</v>
      </c>
      <c r="JY2" s="689">
        <v>289</v>
      </c>
      <c r="JZ2" s="689">
        <v>290</v>
      </c>
      <c r="KA2" s="689">
        <v>310</v>
      </c>
      <c r="KB2" s="689">
        <v>420</v>
      </c>
      <c r="KC2" s="689">
        <v>425</v>
      </c>
      <c r="KD2" s="689">
        <v>430</v>
      </c>
      <c r="KE2" s="689">
        <v>720</v>
      </c>
      <c r="KF2" s="689">
        <v>100</v>
      </c>
      <c r="KG2" s="689">
        <v>220</v>
      </c>
      <c r="KH2" s="689">
        <v>230</v>
      </c>
      <c r="KI2" s="689">
        <v>245</v>
      </c>
      <c r="KJ2" s="689">
        <v>249</v>
      </c>
      <c r="KK2" s="689">
        <v>251</v>
      </c>
      <c r="KL2" s="689">
        <v>262</v>
      </c>
      <c r="KM2" s="689">
        <v>271</v>
      </c>
      <c r="KN2" s="689">
        <v>286</v>
      </c>
      <c r="KO2" s="689">
        <v>288</v>
      </c>
      <c r="KP2" s="689">
        <v>289</v>
      </c>
      <c r="KQ2" s="689">
        <v>100</v>
      </c>
      <c r="KR2" s="689">
        <v>220</v>
      </c>
      <c r="KS2" s="689">
        <v>246</v>
      </c>
      <c r="KT2" s="689">
        <v>257</v>
      </c>
      <c r="KU2" s="689">
        <v>258</v>
      </c>
      <c r="KV2" s="689">
        <v>261</v>
      </c>
      <c r="KW2" s="689">
        <v>262</v>
      </c>
      <c r="KX2" s="689">
        <v>267</v>
      </c>
      <c r="KY2" s="689">
        <v>269</v>
      </c>
      <c r="KZ2" s="689">
        <v>270</v>
      </c>
      <c r="LA2" s="689">
        <v>271</v>
      </c>
      <c r="LB2" s="689">
        <v>272</v>
      </c>
      <c r="LC2" s="689">
        <v>274</v>
      </c>
      <c r="LD2" s="689">
        <v>275</v>
      </c>
      <c r="LE2" s="689">
        <v>278</v>
      </c>
      <c r="LF2" s="689">
        <v>279</v>
      </c>
      <c r="LG2" s="689">
        <v>281</v>
      </c>
      <c r="LH2" s="689">
        <v>284</v>
      </c>
      <c r="LI2" s="689">
        <v>285</v>
      </c>
      <c r="LJ2" s="689">
        <v>287</v>
      </c>
      <c r="LK2" s="689">
        <v>288</v>
      </c>
      <c r="LL2" s="689">
        <v>289</v>
      </c>
      <c r="LM2" s="689">
        <v>290</v>
      </c>
      <c r="LN2" s="689">
        <v>310</v>
      </c>
      <c r="LO2" s="689">
        <v>424</v>
      </c>
      <c r="LP2" s="689">
        <v>246</v>
      </c>
      <c r="LQ2" s="689">
        <v>251</v>
      </c>
      <c r="LR2" s="689">
        <v>253</v>
      </c>
      <c r="LS2" s="689">
        <v>254</v>
      </c>
      <c r="LT2" s="689">
        <v>255</v>
      </c>
      <c r="LU2" s="689">
        <v>257</v>
      </c>
      <c r="LV2" s="689">
        <v>258</v>
      </c>
      <c r="LW2" s="689">
        <v>262</v>
      </c>
      <c r="LX2" s="689">
        <v>270</v>
      </c>
      <c r="LY2" s="689">
        <v>271</v>
      </c>
      <c r="LZ2" s="689">
        <v>273</v>
      </c>
      <c r="MA2" s="689">
        <v>289</v>
      </c>
      <c r="MB2" s="689">
        <v>100</v>
      </c>
      <c r="MC2" s="689">
        <v>245</v>
      </c>
      <c r="MD2" s="689">
        <v>251</v>
      </c>
      <c r="ME2" s="689">
        <v>253</v>
      </c>
      <c r="MF2" s="689">
        <v>261</v>
      </c>
      <c r="MG2" s="689">
        <v>262</v>
      </c>
      <c r="MH2" s="689">
        <v>263</v>
      </c>
      <c r="MI2" s="689">
        <v>270</v>
      </c>
      <c r="MJ2" s="689">
        <v>271</v>
      </c>
      <c r="MK2" s="689">
        <v>273</v>
      </c>
      <c r="ML2" s="689">
        <v>100</v>
      </c>
      <c r="MM2" s="689">
        <v>243</v>
      </c>
      <c r="MN2" s="689">
        <v>262</v>
      </c>
      <c r="MO2" s="689">
        <v>263</v>
      </c>
      <c r="MP2" s="689">
        <v>251</v>
      </c>
      <c r="MQ2" s="689">
        <v>262</v>
      </c>
      <c r="MR2" s="689">
        <v>290</v>
      </c>
      <c r="MS2" s="689">
        <v>100</v>
      </c>
      <c r="MT2" s="689">
        <v>243</v>
      </c>
      <c r="MU2" s="689">
        <v>251</v>
      </c>
      <c r="MV2" s="689">
        <v>253</v>
      </c>
      <c r="MW2" s="689">
        <v>257</v>
      </c>
      <c r="MX2" s="689">
        <v>258</v>
      </c>
      <c r="MY2" s="689">
        <v>262</v>
      </c>
      <c r="MZ2" s="689">
        <v>271</v>
      </c>
      <c r="NA2" s="689">
        <v>100</v>
      </c>
      <c r="NB2" s="689">
        <v>220</v>
      </c>
      <c r="NC2" s="689">
        <v>230</v>
      </c>
      <c r="ND2" s="689">
        <v>231</v>
      </c>
      <c r="NE2" s="689">
        <v>233</v>
      </c>
      <c r="NF2" s="689">
        <v>235</v>
      </c>
      <c r="NG2" s="689">
        <v>237</v>
      </c>
      <c r="NH2" s="689">
        <v>239</v>
      </c>
      <c r="NI2" s="689">
        <v>242</v>
      </c>
      <c r="NJ2" s="689">
        <v>245</v>
      </c>
      <c r="NK2" s="689">
        <v>246</v>
      </c>
      <c r="NL2" s="689">
        <v>248</v>
      </c>
      <c r="NM2" s="689">
        <v>251</v>
      </c>
      <c r="NN2" s="689">
        <v>255</v>
      </c>
      <c r="NO2" s="689">
        <v>256</v>
      </c>
      <c r="NP2" s="689">
        <v>258</v>
      </c>
      <c r="NQ2" s="689">
        <v>262</v>
      </c>
      <c r="NR2" s="689">
        <v>263</v>
      </c>
      <c r="NS2" s="689">
        <v>267</v>
      </c>
      <c r="NT2" s="689">
        <v>269</v>
      </c>
      <c r="NU2" s="689">
        <v>270</v>
      </c>
      <c r="NV2" s="689">
        <v>271</v>
      </c>
      <c r="NW2" s="689">
        <v>272</v>
      </c>
      <c r="NX2" s="689">
        <v>273</v>
      </c>
      <c r="NY2" s="689">
        <v>274</v>
      </c>
      <c r="NZ2" s="689">
        <v>275</v>
      </c>
      <c r="OA2" s="689">
        <v>278</v>
      </c>
      <c r="OB2" s="689">
        <v>279</v>
      </c>
      <c r="OC2" s="689">
        <v>280</v>
      </c>
      <c r="OD2" s="689">
        <v>281</v>
      </c>
      <c r="OE2" s="689">
        <v>283</v>
      </c>
      <c r="OF2" s="689">
        <v>284</v>
      </c>
      <c r="OG2" s="689">
        <v>285</v>
      </c>
      <c r="OH2" s="689">
        <v>286</v>
      </c>
      <c r="OI2" s="689">
        <v>288</v>
      </c>
      <c r="OJ2" s="689">
        <v>289</v>
      </c>
      <c r="OK2" s="689">
        <v>290</v>
      </c>
      <c r="OL2" s="689">
        <v>310</v>
      </c>
      <c r="OM2" s="689">
        <v>720</v>
      </c>
      <c r="ON2" s="689">
        <v>100</v>
      </c>
      <c r="OO2" s="689">
        <v>278</v>
      </c>
      <c r="OP2" s="689">
        <v>279</v>
      </c>
      <c r="OQ2" s="689">
        <v>289</v>
      </c>
      <c r="OR2" s="689">
        <v>100</v>
      </c>
      <c r="OS2" s="689">
        <v>245</v>
      </c>
      <c r="OT2" s="689">
        <v>310</v>
      </c>
      <c r="OU2" s="689">
        <v>410</v>
      </c>
      <c r="OV2" s="689">
        <v>420</v>
      </c>
      <c r="OW2" s="689">
        <v>424</v>
      </c>
      <c r="OX2" s="689">
        <v>100</v>
      </c>
      <c r="OY2" s="689">
        <v>230</v>
      </c>
      <c r="OZ2" s="689">
        <v>239</v>
      </c>
      <c r="PA2" s="689">
        <v>290</v>
      </c>
      <c r="PB2" s="689">
        <v>410</v>
      </c>
      <c r="PC2" s="689">
        <v>420</v>
      </c>
      <c r="PD2" s="689">
        <v>424</v>
      </c>
      <c r="PE2" s="689">
        <v>425</v>
      </c>
      <c r="PF2" s="689">
        <v>490</v>
      </c>
      <c r="PG2" s="689">
        <v>510</v>
      </c>
      <c r="PH2" s="689">
        <v>100</v>
      </c>
      <c r="PI2" s="689">
        <v>220</v>
      </c>
      <c r="PJ2" s="689">
        <v>230</v>
      </c>
      <c r="PK2" s="689">
        <v>231</v>
      </c>
      <c r="PL2" s="689">
        <v>232</v>
      </c>
      <c r="PM2" s="689">
        <v>233</v>
      </c>
      <c r="PN2" s="689">
        <v>234</v>
      </c>
      <c r="PO2" s="689">
        <v>235</v>
      </c>
      <c r="PP2" s="689">
        <v>236</v>
      </c>
      <c r="PQ2" s="689">
        <v>237</v>
      </c>
      <c r="PR2" s="689">
        <v>238</v>
      </c>
      <c r="PS2" s="689">
        <v>239</v>
      </c>
      <c r="PT2" s="689">
        <v>240</v>
      </c>
      <c r="PU2" s="689">
        <v>241</v>
      </c>
      <c r="PV2" s="689">
        <v>243</v>
      </c>
      <c r="PW2" s="689">
        <v>245</v>
      </c>
      <c r="PX2" s="689">
        <v>246</v>
      </c>
      <c r="PY2" s="689">
        <v>247</v>
      </c>
      <c r="PZ2" s="689">
        <v>248</v>
      </c>
      <c r="QA2" s="689">
        <v>249</v>
      </c>
      <c r="QB2" s="689">
        <v>251</v>
      </c>
      <c r="QC2" s="689">
        <v>253</v>
      </c>
      <c r="QD2" s="689">
        <v>257</v>
      </c>
      <c r="QE2" s="689">
        <v>258</v>
      </c>
      <c r="QF2" s="689">
        <v>262</v>
      </c>
      <c r="QG2" s="689">
        <v>263</v>
      </c>
      <c r="QH2" s="689">
        <v>267</v>
      </c>
      <c r="QI2" s="689">
        <v>269</v>
      </c>
      <c r="QJ2" s="689">
        <v>270</v>
      </c>
      <c r="QK2" s="689">
        <v>271</v>
      </c>
      <c r="QL2" s="689">
        <v>272</v>
      </c>
      <c r="QM2" s="689">
        <v>273</v>
      </c>
      <c r="QN2" s="689">
        <v>274</v>
      </c>
      <c r="QO2" s="689">
        <v>284</v>
      </c>
      <c r="QP2" s="689">
        <v>286</v>
      </c>
      <c r="QQ2" s="689">
        <v>288</v>
      </c>
      <c r="QR2" s="689">
        <v>289</v>
      </c>
      <c r="QS2" s="689">
        <v>290</v>
      </c>
      <c r="QT2" s="689">
        <v>310</v>
      </c>
      <c r="QU2" s="689">
        <v>410</v>
      </c>
      <c r="QV2" s="689">
        <v>420</v>
      </c>
      <c r="QW2" s="689">
        <v>424</v>
      </c>
      <c r="QX2" s="689">
        <v>425</v>
      </c>
      <c r="QY2" s="689">
        <v>430</v>
      </c>
      <c r="QZ2" s="689">
        <v>610</v>
      </c>
      <c r="RA2" s="689">
        <v>710</v>
      </c>
      <c r="RB2" s="689">
        <v>725</v>
      </c>
      <c r="RC2" s="528"/>
      <c r="RD2" s="529"/>
      <c r="RF2" s="983" t="s">
        <v>262</v>
      </c>
      <c r="RG2" s="983"/>
      <c r="RH2" s="983"/>
      <c r="RI2" s="983"/>
      <c r="RJ2" s="983"/>
      <c r="RK2" s="983"/>
      <c r="RL2" s="983"/>
      <c r="RM2" s="983"/>
      <c r="RN2" s="983"/>
      <c r="RO2" s="983"/>
      <c r="RP2" s="983"/>
      <c r="RQ2" s="983"/>
      <c r="RR2" s="983"/>
      <c r="RS2" s="530"/>
      <c r="RT2" s="531"/>
      <c r="RU2" s="530"/>
      <c r="RV2" s="530"/>
      <c r="RW2" s="530"/>
      <c r="RX2" s="530"/>
      <c r="RY2" s="530"/>
      <c r="RZ2" s="530"/>
      <c r="SA2" s="531"/>
      <c r="SB2" s="530"/>
      <c r="SC2" s="850"/>
      <c r="SD2" s="530"/>
      <c r="SE2" s="530"/>
      <c r="SF2" s="530"/>
      <c r="SG2" s="850"/>
      <c r="SH2" s="530"/>
      <c r="SI2" s="530"/>
      <c r="SJ2" s="530"/>
      <c r="SK2" s="531"/>
      <c r="SL2" s="983" t="s">
        <v>463</v>
      </c>
      <c r="SM2" s="983"/>
      <c r="SN2" s="983"/>
      <c r="SO2" s="983"/>
      <c r="SP2" s="983"/>
      <c r="SQ2" s="983"/>
      <c r="SR2" s="532"/>
      <c r="SS2" s="533"/>
      <c r="ST2" s="983" t="s">
        <v>465</v>
      </c>
      <c r="SU2" s="983"/>
      <c r="SV2" s="983"/>
      <c r="SW2" s="983"/>
      <c r="SX2" s="983"/>
      <c r="SY2" s="983"/>
      <c r="SZ2" s="983"/>
      <c r="TA2" s="983"/>
      <c r="TB2" s="983"/>
      <c r="TC2" s="983"/>
      <c r="TD2" s="983"/>
      <c r="TE2" s="983"/>
      <c r="TF2" s="983"/>
      <c r="TG2" s="983"/>
      <c r="TH2" s="983"/>
      <c r="TI2" s="983"/>
      <c r="TJ2" s="983"/>
      <c r="TK2" s="983"/>
      <c r="TL2" s="983"/>
      <c r="TM2" s="983"/>
      <c r="TN2" s="983"/>
      <c r="TO2" s="983"/>
      <c r="TP2" s="530"/>
      <c r="TQ2" s="530"/>
      <c r="TR2" s="530"/>
      <c r="TS2" s="667"/>
      <c r="TT2" s="530"/>
      <c r="TU2" s="530"/>
      <c r="TV2" s="530"/>
      <c r="TW2" s="533"/>
      <c r="TX2" s="529"/>
      <c r="TY2" s="533"/>
      <c r="TZ2" s="534"/>
      <c r="UA2" s="534"/>
      <c r="UB2" s="533"/>
      <c r="UC2" s="529"/>
      <c r="UD2" s="533"/>
      <c r="UE2" s="535"/>
      <c r="UF2" s="535"/>
      <c r="UG2" s="532"/>
      <c r="UI2" s="997" t="s">
        <v>1305</v>
      </c>
      <c r="UJ2" s="998"/>
      <c r="UK2" s="999"/>
      <c r="UL2" s="536"/>
      <c r="UM2" s="860"/>
      <c r="UN2" s="536"/>
      <c r="UO2" s="990" t="s">
        <v>1307</v>
      </c>
      <c r="UP2" s="991"/>
      <c r="VD2" s="852"/>
      <c r="VF2" s="532"/>
      <c r="VH2" s="852"/>
      <c r="VI2" s="852"/>
      <c r="VJ2" s="934" t="s">
        <v>2825</v>
      </c>
      <c r="VK2" s="933">
        <f>VK1/SUMIF(VJ10:VJ163, "&gt;0", $ST$10:$ST$163)</f>
        <v>0</v>
      </c>
      <c r="VL2" s="852"/>
      <c r="VM2" s="532"/>
      <c r="VN2" s="852"/>
      <c r="VO2" s="852"/>
      <c r="VP2" s="852"/>
      <c r="VQ2" s="852"/>
      <c r="VR2" s="852"/>
      <c r="VS2" s="852"/>
      <c r="VT2" s="852"/>
      <c r="VU2" s="852"/>
      <c r="VV2" s="852"/>
      <c r="VW2" s="532"/>
      <c r="VX2" s="852"/>
      <c r="VZ2" s="852"/>
      <c r="WA2" s="852"/>
      <c r="WB2" s="910"/>
      <c r="WD2" s="532"/>
      <c r="WE2" s="640"/>
      <c r="WF2" s="640"/>
      <c r="WG2" s="640"/>
      <c r="WH2" s="640"/>
      <c r="WI2" s="640"/>
      <c r="WJ2" s="886"/>
      <c r="WK2" s="856"/>
      <c r="WL2" s="886"/>
      <c r="WM2" s="856"/>
      <c r="WN2" s="886"/>
      <c r="WO2" s="886"/>
      <c r="WP2" s="891"/>
      <c r="WQ2" s="886"/>
      <c r="WW2" s="797"/>
      <c r="WY2" s="797"/>
      <c r="WZ2" s="797"/>
      <c r="XA2" s="832"/>
      <c r="XB2" s="832"/>
      <c r="XC2" s="797"/>
      <c r="XD2" s="832"/>
      <c r="XE2" s="852"/>
      <c r="XF2" s="852"/>
      <c r="XG2" s="852"/>
      <c r="XH2" s="852"/>
      <c r="XI2" s="832"/>
      <c r="XP2" s="871">
        <f>XP5+UO3</f>
        <v>1552325077</v>
      </c>
      <c r="XQ2" s="527" t="b">
        <f>XP2=XU5</f>
        <v>1</v>
      </c>
      <c r="XS2" s="868">
        <f>XR5+UO3</f>
        <v>1552325077</v>
      </c>
      <c r="XT2" s="852" t="b">
        <f>XS2=XW5</f>
        <v>1</v>
      </c>
      <c r="XW2" s="856"/>
      <c r="XX2" s="852"/>
      <c r="XY2" s="873" t="b">
        <f>XY5-UO3&lt;0.0001</f>
        <v>1</v>
      </c>
      <c r="YC2" s="532"/>
      <c r="YJ2" s="532"/>
    </row>
    <row r="3" spans="1:660" s="540" customFormat="1" ht="52.5" customHeight="1" thickBot="1">
      <c r="A3" s="537"/>
      <c r="B3" s="52" t="s">
        <v>1</v>
      </c>
      <c r="C3" s="690" t="s">
        <v>2</v>
      </c>
      <c r="D3" s="690" t="s">
        <v>3</v>
      </c>
      <c r="E3" s="690" t="s">
        <v>4</v>
      </c>
      <c r="F3" s="690" t="s">
        <v>4</v>
      </c>
      <c r="G3" s="690" t="s">
        <v>2</v>
      </c>
      <c r="H3" s="690" t="s">
        <v>5</v>
      </c>
      <c r="I3" s="690" t="s">
        <v>2</v>
      </c>
      <c r="J3" s="690" t="s">
        <v>2</v>
      </c>
      <c r="K3" s="690" t="s">
        <v>2</v>
      </c>
      <c r="L3" s="690" t="s">
        <v>2</v>
      </c>
      <c r="M3" s="690" t="s">
        <v>2</v>
      </c>
      <c r="N3" s="690" t="s">
        <v>2</v>
      </c>
      <c r="O3" s="690" t="s">
        <v>3</v>
      </c>
      <c r="P3" s="690" t="s">
        <v>2</v>
      </c>
      <c r="Q3" s="690" t="s">
        <v>5</v>
      </c>
      <c r="R3" s="690" t="s">
        <v>3</v>
      </c>
      <c r="S3" s="690" t="s">
        <v>14</v>
      </c>
      <c r="T3" s="690" t="s">
        <v>4</v>
      </c>
      <c r="U3" s="690" t="s">
        <v>4</v>
      </c>
      <c r="V3" s="690" t="s">
        <v>7</v>
      </c>
      <c r="W3" s="690" t="s">
        <v>2</v>
      </c>
      <c r="X3" s="690" t="s">
        <v>3</v>
      </c>
      <c r="Y3" s="690" t="s">
        <v>2</v>
      </c>
      <c r="Z3" s="690" t="s">
        <v>5</v>
      </c>
      <c r="AA3" s="690" t="s">
        <v>3</v>
      </c>
      <c r="AB3" s="690" t="s">
        <v>4</v>
      </c>
      <c r="AC3" s="690" t="s">
        <v>4</v>
      </c>
      <c r="AD3" s="690" t="s">
        <v>2</v>
      </c>
      <c r="AE3" s="690" t="s">
        <v>5</v>
      </c>
      <c r="AF3" s="690" t="s">
        <v>5</v>
      </c>
      <c r="AG3" s="690" t="s">
        <v>5</v>
      </c>
      <c r="AH3" s="690" t="s">
        <v>8</v>
      </c>
      <c r="AI3" s="690" t="s">
        <v>11</v>
      </c>
      <c r="AJ3" s="690" t="s">
        <v>2</v>
      </c>
      <c r="AK3" s="690" t="s">
        <v>2</v>
      </c>
      <c r="AL3" s="690" t="s">
        <v>2</v>
      </c>
      <c r="AM3" s="690" t="s">
        <v>6</v>
      </c>
      <c r="AN3" s="690" t="s">
        <v>5</v>
      </c>
      <c r="AO3" s="690" t="s">
        <v>5</v>
      </c>
      <c r="AP3" s="690" t="s">
        <v>5</v>
      </c>
      <c r="AQ3" s="690" t="s">
        <v>5</v>
      </c>
      <c r="AR3" s="690" t="s">
        <v>5</v>
      </c>
      <c r="AS3" s="690" t="s">
        <v>5</v>
      </c>
      <c r="AT3" s="690" t="s">
        <v>5</v>
      </c>
      <c r="AU3" s="690" t="s">
        <v>5</v>
      </c>
      <c r="AV3" s="690" t="s">
        <v>5</v>
      </c>
      <c r="AW3" s="690" t="s">
        <v>5</v>
      </c>
      <c r="AX3" s="690" t="s">
        <v>9</v>
      </c>
      <c r="AY3" s="690" t="s">
        <v>10</v>
      </c>
      <c r="AZ3" s="690" t="s">
        <v>11</v>
      </c>
      <c r="BA3" s="690" t="s">
        <v>12</v>
      </c>
      <c r="BB3" s="690" t="s">
        <v>12</v>
      </c>
      <c r="BC3" s="690" t="s">
        <v>13</v>
      </c>
      <c r="BD3" s="690" t="s">
        <v>3</v>
      </c>
      <c r="BE3" s="690" t="s">
        <v>14</v>
      </c>
      <c r="BF3" s="690" t="s">
        <v>4</v>
      </c>
      <c r="BG3" s="690" t="s">
        <v>4</v>
      </c>
      <c r="BH3" s="690" t="s">
        <v>4</v>
      </c>
      <c r="BI3" s="690" t="s">
        <v>7</v>
      </c>
      <c r="BJ3" s="690" t="e">
        <v>#N/A</v>
      </c>
      <c r="BK3" s="690" t="e">
        <v>#N/A</v>
      </c>
      <c r="BL3" s="690" t="e">
        <v>#N/A</v>
      </c>
      <c r="BM3" s="690" t="s">
        <v>15</v>
      </c>
      <c r="BN3" s="690" t="s">
        <v>15</v>
      </c>
      <c r="BO3" s="690" t="s">
        <v>15</v>
      </c>
      <c r="BP3" s="690" t="s">
        <v>15</v>
      </c>
      <c r="BQ3" s="690" t="s">
        <v>15</v>
      </c>
      <c r="BR3" s="690" t="s">
        <v>15</v>
      </c>
      <c r="BS3" s="690" t="s">
        <v>15</v>
      </c>
      <c r="BT3" s="690" t="e">
        <v>#N/A</v>
      </c>
      <c r="BU3" s="690" t="e">
        <v>#N/A</v>
      </c>
      <c r="BV3" s="690" t="e">
        <v>#N/A</v>
      </c>
      <c r="BW3" s="690" t="e">
        <v>#N/A</v>
      </c>
      <c r="BX3" s="690" t="e">
        <v>#N/A</v>
      </c>
      <c r="BY3" s="690" t="e">
        <v>#N/A</v>
      </c>
      <c r="BZ3" s="690" t="e">
        <v>#N/A</v>
      </c>
      <c r="CA3" s="690" t="e">
        <v>#N/A</v>
      </c>
      <c r="CB3" s="690" t="s">
        <v>2</v>
      </c>
      <c r="CC3" s="690" t="s">
        <v>5</v>
      </c>
      <c r="CD3" s="690" t="s">
        <v>13</v>
      </c>
      <c r="CE3" s="690" t="s">
        <v>13</v>
      </c>
      <c r="CF3" s="690" t="s">
        <v>2</v>
      </c>
      <c r="CG3" s="690" t="s">
        <v>13</v>
      </c>
      <c r="CH3" s="690" t="s">
        <v>15</v>
      </c>
      <c r="CI3" s="690" t="s">
        <v>2</v>
      </c>
      <c r="CJ3" s="690" t="s">
        <v>5</v>
      </c>
      <c r="CK3" s="690" t="s">
        <v>5</v>
      </c>
      <c r="CL3" s="690" t="s">
        <v>5</v>
      </c>
      <c r="CM3" s="690" t="s">
        <v>5</v>
      </c>
      <c r="CN3" s="690" t="s">
        <v>5</v>
      </c>
      <c r="CO3" s="690" t="s">
        <v>5</v>
      </c>
      <c r="CP3" s="690" t="s">
        <v>2</v>
      </c>
      <c r="CQ3" s="690" t="s">
        <v>2</v>
      </c>
      <c r="CR3" s="690" t="s">
        <v>5</v>
      </c>
      <c r="CS3" s="690" t="s">
        <v>2</v>
      </c>
      <c r="CT3" s="690" t="s">
        <v>5</v>
      </c>
      <c r="CU3" s="690" t="s">
        <v>5</v>
      </c>
      <c r="CV3" s="690" t="s">
        <v>5</v>
      </c>
      <c r="CW3" s="690" t="s">
        <v>5</v>
      </c>
      <c r="CX3" s="690" t="s">
        <v>5</v>
      </c>
      <c r="CY3" s="690" t="s">
        <v>5</v>
      </c>
      <c r="CZ3" s="690" t="s">
        <v>5</v>
      </c>
      <c r="DA3" s="690" t="s">
        <v>5</v>
      </c>
      <c r="DB3" s="690" t="s">
        <v>8</v>
      </c>
      <c r="DC3" s="690" t="s">
        <v>17</v>
      </c>
      <c r="DD3" s="690" t="s">
        <v>2</v>
      </c>
      <c r="DE3" s="690" t="s">
        <v>5</v>
      </c>
      <c r="DF3" s="690" t="s">
        <v>5</v>
      </c>
      <c r="DG3" s="690" t="s">
        <v>5</v>
      </c>
      <c r="DH3" s="690" t="s">
        <v>5</v>
      </c>
      <c r="DI3" s="690" t="s">
        <v>5</v>
      </c>
      <c r="DJ3" s="690" t="s">
        <v>5</v>
      </c>
      <c r="DK3" s="690" t="s">
        <v>5</v>
      </c>
      <c r="DL3" s="690" t="s">
        <v>5</v>
      </c>
      <c r="DM3" s="690" t="s">
        <v>8</v>
      </c>
      <c r="DN3" s="690" t="s">
        <v>2</v>
      </c>
      <c r="DO3" s="690" t="s">
        <v>5</v>
      </c>
      <c r="DP3" s="690" t="s">
        <v>5</v>
      </c>
      <c r="DQ3" s="690" t="s">
        <v>5</v>
      </c>
      <c r="DR3" s="690" t="s">
        <v>5</v>
      </c>
      <c r="DS3" s="690" t="s">
        <v>8</v>
      </c>
      <c r="DT3" s="690" t="s">
        <v>15</v>
      </c>
      <c r="DU3" s="690" t="s">
        <v>2</v>
      </c>
      <c r="DV3" s="690" t="s">
        <v>5</v>
      </c>
      <c r="DW3" s="690" t="s">
        <v>5</v>
      </c>
      <c r="DX3" s="690" t="s">
        <v>5</v>
      </c>
      <c r="DY3" s="690" t="s">
        <v>5</v>
      </c>
      <c r="DZ3" s="690" t="s">
        <v>8</v>
      </c>
      <c r="EA3" s="690" t="s">
        <v>13</v>
      </c>
      <c r="EB3" s="690" t="s">
        <v>4</v>
      </c>
      <c r="EC3" s="690" t="s">
        <v>4</v>
      </c>
      <c r="ED3" s="690" t="e">
        <v>#N/A</v>
      </c>
      <c r="EE3" s="690" t="s">
        <v>15</v>
      </c>
      <c r="EF3" s="690" t="s">
        <v>15</v>
      </c>
      <c r="EG3" s="690" t="s">
        <v>2</v>
      </c>
      <c r="EH3" s="690" t="s">
        <v>5</v>
      </c>
      <c r="EI3" s="690" t="s">
        <v>5</v>
      </c>
      <c r="EJ3" s="690" t="s">
        <v>5</v>
      </c>
      <c r="EK3" s="690" t="s">
        <v>5</v>
      </c>
      <c r="EL3" s="690" t="s">
        <v>5</v>
      </c>
      <c r="EM3" s="690" t="s">
        <v>5</v>
      </c>
      <c r="EN3" s="690" t="s">
        <v>5</v>
      </c>
      <c r="EO3" s="690" t="s">
        <v>5</v>
      </c>
      <c r="EP3" s="690" t="s">
        <v>5</v>
      </c>
      <c r="EQ3" s="690" t="s">
        <v>5</v>
      </c>
      <c r="ER3" s="690" t="s">
        <v>11</v>
      </c>
      <c r="ES3" s="690" t="s">
        <v>16</v>
      </c>
      <c r="ET3" s="690" t="s">
        <v>11</v>
      </c>
      <c r="EU3" s="690" t="s">
        <v>10</v>
      </c>
      <c r="EV3" s="690" t="s">
        <v>12</v>
      </c>
      <c r="EW3" s="690" t="s">
        <v>13</v>
      </c>
      <c r="EX3" s="690" t="s">
        <v>3</v>
      </c>
      <c r="EY3" s="690" t="s">
        <v>14</v>
      </c>
      <c r="EZ3" s="690" t="s">
        <v>4</v>
      </c>
      <c r="FA3" s="690" t="e">
        <v>#N/A</v>
      </c>
      <c r="FB3" s="690" t="s">
        <v>15</v>
      </c>
      <c r="FC3" s="690" t="s">
        <v>15</v>
      </c>
      <c r="FD3" s="690" t="s">
        <v>15</v>
      </c>
      <c r="FE3" s="690" t="s">
        <v>15</v>
      </c>
      <c r="FF3" s="690" t="s">
        <v>15</v>
      </c>
      <c r="FG3" s="690" t="s">
        <v>15</v>
      </c>
      <c r="FH3" s="690" t="e">
        <v>#N/A</v>
      </c>
      <c r="FI3" s="690" t="e">
        <v>#N/A</v>
      </c>
      <c r="FJ3" s="690" t="e">
        <v>#N/A</v>
      </c>
      <c r="FK3" s="690" t="e">
        <v>#N/A</v>
      </c>
      <c r="FL3" s="690" t="s">
        <v>2</v>
      </c>
      <c r="FM3" s="690" t="s">
        <v>6</v>
      </c>
      <c r="FN3" s="690" t="s">
        <v>5</v>
      </c>
      <c r="FO3" s="690" t="s">
        <v>5</v>
      </c>
      <c r="FP3" s="690" t="s">
        <v>8</v>
      </c>
      <c r="FQ3" s="690" t="s">
        <v>4</v>
      </c>
      <c r="FR3" s="690" t="s">
        <v>4</v>
      </c>
      <c r="FS3" s="690" t="s">
        <v>2</v>
      </c>
      <c r="FT3" s="690" t="s">
        <v>6</v>
      </c>
      <c r="FU3" s="690" t="s">
        <v>5</v>
      </c>
      <c r="FV3" s="690" t="s">
        <v>5</v>
      </c>
      <c r="FW3" s="690" t="s">
        <v>5</v>
      </c>
      <c r="FX3" s="690" t="s">
        <v>5</v>
      </c>
      <c r="FY3" s="690" t="s">
        <v>5</v>
      </c>
      <c r="FZ3" s="690" t="s">
        <v>5</v>
      </c>
      <c r="GA3" s="690" t="s">
        <v>5</v>
      </c>
      <c r="GB3" s="690" t="s">
        <v>5</v>
      </c>
      <c r="GC3" s="690" t="s">
        <v>5</v>
      </c>
      <c r="GD3" s="690" t="s">
        <v>5</v>
      </c>
      <c r="GE3" s="690" t="s">
        <v>8</v>
      </c>
      <c r="GF3" s="690" t="s">
        <v>16</v>
      </c>
      <c r="GG3" s="690" t="s">
        <v>10</v>
      </c>
      <c r="GH3" s="690" t="s">
        <v>19</v>
      </c>
      <c r="GI3" s="690" t="s">
        <v>11</v>
      </c>
      <c r="GJ3" s="690" t="s">
        <v>11</v>
      </c>
      <c r="GK3" s="690" t="s">
        <v>20</v>
      </c>
      <c r="GL3" s="690" t="s">
        <v>21</v>
      </c>
      <c r="GM3" s="690" t="s">
        <v>22</v>
      </c>
      <c r="GN3" s="690" t="s">
        <v>12</v>
      </c>
      <c r="GO3" s="690" t="s">
        <v>18</v>
      </c>
      <c r="GP3" s="690" t="s">
        <v>12</v>
      </c>
      <c r="GQ3" s="690" t="s">
        <v>12</v>
      </c>
      <c r="GR3" s="690" t="s">
        <v>13</v>
      </c>
      <c r="GS3" s="690" t="s">
        <v>3</v>
      </c>
      <c r="GT3" s="690" t="s">
        <v>14</v>
      </c>
      <c r="GU3" s="690" t="s">
        <v>4</v>
      </c>
      <c r="GV3" s="690" t="s">
        <v>4</v>
      </c>
      <c r="GW3" s="690" t="s">
        <v>4</v>
      </c>
      <c r="GX3" s="690" t="s">
        <v>7</v>
      </c>
      <c r="GY3" s="690" t="e">
        <v>#N/A</v>
      </c>
      <c r="GZ3" s="690" t="e">
        <v>#N/A</v>
      </c>
      <c r="HA3" s="690" t="s">
        <v>15</v>
      </c>
      <c r="HB3" s="690" t="s">
        <v>15</v>
      </c>
      <c r="HC3" s="690" t="s">
        <v>2</v>
      </c>
      <c r="HD3" s="690" t="s">
        <v>2</v>
      </c>
      <c r="HE3" s="690" t="s">
        <v>5</v>
      </c>
      <c r="HF3" s="690" t="s">
        <v>9</v>
      </c>
      <c r="HG3" s="690" t="s">
        <v>10</v>
      </c>
      <c r="HH3" s="690" t="s">
        <v>19</v>
      </c>
      <c r="HI3" s="690" t="s">
        <v>2</v>
      </c>
      <c r="HJ3" s="690" t="s">
        <v>4</v>
      </c>
      <c r="HK3" s="690" t="s">
        <v>4</v>
      </c>
      <c r="HL3" s="690" t="s">
        <v>2</v>
      </c>
      <c r="HM3" s="690" t="s">
        <v>2</v>
      </c>
      <c r="HN3" s="690" t="s">
        <v>2</v>
      </c>
      <c r="HO3" s="690" t="s">
        <v>2</v>
      </c>
      <c r="HP3" s="690" t="s">
        <v>2</v>
      </c>
      <c r="HQ3" s="690" t="s">
        <v>5</v>
      </c>
      <c r="HR3" s="690" t="s">
        <v>5</v>
      </c>
      <c r="HS3" s="690" t="s">
        <v>5</v>
      </c>
      <c r="HT3" s="690" t="s">
        <v>5</v>
      </c>
      <c r="HU3" s="690" t="s">
        <v>5</v>
      </c>
      <c r="HV3" s="690" t="s">
        <v>9</v>
      </c>
      <c r="HW3" s="690" t="s">
        <v>8</v>
      </c>
      <c r="HX3" s="690" t="s">
        <v>11</v>
      </c>
      <c r="HY3" s="690" t="s">
        <v>16</v>
      </c>
      <c r="HZ3" s="690" t="s">
        <v>11</v>
      </c>
      <c r="IA3" s="690" t="s">
        <v>10</v>
      </c>
      <c r="IB3" s="690" t="s">
        <v>19</v>
      </c>
      <c r="IC3" s="690" t="s">
        <v>11</v>
      </c>
      <c r="ID3" s="690" t="s">
        <v>11</v>
      </c>
      <c r="IE3" s="690" t="s">
        <v>11</v>
      </c>
      <c r="IF3" s="690" t="s">
        <v>22</v>
      </c>
      <c r="IG3" s="690" t="s">
        <v>26</v>
      </c>
      <c r="IH3" s="690" t="s">
        <v>12</v>
      </c>
      <c r="II3" s="690" t="s">
        <v>12</v>
      </c>
      <c r="IJ3" s="690" t="s">
        <v>3</v>
      </c>
      <c r="IK3" s="690" t="s">
        <v>4</v>
      </c>
      <c r="IL3" s="690" t="s">
        <v>4</v>
      </c>
      <c r="IM3" s="690" t="s">
        <v>7</v>
      </c>
      <c r="IN3" s="690" t="s">
        <v>2</v>
      </c>
      <c r="IO3" s="690" t="s">
        <v>8</v>
      </c>
      <c r="IP3" s="690" t="s">
        <v>16</v>
      </c>
      <c r="IQ3" s="690" t="s">
        <v>2</v>
      </c>
      <c r="IR3" s="690" t="s">
        <v>16</v>
      </c>
      <c r="IS3" s="690" t="s">
        <v>11</v>
      </c>
      <c r="IT3" s="690" t="s">
        <v>11</v>
      </c>
      <c r="IU3" s="690" t="s">
        <v>24</v>
      </c>
      <c r="IV3" s="690" t="s">
        <v>18</v>
      </c>
      <c r="IW3" s="690" t="s">
        <v>2</v>
      </c>
      <c r="IX3" s="690" t="s">
        <v>9</v>
      </c>
      <c r="IY3" s="690" t="s">
        <v>4</v>
      </c>
      <c r="IZ3" s="690" t="s">
        <v>4</v>
      </c>
      <c r="JA3" s="690" t="s">
        <v>7</v>
      </c>
      <c r="JB3" s="690" t="s">
        <v>2</v>
      </c>
      <c r="JC3" s="690" t="s">
        <v>3</v>
      </c>
      <c r="JD3" s="690" t="s">
        <v>4</v>
      </c>
      <c r="JE3" s="690" t="s">
        <v>2</v>
      </c>
      <c r="JF3" s="690" t="s">
        <v>6</v>
      </c>
      <c r="JG3" s="690" t="s">
        <v>5</v>
      </c>
      <c r="JH3" s="690" t="s">
        <v>5</v>
      </c>
      <c r="JI3" s="690" t="s">
        <v>5</v>
      </c>
      <c r="JJ3" s="690" t="s">
        <v>5</v>
      </c>
      <c r="JK3" s="690" t="s">
        <v>5</v>
      </c>
      <c r="JL3" s="690" t="s">
        <v>5</v>
      </c>
      <c r="JM3" s="690" t="s">
        <v>5</v>
      </c>
      <c r="JN3" s="690" t="s">
        <v>5</v>
      </c>
      <c r="JO3" s="690" t="s">
        <v>9</v>
      </c>
      <c r="JP3" s="690" t="s">
        <v>8</v>
      </c>
      <c r="JQ3" s="690" t="s">
        <v>11</v>
      </c>
      <c r="JR3" s="690" t="s">
        <v>16</v>
      </c>
      <c r="JS3" s="690" t="s">
        <v>11</v>
      </c>
      <c r="JT3" s="690" t="s">
        <v>10</v>
      </c>
      <c r="JU3" s="690" t="s">
        <v>19</v>
      </c>
      <c r="JV3" s="690" t="s">
        <v>11</v>
      </c>
      <c r="JW3" s="690" t="s">
        <v>11</v>
      </c>
      <c r="JX3" s="690" t="s">
        <v>12</v>
      </c>
      <c r="JY3" s="690" t="s">
        <v>12</v>
      </c>
      <c r="JZ3" s="690" t="s">
        <v>13</v>
      </c>
      <c r="KA3" s="690" t="s">
        <v>3</v>
      </c>
      <c r="KB3" s="690" t="s">
        <v>4</v>
      </c>
      <c r="KC3" s="690" t="s">
        <v>4</v>
      </c>
      <c r="KD3" s="690" t="s">
        <v>7</v>
      </c>
      <c r="KE3" s="690" t="s">
        <v>15</v>
      </c>
      <c r="KF3" s="690" t="s">
        <v>2</v>
      </c>
      <c r="KG3" s="690" t="s">
        <v>6</v>
      </c>
      <c r="KH3" s="690" t="s">
        <v>5</v>
      </c>
      <c r="KI3" s="690" t="s">
        <v>10</v>
      </c>
      <c r="KJ3" s="690" t="s">
        <v>11</v>
      </c>
      <c r="KK3" s="690" t="s">
        <v>20</v>
      </c>
      <c r="KL3" s="690" t="s">
        <v>25</v>
      </c>
      <c r="KM3" s="690" t="s">
        <v>26</v>
      </c>
      <c r="KN3" s="690" t="s">
        <v>12</v>
      </c>
      <c r="KO3" s="690" t="s">
        <v>12</v>
      </c>
      <c r="KP3" s="690" t="s">
        <v>12</v>
      </c>
      <c r="KQ3" s="690" t="s">
        <v>2</v>
      </c>
      <c r="KR3" s="690" t="s">
        <v>6</v>
      </c>
      <c r="KS3" s="690" t="s">
        <v>19</v>
      </c>
      <c r="KT3" s="690" t="s">
        <v>22</v>
      </c>
      <c r="KU3" s="690" t="s">
        <v>17</v>
      </c>
      <c r="KV3" s="690" t="s">
        <v>12</v>
      </c>
      <c r="KW3" s="690" t="s">
        <v>25</v>
      </c>
      <c r="KX3" s="690" t="s">
        <v>12</v>
      </c>
      <c r="KY3" s="690" t="s">
        <v>12</v>
      </c>
      <c r="KZ3" s="690" t="s">
        <v>23</v>
      </c>
      <c r="LA3" s="690" t="s">
        <v>26</v>
      </c>
      <c r="LB3" s="690" t="s">
        <v>12</v>
      </c>
      <c r="LC3" s="690" t="s">
        <v>12</v>
      </c>
      <c r="LD3" s="690" t="s">
        <v>12</v>
      </c>
      <c r="LE3" s="690" t="s">
        <v>12</v>
      </c>
      <c r="LF3" s="690" t="s">
        <v>12</v>
      </c>
      <c r="LG3" s="690" t="s">
        <v>12</v>
      </c>
      <c r="LH3" s="690" t="s">
        <v>12</v>
      </c>
      <c r="LI3" s="690" t="s">
        <v>12</v>
      </c>
      <c r="LJ3" s="690" t="s">
        <v>12</v>
      </c>
      <c r="LK3" s="690" t="s">
        <v>12</v>
      </c>
      <c r="LL3" s="690" t="s">
        <v>12</v>
      </c>
      <c r="LM3" s="690" t="s">
        <v>13</v>
      </c>
      <c r="LN3" s="690" t="s">
        <v>3</v>
      </c>
      <c r="LO3" s="690" t="s">
        <v>4</v>
      </c>
      <c r="LP3" s="690" t="s">
        <v>19</v>
      </c>
      <c r="LQ3" s="690" t="s">
        <v>20</v>
      </c>
      <c r="LR3" s="690" t="s">
        <v>21</v>
      </c>
      <c r="LS3" s="690" t="s">
        <v>12</v>
      </c>
      <c r="LT3" s="690" t="s">
        <v>27</v>
      </c>
      <c r="LU3" s="690" t="s">
        <v>22</v>
      </c>
      <c r="LV3" s="690" t="s">
        <v>17</v>
      </c>
      <c r="LW3" s="690" t="s">
        <v>25</v>
      </c>
      <c r="LX3" s="690" t="s">
        <v>23</v>
      </c>
      <c r="LY3" s="690" t="s">
        <v>26</v>
      </c>
      <c r="LZ3" s="690" t="s">
        <v>18</v>
      </c>
      <c r="MA3" s="690" t="s">
        <v>12</v>
      </c>
      <c r="MB3" s="690" t="s">
        <v>2</v>
      </c>
      <c r="MC3" s="690" t="s">
        <v>10</v>
      </c>
      <c r="MD3" s="690" t="s">
        <v>20</v>
      </c>
      <c r="ME3" s="690" t="s">
        <v>21</v>
      </c>
      <c r="MF3" s="690" t="s">
        <v>12</v>
      </c>
      <c r="MG3" s="690" t="s">
        <v>25</v>
      </c>
      <c r="MH3" s="690" t="s">
        <v>24</v>
      </c>
      <c r="MI3" s="690" t="s">
        <v>23</v>
      </c>
      <c r="MJ3" s="690" t="s">
        <v>26</v>
      </c>
      <c r="MK3" s="690" t="s">
        <v>18</v>
      </c>
      <c r="ML3" s="690" t="s">
        <v>2</v>
      </c>
      <c r="MM3" s="690" t="s">
        <v>16</v>
      </c>
      <c r="MN3" s="690" t="s">
        <v>25</v>
      </c>
      <c r="MO3" s="690" t="s">
        <v>24</v>
      </c>
      <c r="MP3" s="690" t="s">
        <v>20</v>
      </c>
      <c r="MQ3" s="690" t="s">
        <v>25</v>
      </c>
      <c r="MR3" s="690" t="s">
        <v>13</v>
      </c>
      <c r="MS3" s="690" t="s">
        <v>2</v>
      </c>
      <c r="MT3" s="690" t="s">
        <v>16</v>
      </c>
      <c r="MU3" s="690" t="s">
        <v>20</v>
      </c>
      <c r="MV3" s="690" t="s">
        <v>21</v>
      </c>
      <c r="MW3" s="690" t="s">
        <v>22</v>
      </c>
      <c r="MX3" s="690" t="s">
        <v>17</v>
      </c>
      <c r="MY3" s="690" t="s">
        <v>25</v>
      </c>
      <c r="MZ3" s="690" t="s">
        <v>26</v>
      </c>
      <c r="NA3" s="690" t="s">
        <v>2</v>
      </c>
      <c r="NB3" s="690" t="s">
        <v>6</v>
      </c>
      <c r="NC3" s="690" t="s">
        <v>5</v>
      </c>
      <c r="ND3" s="690" t="s">
        <v>5</v>
      </c>
      <c r="NE3" s="690" t="s">
        <v>5</v>
      </c>
      <c r="NF3" s="690" t="s">
        <v>5</v>
      </c>
      <c r="NG3" s="690" t="s">
        <v>5</v>
      </c>
      <c r="NH3" s="690" t="s">
        <v>5</v>
      </c>
      <c r="NI3" s="690" t="s">
        <v>11</v>
      </c>
      <c r="NJ3" s="690" t="s">
        <v>10</v>
      </c>
      <c r="NK3" s="690" t="s">
        <v>19</v>
      </c>
      <c r="NL3" s="690" t="s">
        <v>11</v>
      </c>
      <c r="NM3" s="690" t="s">
        <v>20</v>
      </c>
      <c r="NN3" s="690" t="s">
        <v>27</v>
      </c>
      <c r="NO3" s="690" t="s">
        <v>12</v>
      </c>
      <c r="NP3" s="690" t="s">
        <v>17</v>
      </c>
      <c r="NQ3" s="690" t="s">
        <v>25</v>
      </c>
      <c r="NR3" s="690" t="s">
        <v>24</v>
      </c>
      <c r="NS3" s="690" t="s">
        <v>12</v>
      </c>
      <c r="NT3" s="690" t="s">
        <v>12</v>
      </c>
      <c r="NU3" s="690" t="s">
        <v>23</v>
      </c>
      <c r="NV3" s="690" t="s">
        <v>26</v>
      </c>
      <c r="NW3" s="690" t="s">
        <v>12</v>
      </c>
      <c r="NX3" s="690" t="s">
        <v>18</v>
      </c>
      <c r="NY3" s="690" t="s">
        <v>12</v>
      </c>
      <c r="NZ3" s="690" t="s">
        <v>12</v>
      </c>
      <c r="OA3" s="690" t="s">
        <v>12</v>
      </c>
      <c r="OB3" s="690" t="s">
        <v>12</v>
      </c>
      <c r="OC3" s="690" t="s">
        <v>12</v>
      </c>
      <c r="OD3" s="690" t="s">
        <v>12</v>
      </c>
      <c r="OE3" s="690" t="s">
        <v>12</v>
      </c>
      <c r="OF3" s="690" t="s">
        <v>12</v>
      </c>
      <c r="OG3" s="690" t="s">
        <v>12</v>
      </c>
      <c r="OH3" s="690" t="s">
        <v>12</v>
      </c>
      <c r="OI3" s="690" t="s">
        <v>12</v>
      </c>
      <c r="OJ3" s="690" t="s">
        <v>12</v>
      </c>
      <c r="OK3" s="690" t="s">
        <v>13</v>
      </c>
      <c r="OL3" s="690" t="s">
        <v>3</v>
      </c>
      <c r="OM3" s="690" t="s">
        <v>15</v>
      </c>
      <c r="ON3" s="690" t="s">
        <v>2</v>
      </c>
      <c r="OO3" s="690" t="s">
        <v>12</v>
      </c>
      <c r="OP3" s="690" t="s">
        <v>12</v>
      </c>
      <c r="OQ3" s="690" t="s">
        <v>12</v>
      </c>
      <c r="OR3" s="690" t="s">
        <v>2</v>
      </c>
      <c r="OS3" s="690" t="s">
        <v>10</v>
      </c>
      <c r="OT3" s="690" t="s">
        <v>3</v>
      </c>
      <c r="OU3" s="690" t="s">
        <v>14</v>
      </c>
      <c r="OV3" s="690" t="s">
        <v>4</v>
      </c>
      <c r="OW3" s="690" t="s">
        <v>4</v>
      </c>
      <c r="OX3" s="690" t="s">
        <v>2</v>
      </c>
      <c r="OY3" s="690" t="s">
        <v>5</v>
      </c>
      <c r="OZ3" s="690" t="s">
        <v>5</v>
      </c>
      <c r="PA3" s="690" t="s">
        <v>13</v>
      </c>
      <c r="PB3" s="690" t="s">
        <v>14</v>
      </c>
      <c r="PC3" s="690" t="s">
        <v>4</v>
      </c>
      <c r="PD3" s="690" t="s">
        <v>4</v>
      </c>
      <c r="PE3" s="690" t="s">
        <v>4</v>
      </c>
      <c r="PF3" s="690" t="e">
        <v>#N/A</v>
      </c>
      <c r="PG3" s="690" t="e">
        <v>#N/A</v>
      </c>
      <c r="PH3" s="690" t="s">
        <v>2</v>
      </c>
      <c r="PI3" s="690" t="s">
        <v>6</v>
      </c>
      <c r="PJ3" s="690" t="s">
        <v>5</v>
      </c>
      <c r="PK3" s="690" t="s">
        <v>5</v>
      </c>
      <c r="PL3" s="690" t="s">
        <v>5</v>
      </c>
      <c r="PM3" s="690" t="s">
        <v>5</v>
      </c>
      <c r="PN3" s="690" t="s">
        <v>5</v>
      </c>
      <c r="PO3" s="690" t="s">
        <v>5</v>
      </c>
      <c r="PP3" s="690" t="s">
        <v>5</v>
      </c>
      <c r="PQ3" s="690" t="s">
        <v>5</v>
      </c>
      <c r="PR3" s="690" t="s">
        <v>5</v>
      </c>
      <c r="PS3" s="690" t="s">
        <v>5</v>
      </c>
      <c r="PT3" s="690" t="s">
        <v>9</v>
      </c>
      <c r="PU3" s="690" t="s">
        <v>8</v>
      </c>
      <c r="PV3" s="690" t="s">
        <v>16</v>
      </c>
      <c r="PW3" s="690" t="s">
        <v>10</v>
      </c>
      <c r="PX3" s="690" t="s">
        <v>19</v>
      </c>
      <c r="PY3" s="690" t="s">
        <v>11</v>
      </c>
      <c r="PZ3" s="690" t="s">
        <v>11</v>
      </c>
      <c r="QA3" s="690" t="s">
        <v>11</v>
      </c>
      <c r="QB3" s="690" t="s">
        <v>20</v>
      </c>
      <c r="QC3" s="690" t="s">
        <v>21</v>
      </c>
      <c r="QD3" s="690" t="s">
        <v>22</v>
      </c>
      <c r="QE3" s="690" t="s">
        <v>17</v>
      </c>
      <c r="QF3" s="690" t="s">
        <v>25</v>
      </c>
      <c r="QG3" s="690" t="s">
        <v>24</v>
      </c>
      <c r="QH3" s="690" t="s">
        <v>12</v>
      </c>
      <c r="QI3" s="690" t="s">
        <v>12</v>
      </c>
      <c r="QJ3" s="690" t="s">
        <v>23</v>
      </c>
      <c r="QK3" s="690" t="s">
        <v>26</v>
      </c>
      <c r="QL3" s="690" t="s">
        <v>12</v>
      </c>
      <c r="QM3" s="690" t="s">
        <v>18</v>
      </c>
      <c r="QN3" s="690" t="s">
        <v>12</v>
      </c>
      <c r="QO3" s="690" t="s">
        <v>12</v>
      </c>
      <c r="QP3" s="690" t="s">
        <v>12</v>
      </c>
      <c r="QQ3" s="690" t="s">
        <v>12</v>
      </c>
      <c r="QR3" s="690" t="s">
        <v>12</v>
      </c>
      <c r="QS3" s="690" t="s">
        <v>13</v>
      </c>
      <c r="QT3" s="690" t="s">
        <v>3</v>
      </c>
      <c r="QU3" s="690" t="s">
        <v>14</v>
      </c>
      <c r="QV3" s="690" t="s">
        <v>4</v>
      </c>
      <c r="QW3" s="690" t="s">
        <v>4</v>
      </c>
      <c r="QX3" s="690" t="s">
        <v>4</v>
      </c>
      <c r="QY3" s="690" t="s">
        <v>7</v>
      </c>
      <c r="QZ3" s="690" t="e">
        <v>#N/A</v>
      </c>
      <c r="RA3" s="690" t="s">
        <v>15</v>
      </c>
      <c r="RB3" s="690" t="e">
        <v>#N/A</v>
      </c>
      <c r="RC3" s="538"/>
      <c r="RD3" s="539"/>
      <c r="RF3" s="725" t="s">
        <v>263</v>
      </c>
      <c r="RG3" s="541" t="s">
        <v>92</v>
      </c>
      <c r="RH3" s="541" t="s">
        <v>93</v>
      </c>
      <c r="RI3" s="541" t="s">
        <v>61</v>
      </c>
      <c r="RJ3" s="542" t="s">
        <v>62</v>
      </c>
      <c r="RK3" s="541" t="s">
        <v>63</v>
      </c>
      <c r="RL3" s="541" t="s">
        <v>94</v>
      </c>
      <c r="RM3" s="541" t="s">
        <v>65</v>
      </c>
      <c r="RN3" s="541" t="s">
        <v>66</v>
      </c>
      <c r="RO3" s="541" t="s">
        <v>67</v>
      </c>
      <c r="RP3" s="541" t="s">
        <v>68</v>
      </c>
      <c r="RQ3" s="541" t="s">
        <v>69</v>
      </c>
      <c r="RR3" s="541" t="s">
        <v>70</v>
      </c>
      <c r="RS3" s="541"/>
      <c r="RT3" s="543"/>
      <c r="RU3" s="541"/>
      <c r="RV3" s="986" t="s">
        <v>1499</v>
      </c>
      <c r="RW3" s="986"/>
      <c r="RX3" s="986"/>
      <c r="RY3" s="986"/>
      <c r="RZ3" s="541"/>
      <c r="SA3" s="543"/>
      <c r="SB3" s="541"/>
      <c r="SC3" s="851"/>
      <c r="SD3" s="541"/>
      <c r="SE3" s="541"/>
      <c r="SF3" s="632"/>
      <c r="SG3" s="632"/>
      <c r="SI3" s="541"/>
      <c r="SJ3" s="538"/>
      <c r="SK3" s="539"/>
      <c r="SL3" s="538"/>
      <c r="SM3" s="981" t="s">
        <v>271</v>
      </c>
      <c r="SN3" s="981"/>
      <c r="SO3" s="981"/>
      <c r="SP3" s="981"/>
      <c r="SR3" s="544"/>
      <c r="SS3" s="545"/>
      <c r="ST3" s="642" t="s">
        <v>1205</v>
      </c>
      <c r="SU3" s="980" t="s">
        <v>1204</v>
      </c>
      <c r="SV3" s="980"/>
      <c r="SW3" s="979" t="s">
        <v>1203</v>
      </c>
      <c r="SX3" s="979"/>
      <c r="SY3" s="984" t="s">
        <v>1201</v>
      </c>
      <c r="SZ3" s="984"/>
      <c r="TA3" s="984"/>
      <c r="TB3" s="984"/>
      <c r="TC3" s="984"/>
      <c r="TD3" s="984"/>
      <c r="TE3" s="981" t="s">
        <v>466</v>
      </c>
      <c r="TF3" s="981"/>
      <c r="TG3" s="981"/>
      <c r="TH3" s="981"/>
      <c r="TI3" s="981"/>
      <c r="TJ3" s="981"/>
      <c r="TK3" s="981"/>
      <c r="TL3" s="985" t="s">
        <v>467</v>
      </c>
      <c r="TM3" s="985"/>
      <c r="TN3" s="985" t="s">
        <v>468</v>
      </c>
      <c r="TO3" s="985"/>
      <c r="TP3" s="981" t="s">
        <v>1234</v>
      </c>
      <c r="TQ3" s="981"/>
      <c r="TR3" s="546"/>
      <c r="TS3" s="547"/>
      <c r="TT3" s="546"/>
      <c r="TU3" s="981" t="s">
        <v>1237</v>
      </c>
      <c r="TV3" s="981"/>
      <c r="TW3" s="687" t="s">
        <v>1308</v>
      </c>
      <c r="TX3" s="548"/>
      <c r="TY3" s="549"/>
      <c r="TZ3" s="989" t="s">
        <v>1238</v>
      </c>
      <c r="UA3" s="989"/>
      <c r="UB3" s="687" t="s">
        <v>1309</v>
      </c>
      <c r="UC3" s="548"/>
      <c r="UD3" s="549"/>
      <c r="UG3" s="544"/>
      <c r="UI3" s="994">
        <f>IF('1. Simulator Input'!E46="Add",(SUM(UI10:UK163)+'1. Simulator Input'!E47),IF('1. Simulator Input'!E46="subtract",(SUM(UI10:UK163)-'1. Simulator Input'!E47),(SUM(UI10:UK163))))</f>
        <v>1552325077</v>
      </c>
      <c r="UJ3" s="995"/>
      <c r="UK3" s="996"/>
      <c r="UL3" s="864"/>
      <c r="UM3" s="861"/>
      <c r="UN3" s="864"/>
      <c r="UO3" s="992">
        <f>UI3-SUM(UO10:VC163)</f>
        <v>46810</v>
      </c>
      <c r="UP3" s="993"/>
      <c r="VF3" s="544"/>
      <c r="VJ3" s="879">
        <f>VJ5+VH5+UO3</f>
        <v>1552325077</v>
      </c>
      <c r="VK3" s="880">
        <f>VK5+VH5+UO3</f>
        <v>1552325077</v>
      </c>
      <c r="VM3" s="544"/>
      <c r="VO3" s="987" t="s">
        <v>2816</v>
      </c>
      <c r="VP3" s="987"/>
      <c r="VQ3" s="987"/>
      <c r="VR3" s="987"/>
      <c r="VS3" s="987"/>
      <c r="VT3" s="987"/>
      <c r="VU3" s="987"/>
      <c r="VW3" s="544"/>
      <c r="VZ3" s="923"/>
      <c r="WA3" s="923" t="s">
        <v>2816</v>
      </c>
      <c r="WB3" s="924"/>
      <c r="WD3" s="544"/>
      <c r="WE3" s="887"/>
      <c r="WF3" s="923"/>
      <c r="WG3" s="923"/>
      <c r="WH3" s="887"/>
      <c r="WI3" s="887"/>
      <c r="WJ3" s="887"/>
      <c r="WL3" s="887"/>
      <c r="WN3" s="887"/>
      <c r="WO3" s="887"/>
      <c r="WP3" s="544"/>
      <c r="WQ3" s="887"/>
      <c r="WZ3" s="571">
        <f>SUM(WX5:WY5)</f>
        <v>1552278267</v>
      </c>
      <c r="XC3" s="571">
        <f>SUM(XA5:XB5)</f>
        <v>582406598</v>
      </c>
      <c r="XD3" s="540">
        <f>XD5/ST5</f>
        <v>0</v>
      </c>
      <c r="XG3" s="582">
        <f>XD3/ST5</f>
        <v>0</v>
      </c>
      <c r="XK3" s="841">
        <f>XD5/XK4</f>
        <v>0</v>
      </c>
      <c r="XL3" s="540" t="s">
        <v>2772</v>
      </c>
      <c r="XP3" s="984" t="s">
        <v>1327</v>
      </c>
      <c r="XQ3" s="984"/>
      <c r="XR3" s="984"/>
      <c r="XS3" s="984"/>
      <c r="XT3" s="984"/>
      <c r="XU3" s="984"/>
      <c r="XV3" s="984"/>
      <c r="XW3" s="984"/>
      <c r="XX3" s="984"/>
      <c r="XY3" s="984"/>
      <c r="XZ3" s="984"/>
      <c r="YA3" s="984"/>
      <c r="YB3" s="527"/>
      <c r="YC3" s="532"/>
      <c r="YD3" s="527"/>
      <c r="YE3" s="984" t="s">
        <v>2791</v>
      </c>
      <c r="YF3" s="984"/>
      <c r="YG3" s="984"/>
      <c r="YH3" s="984"/>
      <c r="YJ3" s="544"/>
    </row>
    <row r="4" spans="1:660" s="540" customFormat="1" ht="60.75" customHeight="1" thickBot="1">
      <c r="A4" s="526"/>
      <c r="B4" s="54" t="s">
        <v>28</v>
      </c>
      <c r="C4" s="689">
        <v>411100</v>
      </c>
      <c r="D4" s="689">
        <v>411100</v>
      </c>
      <c r="E4" s="689">
        <v>411100</v>
      </c>
      <c r="F4" s="689">
        <v>411100</v>
      </c>
      <c r="G4" s="689">
        <v>411200</v>
      </c>
      <c r="H4" s="689">
        <v>411200</v>
      </c>
      <c r="I4" s="689">
        <v>411300</v>
      </c>
      <c r="J4" s="689">
        <v>411400</v>
      </c>
      <c r="K4" s="689">
        <v>411500</v>
      </c>
      <c r="L4" s="689">
        <v>411600</v>
      </c>
      <c r="M4" s="689">
        <v>411700</v>
      </c>
      <c r="N4" s="689">
        <v>411900</v>
      </c>
      <c r="O4" s="689">
        <v>411900</v>
      </c>
      <c r="P4" s="689">
        <v>412100</v>
      </c>
      <c r="Q4" s="689">
        <v>412100</v>
      </c>
      <c r="R4" s="689">
        <v>412100</v>
      </c>
      <c r="S4" s="689">
        <v>412100</v>
      </c>
      <c r="T4" s="689">
        <v>412100</v>
      </c>
      <c r="U4" s="689">
        <v>412100</v>
      </c>
      <c r="V4" s="689">
        <v>412100</v>
      </c>
      <c r="W4" s="689">
        <v>412500</v>
      </c>
      <c r="X4" s="689">
        <v>412500</v>
      </c>
      <c r="Y4" s="689">
        <v>413000</v>
      </c>
      <c r="Z4" s="689">
        <v>413000</v>
      </c>
      <c r="AA4" s="689">
        <v>413000</v>
      </c>
      <c r="AB4" s="689">
        <v>413000</v>
      </c>
      <c r="AC4" s="689">
        <v>413000</v>
      </c>
      <c r="AD4" s="689">
        <v>414100</v>
      </c>
      <c r="AE4" s="689">
        <v>414100</v>
      </c>
      <c r="AF4" s="689">
        <v>414100</v>
      </c>
      <c r="AG4" s="689">
        <v>414100</v>
      </c>
      <c r="AH4" s="689">
        <v>414100</v>
      </c>
      <c r="AI4" s="689">
        <v>414100</v>
      </c>
      <c r="AJ4" s="689">
        <v>414200</v>
      </c>
      <c r="AK4" s="689">
        <v>414300</v>
      </c>
      <c r="AL4" s="689">
        <v>415000</v>
      </c>
      <c r="AM4" s="689">
        <v>415000</v>
      </c>
      <c r="AN4" s="689">
        <v>415000</v>
      </c>
      <c r="AO4" s="689">
        <v>415000</v>
      </c>
      <c r="AP4" s="689">
        <v>415000</v>
      </c>
      <c r="AQ4" s="689">
        <v>415000</v>
      </c>
      <c r="AR4" s="689">
        <v>415000</v>
      </c>
      <c r="AS4" s="689">
        <v>415000</v>
      </c>
      <c r="AT4" s="689">
        <v>415000</v>
      </c>
      <c r="AU4" s="689">
        <v>415000</v>
      </c>
      <c r="AV4" s="689">
        <v>415000</v>
      </c>
      <c r="AW4" s="689">
        <v>415000</v>
      </c>
      <c r="AX4" s="689">
        <v>415000</v>
      </c>
      <c r="AY4" s="689">
        <v>415000</v>
      </c>
      <c r="AZ4" s="689">
        <v>415000</v>
      </c>
      <c r="BA4" s="689">
        <v>415000</v>
      </c>
      <c r="BB4" s="689">
        <v>415000</v>
      </c>
      <c r="BC4" s="689">
        <v>415000</v>
      </c>
      <c r="BD4" s="689">
        <v>415000</v>
      </c>
      <c r="BE4" s="689">
        <v>415000</v>
      </c>
      <c r="BF4" s="689">
        <v>415000</v>
      </c>
      <c r="BG4" s="689">
        <v>415000</v>
      </c>
      <c r="BH4" s="689">
        <v>415000</v>
      </c>
      <c r="BI4" s="689">
        <v>415000</v>
      </c>
      <c r="BJ4" s="689">
        <v>415000</v>
      </c>
      <c r="BK4" s="689">
        <v>415000</v>
      </c>
      <c r="BL4" s="689">
        <v>415000</v>
      </c>
      <c r="BM4" s="689">
        <v>415000</v>
      </c>
      <c r="BN4" s="689">
        <v>415000</v>
      </c>
      <c r="BO4" s="689">
        <v>415000</v>
      </c>
      <c r="BP4" s="689">
        <v>415000</v>
      </c>
      <c r="BQ4" s="689">
        <v>415000</v>
      </c>
      <c r="BR4" s="689">
        <v>415000</v>
      </c>
      <c r="BS4" s="689">
        <v>415000</v>
      </c>
      <c r="BT4" s="689">
        <v>415000</v>
      </c>
      <c r="BU4" s="689">
        <v>415000</v>
      </c>
      <c r="BV4" s="689">
        <v>415000</v>
      </c>
      <c r="BW4" s="689">
        <v>415000</v>
      </c>
      <c r="BX4" s="689">
        <v>415000</v>
      </c>
      <c r="BY4" s="689">
        <v>415000</v>
      </c>
      <c r="BZ4" s="689">
        <v>415000</v>
      </c>
      <c r="CA4" s="689">
        <v>415000</v>
      </c>
      <c r="CB4" s="689">
        <v>416100</v>
      </c>
      <c r="CC4" s="689">
        <v>416100</v>
      </c>
      <c r="CD4" s="689">
        <v>416100</v>
      </c>
      <c r="CE4" s="689">
        <v>416200</v>
      </c>
      <c r="CF4" s="689">
        <v>416900</v>
      </c>
      <c r="CG4" s="689">
        <v>416900</v>
      </c>
      <c r="CH4" s="689">
        <v>416900</v>
      </c>
      <c r="CI4" s="689">
        <v>417100</v>
      </c>
      <c r="CJ4" s="689">
        <v>417100</v>
      </c>
      <c r="CK4" s="689">
        <v>417100</v>
      </c>
      <c r="CL4" s="689">
        <v>417100</v>
      </c>
      <c r="CM4" s="689">
        <v>417100</v>
      </c>
      <c r="CN4" s="689">
        <v>417100</v>
      </c>
      <c r="CO4" s="689">
        <v>417100</v>
      </c>
      <c r="CP4" s="689">
        <v>417200</v>
      </c>
      <c r="CQ4" s="689">
        <v>417300</v>
      </c>
      <c r="CR4" s="689">
        <v>417300</v>
      </c>
      <c r="CS4" s="689">
        <v>417400</v>
      </c>
      <c r="CT4" s="689">
        <v>417400</v>
      </c>
      <c r="CU4" s="689">
        <v>417400</v>
      </c>
      <c r="CV4" s="689">
        <v>417400</v>
      </c>
      <c r="CW4" s="689">
        <v>417400</v>
      </c>
      <c r="CX4" s="689">
        <v>417400</v>
      </c>
      <c r="CY4" s="689">
        <v>417400</v>
      </c>
      <c r="CZ4" s="689">
        <v>417400</v>
      </c>
      <c r="DA4" s="689">
        <v>417400</v>
      </c>
      <c r="DB4" s="689">
        <v>417400</v>
      </c>
      <c r="DC4" s="689">
        <v>417400</v>
      </c>
      <c r="DD4" s="689">
        <v>417900</v>
      </c>
      <c r="DE4" s="689">
        <v>417900</v>
      </c>
      <c r="DF4" s="689">
        <v>417900</v>
      </c>
      <c r="DG4" s="689">
        <v>417900</v>
      </c>
      <c r="DH4" s="689">
        <v>417900</v>
      </c>
      <c r="DI4" s="689">
        <v>417900</v>
      </c>
      <c r="DJ4" s="689">
        <v>417900</v>
      </c>
      <c r="DK4" s="689">
        <v>417900</v>
      </c>
      <c r="DL4" s="689">
        <v>417900</v>
      </c>
      <c r="DM4" s="689">
        <v>417900</v>
      </c>
      <c r="DN4" s="689">
        <v>418100</v>
      </c>
      <c r="DO4" s="689">
        <v>418100</v>
      </c>
      <c r="DP4" s="689">
        <v>418100</v>
      </c>
      <c r="DQ4" s="689">
        <v>418100</v>
      </c>
      <c r="DR4" s="689">
        <v>418100</v>
      </c>
      <c r="DS4" s="689">
        <v>418100</v>
      </c>
      <c r="DT4" s="689">
        <v>418100</v>
      </c>
      <c r="DU4" s="689">
        <v>419100</v>
      </c>
      <c r="DV4" s="689">
        <v>419100</v>
      </c>
      <c r="DW4" s="689">
        <v>419100</v>
      </c>
      <c r="DX4" s="689">
        <v>419100</v>
      </c>
      <c r="DY4" s="689">
        <v>419100</v>
      </c>
      <c r="DZ4" s="689">
        <v>419100</v>
      </c>
      <c r="EA4" s="689">
        <v>419100</v>
      </c>
      <c r="EB4" s="689">
        <v>419100</v>
      </c>
      <c r="EC4" s="689">
        <v>419100</v>
      </c>
      <c r="ED4" s="689">
        <v>419100</v>
      </c>
      <c r="EE4" s="689">
        <v>419100</v>
      </c>
      <c r="EF4" s="689">
        <v>419100</v>
      </c>
      <c r="EG4" s="689">
        <v>419200</v>
      </c>
      <c r="EH4" s="689">
        <v>419200</v>
      </c>
      <c r="EI4" s="689">
        <v>419200</v>
      </c>
      <c r="EJ4" s="689">
        <v>419200</v>
      </c>
      <c r="EK4" s="689">
        <v>419200</v>
      </c>
      <c r="EL4" s="689">
        <v>419200</v>
      </c>
      <c r="EM4" s="689">
        <v>419200</v>
      </c>
      <c r="EN4" s="689">
        <v>419200</v>
      </c>
      <c r="EO4" s="689">
        <v>419200</v>
      </c>
      <c r="EP4" s="689">
        <v>419200</v>
      </c>
      <c r="EQ4" s="689">
        <v>419200</v>
      </c>
      <c r="ER4" s="689">
        <v>419200</v>
      </c>
      <c r="ES4" s="689">
        <v>419200</v>
      </c>
      <c r="ET4" s="689">
        <v>419200</v>
      </c>
      <c r="EU4" s="689">
        <v>419200</v>
      </c>
      <c r="EV4" s="689">
        <v>419200</v>
      </c>
      <c r="EW4" s="689">
        <v>419200</v>
      </c>
      <c r="EX4" s="689">
        <v>419200</v>
      </c>
      <c r="EY4" s="689">
        <v>419200</v>
      </c>
      <c r="EZ4" s="689">
        <v>419200</v>
      </c>
      <c r="FA4" s="689">
        <v>419200</v>
      </c>
      <c r="FB4" s="689">
        <v>419200</v>
      </c>
      <c r="FC4" s="689">
        <v>419200</v>
      </c>
      <c r="FD4" s="689">
        <v>419200</v>
      </c>
      <c r="FE4" s="689">
        <v>419200</v>
      </c>
      <c r="FF4" s="689">
        <v>419200</v>
      </c>
      <c r="FG4" s="689">
        <v>419200</v>
      </c>
      <c r="FH4" s="689">
        <v>419200</v>
      </c>
      <c r="FI4" s="689">
        <v>419200</v>
      </c>
      <c r="FJ4" s="689">
        <v>419200</v>
      </c>
      <c r="FK4" s="689">
        <v>419200</v>
      </c>
      <c r="FL4" s="689">
        <v>419300</v>
      </c>
      <c r="FM4" s="689">
        <v>419300</v>
      </c>
      <c r="FN4" s="689">
        <v>419300</v>
      </c>
      <c r="FO4" s="689">
        <v>419300</v>
      </c>
      <c r="FP4" s="689">
        <v>419300</v>
      </c>
      <c r="FQ4" s="689">
        <v>419300</v>
      </c>
      <c r="FR4" s="689">
        <v>419300</v>
      </c>
      <c r="FS4" s="689">
        <v>419900</v>
      </c>
      <c r="FT4" s="689">
        <v>419900</v>
      </c>
      <c r="FU4" s="689">
        <v>419900</v>
      </c>
      <c r="FV4" s="689">
        <v>419900</v>
      </c>
      <c r="FW4" s="689">
        <v>419900</v>
      </c>
      <c r="FX4" s="689">
        <v>419900</v>
      </c>
      <c r="FY4" s="689">
        <v>419900</v>
      </c>
      <c r="FZ4" s="689">
        <v>419900</v>
      </c>
      <c r="GA4" s="689">
        <v>419900</v>
      </c>
      <c r="GB4" s="689">
        <v>419900</v>
      </c>
      <c r="GC4" s="689">
        <v>419900</v>
      </c>
      <c r="GD4" s="689">
        <v>419900</v>
      </c>
      <c r="GE4" s="689">
        <v>419900</v>
      </c>
      <c r="GF4" s="689">
        <v>419900</v>
      </c>
      <c r="GG4" s="689">
        <v>419900</v>
      </c>
      <c r="GH4" s="689">
        <v>419900</v>
      </c>
      <c r="GI4" s="689">
        <v>419900</v>
      </c>
      <c r="GJ4" s="689">
        <v>419900</v>
      </c>
      <c r="GK4" s="689">
        <v>419900</v>
      </c>
      <c r="GL4" s="689">
        <v>419900</v>
      </c>
      <c r="GM4" s="689">
        <v>419900</v>
      </c>
      <c r="GN4" s="689">
        <v>419900</v>
      </c>
      <c r="GO4" s="689">
        <v>419900</v>
      </c>
      <c r="GP4" s="689">
        <v>419900</v>
      </c>
      <c r="GQ4" s="689">
        <v>419900</v>
      </c>
      <c r="GR4" s="689">
        <v>419900</v>
      </c>
      <c r="GS4" s="689">
        <v>419900</v>
      </c>
      <c r="GT4" s="689">
        <v>419900</v>
      </c>
      <c r="GU4" s="689">
        <v>419900</v>
      </c>
      <c r="GV4" s="689">
        <v>419900</v>
      </c>
      <c r="GW4" s="689">
        <v>419900</v>
      </c>
      <c r="GX4" s="689">
        <v>419900</v>
      </c>
      <c r="GY4" s="689">
        <v>419900</v>
      </c>
      <c r="GZ4" s="689">
        <v>419900</v>
      </c>
      <c r="HA4" s="689">
        <v>419900</v>
      </c>
      <c r="HB4" s="689">
        <v>419900</v>
      </c>
      <c r="HC4" s="689">
        <v>429000</v>
      </c>
      <c r="HD4" s="689">
        <v>431100</v>
      </c>
      <c r="HE4" s="689">
        <v>431100</v>
      </c>
      <c r="HF4" s="689">
        <v>431100</v>
      </c>
      <c r="HG4" s="689">
        <v>431100</v>
      </c>
      <c r="HH4" s="689">
        <v>431100</v>
      </c>
      <c r="HI4" s="689">
        <v>431200</v>
      </c>
      <c r="HJ4" s="689">
        <v>431200</v>
      </c>
      <c r="HK4" s="689">
        <v>431200</v>
      </c>
      <c r="HL4" s="689">
        <v>431400</v>
      </c>
      <c r="HM4" s="689">
        <v>431500</v>
      </c>
      <c r="HN4" s="689">
        <v>431600</v>
      </c>
      <c r="HO4" s="689">
        <v>431800</v>
      </c>
      <c r="HP4" s="689">
        <v>431900</v>
      </c>
      <c r="HQ4" s="689">
        <v>431900</v>
      </c>
      <c r="HR4" s="689">
        <v>431900</v>
      </c>
      <c r="HS4" s="689">
        <v>431900</v>
      </c>
      <c r="HT4" s="689">
        <v>431900</v>
      </c>
      <c r="HU4" s="689">
        <v>431900</v>
      </c>
      <c r="HV4" s="689">
        <v>431900</v>
      </c>
      <c r="HW4" s="689">
        <v>431900</v>
      </c>
      <c r="HX4" s="689">
        <v>431900</v>
      </c>
      <c r="HY4" s="689">
        <v>431900</v>
      </c>
      <c r="HZ4" s="689">
        <v>431900</v>
      </c>
      <c r="IA4" s="689">
        <v>431900</v>
      </c>
      <c r="IB4" s="689">
        <v>431900</v>
      </c>
      <c r="IC4" s="689">
        <v>431900</v>
      </c>
      <c r="ID4" s="689">
        <v>431900</v>
      </c>
      <c r="IE4" s="689">
        <v>431900</v>
      </c>
      <c r="IF4" s="689">
        <v>431900</v>
      </c>
      <c r="IG4" s="689">
        <v>431900</v>
      </c>
      <c r="IH4" s="689">
        <v>431900</v>
      </c>
      <c r="II4" s="689">
        <v>431900</v>
      </c>
      <c r="IJ4" s="689">
        <v>431900</v>
      </c>
      <c r="IK4" s="689">
        <v>431900</v>
      </c>
      <c r="IL4" s="689">
        <v>431900</v>
      </c>
      <c r="IM4" s="689">
        <v>431900</v>
      </c>
      <c r="IN4" s="689">
        <v>432100</v>
      </c>
      <c r="IO4" s="689">
        <v>432100</v>
      </c>
      <c r="IP4" s="689">
        <v>432100</v>
      </c>
      <c r="IQ4" s="689">
        <v>432400</v>
      </c>
      <c r="IR4" s="689">
        <v>432400</v>
      </c>
      <c r="IS4" s="689">
        <v>432400</v>
      </c>
      <c r="IT4" s="689">
        <v>432400</v>
      </c>
      <c r="IU4" s="689">
        <v>432400</v>
      </c>
      <c r="IV4" s="689">
        <v>432400</v>
      </c>
      <c r="IW4" s="689">
        <v>437000</v>
      </c>
      <c r="IX4" s="689">
        <v>437000</v>
      </c>
      <c r="IY4" s="689">
        <v>437000</v>
      </c>
      <c r="IZ4" s="689">
        <v>437000</v>
      </c>
      <c r="JA4" s="689">
        <v>437000</v>
      </c>
      <c r="JB4" s="689">
        <v>438000</v>
      </c>
      <c r="JC4" s="689">
        <v>438000</v>
      </c>
      <c r="JD4" s="689">
        <v>438000</v>
      </c>
      <c r="JE4" s="689">
        <v>439000</v>
      </c>
      <c r="JF4" s="689">
        <v>439000</v>
      </c>
      <c r="JG4" s="689">
        <v>439000</v>
      </c>
      <c r="JH4" s="689">
        <v>439000</v>
      </c>
      <c r="JI4" s="689">
        <v>439000</v>
      </c>
      <c r="JJ4" s="689">
        <v>439000</v>
      </c>
      <c r="JK4" s="689">
        <v>439000</v>
      </c>
      <c r="JL4" s="689">
        <v>439000</v>
      </c>
      <c r="JM4" s="689">
        <v>439000</v>
      </c>
      <c r="JN4" s="689">
        <v>439000</v>
      </c>
      <c r="JO4" s="689">
        <v>439000</v>
      </c>
      <c r="JP4" s="689">
        <v>439000</v>
      </c>
      <c r="JQ4" s="689">
        <v>439000</v>
      </c>
      <c r="JR4" s="689">
        <v>439000</v>
      </c>
      <c r="JS4" s="689">
        <v>439000</v>
      </c>
      <c r="JT4" s="689">
        <v>439000</v>
      </c>
      <c r="JU4" s="689">
        <v>439000</v>
      </c>
      <c r="JV4" s="689">
        <v>439000</v>
      </c>
      <c r="JW4" s="689">
        <v>439000</v>
      </c>
      <c r="JX4" s="689">
        <v>439000</v>
      </c>
      <c r="JY4" s="689">
        <v>439000</v>
      </c>
      <c r="JZ4" s="689">
        <v>439000</v>
      </c>
      <c r="KA4" s="689">
        <v>439000</v>
      </c>
      <c r="KB4" s="689">
        <v>439000</v>
      </c>
      <c r="KC4" s="689">
        <v>439000</v>
      </c>
      <c r="KD4" s="689">
        <v>439000</v>
      </c>
      <c r="KE4" s="689">
        <v>439000</v>
      </c>
      <c r="KF4" s="689">
        <v>442000</v>
      </c>
      <c r="KG4" s="689">
        <v>442000</v>
      </c>
      <c r="KH4" s="689">
        <v>442000</v>
      </c>
      <c r="KI4" s="689">
        <v>442000</v>
      </c>
      <c r="KJ4" s="689">
        <v>442000</v>
      </c>
      <c r="KK4" s="689">
        <v>442000</v>
      </c>
      <c r="KL4" s="689">
        <v>442000</v>
      </c>
      <c r="KM4" s="689">
        <v>442000</v>
      </c>
      <c r="KN4" s="689">
        <v>442000</v>
      </c>
      <c r="KO4" s="689">
        <v>442000</v>
      </c>
      <c r="KP4" s="689">
        <v>442000</v>
      </c>
      <c r="KQ4" s="689">
        <v>443000</v>
      </c>
      <c r="KR4" s="689">
        <v>443000</v>
      </c>
      <c r="KS4" s="689">
        <v>443000</v>
      </c>
      <c r="KT4" s="689">
        <v>443000</v>
      </c>
      <c r="KU4" s="689">
        <v>443000</v>
      </c>
      <c r="KV4" s="689">
        <v>443000</v>
      </c>
      <c r="KW4" s="689">
        <v>443000</v>
      </c>
      <c r="KX4" s="689">
        <v>443000</v>
      </c>
      <c r="KY4" s="689">
        <v>443000</v>
      </c>
      <c r="KZ4" s="689">
        <v>443000</v>
      </c>
      <c r="LA4" s="689">
        <v>443000</v>
      </c>
      <c r="LB4" s="689">
        <v>443000</v>
      </c>
      <c r="LC4" s="689">
        <v>443000</v>
      </c>
      <c r="LD4" s="689">
        <v>443000</v>
      </c>
      <c r="LE4" s="689">
        <v>443000</v>
      </c>
      <c r="LF4" s="689">
        <v>443000</v>
      </c>
      <c r="LG4" s="689">
        <v>443000</v>
      </c>
      <c r="LH4" s="689">
        <v>443000</v>
      </c>
      <c r="LI4" s="689">
        <v>443000</v>
      </c>
      <c r="LJ4" s="689">
        <v>443000</v>
      </c>
      <c r="LK4" s="689">
        <v>443000</v>
      </c>
      <c r="LL4" s="689">
        <v>443000</v>
      </c>
      <c r="LM4" s="689">
        <v>443000</v>
      </c>
      <c r="LN4" s="689">
        <v>443000</v>
      </c>
      <c r="LO4" s="689">
        <v>443000</v>
      </c>
      <c r="LP4" s="689">
        <v>445100</v>
      </c>
      <c r="LQ4" s="689">
        <v>445100</v>
      </c>
      <c r="LR4" s="689">
        <v>445100</v>
      </c>
      <c r="LS4" s="689">
        <v>445100</v>
      </c>
      <c r="LT4" s="689">
        <v>445100</v>
      </c>
      <c r="LU4" s="689">
        <v>445100</v>
      </c>
      <c r="LV4" s="689">
        <v>445100</v>
      </c>
      <c r="LW4" s="689">
        <v>445100</v>
      </c>
      <c r="LX4" s="689">
        <v>445100</v>
      </c>
      <c r="LY4" s="689">
        <v>445100</v>
      </c>
      <c r="LZ4" s="689">
        <v>445100</v>
      </c>
      <c r="MA4" s="689">
        <v>445100</v>
      </c>
      <c r="MB4" s="689">
        <v>445200</v>
      </c>
      <c r="MC4" s="689">
        <v>445200</v>
      </c>
      <c r="MD4" s="689">
        <v>445200</v>
      </c>
      <c r="ME4" s="689">
        <v>445200</v>
      </c>
      <c r="MF4" s="689">
        <v>445200</v>
      </c>
      <c r="MG4" s="689">
        <v>445200</v>
      </c>
      <c r="MH4" s="689">
        <v>445200</v>
      </c>
      <c r="MI4" s="689">
        <v>445200</v>
      </c>
      <c r="MJ4" s="689">
        <v>445200</v>
      </c>
      <c r="MK4" s="689">
        <v>445200</v>
      </c>
      <c r="ML4" s="689">
        <v>445300</v>
      </c>
      <c r="MM4" s="689">
        <v>445300</v>
      </c>
      <c r="MN4" s="689">
        <v>445300</v>
      </c>
      <c r="MO4" s="689">
        <v>445300</v>
      </c>
      <c r="MP4" s="689">
        <v>445400</v>
      </c>
      <c r="MQ4" s="689">
        <v>445400</v>
      </c>
      <c r="MR4" s="689">
        <v>445500</v>
      </c>
      <c r="MS4" s="689">
        <v>445600</v>
      </c>
      <c r="MT4" s="689">
        <v>445600</v>
      </c>
      <c r="MU4" s="689">
        <v>445600</v>
      </c>
      <c r="MV4" s="689">
        <v>445600</v>
      </c>
      <c r="MW4" s="689">
        <v>445600</v>
      </c>
      <c r="MX4" s="689">
        <v>445600</v>
      </c>
      <c r="MY4" s="689">
        <v>445600</v>
      </c>
      <c r="MZ4" s="689">
        <v>445600</v>
      </c>
      <c r="NA4" s="689">
        <v>445900</v>
      </c>
      <c r="NB4" s="689">
        <v>445900</v>
      </c>
      <c r="NC4" s="689">
        <v>445900</v>
      </c>
      <c r="ND4" s="689">
        <v>445900</v>
      </c>
      <c r="NE4" s="689">
        <v>445900</v>
      </c>
      <c r="NF4" s="689">
        <v>445900</v>
      </c>
      <c r="NG4" s="689">
        <v>445900</v>
      </c>
      <c r="NH4" s="689">
        <v>445900</v>
      </c>
      <c r="NI4" s="689">
        <v>445900</v>
      </c>
      <c r="NJ4" s="689">
        <v>445900</v>
      </c>
      <c r="NK4" s="689">
        <v>445900</v>
      </c>
      <c r="NL4" s="689">
        <v>445900</v>
      </c>
      <c r="NM4" s="689">
        <v>445900</v>
      </c>
      <c r="NN4" s="689">
        <v>445900</v>
      </c>
      <c r="NO4" s="689">
        <v>445900</v>
      </c>
      <c r="NP4" s="689">
        <v>445900</v>
      </c>
      <c r="NQ4" s="689">
        <v>445900</v>
      </c>
      <c r="NR4" s="689">
        <v>445900</v>
      </c>
      <c r="NS4" s="689">
        <v>445900</v>
      </c>
      <c r="NT4" s="689">
        <v>445900</v>
      </c>
      <c r="NU4" s="689">
        <v>445900</v>
      </c>
      <c r="NV4" s="689">
        <v>445900</v>
      </c>
      <c r="NW4" s="689">
        <v>445900</v>
      </c>
      <c r="NX4" s="689">
        <v>445900</v>
      </c>
      <c r="NY4" s="689">
        <v>445900</v>
      </c>
      <c r="NZ4" s="689">
        <v>445900</v>
      </c>
      <c r="OA4" s="689">
        <v>445900</v>
      </c>
      <c r="OB4" s="689">
        <v>445900</v>
      </c>
      <c r="OC4" s="689">
        <v>445900</v>
      </c>
      <c r="OD4" s="689">
        <v>445900</v>
      </c>
      <c r="OE4" s="689">
        <v>445900</v>
      </c>
      <c r="OF4" s="689">
        <v>445900</v>
      </c>
      <c r="OG4" s="689">
        <v>445900</v>
      </c>
      <c r="OH4" s="689">
        <v>445900</v>
      </c>
      <c r="OI4" s="689">
        <v>445900</v>
      </c>
      <c r="OJ4" s="689">
        <v>445900</v>
      </c>
      <c r="OK4" s="689">
        <v>445900</v>
      </c>
      <c r="OL4" s="689">
        <v>445900</v>
      </c>
      <c r="OM4" s="689">
        <v>445900</v>
      </c>
      <c r="ON4" s="689">
        <v>448200</v>
      </c>
      <c r="OO4" s="689">
        <v>448200</v>
      </c>
      <c r="OP4" s="689">
        <v>448200</v>
      </c>
      <c r="OQ4" s="689">
        <v>448200</v>
      </c>
      <c r="OR4" s="689">
        <v>451000</v>
      </c>
      <c r="OS4" s="689">
        <v>451000</v>
      </c>
      <c r="OT4" s="689">
        <v>451000</v>
      </c>
      <c r="OU4" s="689">
        <v>451000</v>
      </c>
      <c r="OV4" s="689">
        <v>451000</v>
      </c>
      <c r="OW4" s="689">
        <v>451000</v>
      </c>
      <c r="OX4" s="689">
        <v>453000</v>
      </c>
      <c r="OY4" s="689">
        <v>453000</v>
      </c>
      <c r="OZ4" s="689">
        <v>453000</v>
      </c>
      <c r="PA4" s="689">
        <v>453000</v>
      </c>
      <c r="PB4" s="689">
        <v>453000</v>
      </c>
      <c r="PC4" s="689">
        <v>453000</v>
      </c>
      <c r="PD4" s="689">
        <v>453000</v>
      </c>
      <c r="PE4" s="689">
        <v>453000</v>
      </c>
      <c r="PF4" s="689">
        <v>453000</v>
      </c>
      <c r="PG4" s="689">
        <v>453000</v>
      </c>
      <c r="PH4" s="689">
        <v>460000</v>
      </c>
      <c r="PI4" s="689">
        <v>460000</v>
      </c>
      <c r="PJ4" s="689">
        <v>460000</v>
      </c>
      <c r="PK4" s="689">
        <v>460000</v>
      </c>
      <c r="PL4" s="689">
        <v>460000</v>
      </c>
      <c r="PM4" s="689">
        <v>460000</v>
      </c>
      <c r="PN4" s="689">
        <v>460000</v>
      </c>
      <c r="PO4" s="689">
        <v>460000</v>
      </c>
      <c r="PP4" s="689">
        <v>460000</v>
      </c>
      <c r="PQ4" s="689">
        <v>460000</v>
      </c>
      <c r="PR4" s="689">
        <v>460000</v>
      </c>
      <c r="PS4" s="689">
        <v>460000</v>
      </c>
      <c r="PT4" s="689">
        <v>460000</v>
      </c>
      <c r="PU4" s="689">
        <v>460000</v>
      </c>
      <c r="PV4" s="689">
        <v>460000</v>
      </c>
      <c r="PW4" s="689">
        <v>460000</v>
      </c>
      <c r="PX4" s="689">
        <v>460000</v>
      </c>
      <c r="PY4" s="689">
        <v>460000</v>
      </c>
      <c r="PZ4" s="689">
        <v>460000</v>
      </c>
      <c r="QA4" s="689">
        <v>460000</v>
      </c>
      <c r="QB4" s="689">
        <v>460000</v>
      </c>
      <c r="QC4" s="689">
        <v>460000</v>
      </c>
      <c r="QD4" s="689">
        <v>460000</v>
      </c>
      <c r="QE4" s="689">
        <v>460000</v>
      </c>
      <c r="QF4" s="689">
        <v>460000</v>
      </c>
      <c r="QG4" s="689">
        <v>460000</v>
      </c>
      <c r="QH4" s="689">
        <v>460000</v>
      </c>
      <c r="QI4" s="689">
        <v>460000</v>
      </c>
      <c r="QJ4" s="689">
        <v>460000</v>
      </c>
      <c r="QK4" s="689">
        <v>460000</v>
      </c>
      <c r="QL4" s="689">
        <v>460000</v>
      </c>
      <c r="QM4" s="689">
        <v>460000</v>
      </c>
      <c r="QN4" s="689">
        <v>460000</v>
      </c>
      <c r="QO4" s="689">
        <v>460000</v>
      </c>
      <c r="QP4" s="689">
        <v>460000</v>
      </c>
      <c r="QQ4" s="689">
        <v>460000</v>
      </c>
      <c r="QR4" s="689">
        <v>460000</v>
      </c>
      <c r="QS4" s="689">
        <v>460000</v>
      </c>
      <c r="QT4" s="689">
        <v>460000</v>
      </c>
      <c r="QU4" s="689">
        <v>460000</v>
      </c>
      <c r="QV4" s="689">
        <v>460000</v>
      </c>
      <c r="QW4" s="689">
        <v>460000</v>
      </c>
      <c r="QX4" s="689">
        <v>460000</v>
      </c>
      <c r="QY4" s="689">
        <v>460000</v>
      </c>
      <c r="QZ4" s="689">
        <v>460000</v>
      </c>
      <c r="RA4" s="689">
        <v>460000</v>
      </c>
      <c r="RB4" s="689">
        <v>460000</v>
      </c>
      <c r="RC4" s="528"/>
      <c r="RD4" s="529"/>
      <c r="RF4" s="692" t="s">
        <v>264</v>
      </c>
      <c r="RG4" s="724" t="str">
        <f>'1. Simulator Input'!E14</f>
        <v>X</v>
      </c>
      <c r="RH4" s="724" t="str">
        <f>'1. Simulator Input'!E15</f>
        <v>X</v>
      </c>
      <c r="RI4" s="724" t="str">
        <f>'1. Simulator Input'!E16</f>
        <v>X</v>
      </c>
      <c r="RJ4" s="724" t="str">
        <f>'1. Simulator Input'!E17</f>
        <v>X</v>
      </c>
      <c r="RK4" s="724" t="str">
        <f>'1. Simulator Input'!E18</f>
        <v>X</v>
      </c>
      <c r="RL4" s="724" t="str">
        <f>'1. Simulator Input'!E19</f>
        <v>X</v>
      </c>
      <c r="RM4" s="724" t="str">
        <f>'1. Simulator Input'!E20</f>
        <v>X</v>
      </c>
      <c r="RN4" s="724" t="str">
        <f>'1. Simulator Input'!E21</f>
        <v>X</v>
      </c>
      <c r="RO4" s="724" t="str">
        <f>'1. Simulator Input'!E22</f>
        <v>X</v>
      </c>
      <c r="RP4" s="724" t="str">
        <f>'1. Simulator Input'!E23</f>
        <v>X</v>
      </c>
      <c r="RQ4" s="724" t="str">
        <f>'1. Simulator Input'!E24</f>
        <v>X</v>
      </c>
      <c r="RR4" s="724" t="str">
        <f>'1. Simulator Input'!E25</f>
        <v>X</v>
      </c>
      <c r="RS4" s="551"/>
      <c r="RT4" s="552"/>
      <c r="RV4" s="527" t="s">
        <v>1480</v>
      </c>
      <c r="RW4" s="527" t="s">
        <v>1398</v>
      </c>
      <c r="RX4" s="527" t="s">
        <v>1399</v>
      </c>
      <c r="RY4" s="527" t="s">
        <v>89</v>
      </c>
      <c r="SA4" s="544"/>
      <c r="SC4" s="883" t="s">
        <v>2795</v>
      </c>
      <c r="SD4" s="553" t="s">
        <v>1272</v>
      </c>
      <c r="SE4" s="553" t="s">
        <v>1273</v>
      </c>
      <c r="SF4" s="553" t="s">
        <v>1277</v>
      </c>
      <c r="SG4" s="554" t="s">
        <v>2776</v>
      </c>
      <c r="SH4" s="554" t="s">
        <v>2777</v>
      </c>
      <c r="SI4" s="555" t="s">
        <v>1279</v>
      </c>
      <c r="SJ4" s="556"/>
      <c r="SK4" s="529"/>
      <c r="SL4" s="557"/>
      <c r="SM4" s="558" t="s">
        <v>272</v>
      </c>
      <c r="SN4" s="558" t="s">
        <v>273</v>
      </c>
      <c r="SO4" s="558" t="s">
        <v>2778</v>
      </c>
      <c r="SP4" s="558" t="s">
        <v>274</v>
      </c>
      <c r="SR4" s="544"/>
      <c r="SS4" s="559"/>
      <c r="ST4" s="560" t="s">
        <v>1467</v>
      </c>
      <c r="SU4" s="560" t="s">
        <v>470</v>
      </c>
      <c r="SV4" s="560" t="s">
        <v>471</v>
      </c>
      <c r="SW4" s="560" t="s">
        <v>472</v>
      </c>
      <c r="SX4" s="561" t="s">
        <v>473</v>
      </c>
      <c r="SY4" s="560" t="s">
        <v>474</v>
      </c>
      <c r="SZ4" s="560" t="s">
        <v>1200</v>
      </c>
      <c r="TA4" s="560" t="s">
        <v>475</v>
      </c>
      <c r="TB4" s="560" t="s">
        <v>476</v>
      </c>
      <c r="TC4" s="560" t="s">
        <v>477</v>
      </c>
      <c r="TD4" s="560" t="s">
        <v>478</v>
      </c>
      <c r="TE4" s="560" t="s">
        <v>297</v>
      </c>
      <c r="TF4" s="560" t="s">
        <v>298</v>
      </c>
      <c r="TG4" s="560" t="s">
        <v>299</v>
      </c>
      <c r="TH4" s="560" t="s">
        <v>1516</v>
      </c>
      <c r="TI4" s="560" t="s">
        <v>1517</v>
      </c>
      <c r="TJ4" s="560" t="s">
        <v>302</v>
      </c>
      <c r="TK4" s="560" t="s">
        <v>1233</v>
      </c>
      <c r="TL4" s="686" t="s">
        <v>479</v>
      </c>
      <c r="TM4" s="686" t="s">
        <v>480</v>
      </c>
      <c r="TN4" s="686" t="s">
        <v>479</v>
      </c>
      <c r="TO4" s="686" t="s">
        <v>480</v>
      </c>
      <c r="TP4" s="560" t="s">
        <v>1235</v>
      </c>
      <c r="TQ4" s="560" t="s">
        <v>1236</v>
      </c>
      <c r="TR4" s="560"/>
      <c r="TS4" s="562"/>
      <c r="TT4" s="560"/>
      <c r="TU4" s="560" t="s">
        <v>1239</v>
      </c>
      <c r="TV4" s="563" t="s">
        <v>1240</v>
      </c>
      <c r="TW4" s="564" t="s">
        <v>1310</v>
      </c>
      <c r="TX4" s="565"/>
      <c r="TY4" s="566"/>
      <c r="TZ4" s="560" t="s">
        <v>1239</v>
      </c>
      <c r="UA4" s="563" t="s">
        <v>1240</v>
      </c>
      <c r="UB4" s="567" t="s">
        <v>1310</v>
      </c>
      <c r="UC4" s="565"/>
      <c r="UD4" s="566"/>
      <c r="UE4" s="560" t="s">
        <v>1241</v>
      </c>
      <c r="UG4" s="544"/>
      <c r="UI4" s="553" t="s">
        <v>1280</v>
      </c>
      <c r="UJ4" s="553" t="s">
        <v>1281</v>
      </c>
      <c r="UK4" s="553" t="s">
        <v>1304</v>
      </c>
      <c r="UL4" s="555"/>
      <c r="UM4" s="570"/>
      <c r="UN4" s="555"/>
      <c r="UO4" s="542" t="s">
        <v>2815</v>
      </c>
      <c r="UP4" s="568" t="s">
        <v>1248</v>
      </c>
      <c r="UQ4" s="568" t="s">
        <v>1249</v>
      </c>
      <c r="UR4" s="553" t="s">
        <v>1250</v>
      </c>
      <c r="US4" s="553" t="s">
        <v>1252</v>
      </c>
      <c r="UT4" s="553" t="s">
        <v>1253</v>
      </c>
      <c r="UU4" s="553" t="s">
        <v>1254</v>
      </c>
      <c r="UV4" s="553" t="s">
        <v>1255</v>
      </c>
      <c r="UW4" s="553" t="s">
        <v>1251</v>
      </c>
      <c r="UX4" s="553" t="s">
        <v>1256</v>
      </c>
      <c r="UY4" s="553" t="s">
        <v>1257</v>
      </c>
      <c r="UZ4" s="569" t="s">
        <v>1258</v>
      </c>
      <c r="VA4" s="569" t="s">
        <v>1428</v>
      </c>
      <c r="VB4" s="553" t="s">
        <v>1429</v>
      </c>
      <c r="VC4" s="553" t="s">
        <v>1259</v>
      </c>
      <c r="VD4" s="553" t="s">
        <v>2811</v>
      </c>
      <c r="VE4" s="553"/>
      <c r="VF4" s="570"/>
      <c r="VG4" s="553"/>
      <c r="VH4" s="877" t="s">
        <v>2792</v>
      </c>
      <c r="VI4" s="877" t="s">
        <v>2793</v>
      </c>
      <c r="VJ4" s="877" t="s">
        <v>2794</v>
      </c>
      <c r="VK4" s="877" t="s">
        <v>2796</v>
      </c>
      <c r="VL4" s="553"/>
      <c r="VM4" s="570"/>
      <c r="VN4" s="553"/>
      <c r="VO4" s="877" t="s">
        <v>2797</v>
      </c>
      <c r="VP4" s="877" t="s">
        <v>2798</v>
      </c>
      <c r="VQ4" s="877" t="s">
        <v>2799</v>
      </c>
      <c r="VR4" s="877" t="s">
        <v>2800</v>
      </c>
      <c r="VS4" s="877" t="s">
        <v>2801</v>
      </c>
      <c r="VT4" s="877" t="s">
        <v>2802</v>
      </c>
      <c r="VU4" s="877" t="s">
        <v>2804</v>
      </c>
      <c r="VV4" s="555"/>
      <c r="VW4" s="570"/>
      <c r="VX4" s="553"/>
      <c r="VZ4" s="902" t="s">
        <v>1317</v>
      </c>
      <c r="WA4" s="902" t="s">
        <v>2817</v>
      </c>
      <c r="WB4" s="911" t="s">
        <v>1335</v>
      </c>
      <c r="WC4" s="553"/>
      <c r="WD4" s="570"/>
      <c r="WE4" s="555"/>
      <c r="WF4" s="877" t="s">
        <v>2818</v>
      </c>
      <c r="WG4" s="877" t="s">
        <v>2819</v>
      </c>
      <c r="WH4" s="555"/>
      <c r="WI4" s="884" t="s">
        <v>2808</v>
      </c>
      <c r="WJ4" s="884" t="s">
        <v>2805</v>
      </c>
      <c r="WK4" s="884" t="s">
        <v>2806</v>
      </c>
      <c r="WL4" s="884" t="s">
        <v>2810</v>
      </c>
      <c r="WM4" s="884" t="s">
        <v>2807</v>
      </c>
      <c r="WN4" s="884" t="s">
        <v>2809</v>
      </c>
      <c r="WO4" s="888"/>
      <c r="WP4" s="892"/>
      <c r="WQ4" s="888"/>
      <c r="WR4" s="286" t="s">
        <v>1448</v>
      </c>
      <c r="WT4" s="286" t="s">
        <v>1470</v>
      </c>
      <c r="WW4" s="831" t="s">
        <v>1397</v>
      </c>
      <c r="WX4" s="286" t="s">
        <v>2763</v>
      </c>
      <c r="WY4" s="286" t="s">
        <v>2762</v>
      </c>
      <c r="WZ4" s="286" t="s">
        <v>2764</v>
      </c>
      <c r="XA4" s="286" t="s">
        <v>2767</v>
      </c>
      <c r="XB4" s="286" t="s">
        <v>2766</v>
      </c>
      <c r="XC4" s="286" t="s">
        <v>2768</v>
      </c>
      <c r="XD4" s="286" t="s">
        <v>2769</v>
      </c>
      <c r="XE4" s="286"/>
      <c r="XF4" s="286"/>
      <c r="XG4" s="286" t="s">
        <v>2774</v>
      </c>
      <c r="XH4" s="286"/>
      <c r="XI4" s="286"/>
      <c r="XJ4" s="286" t="s">
        <v>2765</v>
      </c>
      <c r="XK4" s="571">
        <f>UI3</f>
        <v>1552325077</v>
      </c>
      <c r="XL4" s="540" t="s">
        <v>2771</v>
      </c>
      <c r="XP4" s="874" t="s">
        <v>2784</v>
      </c>
      <c r="XQ4" s="875" t="s">
        <v>2785</v>
      </c>
      <c r="XR4" s="875" t="s">
        <v>2782</v>
      </c>
      <c r="XS4" s="875" t="s">
        <v>2789</v>
      </c>
      <c r="XT4" s="875" t="s">
        <v>2783</v>
      </c>
      <c r="XU4" s="875" t="s">
        <v>2779</v>
      </c>
      <c r="XV4" s="875" t="s">
        <v>2786</v>
      </c>
      <c r="XW4" s="875" t="s">
        <v>2780</v>
      </c>
      <c r="XX4" s="875" t="s">
        <v>2781</v>
      </c>
      <c r="XY4" s="875" t="s">
        <v>1334</v>
      </c>
      <c r="XZ4" s="875" t="s">
        <v>1424</v>
      </c>
      <c r="YA4" s="876" t="s">
        <v>1336</v>
      </c>
      <c r="YB4" s="553"/>
      <c r="YC4" s="570"/>
      <c r="YD4" s="553"/>
      <c r="YE4" s="874" t="s">
        <v>1328</v>
      </c>
      <c r="YF4" s="875" t="s">
        <v>1329</v>
      </c>
      <c r="YG4" s="875" t="s">
        <v>1330</v>
      </c>
      <c r="YH4" s="876" t="s">
        <v>1331</v>
      </c>
      <c r="YJ4" s="544"/>
    </row>
    <row r="5" spans="1:660" s="698" customFormat="1" ht="36" customHeight="1" thickBot="1">
      <c r="A5" s="693"/>
      <c r="B5" s="694" t="s">
        <v>29</v>
      </c>
      <c r="C5" s="695" t="s">
        <v>30</v>
      </c>
      <c r="D5" s="695" t="s">
        <v>30</v>
      </c>
      <c r="E5" s="695" t="s">
        <v>30</v>
      </c>
      <c r="F5" s="695" t="s">
        <v>30</v>
      </c>
      <c r="G5" s="695" t="s">
        <v>31</v>
      </c>
      <c r="H5" s="695" t="s">
        <v>31</v>
      </c>
      <c r="I5" s="695" t="s">
        <v>32</v>
      </c>
      <c r="J5" s="695" t="s">
        <v>33</v>
      </c>
      <c r="K5" s="695" t="s">
        <v>34</v>
      </c>
      <c r="L5" s="695" t="s">
        <v>35</v>
      </c>
      <c r="M5" s="695" t="s">
        <v>36</v>
      </c>
      <c r="N5" s="695" t="s">
        <v>37</v>
      </c>
      <c r="O5" s="695" t="s">
        <v>37</v>
      </c>
      <c r="P5" s="695" t="s">
        <v>38</v>
      </c>
      <c r="Q5" s="695" t="s">
        <v>38</v>
      </c>
      <c r="R5" s="695" t="s">
        <v>38</v>
      </c>
      <c r="S5" s="695" t="s">
        <v>38</v>
      </c>
      <c r="T5" s="695" t="s">
        <v>38</v>
      </c>
      <c r="U5" s="695" t="s">
        <v>38</v>
      </c>
      <c r="V5" s="695" t="s">
        <v>38</v>
      </c>
      <c r="W5" s="695" t="s">
        <v>39</v>
      </c>
      <c r="X5" s="695" t="s">
        <v>39</v>
      </c>
      <c r="Y5" s="695" t="s">
        <v>40</v>
      </c>
      <c r="Z5" s="695" t="s">
        <v>40</v>
      </c>
      <c r="AA5" s="695" t="s">
        <v>40</v>
      </c>
      <c r="AB5" s="695" t="s">
        <v>40</v>
      </c>
      <c r="AC5" s="695" t="s">
        <v>40</v>
      </c>
      <c r="AD5" s="695" t="s">
        <v>41</v>
      </c>
      <c r="AE5" s="695" t="s">
        <v>41</v>
      </c>
      <c r="AF5" s="695" t="s">
        <v>41</v>
      </c>
      <c r="AG5" s="695" t="s">
        <v>41</v>
      </c>
      <c r="AH5" s="695" t="s">
        <v>41</v>
      </c>
      <c r="AI5" s="695" t="s">
        <v>41</v>
      </c>
      <c r="AJ5" s="695" t="s">
        <v>42</v>
      </c>
      <c r="AK5" s="695" t="s">
        <v>43</v>
      </c>
      <c r="AL5" s="695" t="s">
        <v>44</v>
      </c>
      <c r="AM5" s="695" t="s">
        <v>44</v>
      </c>
      <c r="AN5" s="695" t="s">
        <v>44</v>
      </c>
      <c r="AO5" s="695" t="s">
        <v>44</v>
      </c>
      <c r="AP5" s="695" t="s">
        <v>44</v>
      </c>
      <c r="AQ5" s="695" t="s">
        <v>44</v>
      </c>
      <c r="AR5" s="695" t="s">
        <v>44</v>
      </c>
      <c r="AS5" s="695" t="s">
        <v>44</v>
      </c>
      <c r="AT5" s="695" t="s">
        <v>44</v>
      </c>
      <c r="AU5" s="695" t="s">
        <v>44</v>
      </c>
      <c r="AV5" s="695" t="s">
        <v>44</v>
      </c>
      <c r="AW5" s="695" t="s">
        <v>44</v>
      </c>
      <c r="AX5" s="695" t="s">
        <v>44</v>
      </c>
      <c r="AY5" s="695" t="s">
        <v>44</v>
      </c>
      <c r="AZ5" s="695" t="s">
        <v>44</v>
      </c>
      <c r="BA5" s="695" t="s">
        <v>44</v>
      </c>
      <c r="BB5" s="695" t="s">
        <v>44</v>
      </c>
      <c r="BC5" s="695" t="s">
        <v>44</v>
      </c>
      <c r="BD5" s="695" t="s">
        <v>44</v>
      </c>
      <c r="BE5" s="695" t="s">
        <v>44</v>
      </c>
      <c r="BF5" s="695" t="s">
        <v>44</v>
      </c>
      <c r="BG5" s="695" t="s">
        <v>44</v>
      </c>
      <c r="BH5" s="695" t="s">
        <v>44</v>
      </c>
      <c r="BI5" s="695" t="s">
        <v>44</v>
      </c>
      <c r="BJ5" s="695" t="s">
        <v>44</v>
      </c>
      <c r="BK5" s="695" t="s">
        <v>44</v>
      </c>
      <c r="BL5" s="695" t="s">
        <v>44</v>
      </c>
      <c r="BM5" s="695" t="s">
        <v>44</v>
      </c>
      <c r="BN5" s="695" t="s">
        <v>44</v>
      </c>
      <c r="BO5" s="695" t="s">
        <v>44</v>
      </c>
      <c r="BP5" s="695" t="s">
        <v>44</v>
      </c>
      <c r="BQ5" s="695" t="s">
        <v>44</v>
      </c>
      <c r="BR5" s="695" t="s">
        <v>44</v>
      </c>
      <c r="BS5" s="695" t="s">
        <v>44</v>
      </c>
      <c r="BT5" s="695" t="s">
        <v>44</v>
      </c>
      <c r="BU5" s="695" t="s">
        <v>44</v>
      </c>
      <c r="BV5" s="695" t="s">
        <v>44</v>
      </c>
      <c r="BW5" s="695" t="s">
        <v>44</v>
      </c>
      <c r="BX5" s="695" t="s">
        <v>44</v>
      </c>
      <c r="BY5" s="695" t="s">
        <v>44</v>
      </c>
      <c r="BZ5" s="695" t="s">
        <v>44</v>
      </c>
      <c r="CA5" s="695" t="s">
        <v>44</v>
      </c>
      <c r="CB5" s="695" t="s">
        <v>45</v>
      </c>
      <c r="CC5" s="695" t="s">
        <v>45</v>
      </c>
      <c r="CD5" s="695" t="s">
        <v>45</v>
      </c>
      <c r="CE5" s="695" t="s">
        <v>46</v>
      </c>
      <c r="CF5" s="695" t="s">
        <v>47</v>
      </c>
      <c r="CG5" s="695" t="s">
        <v>47</v>
      </c>
      <c r="CH5" s="695" t="s">
        <v>47</v>
      </c>
      <c r="CI5" s="695" t="s">
        <v>48</v>
      </c>
      <c r="CJ5" s="695" t="s">
        <v>48</v>
      </c>
      <c r="CK5" s="695" t="s">
        <v>48</v>
      </c>
      <c r="CL5" s="695" t="s">
        <v>48</v>
      </c>
      <c r="CM5" s="695" t="s">
        <v>48</v>
      </c>
      <c r="CN5" s="695" t="s">
        <v>48</v>
      </c>
      <c r="CO5" s="695" t="s">
        <v>48</v>
      </c>
      <c r="CP5" s="695" t="s">
        <v>49</v>
      </c>
      <c r="CQ5" s="695" t="s">
        <v>50</v>
      </c>
      <c r="CR5" s="695" t="s">
        <v>50</v>
      </c>
      <c r="CS5" s="695" t="s">
        <v>51</v>
      </c>
      <c r="CT5" s="695" t="s">
        <v>51</v>
      </c>
      <c r="CU5" s="695" t="s">
        <v>51</v>
      </c>
      <c r="CV5" s="695" t="s">
        <v>51</v>
      </c>
      <c r="CW5" s="695" t="s">
        <v>51</v>
      </c>
      <c r="CX5" s="695" t="s">
        <v>51</v>
      </c>
      <c r="CY5" s="695" t="s">
        <v>51</v>
      </c>
      <c r="CZ5" s="695" t="s">
        <v>51</v>
      </c>
      <c r="DA5" s="695" t="s">
        <v>51</v>
      </c>
      <c r="DB5" s="695" t="s">
        <v>51</v>
      </c>
      <c r="DC5" s="695" t="s">
        <v>51</v>
      </c>
      <c r="DD5" s="695" t="s">
        <v>52</v>
      </c>
      <c r="DE5" s="695" t="s">
        <v>52</v>
      </c>
      <c r="DF5" s="695" t="s">
        <v>52</v>
      </c>
      <c r="DG5" s="695" t="s">
        <v>52</v>
      </c>
      <c r="DH5" s="695" t="s">
        <v>52</v>
      </c>
      <c r="DI5" s="695" t="s">
        <v>52</v>
      </c>
      <c r="DJ5" s="695" t="s">
        <v>52</v>
      </c>
      <c r="DK5" s="695" t="s">
        <v>52</v>
      </c>
      <c r="DL5" s="695" t="s">
        <v>52</v>
      </c>
      <c r="DM5" s="695" t="s">
        <v>52</v>
      </c>
      <c r="DN5" s="695" t="s">
        <v>53</v>
      </c>
      <c r="DO5" s="695" t="s">
        <v>53</v>
      </c>
      <c r="DP5" s="695" t="s">
        <v>53</v>
      </c>
      <c r="DQ5" s="695" t="s">
        <v>53</v>
      </c>
      <c r="DR5" s="695" t="s">
        <v>53</v>
      </c>
      <c r="DS5" s="695" t="s">
        <v>53</v>
      </c>
      <c r="DT5" s="695" t="s">
        <v>53</v>
      </c>
      <c r="DU5" s="695" t="s">
        <v>54</v>
      </c>
      <c r="DV5" s="695" t="s">
        <v>54</v>
      </c>
      <c r="DW5" s="695" t="s">
        <v>54</v>
      </c>
      <c r="DX5" s="695" t="s">
        <v>54</v>
      </c>
      <c r="DY5" s="695" t="s">
        <v>54</v>
      </c>
      <c r="DZ5" s="695" t="s">
        <v>54</v>
      </c>
      <c r="EA5" s="695" t="s">
        <v>54</v>
      </c>
      <c r="EB5" s="695" t="s">
        <v>54</v>
      </c>
      <c r="EC5" s="695" t="s">
        <v>54</v>
      </c>
      <c r="ED5" s="695" t="s">
        <v>54</v>
      </c>
      <c r="EE5" s="695" t="s">
        <v>54</v>
      </c>
      <c r="EF5" s="695" t="s">
        <v>54</v>
      </c>
      <c r="EG5" s="695" t="s">
        <v>55</v>
      </c>
      <c r="EH5" s="695" t="s">
        <v>55</v>
      </c>
      <c r="EI5" s="695" t="s">
        <v>55</v>
      </c>
      <c r="EJ5" s="695" t="s">
        <v>55</v>
      </c>
      <c r="EK5" s="695" t="s">
        <v>55</v>
      </c>
      <c r="EL5" s="695" t="s">
        <v>55</v>
      </c>
      <c r="EM5" s="695" t="s">
        <v>55</v>
      </c>
      <c r="EN5" s="695" t="s">
        <v>55</v>
      </c>
      <c r="EO5" s="695" t="s">
        <v>55</v>
      </c>
      <c r="EP5" s="695" t="s">
        <v>55</v>
      </c>
      <c r="EQ5" s="695" t="s">
        <v>55</v>
      </c>
      <c r="ER5" s="695" t="s">
        <v>55</v>
      </c>
      <c r="ES5" s="695" t="s">
        <v>55</v>
      </c>
      <c r="ET5" s="695" t="s">
        <v>55</v>
      </c>
      <c r="EU5" s="695" t="s">
        <v>55</v>
      </c>
      <c r="EV5" s="695" t="s">
        <v>55</v>
      </c>
      <c r="EW5" s="695" t="s">
        <v>55</v>
      </c>
      <c r="EX5" s="695" t="s">
        <v>55</v>
      </c>
      <c r="EY5" s="695" t="s">
        <v>55</v>
      </c>
      <c r="EZ5" s="695" t="s">
        <v>55</v>
      </c>
      <c r="FA5" s="695" t="s">
        <v>55</v>
      </c>
      <c r="FB5" s="695" t="s">
        <v>55</v>
      </c>
      <c r="FC5" s="695" t="s">
        <v>55</v>
      </c>
      <c r="FD5" s="695" t="s">
        <v>55</v>
      </c>
      <c r="FE5" s="695" t="s">
        <v>55</v>
      </c>
      <c r="FF5" s="695" t="s">
        <v>55</v>
      </c>
      <c r="FG5" s="695" t="s">
        <v>55</v>
      </c>
      <c r="FH5" s="695" t="s">
        <v>55</v>
      </c>
      <c r="FI5" s="695" t="s">
        <v>55</v>
      </c>
      <c r="FJ5" s="695" t="s">
        <v>55</v>
      </c>
      <c r="FK5" s="695" t="s">
        <v>55</v>
      </c>
      <c r="FL5" s="695" t="s">
        <v>56</v>
      </c>
      <c r="FM5" s="695" t="s">
        <v>56</v>
      </c>
      <c r="FN5" s="695" t="s">
        <v>56</v>
      </c>
      <c r="FO5" s="695" t="s">
        <v>56</v>
      </c>
      <c r="FP5" s="695" t="s">
        <v>56</v>
      </c>
      <c r="FQ5" s="695" t="s">
        <v>56</v>
      </c>
      <c r="FR5" s="695" t="s">
        <v>56</v>
      </c>
      <c r="FS5" s="695" t="s">
        <v>57</v>
      </c>
      <c r="FT5" s="695" t="s">
        <v>57</v>
      </c>
      <c r="FU5" s="695" t="s">
        <v>57</v>
      </c>
      <c r="FV5" s="695" t="s">
        <v>57</v>
      </c>
      <c r="FW5" s="695" t="s">
        <v>57</v>
      </c>
      <c r="FX5" s="695" t="s">
        <v>57</v>
      </c>
      <c r="FY5" s="695" t="s">
        <v>57</v>
      </c>
      <c r="FZ5" s="695" t="s">
        <v>57</v>
      </c>
      <c r="GA5" s="695" t="s">
        <v>57</v>
      </c>
      <c r="GB5" s="695" t="s">
        <v>57</v>
      </c>
      <c r="GC5" s="695" t="s">
        <v>57</v>
      </c>
      <c r="GD5" s="695" t="s">
        <v>57</v>
      </c>
      <c r="GE5" s="695" t="s">
        <v>57</v>
      </c>
      <c r="GF5" s="695" t="s">
        <v>57</v>
      </c>
      <c r="GG5" s="695" t="s">
        <v>57</v>
      </c>
      <c r="GH5" s="695" t="s">
        <v>57</v>
      </c>
      <c r="GI5" s="695" t="s">
        <v>57</v>
      </c>
      <c r="GJ5" s="695" t="s">
        <v>57</v>
      </c>
      <c r="GK5" s="695" t="s">
        <v>57</v>
      </c>
      <c r="GL5" s="695" t="s">
        <v>57</v>
      </c>
      <c r="GM5" s="695" t="s">
        <v>57</v>
      </c>
      <c r="GN5" s="695" t="s">
        <v>57</v>
      </c>
      <c r="GO5" s="695" t="s">
        <v>57</v>
      </c>
      <c r="GP5" s="695" t="s">
        <v>57</v>
      </c>
      <c r="GQ5" s="695" t="s">
        <v>57</v>
      </c>
      <c r="GR5" s="695" t="s">
        <v>57</v>
      </c>
      <c r="GS5" s="695" t="s">
        <v>57</v>
      </c>
      <c r="GT5" s="695" t="s">
        <v>57</v>
      </c>
      <c r="GU5" s="695" t="s">
        <v>57</v>
      </c>
      <c r="GV5" s="695" t="s">
        <v>57</v>
      </c>
      <c r="GW5" s="695" t="s">
        <v>57</v>
      </c>
      <c r="GX5" s="695" t="s">
        <v>57</v>
      </c>
      <c r="GY5" s="695" t="s">
        <v>57</v>
      </c>
      <c r="GZ5" s="695" t="s">
        <v>57</v>
      </c>
      <c r="HA5" s="695" t="s">
        <v>57</v>
      </c>
      <c r="HB5" s="695" t="s">
        <v>57</v>
      </c>
      <c r="HC5" s="695" t="s">
        <v>58</v>
      </c>
      <c r="HD5" s="695" t="s">
        <v>59</v>
      </c>
      <c r="HE5" s="695" t="s">
        <v>59</v>
      </c>
      <c r="HF5" s="695" t="s">
        <v>59</v>
      </c>
      <c r="HG5" s="695" t="s">
        <v>59</v>
      </c>
      <c r="HH5" s="695" t="s">
        <v>59</v>
      </c>
      <c r="HI5" s="695" t="s">
        <v>60</v>
      </c>
      <c r="HJ5" s="695" t="s">
        <v>60</v>
      </c>
      <c r="HK5" s="695" t="s">
        <v>60</v>
      </c>
      <c r="HL5" s="695" t="s">
        <v>61</v>
      </c>
      <c r="HM5" s="695" t="s">
        <v>62</v>
      </c>
      <c r="HN5" s="695" t="s">
        <v>63</v>
      </c>
      <c r="HO5" s="695" t="s">
        <v>64</v>
      </c>
      <c r="HP5" s="695" t="s">
        <v>65</v>
      </c>
      <c r="HQ5" s="695" t="s">
        <v>65</v>
      </c>
      <c r="HR5" s="695" t="s">
        <v>65</v>
      </c>
      <c r="HS5" s="695" t="s">
        <v>65</v>
      </c>
      <c r="HT5" s="695" t="s">
        <v>65</v>
      </c>
      <c r="HU5" s="695" t="s">
        <v>65</v>
      </c>
      <c r="HV5" s="695" t="s">
        <v>65</v>
      </c>
      <c r="HW5" s="695" t="s">
        <v>65</v>
      </c>
      <c r="HX5" s="695" t="s">
        <v>65</v>
      </c>
      <c r="HY5" s="695" t="s">
        <v>65</v>
      </c>
      <c r="HZ5" s="695" t="s">
        <v>65</v>
      </c>
      <c r="IA5" s="695" t="s">
        <v>65</v>
      </c>
      <c r="IB5" s="695" t="s">
        <v>65</v>
      </c>
      <c r="IC5" s="695" t="s">
        <v>65</v>
      </c>
      <c r="ID5" s="695" t="s">
        <v>65</v>
      </c>
      <c r="IE5" s="695" t="s">
        <v>65</v>
      </c>
      <c r="IF5" s="695" t="s">
        <v>65</v>
      </c>
      <c r="IG5" s="695" t="s">
        <v>65</v>
      </c>
      <c r="IH5" s="695" t="s">
        <v>65</v>
      </c>
      <c r="II5" s="695" t="s">
        <v>65</v>
      </c>
      <c r="IJ5" s="695" t="s">
        <v>65</v>
      </c>
      <c r="IK5" s="695" t="s">
        <v>65</v>
      </c>
      <c r="IL5" s="695" t="s">
        <v>65</v>
      </c>
      <c r="IM5" s="695" t="s">
        <v>65</v>
      </c>
      <c r="IN5" s="695" t="s">
        <v>66</v>
      </c>
      <c r="IO5" s="695" t="s">
        <v>66</v>
      </c>
      <c r="IP5" s="695" t="s">
        <v>66</v>
      </c>
      <c r="IQ5" s="695" t="s">
        <v>67</v>
      </c>
      <c r="IR5" s="695" t="s">
        <v>67</v>
      </c>
      <c r="IS5" s="695" t="s">
        <v>67</v>
      </c>
      <c r="IT5" s="695" t="s">
        <v>67</v>
      </c>
      <c r="IU5" s="695" t="s">
        <v>67</v>
      </c>
      <c r="IV5" s="695" t="s">
        <v>67</v>
      </c>
      <c r="IW5" s="695" t="s">
        <v>68</v>
      </c>
      <c r="IX5" s="695" t="s">
        <v>68</v>
      </c>
      <c r="IY5" s="695" t="s">
        <v>68</v>
      </c>
      <c r="IZ5" s="695" t="s">
        <v>68</v>
      </c>
      <c r="JA5" s="695" t="s">
        <v>68</v>
      </c>
      <c r="JB5" s="695" t="s">
        <v>69</v>
      </c>
      <c r="JC5" s="695" t="s">
        <v>69</v>
      </c>
      <c r="JD5" s="695" t="s">
        <v>69</v>
      </c>
      <c r="JE5" s="695" t="s">
        <v>70</v>
      </c>
      <c r="JF5" s="695" t="s">
        <v>70</v>
      </c>
      <c r="JG5" s="695" t="s">
        <v>70</v>
      </c>
      <c r="JH5" s="695" t="s">
        <v>70</v>
      </c>
      <c r="JI5" s="695" t="s">
        <v>70</v>
      </c>
      <c r="JJ5" s="695" t="s">
        <v>70</v>
      </c>
      <c r="JK5" s="695" t="s">
        <v>70</v>
      </c>
      <c r="JL5" s="695" t="s">
        <v>70</v>
      </c>
      <c r="JM5" s="695" t="s">
        <v>70</v>
      </c>
      <c r="JN5" s="695" t="s">
        <v>70</v>
      </c>
      <c r="JO5" s="695" t="s">
        <v>70</v>
      </c>
      <c r="JP5" s="695" t="s">
        <v>70</v>
      </c>
      <c r="JQ5" s="695" t="s">
        <v>70</v>
      </c>
      <c r="JR5" s="695" t="s">
        <v>70</v>
      </c>
      <c r="JS5" s="695" t="s">
        <v>70</v>
      </c>
      <c r="JT5" s="695" t="s">
        <v>70</v>
      </c>
      <c r="JU5" s="695" t="s">
        <v>70</v>
      </c>
      <c r="JV5" s="695" t="s">
        <v>70</v>
      </c>
      <c r="JW5" s="695" t="s">
        <v>70</v>
      </c>
      <c r="JX5" s="695" t="s">
        <v>70</v>
      </c>
      <c r="JY5" s="695" t="s">
        <v>70</v>
      </c>
      <c r="JZ5" s="695" t="s">
        <v>70</v>
      </c>
      <c r="KA5" s="695" t="s">
        <v>70</v>
      </c>
      <c r="KB5" s="695" t="s">
        <v>70</v>
      </c>
      <c r="KC5" s="695" t="s">
        <v>70</v>
      </c>
      <c r="KD5" s="695" t="s">
        <v>70</v>
      </c>
      <c r="KE5" s="695" t="s">
        <v>70</v>
      </c>
      <c r="KF5" s="695" t="s">
        <v>71</v>
      </c>
      <c r="KG5" s="695" t="s">
        <v>71</v>
      </c>
      <c r="KH5" s="695" t="s">
        <v>71</v>
      </c>
      <c r="KI5" s="695" t="s">
        <v>71</v>
      </c>
      <c r="KJ5" s="695" t="s">
        <v>71</v>
      </c>
      <c r="KK5" s="695" t="s">
        <v>71</v>
      </c>
      <c r="KL5" s="695" t="s">
        <v>71</v>
      </c>
      <c r="KM5" s="695" t="s">
        <v>71</v>
      </c>
      <c r="KN5" s="695" t="s">
        <v>71</v>
      </c>
      <c r="KO5" s="695" t="s">
        <v>71</v>
      </c>
      <c r="KP5" s="695" t="s">
        <v>71</v>
      </c>
      <c r="KQ5" s="695" t="s">
        <v>72</v>
      </c>
      <c r="KR5" s="695" t="s">
        <v>72</v>
      </c>
      <c r="KS5" s="695" t="s">
        <v>72</v>
      </c>
      <c r="KT5" s="695" t="s">
        <v>72</v>
      </c>
      <c r="KU5" s="695" t="s">
        <v>72</v>
      </c>
      <c r="KV5" s="695" t="s">
        <v>72</v>
      </c>
      <c r="KW5" s="695" t="s">
        <v>72</v>
      </c>
      <c r="KX5" s="695" t="s">
        <v>72</v>
      </c>
      <c r="KY5" s="695" t="s">
        <v>72</v>
      </c>
      <c r="KZ5" s="695" t="s">
        <v>72</v>
      </c>
      <c r="LA5" s="695" t="s">
        <v>72</v>
      </c>
      <c r="LB5" s="695" t="s">
        <v>72</v>
      </c>
      <c r="LC5" s="695" t="s">
        <v>72</v>
      </c>
      <c r="LD5" s="695" t="s">
        <v>72</v>
      </c>
      <c r="LE5" s="695" t="s">
        <v>72</v>
      </c>
      <c r="LF5" s="695" t="s">
        <v>72</v>
      </c>
      <c r="LG5" s="695" t="s">
        <v>72</v>
      </c>
      <c r="LH5" s="695" t="s">
        <v>72</v>
      </c>
      <c r="LI5" s="695" t="s">
        <v>72</v>
      </c>
      <c r="LJ5" s="695" t="s">
        <v>72</v>
      </c>
      <c r="LK5" s="695" t="s">
        <v>72</v>
      </c>
      <c r="LL5" s="695" t="s">
        <v>72</v>
      </c>
      <c r="LM5" s="695" t="s">
        <v>72</v>
      </c>
      <c r="LN5" s="695" t="s">
        <v>72</v>
      </c>
      <c r="LO5" s="695" t="s">
        <v>72</v>
      </c>
      <c r="LP5" s="695" t="s">
        <v>73</v>
      </c>
      <c r="LQ5" s="695" t="s">
        <v>73</v>
      </c>
      <c r="LR5" s="695" t="s">
        <v>73</v>
      </c>
      <c r="LS5" s="695" t="s">
        <v>73</v>
      </c>
      <c r="LT5" s="695" t="s">
        <v>73</v>
      </c>
      <c r="LU5" s="695" t="s">
        <v>73</v>
      </c>
      <c r="LV5" s="695" t="s">
        <v>73</v>
      </c>
      <c r="LW5" s="695" t="s">
        <v>73</v>
      </c>
      <c r="LX5" s="695" t="s">
        <v>73</v>
      </c>
      <c r="LY5" s="695" t="s">
        <v>73</v>
      </c>
      <c r="LZ5" s="695" t="s">
        <v>73</v>
      </c>
      <c r="MA5" s="695" t="s">
        <v>73</v>
      </c>
      <c r="MB5" s="695" t="s">
        <v>74</v>
      </c>
      <c r="MC5" s="695" t="s">
        <v>74</v>
      </c>
      <c r="MD5" s="695" t="s">
        <v>74</v>
      </c>
      <c r="ME5" s="695" t="s">
        <v>74</v>
      </c>
      <c r="MF5" s="695" t="s">
        <v>74</v>
      </c>
      <c r="MG5" s="695" t="s">
        <v>74</v>
      </c>
      <c r="MH5" s="695" t="s">
        <v>74</v>
      </c>
      <c r="MI5" s="695" t="s">
        <v>74</v>
      </c>
      <c r="MJ5" s="695" t="s">
        <v>74</v>
      </c>
      <c r="MK5" s="695" t="s">
        <v>74</v>
      </c>
      <c r="ML5" s="695" t="s">
        <v>75</v>
      </c>
      <c r="MM5" s="695" t="s">
        <v>75</v>
      </c>
      <c r="MN5" s="695" t="s">
        <v>75</v>
      </c>
      <c r="MO5" s="695" t="s">
        <v>75</v>
      </c>
      <c r="MP5" s="695" t="s">
        <v>76</v>
      </c>
      <c r="MQ5" s="695" t="s">
        <v>76</v>
      </c>
      <c r="MR5" s="695" t="s">
        <v>77</v>
      </c>
      <c r="MS5" s="695" t="s">
        <v>1477</v>
      </c>
      <c r="MT5" s="695" t="s">
        <v>1477</v>
      </c>
      <c r="MU5" s="695" t="s">
        <v>1477</v>
      </c>
      <c r="MV5" s="695" t="s">
        <v>1477</v>
      </c>
      <c r="MW5" s="695" t="s">
        <v>1477</v>
      </c>
      <c r="MX5" s="695" t="s">
        <v>1477</v>
      </c>
      <c r="MY5" s="695" t="s">
        <v>1477</v>
      </c>
      <c r="MZ5" s="695" t="s">
        <v>1477</v>
      </c>
      <c r="NA5" s="695" t="s">
        <v>79</v>
      </c>
      <c r="NB5" s="695" t="s">
        <v>79</v>
      </c>
      <c r="NC5" s="695" t="s">
        <v>79</v>
      </c>
      <c r="ND5" s="695" t="s">
        <v>79</v>
      </c>
      <c r="NE5" s="695" t="s">
        <v>79</v>
      </c>
      <c r="NF5" s="695" t="s">
        <v>79</v>
      </c>
      <c r="NG5" s="695" t="s">
        <v>79</v>
      </c>
      <c r="NH5" s="695" t="s">
        <v>79</v>
      </c>
      <c r="NI5" s="695" t="s">
        <v>79</v>
      </c>
      <c r="NJ5" s="695" t="s">
        <v>79</v>
      </c>
      <c r="NK5" s="695" t="s">
        <v>79</v>
      </c>
      <c r="NL5" s="695" t="s">
        <v>79</v>
      </c>
      <c r="NM5" s="695" t="s">
        <v>79</v>
      </c>
      <c r="NN5" s="695" t="s">
        <v>79</v>
      </c>
      <c r="NO5" s="695" t="s">
        <v>79</v>
      </c>
      <c r="NP5" s="695" t="s">
        <v>79</v>
      </c>
      <c r="NQ5" s="695" t="s">
        <v>79</v>
      </c>
      <c r="NR5" s="695" t="s">
        <v>79</v>
      </c>
      <c r="NS5" s="695" t="s">
        <v>79</v>
      </c>
      <c r="NT5" s="695" t="s">
        <v>79</v>
      </c>
      <c r="NU5" s="695" t="s">
        <v>79</v>
      </c>
      <c r="NV5" s="695" t="s">
        <v>79</v>
      </c>
      <c r="NW5" s="695" t="s">
        <v>79</v>
      </c>
      <c r="NX5" s="695" t="s">
        <v>79</v>
      </c>
      <c r="NY5" s="695" t="s">
        <v>79</v>
      </c>
      <c r="NZ5" s="695" t="s">
        <v>79</v>
      </c>
      <c r="OA5" s="695" t="s">
        <v>79</v>
      </c>
      <c r="OB5" s="695" t="s">
        <v>79</v>
      </c>
      <c r="OC5" s="695" t="s">
        <v>79</v>
      </c>
      <c r="OD5" s="695" t="s">
        <v>79</v>
      </c>
      <c r="OE5" s="695" t="s">
        <v>79</v>
      </c>
      <c r="OF5" s="695" t="s">
        <v>79</v>
      </c>
      <c r="OG5" s="695" t="s">
        <v>79</v>
      </c>
      <c r="OH5" s="695" t="s">
        <v>79</v>
      </c>
      <c r="OI5" s="695" t="s">
        <v>79</v>
      </c>
      <c r="OJ5" s="695" t="s">
        <v>79</v>
      </c>
      <c r="OK5" s="695" t="s">
        <v>79</v>
      </c>
      <c r="OL5" s="695" t="s">
        <v>79</v>
      </c>
      <c r="OM5" s="695" t="s">
        <v>79</v>
      </c>
      <c r="ON5" s="695" t="s">
        <v>1478</v>
      </c>
      <c r="OO5" s="695" t="s">
        <v>1478</v>
      </c>
      <c r="OP5" s="695" t="s">
        <v>1478</v>
      </c>
      <c r="OQ5" s="695" t="s">
        <v>1478</v>
      </c>
      <c r="OR5" s="695" t="s">
        <v>81</v>
      </c>
      <c r="OS5" s="695" t="s">
        <v>81</v>
      </c>
      <c r="OT5" s="695" t="s">
        <v>81</v>
      </c>
      <c r="OU5" s="695" t="s">
        <v>81</v>
      </c>
      <c r="OV5" s="695" t="s">
        <v>81</v>
      </c>
      <c r="OW5" s="695" t="s">
        <v>81</v>
      </c>
      <c r="OX5" s="695" t="s">
        <v>82</v>
      </c>
      <c r="OY5" s="695" t="s">
        <v>82</v>
      </c>
      <c r="OZ5" s="695" t="s">
        <v>82</v>
      </c>
      <c r="PA5" s="695" t="s">
        <v>82</v>
      </c>
      <c r="PB5" s="695" t="s">
        <v>82</v>
      </c>
      <c r="PC5" s="695" t="s">
        <v>82</v>
      </c>
      <c r="PD5" s="695" t="s">
        <v>82</v>
      </c>
      <c r="PE5" s="695" t="s">
        <v>82</v>
      </c>
      <c r="PF5" s="695" t="s">
        <v>82</v>
      </c>
      <c r="PG5" s="695" t="s">
        <v>82</v>
      </c>
      <c r="PH5" s="695" t="s">
        <v>83</v>
      </c>
      <c r="PI5" s="695" t="s">
        <v>83</v>
      </c>
      <c r="PJ5" s="695" t="s">
        <v>83</v>
      </c>
      <c r="PK5" s="695" t="s">
        <v>83</v>
      </c>
      <c r="PL5" s="695" t="s">
        <v>83</v>
      </c>
      <c r="PM5" s="695" t="s">
        <v>83</v>
      </c>
      <c r="PN5" s="695" t="s">
        <v>83</v>
      </c>
      <c r="PO5" s="695" t="s">
        <v>83</v>
      </c>
      <c r="PP5" s="695" t="s">
        <v>83</v>
      </c>
      <c r="PQ5" s="695" t="s">
        <v>83</v>
      </c>
      <c r="PR5" s="695" t="s">
        <v>83</v>
      </c>
      <c r="PS5" s="695" t="s">
        <v>83</v>
      </c>
      <c r="PT5" s="695" t="s">
        <v>83</v>
      </c>
      <c r="PU5" s="695" t="s">
        <v>83</v>
      </c>
      <c r="PV5" s="695" t="s">
        <v>83</v>
      </c>
      <c r="PW5" s="695" t="s">
        <v>83</v>
      </c>
      <c r="PX5" s="695" t="s">
        <v>83</v>
      </c>
      <c r="PY5" s="695" t="s">
        <v>83</v>
      </c>
      <c r="PZ5" s="695" t="s">
        <v>83</v>
      </c>
      <c r="QA5" s="695" t="s">
        <v>83</v>
      </c>
      <c r="QB5" s="695" t="s">
        <v>83</v>
      </c>
      <c r="QC5" s="695" t="s">
        <v>83</v>
      </c>
      <c r="QD5" s="695" t="s">
        <v>83</v>
      </c>
      <c r="QE5" s="695" t="s">
        <v>83</v>
      </c>
      <c r="QF5" s="695" t="s">
        <v>83</v>
      </c>
      <c r="QG5" s="695" t="s">
        <v>83</v>
      </c>
      <c r="QH5" s="695" t="s">
        <v>83</v>
      </c>
      <c r="QI5" s="695" t="s">
        <v>83</v>
      </c>
      <c r="QJ5" s="695" t="s">
        <v>83</v>
      </c>
      <c r="QK5" s="695" t="s">
        <v>83</v>
      </c>
      <c r="QL5" s="695" t="s">
        <v>83</v>
      </c>
      <c r="QM5" s="695" t="s">
        <v>83</v>
      </c>
      <c r="QN5" s="695" t="s">
        <v>83</v>
      </c>
      <c r="QO5" s="695" t="s">
        <v>83</v>
      </c>
      <c r="QP5" s="695" t="s">
        <v>83</v>
      </c>
      <c r="QQ5" s="695" t="s">
        <v>83</v>
      </c>
      <c r="QR5" s="695" t="s">
        <v>83</v>
      </c>
      <c r="QS5" s="695" t="s">
        <v>83</v>
      </c>
      <c r="QT5" s="695" t="s">
        <v>83</v>
      </c>
      <c r="QU5" s="695" t="s">
        <v>83</v>
      </c>
      <c r="QV5" s="695" t="s">
        <v>83</v>
      </c>
      <c r="QW5" s="695" t="s">
        <v>83</v>
      </c>
      <c r="QX5" s="695" t="s">
        <v>83</v>
      </c>
      <c r="QY5" s="695" t="s">
        <v>83</v>
      </c>
      <c r="QZ5" s="695" t="s">
        <v>83</v>
      </c>
      <c r="RA5" s="695" t="s">
        <v>83</v>
      </c>
      <c r="RB5" s="695" t="s">
        <v>83</v>
      </c>
      <c r="RC5" s="696"/>
      <c r="RD5" s="697"/>
      <c r="RF5" s="55" t="s">
        <v>265</v>
      </c>
      <c r="RG5" s="699">
        <f>SUM(RG10:RG163)</f>
        <v>1185118134</v>
      </c>
      <c r="RH5" s="699">
        <f t="shared" ref="RH5:RR5" si="0">SUM(RH10:RH163)</f>
        <v>68521295</v>
      </c>
      <c r="RI5" s="699">
        <f t="shared" si="0"/>
        <v>2601984</v>
      </c>
      <c r="RJ5" s="699">
        <f t="shared" si="0"/>
        <v>1163540</v>
      </c>
      <c r="RK5" s="699">
        <f t="shared" si="0"/>
        <v>1843688</v>
      </c>
      <c r="RL5" s="699">
        <f t="shared" si="0"/>
        <v>151759262</v>
      </c>
      <c r="RM5" s="699">
        <f t="shared" si="0"/>
        <v>69143222</v>
      </c>
      <c r="RN5" s="699">
        <f t="shared" si="0"/>
        <v>1065861</v>
      </c>
      <c r="RO5" s="699">
        <f t="shared" si="0"/>
        <v>15538076</v>
      </c>
      <c r="RP5" s="699">
        <f t="shared" si="0"/>
        <v>17262481</v>
      </c>
      <c r="RQ5" s="699">
        <f t="shared" si="0"/>
        <v>6095514</v>
      </c>
      <c r="RR5" s="699">
        <f t="shared" si="0"/>
        <v>32212020</v>
      </c>
      <c r="RS5" s="700"/>
      <c r="RT5" s="701"/>
      <c r="RU5" s="702"/>
      <c r="RV5" s="699">
        <f>SUM(RV10:RV163)</f>
        <v>248757909</v>
      </c>
      <c r="RW5" s="699">
        <f t="shared" ref="RW5:RY5" si="1">SUM(RW10:RW163)</f>
        <v>1552325077</v>
      </c>
      <c r="RX5" s="699">
        <f t="shared" si="1"/>
        <v>582406598</v>
      </c>
      <c r="RY5" s="699">
        <f t="shared" si="1"/>
        <v>200406734</v>
      </c>
      <c r="RZ5" s="700"/>
      <c r="SA5" s="701"/>
      <c r="SB5" s="702"/>
      <c r="SC5" s="699"/>
      <c r="SD5" s="703"/>
      <c r="SE5" s="704">
        <f>_xlfn.PERCENTILE.EXC(SE10:SE124, 0.85)</f>
        <v>1245624.9577984232</v>
      </c>
      <c r="SF5" s="878">
        <f>MEDIAN(SF10:SF124)</f>
        <v>3.3565319999999996</v>
      </c>
      <c r="SG5" s="711">
        <f>SUM(SG10:SG163)</f>
        <v>0</v>
      </c>
      <c r="SH5" s="711">
        <f>SUM(SH10:SH163)</f>
        <v>0</v>
      </c>
      <c r="SI5" s="699"/>
      <c r="SJ5" s="705"/>
      <c r="SK5" s="697"/>
      <c r="SL5" s="55" t="s">
        <v>266</v>
      </c>
      <c r="SM5" s="706">
        <f>SUM(RG10:RR163)</f>
        <v>1552325077</v>
      </c>
      <c r="SN5" s="706">
        <f>SUM(SN10:SN163)</f>
        <v>0</v>
      </c>
      <c r="SO5" s="706">
        <f>SUM(SO10:SO163)</f>
        <v>1552325077</v>
      </c>
      <c r="SP5" s="707">
        <f>(SM5-SN5)/SM5</f>
        <v>1</v>
      </c>
      <c r="SQ5" s="708"/>
      <c r="SR5" s="709"/>
      <c r="SS5" s="710" t="s">
        <v>266</v>
      </c>
      <c r="ST5" s="711">
        <f>SUM(ST10:ST163)</f>
        <v>270347</v>
      </c>
      <c r="SU5" s="711">
        <f>SUM(SU10:SU163)</f>
        <v>124967.2707584045</v>
      </c>
      <c r="SV5" s="712">
        <f>SU5/ST5</f>
        <v>0.46224766969267089</v>
      </c>
      <c r="SW5" s="711">
        <f>SUM(SW10:SW163)</f>
        <v>26240</v>
      </c>
      <c r="SX5" s="712">
        <f>SW5/ST5</f>
        <v>9.7060444539795149E-2</v>
      </c>
      <c r="SY5" s="713">
        <f>SUM(SY10:SY163)</f>
        <v>29534</v>
      </c>
      <c r="SZ5" s="714">
        <f>SY5/ST5</f>
        <v>0.1092447854054234</v>
      </c>
      <c r="TA5" s="713">
        <f>SUM(TA10:TA163)</f>
        <v>20673.799999999988</v>
      </c>
      <c r="TB5" s="713">
        <f t="shared" ref="TB5:TK5" si="2">SUM(TB10:TB163)</f>
        <v>5906.8000000000011</v>
      </c>
      <c r="TC5" s="713">
        <f t="shared" si="2"/>
        <v>2067.3799999999997</v>
      </c>
      <c r="TD5" s="713">
        <f t="shared" si="2"/>
        <v>886.0200000000001</v>
      </c>
      <c r="TE5" s="713">
        <f t="shared" si="2"/>
        <v>2999</v>
      </c>
      <c r="TF5" s="713">
        <f t="shared" si="2"/>
        <v>21115</v>
      </c>
      <c r="TG5" s="713">
        <f t="shared" si="2"/>
        <v>69200</v>
      </c>
      <c r="TH5" s="713">
        <f t="shared" si="2"/>
        <v>68807</v>
      </c>
      <c r="TI5" s="713">
        <f t="shared" si="2"/>
        <v>45214</v>
      </c>
      <c r="TJ5" s="713">
        <f t="shared" si="2"/>
        <v>87126</v>
      </c>
      <c r="TK5" s="713">
        <f t="shared" si="2"/>
        <v>183008</v>
      </c>
      <c r="TL5" s="712"/>
      <c r="TM5" s="715">
        <f>SUM(TM10:TM163)</f>
        <v>75240.26999999999</v>
      </c>
      <c r="TN5" s="712"/>
      <c r="TO5" s="711">
        <f>SUM(TO10:TO163)</f>
        <v>59907.430000000008</v>
      </c>
      <c r="TP5" s="711">
        <f>SUM(TP10:TP163)</f>
        <v>8241</v>
      </c>
      <c r="TQ5" s="711"/>
      <c r="TR5" s="716"/>
      <c r="TS5" s="717"/>
      <c r="TT5" s="718"/>
      <c r="TU5" s="711">
        <f>SUM(TU10:TU163)</f>
        <v>59478.320000000007</v>
      </c>
      <c r="TV5" s="711">
        <f>SUM(TV10:TV163)</f>
        <v>75669.379999999976</v>
      </c>
      <c r="TW5" s="711">
        <f>SUM(TW10:TW163)</f>
        <v>75669.379999999976</v>
      </c>
      <c r="TX5" s="697"/>
      <c r="TY5" s="719"/>
      <c r="TZ5" s="711">
        <f>SUM(TZ10:TZ163)</f>
        <v>7253.4400000000014</v>
      </c>
      <c r="UA5" s="711">
        <f>SUM(UA10:UA163)</f>
        <v>17208.379999999997</v>
      </c>
      <c r="UB5" s="711">
        <f>SUM(UB10:UB163)</f>
        <v>17208.379999999997</v>
      </c>
      <c r="UC5" s="697"/>
      <c r="UD5" s="720"/>
      <c r="UE5" s="721">
        <f>IF('1. Simulator Input'!$E$96="yes", '1. Simulator Input'!D108, "")</f>
        <v>0</v>
      </c>
      <c r="UG5" s="709"/>
      <c r="UI5" s="711">
        <f>SUM(UI10:UI163)</f>
        <v>0</v>
      </c>
      <c r="UJ5" s="711">
        <f>SUM(UJ10:UJ163)</f>
        <v>0</v>
      </c>
      <c r="UK5" s="711">
        <f>SUM(UK10:UK163)</f>
        <v>1552325077</v>
      </c>
      <c r="UL5" s="865"/>
      <c r="UM5" s="862"/>
      <c r="UN5" s="865"/>
      <c r="UO5" s="722"/>
      <c r="UP5" s="723"/>
      <c r="UQ5" s="723"/>
      <c r="VF5" s="709"/>
      <c r="VH5" s="722">
        <f>SUM(VH10:VH163)</f>
        <v>0</v>
      </c>
      <c r="VI5" s="722">
        <f>SUM(VI10:VI163)</f>
        <v>0</v>
      </c>
      <c r="VJ5" s="722">
        <f>SUM(VJ10:VJ163)</f>
        <v>1552278267</v>
      </c>
      <c r="VK5" s="722">
        <f>SUM(VK10:VK163)</f>
        <v>1552278267</v>
      </c>
      <c r="VM5" s="709"/>
      <c r="VO5" s="722">
        <f>SUM(VO10:VO163)</f>
        <v>248757909</v>
      </c>
      <c r="VP5" s="870">
        <f t="shared" ref="VP5:VU5" si="3">SUM(VP10:VP163)</f>
        <v>1552325077</v>
      </c>
      <c r="VQ5" s="722">
        <f t="shared" si="3"/>
        <v>582406598</v>
      </c>
      <c r="VR5" s="722">
        <f t="shared" si="3"/>
        <v>248757909</v>
      </c>
      <c r="VS5" s="722">
        <f t="shared" si="3"/>
        <v>1552278267</v>
      </c>
      <c r="VT5" s="722">
        <f t="shared" si="3"/>
        <v>582406598</v>
      </c>
      <c r="VU5" s="722">
        <f t="shared" si="3"/>
        <v>0</v>
      </c>
      <c r="VV5" s="722"/>
      <c r="VW5" s="881"/>
      <c r="VX5" s="722"/>
      <c r="WB5" s="912"/>
      <c r="WD5" s="709"/>
      <c r="WE5" s="889"/>
      <c r="WF5" s="889"/>
      <c r="WG5" s="889"/>
      <c r="WH5" s="889"/>
      <c r="WI5" s="889"/>
      <c r="WJ5" s="889"/>
      <c r="WL5" s="889"/>
      <c r="WN5" s="889"/>
      <c r="WO5" s="889"/>
      <c r="WP5" s="709"/>
      <c r="WQ5" s="889"/>
      <c r="WW5" s="722">
        <f t="shared" ref="WW5:XB5" si="4">SUM(WW10:WW163)</f>
        <v>248757909</v>
      </c>
      <c r="WX5" s="722">
        <f t="shared" si="4"/>
        <v>1552278267</v>
      </c>
      <c r="WY5" s="722">
        <f t="shared" si="4"/>
        <v>0</v>
      </c>
      <c r="WZ5" s="722">
        <f t="shared" si="4"/>
        <v>1552278267</v>
      </c>
      <c r="XA5" s="722">
        <f t="shared" si="4"/>
        <v>0</v>
      </c>
      <c r="XB5" s="722">
        <f t="shared" si="4"/>
        <v>582406598</v>
      </c>
      <c r="XC5" s="722">
        <f>SUM(XC10:XC163)</f>
        <v>582406598</v>
      </c>
      <c r="XD5" s="722">
        <f>SUM(XD10:XD163)</f>
        <v>0</v>
      </c>
      <c r="XE5" s="722"/>
      <c r="XF5" s="722"/>
      <c r="XG5" s="722"/>
      <c r="XH5" s="722"/>
      <c r="XI5" s="722"/>
      <c r="XJ5" s="722">
        <f>SUM(XJ10:XJ163)</f>
        <v>1552278267</v>
      </c>
      <c r="XK5" s="722">
        <f>XJ5+UO3-XD5</f>
        <v>1552325077</v>
      </c>
      <c r="XL5" s="722" t="s">
        <v>2770</v>
      </c>
      <c r="XP5" s="722">
        <f>SUM(XP10:XP163)</f>
        <v>1552278267</v>
      </c>
      <c r="XR5" s="722">
        <f>SUM(XR10:XR163)</f>
        <v>1552278267</v>
      </c>
      <c r="XS5" s="722">
        <f>SUM(XS10:XS163)</f>
        <v>1552278267</v>
      </c>
      <c r="XU5" s="870">
        <f>SUM(XU10:XU163)</f>
        <v>1552325077</v>
      </c>
      <c r="XW5" s="869">
        <f>SUM(XW10:XW163)</f>
        <v>1552325077</v>
      </c>
      <c r="XY5" s="872">
        <f>SUM(XY10:XY163)</f>
        <v>-46810</v>
      </c>
      <c r="YC5" s="709"/>
      <c r="YJ5" s="709"/>
    </row>
    <row r="6" spans="1:660" s="540" customFormat="1" ht="17.25" customHeight="1">
      <c r="A6" s="572"/>
      <c r="B6" s="14" t="s">
        <v>84</v>
      </c>
      <c r="C6" s="691" t="s">
        <v>1399</v>
      </c>
      <c r="D6" s="691" t="s">
        <v>1399</v>
      </c>
      <c r="E6" s="691" t="s">
        <v>1399</v>
      </c>
      <c r="F6" s="691" t="s">
        <v>1399</v>
      </c>
      <c r="G6" s="691" t="s">
        <v>1399</v>
      </c>
      <c r="H6" s="691" t="s">
        <v>1399</v>
      </c>
      <c r="I6" s="691" t="s">
        <v>1399</v>
      </c>
      <c r="J6" s="691" t="s">
        <v>1399</v>
      </c>
      <c r="K6" s="691" t="s">
        <v>1399</v>
      </c>
      <c r="L6" s="691" t="s">
        <v>1399</v>
      </c>
      <c r="M6" s="691" t="s">
        <v>1399</v>
      </c>
      <c r="N6" s="691" t="s">
        <v>1399</v>
      </c>
      <c r="O6" s="691" t="s">
        <v>1399</v>
      </c>
      <c r="P6" s="691" t="s">
        <v>1399</v>
      </c>
      <c r="Q6" s="691" t="s">
        <v>1399</v>
      </c>
      <c r="R6" s="691" t="s">
        <v>1399</v>
      </c>
      <c r="S6" s="691" t="s">
        <v>1399</v>
      </c>
      <c r="T6" s="691" t="s">
        <v>1399</v>
      </c>
      <c r="U6" s="691" t="s">
        <v>1399</v>
      </c>
      <c r="V6" s="691" t="s">
        <v>1399</v>
      </c>
      <c r="W6" s="691" t="s">
        <v>1399</v>
      </c>
      <c r="X6" s="691" t="s">
        <v>1399</v>
      </c>
      <c r="Y6" s="691" t="s">
        <v>1399</v>
      </c>
      <c r="Z6" s="691" t="s">
        <v>1399</v>
      </c>
      <c r="AA6" s="691" t="s">
        <v>1399</v>
      </c>
      <c r="AB6" s="691" t="s">
        <v>1399</v>
      </c>
      <c r="AC6" s="691" t="s">
        <v>1399</v>
      </c>
      <c r="AD6" s="691" t="s">
        <v>1399</v>
      </c>
      <c r="AE6" s="691" t="s">
        <v>1399</v>
      </c>
      <c r="AF6" s="691" t="s">
        <v>1399</v>
      </c>
      <c r="AG6" s="691" t="s">
        <v>1399</v>
      </c>
      <c r="AH6" s="691" t="s">
        <v>1399</v>
      </c>
      <c r="AI6" s="691" t="s">
        <v>1399</v>
      </c>
      <c r="AJ6" s="691" t="s">
        <v>1399</v>
      </c>
      <c r="AK6" s="691" t="s">
        <v>1399</v>
      </c>
      <c r="AL6" s="691" t="s">
        <v>1399</v>
      </c>
      <c r="AM6" s="691" t="s">
        <v>1399</v>
      </c>
      <c r="AN6" s="691" t="s">
        <v>1399</v>
      </c>
      <c r="AO6" s="691" t="s">
        <v>1399</v>
      </c>
      <c r="AP6" s="691" t="s">
        <v>1399</v>
      </c>
      <c r="AQ6" s="691" t="s">
        <v>1399</v>
      </c>
      <c r="AR6" s="691" t="s">
        <v>1399</v>
      </c>
      <c r="AS6" s="691" t="s">
        <v>1399</v>
      </c>
      <c r="AT6" s="691" t="s">
        <v>1399</v>
      </c>
      <c r="AU6" s="691" t="s">
        <v>1399</v>
      </c>
      <c r="AV6" s="691" t="s">
        <v>1399</v>
      </c>
      <c r="AW6" s="691" t="s">
        <v>1399</v>
      </c>
      <c r="AX6" s="691" t="s">
        <v>1399</v>
      </c>
      <c r="AY6" s="691" t="s">
        <v>1399</v>
      </c>
      <c r="AZ6" s="691" t="s">
        <v>1399</v>
      </c>
      <c r="BA6" s="691" t="s">
        <v>1399</v>
      </c>
      <c r="BB6" s="691" t="s">
        <v>1399</v>
      </c>
      <c r="BC6" s="691" t="s">
        <v>1399</v>
      </c>
      <c r="BD6" s="691" t="s">
        <v>1399</v>
      </c>
      <c r="BE6" s="691" t="s">
        <v>1399</v>
      </c>
      <c r="BF6" s="691" t="s">
        <v>1399</v>
      </c>
      <c r="BG6" s="691" t="s">
        <v>1399</v>
      </c>
      <c r="BH6" s="691" t="s">
        <v>1399</v>
      </c>
      <c r="BI6" s="691" t="s">
        <v>1399</v>
      </c>
      <c r="BJ6" s="691" t="s">
        <v>1399</v>
      </c>
      <c r="BK6" s="691" t="s">
        <v>1399</v>
      </c>
      <c r="BL6" s="691" t="s">
        <v>1399</v>
      </c>
      <c r="BM6" s="691" t="s">
        <v>1399</v>
      </c>
      <c r="BN6" s="691" t="s">
        <v>1399</v>
      </c>
      <c r="BO6" s="691" t="s">
        <v>1399</v>
      </c>
      <c r="BP6" s="691" t="s">
        <v>1399</v>
      </c>
      <c r="BQ6" s="691" t="s">
        <v>1399</v>
      </c>
      <c r="BR6" s="691" t="s">
        <v>1399</v>
      </c>
      <c r="BS6" s="691" t="s">
        <v>1399</v>
      </c>
      <c r="BT6" s="691" t="s">
        <v>1399</v>
      </c>
      <c r="BU6" s="691" t="s">
        <v>1399</v>
      </c>
      <c r="BV6" s="691" t="s">
        <v>1399</v>
      </c>
      <c r="BW6" s="691" t="s">
        <v>1399</v>
      </c>
      <c r="BX6" s="691" t="s">
        <v>1399</v>
      </c>
      <c r="BY6" s="691" t="s">
        <v>1399</v>
      </c>
      <c r="BZ6" s="691" t="s">
        <v>1399</v>
      </c>
      <c r="CA6" s="691" t="s">
        <v>1399</v>
      </c>
      <c r="CB6" s="691" t="s">
        <v>1399</v>
      </c>
      <c r="CC6" s="691" t="s">
        <v>1399</v>
      </c>
      <c r="CD6" s="691" t="s">
        <v>1399</v>
      </c>
      <c r="CE6" s="691" t="s">
        <v>1399</v>
      </c>
      <c r="CF6" s="691" t="s">
        <v>1399</v>
      </c>
      <c r="CG6" s="691" t="s">
        <v>1399</v>
      </c>
      <c r="CH6" s="691" t="s">
        <v>1399</v>
      </c>
      <c r="CI6" s="691" t="s">
        <v>1399</v>
      </c>
      <c r="CJ6" s="691" t="s">
        <v>1399</v>
      </c>
      <c r="CK6" s="691" t="s">
        <v>1399</v>
      </c>
      <c r="CL6" s="691" t="s">
        <v>1399</v>
      </c>
      <c r="CM6" s="691" t="s">
        <v>1399</v>
      </c>
      <c r="CN6" s="691" t="s">
        <v>1399</v>
      </c>
      <c r="CO6" s="691" t="s">
        <v>1399</v>
      </c>
      <c r="CP6" s="691" t="s">
        <v>1399</v>
      </c>
      <c r="CQ6" s="691" t="s">
        <v>1399</v>
      </c>
      <c r="CR6" s="691" t="s">
        <v>1399</v>
      </c>
      <c r="CS6" s="691" t="s">
        <v>1399</v>
      </c>
      <c r="CT6" s="691" t="s">
        <v>1399</v>
      </c>
      <c r="CU6" s="691" t="s">
        <v>1399</v>
      </c>
      <c r="CV6" s="691" t="s">
        <v>1399</v>
      </c>
      <c r="CW6" s="691" t="s">
        <v>1399</v>
      </c>
      <c r="CX6" s="691" t="s">
        <v>1399</v>
      </c>
      <c r="CY6" s="691" t="s">
        <v>1399</v>
      </c>
      <c r="CZ6" s="691" t="s">
        <v>1399</v>
      </c>
      <c r="DA6" s="691" t="s">
        <v>1399</v>
      </c>
      <c r="DB6" s="691" t="s">
        <v>1399</v>
      </c>
      <c r="DC6" s="691" t="s">
        <v>1399</v>
      </c>
      <c r="DD6" s="691" t="s">
        <v>1399</v>
      </c>
      <c r="DE6" s="691" t="s">
        <v>1399</v>
      </c>
      <c r="DF6" s="691" t="s">
        <v>1399</v>
      </c>
      <c r="DG6" s="691" t="s">
        <v>1399</v>
      </c>
      <c r="DH6" s="691" t="s">
        <v>1399</v>
      </c>
      <c r="DI6" s="691" t="s">
        <v>1399</v>
      </c>
      <c r="DJ6" s="691" t="s">
        <v>1399</v>
      </c>
      <c r="DK6" s="691" t="s">
        <v>1399</v>
      </c>
      <c r="DL6" s="691" t="s">
        <v>1399</v>
      </c>
      <c r="DM6" s="691" t="s">
        <v>1399</v>
      </c>
      <c r="DN6" s="691" t="s">
        <v>1399</v>
      </c>
      <c r="DO6" s="691" t="s">
        <v>1399</v>
      </c>
      <c r="DP6" s="691" t="s">
        <v>1399</v>
      </c>
      <c r="DQ6" s="691" t="s">
        <v>1399</v>
      </c>
      <c r="DR6" s="691" t="s">
        <v>1399</v>
      </c>
      <c r="DS6" s="691" t="s">
        <v>1399</v>
      </c>
      <c r="DT6" s="691" t="s">
        <v>1399</v>
      </c>
      <c r="DU6" s="691" t="s">
        <v>1399</v>
      </c>
      <c r="DV6" s="691" t="s">
        <v>1399</v>
      </c>
      <c r="DW6" s="691" t="s">
        <v>1399</v>
      </c>
      <c r="DX6" s="691" t="s">
        <v>1399</v>
      </c>
      <c r="DY6" s="691" t="s">
        <v>1399</v>
      </c>
      <c r="DZ6" s="691" t="s">
        <v>1399</v>
      </c>
      <c r="EA6" s="691" t="s">
        <v>1399</v>
      </c>
      <c r="EB6" s="691" t="s">
        <v>1399</v>
      </c>
      <c r="EC6" s="691" t="s">
        <v>1399</v>
      </c>
      <c r="ED6" s="691" t="s">
        <v>1399</v>
      </c>
      <c r="EE6" s="691" t="s">
        <v>1399</v>
      </c>
      <c r="EF6" s="691" t="s">
        <v>1399</v>
      </c>
      <c r="EG6" s="691" t="s">
        <v>1399</v>
      </c>
      <c r="EH6" s="691" t="s">
        <v>1399</v>
      </c>
      <c r="EI6" s="691" t="s">
        <v>1399</v>
      </c>
      <c r="EJ6" s="691" t="s">
        <v>1399</v>
      </c>
      <c r="EK6" s="691" t="s">
        <v>1399</v>
      </c>
      <c r="EL6" s="691" t="s">
        <v>1399</v>
      </c>
      <c r="EM6" s="691" t="s">
        <v>1399</v>
      </c>
      <c r="EN6" s="691" t="s">
        <v>1399</v>
      </c>
      <c r="EO6" s="691" t="s">
        <v>1399</v>
      </c>
      <c r="EP6" s="691" t="s">
        <v>1399</v>
      </c>
      <c r="EQ6" s="691" t="s">
        <v>1399</v>
      </c>
      <c r="ER6" s="691" t="s">
        <v>1399</v>
      </c>
      <c r="ES6" s="691" t="s">
        <v>1399</v>
      </c>
      <c r="ET6" s="691" t="s">
        <v>1399</v>
      </c>
      <c r="EU6" s="691" t="s">
        <v>1399</v>
      </c>
      <c r="EV6" s="691" t="s">
        <v>1399</v>
      </c>
      <c r="EW6" s="691" t="s">
        <v>1399</v>
      </c>
      <c r="EX6" s="691" t="s">
        <v>1399</v>
      </c>
      <c r="EY6" s="691" t="s">
        <v>1399</v>
      </c>
      <c r="EZ6" s="691" t="s">
        <v>1399</v>
      </c>
      <c r="FA6" s="691" t="s">
        <v>1399</v>
      </c>
      <c r="FB6" s="691" t="s">
        <v>1399</v>
      </c>
      <c r="FC6" s="691" t="s">
        <v>1399</v>
      </c>
      <c r="FD6" s="691" t="s">
        <v>1399</v>
      </c>
      <c r="FE6" s="691" t="s">
        <v>1399</v>
      </c>
      <c r="FF6" s="691" t="s">
        <v>1399</v>
      </c>
      <c r="FG6" s="691" t="s">
        <v>1399</v>
      </c>
      <c r="FH6" s="691" t="s">
        <v>1399</v>
      </c>
      <c r="FI6" s="691" t="s">
        <v>1399</v>
      </c>
      <c r="FJ6" s="691" t="s">
        <v>1399</v>
      </c>
      <c r="FK6" s="691" t="s">
        <v>1399</v>
      </c>
      <c r="FL6" s="691" t="s">
        <v>1399</v>
      </c>
      <c r="FM6" s="691" t="s">
        <v>1399</v>
      </c>
      <c r="FN6" s="691" t="s">
        <v>1399</v>
      </c>
      <c r="FO6" s="691" t="s">
        <v>1399</v>
      </c>
      <c r="FP6" s="691" t="s">
        <v>1399</v>
      </c>
      <c r="FQ6" s="691" t="s">
        <v>1399</v>
      </c>
      <c r="FR6" s="691" t="s">
        <v>1399</v>
      </c>
      <c r="FS6" s="691" t="s">
        <v>1399</v>
      </c>
      <c r="FT6" s="691" t="s">
        <v>1399</v>
      </c>
      <c r="FU6" s="691" t="s">
        <v>1399</v>
      </c>
      <c r="FV6" s="691" t="s">
        <v>1399</v>
      </c>
      <c r="FW6" s="691" t="s">
        <v>1399</v>
      </c>
      <c r="FX6" s="691" t="s">
        <v>1399</v>
      </c>
      <c r="FY6" s="691" t="s">
        <v>1399</v>
      </c>
      <c r="FZ6" s="691" t="s">
        <v>1399</v>
      </c>
      <c r="GA6" s="691" t="s">
        <v>1399</v>
      </c>
      <c r="GB6" s="691" t="s">
        <v>1399</v>
      </c>
      <c r="GC6" s="691" t="s">
        <v>1399</v>
      </c>
      <c r="GD6" s="691" t="s">
        <v>1399</v>
      </c>
      <c r="GE6" s="691" t="s">
        <v>1399</v>
      </c>
      <c r="GF6" s="691" t="s">
        <v>1399</v>
      </c>
      <c r="GG6" s="691" t="s">
        <v>1399</v>
      </c>
      <c r="GH6" s="691" t="s">
        <v>1399</v>
      </c>
      <c r="GI6" s="691" t="s">
        <v>1399</v>
      </c>
      <c r="GJ6" s="691" t="s">
        <v>1399</v>
      </c>
      <c r="GK6" s="691" t="s">
        <v>1399</v>
      </c>
      <c r="GL6" s="691" t="s">
        <v>1399</v>
      </c>
      <c r="GM6" s="691" t="s">
        <v>1399</v>
      </c>
      <c r="GN6" s="691" t="s">
        <v>1399</v>
      </c>
      <c r="GO6" s="691" t="s">
        <v>1399</v>
      </c>
      <c r="GP6" s="691" t="s">
        <v>1399</v>
      </c>
      <c r="GQ6" s="691" t="s">
        <v>1399</v>
      </c>
      <c r="GR6" s="691" t="s">
        <v>1399</v>
      </c>
      <c r="GS6" s="691" t="s">
        <v>1399</v>
      </c>
      <c r="GT6" s="691" t="s">
        <v>1399</v>
      </c>
      <c r="GU6" s="691" t="s">
        <v>1399</v>
      </c>
      <c r="GV6" s="691" t="s">
        <v>1399</v>
      </c>
      <c r="GW6" s="691" t="s">
        <v>1399</v>
      </c>
      <c r="GX6" s="691" t="s">
        <v>1399</v>
      </c>
      <c r="GY6" s="691" t="s">
        <v>1399</v>
      </c>
      <c r="GZ6" s="691" t="s">
        <v>1399</v>
      </c>
      <c r="HA6" s="691" t="s">
        <v>1399</v>
      </c>
      <c r="HB6" s="691" t="s">
        <v>1399</v>
      </c>
      <c r="HC6" s="691" t="s">
        <v>1479</v>
      </c>
      <c r="HD6" s="691" t="s">
        <v>1398</v>
      </c>
      <c r="HE6" s="691" t="s">
        <v>1398</v>
      </c>
      <c r="HF6" s="691" t="s">
        <v>1398</v>
      </c>
      <c r="HG6" s="691" t="s">
        <v>1398</v>
      </c>
      <c r="HH6" s="691" t="s">
        <v>1398</v>
      </c>
      <c r="HI6" s="691" t="s">
        <v>1398</v>
      </c>
      <c r="HJ6" s="691" t="s">
        <v>1398</v>
      </c>
      <c r="HK6" s="691" t="s">
        <v>1398</v>
      </c>
      <c r="HL6" s="691" t="s">
        <v>1398</v>
      </c>
      <c r="HM6" s="691" t="s">
        <v>1398</v>
      </c>
      <c r="HN6" s="691" t="s">
        <v>1398</v>
      </c>
      <c r="HO6" s="691" t="s">
        <v>1398</v>
      </c>
      <c r="HP6" s="691" t="s">
        <v>1398</v>
      </c>
      <c r="HQ6" s="691" t="s">
        <v>1398</v>
      </c>
      <c r="HR6" s="691" t="s">
        <v>1398</v>
      </c>
      <c r="HS6" s="691" t="s">
        <v>1398</v>
      </c>
      <c r="HT6" s="691" t="s">
        <v>1398</v>
      </c>
      <c r="HU6" s="691" t="s">
        <v>1398</v>
      </c>
      <c r="HV6" s="691" t="s">
        <v>1398</v>
      </c>
      <c r="HW6" s="691" t="s">
        <v>1398</v>
      </c>
      <c r="HX6" s="691" t="s">
        <v>1398</v>
      </c>
      <c r="HY6" s="691" t="s">
        <v>1398</v>
      </c>
      <c r="HZ6" s="691" t="s">
        <v>1398</v>
      </c>
      <c r="IA6" s="691" t="s">
        <v>1398</v>
      </c>
      <c r="IB6" s="691" t="s">
        <v>1398</v>
      </c>
      <c r="IC6" s="691" t="s">
        <v>1398</v>
      </c>
      <c r="ID6" s="691" t="s">
        <v>1398</v>
      </c>
      <c r="IE6" s="691" t="s">
        <v>1398</v>
      </c>
      <c r="IF6" s="691" t="s">
        <v>1398</v>
      </c>
      <c r="IG6" s="691" t="s">
        <v>1398</v>
      </c>
      <c r="IH6" s="691" t="s">
        <v>1398</v>
      </c>
      <c r="II6" s="691" t="s">
        <v>1398</v>
      </c>
      <c r="IJ6" s="691" t="s">
        <v>1398</v>
      </c>
      <c r="IK6" s="691" t="s">
        <v>1398</v>
      </c>
      <c r="IL6" s="691" t="s">
        <v>1398</v>
      </c>
      <c r="IM6" s="691" t="s">
        <v>1398</v>
      </c>
      <c r="IN6" s="691" t="s">
        <v>1398</v>
      </c>
      <c r="IO6" s="691" t="s">
        <v>1398</v>
      </c>
      <c r="IP6" s="691" t="s">
        <v>1398</v>
      </c>
      <c r="IQ6" s="691" t="s">
        <v>1398</v>
      </c>
      <c r="IR6" s="691" t="s">
        <v>1398</v>
      </c>
      <c r="IS6" s="691" t="s">
        <v>1398</v>
      </c>
      <c r="IT6" s="691" t="s">
        <v>1398</v>
      </c>
      <c r="IU6" s="691" t="s">
        <v>1398</v>
      </c>
      <c r="IV6" s="691" t="s">
        <v>1398</v>
      </c>
      <c r="IW6" s="691" t="s">
        <v>1398</v>
      </c>
      <c r="IX6" s="691" t="s">
        <v>1398</v>
      </c>
      <c r="IY6" s="691" t="s">
        <v>1398</v>
      </c>
      <c r="IZ6" s="691" t="s">
        <v>1398</v>
      </c>
      <c r="JA6" s="691" t="s">
        <v>1398</v>
      </c>
      <c r="JB6" s="691" t="s">
        <v>1398</v>
      </c>
      <c r="JC6" s="691" t="s">
        <v>1398</v>
      </c>
      <c r="JD6" s="691" t="s">
        <v>1398</v>
      </c>
      <c r="JE6" s="691" t="s">
        <v>1398</v>
      </c>
      <c r="JF6" s="691" t="s">
        <v>1398</v>
      </c>
      <c r="JG6" s="691" t="s">
        <v>1398</v>
      </c>
      <c r="JH6" s="691" t="s">
        <v>1398</v>
      </c>
      <c r="JI6" s="691" t="s">
        <v>1398</v>
      </c>
      <c r="JJ6" s="691" t="s">
        <v>1398</v>
      </c>
      <c r="JK6" s="691" t="s">
        <v>1398</v>
      </c>
      <c r="JL6" s="691" t="s">
        <v>1398</v>
      </c>
      <c r="JM6" s="691" t="s">
        <v>1398</v>
      </c>
      <c r="JN6" s="691" t="s">
        <v>1398</v>
      </c>
      <c r="JO6" s="691" t="s">
        <v>1398</v>
      </c>
      <c r="JP6" s="691" t="s">
        <v>1398</v>
      </c>
      <c r="JQ6" s="691" t="s">
        <v>1398</v>
      </c>
      <c r="JR6" s="691" t="s">
        <v>1398</v>
      </c>
      <c r="JS6" s="691" t="s">
        <v>1398</v>
      </c>
      <c r="JT6" s="691" t="s">
        <v>1398</v>
      </c>
      <c r="JU6" s="691" t="s">
        <v>1398</v>
      </c>
      <c r="JV6" s="691" t="s">
        <v>1398</v>
      </c>
      <c r="JW6" s="691" t="s">
        <v>1398</v>
      </c>
      <c r="JX6" s="691" t="s">
        <v>1398</v>
      </c>
      <c r="JY6" s="691" t="s">
        <v>1398</v>
      </c>
      <c r="JZ6" s="691" t="s">
        <v>1398</v>
      </c>
      <c r="KA6" s="691" t="s">
        <v>1398</v>
      </c>
      <c r="KB6" s="691" t="s">
        <v>1398</v>
      </c>
      <c r="KC6" s="691" t="s">
        <v>1398</v>
      </c>
      <c r="KD6" s="691" t="s">
        <v>1398</v>
      </c>
      <c r="KE6" s="691" t="s">
        <v>1398</v>
      </c>
      <c r="KF6" s="691" t="s">
        <v>1480</v>
      </c>
      <c r="KG6" s="691" t="s">
        <v>1480</v>
      </c>
      <c r="KH6" s="691" t="s">
        <v>1480</v>
      </c>
      <c r="KI6" s="691" t="s">
        <v>1480</v>
      </c>
      <c r="KJ6" s="691" t="s">
        <v>1480</v>
      </c>
      <c r="KK6" s="691" t="s">
        <v>1480</v>
      </c>
      <c r="KL6" s="691" t="s">
        <v>1480</v>
      </c>
      <c r="KM6" s="691" t="s">
        <v>1480</v>
      </c>
      <c r="KN6" s="691" t="s">
        <v>1480</v>
      </c>
      <c r="KO6" s="691" t="s">
        <v>1480</v>
      </c>
      <c r="KP6" s="691" t="s">
        <v>1480</v>
      </c>
      <c r="KQ6" s="691" t="s">
        <v>1480</v>
      </c>
      <c r="KR6" s="691" t="s">
        <v>1480</v>
      </c>
      <c r="KS6" s="691" t="s">
        <v>1480</v>
      </c>
      <c r="KT6" s="691" t="s">
        <v>1480</v>
      </c>
      <c r="KU6" s="691" t="s">
        <v>1480</v>
      </c>
      <c r="KV6" s="691" t="s">
        <v>1480</v>
      </c>
      <c r="KW6" s="691" t="s">
        <v>1480</v>
      </c>
      <c r="KX6" s="691" t="s">
        <v>1480</v>
      </c>
      <c r="KY6" s="691" t="s">
        <v>1480</v>
      </c>
      <c r="KZ6" s="691" t="s">
        <v>1480</v>
      </c>
      <c r="LA6" s="691" t="s">
        <v>1480</v>
      </c>
      <c r="LB6" s="691" t="s">
        <v>1480</v>
      </c>
      <c r="LC6" s="691" t="s">
        <v>1480</v>
      </c>
      <c r="LD6" s="691" t="s">
        <v>1480</v>
      </c>
      <c r="LE6" s="691" t="s">
        <v>1480</v>
      </c>
      <c r="LF6" s="691" t="s">
        <v>1480</v>
      </c>
      <c r="LG6" s="691" t="s">
        <v>1480</v>
      </c>
      <c r="LH6" s="691" t="s">
        <v>1480</v>
      </c>
      <c r="LI6" s="691" t="s">
        <v>1480</v>
      </c>
      <c r="LJ6" s="691" t="s">
        <v>1480</v>
      </c>
      <c r="LK6" s="691" t="s">
        <v>1480</v>
      </c>
      <c r="LL6" s="691" t="s">
        <v>1480</v>
      </c>
      <c r="LM6" s="691" t="s">
        <v>1480</v>
      </c>
      <c r="LN6" s="691" t="s">
        <v>1480</v>
      </c>
      <c r="LO6" s="691" t="s">
        <v>1480</v>
      </c>
      <c r="LP6" s="691" t="s">
        <v>1480</v>
      </c>
      <c r="LQ6" s="691" t="s">
        <v>1480</v>
      </c>
      <c r="LR6" s="691" t="s">
        <v>1480</v>
      </c>
      <c r="LS6" s="691" t="s">
        <v>1480</v>
      </c>
      <c r="LT6" s="691" t="s">
        <v>1480</v>
      </c>
      <c r="LU6" s="691" t="s">
        <v>1480</v>
      </c>
      <c r="LV6" s="691" t="s">
        <v>1480</v>
      </c>
      <c r="LW6" s="691" t="s">
        <v>1480</v>
      </c>
      <c r="LX6" s="691" t="s">
        <v>1480</v>
      </c>
      <c r="LY6" s="691" t="s">
        <v>1480</v>
      </c>
      <c r="LZ6" s="691" t="s">
        <v>1480</v>
      </c>
      <c r="MA6" s="691" t="s">
        <v>1480</v>
      </c>
      <c r="MB6" s="691" t="s">
        <v>1480</v>
      </c>
      <c r="MC6" s="691" t="s">
        <v>1480</v>
      </c>
      <c r="MD6" s="691" t="s">
        <v>1480</v>
      </c>
      <c r="ME6" s="691" t="s">
        <v>1480</v>
      </c>
      <c r="MF6" s="691" t="s">
        <v>1480</v>
      </c>
      <c r="MG6" s="691" t="s">
        <v>1480</v>
      </c>
      <c r="MH6" s="691" t="s">
        <v>1480</v>
      </c>
      <c r="MI6" s="691" t="s">
        <v>1480</v>
      </c>
      <c r="MJ6" s="691" t="s">
        <v>1480</v>
      </c>
      <c r="MK6" s="691" t="s">
        <v>1480</v>
      </c>
      <c r="ML6" s="691" t="s">
        <v>1480</v>
      </c>
      <c r="MM6" s="691" t="s">
        <v>1480</v>
      </c>
      <c r="MN6" s="691" t="s">
        <v>1480</v>
      </c>
      <c r="MO6" s="691" t="s">
        <v>1480</v>
      </c>
      <c r="MP6" s="691" t="s">
        <v>1480</v>
      </c>
      <c r="MQ6" s="691" t="s">
        <v>1480</v>
      </c>
      <c r="MR6" s="691" t="s">
        <v>1480</v>
      </c>
      <c r="MS6" s="691" t="s">
        <v>1480</v>
      </c>
      <c r="MT6" s="691" t="s">
        <v>1480</v>
      </c>
      <c r="MU6" s="691" t="s">
        <v>1480</v>
      </c>
      <c r="MV6" s="691" t="s">
        <v>1480</v>
      </c>
      <c r="MW6" s="691" t="s">
        <v>1480</v>
      </c>
      <c r="MX6" s="691" t="s">
        <v>1480</v>
      </c>
      <c r="MY6" s="691" t="s">
        <v>1480</v>
      </c>
      <c r="MZ6" s="691" t="s">
        <v>1480</v>
      </c>
      <c r="NA6" s="691" t="s">
        <v>1480</v>
      </c>
      <c r="NB6" s="691" t="s">
        <v>1480</v>
      </c>
      <c r="NC6" s="691" t="s">
        <v>1480</v>
      </c>
      <c r="ND6" s="691" t="s">
        <v>1480</v>
      </c>
      <c r="NE6" s="691" t="s">
        <v>1480</v>
      </c>
      <c r="NF6" s="691" t="s">
        <v>1480</v>
      </c>
      <c r="NG6" s="691" t="s">
        <v>1480</v>
      </c>
      <c r="NH6" s="691" t="s">
        <v>1480</v>
      </c>
      <c r="NI6" s="691" t="s">
        <v>1480</v>
      </c>
      <c r="NJ6" s="691" t="s">
        <v>1480</v>
      </c>
      <c r="NK6" s="691" t="s">
        <v>1480</v>
      </c>
      <c r="NL6" s="691" t="s">
        <v>1480</v>
      </c>
      <c r="NM6" s="691" t="s">
        <v>1480</v>
      </c>
      <c r="NN6" s="691" t="s">
        <v>1480</v>
      </c>
      <c r="NO6" s="691" t="s">
        <v>1480</v>
      </c>
      <c r="NP6" s="691" t="s">
        <v>1480</v>
      </c>
      <c r="NQ6" s="691" t="s">
        <v>1480</v>
      </c>
      <c r="NR6" s="691" t="s">
        <v>1480</v>
      </c>
      <c r="NS6" s="691" t="s">
        <v>1480</v>
      </c>
      <c r="NT6" s="691" t="s">
        <v>1480</v>
      </c>
      <c r="NU6" s="691" t="s">
        <v>1480</v>
      </c>
      <c r="NV6" s="691" t="s">
        <v>1480</v>
      </c>
      <c r="NW6" s="691" t="s">
        <v>1480</v>
      </c>
      <c r="NX6" s="691" t="s">
        <v>1480</v>
      </c>
      <c r="NY6" s="691" t="s">
        <v>1480</v>
      </c>
      <c r="NZ6" s="691" t="s">
        <v>1480</v>
      </c>
      <c r="OA6" s="691" t="s">
        <v>1480</v>
      </c>
      <c r="OB6" s="691" t="s">
        <v>1480</v>
      </c>
      <c r="OC6" s="691" t="s">
        <v>1480</v>
      </c>
      <c r="OD6" s="691" t="s">
        <v>1480</v>
      </c>
      <c r="OE6" s="691" t="s">
        <v>1480</v>
      </c>
      <c r="OF6" s="691" t="s">
        <v>1480</v>
      </c>
      <c r="OG6" s="691" t="s">
        <v>1480</v>
      </c>
      <c r="OH6" s="691" t="s">
        <v>1480</v>
      </c>
      <c r="OI6" s="691" t="s">
        <v>1480</v>
      </c>
      <c r="OJ6" s="691" t="s">
        <v>1480</v>
      </c>
      <c r="OK6" s="691" t="s">
        <v>1480</v>
      </c>
      <c r="OL6" s="691" t="s">
        <v>1480</v>
      </c>
      <c r="OM6" s="691" t="s">
        <v>1480</v>
      </c>
      <c r="ON6" s="691" t="s">
        <v>1480</v>
      </c>
      <c r="OO6" s="691" t="s">
        <v>1480</v>
      </c>
      <c r="OP6" s="691" t="s">
        <v>1480</v>
      </c>
      <c r="OQ6" s="691" t="s">
        <v>1480</v>
      </c>
      <c r="OR6" s="691" t="s">
        <v>89</v>
      </c>
      <c r="OS6" s="691" t="s">
        <v>89</v>
      </c>
      <c r="OT6" s="691" t="s">
        <v>89</v>
      </c>
      <c r="OU6" s="691" t="s">
        <v>89</v>
      </c>
      <c r="OV6" s="691" t="s">
        <v>89</v>
      </c>
      <c r="OW6" s="691" t="s">
        <v>89</v>
      </c>
      <c r="OX6" s="691" t="s">
        <v>89</v>
      </c>
      <c r="OY6" s="691" t="s">
        <v>89</v>
      </c>
      <c r="OZ6" s="691" t="s">
        <v>89</v>
      </c>
      <c r="PA6" s="691" t="s">
        <v>89</v>
      </c>
      <c r="PB6" s="691" t="s">
        <v>89</v>
      </c>
      <c r="PC6" s="691" t="s">
        <v>89</v>
      </c>
      <c r="PD6" s="691" t="s">
        <v>89</v>
      </c>
      <c r="PE6" s="691" t="s">
        <v>89</v>
      </c>
      <c r="PF6" s="691" t="s">
        <v>89</v>
      </c>
      <c r="PG6" s="691" t="s">
        <v>89</v>
      </c>
      <c r="PH6" s="691" t="s">
        <v>89</v>
      </c>
      <c r="PI6" s="691" t="s">
        <v>89</v>
      </c>
      <c r="PJ6" s="691" t="s">
        <v>89</v>
      </c>
      <c r="PK6" s="691" t="s">
        <v>89</v>
      </c>
      <c r="PL6" s="691" t="s">
        <v>89</v>
      </c>
      <c r="PM6" s="691" t="s">
        <v>89</v>
      </c>
      <c r="PN6" s="691" t="s">
        <v>89</v>
      </c>
      <c r="PO6" s="691" t="s">
        <v>89</v>
      </c>
      <c r="PP6" s="691" t="s">
        <v>89</v>
      </c>
      <c r="PQ6" s="691" t="s">
        <v>89</v>
      </c>
      <c r="PR6" s="691" t="s">
        <v>89</v>
      </c>
      <c r="PS6" s="691" t="s">
        <v>89</v>
      </c>
      <c r="PT6" s="691" t="s">
        <v>89</v>
      </c>
      <c r="PU6" s="691" t="s">
        <v>89</v>
      </c>
      <c r="PV6" s="691" t="s">
        <v>89</v>
      </c>
      <c r="PW6" s="691" t="s">
        <v>89</v>
      </c>
      <c r="PX6" s="691" t="s">
        <v>89</v>
      </c>
      <c r="PY6" s="691" t="s">
        <v>89</v>
      </c>
      <c r="PZ6" s="691" t="s">
        <v>89</v>
      </c>
      <c r="QA6" s="691" t="s">
        <v>89</v>
      </c>
      <c r="QB6" s="691" t="s">
        <v>89</v>
      </c>
      <c r="QC6" s="691" t="s">
        <v>89</v>
      </c>
      <c r="QD6" s="691" t="s">
        <v>89</v>
      </c>
      <c r="QE6" s="691" t="s">
        <v>89</v>
      </c>
      <c r="QF6" s="691" t="s">
        <v>89</v>
      </c>
      <c r="QG6" s="691" t="s">
        <v>89</v>
      </c>
      <c r="QH6" s="691" t="s">
        <v>89</v>
      </c>
      <c r="QI6" s="691" t="s">
        <v>89</v>
      </c>
      <c r="QJ6" s="691" t="s">
        <v>89</v>
      </c>
      <c r="QK6" s="691" t="s">
        <v>89</v>
      </c>
      <c r="QL6" s="691" t="s">
        <v>89</v>
      </c>
      <c r="QM6" s="691" t="s">
        <v>89</v>
      </c>
      <c r="QN6" s="691" t="s">
        <v>89</v>
      </c>
      <c r="QO6" s="691" t="s">
        <v>89</v>
      </c>
      <c r="QP6" s="691" t="s">
        <v>89</v>
      </c>
      <c r="QQ6" s="691" t="s">
        <v>89</v>
      </c>
      <c r="QR6" s="691" t="s">
        <v>89</v>
      </c>
      <c r="QS6" s="691" t="s">
        <v>89</v>
      </c>
      <c r="QT6" s="691" t="s">
        <v>89</v>
      </c>
      <c r="QU6" s="691" t="s">
        <v>89</v>
      </c>
      <c r="QV6" s="691" t="s">
        <v>89</v>
      </c>
      <c r="QW6" s="691" t="s">
        <v>89</v>
      </c>
      <c r="QX6" s="691" t="s">
        <v>89</v>
      </c>
      <c r="QY6" s="691" t="s">
        <v>89</v>
      </c>
      <c r="QZ6" s="691" t="s">
        <v>89</v>
      </c>
      <c r="RA6" s="691" t="s">
        <v>89</v>
      </c>
      <c r="RB6" s="691" t="s">
        <v>89</v>
      </c>
      <c r="RC6" s="7"/>
      <c r="RD6" s="573"/>
      <c r="RF6" s="7"/>
      <c r="RG6" s="54"/>
      <c r="RH6" s="54"/>
      <c r="RI6" s="54"/>
      <c r="RJ6" s="54"/>
      <c r="RK6" s="54"/>
      <c r="RL6" s="54"/>
      <c r="RM6" s="54"/>
      <c r="RN6" s="54"/>
      <c r="RO6" s="54"/>
      <c r="RP6" s="54"/>
      <c r="RQ6" s="54"/>
      <c r="RR6" s="574"/>
      <c r="RS6" s="574"/>
      <c r="RT6" s="575"/>
      <c r="RU6" s="574"/>
      <c r="RV6" s="574"/>
      <c r="RW6" s="574"/>
      <c r="RX6" s="574"/>
      <c r="RY6" s="584"/>
      <c r="RZ6" s="574"/>
      <c r="SA6" s="575"/>
      <c r="SB6" s="574"/>
      <c r="SC6" s="574"/>
      <c r="SD6" s="576"/>
      <c r="SE6" s="576"/>
      <c r="SF6" s="577"/>
      <c r="SG6" s="859">
        <f>IF('1. Simulator Input'!E34="no", 0, '1. Simulator Input'!E35)</f>
        <v>0</v>
      </c>
      <c r="SH6" s="578">
        <f>IF('1. Simulator Input'!E34="no", 0, '1. Simulator Input'!E35)</f>
        <v>0</v>
      </c>
      <c r="SI6" s="579"/>
      <c r="SJ6" s="7"/>
      <c r="SK6" s="573"/>
      <c r="SL6" s="7"/>
      <c r="SM6" s="580"/>
      <c r="SN6" s="581"/>
      <c r="SO6" s="581"/>
      <c r="SP6" s="7"/>
      <c r="SR6" s="544"/>
      <c r="TF6" s="582"/>
      <c r="TS6" s="544"/>
      <c r="TX6" s="544"/>
      <c r="UC6" s="544"/>
      <c r="UG6" s="544"/>
      <c r="UK6" s="583"/>
      <c r="UL6" s="866"/>
      <c r="UM6" s="863"/>
      <c r="UN6" s="866"/>
      <c r="UO6" s="571"/>
      <c r="UP6" s="550"/>
      <c r="UQ6" s="550"/>
      <c r="VF6" s="544"/>
      <c r="VM6" s="544"/>
      <c r="VW6" s="544"/>
      <c r="WB6" s="841"/>
      <c r="WD6" s="544"/>
      <c r="WE6" s="887"/>
      <c r="WF6" s="887"/>
      <c r="WG6" s="887"/>
      <c r="WH6" s="887"/>
      <c r="WI6" s="887"/>
      <c r="WJ6" s="887"/>
      <c r="WL6" s="887"/>
      <c r="WN6" s="887"/>
      <c r="WO6" s="887"/>
      <c r="WP6" s="544"/>
      <c r="WQ6" s="887"/>
      <c r="YC6" s="544"/>
      <c r="YJ6" s="544"/>
    </row>
    <row r="7" spans="1:660" ht="15" customHeight="1">
      <c r="A7" s="13"/>
      <c r="B7" s="18" t="s">
        <v>90</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26" t="s">
        <v>92</v>
      </c>
      <c r="HE7" s="726" t="s">
        <v>92</v>
      </c>
      <c r="HF7" s="726" t="s">
        <v>92</v>
      </c>
      <c r="HG7" s="726" t="s">
        <v>92</v>
      </c>
      <c r="HH7" s="726" t="s">
        <v>92</v>
      </c>
      <c r="HI7" s="726" t="s">
        <v>93</v>
      </c>
      <c r="HJ7" s="726" t="s">
        <v>93</v>
      </c>
      <c r="HK7" s="726" t="s">
        <v>93</v>
      </c>
      <c r="HL7" s="726" t="s">
        <v>61</v>
      </c>
      <c r="HM7" s="726" t="s">
        <v>62</v>
      </c>
      <c r="HN7" s="726" t="s">
        <v>63</v>
      </c>
      <c r="HO7" s="726" t="s">
        <v>2711</v>
      </c>
      <c r="HP7" s="726" t="s">
        <v>65</v>
      </c>
      <c r="HQ7" s="726" t="s">
        <v>65</v>
      </c>
      <c r="HR7" s="726" t="s">
        <v>65</v>
      </c>
      <c r="HS7" s="726" t="s">
        <v>65</v>
      </c>
      <c r="HT7" s="726" t="s">
        <v>65</v>
      </c>
      <c r="HU7" s="726" t="s">
        <v>65</v>
      </c>
      <c r="HV7" s="726" t="s">
        <v>65</v>
      </c>
      <c r="HW7" s="726" t="s">
        <v>65</v>
      </c>
      <c r="HX7" s="726" t="s">
        <v>65</v>
      </c>
      <c r="HY7" s="726" t="s">
        <v>65</v>
      </c>
      <c r="HZ7" s="726" t="s">
        <v>65</v>
      </c>
      <c r="IA7" s="726" t="s">
        <v>65</v>
      </c>
      <c r="IB7" s="726" t="s">
        <v>65</v>
      </c>
      <c r="IC7" s="726" t="s">
        <v>65</v>
      </c>
      <c r="ID7" s="726" t="s">
        <v>65</v>
      </c>
      <c r="IE7" s="726" t="s">
        <v>65</v>
      </c>
      <c r="IF7" s="726" t="s">
        <v>65</v>
      </c>
      <c r="IG7" s="726" t="s">
        <v>65</v>
      </c>
      <c r="IH7" s="726" t="s">
        <v>65</v>
      </c>
      <c r="II7" s="726" t="s">
        <v>65</v>
      </c>
      <c r="IJ7" s="726" t="s">
        <v>65</v>
      </c>
      <c r="IK7" s="726" t="s">
        <v>65</v>
      </c>
      <c r="IL7" s="726" t="s">
        <v>65</v>
      </c>
      <c r="IM7" s="726" t="s">
        <v>65</v>
      </c>
      <c r="IN7" s="726" t="s">
        <v>66</v>
      </c>
      <c r="IO7" s="726" t="s">
        <v>66</v>
      </c>
      <c r="IP7" s="726" t="s">
        <v>66</v>
      </c>
      <c r="IQ7" s="726" t="s">
        <v>67</v>
      </c>
      <c r="IR7" s="726" t="s">
        <v>67</v>
      </c>
      <c r="IS7" s="726" t="s">
        <v>67</v>
      </c>
      <c r="IT7" s="726" t="s">
        <v>67</v>
      </c>
      <c r="IU7" s="726" t="s">
        <v>67</v>
      </c>
      <c r="IV7" s="726" t="s">
        <v>67</v>
      </c>
      <c r="IW7" s="726" t="s">
        <v>68</v>
      </c>
      <c r="IX7" s="726" t="s">
        <v>68</v>
      </c>
      <c r="IY7" s="726" t="s">
        <v>68</v>
      </c>
      <c r="IZ7" s="726" t="s">
        <v>68</v>
      </c>
      <c r="JA7" s="726" t="s">
        <v>68</v>
      </c>
      <c r="JB7" s="726" t="s">
        <v>69</v>
      </c>
      <c r="JC7" s="726" t="s">
        <v>69</v>
      </c>
      <c r="JD7" s="726" t="s">
        <v>69</v>
      </c>
      <c r="JE7" s="726" t="s">
        <v>70</v>
      </c>
      <c r="JF7" s="726" t="s">
        <v>70</v>
      </c>
      <c r="JG7" s="726" t="s">
        <v>70</v>
      </c>
      <c r="JH7" s="726" t="s">
        <v>70</v>
      </c>
      <c r="JI7" s="726" t="s">
        <v>70</v>
      </c>
      <c r="JJ7" s="726" t="s">
        <v>70</v>
      </c>
      <c r="JK7" s="726" t="s">
        <v>70</v>
      </c>
      <c r="JL7" s="726" t="s">
        <v>70</v>
      </c>
      <c r="JM7" s="726" t="s">
        <v>70</v>
      </c>
      <c r="JN7" s="726" t="s">
        <v>70</v>
      </c>
      <c r="JO7" s="726" t="s">
        <v>70</v>
      </c>
      <c r="JP7" s="726" t="s">
        <v>70</v>
      </c>
      <c r="JQ7" s="726" t="s">
        <v>70</v>
      </c>
      <c r="JR7" s="726" t="s">
        <v>70</v>
      </c>
      <c r="JS7" s="726" t="s">
        <v>70</v>
      </c>
      <c r="JT7" s="726" t="s">
        <v>70</v>
      </c>
      <c r="JU7" s="726" t="s">
        <v>70</v>
      </c>
      <c r="JV7" s="726" t="s">
        <v>70</v>
      </c>
      <c r="JW7" s="726" t="s">
        <v>70</v>
      </c>
      <c r="JX7" s="726" t="s">
        <v>70</v>
      </c>
      <c r="JY7" s="726" t="s">
        <v>70</v>
      </c>
      <c r="JZ7" s="726" t="s">
        <v>70</v>
      </c>
      <c r="KA7" s="726" t="s">
        <v>70</v>
      </c>
      <c r="KB7" s="726" t="s">
        <v>70</v>
      </c>
      <c r="KC7" s="726" t="s">
        <v>70</v>
      </c>
      <c r="KD7" s="726" t="s">
        <v>70</v>
      </c>
      <c r="KE7" s="726" t="s">
        <v>70</v>
      </c>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16"/>
      <c r="RD7" s="17"/>
      <c r="RF7" s="16"/>
      <c r="RG7" s="37"/>
      <c r="RH7" s="16"/>
      <c r="RI7" s="16"/>
      <c r="RJ7" s="16"/>
      <c r="RK7" s="16"/>
      <c r="RL7" s="37"/>
      <c r="RM7" s="16"/>
      <c r="RN7" s="16"/>
      <c r="RO7" s="16"/>
      <c r="RP7" s="16"/>
      <c r="RQ7" s="16"/>
      <c r="RR7" s="16"/>
      <c r="RS7" s="16"/>
      <c r="RT7" s="17"/>
      <c r="RU7" s="16"/>
      <c r="RV7" s="300"/>
      <c r="RW7" s="300"/>
      <c r="RX7" s="300"/>
      <c r="RY7" s="300"/>
      <c r="RZ7" s="16"/>
      <c r="SA7" s="17"/>
      <c r="SB7" s="16"/>
      <c r="SC7" s="16"/>
      <c r="SD7" s="16"/>
      <c r="SE7" s="16"/>
      <c r="SF7" s="16"/>
      <c r="SG7" s="16"/>
      <c r="SI7" s="196"/>
      <c r="SJ7" s="16"/>
      <c r="SK7" s="17"/>
      <c r="SL7" s="16"/>
      <c r="SM7" s="16"/>
      <c r="SN7" s="16"/>
      <c r="SO7" s="16"/>
      <c r="SP7" s="16"/>
      <c r="TA7" s="129"/>
      <c r="TB7" s="129"/>
      <c r="TC7" s="129"/>
      <c r="TD7" s="129"/>
      <c r="UI7" s="199">
        <f t="shared" ref="UI7:UJ7" si="5">SUM(UI10:UI154)</f>
        <v>0</v>
      </c>
      <c r="UJ7" s="199">
        <f t="shared" si="5"/>
        <v>0</v>
      </c>
      <c r="UK7" s="199">
        <f>SUM(UK10:UK163)</f>
        <v>1552325077</v>
      </c>
      <c r="UL7" s="190"/>
      <c r="UM7" s="221"/>
      <c r="UN7" s="190"/>
      <c r="UO7" s="199">
        <f>SUM(UO10:UO163)</f>
        <v>0</v>
      </c>
      <c r="UP7" s="199">
        <f>SUM(UP10:UP163)</f>
        <v>1493937522</v>
      </c>
      <c r="UQ7" s="199">
        <f t="shared" ref="UQ7:VC7" si="6">SUM(UQ10:UQ163)</f>
        <v>0</v>
      </c>
      <c r="UR7" s="199">
        <f t="shared" si="6"/>
        <v>0</v>
      </c>
      <c r="US7" s="199">
        <f t="shared" si="6"/>
        <v>0</v>
      </c>
      <c r="UT7" s="199">
        <f t="shared" si="6"/>
        <v>0</v>
      </c>
      <c r="UU7" s="199">
        <f t="shared" si="6"/>
        <v>0</v>
      </c>
      <c r="UV7" s="199">
        <f t="shared" si="6"/>
        <v>0</v>
      </c>
      <c r="UW7" s="199">
        <f t="shared" si="6"/>
        <v>0</v>
      </c>
      <c r="UX7" s="199">
        <f t="shared" si="6"/>
        <v>0</v>
      </c>
      <c r="UY7" s="199">
        <f t="shared" si="6"/>
        <v>58340745</v>
      </c>
      <c r="UZ7" s="199">
        <f t="shared" si="6"/>
        <v>0</v>
      </c>
      <c r="VA7" s="199">
        <f t="shared" si="6"/>
        <v>0</v>
      </c>
      <c r="VB7" s="199">
        <f t="shared" si="6"/>
        <v>0</v>
      </c>
      <c r="VC7" s="199">
        <f t="shared" si="6"/>
        <v>0</v>
      </c>
      <c r="VD7" s="199"/>
      <c r="WL7" s="4"/>
    </row>
    <row r="8" spans="1:660">
      <c r="A8" s="19" t="s">
        <v>95</v>
      </c>
      <c r="B8" s="20" t="s">
        <v>96</v>
      </c>
      <c r="C8" s="641"/>
      <c r="SY8" s="978" t="s">
        <v>1202</v>
      </c>
      <c r="SZ8" s="978"/>
      <c r="TA8" s="143">
        <v>0.7</v>
      </c>
      <c r="TB8" s="143">
        <v>0.2</v>
      </c>
      <c r="TC8" s="143">
        <v>7.0000000000000007E-2</v>
      </c>
      <c r="TD8" s="143">
        <v>0.03</v>
      </c>
      <c r="UO8" s="358"/>
      <c r="WL8" s="4"/>
    </row>
    <row r="9" spans="1:660">
      <c r="A9" s="22"/>
      <c r="B9" s="23"/>
      <c r="RC9" s="4" t="s">
        <v>1367</v>
      </c>
      <c r="TE9" s="134"/>
      <c r="TM9" s="146"/>
      <c r="WB9"/>
      <c r="WL9" s="4"/>
    </row>
    <row r="10" spans="1:660">
      <c r="A10" s="3">
        <v>1</v>
      </c>
      <c r="B10" s="2" t="s">
        <v>97</v>
      </c>
      <c r="C10" s="400">
        <v>59429463</v>
      </c>
      <c r="D10" s="400">
        <v>0</v>
      </c>
      <c r="E10" s="400">
        <v>0</v>
      </c>
      <c r="F10" s="400">
        <v>0</v>
      </c>
      <c r="G10" s="400">
        <v>14458000</v>
      </c>
      <c r="H10" s="400">
        <v>0</v>
      </c>
      <c r="I10" s="400">
        <v>0</v>
      </c>
      <c r="J10" s="400">
        <v>189983</v>
      </c>
      <c r="K10" s="400">
        <v>0</v>
      </c>
      <c r="L10" s="400">
        <v>0</v>
      </c>
      <c r="M10" s="400">
        <v>0</v>
      </c>
      <c r="N10" s="400">
        <v>0</v>
      </c>
      <c r="O10" s="400">
        <v>0</v>
      </c>
      <c r="P10" s="400">
        <v>0</v>
      </c>
      <c r="Q10" s="400">
        <v>0</v>
      </c>
      <c r="R10" s="400">
        <v>0</v>
      </c>
      <c r="S10" s="400">
        <v>0</v>
      </c>
      <c r="T10" s="400">
        <v>0</v>
      </c>
      <c r="U10" s="400">
        <v>0</v>
      </c>
      <c r="V10" s="400">
        <v>0</v>
      </c>
      <c r="W10" s="400">
        <v>0</v>
      </c>
      <c r="X10" s="400">
        <v>11912764</v>
      </c>
      <c r="Y10" s="400">
        <v>212612</v>
      </c>
      <c r="Z10" s="400">
        <v>0</v>
      </c>
      <c r="AA10" s="400">
        <v>30872</v>
      </c>
      <c r="AB10" s="400">
        <v>0</v>
      </c>
      <c r="AC10" s="400">
        <v>0</v>
      </c>
      <c r="AD10" s="400">
        <v>591735</v>
      </c>
      <c r="AE10" s="400">
        <v>0</v>
      </c>
      <c r="AF10" s="400">
        <v>0</v>
      </c>
      <c r="AG10" s="400">
        <v>0</v>
      </c>
      <c r="AH10" s="400">
        <v>0</v>
      </c>
      <c r="AI10" s="400">
        <v>0</v>
      </c>
      <c r="AJ10" s="400">
        <v>82645</v>
      </c>
      <c r="AK10" s="400">
        <v>0</v>
      </c>
      <c r="AL10" s="400">
        <v>196198</v>
      </c>
      <c r="AM10" s="400">
        <v>0</v>
      </c>
      <c r="AN10" s="400">
        <v>1542</v>
      </c>
      <c r="AO10" s="400">
        <v>0</v>
      </c>
      <c r="AP10" s="400">
        <v>0</v>
      </c>
      <c r="AQ10" s="400">
        <v>0</v>
      </c>
      <c r="AR10" s="400">
        <v>0</v>
      </c>
      <c r="AS10" s="400">
        <v>0</v>
      </c>
      <c r="AT10" s="400">
        <v>0</v>
      </c>
      <c r="AU10" s="400">
        <v>0</v>
      </c>
      <c r="AV10" s="400">
        <v>0</v>
      </c>
      <c r="AW10" s="400">
        <v>0</v>
      </c>
      <c r="AX10" s="400">
        <v>0</v>
      </c>
      <c r="AY10" s="400">
        <v>0</v>
      </c>
      <c r="AZ10" s="400">
        <v>0</v>
      </c>
      <c r="BA10" s="400">
        <v>0</v>
      </c>
      <c r="BB10" s="400">
        <v>0</v>
      </c>
      <c r="BC10" s="400">
        <v>10778</v>
      </c>
      <c r="BD10" s="400">
        <v>23174</v>
      </c>
      <c r="BE10" s="400">
        <v>0</v>
      </c>
      <c r="BF10" s="400">
        <v>0</v>
      </c>
      <c r="BG10" s="400">
        <v>0</v>
      </c>
      <c r="BH10" s="400">
        <v>0</v>
      </c>
      <c r="BI10" s="400">
        <v>0</v>
      </c>
      <c r="BJ10" s="400">
        <v>0</v>
      </c>
      <c r="BK10" s="400">
        <v>0</v>
      </c>
      <c r="BL10" s="400">
        <v>0</v>
      </c>
      <c r="BM10" s="400">
        <v>2515</v>
      </c>
      <c r="BN10" s="400">
        <v>0</v>
      </c>
      <c r="BO10" s="400">
        <v>0</v>
      </c>
      <c r="BP10" s="400">
        <v>0</v>
      </c>
      <c r="BQ10" s="400">
        <v>0</v>
      </c>
      <c r="BR10" s="400">
        <v>0</v>
      </c>
      <c r="BS10" s="400">
        <v>0</v>
      </c>
      <c r="BT10" s="400">
        <v>0</v>
      </c>
      <c r="BU10" s="400">
        <v>0</v>
      </c>
      <c r="BV10" s="400">
        <v>0</v>
      </c>
      <c r="BW10" s="400">
        <v>0</v>
      </c>
      <c r="BX10" s="400">
        <v>0</v>
      </c>
      <c r="BY10" s="400">
        <v>0</v>
      </c>
      <c r="BZ10" s="400">
        <v>0</v>
      </c>
      <c r="CA10" s="400">
        <v>0</v>
      </c>
      <c r="CB10" s="400">
        <v>0</v>
      </c>
      <c r="CC10" s="400">
        <v>0</v>
      </c>
      <c r="CD10" s="400">
        <v>1946201</v>
      </c>
      <c r="CE10" s="400">
        <v>27864</v>
      </c>
      <c r="CF10" s="400">
        <v>0</v>
      </c>
      <c r="CG10" s="400">
        <v>33251</v>
      </c>
      <c r="CH10" s="400">
        <v>0</v>
      </c>
      <c r="CI10" s="400">
        <v>0</v>
      </c>
      <c r="CJ10" s="400">
        <v>0</v>
      </c>
      <c r="CK10" s="400">
        <v>0</v>
      </c>
      <c r="CL10" s="400">
        <v>0</v>
      </c>
      <c r="CM10" s="400">
        <v>0</v>
      </c>
      <c r="CN10" s="400">
        <v>0</v>
      </c>
      <c r="CO10" s="400">
        <v>0</v>
      </c>
      <c r="CP10" s="400">
        <v>0</v>
      </c>
      <c r="CQ10" s="400">
        <v>0</v>
      </c>
      <c r="CR10" s="400">
        <v>0</v>
      </c>
      <c r="CS10" s="400">
        <v>49191</v>
      </c>
      <c r="CT10" s="400">
        <v>0</v>
      </c>
      <c r="CU10" s="400">
        <v>0</v>
      </c>
      <c r="CV10" s="400">
        <v>0</v>
      </c>
      <c r="CW10" s="400">
        <v>0</v>
      </c>
      <c r="CX10" s="400">
        <v>0</v>
      </c>
      <c r="CY10" s="400">
        <v>0</v>
      </c>
      <c r="CZ10" s="400">
        <v>0</v>
      </c>
      <c r="DA10" s="400">
        <v>0</v>
      </c>
      <c r="DB10" s="400">
        <v>0</v>
      </c>
      <c r="DC10" s="400">
        <v>0</v>
      </c>
      <c r="DD10" s="400">
        <v>0</v>
      </c>
      <c r="DE10" s="400">
        <v>0</v>
      </c>
      <c r="DF10" s="400">
        <v>0</v>
      </c>
      <c r="DG10" s="400">
        <v>0</v>
      </c>
      <c r="DH10" s="400">
        <v>0</v>
      </c>
      <c r="DI10" s="400">
        <v>0</v>
      </c>
      <c r="DJ10" s="400">
        <v>0</v>
      </c>
      <c r="DK10" s="400">
        <v>0</v>
      </c>
      <c r="DL10" s="400">
        <v>0</v>
      </c>
      <c r="DM10" s="400">
        <v>0</v>
      </c>
      <c r="DN10" s="400">
        <v>193187</v>
      </c>
      <c r="DO10" s="400">
        <v>1855819</v>
      </c>
      <c r="DP10" s="400">
        <v>69204</v>
      </c>
      <c r="DQ10" s="400">
        <v>0</v>
      </c>
      <c r="DR10" s="400">
        <v>0</v>
      </c>
      <c r="DS10" s="400">
        <v>0</v>
      </c>
      <c r="DT10" s="400">
        <v>0</v>
      </c>
      <c r="DU10" s="400">
        <v>283925</v>
      </c>
      <c r="DV10" s="400">
        <v>0</v>
      </c>
      <c r="DW10" s="400">
        <v>0</v>
      </c>
      <c r="DX10" s="400">
        <v>0</v>
      </c>
      <c r="DY10" s="400">
        <v>0</v>
      </c>
      <c r="DZ10" s="400">
        <v>0</v>
      </c>
      <c r="EA10" s="400">
        <v>0</v>
      </c>
      <c r="EB10" s="400">
        <v>0</v>
      </c>
      <c r="EC10" s="400">
        <v>0</v>
      </c>
      <c r="ED10" s="400">
        <v>0</v>
      </c>
      <c r="EE10" s="400">
        <v>0</v>
      </c>
      <c r="EF10" s="400">
        <v>0</v>
      </c>
      <c r="EG10" s="400">
        <v>537880</v>
      </c>
      <c r="EH10" s="400">
        <v>397284</v>
      </c>
      <c r="EI10" s="400">
        <v>0</v>
      </c>
      <c r="EJ10" s="400">
        <v>0</v>
      </c>
      <c r="EK10" s="400">
        <v>0</v>
      </c>
      <c r="EL10" s="400">
        <v>0</v>
      </c>
      <c r="EM10" s="400">
        <v>0</v>
      </c>
      <c r="EN10" s="400">
        <v>885</v>
      </c>
      <c r="EO10" s="400">
        <v>0</v>
      </c>
      <c r="EP10" s="400">
        <v>0</v>
      </c>
      <c r="EQ10" s="400">
        <v>0</v>
      </c>
      <c r="ER10" s="400">
        <v>0</v>
      </c>
      <c r="ES10" s="400">
        <v>0</v>
      </c>
      <c r="ET10" s="400">
        <v>0</v>
      </c>
      <c r="EU10" s="400">
        <v>0</v>
      </c>
      <c r="EV10" s="400">
        <v>0</v>
      </c>
      <c r="EW10" s="400">
        <v>0</v>
      </c>
      <c r="EX10" s="400">
        <v>0</v>
      </c>
      <c r="EY10" s="400">
        <v>0</v>
      </c>
      <c r="EZ10" s="400">
        <v>0</v>
      </c>
      <c r="FA10" s="400">
        <v>0</v>
      </c>
      <c r="FB10" s="400">
        <v>0</v>
      </c>
      <c r="FC10" s="400">
        <v>0</v>
      </c>
      <c r="FD10" s="400">
        <v>0</v>
      </c>
      <c r="FE10" s="400">
        <v>0</v>
      </c>
      <c r="FF10" s="400">
        <v>0</v>
      </c>
      <c r="FG10" s="400">
        <v>0</v>
      </c>
      <c r="FH10" s="400">
        <v>0</v>
      </c>
      <c r="FI10" s="400">
        <v>0</v>
      </c>
      <c r="FJ10" s="400">
        <v>0</v>
      </c>
      <c r="FK10" s="400">
        <v>0</v>
      </c>
      <c r="FL10" s="400">
        <v>0</v>
      </c>
      <c r="FM10" s="400">
        <v>0</v>
      </c>
      <c r="FN10" s="400">
        <v>0</v>
      </c>
      <c r="FO10" s="400">
        <v>0</v>
      </c>
      <c r="FP10" s="400">
        <v>0</v>
      </c>
      <c r="FQ10" s="400">
        <v>0</v>
      </c>
      <c r="FR10" s="400">
        <v>0</v>
      </c>
      <c r="FS10" s="400">
        <v>84983</v>
      </c>
      <c r="FT10" s="400">
        <v>0</v>
      </c>
      <c r="FU10" s="400">
        <v>209883</v>
      </c>
      <c r="FV10" s="400">
        <v>0</v>
      </c>
      <c r="FW10" s="400">
        <v>0</v>
      </c>
      <c r="FX10" s="400">
        <v>0</v>
      </c>
      <c r="FY10" s="400">
        <v>0</v>
      </c>
      <c r="FZ10" s="400">
        <v>750</v>
      </c>
      <c r="GA10" s="400">
        <v>0</v>
      </c>
      <c r="GB10" s="400">
        <v>0</v>
      </c>
      <c r="GC10" s="400">
        <v>0</v>
      </c>
      <c r="GD10" s="400">
        <v>0</v>
      </c>
      <c r="GE10" s="400">
        <v>154770</v>
      </c>
      <c r="GF10" s="400">
        <v>0</v>
      </c>
      <c r="GG10" s="400">
        <v>0</v>
      </c>
      <c r="GH10" s="400">
        <v>0</v>
      </c>
      <c r="GI10" s="400">
        <v>0</v>
      </c>
      <c r="GJ10" s="400">
        <v>0</v>
      </c>
      <c r="GK10" s="400">
        <v>0</v>
      </c>
      <c r="GL10" s="400">
        <v>0</v>
      </c>
      <c r="GM10" s="400">
        <v>0</v>
      </c>
      <c r="GN10" s="400">
        <v>0</v>
      </c>
      <c r="GO10" s="400">
        <v>0</v>
      </c>
      <c r="GP10" s="400">
        <v>0</v>
      </c>
      <c r="GQ10" s="400">
        <v>0</v>
      </c>
      <c r="GR10" s="400">
        <v>0</v>
      </c>
      <c r="GS10" s="400">
        <v>0</v>
      </c>
      <c r="GT10" s="400">
        <v>0</v>
      </c>
      <c r="GU10" s="400">
        <v>48277</v>
      </c>
      <c r="GV10" s="400">
        <v>0</v>
      </c>
      <c r="GW10" s="400">
        <v>0</v>
      </c>
      <c r="GX10" s="400">
        <v>0</v>
      </c>
      <c r="GY10" s="400">
        <v>0</v>
      </c>
      <c r="GZ10" s="400">
        <v>0</v>
      </c>
      <c r="HA10" s="400">
        <v>1964269</v>
      </c>
      <c r="HB10" s="400">
        <v>0</v>
      </c>
      <c r="HC10" s="400">
        <v>20000</v>
      </c>
      <c r="HD10" s="400">
        <v>102204574</v>
      </c>
      <c r="HE10" s="400">
        <v>0</v>
      </c>
      <c r="HF10" s="400">
        <v>0</v>
      </c>
      <c r="HG10" s="400">
        <v>0</v>
      </c>
      <c r="HH10" s="400">
        <v>0</v>
      </c>
      <c r="HI10" s="400">
        <v>5404823</v>
      </c>
      <c r="HJ10" s="400">
        <v>0</v>
      </c>
      <c r="HK10" s="400">
        <v>0</v>
      </c>
      <c r="HL10" s="400">
        <v>532398</v>
      </c>
      <c r="HM10" s="400">
        <v>0</v>
      </c>
      <c r="HN10" s="400">
        <v>0</v>
      </c>
      <c r="HO10" s="400">
        <v>13679110</v>
      </c>
      <c r="HP10" s="400">
        <v>3630200</v>
      </c>
      <c r="HQ10" s="400">
        <v>0</v>
      </c>
      <c r="HR10" s="400">
        <v>0</v>
      </c>
      <c r="HS10" s="400">
        <v>0</v>
      </c>
      <c r="HT10" s="400">
        <v>0</v>
      </c>
      <c r="HU10" s="400">
        <v>0</v>
      </c>
      <c r="HV10" s="400">
        <v>0</v>
      </c>
      <c r="HW10" s="400">
        <v>0</v>
      </c>
      <c r="HX10" s="400">
        <v>0</v>
      </c>
      <c r="HY10" s="400">
        <v>0</v>
      </c>
      <c r="HZ10" s="400">
        <v>41184</v>
      </c>
      <c r="IA10" s="400">
        <v>26366</v>
      </c>
      <c r="IB10" s="400">
        <v>6695</v>
      </c>
      <c r="IC10" s="400">
        <v>0</v>
      </c>
      <c r="ID10" s="400">
        <v>0</v>
      </c>
      <c r="IE10" s="400">
        <v>0</v>
      </c>
      <c r="IF10" s="400">
        <v>0</v>
      </c>
      <c r="IG10" s="400">
        <v>0</v>
      </c>
      <c r="IH10" s="400">
        <v>0</v>
      </c>
      <c r="II10" s="400">
        <v>0</v>
      </c>
      <c r="IJ10" s="400">
        <v>0</v>
      </c>
      <c r="IK10" s="400">
        <v>0</v>
      </c>
      <c r="IL10" s="400">
        <v>0</v>
      </c>
      <c r="IM10" s="400">
        <v>0</v>
      </c>
      <c r="IN10" s="400">
        <v>0</v>
      </c>
      <c r="IO10" s="400">
        <v>0</v>
      </c>
      <c r="IP10" s="400">
        <v>0</v>
      </c>
      <c r="IQ10" s="400">
        <v>1120403</v>
      </c>
      <c r="IR10" s="400">
        <v>0</v>
      </c>
      <c r="IS10" s="400">
        <v>0</v>
      </c>
      <c r="IT10" s="400">
        <v>0</v>
      </c>
      <c r="IU10" s="400">
        <v>0</v>
      </c>
      <c r="IV10" s="400">
        <v>0</v>
      </c>
      <c r="IW10" s="400">
        <v>21859</v>
      </c>
      <c r="IX10" s="400">
        <v>0</v>
      </c>
      <c r="IY10" s="400">
        <v>0</v>
      </c>
      <c r="IZ10" s="400">
        <v>0</v>
      </c>
      <c r="JA10" s="400">
        <v>0</v>
      </c>
      <c r="JB10" s="400">
        <v>722890</v>
      </c>
      <c r="JC10" s="400">
        <v>99849</v>
      </c>
      <c r="JD10" s="400">
        <v>0</v>
      </c>
      <c r="JE10" s="400">
        <v>0</v>
      </c>
      <c r="JF10" s="400">
        <v>0</v>
      </c>
      <c r="JG10" s="400">
        <v>0</v>
      </c>
      <c r="JH10" s="400">
        <v>0</v>
      </c>
      <c r="JI10" s="400">
        <v>0</v>
      </c>
      <c r="JJ10" s="400">
        <v>0</v>
      </c>
      <c r="JK10" s="400">
        <v>0</v>
      </c>
      <c r="JL10" s="400">
        <v>0</v>
      </c>
      <c r="JM10" s="400">
        <v>0</v>
      </c>
      <c r="JN10" s="400">
        <v>0</v>
      </c>
      <c r="JO10" s="400">
        <v>0</v>
      </c>
      <c r="JP10" s="400">
        <v>81500</v>
      </c>
      <c r="JQ10" s="400">
        <v>0</v>
      </c>
      <c r="JR10" s="400">
        <v>0</v>
      </c>
      <c r="JS10" s="400">
        <v>469394</v>
      </c>
      <c r="JT10" s="400">
        <v>1328260</v>
      </c>
      <c r="JU10" s="400">
        <v>316279</v>
      </c>
      <c r="JV10" s="400">
        <v>0</v>
      </c>
      <c r="JW10" s="400">
        <v>0</v>
      </c>
      <c r="JX10" s="400">
        <v>0</v>
      </c>
      <c r="JY10" s="400">
        <v>0</v>
      </c>
      <c r="JZ10" s="400">
        <v>0</v>
      </c>
      <c r="KA10" s="400">
        <v>243565</v>
      </c>
      <c r="KB10" s="400">
        <v>1531194</v>
      </c>
      <c r="KC10" s="400">
        <v>0</v>
      </c>
      <c r="KD10" s="400">
        <v>0</v>
      </c>
      <c r="KE10" s="400">
        <v>0</v>
      </c>
      <c r="KF10" s="400">
        <v>0</v>
      </c>
      <c r="KG10" s="400">
        <v>0</v>
      </c>
      <c r="KH10" s="400">
        <v>0</v>
      </c>
      <c r="KI10" s="400">
        <v>0</v>
      </c>
      <c r="KJ10" s="400">
        <v>0</v>
      </c>
      <c r="KK10" s="400">
        <v>0</v>
      </c>
      <c r="KL10" s="400">
        <v>0</v>
      </c>
      <c r="KM10" s="400">
        <v>0</v>
      </c>
      <c r="KN10" s="400">
        <v>0</v>
      </c>
      <c r="KO10" s="400">
        <v>0</v>
      </c>
      <c r="KP10" s="400">
        <v>0</v>
      </c>
      <c r="KQ10" s="400">
        <v>68257</v>
      </c>
      <c r="KR10" s="400">
        <v>24152</v>
      </c>
      <c r="KS10" s="400">
        <v>0</v>
      </c>
      <c r="KT10" s="400">
        <v>0</v>
      </c>
      <c r="KU10" s="400">
        <v>0</v>
      </c>
      <c r="KV10" s="400">
        <v>0</v>
      </c>
      <c r="KW10" s="400">
        <v>0</v>
      </c>
      <c r="KX10" s="400">
        <v>0</v>
      </c>
      <c r="KY10" s="400">
        <v>0</v>
      </c>
      <c r="KZ10" s="400">
        <v>0</v>
      </c>
      <c r="LA10" s="400">
        <v>0</v>
      </c>
      <c r="LB10" s="400">
        <v>0</v>
      </c>
      <c r="LC10" s="400">
        <v>0</v>
      </c>
      <c r="LD10" s="400">
        <v>0</v>
      </c>
      <c r="LE10" s="400">
        <v>0</v>
      </c>
      <c r="LF10" s="400">
        <v>0</v>
      </c>
      <c r="LG10" s="400">
        <v>0</v>
      </c>
      <c r="LH10" s="400">
        <v>0</v>
      </c>
      <c r="LI10" s="400">
        <v>0</v>
      </c>
      <c r="LJ10" s="400">
        <v>0</v>
      </c>
      <c r="LK10" s="400">
        <v>0</v>
      </c>
      <c r="LL10" s="400">
        <v>0</v>
      </c>
      <c r="LM10" s="400">
        <v>0</v>
      </c>
      <c r="LN10" s="400">
        <v>0</v>
      </c>
      <c r="LO10" s="400">
        <v>0</v>
      </c>
      <c r="LP10" s="400">
        <v>0</v>
      </c>
      <c r="LQ10" s="400">
        <v>4786256</v>
      </c>
      <c r="LR10" s="400">
        <v>0</v>
      </c>
      <c r="LS10" s="400">
        <v>0</v>
      </c>
      <c r="LT10" s="400">
        <v>142862</v>
      </c>
      <c r="LU10" s="400">
        <v>0</v>
      </c>
      <c r="LV10" s="400">
        <v>0</v>
      </c>
      <c r="LW10" s="400">
        <v>0</v>
      </c>
      <c r="LX10" s="400">
        <v>0</v>
      </c>
      <c r="LY10" s="400">
        <v>0</v>
      </c>
      <c r="LZ10" s="400">
        <v>0</v>
      </c>
      <c r="MA10" s="400">
        <v>0</v>
      </c>
      <c r="MB10" s="400">
        <v>0</v>
      </c>
      <c r="MC10" s="400">
        <v>0</v>
      </c>
      <c r="MD10" s="400">
        <v>0</v>
      </c>
      <c r="ME10" s="400">
        <v>0</v>
      </c>
      <c r="MF10" s="400">
        <v>0</v>
      </c>
      <c r="MG10" s="400">
        <v>0</v>
      </c>
      <c r="MH10" s="400">
        <v>0</v>
      </c>
      <c r="MI10" s="400">
        <v>0</v>
      </c>
      <c r="MJ10" s="400">
        <v>0</v>
      </c>
      <c r="MK10" s="400">
        <v>0</v>
      </c>
      <c r="ML10" s="400">
        <v>0</v>
      </c>
      <c r="MM10" s="400">
        <v>0</v>
      </c>
      <c r="MN10" s="400">
        <v>0</v>
      </c>
      <c r="MO10" s="400">
        <v>265985</v>
      </c>
      <c r="MP10" s="400">
        <v>0</v>
      </c>
      <c r="MQ10" s="400">
        <v>0</v>
      </c>
      <c r="MR10" s="400">
        <v>7740175</v>
      </c>
      <c r="MS10" s="400">
        <v>0</v>
      </c>
      <c r="MT10" s="400">
        <v>0</v>
      </c>
      <c r="MU10" s="400">
        <v>0</v>
      </c>
      <c r="MV10" s="400">
        <v>0</v>
      </c>
      <c r="MW10" s="400">
        <v>4872269</v>
      </c>
      <c r="MX10" s="400">
        <v>224359</v>
      </c>
      <c r="MY10" s="400">
        <v>0</v>
      </c>
      <c r="MZ10" s="400">
        <v>0</v>
      </c>
      <c r="NA10" s="400">
        <v>0</v>
      </c>
      <c r="NB10" s="400">
        <v>0</v>
      </c>
      <c r="NC10" s="400">
        <v>0</v>
      </c>
      <c r="ND10" s="400">
        <v>0</v>
      </c>
      <c r="NE10" s="400">
        <v>0</v>
      </c>
      <c r="NF10" s="400">
        <v>0</v>
      </c>
      <c r="NG10" s="400">
        <v>0</v>
      </c>
      <c r="NH10" s="400">
        <v>0</v>
      </c>
      <c r="NI10" s="400">
        <v>0</v>
      </c>
      <c r="NJ10" s="400">
        <v>0</v>
      </c>
      <c r="NK10" s="400">
        <v>0</v>
      </c>
      <c r="NL10" s="400">
        <v>0</v>
      </c>
      <c r="NM10" s="400">
        <v>0</v>
      </c>
      <c r="NN10" s="400">
        <v>0</v>
      </c>
      <c r="NO10" s="400">
        <v>0</v>
      </c>
      <c r="NP10" s="400">
        <v>0</v>
      </c>
      <c r="NQ10" s="400">
        <v>0</v>
      </c>
      <c r="NR10" s="400">
        <v>0</v>
      </c>
      <c r="NS10" s="400">
        <v>0</v>
      </c>
      <c r="NT10" s="400">
        <v>0</v>
      </c>
      <c r="NU10" s="400">
        <v>216578</v>
      </c>
      <c r="NV10" s="400">
        <v>1145422</v>
      </c>
      <c r="NW10" s="400">
        <v>0</v>
      </c>
      <c r="NX10" s="400">
        <v>0</v>
      </c>
      <c r="NY10" s="400">
        <v>0</v>
      </c>
      <c r="NZ10" s="400">
        <v>0</v>
      </c>
      <c r="OA10" s="400">
        <v>0</v>
      </c>
      <c r="OB10" s="400">
        <v>0</v>
      </c>
      <c r="OC10" s="400">
        <v>0</v>
      </c>
      <c r="OD10" s="400">
        <v>0</v>
      </c>
      <c r="OE10" s="400">
        <v>0</v>
      </c>
      <c r="OF10" s="400">
        <v>0</v>
      </c>
      <c r="OG10" s="400">
        <v>0</v>
      </c>
      <c r="OH10" s="400">
        <v>0</v>
      </c>
      <c r="OI10" s="400">
        <v>0</v>
      </c>
      <c r="OJ10" s="400">
        <v>244964</v>
      </c>
      <c r="OK10" s="400">
        <v>974670</v>
      </c>
      <c r="OL10" s="400">
        <v>0</v>
      </c>
      <c r="OM10" s="400">
        <v>0</v>
      </c>
      <c r="ON10" s="400">
        <v>0</v>
      </c>
      <c r="OO10" s="400">
        <v>0</v>
      </c>
      <c r="OP10" s="400">
        <v>0</v>
      </c>
      <c r="OQ10" s="400">
        <v>0</v>
      </c>
      <c r="OR10" s="400">
        <v>132000</v>
      </c>
      <c r="OS10" s="400">
        <v>0</v>
      </c>
      <c r="OT10" s="400">
        <v>0</v>
      </c>
      <c r="OU10" s="400">
        <v>0</v>
      </c>
      <c r="OV10" s="400">
        <v>0</v>
      </c>
      <c r="OW10" s="400">
        <v>0</v>
      </c>
      <c r="OX10" s="400">
        <v>206625</v>
      </c>
      <c r="OY10" s="400">
        <v>0</v>
      </c>
      <c r="OZ10" s="400">
        <v>0</v>
      </c>
      <c r="PA10" s="400">
        <v>0</v>
      </c>
      <c r="PB10" s="400">
        <v>0</v>
      </c>
      <c r="PC10" s="400">
        <v>0</v>
      </c>
      <c r="PD10" s="400">
        <v>0</v>
      </c>
      <c r="PE10" s="400">
        <v>0</v>
      </c>
      <c r="PF10" s="400">
        <v>0</v>
      </c>
      <c r="PG10" s="400">
        <v>0</v>
      </c>
      <c r="PH10" s="400">
        <v>276517</v>
      </c>
      <c r="PI10" s="400">
        <v>0</v>
      </c>
      <c r="PJ10" s="400">
        <v>0</v>
      </c>
      <c r="PK10" s="400">
        <v>0</v>
      </c>
      <c r="PL10" s="400">
        <v>0</v>
      </c>
      <c r="PM10" s="400">
        <v>0</v>
      </c>
      <c r="PN10" s="400">
        <v>0</v>
      </c>
      <c r="PO10" s="400">
        <v>0</v>
      </c>
      <c r="PP10" s="400">
        <v>0</v>
      </c>
      <c r="PQ10" s="400">
        <v>0</v>
      </c>
      <c r="PR10" s="400">
        <v>0</v>
      </c>
      <c r="PS10" s="400">
        <v>0</v>
      </c>
      <c r="PT10" s="400">
        <v>0</v>
      </c>
      <c r="PU10" s="400">
        <v>0</v>
      </c>
      <c r="PV10" s="400">
        <v>0</v>
      </c>
      <c r="PW10" s="400">
        <v>0</v>
      </c>
      <c r="PX10" s="400">
        <v>0</v>
      </c>
      <c r="PY10" s="400">
        <v>0</v>
      </c>
      <c r="PZ10" s="400">
        <v>0</v>
      </c>
      <c r="QA10" s="400">
        <v>0</v>
      </c>
      <c r="QB10" s="400">
        <v>0</v>
      </c>
      <c r="QC10" s="400">
        <v>0</v>
      </c>
      <c r="QD10" s="400">
        <v>0</v>
      </c>
      <c r="QE10" s="400">
        <v>0</v>
      </c>
      <c r="QF10" s="400">
        <v>0</v>
      </c>
      <c r="QG10" s="400">
        <v>0</v>
      </c>
      <c r="QH10" s="400">
        <v>0</v>
      </c>
      <c r="QI10" s="400">
        <v>0</v>
      </c>
      <c r="QJ10" s="400">
        <v>0</v>
      </c>
      <c r="QK10" s="400">
        <v>0</v>
      </c>
      <c r="QL10" s="400">
        <v>0</v>
      </c>
      <c r="QM10" s="400">
        <v>0</v>
      </c>
      <c r="QN10" s="400">
        <v>0</v>
      </c>
      <c r="QO10" s="400">
        <v>0</v>
      </c>
      <c r="QP10" s="400">
        <v>0</v>
      </c>
      <c r="QQ10" s="400">
        <v>0</v>
      </c>
      <c r="QR10" s="400">
        <v>0</v>
      </c>
      <c r="QS10" s="400">
        <v>0</v>
      </c>
      <c r="QT10" s="400">
        <v>0</v>
      </c>
      <c r="QU10" s="400">
        <v>0</v>
      </c>
      <c r="QV10" s="400">
        <v>3000000</v>
      </c>
      <c r="QW10" s="400">
        <v>0</v>
      </c>
      <c r="QX10" s="400">
        <v>0</v>
      </c>
      <c r="QY10" s="400">
        <v>0</v>
      </c>
      <c r="QZ10" s="400">
        <v>0</v>
      </c>
      <c r="RA10" s="400">
        <v>0</v>
      </c>
      <c r="RB10" s="400">
        <v>0</v>
      </c>
      <c r="RC10" s="25"/>
      <c r="RG10" s="39">
        <f>SUMIFS($C10:$RB10,$C$7:$RB$7,RG$3)</f>
        <v>102204574</v>
      </c>
      <c r="RH10" s="39">
        <f t="shared" ref="RH10:RR25" si="7">SUMIFS($C10:$RB10,$C$7:$RB$7,RH$3)</f>
        <v>5404823</v>
      </c>
      <c r="RI10" s="39">
        <f t="shared" si="7"/>
        <v>532398</v>
      </c>
      <c r="RJ10" s="39">
        <f>SUMIFS($C10:$RB10,$C$7:$RB$7,RJ$3)</f>
        <v>0</v>
      </c>
      <c r="RK10" s="39">
        <f t="shared" si="7"/>
        <v>0</v>
      </c>
      <c r="RL10" s="39">
        <f t="shared" si="7"/>
        <v>13679110</v>
      </c>
      <c r="RM10" s="39">
        <f t="shared" si="7"/>
        <v>3704445</v>
      </c>
      <c r="RN10" s="39">
        <f t="shared" si="7"/>
        <v>0</v>
      </c>
      <c r="RO10" s="39">
        <f t="shared" si="7"/>
        <v>1120403</v>
      </c>
      <c r="RP10" s="39">
        <f t="shared" si="7"/>
        <v>21859</v>
      </c>
      <c r="RQ10" s="39">
        <f t="shared" si="7"/>
        <v>822739</v>
      </c>
      <c r="RR10" s="39">
        <f>SUMIFS($C10:$RB10,$C$7:$RB$7,RR$3)</f>
        <v>3970192</v>
      </c>
      <c r="RS10" s="39"/>
      <c r="RT10" s="182"/>
      <c r="RU10" s="39"/>
      <c r="RV10" s="39">
        <f>SUMIF($C$6:$RB$6, RV$4, $C10:$RB10)</f>
        <v>20705949</v>
      </c>
      <c r="RW10" s="39">
        <f t="shared" ref="RW10:RY25" si="8">SUMIF($C$6:$RB$6, RW$4, $C10:$RB10)</f>
        <v>131460543</v>
      </c>
      <c r="RX10" s="39">
        <f t="shared" si="8"/>
        <v>94999904</v>
      </c>
      <c r="RY10" s="39">
        <f t="shared" si="8"/>
        <v>3615142</v>
      </c>
      <c r="RZ10" s="39"/>
      <c r="SA10" s="182"/>
      <c r="SB10" s="39"/>
      <c r="SC10" s="25">
        <f>RX10/ST10</f>
        <v>3919.4613416948591</v>
      </c>
      <c r="SD10" s="39">
        <f>IFERROR(VLOOKUP(A10, 'Levy Data 15-16'!$B:$O, 3, FALSE), 0)</f>
        <v>16841300296</v>
      </c>
      <c r="SE10" s="39">
        <f t="shared" ref="SE10:SE41" si="9">SD10/ST10</f>
        <v>694830.44376598729</v>
      </c>
      <c r="SF10" s="631">
        <f>IFERROR(VLOOKUP(A10, 'Levy Data 15-16'!$B:$O, 14, FALSE), 0)*1000</f>
        <v>5.0486760000000004</v>
      </c>
      <c r="SG10" s="39">
        <f t="shared" ref="SG10:SG41" si="10">$SG$6*SD10/1000</f>
        <v>0</v>
      </c>
      <c r="SH10" s="39">
        <f t="shared" ref="SH10:SH41" si="11">MIN(RX10,SG10)</f>
        <v>0</v>
      </c>
      <c r="SI10" s="39">
        <f t="shared" ref="SI10:SI41" si="12">(RX10-SH10)*1</f>
        <v>94999904</v>
      </c>
      <c r="SM10" s="39">
        <f t="shared" ref="SM10:SM41" si="13">SUM(RG10:RR10)</f>
        <v>131460543</v>
      </c>
      <c r="SN10" s="39">
        <f t="shared" ref="SN10:SN41" si="14">SM10-SUMIFS(RG10:RR10,RG$4:RR$4,"X")</f>
        <v>0</v>
      </c>
      <c r="SO10" s="39">
        <f>SM10-SN10</f>
        <v>131460543</v>
      </c>
      <c r="SP10" s="50">
        <f>(SM10-SN10)/SM10</f>
        <v>1</v>
      </c>
      <c r="ST10" s="124">
        <f>IFERROR(VLOOKUP(A10,'Grade Enroll 15-16'!B:AC,27,FALSE),"")</f>
        <v>24238</v>
      </c>
      <c r="SU10" s="124">
        <f>SV10*(ST10)</f>
        <v>8543.8522237038196</v>
      </c>
      <c r="SV10" s="131">
        <f>IFERROR(VLOOKUP($A10, 'Title I Enroll 16-17'!S:V, 4, FALSE), 0)</f>
        <v>0.3524982351556985</v>
      </c>
      <c r="SW10" s="729">
        <f>IFERROR(VLOOKUP(A10, 'ELL Enroll 15-16'!$N:$S, 6, FALSE), 0)</f>
        <v>3175</v>
      </c>
      <c r="SX10" s="131">
        <f>SW10/ST10</f>
        <v>0.13099265615974914</v>
      </c>
      <c r="SY10" s="124">
        <f>IFERROR(VLOOKUP(A10, 'SPED enroll 2015-16'!$M:$O, 3, FALSE), 0)</f>
        <v>2953</v>
      </c>
      <c r="SZ10" s="131">
        <f>SY10/ST10</f>
        <v>0.1218334846109415</v>
      </c>
      <c r="TA10" s="142">
        <f>$SY10*TA$8</f>
        <v>2067.1</v>
      </c>
      <c r="TB10" s="142">
        <f t="shared" ref="TB10:TD21" si="15">$SY10*TB$8</f>
        <v>590.6</v>
      </c>
      <c r="TC10" s="142">
        <f t="shared" si="15"/>
        <v>206.71</v>
      </c>
      <c r="TD10" s="142">
        <f t="shared" si="15"/>
        <v>88.59</v>
      </c>
      <c r="TE10" s="124">
        <f>VLOOKUP($A10, 'Grade Enroll 15-16'!$B:$AB, 20, FALSE)</f>
        <v>291</v>
      </c>
      <c r="TF10" s="124">
        <f>VLOOKUP($A10, 'Grade Enroll 15-16'!$B:$AB, 21, FALSE)</f>
        <v>1750</v>
      </c>
      <c r="TG10" s="124">
        <f>VLOOKUP($A10, 'Grade Enroll 15-16'!$B:$AB, 22, FALSE)</f>
        <v>6054</v>
      </c>
      <c r="TH10" s="124">
        <f>VLOOKUP($A10, 'Grade Enroll 15-16'!$B:$AB, 23, FALSE)</f>
        <v>6152</v>
      </c>
      <c r="TI10" s="124">
        <f>VLOOKUP($A10, 'Grade Enroll 15-16'!$B:$AB, 24, FALSE)</f>
        <v>3959</v>
      </c>
      <c r="TJ10" s="124">
        <f>VLOOKUP($A10, 'Grade Enroll 15-16'!$B:$AB, 25, FALSE)</f>
        <v>8073</v>
      </c>
      <c r="TK10" s="124">
        <f>VLOOKUP($A10, 'Grade Enroll 15-16'!$B:$AB, 26, FALSE)</f>
        <v>16334</v>
      </c>
      <c r="TL10" s="131">
        <f>SUMIFS('Student Achievement 15-16'!N:N, 'Student Achievement 15-16'!B:B, 'Idaho Data'!A10, 'Student Achievement 15-16'!D:D, "math")/100</f>
        <v>0.255</v>
      </c>
      <c r="TM10" s="134">
        <f>TL10*$ST10</f>
        <v>6180.6900000000005</v>
      </c>
      <c r="TN10" s="131">
        <f>SUMIFS('Student Achievement 15-16'!N:N, 'Student Achievement 15-16'!B:B, 'Idaho Data'!A10, 'Student Achievement 15-16'!D:D, "ela")/100</f>
        <v>0.21199999999999999</v>
      </c>
      <c r="TO10" s="134">
        <f>TN10*$ST10</f>
        <v>5138.4560000000001</v>
      </c>
      <c r="TP10" s="514">
        <f>IFERROR(VLOOKUP(A10, 'G&amp;T 15-16'!B:G, 6, FALSE), 0)*1</f>
        <v>626</v>
      </c>
      <c r="TQ10" s="168">
        <f>0.06*ST10</f>
        <v>1454.28</v>
      </c>
      <c r="TU10" s="168">
        <f>MIN(TM10,TO10)</f>
        <v>5138.4560000000001</v>
      </c>
      <c r="TV10" s="168">
        <f>MAX(TM10,TO10)</f>
        <v>6180.6900000000005</v>
      </c>
      <c r="TW10" s="205">
        <f>IF(TW$4="low", TU10, TV10)</f>
        <v>6180.6900000000005</v>
      </c>
      <c r="TX10" s="144"/>
      <c r="TY10" s="129"/>
      <c r="TZ10" s="127">
        <f>MIN(TP10:TQ10)</f>
        <v>626</v>
      </c>
      <c r="UA10" s="127">
        <f>MAX(TP10:TQ10)</f>
        <v>1454.28</v>
      </c>
      <c r="UB10" s="205">
        <f>IF(UB$4="low", TZ10, UA10)</f>
        <v>1454.28</v>
      </c>
      <c r="UE10" s="130" t="str">
        <f>IF(ST10&lt;='1. Simulator Input'!$E$104, "yes", "")</f>
        <v/>
      </c>
      <c r="UI10" s="199">
        <f>SG10</f>
        <v>0</v>
      </c>
      <c r="UJ10" s="200">
        <f>IF('Idaho Data'!SI10&gt;=0, ((1-'1. Simulator Input'!$E$39)*'Idaho Data'!SI10), 0)</f>
        <v>0</v>
      </c>
      <c r="UK10" s="200">
        <f>SUMIF($RG$4:$RR$4, "x", $RG10:$RR10)</f>
        <v>131460543</v>
      </c>
      <c r="UL10" s="39"/>
      <c r="UM10" s="182"/>
      <c r="UN10" s="39"/>
      <c r="UO10" s="39" t="str">
        <f>IF(AND('1. Simulator Input'!$E$96="yes", '1. Simulator Input'!$E$98="yes", '1. Simulator Input'!$E$100="hold harmless"), 'Idaho Data'!WN10, IF(AND('1. Simulator Input'!$E$96="yes", '1. Simulator Input'!$E$98="no", '1. Simulator Input'!$E$100="hold harmless"), 'Idaho Data'!WM10, IF(AND('1. Simulator Input'!$E$96="yes", '1. Simulator Input'!$E$98="yes", '1. Simulator Input'!$E$100="small district grant"), WL10,IF(AND('1. Simulator Input'!$E$96="yes", '1. Simulator Input'!$E$98="no", '1. Simulator Input'!$E$100="small district grant"), WK10, ""))))</f>
        <v/>
      </c>
      <c r="UP10" s="200">
        <f>'1. Simulator Input'!$D$56*('Idaho Data'!ST10)</f>
        <v>133939188</v>
      </c>
      <c r="UQ10" s="204">
        <f>'1. Simulator Input'!$D$65*'1. Simulator Input'!$D$56*'Idaho Data'!SU10</f>
        <v>0</v>
      </c>
      <c r="UR10" s="204">
        <f>'1. Simulator Input'!$D$66*'1. Simulator Input'!$D$56*'Idaho Data'!SW10</f>
        <v>0</v>
      </c>
      <c r="US10" s="200">
        <f>'1. Simulator Input'!$D$67*'1. Simulator Input'!$D$56*'Idaho Data'!TA10</f>
        <v>0</v>
      </c>
      <c r="UT10" s="200">
        <f>'1. Simulator Input'!$D$68*'1. Simulator Input'!$D$56*'Idaho Data'!TB10</f>
        <v>0</v>
      </c>
      <c r="UU10" s="200">
        <f>'1. Simulator Input'!$D$69*'1. Simulator Input'!$D$56*'Idaho Data'!TC10</f>
        <v>0</v>
      </c>
      <c r="UV10" s="200">
        <f>'1. Simulator Input'!$D$70*'1. Simulator Input'!$D$56*TD10</f>
        <v>0</v>
      </c>
      <c r="UW10" s="200">
        <f>'1. Simulator Input'!$D$80*'1. Simulator Input'!$D$56*TW10</f>
        <v>0</v>
      </c>
      <c r="UX10" s="200">
        <f>'1. Simulator Input'!$D$79*'1. Simulator Input'!$D$56*UB10</f>
        <v>0</v>
      </c>
      <c r="UY10" s="200">
        <f>'1. Simulator Input'!$D$87*'1. Simulator Input'!$D$56*TF10</f>
        <v>4835250</v>
      </c>
      <c r="UZ10" s="200">
        <f>'1. Simulator Input'!$D$73*'1. Simulator Input'!$D$56*'Idaho Data'!TG10</f>
        <v>0</v>
      </c>
      <c r="VA10" s="200">
        <f>'1. Simulator Input'!$D$56*'1. Simulator Input'!$D$74*'Idaho Data'!TH10</f>
        <v>0</v>
      </c>
      <c r="VB10" s="200">
        <f>'1. Simulator Input'!$D$56*'1. Simulator Input'!$D$75*'Idaho Data'!TI5</f>
        <v>0</v>
      </c>
      <c r="VC10" s="200">
        <f>'1. Simulator Input'!$D$76*'1. Simulator Input'!$D$56*'Idaho Data'!TJ10</f>
        <v>0</v>
      </c>
      <c r="VD10" s="200">
        <f>SUM(UP10:VC10)</f>
        <v>138774438</v>
      </c>
      <c r="VE10" s="200"/>
      <c r="VF10" s="182"/>
      <c r="VG10" s="200"/>
      <c r="VH10" s="200">
        <f>SG10</f>
        <v>0</v>
      </c>
      <c r="VI10" s="200">
        <f>SH10</f>
        <v>0</v>
      </c>
      <c r="VJ10" s="200">
        <f t="shared" ref="VJ10:VJ41" si="16">SUM($UO10:$VC10)-VH10</f>
        <v>138774438</v>
      </c>
      <c r="VK10" s="200">
        <f t="shared" ref="VK10:VK41" si="17">IF(AND($UE$5&gt;0, UE10="yes"), VJ10, IF(VJ10&lt;0, 0, VJ10-($VK$2*ST10)))</f>
        <v>138774438</v>
      </c>
      <c r="VL10" s="200"/>
      <c r="VM10" s="182"/>
      <c r="VN10" s="200"/>
      <c r="VO10" s="200">
        <f>RV10</f>
        <v>20705949</v>
      </c>
      <c r="VP10" s="200">
        <f>RW10</f>
        <v>131460543</v>
      </c>
      <c r="VQ10" s="200">
        <f>RX10</f>
        <v>94999904</v>
      </c>
      <c r="VR10" s="200">
        <f>RV10</f>
        <v>20705949</v>
      </c>
      <c r="VS10" s="200">
        <f t="shared" ref="VS10:VS41" si="18">VK10+SN10</f>
        <v>138774438</v>
      </c>
      <c r="VT10" s="200">
        <f t="shared" ref="VT10:VT41" si="19">VI10+SI10</f>
        <v>94999904</v>
      </c>
      <c r="VU10" s="200">
        <f t="shared" ref="VU10:VU41" si="20">IF(SH10&gt;SG10,0, SG10-SH10)</f>
        <v>0</v>
      </c>
      <c r="VV10" s="200"/>
      <c r="VW10" s="182"/>
      <c r="VX10" s="200"/>
      <c r="VZ10" s="199">
        <f>VS10-VP10</f>
        <v>7313895</v>
      </c>
      <c r="WA10" s="199">
        <f>VZ10/ST10</f>
        <v>301.75323871606571</v>
      </c>
      <c r="WB10" s="131">
        <f>VZ10/VP10</f>
        <v>5.5635667045738586E-2</v>
      </c>
      <c r="WC10" s="131"/>
      <c r="WD10" s="461"/>
      <c r="WE10" s="893"/>
      <c r="WF10" s="893">
        <f>SUM(VO10:VQ10)/ST10</f>
        <v>10197.474874164534</v>
      </c>
      <c r="WG10" s="893">
        <f>SUM(VR10:VT10)/ST10</f>
        <v>10499.228112880601</v>
      </c>
      <c r="WH10" s="893"/>
      <c r="WI10" s="893">
        <f>SO10</f>
        <v>131460543</v>
      </c>
      <c r="WJ10" s="893">
        <f t="shared" ref="WJ10:WJ41" si="21">SUM(UP10:VC10)-UI10</f>
        <v>138774438</v>
      </c>
      <c r="WK10" s="39" t="str">
        <f t="shared" ref="WK10:WK41" si="22">IF(UE10="","",IF($UE$5="","",IF(AND(UE10="yes", WJ10&gt;WI10),0,IF((WI10-WJ10)&gt;$UE$5,$UE$5,WI10-WJ10))))</f>
        <v/>
      </c>
      <c r="WL10" s="39" t="str">
        <f t="shared" ref="WL10:WL41" si="23">IF(WK10="", "", IF((WJ10+(SG10-SH10)-WI10)&gt;0, 0, IF((WI10-WJ10+(SG10-SH10))&gt;=$UE$5, $UE$5, (WI10-WJ10-(SG10-SH10)))))</f>
        <v/>
      </c>
      <c r="WM10" s="200" t="str">
        <f t="shared" ref="WM10:WM41" si="24">IF(UE10="","",IF(WJ10&gt;WI10,0,WI10-WJ10))</f>
        <v/>
      </c>
      <c r="WN10" s="39" t="str">
        <f t="shared" ref="WN10:WN41" si="25">IF(ISNUMBER(WM10), WM10-(SG10-SH10), "")</f>
        <v/>
      </c>
      <c r="WO10" s="39"/>
      <c r="WP10" s="182"/>
      <c r="WQ10" s="39"/>
      <c r="WR10" s="305">
        <f t="shared" ref="WR10:WR41" si="26">_xlfn.PERCENTRANK.INC($SE$10:$SE$124, SE10, 3)</f>
        <v>0.68400000000000005</v>
      </c>
      <c r="WT10" s="200">
        <f t="shared" ref="WT10:WT41" si="27">RW10/ST10</f>
        <v>5423.7372307946198</v>
      </c>
      <c r="WU10" s="131">
        <f>_xlfn.PERCENTRANK.EXC($WT$10:$WT$163, WT10, 2)</f>
        <v>7.0000000000000007E-2</v>
      </c>
      <c r="WW10" s="199">
        <f t="shared" ref="WW10:WW41" si="28">RV10</f>
        <v>20705949</v>
      </c>
      <c r="WX10" s="199">
        <f t="shared" ref="WX10:WX41" si="29">IF((XP10-UI10)&lt;0, 0, (XP10-UI10))</f>
        <v>138774438</v>
      </c>
      <c r="WY10" s="199">
        <f t="shared" ref="WY10:WY41" si="30">YF10</f>
        <v>0</v>
      </c>
      <c r="WZ10" s="199">
        <f>SUM(WX10:WY10)</f>
        <v>138774438</v>
      </c>
      <c r="XA10" s="199">
        <f t="shared" ref="XA10:XA41" si="31">SH10</f>
        <v>0</v>
      </c>
      <c r="XB10" s="199">
        <f t="shared" ref="XB10:XB41" si="32">SI10</f>
        <v>94999904</v>
      </c>
      <c r="XC10" s="199">
        <f t="shared" ref="XC10:XC41" si="33">RX10</f>
        <v>94999904</v>
      </c>
      <c r="XD10" s="199" t="str">
        <f t="shared" ref="XD10:XD41" si="34">IF(XP10-UI10&lt;0, -(XP10-UI10), "")</f>
        <v/>
      </c>
      <c r="XE10" s="199"/>
      <c r="XF10" s="199"/>
      <c r="XG10" s="199"/>
      <c r="XH10" s="199"/>
      <c r="XI10" s="199"/>
      <c r="XJ10" s="199">
        <f>WX10+XA10</f>
        <v>138774438</v>
      </c>
      <c r="XK10" s="199"/>
      <c r="XP10" s="199">
        <f t="shared" ref="XP10:XP41" si="35">SUM(UO10:VC10)</f>
        <v>138774438</v>
      </c>
      <c r="XQ10" s="199">
        <f t="shared" ref="XQ10:XQ41" si="36">XP10/ST10</f>
        <v>5725.4904695106861</v>
      </c>
      <c r="XR10" s="199">
        <f t="shared" ref="XR10:XR41" si="37">IF(UI10&gt;0,XP10-UI10+SH10,XP10)</f>
        <v>138774438</v>
      </c>
      <c r="XS10" s="199">
        <f t="shared" ref="XS10:XS41" si="38">IF(XR10&lt;0, 0, XR10-$XR$171*ST10)</f>
        <v>138774438</v>
      </c>
      <c r="XT10" s="199">
        <f t="shared" ref="XT10:XT41" si="39">XS10/ST10</f>
        <v>5725.4904695106861</v>
      </c>
      <c r="XU10" s="199">
        <f t="shared" ref="XU10:XU41" si="40">SUM(UI10:UK10)</f>
        <v>131460543</v>
      </c>
      <c r="XV10" s="199">
        <f t="shared" ref="XV10:XV41" si="41">XU10/ST10</f>
        <v>5423.7372307946198</v>
      </c>
      <c r="XW10" s="199">
        <f t="shared" ref="XW10:XW41" si="42">UK10+SH10</f>
        <v>131460543</v>
      </c>
      <c r="XX10" s="199">
        <f t="shared" ref="XX10:XX41" si="43">XW10/ST10</f>
        <v>5423.7372307946198</v>
      </c>
      <c r="XY10" s="199">
        <f>XS10-XW10</f>
        <v>7313895</v>
      </c>
      <c r="XZ10" s="199">
        <f>XT10-XX10</f>
        <v>301.75323871606633</v>
      </c>
      <c r="YA10" s="131">
        <f>XZ10/XV10</f>
        <v>5.5635667045738704E-2</v>
      </c>
      <c r="YB10" s="199"/>
      <c r="YC10" s="221"/>
      <c r="YD10" s="199"/>
      <c r="YE10" s="199">
        <f t="shared" ref="YE10:YE41" si="44">RV10</f>
        <v>20705949</v>
      </c>
      <c r="YF10" s="200">
        <f t="shared" ref="YF10:YF41" si="45">SUMIF($RG$4:$RR$4, "0", RG10:RR10)</f>
        <v>0</v>
      </c>
      <c r="YG10" s="199">
        <f t="shared" ref="YG10:YG41" si="46">SI10</f>
        <v>94999904</v>
      </c>
      <c r="YH10" s="199">
        <f t="shared" ref="YH10:YH41" si="47">RY10</f>
        <v>3615142</v>
      </c>
    </row>
    <row r="11" spans="1:660">
      <c r="A11" s="3">
        <v>2</v>
      </c>
      <c r="B11" s="2" t="s">
        <v>99</v>
      </c>
      <c r="C11" s="400">
        <v>0</v>
      </c>
      <c r="D11" s="400">
        <v>0</v>
      </c>
      <c r="E11" s="400">
        <v>0</v>
      </c>
      <c r="F11" s="400">
        <v>0</v>
      </c>
      <c r="G11" s="400">
        <v>14240383</v>
      </c>
      <c r="H11" s="400">
        <v>0</v>
      </c>
      <c r="I11" s="400">
        <v>3181225</v>
      </c>
      <c r="J11" s="400">
        <v>635053</v>
      </c>
      <c r="K11" s="400">
        <v>0</v>
      </c>
      <c r="L11" s="400">
        <v>0</v>
      </c>
      <c r="M11" s="400">
        <v>0</v>
      </c>
      <c r="N11" s="400">
        <v>29</v>
      </c>
      <c r="O11" s="400">
        <v>0</v>
      </c>
      <c r="P11" s="400">
        <v>0</v>
      </c>
      <c r="Q11" s="400">
        <v>0</v>
      </c>
      <c r="R11" s="400">
        <v>0</v>
      </c>
      <c r="S11" s="400">
        <v>0</v>
      </c>
      <c r="T11" s="400">
        <v>20220477</v>
      </c>
      <c r="U11" s="400">
        <v>0</v>
      </c>
      <c r="V11" s="400">
        <v>0</v>
      </c>
      <c r="W11" s="400">
        <v>0</v>
      </c>
      <c r="X11" s="400">
        <v>26980786</v>
      </c>
      <c r="Y11" s="400">
        <v>44263</v>
      </c>
      <c r="Z11" s="400">
        <v>0</v>
      </c>
      <c r="AA11" s="400">
        <v>46540</v>
      </c>
      <c r="AB11" s="400">
        <v>47166</v>
      </c>
      <c r="AC11" s="400">
        <v>0</v>
      </c>
      <c r="AD11" s="400">
        <v>2707081</v>
      </c>
      <c r="AE11" s="400">
        <v>0</v>
      </c>
      <c r="AF11" s="400">
        <v>0</v>
      </c>
      <c r="AG11" s="400">
        <v>0</v>
      </c>
      <c r="AH11" s="400">
        <v>0</v>
      </c>
      <c r="AI11" s="400">
        <v>0</v>
      </c>
      <c r="AJ11" s="400">
        <v>0</v>
      </c>
      <c r="AK11" s="400">
        <v>0</v>
      </c>
      <c r="AL11" s="400">
        <v>178089</v>
      </c>
      <c r="AM11" s="400">
        <v>0</v>
      </c>
      <c r="AN11" s="400">
        <v>0</v>
      </c>
      <c r="AO11" s="400">
        <v>0</v>
      </c>
      <c r="AP11" s="400">
        <v>0</v>
      </c>
      <c r="AQ11" s="400">
        <v>0</v>
      </c>
      <c r="AR11" s="400">
        <v>0</v>
      </c>
      <c r="AS11" s="400">
        <v>0</v>
      </c>
      <c r="AT11" s="400">
        <v>0</v>
      </c>
      <c r="AU11" s="400">
        <v>0</v>
      </c>
      <c r="AV11" s="400">
        <v>0</v>
      </c>
      <c r="AW11" s="400">
        <v>0</v>
      </c>
      <c r="AX11" s="400">
        <v>0</v>
      </c>
      <c r="AY11" s="400">
        <v>0</v>
      </c>
      <c r="AZ11" s="400">
        <v>0</v>
      </c>
      <c r="BA11" s="400">
        <v>0</v>
      </c>
      <c r="BB11" s="400">
        <v>0</v>
      </c>
      <c r="BC11" s="400">
        <v>4443</v>
      </c>
      <c r="BD11" s="400">
        <v>17067</v>
      </c>
      <c r="BE11" s="400">
        <v>365171</v>
      </c>
      <c r="BF11" s="400">
        <v>0</v>
      </c>
      <c r="BG11" s="400">
        <v>0</v>
      </c>
      <c r="BH11" s="400">
        <v>0</v>
      </c>
      <c r="BI11" s="400">
        <v>0</v>
      </c>
      <c r="BJ11" s="400">
        <v>0</v>
      </c>
      <c r="BK11" s="400">
        <v>0</v>
      </c>
      <c r="BL11" s="400">
        <v>0</v>
      </c>
      <c r="BM11" s="400">
        <v>0</v>
      </c>
      <c r="BN11" s="400">
        <v>0</v>
      </c>
      <c r="BO11" s="400">
        <v>0</v>
      </c>
      <c r="BP11" s="400">
        <v>0</v>
      </c>
      <c r="BQ11" s="400">
        <v>0</v>
      </c>
      <c r="BR11" s="400">
        <v>0</v>
      </c>
      <c r="BS11" s="400">
        <v>0</v>
      </c>
      <c r="BT11" s="400">
        <v>0</v>
      </c>
      <c r="BU11" s="400">
        <v>0</v>
      </c>
      <c r="BV11" s="400">
        <v>0</v>
      </c>
      <c r="BW11" s="400">
        <v>0</v>
      </c>
      <c r="BX11" s="400">
        <v>0</v>
      </c>
      <c r="BY11" s="400">
        <v>0</v>
      </c>
      <c r="BZ11" s="400">
        <v>0</v>
      </c>
      <c r="CA11" s="400">
        <v>0</v>
      </c>
      <c r="CB11" s="400">
        <v>0</v>
      </c>
      <c r="CC11" s="400">
        <v>0</v>
      </c>
      <c r="CD11" s="400">
        <v>3933180</v>
      </c>
      <c r="CE11" s="400">
        <v>93739</v>
      </c>
      <c r="CF11" s="400">
        <v>0</v>
      </c>
      <c r="CG11" s="400">
        <v>34122</v>
      </c>
      <c r="CH11" s="400">
        <v>0</v>
      </c>
      <c r="CI11" s="400">
        <v>0</v>
      </c>
      <c r="CJ11" s="400">
        <v>0</v>
      </c>
      <c r="CK11" s="400">
        <v>0</v>
      </c>
      <c r="CL11" s="400">
        <v>0</v>
      </c>
      <c r="CM11" s="400">
        <v>0</v>
      </c>
      <c r="CN11" s="400">
        <v>0</v>
      </c>
      <c r="CO11" s="400">
        <v>0</v>
      </c>
      <c r="CP11" s="400">
        <v>0</v>
      </c>
      <c r="CQ11" s="400">
        <v>0</v>
      </c>
      <c r="CR11" s="400">
        <v>0</v>
      </c>
      <c r="CS11" s="400">
        <v>0</v>
      </c>
      <c r="CT11" s="400">
        <v>0</v>
      </c>
      <c r="CU11" s="400">
        <v>0</v>
      </c>
      <c r="CV11" s="400">
        <v>0</v>
      </c>
      <c r="CW11" s="400">
        <v>0</v>
      </c>
      <c r="CX11" s="400">
        <v>0</v>
      </c>
      <c r="CY11" s="400">
        <v>0</v>
      </c>
      <c r="CZ11" s="400">
        <v>0</v>
      </c>
      <c r="DA11" s="400">
        <v>0</v>
      </c>
      <c r="DB11" s="400">
        <v>0</v>
      </c>
      <c r="DC11" s="400">
        <v>0</v>
      </c>
      <c r="DD11" s="400">
        <v>0</v>
      </c>
      <c r="DE11" s="400">
        <v>0</v>
      </c>
      <c r="DF11" s="400">
        <v>0</v>
      </c>
      <c r="DG11" s="400">
        <v>0</v>
      </c>
      <c r="DH11" s="400">
        <v>0</v>
      </c>
      <c r="DI11" s="400">
        <v>0</v>
      </c>
      <c r="DJ11" s="400">
        <v>0</v>
      </c>
      <c r="DK11" s="400">
        <v>0</v>
      </c>
      <c r="DL11" s="400">
        <v>0</v>
      </c>
      <c r="DM11" s="400">
        <v>0</v>
      </c>
      <c r="DN11" s="400">
        <v>0</v>
      </c>
      <c r="DO11" s="400">
        <v>0</v>
      </c>
      <c r="DP11" s="400">
        <v>0</v>
      </c>
      <c r="DQ11" s="400">
        <v>0</v>
      </c>
      <c r="DR11" s="400">
        <v>0</v>
      </c>
      <c r="DS11" s="400">
        <v>0</v>
      </c>
      <c r="DT11" s="400">
        <v>0</v>
      </c>
      <c r="DU11" s="400">
        <v>398906</v>
      </c>
      <c r="DV11" s="400">
        <v>0</v>
      </c>
      <c r="DW11" s="400">
        <v>0</v>
      </c>
      <c r="DX11" s="400">
        <v>0</v>
      </c>
      <c r="DY11" s="400">
        <v>0</v>
      </c>
      <c r="DZ11" s="400">
        <v>3080</v>
      </c>
      <c r="EA11" s="400">
        <v>0</v>
      </c>
      <c r="EB11" s="400">
        <v>0</v>
      </c>
      <c r="EC11" s="400">
        <v>0</v>
      </c>
      <c r="ED11" s="400">
        <v>0</v>
      </c>
      <c r="EE11" s="400">
        <v>0</v>
      </c>
      <c r="EF11" s="400">
        <v>0</v>
      </c>
      <c r="EG11" s="400">
        <v>0</v>
      </c>
      <c r="EH11" s="400">
        <v>0</v>
      </c>
      <c r="EI11" s="400">
        <v>0</v>
      </c>
      <c r="EJ11" s="400">
        <v>0</v>
      </c>
      <c r="EK11" s="400">
        <v>0</v>
      </c>
      <c r="EL11" s="400">
        <v>0</v>
      </c>
      <c r="EM11" s="400">
        <v>0</v>
      </c>
      <c r="EN11" s="400">
        <v>0</v>
      </c>
      <c r="EO11" s="400">
        <v>0</v>
      </c>
      <c r="EP11" s="400">
        <v>0</v>
      </c>
      <c r="EQ11" s="400">
        <v>0</v>
      </c>
      <c r="ER11" s="400">
        <v>0</v>
      </c>
      <c r="ES11" s="400">
        <v>0</v>
      </c>
      <c r="ET11" s="400">
        <v>0</v>
      </c>
      <c r="EU11" s="400">
        <v>0</v>
      </c>
      <c r="EV11" s="400">
        <v>0</v>
      </c>
      <c r="EW11" s="400">
        <v>0</v>
      </c>
      <c r="EX11" s="400">
        <v>0</v>
      </c>
      <c r="EY11" s="400">
        <v>0</v>
      </c>
      <c r="EZ11" s="400">
        <v>0</v>
      </c>
      <c r="FA11" s="400">
        <v>0</v>
      </c>
      <c r="FB11" s="400">
        <v>0</v>
      </c>
      <c r="FC11" s="400">
        <v>0</v>
      </c>
      <c r="FD11" s="400">
        <v>0</v>
      </c>
      <c r="FE11" s="400">
        <v>0</v>
      </c>
      <c r="FF11" s="400">
        <v>0</v>
      </c>
      <c r="FG11" s="400">
        <v>0</v>
      </c>
      <c r="FH11" s="400">
        <v>0</v>
      </c>
      <c r="FI11" s="400">
        <v>0</v>
      </c>
      <c r="FJ11" s="400">
        <v>0</v>
      </c>
      <c r="FK11" s="400">
        <v>0</v>
      </c>
      <c r="FL11" s="400">
        <v>0</v>
      </c>
      <c r="FM11" s="400">
        <v>0</v>
      </c>
      <c r="FN11" s="400">
        <v>0</v>
      </c>
      <c r="FO11" s="400">
        <v>0</v>
      </c>
      <c r="FP11" s="400">
        <v>0</v>
      </c>
      <c r="FQ11" s="400">
        <v>0</v>
      </c>
      <c r="FR11" s="400">
        <v>0</v>
      </c>
      <c r="FS11" s="400">
        <v>2626292</v>
      </c>
      <c r="FT11" s="400">
        <v>582</v>
      </c>
      <c r="FU11" s="400">
        <v>0</v>
      </c>
      <c r="FV11" s="400">
        <v>0</v>
      </c>
      <c r="FW11" s="400">
        <v>0</v>
      </c>
      <c r="FX11" s="400">
        <v>0</v>
      </c>
      <c r="FY11" s="400">
        <v>0</v>
      </c>
      <c r="FZ11" s="400">
        <v>88162</v>
      </c>
      <c r="GA11" s="400">
        <v>0</v>
      </c>
      <c r="GB11" s="400">
        <v>0</v>
      </c>
      <c r="GC11" s="400">
        <v>1000</v>
      </c>
      <c r="GD11" s="400">
        <v>0</v>
      </c>
      <c r="GE11" s="400">
        <v>189479</v>
      </c>
      <c r="GF11" s="400">
        <v>500</v>
      </c>
      <c r="GG11" s="400">
        <v>0</v>
      </c>
      <c r="GH11" s="400">
        <v>7583</v>
      </c>
      <c r="GI11" s="400">
        <v>0</v>
      </c>
      <c r="GJ11" s="400">
        <v>0</v>
      </c>
      <c r="GK11" s="400">
        <v>0</v>
      </c>
      <c r="GL11" s="400">
        <v>0</v>
      </c>
      <c r="GM11" s="400">
        <v>0</v>
      </c>
      <c r="GN11" s="400">
        <v>0</v>
      </c>
      <c r="GO11" s="400">
        <v>0</v>
      </c>
      <c r="GP11" s="400">
        <v>0</v>
      </c>
      <c r="GQ11" s="400">
        <v>0</v>
      </c>
      <c r="GR11" s="400">
        <v>614</v>
      </c>
      <c r="GS11" s="400">
        <v>0</v>
      </c>
      <c r="GT11" s="400">
        <v>0</v>
      </c>
      <c r="GU11" s="400">
        <v>23401</v>
      </c>
      <c r="GV11" s="400">
        <v>0</v>
      </c>
      <c r="GW11" s="400">
        <v>0</v>
      </c>
      <c r="GX11" s="400">
        <v>0</v>
      </c>
      <c r="GY11" s="400">
        <v>0</v>
      </c>
      <c r="GZ11" s="400">
        <v>0</v>
      </c>
      <c r="HA11" s="400">
        <v>0</v>
      </c>
      <c r="HB11" s="400">
        <v>0</v>
      </c>
      <c r="HC11" s="400">
        <v>0</v>
      </c>
      <c r="HD11" s="400">
        <v>147969241</v>
      </c>
      <c r="HE11" s="400">
        <v>0</v>
      </c>
      <c r="HF11" s="400">
        <v>2026343</v>
      </c>
      <c r="HG11" s="400">
        <v>0</v>
      </c>
      <c r="HH11" s="400">
        <v>0</v>
      </c>
      <c r="HI11" s="400">
        <v>8376574</v>
      </c>
      <c r="HJ11" s="400">
        <v>0</v>
      </c>
      <c r="HK11" s="400">
        <v>0</v>
      </c>
      <c r="HL11" s="400">
        <v>0</v>
      </c>
      <c r="HM11" s="400">
        <v>0</v>
      </c>
      <c r="HN11" s="400">
        <v>353954</v>
      </c>
      <c r="HO11" s="400">
        <v>19041251</v>
      </c>
      <c r="HP11" s="400">
        <v>204833</v>
      </c>
      <c r="HQ11" s="400">
        <v>0</v>
      </c>
      <c r="HR11" s="400">
        <v>0</v>
      </c>
      <c r="HS11" s="400">
        <v>0</v>
      </c>
      <c r="HT11" s="400">
        <v>0</v>
      </c>
      <c r="HU11" s="400">
        <v>0</v>
      </c>
      <c r="HV11" s="400">
        <v>987631</v>
      </c>
      <c r="HW11" s="400">
        <v>0</v>
      </c>
      <c r="HX11" s="400">
        <v>0</v>
      </c>
      <c r="HY11" s="400">
        <v>0</v>
      </c>
      <c r="HZ11" s="400">
        <v>0</v>
      </c>
      <c r="IA11" s="400">
        <v>48818</v>
      </c>
      <c r="IB11" s="400">
        <v>477423</v>
      </c>
      <c r="IC11" s="400">
        <v>0</v>
      </c>
      <c r="ID11" s="400">
        <v>0</v>
      </c>
      <c r="IE11" s="400">
        <v>0</v>
      </c>
      <c r="IF11" s="400">
        <v>0</v>
      </c>
      <c r="IG11" s="400">
        <v>0</v>
      </c>
      <c r="IH11" s="400">
        <v>0</v>
      </c>
      <c r="II11" s="400">
        <v>0</v>
      </c>
      <c r="IJ11" s="400">
        <v>447899</v>
      </c>
      <c r="IK11" s="400">
        <v>0</v>
      </c>
      <c r="IL11" s="400">
        <v>0</v>
      </c>
      <c r="IM11" s="400">
        <v>0</v>
      </c>
      <c r="IN11" s="400">
        <v>0</v>
      </c>
      <c r="IO11" s="400">
        <v>111063</v>
      </c>
      <c r="IP11" s="400">
        <v>0</v>
      </c>
      <c r="IQ11" s="400">
        <v>5810811</v>
      </c>
      <c r="IR11" s="400">
        <v>1188391</v>
      </c>
      <c r="IS11" s="400">
        <v>0</v>
      </c>
      <c r="IT11" s="400">
        <v>213430</v>
      </c>
      <c r="IU11" s="400">
        <v>0</v>
      </c>
      <c r="IV11" s="400">
        <v>0</v>
      </c>
      <c r="IW11" s="400">
        <v>23426</v>
      </c>
      <c r="IX11" s="400">
        <v>0</v>
      </c>
      <c r="IY11" s="400">
        <v>2193577</v>
      </c>
      <c r="IZ11" s="400">
        <v>0</v>
      </c>
      <c r="JA11" s="400">
        <v>0</v>
      </c>
      <c r="JB11" s="400">
        <v>0</v>
      </c>
      <c r="JC11" s="400">
        <v>0</v>
      </c>
      <c r="JD11" s="400">
        <v>0</v>
      </c>
      <c r="JE11" s="400">
        <v>18013</v>
      </c>
      <c r="JF11" s="400">
        <v>0</v>
      </c>
      <c r="JG11" s="400">
        <v>0</v>
      </c>
      <c r="JH11" s="400">
        <v>0</v>
      </c>
      <c r="JI11" s="400">
        <v>0</v>
      </c>
      <c r="JJ11" s="400">
        <v>0</v>
      </c>
      <c r="JK11" s="400">
        <v>0</v>
      </c>
      <c r="JL11" s="400">
        <v>0</v>
      </c>
      <c r="JM11" s="400">
        <v>0</v>
      </c>
      <c r="JN11" s="400">
        <v>0</v>
      </c>
      <c r="JO11" s="400">
        <v>114906</v>
      </c>
      <c r="JP11" s="400">
        <v>0</v>
      </c>
      <c r="JQ11" s="400">
        <v>0</v>
      </c>
      <c r="JR11" s="400">
        <v>0</v>
      </c>
      <c r="JS11" s="400">
        <v>0</v>
      </c>
      <c r="JT11" s="400">
        <v>0</v>
      </c>
      <c r="JU11" s="400">
        <v>0</v>
      </c>
      <c r="JV11" s="400">
        <v>0</v>
      </c>
      <c r="JW11" s="400">
        <v>0</v>
      </c>
      <c r="JX11" s="400">
        <v>0</v>
      </c>
      <c r="JY11" s="400">
        <v>0</v>
      </c>
      <c r="JZ11" s="400">
        <v>0</v>
      </c>
      <c r="KA11" s="400">
        <v>0</v>
      </c>
      <c r="KB11" s="400">
        <v>0</v>
      </c>
      <c r="KC11" s="400">
        <v>0</v>
      </c>
      <c r="KD11" s="400">
        <v>0</v>
      </c>
      <c r="KE11" s="400">
        <v>0</v>
      </c>
      <c r="KF11" s="400">
        <v>0</v>
      </c>
      <c r="KG11" s="400">
        <v>0</v>
      </c>
      <c r="KH11" s="400">
        <v>0</v>
      </c>
      <c r="KI11" s="400">
        <v>0</v>
      </c>
      <c r="KJ11" s="400">
        <v>0</v>
      </c>
      <c r="KK11" s="400">
        <v>0</v>
      </c>
      <c r="KL11" s="400">
        <v>0</v>
      </c>
      <c r="KM11" s="400">
        <v>0</v>
      </c>
      <c r="KN11" s="400">
        <v>0</v>
      </c>
      <c r="KO11" s="400">
        <v>0</v>
      </c>
      <c r="KP11" s="400">
        <v>0</v>
      </c>
      <c r="KQ11" s="400">
        <v>0</v>
      </c>
      <c r="KR11" s="400">
        <v>0</v>
      </c>
      <c r="KS11" s="400">
        <v>0</v>
      </c>
      <c r="KT11" s="400">
        <v>0</v>
      </c>
      <c r="KU11" s="400">
        <v>0</v>
      </c>
      <c r="KV11" s="400">
        <v>0</v>
      </c>
      <c r="KW11" s="400">
        <v>0</v>
      </c>
      <c r="KX11" s="400">
        <v>0</v>
      </c>
      <c r="KY11" s="400">
        <v>0</v>
      </c>
      <c r="KZ11" s="400">
        <v>0</v>
      </c>
      <c r="LA11" s="400">
        <v>0</v>
      </c>
      <c r="LB11" s="400">
        <v>0</v>
      </c>
      <c r="LC11" s="400">
        <v>0</v>
      </c>
      <c r="LD11" s="400">
        <v>0</v>
      </c>
      <c r="LE11" s="400">
        <v>0</v>
      </c>
      <c r="LF11" s="400">
        <v>0</v>
      </c>
      <c r="LG11" s="400">
        <v>0</v>
      </c>
      <c r="LH11" s="400">
        <v>0</v>
      </c>
      <c r="LI11" s="400">
        <v>0</v>
      </c>
      <c r="LJ11" s="400">
        <v>0</v>
      </c>
      <c r="LK11" s="400">
        <v>0</v>
      </c>
      <c r="LL11" s="400">
        <v>0</v>
      </c>
      <c r="LM11" s="400">
        <v>0</v>
      </c>
      <c r="LN11" s="400">
        <v>0</v>
      </c>
      <c r="LO11" s="400">
        <v>0</v>
      </c>
      <c r="LP11" s="400">
        <v>0</v>
      </c>
      <c r="LQ11" s="400">
        <v>3783278</v>
      </c>
      <c r="LR11" s="400">
        <v>0</v>
      </c>
      <c r="LS11" s="400">
        <v>0</v>
      </c>
      <c r="LT11" s="400">
        <v>0</v>
      </c>
      <c r="LU11" s="400">
        <v>0</v>
      </c>
      <c r="LV11" s="400">
        <v>0</v>
      </c>
      <c r="LW11" s="400">
        <v>0</v>
      </c>
      <c r="LX11" s="400">
        <v>0</v>
      </c>
      <c r="LY11" s="400">
        <v>0</v>
      </c>
      <c r="LZ11" s="400">
        <v>0</v>
      </c>
      <c r="MA11" s="400">
        <v>0</v>
      </c>
      <c r="MB11" s="400">
        <v>0</v>
      </c>
      <c r="MC11" s="400">
        <v>0</v>
      </c>
      <c r="MD11" s="400">
        <v>0</v>
      </c>
      <c r="ME11" s="400">
        <v>0</v>
      </c>
      <c r="MF11" s="400">
        <v>0</v>
      </c>
      <c r="MG11" s="400">
        <v>0</v>
      </c>
      <c r="MH11" s="400">
        <v>0</v>
      </c>
      <c r="MI11" s="400">
        <v>0</v>
      </c>
      <c r="MJ11" s="400">
        <v>0</v>
      </c>
      <c r="MK11" s="400">
        <v>0</v>
      </c>
      <c r="ML11" s="400">
        <v>0</v>
      </c>
      <c r="MM11" s="400">
        <v>0</v>
      </c>
      <c r="MN11" s="400">
        <v>0</v>
      </c>
      <c r="MO11" s="400">
        <v>317905</v>
      </c>
      <c r="MP11" s="400">
        <v>0</v>
      </c>
      <c r="MQ11" s="400">
        <v>0</v>
      </c>
      <c r="MR11" s="400">
        <v>5707852</v>
      </c>
      <c r="MS11" s="400">
        <v>11513</v>
      </c>
      <c r="MT11" s="400">
        <v>0</v>
      </c>
      <c r="MU11" s="400">
        <v>0</v>
      </c>
      <c r="MV11" s="400">
        <v>0</v>
      </c>
      <c r="MW11" s="400">
        <v>5361016</v>
      </c>
      <c r="MX11" s="400">
        <v>162343</v>
      </c>
      <c r="MY11" s="400">
        <v>0</v>
      </c>
      <c r="MZ11" s="400">
        <v>0</v>
      </c>
      <c r="NA11" s="400">
        <v>0</v>
      </c>
      <c r="NB11" s="400">
        <v>0</v>
      </c>
      <c r="NC11" s="400">
        <v>0</v>
      </c>
      <c r="ND11" s="400">
        <v>0</v>
      </c>
      <c r="NE11" s="400">
        <v>0</v>
      </c>
      <c r="NF11" s="400">
        <v>0</v>
      </c>
      <c r="NG11" s="400">
        <v>0</v>
      </c>
      <c r="NH11" s="400">
        <v>124583</v>
      </c>
      <c r="NI11" s="400">
        <v>0</v>
      </c>
      <c r="NJ11" s="400">
        <v>0</v>
      </c>
      <c r="NK11" s="400">
        <v>0</v>
      </c>
      <c r="NL11" s="400">
        <v>0</v>
      </c>
      <c r="NM11" s="400">
        <v>0</v>
      </c>
      <c r="NN11" s="400">
        <v>0</v>
      </c>
      <c r="NO11" s="400">
        <v>0</v>
      </c>
      <c r="NP11" s="400">
        <v>0</v>
      </c>
      <c r="NQ11" s="400">
        <v>0</v>
      </c>
      <c r="NR11" s="400">
        <v>0</v>
      </c>
      <c r="NS11" s="400">
        <v>0</v>
      </c>
      <c r="NT11" s="400">
        <v>0</v>
      </c>
      <c r="NU11" s="400">
        <v>124106</v>
      </c>
      <c r="NV11" s="400">
        <v>518063</v>
      </c>
      <c r="NW11" s="400">
        <v>0</v>
      </c>
      <c r="NX11" s="400">
        <v>0</v>
      </c>
      <c r="NY11" s="400">
        <v>18241</v>
      </c>
      <c r="NZ11" s="400">
        <v>26352</v>
      </c>
      <c r="OA11" s="400">
        <v>0</v>
      </c>
      <c r="OB11" s="400">
        <v>0</v>
      </c>
      <c r="OC11" s="400">
        <v>0</v>
      </c>
      <c r="OD11" s="400">
        <v>0</v>
      </c>
      <c r="OE11" s="400">
        <v>0</v>
      </c>
      <c r="OF11" s="400">
        <v>0</v>
      </c>
      <c r="OG11" s="400">
        <v>0</v>
      </c>
      <c r="OH11" s="400">
        <v>0</v>
      </c>
      <c r="OI11" s="400">
        <v>0</v>
      </c>
      <c r="OJ11" s="400">
        <v>0</v>
      </c>
      <c r="OK11" s="400">
        <v>0</v>
      </c>
      <c r="OL11" s="400">
        <v>0</v>
      </c>
      <c r="OM11" s="400">
        <v>0</v>
      </c>
      <c r="ON11" s="400">
        <v>0</v>
      </c>
      <c r="OO11" s="400">
        <v>0</v>
      </c>
      <c r="OP11" s="400">
        <v>0</v>
      </c>
      <c r="OQ11" s="400">
        <v>0</v>
      </c>
      <c r="OR11" s="400">
        <v>0</v>
      </c>
      <c r="OS11" s="400">
        <v>0</v>
      </c>
      <c r="OT11" s="400">
        <v>0</v>
      </c>
      <c r="OU11" s="400">
        <v>0</v>
      </c>
      <c r="OV11" s="400">
        <v>0</v>
      </c>
      <c r="OW11" s="400">
        <v>0</v>
      </c>
      <c r="OX11" s="400">
        <v>2662</v>
      </c>
      <c r="OY11" s="400">
        <v>0</v>
      </c>
      <c r="OZ11" s="400">
        <v>0</v>
      </c>
      <c r="PA11" s="400">
        <v>0</v>
      </c>
      <c r="PB11" s="400">
        <v>0</v>
      </c>
      <c r="PC11" s="400">
        <v>0</v>
      </c>
      <c r="PD11" s="400">
        <v>0</v>
      </c>
      <c r="PE11" s="400">
        <v>0</v>
      </c>
      <c r="PF11" s="400">
        <v>0</v>
      </c>
      <c r="PG11" s="400">
        <v>0</v>
      </c>
      <c r="PH11" s="400">
        <v>397800</v>
      </c>
      <c r="PI11" s="400">
        <v>0</v>
      </c>
      <c r="PJ11" s="400">
        <v>0</v>
      </c>
      <c r="PK11" s="400">
        <v>0</v>
      </c>
      <c r="PL11" s="400">
        <v>0</v>
      </c>
      <c r="PM11" s="400">
        <v>0</v>
      </c>
      <c r="PN11" s="400">
        <v>0</v>
      </c>
      <c r="PO11" s="400">
        <v>0</v>
      </c>
      <c r="PP11" s="400">
        <v>0</v>
      </c>
      <c r="PQ11" s="400">
        <v>0</v>
      </c>
      <c r="PR11" s="400">
        <v>0</v>
      </c>
      <c r="PS11" s="400">
        <v>0</v>
      </c>
      <c r="PT11" s="400">
        <v>0</v>
      </c>
      <c r="PU11" s="400">
        <v>0</v>
      </c>
      <c r="PV11" s="400">
        <v>0</v>
      </c>
      <c r="PW11" s="400">
        <v>0</v>
      </c>
      <c r="PX11" s="400">
        <v>0</v>
      </c>
      <c r="PY11" s="400">
        <v>0</v>
      </c>
      <c r="PZ11" s="400">
        <v>0</v>
      </c>
      <c r="QA11" s="400">
        <v>0</v>
      </c>
      <c r="QB11" s="400">
        <v>0</v>
      </c>
      <c r="QC11" s="400">
        <v>0</v>
      </c>
      <c r="QD11" s="400">
        <v>0</v>
      </c>
      <c r="QE11" s="400">
        <v>0</v>
      </c>
      <c r="QF11" s="400">
        <v>0</v>
      </c>
      <c r="QG11" s="400">
        <v>0</v>
      </c>
      <c r="QH11" s="400">
        <v>0</v>
      </c>
      <c r="QI11" s="400">
        <v>0</v>
      </c>
      <c r="QJ11" s="400">
        <v>0</v>
      </c>
      <c r="QK11" s="400">
        <v>0</v>
      </c>
      <c r="QL11" s="400">
        <v>0</v>
      </c>
      <c r="QM11" s="400">
        <v>0</v>
      </c>
      <c r="QN11" s="400">
        <v>0</v>
      </c>
      <c r="QO11" s="400">
        <v>0</v>
      </c>
      <c r="QP11" s="400">
        <v>0</v>
      </c>
      <c r="QQ11" s="400">
        <v>0</v>
      </c>
      <c r="QR11" s="400">
        <v>0</v>
      </c>
      <c r="QS11" s="400">
        <v>0</v>
      </c>
      <c r="QT11" s="400">
        <v>4359</v>
      </c>
      <c r="QU11" s="400">
        <v>0</v>
      </c>
      <c r="QV11" s="400">
        <v>0</v>
      </c>
      <c r="QW11" s="400">
        <v>0</v>
      </c>
      <c r="QX11" s="400">
        <v>0</v>
      </c>
      <c r="QY11" s="400">
        <v>0</v>
      </c>
      <c r="QZ11" s="400">
        <v>0</v>
      </c>
      <c r="RA11" s="400">
        <v>0</v>
      </c>
      <c r="RB11" s="400">
        <v>0</v>
      </c>
      <c r="RG11" s="39">
        <f t="shared" ref="RG11:RR42" si="48">SUMIFS($C11:$RB11,$C$7:$RB$7,RG$3)</f>
        <v>149995584</v>
      </c>
      <c r="RH11" s="39">
        <f t="shared" si="7"/>
        <v>8376574</v>
      </c>
      <c r="RI11" s="39">
        <f t="shared" si="7"/>
        <v>0</v>
      </c>
      <c r="RJ11" s="39">
        <f t="shared" si="7"/>
        <v>0</v>
      </c>
      <c r="RK11" s="39">
        <f t="shared" si="7"/>
        <v>353954</v>
      </c>
      <c r="RL11" s="39">
        <f t="shared" si="7"/>
        <v>19041251</v>
      </c>
      <c r="RM11" s="39">
        <f t="shared" si="7"/>
        <v>2166604</v>
      </c>
      <c r="RN11" s="39">
        <f t="shared" si="7"/>
        <v>111063</v>
      </c>
      <c r="RO11" s="39">
        <f t="shared" si="7"/>
        <v>7212632</v>
      </c>
      <c r="RP11" s="39">
        <f t="shared" si="7"/>
        <v>2217003</v>
      </c>
      <c r="RQ11" s="39">
        <f t="shared" si="7"/>
        <v>0</v>
      </c>
      <c r="RR11" s="39">
        <f t="shared" si="7"/>
        <v>132919</v>
      </c>
      <c r="RS11" s="39"/>
      <c r="RT11" s="182"/>
      <c r="RU11" s="39"/>
      <c r="RV11" s="39">
        <f t="shared" ref="RV11:RY42" si="49">SUMIF($C$6:$RB$6, RV$4, $C11:$RB11)</f>
        <v>16155252</v>
      </c>
      <c r="RW11" s="39">
        <f t="shared" si="8"/>
        <v>189607584</v>
      </c>
      <c r="RX11" s="39">
        <f t="shared" si="8"/>
        <v>76068413</v>
      </c>
      <c r="RY11" s="39">
        <f t="shared" si="8"/>
        <v>404821</v>
      </c>
      <c r="RZ11" s="39"/>
      <c r="SA11" s="182"/>
      <c r="SB11" s="39"/>
      <c r="SC11" s="25">
        <f t="shared" ref="SC11:SC74" si="50">RX11/ST11</f>
        <v>2178.9239208272465</v>
      </c>
      <c r="SD11" s="39">
        <f>IFERROR(VLOOKUP(A11, 'Levy Data 15-16'!$B:$O, 3, FALSE), 0)</f>
        <v>15186704617</v>
      </c>
      <c r="SE11" s="39">
        <f t="shared" si="9"/>
        <v>435012.0196213228</v>
      </c>
      <c r="SF11" s="631">
        <f>IFERROR(VLOOKUP(A11, 'Levy Data 15-16'!$B:$O, 14, FALSE), 0)*1000</f>
        <v>4.2156440000000002</v>
      </c>
      <c r="SG11" s="39">
        <f t="shared" si="10"/>
        <v>0</v>
      </c>
      <c r="SH11" s="39">
        <f t="shared" si="11"/>
        <v>0</v>
      </c>
      <c r="SI11" s="39">
        <f t="shared" si="12"/>
        <v>76068413</v>
      </c>
      <c r="SM11" s="39">
        <f t="shared" si="13"/>
        <v>189607584</v>
      </c>
      <c r="SN11" s="39">
        <f t="shared" si="14"/>
        <v>0</v>
      </c>
      <c r="SO11" s="39">
        <f t="shared" ref="SO11:SO74" si="51">SM11-SN11</f>
        <v>189607584</v>
      </c>
      <c r="SP11" s="50">
        <f t="shared" ref="SP11:SP66" si="52">(SM11-SN11)/SM11</f>
        <v>1</v>
      </c>
      <c r="ST11" s="124">
        <f>IFERROR(VLOOKUP(A11,'Grade Enroll 15-16'!B:AC,27,FALSE),"")</f>
        <v>34911</v>
      </c>
      <c r="SU11" s="124">
        <f t="shared" ref="SU11:SU74" si="53">SV11*(ST11)</f>
        <v>9416.1646591805093</v>
      </c>
      <c r="SV11" s="131">
        <f>IFERROR(VLOOKUP($A11, 'Title I Enroll 16-17'!S:V, 4, FALSE), 0)</f>
        <v>0.26971913320101143</v>
      </c>
      <c r="SW11" s="729">
        <f>IFERROR(VLOOKUP(A11, 'ELL Enroll 15-16'!$N:$S, 6, FALSE), 0)</f>
        <v>1932</v>
      </c>
      <c r="SX11" s="131">
        <f t="shared" ref="SX11:SX66" si="54">SW11/ST11</f>
        <v>5.5340723554180633E-2</v>
      </c>
      <c r="SY11" s="124">
        <f>IFERROR(VLOOKUP(A11, 'SPED enroll 2015-16'!$M:$O, 3, FALSE), 0)</f>
        <v>3615</v>
      </c>
      <c r="SZ11" s="131">
        <f t="shared" ref="SZ11:SZ66" si="55">SY11/ST11</f>
        <v>0.10354902466271376</v>
      </c>
      <c r="TA11" s="142">
        <f t="shared" ref="TA11:TD37" si="56">$SY11*TA$8</f>
        <v>2530.5</v>
      </c>
      <c r="TB11" s="142">
        <f t="shared" si="15"/>
        <v>723</v>
      </c>
      <c r="TC11" s="142">
        <f t="shared" si="15"/>
        <v>253.05</v>
      </c>
      <c r="TD11" s="142">
        <f t="shared" si="15"/>
        <v>108.45</v>
      </c>
      <c r="TE11" s="124">
        <f>VLOOKUP($A11, 'Grade Enroll 15-16'!$B:$AB, 20, FALSE)</f>
        <v>280</v>
      </c>
      <c r="TF11" s="124">
        <f>VLOOKUP($A11, 'Grade Enroll 15-16'!$B:$AB, 21, FALSE)</f>
        <v>2565</v>
      </c>
      <c r="TG11" s="124">
        <f>VLOOKUP($A11, 'Grade Enroll 15-16'!$B:$AB, 22, FALSE)</f>
        <v>8728</v>
      </c>
      <c r="TH11" s="124">
        <f>VLOOKUP($A11, 'Grade Enroll 15-16'!$B:$AB, 23, FALSE)</f>
        <v>8791</v>
      </c>
      <c r="TI11" s="124">
        <f>VLOOKUP($A11, 'Grade Enroll 15-16'!$B:$AB, 24, FALSE)</f>
        <v>5895</v>
      </c>
      <c r="TJ11" s="124">
        <f>VLOOKUP($A11, 'Grade Enroll 15-16'!$B:$AB, 25, FALSE)</f>
        <v>11497</v>
      </c>
      <c r="TK11" s="124">
        <f>VLOOKUP($A11, 'Grade Enroll 15-16'!$B:$AB, 26, FALSE)</f>
        <v>23840</v>
      </c>
      <c r="TL11" s="131">
        <f>SUMIFS('Student Achievement 15-16'!N:N, 'Student Achievement 15-16'!B:B, 'Idaho Data'!A11, 'Student Achievement 15-16'!D:D, "math")/100</f>
        <v>0.192</v>
      </c>
      <c r="TM11" s="134">
        <f t="shared" ref="TM11:TM74" si="57">TL11*$ST11</f>
        <v>6702.9120000000003</v>
      </c>
      <c r="TN11" s="131">
        <f>SUMIFS('Student Achievement 15-16'!N:N, 'Student Achievement 15-16'!B:B, 'Idaho Data'!A11, 'Student Achievement 15-16'!D:D, "ela")/100</f>
        <v>0.156</v>
      </c>
      <c r="TO11" s="134">
        <f t="shared" ref="TO11:TO66" si="58">TN11*$ST11</f>
        <v>5446.116</v>
      </c>
      <c r="TP11" s="688">
        <f>IFERROR(VLOOKUP(A11, 'G&amp;T 15-16'!B:G, 6, FALSE), 0)*1</f>
        <v>2117</v>
      </c>
      <c r="TQ11" s="168">
        <f t="shared" ref="TQ11:TQ66" si="59">0.06*ST11</f>
        <v>2094.66</v>
      </c>
      <c r="TU11" s="168">
        <f t="shared" ref="TU11:TU66" si="60">MIN(TM11,TO11)</f>
        <v>5446.116</v>
      </c>
      <c r="TV11" s="168">
        <f t="shared" ref="TV11:TV66" si="61">MAX(TM11,TO11)</f>
        <v>6702.9120000000003</v>
      </c>
      <c r="TW11" s="205">
        <f t="shared" ref="TW11:TW66" si="62">IF(TW$4="low", TU11, TV11)</f>
        <v>6702.9120000000003</v>
      </c>
      <c r="TX11" s="144"/>
      <c r="TY11" s="129"/>
      <c r="TZ11" s="127">
        <f t="shared" ref="TZ11:TZ66" si="63">MIN(TP11:TQ11)</f>
        <v>2094.66</v>
      </c>
      <c r="UA11" s="127">
        <f t="shared" ref="UA11:UA66" si="64">MAX(TP11:TQ11)</f>
        <v>2117</v>
      </c>
      <c r="UB11" s="205">
        <f t="shared" ref="UB11:UB66" si="65">IF(UB$4="low", TZ11, UA11)</f>
        <v>2117</v>
      </c>
      <c r="UE11" s="853" t="str">
        <f>IF(ST11&lt;='1. Simulator Input'!$E$104, "yes", "")</f>
        <v/>
      </c>
      <c r="UI11" s="199">
        <f t="shared" ref="UI11:UI74" si="66">SG11</f>
        <v>0</v>
      </c>
      <c r="UJ11" s="200">
        <f>IF('Idaho Data'!SI11&gt;=0, ((1-'1. Simulator Input'!$E$39)*'Idaho Data'!SI11), 0)</f>
        <v>0</v>
      </c>
      <c r="UK11" s="200">
        <f t="shared" ref="UK11:UK66" si="67">SUMIF($RG$4:$RR$4, "x", $RG11:$RR11)</f>
        <v>189607584</v>
      </c>
      <c r="UL11" s="39"/>
      <c r="UM11" s="182"/>
      <c r="UN11" s="39"/>
      <c r="UO11" s="39" t="str">
        <f>IF(AND('1. Simulator Input'!$E$96="yes", '1. Simulator Input'!$E$98="yes", '1. Simulator Input'!$E$100="hold harmless"), 'Idaho Data'!WN11, IF(AND('1. Simulator Input'!$E$96="yes", '1. Simulator Input'!$E$98="no", '1. Simulator Input'!$E$100="hold harmless"), 'Idaho Data'!WM11, IF(AND('1. Simulator Input'!$E$96="yes", '1. Simulator Input'!$E$98="yes", '1. Simulator Input'!$E$100="small district grant"), WL11,IF(AND('1. Simulator Input'!$E$96="yes", '1. Simulator Input'!$E$98="no", '1. Simulator Input'!$E$100="small district grant"), WK11, ""))))</f>
        <v/>
      </c>
      <c r="UP11" s="200">
        <f>'1. Simulator Input'!$D$56*('Idaho Data'!ST11)</f>
        <v>192918186</v>
      </c>
      <c r="UQ11" s="204">
        <f>'1. Simulator Input'!$D$65*'1. Simulator Input'!$D$56*'Idaho Data'!SU11</f>
        <v>0</v>
      </c>
      <c r="UR11" s="204">
        <f>'1. Simulator Input'!$D$66*'1. Simulator Input'!$D$56*'Idaho Data'!SW11</f>
        <v>0</v>
      </c>
      <c r="US11" s="200">
        <f>'1. Simulator Input'!$D$67*'1. Simulator Input'!$D$56*'Idaho Data'!TA11</f>
        <v>0</v>
      </c>
      <c r="UT11" s="200">
        <f>'1. Simulator Input'!$D$68*'1. Simulator Input'!$D$56*'Idaho Data'!TB11</f>
        <v>0</v>
      </c>
      <c r="UU11" s="200">
        <f>'1. Simulator Input'!$D$69*'1. Simulator Input'!$D$56*'Idaho Data'!TC11</f>
        <v>0</v>
      </c>
      <c r="UV11" s="200">
        <f>'1. Simulator Input'!$D$70*'1. Simulator Input'!$D$56*TD11</f>
        <v>0</v>
      </c>
      <c r="UW11" s="200">
        <f>'1. Simulator Input'!$D$80*'1. Simulator Input'!$D$56*TW11</f>
        <v>0</v>
      </c>
      <c r="UX11" s="200">
        <f>'1. Simulator Input'!$D$79*'1. Simulator Input'!$D$56*UB11</f>
        <v>0</v>
      </c>
      <c r="UY11" s="200">
        <f>'1. Simulator Input'!$D$87*'1. Simulator Input'!$D$56*TF11</f>
        <v>7087095</v>
      </c>
      <c r="UZ11" s="200">
        <f>'1. Simulator Input'!$D$73*'1. Simulator Input'!$D$56*'Idaho Data'!TG11</f>
        <v>0</v>
      </c>
      <c r="VA11" s="200">
        <f>'1. Simulator Input'!$D$56*'1. Simulator Input'!$D$74*'Idaho Data'!TH11</f>
        <v>0</v>
      </c>
      <c r="VB11" s="200">
        <f>'1. Simulator Input'!$D$56*'1. Simulator Input'!$D$75*'Idaho Data'!TI6</f>
        <v>0</v>
      </c>
      <c r="VC11" s="200">
        <f>'1. Simulator Input'!$D$76*'1. Simulator Input'!$D$56*'Idaho Data'!TJ11</f>
        <v>0</v>
      </c>
      <c r="VD11" s="200">
        <f t="shared" ref="VD11:VD74" si="68">SUM(UP11:VC11)</f>
        <v>200005281</v>
      </c>
      <c r="VE11" s="200"/>
      <c r="VF11" s="182"/>
      <c r="VG11" s="200"/>
      <c r="VH11" s="200">
        <f t="shared" ref="VH11:VH74" si="69">SG11</f>
        <v>0</v>
      </c>
      <c r="VI11" s="200">
        <f t="shared" ref="VI11:VI74" si="70">SH11</f>
        <v>0</v>
      </c>
      <c r="VJ11" s="200">
        <f t="shared" si="16"/>
        <v>200005281</v>
      </c>
      <c r="VK11" s="200">
        <f t="shared" si="17"/>
        <v>200005281</v>
      </c>
      <c r="VL11" s="200"/>
      <c r="VM11" s="182"/>
      <c r="VN11" s="200"/>
      <c r="VO11" s="200">
        <f t="shared" ref="VO11:VO74" si="71">RV11</f>
        <v>16155252</v>
      </c>
      <c r="VP11" s="200">
        <f t="shared" ref="VP11:VP74" si="72">RW11</f>
        <v>189607584</v>
      </c>
      <c r="VQ11" s="200">
        <f t="shared" ref="VQ11:VQ74" si="73">RX11</f>
        <v>76068413</v>
      </c>
      <c r="VR11" s="200">
        <f t="shared" ref="VR11:VR74" si="74">RV11</f>
        <v>16155252</v>
      </c>
      <c r="VS11" s="200">
        <f t="shared" si="18"/>
        <v>200005281</v>
      </c>
      <c r="VT11" s="200">
        <f t="shared" si="19"/>
        <v>76068413</v>
      </c>
      <c r="VU11" s="200">
        <f t="shared" si="20"/>
        <v>0</v>
      </c>
      <c r="VV11" s="200"/>
      <c r="VW11" s="182"/>
      <c r="VX11" s="200"/>
      <c r="VZ11" s="199">
        <f t="shared" ref="VZ11:VZ74" si="75">VS11-VP11</f>
        <v>10397697</v>
      </c>
      <c r="WA11" s="199">
        <f t="shared" ref="WA11:WA74" si="76">VZ11/ST11</f>
        <v>297.83440749334022</v>
      </c>
      <c r="WB11" s="131">
        <f t="shared" ref="WB11:WB74" si="77">VZ11/VP11</f>
        <v>5.4837980531411652E-2</v>
      </c>
      <c r="WC11" s="131"/>
      <c r="WD11" s="461"/>
      <c r="WE11" s="893"/>
      <c r="WF11" s="893">
        <f t="shared" ref="WF11:WF74" si="78">SUM(VO11:VQ11)/ST11</f>
        <v>8072.8495030219701</v>
      </c>
      <c r="WG11" s="893">
        <f t="shared" ref="WG11:WG74" si="79">SUM(VR11:VT11)/ST11</f>
        <v>8370.6839105153103</v>
      </c>
      <c r="WH11" s="893"/>
      <c r="WI11" s="893">
        <f t="shared" ref="WI11:WI74" si="80">SO11</f>
        <v>189607584</v>
      </c>
      <c r="WJ11" s="893">
        <f t="shared" si="21"/>
        <v>200005281</v>
      </c>
      <c r="WK11" s="39" t="str">
        <f t="shared" si="22"/>
        <v/>
      </c>
      <c r="WL11" s="39" t="str">
        <f t="shared" si="23"/>
        <v/>
      </c>
      <c r="WM11" s="200" t="str">
        <f t="shared" si="24"/>
        <v/>
      </c>
      <c r="WN11" s="39" t="str">
        <f t="shared" si="25"/>
        <v/>
      </c>
      <c r="WO11" s="39"/>
      <c r="WP11" s="182"/>
      <c r="WQ11" s="39"/>
      <c r="WR11" s="305">
        <f t="shared" si="26"/>
        <v>0.42099999999999999</v>
      </c>
      <c r="WT11" s="200">
        <f t="shared" si="27"/>
        <v>5431.1702328778892</v>
      </c>
      <c r="WU11" s="131">
        <f t="shared" ref="WU11:WU74" si="81">_xlfn.PERCENTRANK.EXC($WT$10:$WT$163, WT11, 2)</f>
        <v>0.08</v>
      </c>
      <c r="WW11" s="199">
        <f t="shared" si="28"/>
        <v>16155252</v>
      </c>
      <c r="WX11" s="199">
        <f t="shared" si="29"/>
        <v>200005281</v>
      </c>
      <c r="WY11" s="199">
        <f t="shared" si="30"/>
        <v>0</v>
      </c>
      <c r="WZ11" s="199">
        <f t="shared" ref="WZ11:WZ74" si="82">SUM(WX11:WY11)</f>
        <v>200005281</v>
      </c>
      <c r="XA11" s="199">
        <f t="shared" si="31"/>
        <v>0</v>
      </c>
      <c r="XB11" s="199">
        <f t="shared" si="32"/>
        <v>76068413</v>
      </c>
      <c r="XC11" s="199">
        <f t="shared" si="33"/>
        <v>76068413</v>
      </c>
      <c r="XD11" s="199" t="str">
        <f t="shared" si="34"/>
        <v/>
      </c>
      <c r="XE11" s="199"/>
      <c r="XF11" s="199"/>
      <c r="XG11" s="199"/>
      <c r="XH11" s="199"/>
      <c r="XI11" s="199"/>
      <c r="XJ11" s="199">
        <f t="shared" ref="XJ11:XJ74" si="83">WX11+XA11</f>
        <v>200005281</v>
      </c>
      <c r="XP11" s="199">
        <f t="shared" si="35"/>
        <v>200005281</v>
      </c>
      <c r="XQ11" s="199">
        <f t="shared" si="36"/>
        <v>5729.0046403712295</v>
      </c>
      <c r="XR11" s="199">
        <f t="shared" si="37"/>
        <v>200005281</v>
      </c>
      <c r="XS11" s="199">
        <f t="shared" si="38"/>
        <v>200005281</v>
      </c>
      <c r="XT11" s="199">
        <f t="shared" si="39"/>
        <v>5729.0046403712295</v>
      </c>
      <c r="XU11" s="199">
        <f t="shared" si="40"/>
        <v>189607584</v>
      </c>
      <c r="XV11" s="199">
        <f t="shared" si="41"/>
        <v>5431.1702328778892</v>
      </c>
      <c r="XW11" s="199">
        <f t="shared" si="42"/>
        <v>189607584</v>
      </c>
      <c r="XX11" s="199">
        <f t="shared" si="43"/>
        <v>5431.1702328778892</v>
      </c>
      <c r="XY11" s="199">
        <f t="shared" ref="XY11:XY74" si="84">XS11-XW11</f>
        <v>10397697</v>
      </c>
      <c r="XZ11" s="199">
        <f t="shared" ref="XZ11:XZ74" si="85">XT11-XX11</f>
        <v>297.83440749334022</v>
      </c>
      <c r="YA11" s="131">
        <f t="shared" ref="YA11:YA66" si="86">XZ11/XV11</f>
        <v>5.4837980531411659E-2</v>
      </c>
      <c r="YB11" s="199"/>
      <c r="YC11" s="221"/>
      <c r="YD11" s="199"/>
      <c r="YE11" s="199">
        <f t="shared" si="44"/>
        <v>16155252</v>
      </c>
      <c r="YF11" s="200">
        <f t="shared" si="45"/>
        <v>0</v>
      </c>
      <c r="YG11" s="199">
        <f t="shared" si="46"/>
        <v>76068413</v>
      </c>
      <c r="YH11" s="199">
        <f t="shared" si="47"/>
        <v>404821</v>
      </c>
    </row>
    <row r="12" spans="1:660">
      <c r="A12" s="3">
        <v>3</v>
      </c>
      <c r="B12" s="2" t="s">
        <v>102</v>
      </c>
      <c r="C12" s="24">
        <v>0</v>
      </c>
      <c r="D12" s="24">
        <v>0</v>
      </c>
      <c r="E12" s="24">
        <v>0</v>
      </c>
      <c r="F12" s="24">
        <v>0</v>
      </c>
      <c r="G12" s="24">
        <v>3126486</v>
      </c>
      <c r="H12" s="24">
        <v>0</v>
      </c>
      <c r="I12" s="24">
        <v>0</v>
      </c>
      <c r="J12" s="24">
        <v>66901</v>
      </c>
      <c r="K12" s="24">
        <v>0</v>
      </c>
      <c r="L12" s="24">
        <v>0</v>
      </c>
      <c r="M12" s="24">
        <v>0</v>
      </c>
      <c r="N12" s="24">
        <v>0</v>
      </c>
      <c r="O12" s="24">
        <v>0</v>
      </c>
      <c r="P12" s="24">
        <v>0</v>
      </c>
      <c r="Q12" s="24">
        <v>0</v>
      </c>
      <c r="R12" s="24">
        <v>0</v>
      </c>
      <c r="S12" s="24">
        <v>0</v>
      </c>
      <c r="T12" s="24">
        <v>1043</v>
      </c>
      <c r="U12" s="24">
        <v>0</v>
      </c>
      <c r="V12" s="24">
        <v>0</v>
      </c>
      <c r="W12" s="24">
        <v>0</v>
      </c>
      <c r="X12" s="24">
        <v>4307714</v>
      </c>
      <c r="Y12" s="24">
        <v>122604</v>
      </c>
      <c r="Z12" s="24">
        <v>0</v>
      </c>
      <c r="AA12" s="24">
        <v>152891</v>
      </c>
      <c r="AB12" s="24">
        <v>288</v>
      </c>
      <c r="AC12" s="24">
        <v>0</v>
      </c>
      <c r="AD12" s="24">
        <v>0</v>
      </c>
      <c r="AE12" s="24">
        <v>0</v>
      </c>
      <c r="AF12" s="24">
        <v>0</v>
      </c>
      <c r="AG12" s="24">
        <v>0</v>
      </c>
      <c r="AH12" s="24">
        <v>0</v>
      </c>
      <c r="AI12" s="24">
        <v>0</v>
      </c>
      <c r="AJ12" s="24">
        <v>0</v>
      </c>
      <c r="AK12" s="24">
        <v>0</v>
      </c>
      <c r="AL12" s="24">
        <v>18552</v>
      </c>
      <c r="AM12" s="24">
        <v>0</v>
      </c>
      <c r="AN12" s="24">
        <v>0</v>
      </c>
      <c r="AO12" s="24">
        <v>0</v>
      </c>
      <c r="AP12" s="24">
        <v>0</v>
      </c>
      <c r="AQ12" s="24">
        <v>0</v>
      </c>
      <c r="AR12" s="24">
        <v>0</v>
      </c>
      <c r="AS12" s="24">
        <v>0</v>
      </c>
      <c r="AT12" s="24">
        <v>0</v>
      </c>
      <c r="AU12" s="24">
        <v>0</v>
      </c>
      <c r="AV12" s="24">
        <v>0</v>
      </c>
      <c r="AW12" s="24">
        <v>0</v>
      </c>
      <c r="AX12" s="24">
        <v>0</v>
      </c>
      <c r="AY12" s="24">
        <v>0</v>
      </c>
      <c r="AZ12" s="24">
        <v>0</v>
      </c>
      <c r="BA12" s="24">
        <v>0</v>
      </c>
      <c r="BB12" s="24">
        <v>0</v>
      </c>
      <c r="BC12" s="24">
        <v>906</v>
      </c>
      <c r="BD12" s="24">
        <v>1275</v>
      </c>
      <c r="BE12" s="24">
        <v>4104</v>
      </c>
      <c r="BF12" s="24">
        <v>206</v>
      </c>
      <c r="BG12" s="24">
        <v>0</v>
      </c>
      <c r="BH12" s="24">
        <v>0</v>
      </c>
      <c r="BI12" s="24">
        <v>0</v>
      </c>
      <c r="BJ12" s="24">
        <v>0</v>
      </c>
      <c r="BK12" s="24">
        <v>0</v>
      </c>
      <c r="BL12" s="24">
        <v>0</v>
      </c>
      <c r="BM12" s="24">
        <v>0</v>
      </c>
      <c r="BN12" s="24">
        <v>0</v>
      </c>
      <c r="BO12" s="24">
        <v>0</v>
      </c>
      <c r="BP12" s="24">
        <v>0</v>
      </c>
      <c r="BQ12" s="24">
        <v>0</v>
      </c>
      <c r="BR12" s="24">
        <v>0</v>
      </c>
      <c r="BS12" s="24">
        <v>2</v>
      </c>
      <c r="BT12" s="24">
        <v>0</v>
      </c>
      <c r="BU12" s="24">
        <v>0</v>
      </c>
      <c r="BV12" s="24">
        <v>0</v>
      </c>
      <c r="BW12" s="24">
        <v>0</v>
      </c>
      <c r="BX12" s="24">
        <v>0</v>
      </c>
      <c r="BY12" s="24">
        <v>0</v>
      </c>
      <c r="BZ12" s="24">
        <v>0</v>
      </c>
      <c r="CA12" s="24">
        <v>0</v>
      </c>
      <c r="CB12" s="24">
        <v>0</v>
      </c>
      <c r="CC12" s="24">
        <v>0</v>
      </c>
      <c r="CD12" s="24">
        <v>460606</v>
      </c>
      <c r="CE12" s="24">
        <v>10130</v>
      </c>
      <c r="CF12" s="24">
        <v>0</v>
      </c>
      <c r="CG12" s="24">
        <v>1465</v>
      </c>
      <c r="CH12" s="24">
        <v>0</v>
      </c>
      <c r="CI12" s="24">
        <v>6390</v>
      </c>
      <c r="CJ12" s="24">
        <v>0</v>
      </c>
      <c r="CK12" s="24">
        <v>0</v>
      </c>
      <c r="CL12" s="24">
        <v>0</v>
      </c>
      <c r="CM12" s="24">
        <v>0</v>
      </c>
      <c r="CN12" s="24">
        <v>0</v>
      </c>
      <c r="CO12" s="24">
        <v>0</v>
      </c>
      <c r="CP12" s="24">
        <v>0</v>
      </c>
      <c r="CQ12" s="24">
        <v>0</v>
      </c>
      <c r="CR12" s="24">
        <v>0</v>
      </c>
      <c r="CS12" s="24">
        <v>0</v>
      </c>
      <c r="CT12" s="24">
        <v>0</v>
      </c>
      <c r="CU12" s="24">
        <v>0</v>
      </c>
      <c r="CV12" s="24">
        <v>0</v>
      </c>
      <c r="CW12" s="24">
        <v>0</v>
      </c>
      <c r="CX12" s="24">
        <v>0</v>
      </c>
      <c r="CY12" s="24">
        <v>0</v>
      </c>
      <c r="CZ12" s="24">
        <v>0</v>
      </c>
      <c r="DA12" s="24">
        <v>0</v>
      </c>
      <c r="DB12" s="24">
        <v>8070</v>
      </c>
      <c r="DC12" s="24">
        <v>0</v>
      </c>
      <c r="DD12" s="24">
        <v>0</v>
      </c>
      <c r="DE12" s="24">
        <v>0</v>
      </c>
      <c r="DF12" s="24">
        <v>0</v>
      </c>
      <c r="DG12" s="24">
        <v>0</v>
      </c>
      <c r="DH12" s="24">
        <v>0</v>
      </c>
      <c r="DI12" s="24">
        <v>0</v>
      </c>
      <c r="DJ12" s="24">
        <v>0</v>
      </c>
      <c r="DK12" s="24">
        <v>0</v>
      </c>
      <c r="DL12" s="24">
        <v>0</v>
      </c>
      <c r="DM12" s="24">
        <v>0</v>
      </c>
      <c r="DN12" s="24">
        <v>0</v>
      </c>
      <c r="DO12" s="24">
        <v>0</v>
      </c>
      <c r="DP12" s="24">
        <v>0</v>
      </c>
      <c r="DQ12" s="24">
        <v>0</v>
      </c>
      <c r="DR12" s="24">
        <v>0</v>
      </c>
      <c r="DS12" s="24">
        <v>0</v>
      </c>
      <c r="DT12" s="24">
        <v>0</v>
      </c>
      <c r="DU12" s="24">
        <v>0</v>
      </c>
      <c r="DV12" s="24">
        <v>0</v>
      </c>
      <c r="DW12" s="24">
        <v>0</v>
      </c>
      <c r="DX12" s="24">
        <v>0</v>
      </c>
      <c r="DY12" s="24">
        <v>0</v>
      </c>
      <c r="DZ12" s="24">
        <v>0</v>
      </c>
      <c r="EA12" s="24">
        <v>0</v>
      </c>
      <c r="EB12" s="24">
        <v>0</v>
      </c>
      <c r="EC12" s="24">
        <v>0</v>
      </c>
      <c r="ED12" s="24">
        <v>0</v>
      </c>
      <c r="EE12" s="24">
        <v>0</v>
      </c>
      <c r="EF12" s="24">
        <v>0</v>
      </c>
      <c r="EG12" s="24">
        <v>0</v>
      </c>
      <c r="EH12" s="24">
        <v>0</v>
      </c>
      <c r="EI12" s="24">
        <v>0</v>
      </c>
      <c r="EJ12" s="24">
        <v>0</v>
      </c>
      <c r="EK12" s="24">
        <v>0</v>
      </c>
      <c r="EL12" s="24">
        <v>4167</v>
      </c>
      <c r="EM12" s="24">
        <v>0</v>
      </c>
      <c r="EN12" s="24">
        <v>0</v>
      </c>
      <c r="EO12" s="24">
        <v>0</v>
      </c>
      <c r="EP12" s="24">
        <v>0</v>
      </c>
      <c r="EQ12" s="24">
        <v>0</v>
      </c>
      <c r="ER12" s="24">
        <v>0</v>
      </c>
      <c r="ES12" s="24">
        <v>0</v>
      </c>
      <c r="ET12" s="24">
        <v>0</v>
      </c>
      <c r="EU12" s="24">
        <v>0</v>
      </c>
      <c r="EV12" s="24">
        <v>0</v>
      </c>
      <c r="EW12" s="24">
        <v>0</v>
      </c>
      <c r="EX12" s="24">
        <v>0</v>
      </c>
      <c r="EY12" s="24">
        <v>0</v>
      </c>
      <c r="EZ12" s="24">
        <v>0</v>
      </c>
      <c r="FA12" s="24">
        <v>0</v>
      </c>
      <c r="FB12" s="24">
        <v>0</v>
      </c>
      <c r="FC12" s="24">
        <v>0</v>
      </c>
      <c r="FD12" s="24">
        <v>0</v>
      </c>
      <c r="FE12" s="24">
        <v>0</v>
      </c>
      <c r="FF12" s="24">
        <v>0</v>
      </c>
      <c r="FG12" s="24">
        <v>0</v>
      </c>
      <c r="FH12" s="24">
        <v>0</v>
      </c>
      <c r="FI12" s="24">
        <v>0</v>
      </c>
      <c r="FJ12" s="24">
        <v>0</v>
      </c>
      <c r="FK12" s="24">
        <v>0</v>
      </c>
      <c r="FL12" s="24">
        <v>36842</v>
      </c>
      <c r="FM12" s="24">
        <v>0</v>
      </c>
      <c r="FN12" s="24">
        <v>0</v>
      </c>
      <c r="FO12" s="24">
        <v>0</v>
      </c>
      <c r="FP12" s="24">
        <v>0</v>
      </c>
      <c r="FQ12" s="24">
        <v>0</v>
      </c>
      <c r="FR12" s="24">
        <v>0</v>
      </c>
      <c r="FS12" s="24">
        <v>222207</v>
      </c>
      <c r="FT12" s="24">
        <v>0</v>
      </c>
      <c r="FU12" s="24">
        <v>0</v>
      </c>
      <c r="FV12" s="24">
        <v>0</v>
      </c>
      <c r="FW12" s="24">
        <v>0</v>
      </c>
      <c r="FX12" s="24">
        <v>0</v>
      </c>
      <c r="FY12" s="24">
        <v>0</v>
      </c>
      <c r="FZ12" s="24">
        <v>1500</v>
      </c>
      <c r="GA12" s="24">
        <v>0</v>
      </c>
      <c r="GB12" s="24">
        <v>0</v>
      </c>
      <c r="GC12" s="24">
        <v>0</v>
      </c>
      <c r="GD12" s="24">
        <v>0</v>
      </c>
      <c r="GE12" s="24">
        <v>272</v>
      </c>
      <c r="GF12" s="24">
        <v>0</v>
      </c>
      <c r="GG12" s="24">
        <v>11019</v>
      </c>
      <c r="GH12" s="24">
        <v>0</v>
      </c>
      <c r="GI12" s="24">
        <v>0</v>
      </c>
      <c r="GJ12" s="24">
        <v>0</v>
      </c>
      <c r="GK12" s="24">
        <v>330</v>
      </c>
      <c r="GL12" s="24">
        <v>8551</v>
      </c>
      <c r="GM12" s="24">
        <v>0</v>
      </c>
      <c r="GN12" s="24">
        <v>0</v>
      </c>
      <c r="GO12" s="24">
        <v>0</v>
      </c>
      <c r="GP12" s="24">
        <v>0</v>
      </c>
      <c r="GQ12" s="24">
        <v>0</v>
      </c>
      <c r="GR12" s="24">
        <v>8425</v>
      </c>
      <c r="GS12" s="24">
        <v>0</v>
      </c>
      <c r="GT12" s="24">
        <v>0</v>
      </c>
      <c r="GU12" s="24">
        <v>0</v>
      </c>
      <c r="GV12" s="24">
        <v>0</v>
      </c>
      <c r="GW12" s="24">
        <v>0</v>
      </c>
      <c r="GX12" s="24">
        <v>0</v>
      </c>
      <c r="GY12" s="24">
        <v>0</v>
      </c>
      <c r="GZ12" s="24">
        <v>0</v>
      </c>
      <c r="HA12" s="24">
        <v>0</v>
      </c>
      <c r="HB12" s="24">
        <v>0</v>
      </c>
      <c r="HC12" s="24">
        <v>1219</v>
      </c>
      <c r="HD12" s="24">
        <v>19616223</v>
      </c>
      <c r="HE12" s="24">
        <v>0</v>
      </c>
      <c r="HF12" s="24">
        <v>0</v>
      </c>
      <c r="HG12" s="24">
        <v>0</v>
      </c>
      <c r="HH12" s="24">
        <v>0</v>
      </c>
      <c r="HI12" s="24">
        <v>884320</v>
      </c>
      <c r="HJ12" s="24">
        <v>0</v>
      </c>
      <c r="HK12" s="24">
        <v>110193</v>
      </c>
      <c r="HL12" s="24">
        <v>40399</v>
      </c>
      <c r="HM12" s="24">
        <v>0</v>
      </c>
      <c r="HN12" s="24">
        <v>0</v>
      </c>
      <c r="HO12" s="24">
        <v>2558378</v>
      </c>
      <c r="HP12" s="24">
        <v>686373</v>
      </c>
      <c r="HQ12" s="24">
        <v>0</v>
      </c>
      <c r="HR12" s="24">
        <v>0</v>
      </c>
      <c r="HS12" s="24">
        <v>0</v>
      </c>
      <c r="HT12" s="24">
        <v>0</v>
      </c>
      <c r="HU12" s="24">
        <v>0</v>
      </c>
      <c r="HV12" s="24">
        <v>0</v>
      </c>
      <c r="HW12" s="24">
        <v>0</v>
      </c>
      <c r="HX12" s="24">
        <v>0</v>
      </c>
      <c r="HY12" s="24">
        <v>0</v>
      </c>
      <c r="HZ12" s="24">
        <v>0</v>
      </c>
      <c r="IA12" s="24">
        <v>349911</v>
      </c>
      <c r="IB12" s="24">
        <v>69621</v>
      </c>
      <c r="IC12" s="24">
        <v>0</v>
      </c>
      <c r="ID12" s="24">
        <v>0</v>
      </c>
      <c r="IE12" s="24">
        <v>0</v>
      </c>
      <c r="IF12" s="24">
        <v>0</v>
      </c>
      <c r="IG12" s="24">
        <v>0</v>
      </c>
      <c r="IH12" s="24">
        <v>0</v>
      </c>
      <c r="II12" s="24">
        <v>0</v>
      </c>
      <c r="IJ12" s="24">
        <v>446586</v>
      </c>
      <c r="IK12" s="24">
        <v>0</v>
      </c>
      <c r="IL12" s="24">
        <v>0</v>
      </c>
      <c r="IM12" s="24">
        <v>0</v>
      </c>
      <c r="IN12" s="24">
        <v>0</v>
      </c>
      <c r="IO12" s="24">
        <v>18700</v>
      </c>
      <c r="IP12" s="24">
        <v>0</v>
      </c>
      <c r="IQ12" s="24">
        <v>0</v>
      </c>
      <c r="IR12" s="24">
        <v>110695</v>
      </c>
      <c r="IS12" s="24">
        <v>32906</v>
      </c>
      <c r="IT12" s="24">
        <v>0</v>
      </c>
      <c r="IU12" s="24">
        <v>0</v>
      </c>
      <c r="IV12" s="24">
        <v>305788</v>
      </c>
      <c r="IW12" s="24">
        <v>336652</v>
      </c>
      <c r="IX12" s="24">
        <v>0</v>
      </c>
      <c r="IY12" s="24">
        <v>0</v>
      </c>
      <c r="IZ12" s="24">
        <v>0</v>
      </c>
      <c r="JA12" s="24">
        <v>0</v>
      </c>
      <c r="JB12" s="24">
        <v>1035</v>
      </c>
      <c r="JC12" s="24">
        <v>0</v>
      </c>
      <c r="JD12" s="24">
        <v>0</v>
      </c>
      <c r="JE12" s="24">
        <v>0</v>
      </c>
      <c r="JF12" s="24">
        <v>0</v>
      </c>
      <c r="JG12" s="24">
        <v>0</v>
      </c>
      <c r="JH12" s="24">
        <v>0</v>
      </c>
      <c r="JI12" s="24">
        <v>0</v>
      </c>
      <c r="JJ12" s="24">
        <v>0</v>
      </c>
      <c r="JK12" s="24">
        <v>0</v>
      </c>
      <c r="JL12" s="24">
        <v>0</v>
      </c>
      <c r="JM12" s="24">
        <v>0</v>
      </c>
      <c r="JN12" s="24">
        <v>0</v>
      </c>
      <c r="JO12" s="24">
        <v>0</v>
      </c>
      <c r="JP12" s="24">
        <v>0</v>
      </c>
      <c r="JQ12" s="24">
        <v>0</v>
      </c>
      <c r="JR12" s="24">
        <v>0</v>
      </c>
      <c r="JS12" s="24">
        <v>0</v>
      </c>
      <c r="JT12" s="24">
        <v>0</v>
      </c>
      <c r="JU12" s="24">
        <v>0</v>
      </c>
      <c r="JV12" s="24">
        <v>0</v>
      </c>
      <c r="JW12" s="24">
        <v>0</v>
      </c>
      <c r="JX12" s="24">
        <v>0</v>
      </c>
      <c r="JY12" s="24">
        <v>0</v>
      </c>
      <c r="JZ12" s="24">
        <v>0</v>
      </c>
      <c r="KA12" s="24">
        <v>0</v>
      </c>
      <c r="KB12" s="24">
        <v>0</v>
      </c>
      <c r="KC12" s="24">
        <v>0</v>
      </c>
      <c r="KD12" s="24">
        <v>0</v>
      </c>
      <c r="KE12" s="24">
        <v>0</v>
      </c>
      <c r="KF12" s="24">
        <v>0</v>
      </c>
      <c r="KG12" s="24">
        <v>156</v>
      </c>
      <c r="KH12" s="24">
        <v>778426</v>
      </c>
      <c r="KI12" s="24">
        <v>0</v>
      </c>
      <c r="KJ12" s="24">
        <v>0</v>
      </c>
      <c r="KK12" s="24">
        <v>0</v>
      </c>
      <c r="KL12" s="24">
        <v>0</v>
      </c>
      <c r="KM12" s="24">
        <v>0</v>
      </c>
      <c r="KN12" s="24">
        <v>0</v>
      </c>
      <c r="KO12" s="24">
        <v>0</v>
      </c>
      <c r="KP12" s="24">
        <v>0</v>
      </c>
      <c r="KQ12" s="24">
        <v>0</v>
      </c>
      <c r="KR12" s="24">
        <v>0</v>
      </c>
      <c r="KS12" s="24">
        <v>0</v>
      </c>
      <c r="KT12" s="24">
        <v>0</v>
      </c>
      <c r="KU12" s="24">
        <v>0</v>
      </c>
      <c r="KV12" s="24">
        <v>0</v>
      </c>
      <c r="KW12" s="24">
        <v>0</v>
      </c>
      <c r="KX12" s="24">
        <v>0</v>
      </c>
      <c r="KY12" s="24">
        <v>0</v>
      </c>
      <c r="KZ12" s="24">
        <v>0</v>
      </c>
      <c r="LA12" s="24">
        <v>0</v>
      </c>
      <c r="LB12" s="24">
        <v>0</v>
      </c>
      <c r="LC12" s="24">
        <v>0</v>
      </c>
      <c r="LD12" s="24">
        <v>0</v>
      </c>
      <c r="LE12" s="24">
        <v>0</v>
      </c>
      <c r="LF12" s="24">
        <v>0</v>
      </c>
      <c r="LG12" s="24">
        <v>0</v>
      </c>
      <c r="LH12" s="24">
        <v>0</v>
      </c>
      <c r="LI12" s="24">
        <v>0</v>
      </c>
      <c r="LJ12" s="24">
        <v>0</v>
      </c>
      <c r="LK12" s="24">
        <v>0</v>
      </c>
      <c r="LL12" s="24">
        <v>0</v>
      </c>
      <c r="LM12" s="24">
        <v>0</v>
      </c>
      <c r="LN12" s="24">
        <v>0</v>
      </c>
      <c r="LO12" s="24">
        <v>0</v>
      </c>
      <c r="LP12" s="24">
        <v>0</v>
      </c>
      <c r="LQ12" s="24">
        <v>1131432</v>
      </c>
      <c r="LR12" s="24">
        <v>48839</v>
      </c>
      <c r="LS12" s="24">
        <v>0</v>
      </c>
      <c r="LT12" s="24">
        <v>0</v>
      </c>
      <c r="LU12" s="24">
        <v>0</v>
      </c>
      <c r="LV12" s="24">
        <v>0</v>
      </c>
      <c r="LW12" s="24">
        <v>0</v>
      </c>
      <c r="LX12" s="24">
        <v>0</v>
      </c>
      <c r="LY12" s="24">
        <v>0</v>
      </c>
      <c r="LZ12" s="24">
        <v>0</v>
      </c>
      <c r="MA12" s="24">
        <v>0</v>
      </c>
      <c r="MB12" s="24">
        <v>0</v>
      </c>
      <c r="MC12" s="24">
        <v>0</v>
      </c>
      <c r="MD12" s="24">
        <v>0</v>
      </c>
      <c r="ME12" s="24">
        <v>0</v>
      </c>
      <c r="MF12" s="24">
        <v>0</v>
      </c>
      <c r="MG12" s="24">
        <v>0</v>
      </c>
      <c r="MH12" s="24">
        <v>0</v>
      </c>
      <c r="MI12" s="24">
        <v>0</v>
      </c>
      <c r="MJ12" s="24">
        <v>0</v>
      </c>
      <c r="MK12" s="24">
        <v>0</v>
      </c>
      <c r="ML12" s="24">
        <v>0</v>
      </c>
      <c r="MM12" s="24">
        <v>0</v>
      </c>
      <c r="MN12" s="24">
        <v>0</v>
      </c>
      <c r="MO12" s="24">
        <v>0</v>
      </c>
      <c r="MP12" s="24">
        <v>0</v>
      </c>
      <c r="MQ12" s="24">
        <v>0</v>
      </c>
      <c r="MR12" s="24">
        <v>1578996</v>
      </c>
      <c r="MS12" s="24">
        <v>0</v>
      </c>
      <c r="MT12" s="24">
        <v>0</v>
      </c>
      <c r="MU12" s="24">
        <v>0</v>
      </c>
      <c r="MV12" s="24">
        <v>0</v>
      </c>
      <c r="MW12" s="24">
        <v>767566</v>
      </c>
      <c r="MX12" s="24">
        <v>18686</v>
      </c>
      <c r="MY12" s="24">
        <v>0</v>
      </c>
      <c r="MZ12" s="24">
        <v>0</v>
      </c>
      <c r="NA12" s="24">
        <v>0</v>
      </c>
      <c r="NB12" s="24">
        <v>0</v>
      </c>
      <c r="NC12" s="24">
        <v>0</v>
      </c>
      <c r="ND12" s="24">
        <v>0</v>
      </c>
      <c r="NE12" s="24">
        <v>0</v>
      </c>
      <c r="NF12" s="24">
        <v>0</v>
      </c>
      <c r="NG12" s="24">
        <v>0</v>
      </c>
      <c r="NH12" s="24">
        <v>0</v>
      </c>
      <c r="NI12" s="24">
        <v>0</v>
      </c>
      <c r="NJ12" s="24">
        <v>0</v>
      </c>
      <c r="NK12" s="24">
        <v>0</v>
      </c>
      <c r="NL12" s="24">
        <v>0</v>
      </c>
      <c r="NM12" s="24">
        <v>0</v>
      </c>
      <c r="NN12" s="24">
        <v>0</v>
      </c>
      <c r="NO12" s="24">
        <v>0</v>
      </c>
      <c r="NP12" s="24">
        <v>0</v>
      </c>
      <c r="NQ12" s="24">
        <v>0</v>
      </c>
      <c r="NR12" s="24">
        <v>68171</v>
      </c>
      <c r="NS12" s="24">
        <v>0</v>
      </c>
      <c r="NT12" s="24">
        <v>0</v>
      </c>
      <c r="NU12" s="24">
        <v>6069</v>
      </c>
      <c r="NV12" s="24">
        <v>51740</v>
      </c>
      <c r="NW12" s="24">
        <v>0</v>
      </c>
      <c r="NX12" s="24">
        <v>0</v>
      </c>
      <c r="NY12" s="24">
        <v>0</v>
      </c>
      <c r="NZ12" s="24">
        <v>0</v>
      </c>
      <c r="OA12" s="24">
        <v>0</v>
      </c>
      <c r="OB12" s="24">
        <v>0</v>
      </c>
      <c r="OC12" s="24">
        <v>0</v>
      </c>
      <c r="OD12" s="24">
        <v>0</v>
      </c>
      <c r="OE12" s="24">
        <v>0</v>
      </c>
      <c r="OF12" s="24">
        <v>0</v>
      </c>
      <c r="OG12" s="24">
        <v>0</v>
      </c>
      <c r="OH12" s="24">
        <v>0</v>
      </c>
      <c r="OI12" s="24">
        <v>0</v>
      </c>
      <c r="OJ12" s="24">
        <v>0</v>
      </c>
      <c r="OK12" s="24">
        <v>0</v>
      </c>
      <c r="OL12" s="24">
        <v>0</v>
      </c>
      <c r="OM12" s="24">
        <v>0</v>
      </c>
      <c r="ON12" s="24">
        <v>0</v>
      </c>
      <c r="OO12" s="24">
        <v>0</v>
      </c>
      <c r="OP12" s="24">
        <v>0</v>
      </c>
      <c r="OQ12" s="24">
        <v>0</v>
      </c>
      <c r="OR12" s="24">
        <v>0</v>
      </c>
      <c r="OS12" s="24">
        <v>0</v>
      </c>
      <c r="OT12" s="24">
        <v>0</v>
      </c>
      <c r="OU12" s="24">
        <v>0</v>
      </c>
      <c r="OV12" s="24">
        <v>0</v>
      </c>
      <c r="OW12" s="24">
        <v>0</v>
      </c>
      <c r="OX12" s="24">
        <v>0</v>
      </c>
      <c r="OY12" s="24">
        <v>0</v>
      </c>
      <c r="OZ12" s="24">
        <v>0</v>
      </c>
      <c r="PA12" s="24">
        <v>0</v>
      </c>
      <c r="PB12" s="24">
        <v>0</v>
      </c>
      <c r="PC12" s="24">
        <v>0</v>
      </c>
      <c r="PD12" s="24">
        <v>0</v>
      </c>
      <c r="PE12" s="24">
        <v>0</v>
      </c>
      <c r="PF12" s="24">
        <v>0</v>
      </c>
      <c r="PG12" s="24">
        <v>0</v>
      </c>
      <c r="PH12" s="24">
        <v>0</v>
      </c>
      <c r="PI12" s="24">
        <v>0</v>
      </c>
      <c r="PJ12" s="24">
        <v>137256</v>
      </c>
      <c r="PK12" s="24">
        <v>0</v>
      </c>
      <c r="PL12" s="24">
        <v>0</v>
      </c>
      <c r="PM12" s="24">
        <v>0</v>
      </c>
      <c r="PN12" s="24">
        <v>0</v>
      </c>
      <c r="PO12" s="24">
        <v>0</v>
      </c>
      <c r="PP12" s="24">
        <v>0</v>
      </c>
      <c r="PQ12" s="24">
        <v>0</v>
      </c>
      <c r="PR12" s="24">
        <v>0</v>
      </c>
      <c r="PS12" s="24">
        <v>0</v>
      </c>
      <c r="PT12" s="24">
        <v>0</v>
      </c>
      <c r="PU12" s="24">
        <v>0</v>
      </c>
      <c r="PV12" s="24">
        <v>0</v>
      </c>
      <c r="PW12" s="24">
        <v>16187</v>
      </c>
      <c r="PX12" s="24">
        <v>0</v>
      </c>
      <c r="PY12" s="24">
        <v>0</v>
      </c>
      <c r="PZ12" s="24">
        <v>0</v>
      </c>
      <c r="QA12" s="24">
        <v>0</v>
      </c>
      <c r="QB12" s="24">
        <v>0</v>
      </c>
      <c r="QC12" s="24">
        <v>0</v>
      </c>
      <c r="QD12" s="24">
        <v>0</v>
      </c>
      <c r="QE12" s="24">
        <v>0</v>
      </c>
      <c r="QF12" s="24">
        <v>0</v>
      </c>
      <c r="QG12" s="24">
        <v>0</v>
      </c>
      <c r="QH12" s="24">
        <v>0</v>
      </c>
      <c r="QI12" s="24">
        <v>0</v>
      </c>
      <c r="QJ12" s="24">
        <v>1151</v>
      </c>
      <c r="QK12" s="24">
        <v>15719</v>
      </c>
      <c r="QL12" s="24">
        <v>0</v>
      </c>
      <c r="QM12" s="24">
        <v>0</v>
      </c>
      <c r="QN12" s="24">
        <v>0</v>
      </c>
      <c r="QO12" s="24">
        <v>0</v>
      </c>
      <c r="QP12" s="24">
        <v>0</v>
      </c>
      <c r="QQ12" s="24">
        <v>0</v>
      </c>
      <c r="QR12" s="24">
        <v>0</v>
      </c>
      <c r="QS12" s="24">
        <v>0</v>
      </c>
      <c r="QT12" s="24">
        <v>0</v>
      </c>
      <c r="QU12" s="24">
        <v>0</v>
      </c>
      <c r="QV12" s="24">
        <v>0</v>
      </c>
      <c r="QW12" s="24">
        <v>0</v>
      </c>
      <c r="QX12" s="24">
        <v>0</v>
      </c>
      <c r="QY12" s="24">
        <v>0</v>
      </c>
      <c r="QZ12" s="24">
        <v>0</v>
      </c>
      <c r="RA12" s="24">
        <v>0</v>
      </c>
      <c r="RB12" s="24">
        <v>0</v>
      </c>
      <c r="RC12" s="24"/>
      <c r="RG12" s="39">
        <f t="shared" si="48"/>
        <v>19616223</v>
      </c>
      <c r="RH12" s="39">
        <f t="shared" si="7"/>
        <v>994513</v>
      </c>
      <c r="RI12" s="39">
        <f t="shared" si="7"/>
        <v>40399</v>
      </c>
      <c r="RJ12" s="39">
        <f t="shared" si="7"/>
        <v>0</v>
      </c>
      <c r="RK12" s="39">
        <f t="shared" si="7"/>
        <v>0</v>
      </c>
      <c r="RL12" s="39">
        <f t="shared" si="7"/>
        <v>2558378</v>
      </c>
      <c r="RM12" s="39">
        <f t="shared" si="7"/>
        <v>1552491</v>
      </c>
      <c r="RN12" s="39">
        <f t="shared" si="7"/>
        <v>18700</v>
      </c>
      <c r="RO12" s="39">
        <f t="shared" si="7"/>
        <v>449389</v>
      </c>
      <c r="RP12" s="39">
        <f t="shared" si="7"/>
        <v>336652</v>
      </c>
      <c r="RQ12" s="39">
        <f t="shared" si="7"/>
        <v>1035</v>
      </c>
      <c r="RR12" s="39">
        <f t="shared" si="7"/>
        <v>0</v>
      </c>
      <c r="RS12" s="39"/>
      <c r="RT12" s="182"/>
      <c r="RU12" s="39"/>
      <c r="RV12" s="39">
        <f t="shared" si="49"/>
        <v>4450081</v>
      </c>
      <c r="RW12" s="39">
        <f t="shared" si="8"/>
        <v>25567780</v>
      </c>
      <c r="RX12" s="39">
        <f t="shared" si="8"/>
        <v>8582946</v>
      </c>
      <c r="RY12" s="39">
        <f t="shared" si="8"/>
        <v>170313</v>
      </c>
      <c r="RZ12" s="39"/>
      <c r="SA12" s="182"/>
      <c r="SB12" s="39"/>
      <c r="SC12" s="25">
        <f t="shared" si="50"/>
        <v>1755.2036809815952</v>
      </c>
      <c r="SD12" s="39">
        <f>IFERROR(VLOOKUP(A12, 'Levy Data 15-16'!$B:$O, 3, FALSE), 0)</f>
        <v>1240712745</v>
      </c>
      <c r="SE12" s="39">
        <f t="shared" si="9"/>
        <v>253724.48773006134</v>
      </c>
      <c r="SF12" s="631">
        <f>IFERROR(VLOOKUP(A12, 'Levy Data 15-16'!$B:$O, 14, FALSE), 0)*1000</f>
        <v>6.172695</v>
      </c>
      <c r="SG12" s="39">
        <f t="shared" si="10"/>
        <v>0</v>
      </c>
      <c r="SH12" s="39">
        <f t="shared" si="11"/>
        <v>0</v>
      </c>
      <c r="SI12" s="39">
        <f t="shared" si="12"/>
        <v>8582946</v>
      </c>
      <c r="SM12" s="39">
        <f t="shared" si="13"/>
        <v>25567780</v>
      </c>
      <c r="SN12" s="39">
        <f t="shared" si="14"/>
        <v>0</v>
      </c>
      <c r="SO12" s="39">
        <f t="shared" si="51"/>
        <v>25567780</v>
      </c>
      <c r="SP12" s="50">
        <f t="shared" si="52"/>
        <v>1</v>
      </c>
      <c r="ST12" s="124">
        <f>IFERROR(VLOOKUP(A12,'Grade Enroll 15-16'!B:AC,27,FALSE),"")</f>
        <v>4890</v>
      </c>
      <c r="SU12" s="124">
        <f t="shared" si="53"/>
        <v>1981.8962203715566</v>
      </c>
      <c r="SV12" s="131">
        <f>IFERROR(VLOOKUP($A12, 'Title I Enroll 16-17'!S:V, 4, FALSE), 0)</f>
        <v>0.40529575058723039</v>
      </c>
      <c r="SW12" s="729">
        <f>IFERROR(VLOOKUP(A12, 'ELL Enroll 15-16'!$N:$S, 6, FALSE), 0)</f>
        <v>183</v>
      </c>
      <c r="SX12" s="131">
        <f t="shared" si="54"/>
        <v>3.7423312883435582E-2</v>
      </c>
      <c r="SY12" s="124">
        <f>IFERROR(VLOOKUP(A12, 'SPED enroll 2015-16'!$M:$O, 3, FALSE), 0)</f>
        <v>558</v>
      </c>
      <c r="SZ12" s="131">
        <f t="shared" si="55"/>
        <v>0.11411042944785275</v>
      </c>
      <c r="TA12" s="142">
        <f t="shared" si="56"/>
        <v>390.59999999999997</v>
      </c>
      <c r="TB12" s="142">
        <f t="shared" si="15"/>
        <v>111.60000000000001</v>
      </c>
      <c r="TC12" s="142">
        <f t="shared" si="15"/>
        <v>39.06</v>
      </c>
      <c r="TD12" s="142">
        <f t="shared" si="15"/>
        <v>16.739999999999998</v>
      </c>
      <c r="TE12" s="124">
        <f>VLOOKUP($A12, 'Grade Enroll 15-16'!$B:$AB, 20, FALSE)</f>
        <v>45</v>
      </c>
      <c r="TF12" s="124">
        <f>VLOOKUP($A12, 'Grade Enroll 15-16'!$B:$AB, 21, FALSE)</f>
        <v>348</v>
      </c>
      <c r="TG12" s="124">
        <f>VLOOKUP($A12, 'Grade Enroll 15-16'!$B:$AB, 22, FALSE)</f>
        <v>1244</v>
      </c>
      <c r="TH12" s="124">
        <f>VLOOKUP($A12, 'Grade Enroll 15-16'!$B:$AB, 23, FALSE)</f>
        <v>1250</v>
      </c>
      <c r="TI12" s="124">
        <f>VLOOKUP($A12, 'Grade Enroll 15-16'!$B:$AB, 24, FALSE)</f>
        <v>839</v>
      </c>
      <c r="TJ12" s="124">
        <f>VLOOKUP($A12, 'Grade Enroll 15-16'!$B:$AB, 25, FALSE)</f>
        <v>1557</v>
      </c>
      <c r="TK12" s="124">
        <f>VLOOKUP($A12, 'Grade Enroll 15-16'!$B:$AB, 26, FALSE)</f>
        <v>3380</v>
      </c>
      <c r="TL12" s="131">
        <f>SUMIFS('Student Achievement 15-16'!N:N, 'Student Achievement 15-16'!B:B, 'Idaho Data'!A12, 'Student Achievement 15-16'!D:D, "math")/100</f>
        <v>0.32</v>
      </c>
      <c r="TM12" s="134">
        <f t="shared" si="57"/>
        <v>1564.8</v>
      </c>
      <c r="TN12" s="131">
        <f>SUMIFS('Student Achievement 15-16'!N:N, 'Student Achievement 15-16'!B:B, 'Idaho Data'!A12, 'Student Achievement 15-16'!D:D, "ela")/100</f>
        <v>0.25600000000000001</v>
      </c>
      <c r="TO12" s="134">
        <f t="shared" si="58"/>
        <v>1251.8399999999999</v>
      </c>
      <c r="TP12" s="688">
        <f>IFERROR(VLOOKUP(A12, 'G&amp;T 15-16'!B:G, 6, FALSE), 0)*1</f>
        <v>40</v>
      </c>
      <c r="TQ12" s="168">
        <f t="shared" si="59"/>
        <v>293.39999999999998</v>
      </c>
      <c r="TU12" s="168">
        <f t="shared" si="60"/>
        <v>1251.8399999999999</v>
      </c>
      <c r="TV12" s="168">
        <f t="shared" si="61"/>
        <v>1564.8</v>
      </c>
      <c r="TW12" s="205">
        <f t="shared" si="62"/>
        <v>1564.8</v>
      </c>
      <c r="TX12" s="144"/>
      <c r="TY12" s="129"/>
      <c r="TZ12" s="127">
        <f t="shared" si="63"/>
        <v>40</v>
      </c>
      <c r="UA12" s="127">
        <f t="shared" si="64"/>
        <v>293.39999999999998</v>
      </c>
      <c r="UB12" s="205">
        <f t="shared" si="65"/>
        <v>293.39999999999998</v>
      </c>
      <c r="UE12" s="853" t="str">
        <f>IF(ST12&lt;='1. Simulator Input'!$E$104, "yes", "")</f>
        <v/>
      </c>
      <c r="UI12" s="199">
        <f t="shared" si="66"/>
        <v>0</v>
      </c>
      <c r="UJ12" s="200">
        <f>IF('Idaho Data'!SI12&gt;=0, ((1-'1. Simulator Input'!$E$39)*'Idaho Data'!SI12), 0)</f>
        <v>0</v>
      </c>
      <c r="UK12" s="200">
        <f t="shared" si="67"/>
        <v>25567780</v>
      </c>
      <c r="UL12" s="39"/>
      <c r="UM12" s="182"/>
      <c r="UN12" s="39"/>
      <c r="UO12" s="39" t="str">
        <f>IF(AND('1. Simulator Input'!$E$96="yes", '1. Simulator Input'!$E$98="yes", '1. Simulator Input'!$E$100="hold harmless"), 'Idaho Data'!WN12, IF(AND('1. Simulator Input'!$E$96="yes", '1. Simulator Input'!$E$98="no", '1. Simulator Input'!$E$100="hold harmless"), 'Idaho Data'!WM12, IF(AND('1. Simulator Input'!$E$96="yes", '1. Simulator Input'!$E$98="yes", '1. Simulator Input'!$E$100="small district grant"), WL12,IF(AND('1. Simulator Input'!$E$96="yes", '1. Simulator Input'!$E$98="no", '1. Simulator Input'!$E$100="small district grant"), WK12, ""))))</f>
        <v/>
      </c>
      <c r="UP12" s="200">
        <f>'1. Simulator Input'!$D$56*('Idaho Data'!ST12)</f>
        <v>27022140</v>
      </c>
      <c r="UQ12" s="204">
        <f>'1. Simulator Input'!$D$65*'1. Simulator Input'!$D$56*'Idaho Data'!SU12</f>
        <v>0</v>
      </c>
      <c r="UR12" s="204">
        <f>'1. Simulator Input'!$D$66*'1. Simulator Input'!$D$56*'Idaho Data'!SW12</f>
        <v>0</v>
      </c>
      <c r="US12" s="200">
        <f>'1. Simulator Input'!$D$67*'1. Simulator Input'!$D$56*'Idaho Data'!TA12</f>
        <v>0</v>
      </c>
      <c r="UT12" s="200">
        <f>'1. Simulator Input'!$D$68*'1. Simulator Input'!$D$56*'Idaho Data'!TB12</f>
        <v>0</v>
      </c>
      <c r="UU12" s="200">
        <f>'1. Simulator Input'!$D$69*'1. Simulator Input'!$D$56*'Idaho Data'!TC12</f>
        <v>0</v>
      </c>
      <c r="UV12" s="200">
        <f>'1. Simulator Input'!$D$70*'1. Simulator Input'!$D$56*TD12</f>
        <v>0</v>
      </c>
      <c r="UW12" s="200">
        <f>'1. Simulator Input'!$D$80*'1. Simulator Input'!$D$56*TW12</f>
        <v>0</v>
      </c>
      <c r="UX12" s="200">
        <f>'1. Simulator Input'!$D$79*'1. Simulator Input'!$D$56*UB12</f>
        <v>0</v>
      </c>
      <c r="UY12" s="200">
        <f>'1. Simulator Input'!$D$87*'1. Simulator Input'!$D$56*TF12</f>
        <v>961524</v>
      </c>
      <c r="UZ12" s="200">
        <f>'1. Simulator Input'!$D$73*'1. Simulator Input'!$D$56*'Idaho Data'!TG12</f>
        <v>0</v>
      </c>
      <c r="VA12" s="200">
        <f>'1. Simulator Input'!$D$56*'1. Simulator Input'!$D$74*'Idaho Data'!TH12</f>
        <v>0</v>
      </c>
      <c r="VB12" s="200">
        <f>'1. Simulator Input'!$D$56*'1. Simulator Input'!$D$75*'Idaho Data'!TI7</f>
        <v>0</v>
      </c>
      <c r="VC12" s="200">
        <f>'1. Simulator Input'!$D$76*'1. Simulator Input'!$D$56*'Idaho Data'!TJ12</f>
        <v>0</v>
      </c>
      <c r="VD12" s="200">
        <f t="shared" si="68"/>
        <v>27983664</v>
      </c>
      <c r="VE12" s="200"/>
      <c r="VF12" s="182"/>
      <c r="VG12" s="200"/>
      <c r="VH12" s="200">
        <f t="shared" si="69"/>
        <v>0</v>
      </c>
      <c r="VI12" s="200">
        <f t="shared" si="70"/>
        <v>0</v>
      </c>
      <c r="VJ12" s="200">
        <f t="shared" si="16"/>
        <v>27983664</v>
      </c>
      <c r="VK12" s="200">
        <f t="shared" si="17"/>
        <v>27983664</v>
      </c>
      <c r="VL12" s="200"/>
      <c r="VM12" s="182"/>
      <c r="VN12" s="200"/>
      <c r="VO12" s="200">
        <f t="shared" si="71"/>
        <v>4450081</v>
      </c>
      <c r="VP12" s="200">
        <f t="shared" si="72"/>
        <v>25567780</v>
      </c>
      <c r="VQ12" s="200">
        <f t="shared" si="73"/>
        <v>8582946</v>
      </c>
      <c r="VR12" s="200">
        <f t="shared" si="74"/>
        <v>4450081</v>
      </c>
      <c r="VS12" s="200">
        <f t="shared" si="18"/>
        <v>27983664</v>
      </c>
      <c r="VT12" s="200">
        <f t="shared" si="19"/>
        <v>8582946</v>
      </c>
      <c r="VU12" s="200">
        <f t="shared" si="20"/>
        <v>0</v>
      </c>
      <c r="VV12" s="200"/>
      <c r="VW12" s="182"/>
      <c r="VX12" s="200"/>
      <c r="VZ12" s="199">
        <f t="shared" si="75"/>
        <v>2415884</v>
      </c>
      <c r="WA12" s="199">
        <f t="shared" si="76"/>
        <v>494.04580777096112</v>
      </c>
      <c r="WB12" s="131">
        <f t="shared" si="77"/>
        <v>9.4489392508852937E-2</v>
      </c>
      <c r="WC12" s="131"/>
      <c r="WD12" s="461"/>
      <c r="WE12" s="893"/>
      <c r="WF12" s="893">
        <f t="shared" si="78"/>
        <v>7893.825562372188</v>
      </c>
      <c r="WG12" s="893">
        <f t="shared" si="79"/>
        <v>8387.8713701431498</v>
      </c>
      <c r="WH12" s="893"/>
      <c r="WI12" s="893">
        <f t="shared" si="80"/>
        <v>25567780</v>
      </c>
      <c r="WJ12" s="893">
        <f t="shared" si="21"/>
        <v>27983664</v>
      </c>
      <c r="WK12" s="39" t="str">
        <f t="shared" si="22"/>
        <v/>
      </c>
      <c r="WL12" s="39" t="str">
        <f t="shared" si="23"/>
        <v/>
      </c>
      <c r="WM12" s="200" t="str">
        <f t="shared" si="24"/>
        <v/>
      </c>
      <c r="WN12" s="39" t="str">
        <f t="shared" si="25"/>
        <v/>
      </c>
      <c r="WO12" s="39"/>
      <c r="WP12" s="182"/>
      <c r="WQ12" s="39"/>
      <c r="WR12" s="305">
        <f t="shared" si="26"/>
        <v>0.14000000000000001</v>
      </c>
      <c r="WT12" s="200">
        <f t="shared" si="27"/>
        <v>5228.584867075665</v>
      </c>
      <c r="WU12" s="131">
        <f t="shared" si="81"/>
        <v>0.04</v>
      </c>
      <c r="WW12" s="199">
        <f t="shared" si="28"/>
        <v>4450081</v>
      </c>
      <c r="WX12" s="199">
        <f t="shared" si="29"/>
        <v>27983664</v>
      </c>
      <c r="WY12" s="199">
        <f t="shared" si="30"/>
        <v>0</v>
      </c>
      <c r="WZ12" s="199">
        <f t="shared" si="82"/>
        <v>27983664</v>
      </c>
      <c r="XA12" s="199">
        <f t="shared" si="31"/>
        <v>0</v>
      </c>
      <c r="XB12" s="199">
        <f t="shared" si="32"/>
        <v>8582946</v>
      </c>
      <c r="XC12" s="199">
        <f t="shared" si="33"/>
        <v>8582946</v>
      </c>
      <c r="XD12" s="199" t="str">
        <f t="shared" si="34"/>
        <v/>
      </c>
      <c r="XE12" s="199"/>
      <c r="XF12" s="199"/>
      <c r="XG12" s="199"/>
      <c r="XH12" s="199"/>
      <c r="XI12" s="199"/>
      <c r="XJ12" s="199">
        <f t="shared" si="83"/>
        <v>27983664</v>
      </c>
      <c r="XP12" s="199">
        <f t="shared" si="35"/>
        <v>27983664</v>
      </c>
      <c r="XQ12" s="199">
        <f t="shared" si="36"/>
        <v>5722.6306748466259</v>
      </c>
      <c r="XR12" s="199">
        <f t="shared" si="37"/>
        <v>27983664</v>
      </c>
      <c r="XS12" s="199">
        <f t="shared" si="38"/>
        <v>27983664</v>
      </c>
      <c r="XT12" s="199">
        <f t="shared" si="39"/>
        <v>5722.6306748466259</v>
      </c>
      <c r="XU12" s="199">
        <f t="shared" si="40"/>
        <v>25567780</v>
      </c>
      <c r="XV12" s="199">
        <f t="shared" si="41"/>
        <v>5228.584867075665</v>
      </c>
      <c r="XW12" s="199">
        <f t="shared" si="42"/>
        <v>25567780</v>
      </c>
      <c r="XX12" s="199">
        <f t="shared" si="43"/>
        <v>5228.584867075665</v>
      </c>
      <c r="XY12" s="199">
        <f t="shared" si="84"/>
        <v>2415884</v>
      </c>
      <c r="XZ12" s="199">
        <f t="shared" si="85"/>
        <v>494.04580777096089</v>
      </c>
      <c r="YA12" s="131">
        <f t="shared" si="86"/>
        <v>9.4489392508852882E-2</v>
      </c>
      <c r="YB12" s="199"/>
      <c r="YC12" s="221"/>
      <c r="YD12" s="199"/>
      <c r="YE12" s="199">
        <f t="shared" si="44"/>
        <v>4450081</v>
      </c>
      <c r="YF12" s="200">
        <f t="shared" si="45"/>
        <v>0</v>
      </c>
      <c r="YG12" s="199">
        <f t="shared" si="46"/>
        <v>8582946</v>
      </c>
      <c r="YH12" s="199">
        <f t="shared" si="47"/>
        <v>170313</v>
      </c>
    </row>
    <row r="13" spans="1:660">
      <c r="A13" s="3">
        <v>11</v>
      </c>
      <c r="B13" s="2" t="s">
        <v>103</v>
      </c>
      <c r="C13" s="24">
        <v>0</v>
      </c>
      <c r="D13" s="24">
        <v>0</v>
      </c>
      <c r="E13" s="24">
        <v>0</v>
      </c>
      <c r="F13" s="24">
        <v>0</v>
      </c>
      <c r="G13" s="24">
        <v>170007</v>
      </c>
      <c r="H13" s="24">
        <v>0</v>
      </c>
      <c r="I13" s="24">
        <v>0</v>
      </c>
      <c r="J13" s="24">
        <v>20691</v>
      </c>
      <c r="K13" s="24">
        <v>0</v>
      </c>
      <c r="L13" s="24">
        <v>0</v>
      </c>
      <c r="M13" s="24">
        <v>0</v>
      </c>
      <c r="N13" s="24">
        <v>0</v>
      </c>
      <c r="O13" s="24">
        <v>0</v>
      </c>
      <c r="P13" s="24">
        <v>0</v>
      </c>
      <c r="Q13" s="24">
        <v>0</v>
      </c>
      <c r="R13" s="24">
        <v>0</v>
      </c>
      <c r="S13" s="24">
        <v>0</v>
      </c>
      <c r="T13" s="24">
        <v>129516</v>
      </c>
      <c r="U13" s="24">
        <v>0</v>
      </c>
      <c r="V13" s="24">
        <v>0</v>
      </c>
      <c r="W13" s="24">
        <v>0</v>
      </c>
      <c r="X13" s="24">
        <v>0</v>
      </c>
      <c r="Y13" s="24">
        <v>0</v>
      </c>
      <c r="Z13" s="24">
        <v>0</v>
      </c>
      <c r="AA13" s="24">
        <v>0</v>
      </c>
      <c r="AB13" s="24">
        <v>0</v>
      </c>
      <c r="AC13" s="24">
        <v>0</v>
      </c>
      <c r="AD13" s="24">
        <v>0</v>
      </c>
      <c r="AE13" s="24">
        <v>0</v>
      </c>
      <c r="AF13" s="24">
        <v>0</v>
      </c>
      <c r="AG13" s="24">
        <v>0</v>
      </c>
      <c r="AH13" s="24">
        <v>0</v>
      </c>
      <c r="AI13" s="24">
        <v>0</v>
      </c>
      <c r="AJ13" s="24">
        <v>0</v>
      </c>
      <c r="AK13" s="24">
        <v>0</v>
      </c>
      <c r="AL13" s="24">
        <v>3637</v>
      </c>
      <c r="AM13" s="24">
        <v>523</v>
      </c>
      <c r="AN13" s="24">
        <v>0</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c r="BE13" s="24">
        <v>0</v>
      </c>
      <c r="BF13" s="24">
        <v>358</v>
      </c>
      <c r="BG13" s="24">
        <v>0</v>
      </c>
      <c r="BH13" s="24">
        <v>0</v>
      </c>
      <c r="BI13" s="24">
        <v>0</v>
      </c>
      <c r="BJ13" s="24">
        <v>0</v>
      </c>
      <c r="BK13" s="24">
        <v>0</v>
      </c>
      <c r="BL13" s="24">
        <v>0</v>
      </c>
      <c r="BM13" s="24">
        <v>0</v>
      </c>
      <c r="BN13" s="24">
        <v>0</v>
      </c>
      <c r="BO13" s="24">
        <v>0</v>
      </c>
      <c r="BP13" s="24">
        <v>0</v>
      </c>
      <c r="BQ13" s="24">
        <v>0</v>
      </c>
      <c r="BR13" s="24">
        <v>0</v>
      </c>
      <c r="BS13" s="24">
        <v>0</v>
      </c>
      <c r="BT13" s="24">
        <v>0</v>
      </c>
      <c r="BU13" s="24">
        <v>0</v>
      </c>
      <c r="BV13" s="24">
        <v>0</v>
      </c>
      <c r="BW13" s="24">
        <v>0</v>
      </c>
      <c r="BX13" s="24">
        <v>0</v>
      </c>
      <c r="BY13" s="24">
        <v>0</v>
      </c>
      <c r="BZ13" s="24">
        <v>0</v>
      </c>
      <c r="CA13" s="24">
        <v>0</v>
      </c>
      <c r="CB13" s="24">
        <v>0</v>
      </c>
      <c r="CC13" s="24">
        <v>0</v>
      </c>
      <c r="CD13" s="24">
        <v>9026</v>
      </c>
      <c r="CE13" s="24">
        <v>1692</v>
      </c>
      <c r="CF13" s="24">
        <v>0</v>
      </c>
      <c r="CG13" s="24">
        <v>309</v>
      </c>
      <c r="CH13" s="24">
        <v>0</v>
      </c>
      <c r="CI13" s="24">
        <v>0</v>
      </c>
      <c r="CJ13" s="24">
        <v>0</v>
      </c>
      <c r="CK13" s="24">
        <v>0</v>
      </c>
      <c r="CL13" s="24">
        <v>0</v>
      </c>
      <c r="CM13" s="24">
        <v>0</v>
      </c>
      <c r="CN13" s="24">
        <v>0</v>
      </c>
      <c r="CO13" s="24">
        <v>0</v>
      </c>
      <c r="CP13" s="24">
        <v>0</v>
      </c>
      <c r="CQ13" s="24">
        <v>0</v>
      </c>
      <c r="CR13" s="24">
        <v>0</v>
      </c>
      <c r="CS13" s="24">
        <v>0</v>
      </c>
      <c r="CT13" s="24">
        <v>0</v>
      </c>
      <c r="CU13" s="24">
        <v>0</v>
      </c>
      <c r="CV13" s="24">
        <v>0</v>
      </c>
      <c r="CW13" s="24">
        <v>0</v>
      </c>
      <c r="CX13" s="24">
        <v>0</v>
      </c>
      <c r="CY13" s="24">
        <v>0</v>
      </c>
      <c r="CZ13" s="24">
        <v>0</v>
      </c>
      <c r="DA13" s="24">
        <v>0</v>
      </c>
      <c r="DB13" s="24">
        <v>0</v>
      </c>
      <c r="DC13" s="24">
        <v>0</v>
      </c>
      <c r="DD13" s="24">
        <v>0</v>
      </c>
      <c r="DE13" s="24">
        <v>0</v>
      </c>
      <c r="DF13" s="24">
        <v>0</v>
      </c>
      <c r="DG13" s="24">
        <v>0</v>
      </c>
      <c r="DH13" s="24">
        <v>0</v>
      </c>
      <c r="DI13" s="24">
        <v>0</v>
      </c>
      <c r="DJ13" s="24">
        <v>0</v>
      </c>
      <c r="DK13" s="24">
        <v>0</v>
      </c>
      <c r="DL13" s="24">
        <v>0</v>
      </c>
      <c r="DM13" s="24">
        <v>0</v>
      </c>
      <c r="DN13" s="24">
        <v>0</v>
      </c>
      <c r="DO13" s="24">
        <v>0</v>
      </c>
      <c r="DP13" s="24">
        <v>0</v>
      </c>
      <c r="DQ13" s="24">
        <v>0</v>
      </c>
      <c r="DR13" s="24">
        <v>0</v>
      </c>
      <c r="DS13" s="24">
        <v>0</v>
      </c>
      <c r="DT13" s="24">
        <v>0</v>
      </c>
      <c r="DU13" s="24">
        <v>0</v>
      </c>
      <c r="DV13" s="24">
        <v>0</v>
      </c>
      <c r="DW13" s="24">
        <v>0</v>
      </c>
      <c r="DX13" s="24">
        <v>0</v>
      </c>
      <c r="DY13" s="24">
        <v>0</v>
      </c>
      <c r="DZ13" s="24">
        <v>0</v>
      </c>
      <c r="EA13" s="24">
        <v>0</v>
      </c>
      <c r="EB13" s="24">
        <v>0</v>
      </c>
      <c r="EC13" s="24">
        <v>0</v>
      </c>
      <c r="ED13" s="24">
        <v>0</v>
      </c>
      <c r="EE13" s="24">
        <v>0</v>
      </c>
      <c r="EF13" s="24">
        <v>0</v>
      </c>
      <c r="EG13" s="24">
        <v>0</v>
      </c>
      <c r="EH13" s="24">
        <v>0</v>
      </c>
      <c r="EI13" s="24">
        <v>0</v>
      </c>
      <c r="EJ13" s="24">
        <v>0</v>
      </c>
      <c r="EK13" s="24">
        <v>0</v>
      </c>
      <c r="EL13" s="24">
        <v>0</v>
      </c>
      <c r="EM13" s="24">
        <v>0</v>
      </c>
      <c r="EN13" s="24">
        <v>0</v>
      </c>
      <c r="EO13" s="24">
        <v>0</v>
      </c>
      <c r="EP13" s="24">
        <v>0</v>
      </c>
      <c r="EQ13" s="24">
        <v>0</v>
      </c>
      <c r="ER13" s="24">
        <v>0</v>
      </c>
      <c r="ES13" s="24">
        <v>0</v>
      </c>
      <c r="ET13" s="24">
        <v>0</v>
      </c>
      <c r="EU13" s="24">
        <v>0</v>
      </c>
      <c r="EV13" s="24">
        <v>0</v>
      </c>
      <c r="EW13" s="24">
        <v>0</v>
      </c>
      <c r="EX13" s="24">
        <v>0</v>
      </c>
      <c r="EY13" s="24">
        <v>0</v>
      </c>
      <c r="EZ13" s="24">
        <v>0</v>
      </c>
      <c r="FA13" s="24">
        <v>0</v>
      </c>
      <c r="FB13" s="24">
        <v>0</v>
      </c>
      <c r="FC13" s="24">
        <v>0</v>
      </c>
      <c r="FD13" s="24">
        <v>0</v>
      </c>
      <c r="FE13" s="24">
        <v>0</v>
      </c>
      <c r="FF13" s="24">
        <v>0</v>
      </c>
      <c r="FG13" s="24">
        <v>0</v>
      </c>
      <c r="FH13" s="24">
        <v>0</v>
      </c>
      <c r="FI13" s="24">
        <v>0</v>
      </c>
      <c r="FJ13" s="24">
        <v>0</v>
      </c>
      <c r="FK13" s="24">
        <v>0</v>
      </c>
      <c r="FL13" s="24">
        <v>0</v>
      </c>
      <c r="FM13" s="24">
        <v>0</v>
      </c>
      <c r="FN13" s="24">
        <v>0</v>
      </c>
      <c r="FO13" s="24">
        <v>0</v>
      </c>
      <c r="FP13" s="24">
        <v>0</v>
      </c>
      <c r="FQ13" s="24">
        <v>0</v>
      </c>
      <c r="FR13" s="24">
        <v>0</v>
      </c>
      <c r="FS13" s="24">
        <v>10331</v>
      </c>
      <c r="FT13" s="24">
        <v>0</v>
      </c>
      <c r="FU13" s="24">
        <v>0</v>
      </c>
      <c r="FV13" s="24">
        <v>0</v>
      </c>
      <c r="FW13" s="24">
        <v>0</v>
      </c>
      <c r="FX13" s="24">
        <v>0</v>
      </c>
      <c r="FY13" s="24">
        <v>0</v>
      </c>
      <c r="FZ13" s="24">
        <v>0</v>
      </c>
      <c r="GA13" s="24">
        <v>0</v>
      </c>
      <c r="GB13" s="24">
        <v>0</v>
      </c>
      <c r="GC13" s="24">
        <v>0</v>
      </c>
      <c r="GD13" s="24">
        <v>0</v>
      </c>
      <c r="GE13" s="24">
        <v>775</v>
      </c>
      <c r="GF13" s="24">
        <v>0</v>
      </c>
      <c r="GG13" s="24">
        <v>0</v>
      </c>
      <c r="GH13" s="24">
        <v>0</v>
      </c>
      <c r="GI13" s="24">
        <v>0</v>
      </c>
      <c r="GJ13" s="24">
        <v>0</v>
      </c>
      <c r="GK13" s="24">
        <v>0</v>
      </c>
      <c r="GL13" s="24">
        <v>0</v>
      </c>
      <c r="GM13" s="24">
        <v>0</v>
      </c>
      <c r="GN13" s="24">
        <v>0</v>
      </c>
      <c r="GO13" s="24">
        <v>0</v>
      </c>
      <c r="GP13" s="24">
        <v>0</v>
      </c>
      <c r="GQ13" s="24">
        <v>0</v>
      </c>
      <c r="GR13" s="24">
        <v>0</v>
      </c>
      <c r="GS13" s="24">
        <v>0</v>
      </c>
      <c r="GT13" s="24">
        <v>0</v>
      </c>
      <c r="GU13" s="24">
        <v>0</v>
      </c>
      <c r="GV13" s="24">
        <v>0</v>
      </c>
      <c r="GW13" s="24">
        <v>0</v>
      </c>
      <c r="GX13" s="24">
        <v>0</v>
      </c>
      <c r="GY13" s="24">
        <v>0</v>
      </c>
      <c r="GZ13" s="24">
        <v>0</v>
      </c>
      <c r="HA13" s="24">
        <v>0</v>
      </c>
      <c r="HB13" s="24">
        <v>0</v>
      </c>
      <c r="HC13" s="24">
        <v>0</v>
      </c>
      <c r="HD13" s="24">
        <v>1160931</v>
      </c>
      <c r="HE13" s="24">
        <v>0</v>
      </c>
      <c r="HF13" s="24">
        <v>0</v>
      </c>
      <c r="HG13" s="24">
        <v>0</v>
      </c>
      <c r="HH13" s="24">
        <v>0</v>
      </c>
      <c r="HI13" s="24">
        <v>47748</v>
      </c>
      <c r="HJ13" s="24">
        <v>0</v>
      </c>
      <c r="HK13" s="24">
        <v>0</v>
      </c>
      <c r="HL13" s="24">
        <v>0</v>
      </c>
      <c r="HM13" s="24">
        <v>0</v>
      </c>
      <c r="HN13" s="24">
        <v>0</v>
      </c>
      <c r="HO13" s="24">
        <v>157112</v>
      </c>
      <c r="HP13" s="24">
        <v>83720</v>
      </c>
      <c r="HQ13" s="24">
        <v>0</v>
      </c>
      <c r="HR13" s="24">
        <v>0</v>
      </c>
      <c r="HS13" s="24">
        <v>0</v>
      </c>
      <c r="HT13" s="24">
        <v>0</v>
      </c>
      <c r="HU13" s="24">
        <v>0</v>
      </c>
      <c r="HV13" s="24">
        <v>0</v>
      </c>
      <c r="HW13" s="24">
        <v>175</v>
      </c>
      <c r="HX13" s="24">
        <v>0</v>
      </c>
      <c r="HY13" s="24">
        <v>0</v>
      </c>
      <c r="HZ13" s="24">
        <v>0</v>
      </c>
      <c r="IA13" s="24">
        <v>16735</v>
      </c>
      <c r="IB13" s="24">
        <v>3910</v>
      </c>
      <c r="IC13" s="24">
        <v>0</v>
      </c>
      <c r="ID13" s="24">
        <v>0</v>
      </c>
      <c r="IE13" s="24">
        <v>0</v>
      </c>
      <c r="IF13" s="24">
        <v>0</v>
      </c>
      <c r="IG13" s="24">
        <v>0</v>
      </c>
      <c r="IH13" s="24">
        <v>0</v>
      </c>
      <c r="II13" s="24">
        <v>0</v>
      </c>
      <c r="IJ13" s="24">
        <v>0</v>
      </c>
      <c r="IK13" s="24">
        <v>0</v>
      </c>
      <c r="IL13" s="24">
        <v>0</v>
      </c>
      <c r="IM13" s="24">
        <v>0</v>
      </c>
      <c r="IN13" s="24">
        <v>0</v>
      </c>
      <c r="IO13" s="24">
        <v>0</v>
      </c>
      <c r="IP13" s="24">
        <v>0</v>
      </c>
      <c r="IQ13" s="24">
        <v>6841</v>
      </c>
      <c r="IR13" s="24">
        <v>0</v>
      </c>
      <c r="IS13" s="24">
        <v>0</v>
      </c>
      <c r="IT13" s="24">
        <v>0</v>
      </c>
      <c r="IU13" s="24">
        <v>0</v>
      </c>
      <c r="IV13" s="24">
        <v>0</v>
      </c>
      <c r="IW13" s="24">
        <v>8951</v>
      </c>
      <c r="IX13" s="24">
        <v>0</v>
      </c>
      <c r="IY13" s="24">
        <v>0</v>
      </c>
      <c r="IZ13" s="24">
        <v>0</v>
      </c>
      <c r="JA13" s="24">
        <v>0</v>
      </c>
      <c r="JB13" s="24">
        <v>0</v>
      </c>
      <c r="JC13" s="24">
        <v>0</v>
      </c>
      <c r="JD13" s="24">
        <v>0</v>
      </c>
      <c r="JE13" s="24">
        <v>2608</v>
      </c>
      <c r="JF13" s="24">
        <v>0</v>
      </c>
      <c r="JG13" s="24">
        <v>0</v>
      </c>
      <c r="JH13" s="24">
        <v>0</v>
      </c>
      <c r="JI13" s="24">
        <v>0</v>
      </c>
      <c r="JJ13" s="24">
        <v>0</v>
      </c>
      <c r="JK13" s="24">
        <v>0</v>
      </c>
      <c r="JL13" s="24">
        <v>0</v>
      </c>
      <c r="JM13" s="24">
        <v>0</v>
      </c>
      <c r="JN13" s="24">
        <v>0</v>
      </c>
      <c r="JO13" s="24">
        <v>0</v>
      </c>
      <c r="JP13" s="24">
        <v>0</v>
      </c>
      <c r="JQ13" s="24">
        <v>0</v>
      </c>
      <c r="JR13" s="24">
        <v>0</v>
      </c>
      <c r="JS13" s="24">
        <v>0</v>
      </c>
      <c r="JT13" s="24">
        <v>0</v>
      </c>
      <c r="JU13" s="24">
        <v>0</v>
      </c>
      <c r="JV13" s="24">
        <v>0</v>
      </c>
      <c r="JW13" s="24">
        <v>0</v>
      </c>
      <c r="JX13" s="24">
        <v>0</v>
      </c>
      <c r="JY13" s="24">
        <v>0</v>
      </c>
      <c r="JZ13" s="24">
        <v>0</v>
      </c>
      <c r="KA13" s="24">
        <v>0</v>
      </c>
      <c r="KB13" s="24">
        <v>0</v>
      </c>
      <c r="KC13" s="24">
        <v>0</v>
      </c>
      <c r="KD13" s="24">
        <v>0</v>
      </c>
      <c r="KE13" s="24">
        <v>0</v>
      </c>
      <c r="KF13" s="24">
        <v>0</v>
      </c>
      <c r="KG13" s="24">
        <v>62644</v>
      </c>
      <c r="KH13" s="24">
        <v>0</v>
      </c>
      <c r="KI13" s="24">
        <v>0</v>
      </c>
      <c r="KJ13" s="24">
        <v>0</v>
      </c>
      <c r="KK13" s="24">
        <v>0</v>
      </c>
      <c r="KL13" s="24">
        <v>0</v>
      </c>
      <c r="KM13" s="24">
        <v>0</v>
      </c>
      <c r="KN13" s="24">
        <v>0</v>
      </c>
      <c r="KO13" s="24">
        <v>0</v>
      </c>
      <c r="KP13" s="24">
        <v>0</v>
      </c>
      <c r="KQ13" s="24">
        <v>0</v>
      </c>
      <c r="KR13" s="24">
        <v>0</v>
      </c>
      <c r="KS13" s="24">
        <v>0</v>
      </c>
      <c r="KT13" s="24">
        <v>0</v>
      </c>
      <c r="KU13" s="24">
        <v>0</v>
      </c>
      <c r="KV13" s="24">
        <v>0</v>
      </c>
      <c r="KW13" s="24">
        <v>0</v>
      </c>
      <c r="KX13" s="24">
        <v>0</v>
      </c>
      <c r="KY13" s="24">
        <v>0</v>
      </c>
      <c r="KZ13" s="24">
        <v>0</v>
      </c>
      <c r="LA13" s="24">
        <v>0</v>
      </c>
      <c r="LB13" s="24">
        <v>0</v>
      </c>
      <c r="LC13" s="24">
        <v>0</v>
      </c>
      <c r="LD13" s="24">
        <v>0</v>
      </c>
      <c r="LE13" s="24">
        <v>0</v>
      </c>
      <c r="LF13" s="24">
        <v>0</v>
      </c>
      <c r="LG13" s="24">
        <v>0</v>
      </c>
      <c r="LH13" s="24">
        <v>0</v>
      </c>
      <c r="LI13" s="24">
        <v>0</v>
      </c>
      <c r="LJ13" s="24">
        <v>0</v>
      </c>
      <c r="LK13" s="24">
        <v>0</v>
      </c>
      <c r="LL13" s="24">
        <v>0</v>
      </c>
      <c r="LM13" s="24">
        <v>0</v>
      </c>
      <c r="LN13" s="24">
        <v>0</v>
      </c>
      <c r="LO13" s="24">
        <v>0</v>
      </c>
      <c r="LP13" s="24">
        <v>0</v>
      </c>
      <c r="LQ13" s="24">
        <v>53019</v>
      </c>
      <c r="LR13" s="24">
        <v>0</v>
      </c>
      <c r="LS13" s="24">
        <v>0</v>
      </c>
      <c r="LT13" s="24">
        <v>0</v>
      </c>
      <c r="LU13" s="24">
        <v>0</v>
      </c>
      <c r="LV13" s="24">
        <v>0</v>
      </c>
      <c r="LW13" s="24">
        <v>0</v>
      </c>
      <c r="LX13" s="24">
        <v>0</v>
      </c>
      <c r="LY13" s="24">
        <v>0</v>
      </c>
      <c r="LZ13" s="24">
        <v>0</v>
      </c>
      <c r="MA13" s="24">
        <v>0</v>
      </c>
      <c r="MB13" s="24">
        <v>0</v>
      </c>
      <c r="MC13" s="24">
        <v>0</v>
      </c>
      <c r="MD13" s="24">
        <v>0</v>
      </c>
      <c r="ME13" s="24">
        <v>0</v>
      </c>
      <c r="MF13" s="24">
        <v>0</v>
      </c>
      <c r="MG13" s="24">
        <v>0</v>
      </c>
      <c r="MH13" s="24">
        <v>0</v>
      </c>
      <c r="MI13" s="24">
        <v>0</v>
      </c>
      <c r="MJ13" s="24">
        <v>0</v>
      </c>
      <c r="MK13" s="24">
        <v>0</v>
      </c>
      <c r="ML13" s="24">
        <v>0</v>
      </c>
      <c r="MM13" s="24">
        <v>0</v>
      </c>
      <c r="MN13" s="24">
        <v>0</v>
      </c>
      <c r="MO13" s="24">
        <v>2386</v>
      </c>
      <c r="MP13" s="24">
        <v>0</v>
      </c>
      <c r="MQ13" s="24">
        <v>0</v>
      </c>
      <c r="MR13" s="24">
        <v>62792</v>
      </c>
      <c r="MS13" s="24">
        <v>0</v>
      </c>
      <c r="MT13" s="24">
        <v>0</v>
      </c>
      <c r="MU13" s="24">
        <v>0</v>
      </c>
      <c r="MV13" s="24">
        <v>0</v>
      </c>
      <c r="MW13" s="24">
        <v>36433</v>
      </c>
      <c r="MX13" s="24">
        <v>3707</v>
      </c>
      <c r="MY13" s="24">
        <v>0</v>
      </c>
      <c r="MZ13" s="24">
        <v>0</v>
      </c>
      <c r="NA13" s="24">
        <v>0</v>
      </c>
      <c r="NB13" s="24">
        <v>0</v>
      </c>
      <c r="NC13" s="24">
        <v>0</v>
      </c>
      <c r="ND13" s="24">
        <v>0</v>
      </c>
      <c r="NE13" s="24">
        <v>0</v>
      </c>
      <c r="NF13" s="24">
        <v>0</v>
      </c>
      <c r="NG13" s="24">
        <v>0</v>
      </c>
      <c r="NH13" s="24">
        <v>0</v>
      </c>
      <c r="NI13" s="24">
        <v>0</v>
      </c>
      <c r="NJ13" s="24">
        <v>0</v>
      </c>
      <c r="NK13" s="24">
        <v>0</v>
      </c>
      <c r="NL13" s="24">
        <v>0</v>
      </c>
      <c r="NM13" s="24">
        <v>0</v>
      </c>
      <c r="NN13" s="24">
        <v>0</v>
      </c>
      <c r="NO13" s="24">
        <v>0</v>
      </c>
      <c r="NP13" s="24">
        <v>0</v>
      </c>
      <c r="NQ13" s="24">
        <v>10456</v>
      </c>
      <c r="NR13" s="24">
        <v>0</v>
      </c>
      <c r="NS13" s="24">
        <v>0</v>
      </c>
      <c r="NT13" s="24">
        <v>0</v>
      </c>
      <c r="NU13" s="24">
        <v>0</v>
      </c>
      <c r="NV13" s="24">
        <v>12356</v>
      </c>
      <c r="NW13" s="24">
        <v>14571</v>
      </c>
      <c r="NX13" s="24">
        <v>0</v>
      </c>
      <c r="NY13" s="24">
        <v>0</v>
      </c>
      <c r="NZ13" s="24">
        <v>0</v>
      </c>
      <c r="OA13" s="24">
        <v>0</v>
      </c>
      <c r="OB13" s="24">
        <v>0</v>
      </c>
      <c r="OC13" s="24">
        <v>0</v>
      </c>
      <c r="OD13" s="24">
        <v>0</v>
      </c>
      <c r="OE13" s="24">
        <v>0</v>
      </c>
      <c r="OF13" s="24">
        <v>0</v>
      </c>
      <c r="OG13" s="24">
        <v>0</v>
      </c>
      <c r="OH13" s="24">
        <v>0</v>
      </c>
      <c r="OI13" s="24">
        <v>0</v>
      </c>
      <c r="OJ13" s="24">
        <v>0</v>
      </c>
      <c r="OK13" s="24">
        <v>2960</v>
      </c>
      <c r="OL13" s="24">
        <v>0</v>
      </c>
      <c r="OM13" s="24">
        <v>0</v>
      </c>
      <c r="ON13" s="24">
        <v>0</v>
      </c>
      <c r="OO13" s="24">
        <v>0</v>
      </c>
      <c r="OP13" s="24">
        <v>0</v>
      </c>
      <c r="OQ13" s="24">
        <v>0</v>
      </c>
      <c r="OR13" s="24">
        <v>0</v>
      </c>
      <c r="OS13" s="24">
        <v>0</v>
      </c>
      <c r="OT13" s="24">
        <v>0</v>
      </c>
      <c r="OU13" s="24">
        <v>0</v>
      </c>
      <c r="OV13" s="24">
        <v>0</v>
      </c>
      <c r="OW13" s="24">
        <v>0</v>
      </c>
      <c r="OX13" s="24">
        <v>0</v>
      </c>
      <c r="OY13" s="24">
        <v>0</v>
      </c>
      <c r="OZ13" s="24">
        <v>0</v>
      </c>
      <c r="PA13" s="24">
        <v>0</v>
      </c>
      <c r="PB13" s="24">
        <v>0</v>
      </c>
      <c r="PC13" s="24">
        <v>0</v>
      </c>
      <c r="PD13" s="24">
        <v>0</v>
      </c>
      <c r="PE13" s="24">
        <v>0</v>
      </c>
      <c r="PF13" s="24">
        <v>0</v>
      </c>
      <c r="PG13" s="24">
        <v>0</v>
      </c>
      <c r="PH13" s="24">
        <v>0</v>
      </c>
      <c r="PI13" s="24">
        <v>0</v>
      </c>
      <c r="PJ13" s="24">
        <v>0</v>
      </c>
      <c r="PK13" s="24">
        <v>0</v>
      </c>
      <c r="PL13" s="24">
        <v>0</v>
      </c>
      <c r="PM13" s="24">
        <v>0</v>
      </c>
      <c r="PN13" s="24">
        <v>0</v>
      </c>
      <c r="PO13" s="24">
        <v>0</v>
      </c>
      <c r="PP13" s="24">
        <v>0</v>
      </c>
      <c r="PQ13" s="24">
        <v>0</v>
      </c>
      <c r="PR13" s="24">
        <v>0</v>
      </c>
      <c r="PS13" s="24">
        <v>0</v>
      </c>
      <c r="PT13" s="24">
        <v>0</v>
      </c>
      <c r="PU13" s="24">
        <v>0</v>
      </c>
      <c r="PV13" s="24">
        <v>0</v>
      </c>
      <c r="PW13" s="24">
        <v>0</v>
      </c>
      <c r="PX13" s="24">
        <v>0</v>
      </c>
      <c r="PY13" s="24">
        <v>0</v>
      </c>
      <c r="PZ13" s="24">
        <v>0</v>
      </c>
      <c r="QA13" s="24">
        <v>0</v>
      </c>
      <c r="QB13" s="24">
        <v>0</v>
      </c>
      <c r="QC13" s="24">
        <v>0</v>
      </c>
      <c r="QD13" s="24">
        <v>0</v>
      </c>
      <c r="QE13" s="24">
        <v>0</v>
      </c>
      <c r="QF13" s="24">
        <v>0</v>
      </c>
      <c r="QG13" s="24">
        <v>0</v>
      </c>
      <c r="QH13" s="24">
        <v>0</v>
      </c>
      <c r="QI13" s="24">
        <v>0</v>
      </c>
      <c r="QJ13" s="24">
        <v>0</v>
      </c>
      <c r="QK13" s="24">
        <v>0</v>
      </c>
      <c r="QL13" s="24">
        <v>0</v>
      </c>
      <c r="QM13" s="24">
        <v>0</v>
      </c>
      <c r="QN13" s="24">
        <v>0</v>
      </c>
      <c r="QO13" s="24">
        <v>0</v>
      </c>
      <c r="QP13" s="24">
        <v>0</v>
      </c>
      <c r="QQ13" s="24">
        <v>0</v>
      </c>
      <c r="QR13" s="24">
        <v>0</v>
      </c>
      <c r="QS13" s="24">
        <v>0</v>
      </c>
      <c r="QT13" s="24">
        <v>0</v>
      </c>
      <c r="QU13" s="24">
        <v>0</v>
      </c>
      <c r="QV13" s="24">
        <v>0</v>
      </c>
      <c r="QW13" s="24">
        <v>0</v>
      </c>
      <c r="QX13" s="24">
        <v>0</v>
      </c>
      <c r="QY13" s="24">
        <v>0</v>
      </c>
      <c r="QZ13" s="24">
        <v>0</v>
      </c>
      <c r="RA13" s="24">
        <v>0</v>
      </c>
      <c r="RB13" s="24">
        <v>0</v>
      </c>
      <c r="RG13" s="39">
        <f t="shared" si="48"/>
        <v>1160931</v>
      </c>
      <c r="RH13" s="39">
        <f t="shared" si="7"/>
        <v>47748</v>
      </c>
      <c r="RI13" s="39">
        <f t="shared" si="7"/>
        <v>0</v>
      </c>
      <c r="RJ13" s="39">
        <f t="shared" si="7"/>
        <v>0</v>
      </c>
      <c r="RK13" s="39">
        <f t="shared" si="7"/>
        <v>0</v>
      </c>
      <c r="RL13" s="39">
        <f t="shared" si="7"/>
        <v>157112</v>
      </c>
      <c r="RM13" s="39">
        <f t="shared" si="7"/>
        <v>104540</v>
      </c>
      <c r="RN13" s="39">
        <f t="shared" si="7"/>
        <v>0</v>
      </c>
      <c r="RO13" s="39">
        <f t="shared" si="7"/>
        <v>6841</v>
      </c>
      <c r="RP13" s="39">
        <f t="shared" si="7"/>
        <v>8951</v>
      </c>
      <c r="RQ13" s="39">
        <f t="shared" si="7"/>
        <v>0</v>
      </c>
      <c r="RR13" s="39">
        <f t="shared" si="7"/>
        <v>2608</v>
      </c>
      <c r="RS13" s="39"/>
      <c r="RT13" s="182"/>
      <c r="RU13" s="39"/>
      <c r="RV13" s="39">
        <f t="shared" si="49"/>
        <v>261324</v>
      </c>
      <c r="RW13" s="39">
        <f t="shared" si="8"/>
        <v>1488731</v>
      </c>
      <c r="RX13" s="39">
        <f>SUMIF($C$6:$RB$6, RX$4, $C13:$RB13)</f>
        <v>346865</v>
      </c>
      <c r="RY13" s="39">
        <f t="shared" si="8"/>
        <v>0</v>
      </c>
      <c r="RZ13" s="39"/>
      <c r="SA13" s="182"/>
      <c r="SB13" s="39"/>
      <c r="SC13" s="25">
        <f t="shared" si="50"/>
        <v>2477.6071428571427</v>
      </c>
      <c r="SD13" s="39">
        <f>IFERROR(VLOOKUP(A13, 'Levy Data 15-16'!$B:$O, 3, FALSE), 0)</f>
        <v>227457237</v>
      </c>
      <c r="SE13" s="39">
        <f t="shared" si="9"/>
        <v>1624694.55</v>
      </c>
      <c r="SF13" s="631">
        <f>IFERROR(VLOOKUP(A13, 'Levy Data 15-16'!$B:$O, 14, FALSE), 0)*1000</f>
        <v>1.4074119999999999</v>
      </c>
      <c r="SG13" s="39">
        <f t="shared" si="10"/>
        <v>0</v>
      </c>
      <c r="SH13" s="39">
        <f t="shared" si="11"/>
        <v>0</v>
      </c>
      <c r="SI13" s="39">
        <f t="shared" si="12"/>
        <v>346865</v>
      </c>
      <c r="SM13" s="39">
        <f t="shared" si="13"/>
        <v>1488731</v>
      </c>
      <c r="SN13" s="39">
        <f t="shared" si="14"/>
        <v>0</v>
      </c>
      <c r="SO13" s="39">
        <f t="shared" si="51"/>
        <v>1488731</v>
      </c>
      <c r="SP13" s="50">
        <f t="shared" si="52"/>
        <v>1</v>
      </c>
      <c r="ST13" s="124">
        <f>IFERROR(VLOOKUP(A13,'Grade Enroll 15-16'!B:AC,27,FALSE),"")</f>
        <v>140</v>
      </c>
      <c r="SU13" s="124">
        <f t="shared" si="53"/>
        <v>91.265822784810126</v>
      </c>
      <c r="SV13" s="131">
        <f>IFERROR(VLOOKUP($A13, 'Title I Enroll 16-17'!S:V, 4, FALSE), 0)</f>
        <v>0.65189873417721522</v>
      </c>
      <c r="SW13" s="729">
        <f>IFERROR(VLOOKUP(A13, 'ELL Enroll 15-16'!$N:$S, 6, FALSE), 0)</f>
        <v>5</v>
      </c>
      <c r="SX13" s="131">
        <f t="shared" si="54"/>
        <v>3.5714285714285712E-2</v>
      </c>
      <c r="SY13" s="124">
        <f>IFERROR(VLOOKUP(A13, 'SPED enroll 2015-16'!$M:$O, 3, FALSE), 0)</f>
        <v>25</v>
      </c>
      <c r="SZ13" s="131">
        <f t="shared" si="55"/>
        <v>0.17857142857142858</v>
      </c>
      <c r="TA13" s="142">
        <f t="shared" si="56"/>
        <v>17.5</v>
      </c>
      <c r="TB13" s="142">
        <f t="shared" si="15"/>
        <v>5</v>
      </c>
      <c r="TC13" s="142">
        <f t="shared" si="15"/>
        <v>1.7500000000000002</v>
      </c>
      <c r="TD13" s="142">
        <f t="shared" si="15"/>
        <v>0.75</v>
      </c>
      <c r="TE13" s="124">
        <f>VLOOKUP($A13, 'Grade Enroll 15-16'!$B:$AB, 20, FALSE)</f>
        <v>7</v>
      </c>
      <c r="TF13" s="124">
        <f>VLOOKUP($A13, 'Grade Enroll 15-16'!$B:$AB, 21, FALSE)</f>
        <v>9</v>
      </c>
      <c r="TG13" s="124">
        <f>VLOOKUP($A13, 'Grade Enroll 15-16'!$B:$AB, 22, FALSE)</f>
        <v>38</v>
      </c>
      <c r="TH13" s="124">
        <f>VLOOKUP($A13, 'Grade Enroll 15-16'!$B:$AB, 23, FALSE)</f>
        <v>43</v>
      </c>
      <c r="TI13" s="124">
        <f>VLOOKUP($A13, 'Grade Enroll 15-16'!$B:$AB, 24, FALSE)</f>
        <v>22</v>
      </c>
      <c r="TJ13" s="124">
        <f>VLOOKUP($A13, 'Grade Enroll 15-16'!$B:$AB, 25, FALSE)</f>
        <v>37</v>
      </c>
      <c r="TK13" s="124">
        <f>VLOOKUP($A13, 'Grade Enroll 15-16'!$B:$AB, 26, FALSE)</f>
        <v>96</v>
      </c>
      <c r="TL13" s="131">
        <f>SUMIFS('Student Achievement 15-16'!N:N, 'Student Achievement 15-16'!B:B, 'Idaho Data'!A13, 'Student Achievement 15-16'!D:D, "math")/100</f>
        <v>0.36399999999999999</v>
      </c>
      <c r="TM13" s="134">
        <f t="shared" si="57"/>
        <v>50.96</v>
      </c>
      <c r="TN13" s="131">
        <f>SUMIFS('Student Achievement 15-16'!N:N, 'Student Achievement 15-16'!B:B, 'Idaho Data'!A13, 'Student Achievement 15-16'!D:D, "ela")/100</f>
        <v>0.33</v>
      </c>
      <c r="TO13" s="134">
        <f t="shared" si="58"/>
        <v>46.2</v>
      </c>
      <c r="TP13" s="688">
        <f>IFERROR(VLOOKUP(A13, 'G&amp;T 15-16'!B:G, 6, FALSE), 0)*1</f>
        <v>0</v>
      </c>
      <c r="TQ13" s="168">
        <f t="shared" si="59"/>
        <v>8.4</v>
      </c>
      <c r="TU13" s="168">
        <f t="shared" si="60"/>
        <v>46.2</v>
      </c>
      <c r="TV13" s="168">
        <f t="shared" si="61"/>
        <v>50.96</v>
      </c>
      <c r="TW13" s="205">
        <f t="shared" si="62"/>
        <v>50.96</v>
      </c>
      <c r="TX13" s="144"/>
      <c r="TY13" s="129"/>
      <c r="TZ13" s="127">
        <f t="shared" si="63"/>
        <v>0</v>
      </c>
      <c r="UA13" s="127">
        <f t="shared" si="64"/>
        <v>8.4</v>
      </c>
      <c r="UB13" s="205">
        <f t="shared" si="65"/>
        <v>8.4</v>
      </c>
      <c r="UE13" s="853" t="str">
        <f>IF(ST13&lt;='1. Simulator Input'!$E$104, "yes", "")</f>
        <v>yes</v>
      </c>
      <c r="UI13" s="199">
        <f t="shared" si="66"/>
        <v>0</v>
      </c>
      <c r="UJ13" s="200">
        <f>IF('Idaho Data'!SI13&gt;=0, ((1-'1. Simulator Input'!$E$39)*'Idaho Data'!SI13), 0)</f>
        <v>0</v>
      </c>
      <c r="UK13" s="200">
        <f t="shared" si="67"/>
        <v>1488731</v>
      </c>
      <c r="UL13" s="39"/>
      <c r="UM13" s="182"/>
      <c r="UN13" s="39"/>
      <c r="UO13" s="39">
        <f>IF(AND('1. Simulator Input'!$E$96="yes", '1. Simulator Input'!$E$98="yes", '1. Simulator Input'!$E$100="hold harmless"), 'Idaho Data'!WN13, IF(AND('1. Simulator Input'!$E$96="yes", '1. Simulator Input'!$E$98="no", '1. Simulator Input'!$E$100="hold harmless"), 'Idaho Data'!WM13, IF(AND('1. Simulator Input'!$E$96="yes", '1. Simulator Input'!$E$98="yes", '1. Simulator Input'!$E$100="small district grant"), WL13,IF(AND('1. Simulator Input'!$E$96="yes", '1. Simulator Input'!$E$98="no", '1. Simulator Input'!$E$100="small district grant"), WK13, ""))))</f>
        <v>0</v>
      </c>
      <c r="UP13" s="200">
        <f>'1. Simulator Input'!$D$56*('Idaho Data'!ST13)</f>
        <v>773640</v>
      </c>
      <c r="UQ13" s="204">
        <f>'1. Simulator Input'!$D$65*'1. Simulator Input'!$D$56*'Idaho Data'!SU13</f>
        <v>0</v>
      </c>
      <c r="UR13" s="204">
        <f>'1. Simulator Input'!$D$66*'1. Simulator Input'!$D$56*'Idaho Data'!SW13</f>
        <v>0</v>
      </c>
      <c r="US13" s="200">
        <f>'1. Simulator Input'!$D$67*'1. Simulator Input'!$D$56*'Idaho Data'!TA13</f>
        <v>0</v>
      </c>
      <c r="UT13" s="200">
        <f>'1. Simulator Input'!$D$68*'1. Simulator Input'!$D$56*'Idaho Data'!TB13</f>
        <v>0</v>
      </c>
      <c r="UU13" s="200">
        <f>'1. Simulator Input'!$D$69*'1. Simulator Input'!$D$56*'Idaho Data'!TC13</f>
        <v>0</v>
      </c>
      <c r="UV13" s="200">
        <f>'1. Simulator Input'!$D$70*'1. Simulator Input'!$D$56*TD13</f>
        <v>0</v>
      </c>
      <c r="UW13" s="200">
        <f>'1. Simulator Input'!$D$80*'1. Simulator Input'!$D$56*TW13</f>
        <v>0</v>
      </c>
      <c r="UX13" s="200">
        <f>'1. Simulator Input'!$D$79*'1. Simulator Input'!$D$56*UB13</f>
        <v>0</v>
      </c>
      <c r="UY13" s="200">
        <f>'1. Simulator Input'!$D$87*'1. Simulator Input'!$D$56*TF13</f>
        <v>24867</v>
      </c>
      <c r="UZ13" s="200">
        <f>'1. Simulator Input'!$D$73*'1. Simulator Input'!$D$56*'Idaho Data'!TG13</f>
        <v>0</v>
      </c>
      <c r="VA13" s="200">
        <f>'1. Simulator Input'!$D$56*'1. Simulator Input'!$D$74*'Idaho Data'!TH13</f>
        <v>0</v>
      </c>
      <c r="VB13" s="200">
        <f>'1. Simulator Input'!$D$56*'1. Simulator Input'!$D$75*'Idaho Data'!TI8</f>
        <v>0</v>
      </c>
      <c r="VC13" s="200">
        <f>'1. Simulator Input'!$D$76*'1. Simulator Input'!$D$56*'Idaho Data'!TJ13</f>
        <v>0</v>
      </c>
      <c r="VD13" s="200">
        <f t="shared" si="68"/>
        <v>798507</v>
      </c>
      <c r="VE13" s="200"/>
      <c r="VF13" s="182"/>
      <c r="VG13" s="200"/>
      <c r="VH13" s="200">
        <f t="shared" si="69"/>
        <v>0</v>
      </c>
      <c r="VI13" s="200">
        <f t="shared" si="70"/>
        <v>0</v>
      </c>
      <c r="VJ13" s="200">
        <f t="shared" si="16"/>
        <v>798507</v>
      </c>
      <c r="VK13" s="200">
        <f t="shared" si="17"/>
        <v>798507</v>
      </c>
      <c r="VL13" s="200"/>
      <c r="VM13" s="182"/>
      <c r="VN13" s="200"/>
      <c r="VO13" s="200">
        <f t="shared" si="71"/>
        <v>261324</v>
      </c>
      <c r="VP13" s="200">
        <f t="shared" si="72"/>
        <v>1488731</v>
      </c>
      <c r="VQ13" s="200">
        <f t="shared" si="73"/>
        <v>346865</v>
      </c>
      <c r="VR13" s="200">
        <f t="shared" si="74"/>
        <v>261324</v>
      </c>
      <c r="VS13" s="200">
        <f t="shared" si="18"/>
        <v>798507</v>
      </c>
      <c r="VT13" s="200">
        <f t="shared" si="19"/>
        <v>346865</v>
      </c>
      <c r="VU13" s="200">
        <f t="shared" si="20"/>
        <v>0</v>
      </c>
      <c r="VV13" s="200"/>
      <c r="VW13" s="182"/>
      <c r="VX13" s="200"/>
      <c r="VZ13" s="199">
        <f>VS13-VP13</f>
        <v>-690224</v>
      </c>
      <c r="WA13" s="199">
        <f t="shared" si="76"/>
        <v>-4930.1714285714288</v>
      </c>
      <c r="WB13" s="131">
        <f t="shared" si="77"/>
        <v>-0.46363244938138587</v>
      </c>
      <c r="WC13" s="131"/>
      <c r="WD13" s="461"/>
      <c r="WE13" s="893"/>
      <c r="WF13" s="893">
        <f t="shared" si="78"/>
        <v>14978</v>
      </c>
      <c r="WG13" s="893">
        <f t="shared" si="79"/>
        <v>10047.828571428572</v>
      </c>
      <c r="WH13" s="893"/>
      <c r="WI13" s="893">
        <f t="shared" si="80"/>
        <v>1488731</v>
      </c>
      <c r="WJ13" s="893">
        <f t="shared" si="21"/>
        <v>798507</v>
      </c>
      <c r="WK13" s="39">
        <f t="shared" si="22"/>
        <v>0</v>
      </c>
      <c r="WL13" s="39">
        <f t="shared" si="23"/>
        <v>0</v>
      </c>
      <c r="WM13" s="200">
        <f t="shared" si="24"/>
        <v>690224</v>
      </c>
      <c r="WN13" s="39">
        <f t="shared" si="25"/>
        <v>690224</v>
      </c>
      <c r="WO13" s="39"/>
      <c r="WP13" s="182"/>
      <c r="WQ13" s="39"/>
      <c r="WR13" s="305">
        <f t="shared" si="26"/>
        <v>0.88500000000000001</v>
      </c>
      <c r="WT13" s="200">
        <f t="shared" si="27"/>
        <v>10633.792857142857</v>
      </c>
      <c r="WU13" s="131">
        <f t="shared" si="81"/>
        <v>0.87</v>
      </c>
      <c r="WW13" s="199">
        <f t="shared" si="28"/>
        <v>261324</v>
      </c>
      <c r="WX13" s="199">
        <f t="shared" si="29"/>
        <v>798507</v>
      </c>
      <c r="WY13" s="199">
        <f t="shared" si="30"/>
        <v>0</v>
      </c>
      <c r="WZ13" s="199">
        <f t="shared" si="82"/>
        <v>798507</v>
      </c>
      <c r="XA13" s="199">
        <f t="shared" si="31"/>
        <v>0</v>
      </c>
      <c r="XB13" s="199">
        <f t="shared" si="32"/>
        <v>346865</v>
      </c>
      <c r="XC13" s="199">
        <f t="shared" si="33"/>
        <v>346865</v>
      </c>
      <c r="XD13" s="199" t="str">
        <f t="shared" si="34"/>
        <v/>
      </c>
      <c r="XE13" s="199"/>
      <c r="XF13" s="199"/>
      <c r="XG13" s="199"/>
      <c r="XH13" s="199"/>
      <c r="XI13" s="199"/>
      <c r="XJ13" s="199">
        <f t="shared" si="83"/>
        <v>798507</v>
      </c>
      <c r="XP13" s="199">
        <f t="shared" si="35"/>
        <v>798507</v>
      </c>
      <c r="XQ13" s="199">
        <f t="shared" si="36"/>
        <v>5703.6214285714286</v>
      </c>
      <c r="XR13" s="199">
        <f t="shared" si="37"/>
        <v>798507</v>
      </c>
      <c r="XS13" s="199">
        <f t="shared" si="38"/>
        <v>798507</v>
      </c>
      <c r="XT13" s="199">
        <f t="shared" si="39"/>
        <v>5703.6214285714286</v>
      </c>
      <c r="XU13" s="199">
        <f t="shared" si="40"/>
        <v>1488731</v>
      </c>
      <c r="XV13" s="199">
        <f t="shared" si="41"/>
        <v>10633.792857142857</v>
      </c>
      <c r="XW13" s="199">
        <f t="shared" si="42"/>
        <v>1488731</v>
      </c>
      <c r="XX13" s="199">
        <f t="shared" si="43"/>
        <v>10633.792857142857</v>
      </c>
      <c r="XY13" s="199">
        <f t="shared" si="84"/>
        <v>-690224</v>
      </c>
      <c r="XZ13" s="199">
        <f t="shared" si="85"/>
        <v>-4930.1714285714279</v>
      </c>
      <c r="YA13" s="131">
        <f t="shared" si="86"/>
        <v>-0.46363244938138587</v>
      </c>
      <c r="YB13" s="199"/>
      <c r="YC13" s="221"/>
      <c r="YD13" s="199"/>
      <c r="YE13" s="199">
        <f t="shared" si="44"/>
        <v>261324</v>
      </c>
      <c r="YF13" s="200">
        <f t="shared" si="45"/>
        <v>0</v>
      </c>
      <c r="YG13" s="199">
        <f t="shared" si="46"/>
        <v>346865</v>
      </c>
      <c r="YH13" s="199">
        <f t="shared" si="47"/>
        <v>0</v>
      </c>
    </row>
    <row r="14" spans="1:660">
      <c r="A14" s="3">
        <v>13</v>
      </c>
      <c r="B14" s="2" t="s">
        <v>104</v>
      </c>
      <c r="C14" s="24">
        <v>0</v>
      </c>
      <c r="D14" s="24">
        <v>0</v>
      </c>
      <c r="E14" s="24">
        <v>0</v>
      </c>
      <c r="F14" s="24">
        <v>0</v>
      </c>
      <c r="G14" s="24">
        <v>77215</v>
      </c>
      <c r="H14" s="24">
        <v>853</v>
      </c>
      <c r="I14" s="24">
        <v>0</v>
      </c>
      <c r="J14" s="24">
        <v>13253</v>
      </c>
      <c r="K14" s="24">
        <v>0</v>
      </c>
      <c r="L14" s="24">
        <v>0</v>
      </c>
      <c r="M14" s="24">
        <v>0</v>
      </c>
      <c r="N14" s="24">
        <v>3143</v>
      </c>
      <c r="O14" s="24">
        <v>0</v>
      </c>
      <c r="P14" s="24">
        <v>0</v>
      </c>
      <c r="Q14" s="24">
        <v>0</v>
      </c>
      <c r="R14" s="24">
        <v>0</v>
      </c>
      <c r="S14" s="24">
        <v>0</v>
      </c>
      <c r="T14" s="24">
        <v>0</v>
      </c>
      <c r="U14" s="24">
        <v>0</v>
      </c>
      <c r="V14" s="24">
        <v>0</v>
      </c>
      <c r="W14" s="24">
        <v>0</v>
      </c>
      <c r="X14" s="24">
        <v>32384</v>
      </c>
      <c r="Y14" s="24">
        <v>317</v>
      </c>
      <c r="Z14" s="24">
        <v>276</v>
      </c>
      <c r="AA14" s="24">
        <v>473</v>
      </c>
      <c r="AB14" s="24">
        <v>0</v>
      </c>
      <c r="AC14" s="24">
        <v>0</v>
      </c>
      <c r="AD14" s="24">
        <v>0</v>
      </c>
      <c r="AE14" s="24">
        <v>0</v>
      </c>
      <c r="AF14" s="24">
        <v>0</v>
      </c>
      <c r="AG14" s="24">
        <v>0</v>
      </c>
      <c r="AH14" s="24">
        <v>0</v>
      </c>
      <c r="AI14" s="24">
        <v>0</v>
      </c>
      <c r="AJ14" s="24">
        <v>0</v>
      </c>
      <c r="AK14" s="24">
        <v>0</v>
      </c>
      <c r="AL14" s="24">
        <v>1232</v>
      </c>
      <c r="AM14" s="24">
        <v>0</v>
      </c>
      <c r="AN14" s="24">
        <v>0</v>
      </c>
      <c r="AO14" s="24">
        <v>0</v>
      </c>
      <c r="AP14" s="24">
        <v>0</v>
      </c>
      <c r="AQ14" s="24">
        <v>0</v>
      </c>
      <c r="AR14" s="24">
        <v>0</v>
      </c>
      <c r="AS14" s="24">
        <v>0</v>
      </c>
      <c r="AT14" s="24">
        <v>0</v>
      </c>
      <c r="AU14" s="24">
        <v>0</v>
      </c>
      <c r="AV14" s="24">
        <v>0</v>
      </c>
      <c r="AW14" s="24">
        <v>0</v>
      </c>
      <c r="AX14" s="24">
        <v>0</v>
      </c>
      <c r="AY14" s="24">
        <v>0</v>
      </c>
      <c r="AZ14" s="24">
        <v>0</v>
      </c>
      <c r="BA14" s="24">
        <v>0</v>
      </c>
      <c r="BB14" s="24">
        <v>0</v>
      </c>
      <c r="BC14" s="24">
        <v>0</v>
      </c>
      <c r="BD14" s="24">
        <v>0</v>
      </c>
      <c r="BE14" s="24">
        <v>0</v>
      </c>
      <c r="BF14" s="24">
        <v>0</v>
      </c>
      <c r="BG14" s="24">
        <v>0</v>
      </c>
      <c r="BH14" s="24">
        <v>0</v>
      </c>
      <c r="BI14" s="24">
        <v>0</v>
      </c>
      <c r="BJ14" s="24">
        <v>0</v>
      </c>
      <c r="BK14" s="24">
        <v>0</v>
      </c>
      <c r="BL14" s="24">
        <v>0</v>
      </c>
      <c r="BM14" s="24">
        <v>0</v>
      </c>
      <c r="BN14" s="24">
        <v>0</v>
      </c>
      <c r="BO14" s="24">
        <v>0</v>
      </c>
      <c r="BP14" s="24">
        <v>0</v>
      </c>
      <c r="BQ14" s="24">
        <v>0</v>
      </c>
      <c r="BR14" s="24">
        <v>0</v>
      </c>
      <c r="BS14" s="24">
        <v>0</v>
      </c>
      <c r="BT14" s="24">
        <v>0</v>
      </c>
      <c r="BU14" s="24">
        <v>0</v>
      </c>
      <c r="BV14" s="24">
        <v>0</v>
      </c>
      <c r="BW14" s="24">
        <v>0</v>
      </c>
      <c r="BX14" s="24">
        <v>0</v>
      </c>
      <c r="BY14" s="24">
        <v>0</v>
      </c>
      <c r="BZ14" s="24">
        <v>0</v>
      </c>
      <c r="CA14" s="24">
        <v>0</v>
      </c>
      <c r="CB14" s="24">
        <v>0</v>
      </c>
      <c r="CC14" s="24">
        <v>0</v>
      </c>
      <c r="CD14" s="24">
        <v>22449</v>
      </c>
      <c r="CE14" s="24">
        <v>3822</v>
      </c>
      <c r="CF14" s="24">
        <v>0</v>
      </c>
      <c r="CG14" s="24">
        <v>0</v>
      </c>
      <c r="CH14" s="24">
        <v>0</v>
      </c>
      <c r="CI14" s="24">
        <v>0</v>
      </c>
      <c r="CJ14" s="24">
        <v>0</v>
      </c>
      <c r="CK14" s="24">
        <v>0</v>
      </c>
      <c r="CL14" s="24">
        <v>0</v>
      </c>
      <c r="CM14" s="24">
        <v>0</v>
      </c>
      <c r="CN14" s="24">
        <v>0</v>
      </c>
      <c r="CO14" s="24">
        <v>0</v>
      </c>
      <c r="CP14" s="24">
        <v>0</v>
      </c>
      <c r="CQ14" s="24">
        <v>0</v>
      </c>
      <c r="CR14" s="24">
        <v>0</v>
      </c>
      <c r="CS14" s="24">
        <v>0</v>
      </c>
      <c r="CT14" s="24">
        <v>0</v>
      </c>
      <c r="CU14" s="24">
        <v>0</v>
      </c>
      <c r="CV14" s="24">
        <v>0</v>
      </c>
      <c r="CW14" s="24">
        <v>0</v>
      </c>
      <c r="CX14" s="24">
        <v>0</v>
      </c>
      <c r="CY14" s="24">
        <v>0</v>
      </c>
      <c r="CZ14" s="24">
        <v>0</v>
      </c>
      <c r="DA14" s="24">
        <v>0</v>
      </c>
      <c r="DB14" s="24">
        <v>0</v>
      </c>
      <c r="DC14" s="24">
        <v>0</v>
      </c>
      <c r="DD14" s="24">
        <v>0</v>
      </c>
      <c r="DE14" s="24">
        <v>0</v>
      </c>
      <c r="DF14" s="24">
        <v>0</v>
      </c>
      <c r="DG14" s="24">
        <v>0</v>
      </c>
      <c r="DH14" s="24">
        <v>0</v>
      </c>
      <c r="DI14" s="24">
        <v>0</v>
      </c>
      <c r="DJ14" s="24">
        <v>0</v>
      </c>
      <c r="DK14" s="24">
        <v>0</v>
      </c>
      <c r="DL14" s="24">
        <v>0</v>
      </c>
      <c r="DM14" s="24">
        <v>0</v>
      </c>
      <c r="DN14" s="24">
        <v>0</v>
      </c>
      <c r="DO14" s="24">
        <v>0</v>
      </c>
      <c r="DP14" s="24">
        <v>0</v>
      </c>
      <c r="DQ14" s="24">
        <v>0</v>
      </c>
      <c r="DR14" s="24">
        <v>0</v>
      </c>
      <c r="DS14" s="24">
        <v>0</v>
      </c>
      <c r="DT14" s="24">
        <v>0</v>
      </c>
      <c r="DU14" s="24">
        <v>3213</v>
      </c>
      <c r="DV14" s="24">
        <v>0</v>
      </c>
      <c r="DW14" s="24">
        <v>0</v>
      </c>
      <c r="DX14" s="24">
        <v>0</v>
      </c>
      <c r="DY14" s="24">
        <v>0</v>
      </c>
      <c r="DZ14" s="24">
        <v>0</v>
      </c>
      <c r="EA14" s="24">
        <v>0</v>
      </c>
      <c r="EB14" s="24">
        <v>0</v>
      </c>
      <c r="EC14" s="24">
        <v>0</v>
      </c>
      <c r="ED14" s="24">
        <v>0</v>
      </c>
      <c r="EE14" s="24">
        <v>0</v>
      </c>
      <c r="EF14" s="24">
        <v>0</v>
      </c>
      <c r="EG14" s="24">
        <v>125</v>
      </c>
      <c r="EH14" s="24">
        <v>0</v>
      </c>
      <c r="EI14" s="24">
        <v>0</v>
      </c>
      <c r="EJ14" s="24">
        <v>0</v>
      </c>
      <c r="EK14" s="24">
        <v>0</v>
      </c>
      <c r="EL14" s="24">
        <v>0</v>
      </c>
      <c r="EM14" s="24">
        <v>0</v>
      </c>
      <c r="EN14" s="24">
        <v>0</v>
      </c>
      <c r="EO14" s="24">
        <v>0</v>
      </c>
      <c r="EP14" s="24">
        <v>0</v>
      </c>
      <c r="EQ14" s="24">
        <v>0</v>
      </c>
      <c r="ER14" s="24">
        <v>0</v>
      </c>
      <c r="ES14" s="24">
        <v>0</v>
      </c>
      <c r="ET14" s="24">
        <v>0</v>
      </c>
      <c r="EU14" s="24">
        <v>0</v>
      </c>
      <c r="EV14" s="24">
        <v>0</v>
      </c>
      <c r="EW14" s="24">
        <v>0</v>
      </c>
      <c r="EX14" s="24">
        <v>0</v>
      </c>
      <c r="EY14" s="24">
        <v>0</v>
      </c>
      <c r="EZ14" s="24">
        <v>0</v>
      </c>
      <c r="FA14" s="24">
        <v>0</v>
      </c>
      <c r="FB14" s="24">
        <v>0</v>
      </c>
      <c r="FC14" s="24">
        <v>0</v>
      </c>
      <c r="FD14" s="24">
        <v>0</v>
      </c>
      <c r="FE14" s="24">
        <v>0</v>
      </c>
      <c r="FF14" s="24">
        <v>0</v>
      </c>
      <c r="FG14" s="24">
        <v>0</v>
      </c>
      <c r="FH14" s="24">
        <v>0</v>
      </c>
      <c r="FI14" s="24">
        <v>0</v>
      </c>
      <c r="FJ14" s="24">
        <v>0</v>
      </c>
      <c r="FK14" s="24">
        <v>0</v>
      </c>
      <c r="FL14" s="24">
        <v>323</v>
      </c>
      <c r="FM14" s="24">
        <v>0</v>
      </c>
      <c r="FN14" s="24">
        <v>0</v>
      </c>
      <c r="FO14" s="24">
        <v>0</v>
      </c>
      <c r="FP14" s="24">
        <v>0</v>
      </c>
      <c r="FQ14" s="24">
        <v>0</v>
      </c>
      <c r="FR14" s="24">
        <v>0</v>
      </c>
      <c r="FS14" s="24">
        <v>5649</v>
      </c>
      <c r="FT14" s="24">
        <v>0</v>
      </c>
      <c r="FU14" s="24">
        <v>0</v>
      </c>
      <c r="FV14" s="24">
        <v>67629</v>
      </c>
      <c r="FW14" s="24">
        <v>8891</v>
      </c>
      <c r="FX14" s="24">
        <v>16435</v>
      </c>
      <c r="FY14" s="24">
        <v>0</v>
      </c>
      <c r="FZ14" s="24">
        <v>0</v>
      </c>
      <c r="GA14" s="24">
        <v>0</v>
      </c>
      <c r="GB14" s="24">
        <v>0</v>
      </c>
      <c r="GC14" s="24">
        <v>0</v>
      </c>
      <c r="GD14" s="24">
        <v>0</v>
      </c>
      <c r="GE14" s="24">
        <v>0</v>
      </c>
      <c r="GF14" s="24">
        <v>0</v>
      </c>
      <c r="GG14" s="24">
        <v>0</v>
      </c>
      <c r="GH14" s="24">
        <v>0</v>
      </c>
      <c r="GI14" s="24">
        <v>0</v>
      </c>
      <c r="GJ14" s="24">
        <v>0</v>
      </c>
      <c r="GK14" s="24">
        <v>0</v>
      </c>
      <c r="GL14" s="24">
        <v>0</v>
      </c>
      <c r="GM14" s="24">
        <v>0</v>
      </c>
      <c r="GN14" s="24">
        <v>0</v>
      </c>
      <c r="GO14" s="24">
        <v>0</v>
      </c>
      <c r="GP14" s="24">
        <v>0</v>
      </c>
      <c r="GQ14" s="24">
        <v>0</v>
      </c>
      <c r="GR14" s="24">
        <v>0</v>
      </c>
      <c r="GS14" s="24">
        <v>0</v>
      </c>
      <c r="GT14" s="24">
        <v>0</v>
      </c>
      <c r="GU14" s="24">
        <v>0</v>
      </c>
      <c r="GV14" s="24">
        <v>0</v>
      </c>
      <c r="GW14" s="24">
        <v>0</v>
      </c>
      <c r="GX14" s="24">
        <v>0</v>
      </c>
      <c r="GY14" s="24">
        <v>0</v>
      </c>
      <c r="GZ14" s="24">
        <v>0</v>
      </c>
      <c r="HA14" s="24">
        <v>0</v>
      </c>
      <c r="HB14" s="24">
        <v>0</v>
      </c>
      <c r="HC14" s="24">
        <v>0</v>
      </c>
      <c r="HD14" s="24">
        <v>1388099</v>
      </c>
      <c r="HE14" s="24">
        <v>0</v>
      </c>
      <c r="HF14" s="24">
        <v>0</v>
      </c>
      <c r="HG14" s="24">
        <v>0</v>
      </c>
      <c r="HH14" s="24">
        <v>0</v>
      </c>
      <c r="HI14" s="24">
        <v>56139</v>
      </c>
      <c r="HJ14" s="24">
        <v>0</v>
      </c>
      <c r="HK14" s="24">
        <v>0</v>
      </c>
      <c r="HL14" s="24">
        <v>0</v>
      </c>
      <c r="HM14" s="24">
        <v>0</v>
      </c>
      <c r="HN14" s="24">
        <v>0</v>
      </c>
      <c r="HO14" s="24">
        <v>188977</v>
      </c>
      <c r="HP14" s="24">
        <v>0</v>
      </c>
      <c r="HQ14" s="24">
        <v>0</v>
      </c>
      <c r="HR14" s="24">
        <v>0</v>
      </c>
      <c r="HS14" s="24">
        <v>0</v>
      </c>
      <c r="HT14" s="24">
        <v>0</v>
      </c>
      <c r="HU14" s="24">
        <v>0</v>
      </c>
      <c r="HV14" s="24">
        <v>0</v>
      </c>
      <c r="HW14" s="24">
        <v>0</v>
      </c>
      <c r="HX14" s="24">
        <v>0</v>
      </c>
      <c r="HY14" s="24">
        <v>0</v>
      </c>
      <c r="HZ14" s="24">
        <v>0</v>
      </c>
      <c r="IA14" s="24">
        <v>23795</v>
      </c>
      <c r="IB14" s="24">
        <v>4967</v>
      </c>
      <c r="IC14" s="24">
        <v>0</v>
      </c>
      <c r="ID14" s="24">
        <v>0</v>
      </c>
      <c r="IE14" s="24">
        <v>0</v>
      </c>
      <c r="IF14" s="24">
        <v>0</v>
      </c>
      <c r="IG14" s="24">
        <v>0</v>
      </c>
      <c r="IH14" s="24">
        <v>0</v>
      </c>
      <c r="II14" s="24">
        <v>0</v>
      </c>
      <c r="IJ14" s="24">
        <v>0</v>
      </c>
      <c r="IK14" s="24">
        <v>0</v>
      </c>
      <c r="IL14" s="24">
        <v>0</v>
      </c>
      <c r="IM14" s="24">
        <v>0</v>
      </c>
      <c r="IN14" s="24">
        <v>0</v>
      </c>
      <c r="IO14" s="24">
        <v>0</v>
      </c>
      <c r="IP14" s="24">
        <v>0</v>
      </c>
      <c r="IQ14" s="24">
        <v>0</v>
      </c>
      <c r="IR14" s="24">
        <v>44231</v>
      </c>
      <c r="IS14" s="24">
        <v>0</v>
      </c>
      <c r="IT14" s="24">
        <v>0</v>
      </c>
      <c r="IU14" s="24">
        <v>0</v>
      </c>
      <c r="IV14" s="24">
        <v>0</v>
      </c>
      <c r="IW14" s="24">
        <v>0</v>
      </c>
      <c r="IX14" s="24">
        <v>26830</v>
      </c>
      <c r="IY14" s="24">
        <v>0</v>
      </c>
      <c r="IZ14" s="24">
        <v>0</v>
      </c>
      <c r="JA14" s="24">
        <v>0</v>
      </c>
      <c r="JB14" s="24">
        <v>0</v>
      </c>
      <c r="JC14" s="24">
        <v>0</v>
      </c>
      <c r="JD14" s="24">
        <v>0</v>
      </c>
      <c r="JE14" s="24">
        <v>82168</v>
      </c>
      <c r="JF14" s="24">
        <v>0</v>
      </c>
      <c r="JG14" s="24">
        <v>0</v>
      </c>
      <c r="JH14" s="24">
        <v>0</v>
      </c>
      <c r="JI14" s="24">
        <v>0</v>
      </c>
      <c r="JJ14" s="24">
        <v>0</v>
      </c>
      <c r="JK14" s="24">
        <v>0</v>
      </c>
      <c r="JL14" s="24">
        <v>0</v>
      </c>
      <c r="JM14" s="24">
        <v>0</v>
      </c>
      <c r="JN14" s="24">
        <v>0</v>
      </c>
      <c r="JO14" s="24">
        <v>0</v>
      </c>
      <c r="JP14" s="24">
        <v>0</v>
      </c>
      <c r="JQ14" s="24">
        <v>0</v>
      </c>
      <c r="JR14" s="24">
        <v>0</v>
      </c>
      <c r="JS14" s="24">
        <v>0</v>
      </c>
      <c r="JT14" s="24">
        <v>0</v>
      </c>
      <c r="JU14" s="24">
        <v>0</v>
      </c>
      <c r="JV14" s="24">
        <v>0</v>
      </c>
      <c r="JW14" s="24">
        <v>0</v>
      </c>
      <c r="JX14" s="24">
        <v>0</v>
      </c>
      <c r="JY14" s="24">
        <v>0</v>
      </c>
      <c r="JZ14" s="24">
        <v>0</v>
      </c>
      <c r="KA14" s="24">
        <v>17867</v>
      </c>
      <c r="KB14" s="24">
        <v>0</v>
      </c>
      <c r="KC14" s="24">
        <v>0</v>
      </c>
      <c r="KD14" s="24">
        <v>0</v>
      </c>
      <c r="KE14" s="24">
        <v>0</v>
      </c>
      <c r="KF14" s="24">
        <v>0</v>
      </c>
      <c r="KG14" s="24">
        <v>102296</v>
      </c>
      <c r="KH14" s="24">
        <v>0</v>
      </c>
      <c r="KI14" s="24">
        <v>0</v>
      </c>
      <c r="KJ14" s="24">
        <v>0</v>
      </c>
      <c r="KK14" s="24">
        <v>0</v>
      </c>
      <c r="KL14" s="24">
        <v>0</v>
      </c>
      <c r="KM14" s="24">
        <v>0</v>
      </c>
      <c r="KN14" s="24">
        <v>0</v>
      </c>
      <c r="KO14" s="24">
        <v>0</v>
      </c>
      <c r="KP14" s="24">
        <v>0</v>
      </c>
      <c r="KQ14" s="24">
        <v>0</v>
      </c>
      <c r="KR14" s="24">
        <v>0</v>
      </c>
      <c r="KS14" s="24">
        <v>0</v>
      </c>
      <c r="KT14" s="24">
        <v>0</v>
      </c>
      <c r="KU14" s="24">
        <v>0</v>
      </c>
      <c r="KV14" s="24">
        <v>0</v>
      </c>
      <c r="KW14" s="24">
        <v>0</v>
      </c>
      <c r="KX14" s="24">
        <v>0</v>
      </c>
      <c r="KY14" s="24">
        <v>0</v>
      </c>
      <c r="KZ14" s="24">
        <v>0</v>
      </c>
      <c r="LA14" s="24">
        <v>0</v>
      </c>
      <c r="LB14" s="24">
        <v>0</v>
      </c>
      <c r="LC14" s="24">
        <v>0</v>
      </c>
      <c r="LD14" s="24">
        <v>0</v>
      </c>
      <c r="LE14" s="24">
        <v>0</v>
      </c>
      <c r="LF14" s="24">
        <v>0</v>
      </c>
      <c r="LG14" s="24">
        <v>0</v>
      </c>
      <c r="LH14" s="24">
        <v>0</v>
      </c>
      <c r="LI14" s="24">
        <v>0</v>
      </c>
      <c r="LJ14" s="24">
        <v>0</v>
      </c>
      <c r="LK14" s="24">
        <v>0</v>
      </c>
      <c r="LL14" s="24">
        <v>0</v>
      </c>
      <c r="LM14" s="24">
        <v>0</v>
      </c>
      <c r="LN14" s="24">
        <v>0</v>
      </c>
      <c r="LO14" s="24">
        <v>0</v>
      </c>
      <c r="LP14" s="24">
        <v>0</v>
      </c>
      <c r="LQ14" s="24">
        <v>58106</v>
      </c>
      <c r="LR14" s="24">
        <v>0</v>
      </c>
      <c r="LS14" s="24">
        <v>0</v>
      </c>
      <c r="LT14" s="24">
        <v>0</v>
      </c>
      <c r="LU14" s="24">
        <v>0</v>
      </c>
      <c r="LV14" s="24">
        <v>0</v>
      </c>
      <c r="LW14" s="24">
        <v>0</v>
      </c>
      <c r="LX14" s="24">
        <v>0</v>
      </c>
      <c r="LY14" s="24">
        <v>0</v>
      </c>
      <c r="LZ14" s="24">
        <v>0</v>
      </c>
      <c r="MA14" s="24">
        <v>0</v>
      </c>
      <c r="MB14" s="24">
        <v>0</v>
      </c>
      <c r="MC14" s="24">
        <v>0</v>
      </c>
      <c r="MD14" s="24">
        <v>0</v>
      </c>
      <c r="ME14" s="24">
        <v>0</v>
      </c>
      <c r="MF14" s="24">
        <v>0</v>
      </c>
      <c r="MG14" s="24">
        <v>0</v>
      </c>
      <c r="MH14" s="24">
        <v>0</v>
      </c>
      <c r="MI14" s="24">
        <v>0</v>
      </c>
      <c r="MJ14" s="24">
        <v>0</v>
      </c>
      <c r="MK14" s="24">
        <v>0</v>
      </c>
      <c r="ML14" s="24">
        <v>0</v>
      </c>
      <c r="MM14" s="24">
        <v>0</v>
      </c>
      <c r="MN14" s="24">
        <v>0</v>
      </c>
      <c r="MO14" s="24">
        <v>22865</v>
      </c>
      <c r="MP14" s="24">
        <v>0</v>
      </c>
      <c r="MQ14" s="24">
        <v>0</v>
      </c>
      <c r="MR14" s="24">
        <v>75933</v>
      </c>
      <c r="MS14" s="24">
        <v>0</v>
      </c>
      <c r="MT14" s="24">
        <v>0</v>
      </c>
      <c r="MU14" s="24">
        <v>0</v>
      </c>
      <c r="MV14" s="24">
        <v>0</v>
      </c>
      <c r="MW14" s="24">
        <v>60745</v>
      </c>
      <c r="MX14" s="24">
        <v>293</v>
      </c>
      <c r="MY14" s="24">
        <v>0</v>
      </c>
      <c r="MZ14" s="24">
        <v>0</v>
      </c>
      <c r="NA14" s="24">
        <v>0</v>
      </c>
      <c r="NB14" s="24">
        <v>0</v>
      </c>
      <c r="NC14" s="24">
        <v>0</v>
      </c>
      <c r="ND14" s="24">
        <v>0</v>
      </c>
      <c r="NE14" s="24">
        <v>0</v>
      </c>
      <c r="NF14" s="24">
        <v>0</v>
      </c>
      <c r="NG14" s="24">
        <v>0</v>
      </c>
      <c r="NH14" s="24">
        <v>0</v>
      </c>
      <c r="NI14" s="24">
        <v>0</v>
      </c>
      <c r="NJ14" s="24">
        <v>0</v>
      </c>
      <c r="NK14" s="24">
        <v>0</v>
      </c>
      <c r="NL14" s="24">
        <v>0</v>
      </c>
      <c r="NM14" s="24">
        <v>0</v>
      </c>
      <c r="NN14" s="24">
        <v>0</v>
      </c>
      <c r="NO14" s="24">
        <v>0</v>
      </c>
      <c r="NP14" s="24">
        <v>0</v>
      </c>
      <c r="NQ14" s="24">
        <v>10864</v>
      </c>
      <c r="NR14" s="24">
        <v>0</v>
      </c>
      <c r="NS14" s="24">
        <v>0</v>
      </c>
      <c r="NT14" s="24">
        <v>0</v>
      </c>
      <c r="NU14" s="24">
        <v>0</v>
      </c>
      <c r="NV14" s="24">
        <v>18354</v>
      </c>
      <c r="NW14" s="24">
        <v>0</v>
      </c>
      <c r="NX14" s="24">
        <v>0</v>
      </c>
      <c r="NY14" s="24">
        <v>0</v>
      </c>
      <c r="NZ14" s="24">
        <v>0</v>
      </c>
      <c r="OA14" s="24">
        <v>0</v>
      </c>
      <c r="OB14" s="24">
        <v>0</v>
      </c>
      <c r="OC14" s="24">
        <v>0</v>
      </c>
      <c r="OD14" s="24">
        <v>0</v>
      </c>
      <c r="OE14" s="24">
        <v>0</v>
      </c>
      <c r="OF14" s="24">
        <v>0</v>
      </c>
      <c r="OG14" s="24">
        <v>0</v>
      </c>
      <c r="OH14" s="24">
        <v>0</v>
      </c>
      <c r="OI14" s="24">
        <v>0</v>
      </c>
      <c r="OJ14" s="24">
        <v>0</v>
      </c>
      <c r="OK14" s="24">
        <v>5890</v>
      </c>
      <c r="OL14" s="24">
        <v>0</v>
      </c>
      <c r="OM14" s="24">
        <v>0</v>
      </c>
      <c r="ON14" s="24">
        <v>0</v>
      </c>
      <c r="OO14" s="24">
        <v>0</v>
      </c>
      <c r="OP14" s="24">
        <v>0</v>
      </c>
      <c r="OQ14" s="24">
        <v>0</v>
      </c>
      <c r="OR14" s="24">
        <v>0</v>
      </c>
      <c r="OS14" s="24">
        <v>0</v>
      </c>
      <c r="OT14" s="24">
        <v>0</v>
      </c>
      <c r="OU14" s="24">
        <v>0</v>
      </c>
      <c r="OV14" s="24">
        <v>0</v>
      </c>
      <c r="OW14" s="24">
        <v>50000</v>
      </c>
      <c r="OX14" s="24">
        <v>0</v>
      </c>
      <c r="OY14" s="24">
        <v>0</v>
      </c>
      <c r="OZ14" s="24">
        <v>0</v>
      </c>
      <c r="PA14" s="24">
        <v>0</v>
      </c>
      <c r="PB14" s="24">
        <v>0</v>
      </c>
      <c r="PC14" s="24">
        <v>0</v>
      </c>
      <c r="PD14" s="24">
        <v>0</v>
      </c>
      <c r="PE14" s="24">
        <v>0</v>
      </c>
      <c r="PF14" s="24">
        <v>0</v>
      </c>
      <c r="PG14" s="24">
        <v>0</v>
      </c>
      <c r="PH14" s="24">
        <v>90000</v>
      </c>
      <c r="PI14" s="24">
        <v>0</v>
      </c>
      <c r="PJ14" s="24">
        <v>0</v>
      </c>
      <c r="PK14" s="24">
        <v>0</v>
      </c>
      <c r="PL14" s="24">
        <v>0</v>
      </c>
      <c r="PM14" s="24">
        <v>0</v>
      </c>
      <c r="PN14" s="24">
        <v>0</v>
      </c>
      <c r="PO14" s="24">
        <v>0</v>
      </c>
      <c r="PP14" s="24">
        <v>0</v>
      </c>
      <c r="PQ14" s="24">
        <v>0</v>
      </c>
      <c r="PR14" s="24">
        <v>0</v>
      </c>
      <c r="PS14" s="24">
        <v>0</v>
      </c>
      <c r="PT14" s="24">
        <v>0</v>
      </c>
      <c r="PU14" s="24">
        <v>0</v>
      </c>
      <c r="PV14" s="24">
        <v>0</v>
      </c>
      <c r="PW14" s="24">
        <v>0</v>
      </c>
      <c r="PX14" s="24">
        <v>0</v>
      </c>
      <c r="PY14" s="24">
        <v>0</v>
      </c>
      <c r="PZ14" s="24">
        <v>0</v>
      </c>
      <c r="QA14" s="24">
        <v>0</v>
      </c>
      <c r="QB14" s="24">
        <v>0</v>
      </c>
      <c r="QC14" s="24">
        <v>0</v>
      </c>
      <c r="QD14" s="24">
        <v>0</v>
      </c>
      <c r="QE14" s="24">
        <v>0</v>
      </c>
      <c r="QF14" s="24">
        <v>0</v>
      </c>
      <c r="QG14" s="24">
        <v>0</v>
      </c>
      <c r="QH14" s="24">
        <v>0</v>
      </c>
      <c r="QI14" s="24">
        <v>0</v>
      </c>
      <c r="QJ14" s="24">
        <v>0</v>
      </c>
      <c r="QK14" s="24">
        <v>0</v>
      </c>
      <c r="QL14" s="24">
        <v>0</v>
      </c>
      <c r="QM14" s="24">
        <v>0</v>
      </c>
      <c r="QN14" s="24">
        <v>0</v>
      </c>
      <c r="QO14" s="24">
        <v>0</v>
      </c>
      <c r="QP14" s="24">
        <v>0</v>
      </c>
      <c r="QQ14" s="24">
        <v>0</v>
      </c>
      <c r="QR14" s="24">
        <v>0</v>
      </c>
      <c r="QS14" s="24">
        <v>0</v>
      </c>
      <c r="QT14" s="24">
        <v>0</v>
      </c>
      <c r="QU14" s="24">
        <v>0</v>
      </c>
      <c r="QV14" s="24">
        <v>139190</v>
      </c>
      <c r="QW14" s="24">
        <v>18629</v>
      </c>
      <c r="QX14" s="24">
        <v>0</v>
      </c>
      <c r="QY14" s="24">
        <v>0</v>
      </c>
      <c r="QZ14" s="24">
        <v>0</v>
      </c>
      <c r="RA14" s="24">
        <v>0</v>
      </c>
      <c r="RB14" s="24">
        <v>0</v>
      </c>
      <c r="RG14" s="39">
        <f t="shared" si="48"/>
        <v>1388099</v>
      </c>
      <c r="RH14" s="39">
        <f t="shared" si="7"/>
        <v>56139</v>
      </c>
      <c r="RI14" s="39">
        <f t="shared" si="7"/>
        <v>0</v>
      </c>
      <c r="RJ14" s="39">
        <f t="shared" si="7"/>
        <v>0</v>
      </c>
      <c r="RK14" s="39">
        <f t="shared" si="7"/>
        <v>0</v>
      </c>
      <c r="RL14" s="39">
        <f t="shared" si="7"/>
        <v>188977</v>
      </c>
      <c r="RM14" s="39">
        <f t="shared" si="7"/>
        <v>28762</v>
      </c>
      <c r="RN14" s="39">
        <f t="shared" si="7"/>
        <v>0</v>
      </c>
      <c r="RO14" s="39">
        <f t="shared" si="7"/>
        <v>44231</v>
      </c>
      <c r="RP14" s="39">
        <f t="shared" si="7"/>
        <v>26830</v>
      </c>
      <c r="RQ14" s="39">
        <f t="shared" si="7"/>
        <v>0</v>
      </c>
      <c r="RR14" s="39">
        <f t="shared" si="7"/>
        <v>100035</v>
      </c>
      <c r="RS14" s="39"/>
      <c r="RT14" s="182"/>
      <c r="RU14" s="39"/>
      <c r="RV14" s="39">
        <f t="shared" si="49"/>
        <v>355346</v>
      </c>
      <c r="RW14" s="39">
        <f t="shared" si="8"/>
        <v>1833073</v>
      </c>
      <c r="RX14" s="39">
        <f t="shared" si="8"/>
        <v>257682</v>
      </c>
      <c r="RY14" s="39">
        <f t="shared" si="8"/>
        <v>297819</v>
      </c>
      <c r="RZ14" s="39"/>
      <c r="SA14" s="182"/>
      <c r="SB14" s="39"/>
      <c r="SC14" s="39">
        <f t="shared" si="50"/>
        <v>1087.2658227848101</v>
      </c>
      <c r="SD14" s="39">
        <f>IFERROR(VLOOKUP(A14, 'Levy Data 15-16'!$B:$O, 3, FALSE), 0)</f>
        <v>155435550</v>
      </c>
      <c r="SE14" s="39">
        <f t="shared" si="9"/>
        <v>655846.20253164554</v>
      </c>
      <c r="SF14" s="631">
        <f>IFERROR(VLOOKUP(A14, 'Levy Data 15-16'!$B:$O, 14, FALSE), 0)*1000</f>
        <v>0.78843000000000008</v>
      </c>
      <c r="SG14" s="39">
        <f t="shared" si="10"/>
        <v>0</v>
      </c>
      <c r="SH14" s="39">
        <f t="shared" si="11"/>
        <v>0</v>
      </c>
      <c r="SI14" s="39">
        <f t="shared" si="12"/>
        <v>257682</v>
      </c>
      <c r="SM14" s="39">
        <f t="shared" si="13"/>
        <v>1833073</v>
      </c>
      <c r="SN14" s="39">
        <f t="shared" si="14"/>
        <v>0</v>
      </c>
      <c r="SO14" s="39">
        <f t="shared" si="51"/>
        <v>1833073</v>
      </c>
      <c r="SP14" s="50">
        <f t="shared" si="52"/>
        <v>1</v>
      </c>
      <c r="ST14" s="124">
        <f>IFERROR(VLOOKUP(A14,'Grade Enroll 15-16'!B:AC,27,FALSE),"")</f>
        <v>237</v>
      </c>
      <c r="SU14" s="124">
        <f t="shared" si="53"/>
        <v>128.1828793774319</v>
      </c>
      <c r="SV14" s="131">
        <f>IFERROR(VLOOKUP($A14, 'Title I Enroll 16-17'!S:V, 4, FALSE), 0)</f>
        <v>0.54085603112840464</v>
      </c>
      <c r="SW14" s="729">
        <f>IFERROR(VLOOKUP(A14, 'ELL Enroll 15-16'!$N:$S, 6, FALSE), 0)</f>
        <v>5</v>
      </c>
      <c r="SX14" s="131">
        <f t="shared" si="54"/>
        <v>2.1097046413502109E-2</v>
      </c>
      <c r="SY14" s="124">
        <f>IFERROR(VLOOKUP(A14, 'SPED enroll 2015-16'!$M:$O, 3, FALSE), 0)</f>
        <v>32</v>
      </c>
      <c r="SZ14" s="131">
        <f t="shared" si="55"/>
        <v>0.13502109704641349</v>
      </c>
      <c r="TA14" s="142">
        <f t="shared" si="56"/>
        <v>22.4</v>
      </c>
      <c r="TB14" s="142">
        <f t="shared" si="15"/>
        <v>6.4</v>
      </c>
      <c r="TC14" s="142">
        <f t="shared" si="15"/>
        <v>2.2400000000000002</v>
      </c>
      <c r="TD14" s="142">
        <f t="shared" si="15"/>
        <v>0.96</v>
      </c>
      <c r="TE14" s="124">
        <f>VLOOKUP($A14, 'Grade Enroll 15-16'!$B:$AB, 20, FALSE)</f>
        <v>5</v>
      </c>
      <c r="TF14" s="124">
        <f>VLOOKUP($A14, 'Grade Enroll 15-16'!$B:$AB, 21, FALSE)</f>
        <v>16</v>
      </c>
      <c r="TG14" s="124">
        <f>VLOOKUP($A14, 'Grade Enroll 15-16'!$B:$AB, 22, FALSE)</f>
        <v>63</v>
      </c>
      <c r="TH14" s="124">
        <f>VLOOKUP($A14, 'Grade Enroll 15-16'!$B:$AB, 23, FALSE)</f>
        <v>71</v>
      </c>
      <c r="TI14" s="124">
        <f>VLOOKUP($A14, 'Grade Enroll 15-16'!$B:$AB, 24, FALSE)</f>
        <v>43</v>
      </c>
      <c r="TJ14" s="124">
        <f>VLOOKUP($A14, 'Grade Enroll 15-16'!$B:$AB, 25, FALSE)</f>
        <v>60</v>
      </c>
      <c r="TK14" s="124">
        <f>VLOOKUP($A14, 'Grade Enroll 15-16'!$B:$AB, 26, FALSE)</f>
        <v>165</v>
      </c>
      <c r="TL14" s="131">
        <f>SUMIFS('Student Achievement 15-16'!N:N, 'Student Achievement 15-16'!B:B, 'Idaho Data'!A14, 'Student Achievement 15-16'!D:D, "math")/100</f>
        <v>0.379</v>
      </c>
      <c r="TM14" s="134">
        <f t="shared" si="57"/>
        <v>89.823000000000008</v>
      </c>
      <c r="TN14" s="131">
        <f>SUMIFS('Student Achievement 15-16'!N:N, 'Student Achievement 15-16'!B:B, 'Idaho Data'!A14, 'Student Achievement 15-16'!D:D, "ela")/100</f>
        <v>0.33299999999999996</v>
      </c>
      <c r="TO14" s="134">
        <f t="shared" si="58"/>
        <v>78.920999999999992</v>
      </c>
      <c r="TP14" s="688">
        <f>IFERROR(VLOOKUP(A14, 'G&amp;T 15-16'!B:G, 6, FALSE), 0)*1</f>
        <v>0</v>
      </c>
      <c r="TQ14" s="168">
        <f t="shared" si="59"/>
        <v>14.219999999999999</v>
      </c>
      <c r="TU14" s="168">
        <f t="shared" si="60"/>
        <v>78.920999999999992</v>
      </c>
      <c r="TV14" s="168">
        <f t="shared" si="61"/>
        <v>89.823000000000008</v>
      </c>
      <c r="TW14" s="205">
        <f t="shared" si="62"/>
        <v>89.823000000000008</v>
      </c>
      <c r="TX14" s="144"/>
      <c r="TY14" s="129"/>
      <c r="TZ14" s="127">
        <f t="shared" si="63"/>
        <v>0</v>
      </c>
      <c r="UA14" s="127">
        <f t="shared" si="64"/>
        <v>14.219999999999999</v>
      </c>
      <c r="UB14" s="205">
        <f t="shared" si="65"/>
        <v>14.219999999999999</v>
      </c>
      <c r="UE14" s="853" t="str">
        <f>IF(ST14&lt;='1. Simulator Input'!$E$104, "yes", "")</f>
        <v>yes</v>
      </c>
      <c r="UI14" s="199">
        <f t="shared" si="66"/>
        <v>0</v>
      </c>
      <c r="UJ14" s="200">
        <f>IF('Idaho Data'!SI14&gt;=0, ((1-'1. Simulator Input'!$E$39)*'Idaho Data'!SI14), 0)</f>
        <v>0</v>
      </c>
      <c r="UK14" s="200">
        <f t="shared" si="67"/>
        <v>1833073</v>
      </c>
      <c r="UL14" s="39"/>
      <c r="UM14" s="182"/>
      <c r="UN14" s="39"/>
      <c r="UO14" s="39">
        <f>IF(AND('1. Simulator Input'!$E$96="yes", '1. Simulator Input'!$E$98="yes", '1. Simulator Input'!$E$100="hold harmless"), 'Idaho Data'!WN14, IF(AND('1. Simulator Input'!$E$96="yes", '1. Simulator Input'!$E$98="no", '1. Simulator Input'!$E$100="hold harmless"), 'Idaho Data'!WM14, IF(AND('1. Simulator Input'!$E$96="yes", '1. Simulator Input'!$E$98="yes", '1. Simulator Input'!$E$100="small district grant"), WL14,IF(AND('1. Simulator Input'!$E$96="yes", '1. Simulator Input'!$E$98="no", '1. Simulator Input'!$E$100="small district grant"), WK14, ""))))</f>
        <v>0</v>
      </c>
      <c r="UP14" s="200">
        <f>'1. Simulator Input'!$D$56*('Idaho Data'!ST14)</f>
        <v>1309662</v>
      </c>
      <c r="UQ14" s="204">
        <f>'1. Simulator Input'!$D$65*'1. Simulator Input'!$D$56*'Idaho Data'!SU14</f>
        <v>0</v>
      </c>
      <c r="UR14" s="204">
        <f>'1. Simulator Input'!$D$66*'1. Simulator Input'!$D$56*'Idaho Data'!SW14</f>
        <v>0</v>
      </c>
      <c r="US14" s="200">
        <f>'1. Simulator Input'!$D$67*'1. Simulator Input'!$D$56*'Idaho Data'!TA14</f>
        <v>0</v>
      </c>
      <c r="UT14" s="200">
        <f>'1. Simulator Input'!$D$68*'1. Simulator Input'!$D$56*'Idaho Data'!TB14</f>
        <v>0</v>
      </c>
      <c r="UU14" s="200">
        <f>'1. Simulator Input'!$D$69*'1. Simulator Input'!$D$56*'Idaho Data'!TC14</f>
        <v>0</v>
      </c>
      <c r="UV14" s="200">
        <f>'1. Simulator Input'!$D$70*'1. Simulator Input'!$D$56*TD14</f>
        <v>0</v>
      </c>
      <c r="UW14" s="200">
        <f>'1. Simulator Input'!$D$80*'1. Simulator Input'!$D$56*TW14</f>
        <v>0</v>
      </c>
      <c r="UX14" s="200">
        <f>'1. Simulator Input'!$D$79*'1. Simulator Input'!$D$56*UB14</f>
        <v>0</v>
      </c>
      <c r="UY14" s="200">
        <f>'1. Simulator Input'!$D$87*'1. Simulator Input'!$D$56*TF14</f>
        <v>44208</v>
      </c>
      <c r="UZ14" s="200">
        <f>'1. Simulator Input'!$D$73*'1. Simulator Input'!$D$56*'Idaho Data'!TG14</f>
        <v>0</v>
      </c>
      <c r="VA14" s="200">
        <f>'1. Simulator Input'!$D$56*'1. Simulator Input'!$D$74*'Idaho Data'!TH14</f>
        <v>0</v>
      </c>
      <c r="VB14" s="200">
        <f>'1. Simulator Input'!$D$56*'1. Simulator Input'!$D$75*'Idaho Data'!TI9</f>
        <v>0</v>
      </c>
      <c r="VC14" s="200">
        <f>'1. Simulator Input'!$D$76*'1. Simulator Input'!$D$56*'Idaho Data'!TJ14</f>
        <v>0</v>
      </c>
      <c r="VD14" s="200">
        <f t="shared" si="68"/>
        <v>1353870</v>
      </c>
      <c r="VE14" s="200"/>
      <c r="VF14" s="182"/>
      <c r="VG14" s="200"/>
      <c r="VH14" s="200">
        <f t="shared" si="69"/>
        <v>0</v>
      </c>
      <c r="VI14" s="200">
        <f t="shared" si="70"/>
        <v>0</v>
      </c>
      <c r="VJ14" s="200">
        <f t="shared" si="16"/>
        <v>1353870</v>
      </c>
      <c r="VK14" s="200">
        <f t="shared" si="17"/>
        <v>1353870</v>
      </c>
      <c r="VL14" s="200"/>
      <c r="VM14" s="182"/>
      <c r="VN14" s="200"/>
      <c r="VO14" s="200">
        <f t="shared" si="71"/>
        <v>355346</v>
      </c>
      <c r="VP14" s="200">
        <f t="shared" si="72"/>
        <v>1833073</v>
      </c>
      <c r="VQ14" s="200">
        <f t="shared" si="73"/>
        <v>257682</v>
      </c>
      <c r="VR14" s="200">
        <f t="shared" si="74"/>
        <v>355346</v>
      </c>
      <c r="VS14" s="200">
        <f t="shared" si="18"/>
        <v>1353870</v>
      </c>
      <c r="VT14" s="200">
        <f t="shared" si="19"/>
        <v>257682</v>
      </c>
      <c r="VU14" s="200">
        <f t="shared" si="20"/>
        <v>0</v>
      </c>
      <c r="VV14" s="200"/>
      <c r="VW14" s="182"/>
      <c r="VX14" s="200"/>
      <c r="VZ14" s="199">
        <f t="shared" si="75"/>
        <v>-479203</v>
      </c>
      <c r="WA14" s="199">
        <f t="shared" si="76"/>
        <v>-2021.9535864978902</v>
      </c>
      <c r="WB14" s="131">
        <f t="shared" si="77"/>
        <v>-0.26142057626728449</v>
      </c>
      <c r="WC14" s="131"/>
      <c r="WD14" s="461"/>
      <c r="WE14" s="893"/>
      <c r="WF14" s="893">
        <f t="shared" si="78"/>
        <v>10321.101265822785</v>
      </c>
      <c r="WG14" s="893">
        <f t="shared" si="79"/>
        <v>8299.1476793248949</v>
      </c>
      <c r="WH14" s="893"/>
      <c r="WI14" s="893">
        <f t="shared" si="80"/>
        <v>1833073</v>
      </c>
      <c r="WJ14" s="893">
        <f t="shared" si="21"/>
        <v>1353870</v>
      </c>
      <c r="WK14" s="39">
        <f t="shared" si="22"/>
        <v>0</v>
      </c>
      <c r="WL14" s="39">
        <f t="shared" si="23"/>
        <v>0</v>
      </c>
      <c r="WM14" s="200">
        <f t="shared" si="24"/>
        <v>479203</v>
      </c>
      <c r="WN14" s="39">
        <f t="shared" si="25"/>
        <v>479203</v>
      </c>
      <c r="WO14" s="39"/>
      <c r="WP14" s="182"/>
      <c r="WQ14" s="39"/>
      <c r="WR14" s="305">
        <f t="shared" si="26"/>
        <v>0.64900000000000002</v>
      </c>
      <c r="WT14" s="200">
        <f t="shared" si="27"/>
        <v>7734.4852320675109</v>
      </c>
      <c r="WU14" s="131">
        <f t="shared" si="81"/>
        <v>0.72</v>
      </c>
      <c r="WW14" s="199">
        <f t="shared" si="28"/>
        <v>355346</v>
      </c>
      <c r="WX14" s="199">
        <f t="shared" si="29"/>
        <v>1353870</v>
      </c>
      <c r="WY14" s="199">
        <f t="shared" si="30"/>
        <v>0</v>
      </c>
      <c r="WZ14" s="199">
        <f t="shared" si="82"/>
        <v>1353870</v>
      </c>
      <c r="XA14" s="199">
        <f t="shared" si="31"/>
        <v>0</v>
      </c>
      <c r="XB14" s="199">
        <f t="shared" si="32"/>
        <v>257682</v>
      </c>
      <c r="XC14" s="199">
        <f t="shared" si="33"/>
        <v>257682</v>
      </c>
      <c r="XD14" s="199" t="str">
        <f t="shared" si="34"/>
        <v/>
      </c>
      <c r="XE14" s="199"/>
      <c r="XF14" s="199"/>
      <c r="XG14" s="199"/>
      <c r="XH14" s="199"/>
      <c r="XI14" s="199"/>
      <c r="XJ14" s="199">
        <f t="shared" si="83"/>
        <v>1353870</v>
      </c>
      <c r="XP14" s="199">
        <f t="shared" si="35"/>
        <v>1353870</v>
      </c>
      <c r="XQ14" s="199">
        <f t="shared" si="36"/>
        <v>5712.5316455696202</v>
      </c>
      <c r="XR14" s="199">
        <f t="shared" si="37"/>
        <v>1353870</v>
      </c>
      <c r="XS14" s="199">
        <f t="shared" si="38"/>
        <v>1353870</v>
      </c>
      <c r="XT14" s="199">
        <f t="shared" si="39"/>
        <v>5712.5316455696202</v>
      </c>
      <c r="XU14" s="199">
        <f t="shared" si="40"/>
        <v>1833073</v>
      </c>
      <c r="XV14" s="199">
        <f t="shared" si="41"/>
        <v>7734.4852320675109</v>
      </c>
      <c r="XW14" s="199">
        <f t="shared" si="42"/>
        <v>1833073</v>
      </c>
      <c r="XX14" s="199">
        <f t="shared" si="43"/>
        <v>7734.4852320675109</v>
      </c>
      <c r="XY14" s="199">
        <f t="shared" si="84"/>
        <v>-479203</v>
      </c>
      <c r="XZ14" s="199">
        <f t="shared" si="85"/>
        <v>-2021.9535864978907</v>
      </c>
      <c r="YA14" s="131">
        <f t="shared" si="86"/>
        <v>-0.26142057626728454</v>
      </c>
      <c r="YB14" s="199"/>
      <c r="YC14" s="221"/>
      <c r="YD14" s="199"/>
      <c r="YE14" s="199">
        <f t="shared" si="44"/>
        <v>355346</v>
      </c>
      <c r="YF14" s="200">
        <f t="shared" si="45"/>
        <v>0</v>
      </c>
      <c r="YG14" s="199">
        <f t="shared" si="46"/>
        <v>257682</v>
      </c>
      <c r="YH14" s="199">
        <f t="shared" si="47"/>
        <v>297819</v>
      </c>
    </row>
    <row r="15" spans="1:660">
      <c r="A15" s="3">
        <v>21</v>
      </c>
      <c r="B15" s="2" t="s">
        <v>105</v>
      </c>
      <c r="C15" s="24">
        <v>426</v>
      </c>
      <c r="D15" s="24">
        <v>0</v>
      </c>
      <c r="E15" s="24">
        <v>0</v>
      </c>
      <c r="F15" s="24">
        <v>0</v>
      </c>
      <c r="G15" s="24">
        <v>10445</v>
      </c>
      <c r="H15" s="24">
        <v>0</v>
      </c>
      <c r="I15" s="24">
        <v>0</v>
      </c>
      <c r="J15" s="24">
        <v>40262</v>
      </c>
      <c r="K15" s="24">
        <v>0</v>
      </c>
      <c r="L15" s="24">
        <v>0</v>
      </c>
      <c r="M15" s="24">
        <v>0</v>
      </c>
      <c r="N15" s="24">
        <v>0</v>
      </c>
      <c r="O15" s="24">
        <v>0</v>
      </c>
      <c r="P15" s="24">
        <v>0</v>
      </c>
      <c r="Q15" s="24">
        <v>0</v>
      </c>
      <c r="R15" s="24">
        <v>0</v>
      </c>
      <c r="S15" s="24">
        <v>0</v>
      </c>
      <c r="T15" s="24">
        <v>734936</v>
      </c>
      <c r="U15" s="24">
        <v>0</v>
      </c>
      <c r="V15" s="24">
        <v>0</v>
      </c>
      <c r="W15" s="24">
        <v>0</v>
      </c>
      <c r="X15" s="24">
        <v>801850</v>
      </c>
      <c r="Y15" s="24">
        <v>19146</v>
      </c>
      <c r="Z15" s="24">
        <v>0</v>
      </c>
      <c r="AA15" s="24">
        <v>0</v>
      </c>
      <c r="AB15" s="24">
        <v>0</v>
      </c>
      <c r="AC15" s="24">
        <v>0</v>
      </c>
      <c r="AD15" s="24">
        <v>0</v>
      </c>
      <c r="AE15" s="24">
        <v>0</v>
      </c>
      <c r="AF15" s="24">
        <v>0</v>
      </c>
      <c r="AG15" s="24">
        <v>0</v>
      </c>
      <c r="AH15" s="24">
        <v>0</v>
      </c>
      <c r="AI15" s="24">
        <v>0</v>
      </c>
      <c r="AJ15" s="24">
        <v>0</v>
      </c>
      <c r="AK15" s="24">
        <v>0</v>
      </c>
      <c r="AL15" s="24">
        <v>9160</v>
      </c>
      <c r="AM15" s="24">
        <v>0</v>
      </c>
      <c r="AN15" s="24">
        <v>0</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c r="BE15" s="24">
        <v>0</v>
      </c>
      <c r="BF15" s="24">
        <v>0</v>
      </c>
      <c r="BG15" s="24">
        <v>0</v>
      </c>
      <c r="BH15" s="24">
        <v>0</v>
      </c>
      <c r="BI15" s="24">
        <v>0</v>
      </c>
      <c r="BJ15" s="24">
        <v>0</v>
      </c>
      <c r="BK15" s="24">
        <v>0</v>
      </c>
      <c r="BL15" s="24">
        <v>0</v>
      </c>
      <c r="BM15" s="24">
        <v>63</v>
      </c>
      <c r="BN15" s="24">
        <v>0</v>
      </c>
      <c r="BO15" s="24">
        <v>0</v>
      </c>
      <c r="BP15" s="24">
        <v>0</v>
      </c>
      <c r="BQ15" s="24">
        <v>0</v>
      </c>
      <c r="BR15" s="24">
        <v>0</v>
      </c>
      <c r="BS15" s="24">
        <v>0</v>
      </c>
      <c r="BT15" s="24">
        <v>0</v>
      </c>
      <c r="BU15" s="24">
        <v>0</v>
      </c>
      <c r="BV15" s="24">
        <v>0</v>
      </c>
      <c r="BW15" s="24">
        <v>0</v>
      </c>
      <c r="BX15" s="24">
        <v>0</v>
      </c>
      <c r="BY15" s="24">
        <v>0</v>
      </c>
      <c r="BZ15" s="24">
        <v>0</v>
      </c>
      <c r="CA15" s="24">
        <v>0</v>
      </c>
      <c r="CB15" s="24">
        <v>0</v>
      </c>
      <c r="CC15" s="24">
        <v>0</v>
      </c>
      <c r="CD15" s="24">
        <v>132727</v>
      </c>
      <c r="CE15" s="24">
        <v>4624</v>
      </c>
      <c r="CF15" s="24">
        <v>0</v>
      </c>
      <c r="CG15" s="24">
        <v>16494</v>
      </c>
      <c r="CH15" s="24">
        <v>0</v>
      </c>
      <c r="CI15" s="24">
        <v>0</v>
      </c>
      <c r="CJ15" s="24">
        <v>0</v>
      </c>
      <c r="CK15" s="24">
        <v>0</v>
      </c>
      <c r="CL15" s="24">
        <v>0</v>
      </c>
      <c r="CM15" s="24">
        <v>0</v>
      </c>
      <c r="CN15" s="24">
        <v>0</v>
      </c>
      <c r="CO15" s="24">
        <v>0</v>
      </c>
      <c r="CP15" s="24">
        <v>0</v>
      </c>
      <c r="CQ15" s="24">
        <v>0</v>
      </c>
      <c r="CR15" s="24">
        <v>0</v>
      </c>
      <c r="CS15" s="24">
        <v>0</v>
      </c>
      <c r="CT15" s="24">
        <v>0</v>
      </c>
      <c r="CU15" s="24">
        <v>0</v>
      </c>
      <c r="CV15" s="24">
        <v>0</v>
      </c>
      <c r="CW15" s="24">
        <v>0</v>
      </c>
      <c r="CX15" s="24">
        <v>0</v>
      </c>
      <c r="CY15" s="24">
        <v>0</v>
      </c>
      <c r="CZ15" s="24">
        <v>0</v>
      </c>
      <c r="DA15" s="24">
        <v>0</v>
      </c>
      <c r="DB15" s="24">
        <v>5000</v>
      </c>
      <c r="DC15" s="24">
        <v>0</v>
      </c>
      <c r="DD15" s="24">
        <v>0</v>
      </c>
      <c r="DE15" s="24">
        <v>0</v>
      </c>
      <c r="DF15" s="24">
        <v>0</v>
      </c>
      <c r="DG15" s="24">
        <v>0</v>
      </c>
      <c r="DH15" s="24">
        <v>0</v>
      </c>
      <c r="DI15" s="24">
        <v>0</v>
      </c>
      <c r="DJ15" s="24">
        <v>0</v>
      </c>
      <c r="DK15" s="24">
        <v>0</v>
      </c>
      <c r="DL15" s="24">
        <v>0</v>
      </c>
      <c r="DM15" s="24">
        <v>0</v>
      </c>
      <c r="DN15" s="24">
        <v>0</v>
      </c>
      <c r="DO15" s="24">
        <v>0</v>
      </c>
      <c r="DP15" s="24">
        <v>0</v>
      </c>
      <c r="DQ15" s="24">
        <v>0</v>
      </c>
      <c r="DR15" s="24">
        <v>0</v>
      </c>
      <c r="DS15" s="24">
        <v>0</v>
      </c>
      <c r="DT15" s="24">
        <v>0</v>
      </c>
      <c r="DU15" s="24">
        <v>6915</v>
      </c>
      <c r="DV15" s="24">
        <v>0</v>
      </c>
      <c r="DW15" s="24">
        <v>0</v>
      </c>
      <c r="DX15" s="24">
        <v>0</v>
      </c>
      <c r="DY15" s="24">
        <v>0</v>
      </c>
      <c r="DZ15" s="24">
        <v>0</v>
      </c>
      <c r="EA15" s="24">
        <v>0</v>
      </c>
      <c r="EB15" s="24">
        <v>0</v>
      </c>
      <c r="EC15" s="24">
        <v>0</v>
      </c>
      <c r="ED15" s="24">
        <v>0</v>
      </c>
      <c r="EE15" s="24">
        <v>0</v>
      </c>
      <c r="EF15" s="24">
        <v>0</v>
      </c>
      <c r="EG15" s="24">
        <v>0</v>
      </c>
      <c r="EH15" s="24">
        <v>0</v>
      </c>
      <c r="EI15" s="24">
        <v>0</v>
      </c>
      <c r="EJ15" s="24">
        <v>0</v>
      </c>
      <c r="EK15" s="24">
        <v>0</v>
      </c>
      <c r="EL15" s="24">
        <v>0</v>
      </c>
      <c r="EM15" s="24">
        <v>0</v>
      </c>
      <c r="EN15" s="24">
        <v>0</v>
      </c>
      <c r="EO15" s="24">
        <v>0</v>
      </c>
      <c r="EP15" s="24">
        <v>0</v>
      </c>
      <c r="EQ15" s="24">
        <v>0</v>
      </c>
      <c r="ER15" s="24">
        <v>0</v>
      </c>
      <c r="ES15" s="24">
        <v>0</v>
      </c>
      <c r="ET15" s="24">
        <v>0</v>
      </c>
      <c r="EU15" s="24">
        <v>0</v>
      </c>
      <c r="EV15" s="24">
        <v>0</v>
      </c>
      <c r="EW15" s="24">
        <v>0</v>
      </c>
      <c r="EX15" s="24">
        <v>0</v>
      </c>
      <c r="EY15" s="24">
        <v>0</v>
      </c>
      <c r="EZ15" s="24">
        <v>0</v>
      </c>
      <c r="FA15" s="24">
        <v>0</v>
      </c>
      <c r="FB15" s="24">
        <v>12700</v>
      </c>
      <c r="FC15" s="24">
        <v>0</v>
      </c>
      <c r="FD15" s="24">
        <v>0</v>
      </c>
      <c r="FE15" s="24">
        <v>0</v>
      </c>
      <c r="FF15" s="24">
        <v>0</v>
      </c>
      <c r="FG15" s="24">
        <v>0</v>
      </c>
      <c r="FH15" s="24">
        <v>0</v>
      </c>
      <c r="FI15" s="24">
        <v>0</v>
      </c>
      <c r="FJ15" s="24">
        <v>0</v>
      </c>
      <c r="FK15" s="24">
        <v>0</v>
      </c>
      <c r="FL15" s="24">
        <v>0</v>
      </c>
      <c r="FM15" s="24">
        <v>0</v>
      </c>
      <c r="FN15" s="24">
        <v>0</v>
      </c>
      <c r="FO15" s="24">
        <v>0</v>
      </c>
      <c r="FP15" s="24">
        <v>0</v>
      </c>
      <c r="FQ15" s="24">
        <v>0</v>
      </c>
      <c r="FR15" s="24">
        <v>0</v>
      </c>
      <c r="FS15" s="24">
        <v>71098</v>
      </c>
      <c r="FT15" s="24">
        <v>0</v>
      </c>
      <c r="FU15" s="24">
        <v>0</v>
      </c>
      <c r="FV15" s="24">
        <v>0</v>
      </c>
      <c r="FW15" s="24">
        <v>0</v>
      </c>
      <c r="FX15" s="24">
        <v>0</v>
      </c>
      <c r="FY15" s="24">
        <v>0</v>
      </c>
      <c r="FZ15" s="24">
        <v>200</v>
      </c>
      <c r="GA15" s="24">
        <v>0</v>
      </c>
      <c r="GB15" s="24">
        <v>0</v>
      </c>
      <c r="GC15" s="24">
        <v>0</v>
      </c>
      <c r="GD15" s="24">
        <v>0</v>
      </c>
      <c r="GE15" s="24">
        <v>0</v>
      </c>
      <c r="GF15" s="24">
        <v>0</v>
      </c>
      <c r="GG15" s="24">
        <v>10000</v>
      </c>
      <c r="GH15" s="24">
        <v>0</v>
      </c>
      <c r="GI15" s="24">
        <v>0</v>
      </c>
      <c r="GJ15" s="24">
        <v>0</v>
      </c>
      <c r="GK15" s="24">
        <v>0</v>
      </c>
      <c r="GL15" s="24">
        <v>0</v>
      </c>
      <c r="GM15" s="24">
        <v>0</v>
      </c>
      <c r="GN15" s="24">
        <v>0</v>
      </c>
      <c r="GO15" s="24">
        <v>0</v>
      </c>
      <c r="GP15" s="24">
        <v>0</v>
      </c>
      <c r="GQ15" s="24">
        <v>0</v>
      </c>
      <c r="GR15" s="24">
        <v>68</v>
      </c>
      <c r="GS15" s="24">
        <v>0</v>
      </c>
      <c r="GT15" s="24">
        <v>0</v>
      </c>
      <c r="GU15" s="24">
        <v>27528</v>
      </c>
      <c r="GV15" s="24">
        <v>0</v>
      </c>
      <c r="GW15" s="24">
        <v>0</v>
      </c>
      <c r="GX15" s="24">
        <v>0</v>
      </c>
      <c r="GY15" s="24">
        <v>0</v>
      </c>
      <c r="GZ15" s="24">
        <v>0</v>
      </c>
      <c r="HA15" s="24">
        <v>0</v>
      </c>
      <c r="HB15" s="24">
        <v>16167</v>
      </c>
      <c r="HC15" s="24">
        <v>0</v>
      </c>
      <c r="HD15" s="24">
        <v>5473061</v>
      </c>
      <c r="HE15" s="24">
        <v>0</v>
      </c>
      <c r="HF15" s="24">
        <v>0</v>
      </c>
      <c r="HG15" s="24">
        <v>0</v>
      </c>
      <c r="HH15" s="24">
        <v>0</v>
      </c>
      <c r="HI15" s="24">
        <v>319298</v>
      </c>
      <c r="HJ15" s="24">
        <v>0</v>
      </c>
      <c r="HK15" s="24">
        <v>0</v>
      </c>
      <c r="HL15" s="24">
        <v>0</v>
      </c>
      <c r="HM15" s="24">
        <v>0</v>
      </c>
      <c r="HN15" s="24">
        <v>0</v>
      </c>
      <c r="HO15" s="24">
        <v>696120</v>
      </c>
      <c r="HP15" s="24">
        <v>189565</v>
      </c>
      <c r="HQ15" s="24">
        <v>0</v>
      </c>
      <c r="HR15" s="24">
        <v>0</v>
      </c>
      <c r="HS15" s="24">
        <v>0</v>
      </c>
      <c r="HT15" s="24">
        <v>0</v>
      </c>
      <c r="HU15" s="24">
        <v>0</v>
      </c>
      <c r="HV15" s="24">
        <v>0</v>
      </c>
      <c r="HW15" s="24">
        <v>0</v>
      </c>
      <c r="HX15" s="24">
        <v>0</v>
      </c>
      <c r="HY15" s="24">
        <v>0</v>
      </c>
      <c r="HZ15" s="24">
        <v>0</v>
      </c>
      <c r="IA15" s="24">
        <v>79433</v>
      </c>
      <c r="IB15" s="24">
        <v>18337</v>
      </c>
      <c r="IC15" s="24">
        <v>0</v>
      </c>
      <c r="ID15" s="24">
        <v>0</v>
      </c>
      <c r="IE15" s="24">
        <v>0</v>
      </c>
      <c r="IF15" s="24">
        <v>0</v>
      </c>
      <c r="IG15" s="24">
        <v>0</v>
      </c>
      <c r="IH15" s="24">
        <v>0</v>
      </c>
      <c r="II15" s="24">
        <v>0</v>
      </c>
      <c r="IJ15" s="24">
        <v>0</v>
      </c>
      <c r="IK15" s="24">
        <v>0</v>
      </c>
      <c r="IL15" s="24">
        <v>0</v>
      </c>
      <c r="IM15" s="24">
        <v>0</v>
      </c>
      <c r="IN15" s="24">
        <v>0</v>
      </c>
      <c r="IO15" s="24">
        <v>6000</v>
      </c>
      <c r="IP15" s="24">
        <v>0</v>
      </c>
      <c r="IQ15" s="24">
        <v>0</v>
      </c>
      <c r="IR15" s="24">
        <v>46354</v>
      </c>
      <c r="IS15" s="24">
        <v>0</v>
      </c>
      <c r="IT15" s="24">
        <v>0</v>
      </c>
      <c r="IU15" s="24">
        <v>0</v>
      </c>
      <c r="IV15" s="24">
        <v>0</v>
      </c>
      <c r="IW15" s="24">
        <v>123792</v>
      </c>
      <c r="IX15" s="24">
        <v>0</v>
      </c>
      <c r="IY15" s="24">
        <v>0</v>
      </c>
      <c r="IZ15" s="24">
        <v>0</v>
      </c>
      <c r="JA15" s="24">
        <v>0</v>
      </c>
      <c r="JB15" s="24">
        <v>16884</v>
      </c>
      <c r="JC15" s="24">
        <v>0</v>
      </c>
      <c r="JD15" s="24">
        <v>0</v>
      </c>
      <c r="JE15" s="24">
        <v>0</v>
      </c>
      <c r="JF15" s="24">
        <v>0</v>
      </c>
      <c r="JG15" s="24">
        <v>0</v>
      </c>
      <c r="JH15" s="24">
        <v>0</v>
      </c>
      <c r="JI15" s="24">
        <v>0</v>
      </c>
      <c r="JJ15" s="24">
        <v>0</v>
      </c>
      <c r="JK15" s="24">
        <v>0</v>
      </c>
      <c r="JL15" s="24">
        <v>0</v>
      </c>
      <c r="JM15" s="24">
        <v>0</v>
      </c>
      <c r="JN15" s="24">
        <v>0</v>
      </c>
      <c r="JO15" s="24">
        <v>0</v>
      </c>
      <c r="JP15" s="24">
        <v>0</v>
      </c>
      <c r="JQ15" s="24">
        <v>0</v>
      </c>
      <c r="JR15" s="24">
        <v>0</v>
      </c>
      <c r="JS15" s="24">
        <v>0</v>
      </c>
      <c r="JT15" s="24">
        <v>0</v>
      </c>
      <c r="JU15" s="24">
        <v>0</v>
      </c>
      <c r="JV15" s="24">
        <v>0</v>
      </c>
      <c r="JW15" s="24">
        <v>0</v>
      </c>
      <c r="JX15" s="24">
        <v>0</v>
      </c>
      <c r="JY15" s="24">
        <v>0</v>
      </c>
      <c r="JZ15" s="24">
        <v>0</v>
      </c>
      <c r="KA15" s="24">
        <v>16161</v>
      </c>
      <c r="KB15" s="24">
        <v>0</v>
      </c>
      <c r="KC15" s="24">
        <v>0</v>
      </c>
      <c r="KD15" s="24">
        <v>0</v>
      </c>
      <c r="KE15" s="24">
        <v>0</v>
      </c>
      <c r="KF15" s="24">
        <v>1786</v>
      </c>
      <c r="KG15" s="24">
        <v>0</v>
      </c>
      <c r="KH15" s="24">
        <v>0</v>
      </c>
      <c r="KI15" s="24">
        <v>0</v>
      </c>
      <c r="KJ15" s="24">
        <v>0</v>
      </c>
      <c r="KK15" s="24">
        <v>0</v>
      </c>
      <c r="KL15" s="24">
        <v>0</v>
      </c>
      <c r="KM15" s="24">
        <v>0</v>
      </c>
      <c r="KN15" s="24">
        <v>0</v>
      </c>
      <c r="KO15" s="24">
        <v>0</v>
      </c>
      <c r="KP15" s="24">
        <v>0</v>
      </c>
      <c r="KQ15" s="24">
        <v>0</v>
      </c>
      <c r="KR15" s="24">
        <v>0</v>
      </c>
      <c r="KS15" s="24">
        <v>0</v>
      </c>
      <c r="KT15" s="24">
        <v>0</v>
      </c>
      <c r="KU15" s="24">
        <v>0</v>
      </c>
      <c r="KV15" s="24">
        <v>0</v>
      </c>
      <c r="KW15" s="24">
        <v>0</v>
      </c>
      <c r="KX15" s="24">
        <v>0</v>
      </c>
      <c r="KY15" s="24">
        <v>0</v>
      </c>
      <c r="KZ15" s="24">
        <v>0</v>
      </c>
      <c r="LA15" s="24">
        <v>0</v>
      </c>
      <c r="LB15" s="24">
        <v>0</v>
      </c>
      <c r="LC15" s="24">
        <v>0</v>
      </c>
      <c r="LD15" s="24">
        <v>0</v>
      </c>
      <c r="LE15" s="24">
        <v>0</v>
      </c>
      <c r="LF15" s="24">
        <v>0</v>
      </c>
      <c r="LG15" s="24">
        <v>0</v>
      </c>
      <c r="LH15" s="24">
        <v>0</v>
      </c>
      <c r="LI15" s="24">
        <v>0</v>
      </c>
      <c r="LJ15" s="24">
        <v>0</v>
      </c>
      <c r="LK15" s="24">
        <v>0</v>
      </c>
      <c r="LL15" s="24">
        <v>0</v>
      </c>
      <c r="LM15" s="24">
        <v>0</v>
      </c>
      <c r="LN15" s="24">
        <v>0</v>
      </c>
      <c r="LO15" s="24">
        <v>0</v>
      </c>
      <c r="LP15" s="24">
        <v>0</v>
      </c>
      <c r="LQ15" s="24">
        <v>180624</v>
      </c>
      <c r="LR15" s="24">
        <v>0</v>
      </c>
      <c r="LS15" s="24">
        <v>0</v>
      </c>
      <c r="LT15" s="24">
        <v>0</v>
      </c>
      <c r="LU15" s="24">
        <v>0</v>
      </c>
      <c r="LV15" s="24">
        <v>0</v>
      </c>
      <c r="LW15" s="24">
        <v>0</v>
      </c>
      <c r="LX15" s="24">
        <v>0</v>
      </c>
      <c r="LY15" s="24">
        <v>0</v>
      </c>
      <c r="LZ15" s="24">
        <v>0</v>
      </c>
      <c r="MA15" s="24">
        <v>0</v>
      </c>
      <c r="MB15" s="24">
        <v>0</v>
      </c>
      <c r="MC15" s="24">
        <v>0</v>
      </c>
      <c r="MD15" s="24">
        <v>0</v>
      </c>
      <c r="ME15" s="24">
        <v>0</v>
      </c>
      <c r="MF15" s="24">
        <v>0</v>
      </c>
      <c r="MG15" s="24">
        <v>0</v>
      </c>
      <c r="MH15" s="24">
        <v>0</v>
      </c>
      <c r="MI15" s="24">
        <v>0</v>
      </c>
      <c r="MJ15" s="24">
        <v>0</v>
      </c>
      <c r="MK15" s="24">
        <v>0</v>
      </c>
      <c r="ML15" s="24">
        <v>0</v>
      </c>
      <c r="MM15" s="24">
        <v>0</v>
      </c>
      <c r="MN15" s="24">
        <v>0</v>
      </c>
      <c r="MO15" s="24">
        <v>10383</v>
      </c>
      <c r="MP15" s="24">
        <v>0</v>
      </c>
      <c r="MQ15" s="24">
        <v>0</v>
      </c>
      <c r="MR15" s="24">
        <v>429074</v>
      </c>
      <c r="MS15" s="24">
        <v>0</v>
      </c>
      <c r="MT15" s="24">
        <v>0</v>
      </c>
      <c r="MU15" s="24">
        <v>0</v>
      </c>
      <c r="MV15" s="24">
        <v>0</v>
      </c>
      <c r="MW15" s="24">
        <v>288502</v>
      </c>
      <c r="MX15" s="24">
        <v>19299</v>
      </c>
      <c r="MY15" s="24">
        <v>0</v>
      </c>
      <c r="MZ15" s="24">
        <v>0</v>
      </c>
      <c r="NA15" s="24">
        <v>0</v>
      </c>
      <c r="NB15" s="24">
        <v>3160</v>
      </c>
      <c r="NC15" s="24">
        <v>0</v>
      </c>
      <c r="ND15" s="24">
        <v>0</v>
      </c>
      <c r="NE15" s="24">
        <v>0</v>
      </c>
      <c r="NF15" s="24">
        <v>0</v>
      </c>
      <c r="NG15" s="24">
        <v>0</v>
      </c>
      <c r="NH15" s="24">
        <v>0</v>
      </c>
      <c r="NI15" s="24">
        <v>0</v>
      </c>
      <c r="NJ15" s="24">
        <v>0</v>
      </c>
      <c r="NK15" s="24">
        <v>0</v>
      </c>
      <c r="NL15" s="24">
        <v>0</v>
      </c>
      <c r="NM15" s="24">
        <v>18448</v>
      </c>
      <c r="NN15" s="24">
        <v>0</v>
      </c>
      <c r="NO15" s="24">
        <v>0</v>
      </c>
      <c r="NP15" s="24">
        <v>0</v>
      </c>
      <c r="NQ15" s="24">
        <v>0</v>
      </c>
      <c r="NR15" s="24">
        <v>0</v>
      </c>
      <c r="NS15" s="24">
        <v>0</v>
      </c>
      <c r="NT15" s="24">
        <v>0</v>
      </c>
      <c r="NU15" s="24">
        <v>0</v>
      </c>
      <c r="NV15" s="24">
        <v>90418</v>
      </c>
      <c r="NW15" s="24">
        <v>0</v>
      </c>
      <c r="NX15" s="24">
        <v>0</v>
      </c>
      <c r="NY15" s="24">
        <v>0</v>
      </c>
      <c r="NZ15" s="24">
        <v>0</v>
      </c>
      <c r="OA15" s="24">
        <v>0</v>
      </c>
      <c r="OB15" s="24">
        <v>0</v>
      </c>
      <c r="OC15" s="24">
        <v>0</v>
      </c>
      <c r="OD15" s="24">
        <v>0</v>
      </c>
      <c r="OE15" s="24">
        <v>0</v>
      </c>
      <c r="OF15" s="24">
        <v>0</v>
      </c>
      <c r="OG15" s="24">
        <v>0</v>
      </c>
      <c r="OH15" s="24">
        <v>0</v>
      </c>
      <c r="OI15" s="24">
        <v>0</v>
      </c>
      <c r="OJ15" s="24">
        <v>0</v>
      </c>
      <c r="OK15" s="24">
        <v>0</v>
      </c>
      <c r="OL15" s="24">
        <v>0</v>
      </c>
      <c r="OM15" s="24">
        <v>0</v>
      </c>
      <c r="ON15" s="24">
        <v>0</v>
      </c>
      <c r="OO15" s="24">
        <v>0</v>
      </c>
      <c r="OP15" s="24">
        <v>0</v>
      </c>
      <c r="OQ15" s="24">
        <v>0</v>
      </c>
      <c r="OR15" s="24">
        <v>0</v>
      </c>
      <c r="OS15" s="24">
        <v>0</v>
      </c>
      <c r="OT15" s="24">
        <v>0</v>
      </c>
      <c r="OU15" s="24">
        <v>0</v>
      </c>
      <c r="OV15" s="24">
        <v>0</v>
      </c>
      <c r="OW15" s="24">
        <v>0</v>
      </c>
      <c r="OX15" s="24">
        <v>0</v>
      </c>
      <c r="OY15" s="24">
        <v>0</v>
      </c>
      <c r="OZ15" s="24">
        <v>0</v>
      </c>
      <c r="PA15" s="24">
        <v>0</v>
      </c>
      <c r="PB15" s="24">
        <v>0</v>
      </c>
      <c r="PC15" s="24">
        <v>0</v>
      </c>
      <c r="PD15" s="24">
        <v>0</v>
      </c>
      <c r="PE15" s="24">
        <v>0</v>
      </c>
      <c r="PF15" s="24">
        <v>0</v>
      </c>
      <c r="PG15" s="24">
        <v>0</v>
      </c>
      <c r="PH15" s="24">
        <v>6845</v>
      </c>
      <c r="PI15" s="24">
        <v>0</v>
      </c>
      <c r="PJ15" s="24">
        <v>0</v>
      </c>
      <c r="PK15" s="24">
        <v>0</v>
      </c>
      <c r="PL15" s="24">
        <v>0</v>
      </c>
      <c r="PM15" s="24">
        <v>0</v>
      </c>
      <c r="PN15" s="24">
        <v>0</v>
      </c>
      <c r="PO15" s="24">
        <v>60000</v>
      </c>
      <c r="PP15" s="24">
        <v>0</v>
      </c>
      <c r="PQ15" s="24">
        <v>0</v>
      </c>
      <c r="PR15" s="24">
        <v>0</v>
      </c>
      <c r="PS15" s="24">
        <v>0</v>
      </c>
      <c r="PT15" s="24">
        <v>0</v>
      </c>
      <c r="PU15" s="24">
        <v>0</v>
      </c>
      <c r="PV15" s="24">
        <v>0</v>
      </c>
      <c r="PW15" s="24">
        <v>0</v>
      </c>
      <c r="PX15" s="24">
        <v>0</v>
      </c>
      <c r="PY15" s="24">
        <v>0</v>
      </c>
      <c r="PZ15" s="24">
        <v>0</v>
      </c>
      <c r="QA15" s="24">
        <v>0</v>
      </c>
      <c r="QB15" s="24">
        <v>0</v>
      </c>
      <c r="QC15" s="24">
        <v>0</v>
      </c>
      <c r="QD15" s="24">
        <v>0</v>
      </c>
      <c r="QE15" s="24">
        <v>0</v>
      </c>
      <c r="QF15" s="24">
        <v>0</v>
      </c>
      <c r="QG15" s="24">
        <v>0</v>
      </c>
      <c r="QH15" s="24">
        <v>0</v>
      </c>
      <c r="QI15" s="24">
        <v>0</v>
      </c>
      <c r="QJ15" s="24">
        <v>0</v>
      </c>
      <c r="QK15" s="24">
        <v>0</v>
      </c>
      <c r="QL15" s="24">
        <v>0</v>
      </c>
      <c r="QM15" s="24">
        <v>0</v>
      </c>
      <c r="QN15" s="24">
        <v>0</v>
      </c>
      <c r="QO15" s="24">
        <v>0</v>
      </c>
      <c r="QP15" s="24">
        <v>0</v>
      </c>
      <c r="QQ15" s="24">
        <v>0</v>
      </c>
      <c r="QR15" s="24">
        <v>0</v>
      </c>
      <c r="QS15" s="24">
        <v>15000</v>
      </c>
      <c r="QT15" s="24">
        <v>0</v>
      </c>
      <c r="QU15" s="24">
        <v>0</v>
      </c>
      <c r="QV15" s="24">
        <v>0</v>
      </c>
      <c r="QW15" s="24">
        <v>82722</v>
      </c>
      <c r="QX15" s="24">
        <v>0</v>
      </c>
      <c r="QY15" s="24">
        <v>0</v>
      </c>
      <c r="QZ15" s="24">
        <v>0</v>
      </c>
      <c r="RA15" s="24">
        <v>0</v>
      </c>
      <c r="RB15" s="24">
        <v>0</v>
      </c>
      <c r="RG15" s="39">
        <f t="shared" si="48"/>
        <v>5473061</v>
      </c>
      <c r="RH15" s="39">
        <f t="shared" si="7"/>
        <v>319298</v>
      </c>
      <c r="RI15" s="39">
        <f t="shared" si="7"/>
        <v>0</v>
      </c>
      <c r="RJ15" s="39">
        <f t="shared" si="7"/>
        <v>0</v>
      </c>
      <c r="RK15" s="39">
        <f t="shared" si="7"/>
        <v>0</v>
      </c>
      <c r="RL15" s="39">
        <f t="shared" si="7"/>
        <v>696120</v>
      </c>
      <c r="RM15" s="39">
        <f t="shared" si="7"/>
        <v>287335</v>
      </c>
      <c r="RN15" s="39">
        <f t="shared" si="7"/>
        <v>6000</v>
      </c>
      <c r="RO15" s="39">
        <f t="shared" si="7"/>
        <v>46354</v>
      </c>
      <c r="RP15" s="39">
        <f t="shared" si="7"/>
        <v>123792</v>
      </c>
      <c r="RQ15" s="39">
        <f t="shared" si="7"/>
        <v>16884</v>
      </c>
      <c r="RR15" s="39">
        <f t="shared" si="7"/>
        <v>16161</v>
      </c>
      <c r="RS15" s="39"/>
      <c r="RT15" s="182"/>
      <c r="RU15" s="39"/>
      <c r="RV15" s="39">
        <f t="shared" si="49"/>
        <v>1041694</v>
      </c>
      <c r="RW15" s="39">
        <f t="shared" si="8"/>
        <v>6985005</v>
      </c>
      <c r="RX15" s="39">
        <f t="shared" si="8"/>
        <v>1919809</v>
      </c>
      <c r="RY15" s="39">
        <f t="shared" si="8"/>
        <v>164567</v>
      </c>
      <c r="RZ15" s="39"/>
      <c r="SA15" s="182"/>
      <c r="SB15" s="39"/>
      <c r="SC15" s="25">
        <f t="shared" si="50"/>
        <v>1631.1036533559898</v>
      </c>
      <c r="SD15" s="39">
        <f>IFERROR(VLOOKUP(A15, 'Levy Data 15-16'!$B:$O, 3, FALSE), 0)</f>
        <v>630416592</v>
      </c>
      <c r="SE15" s="39">
        <f t="shared" si="9"/>
        <v>535613.07731520815</v>
      </c>
      <c r="SF15" s="631">
        <f>IFERROR(VLOOKUP(A15, 'Levy Data 15-16'!$B:$O, 14, FALSE), 0)*1000</f>
        <v>2.5494669999999999</v>
      </c>
      <c r="SG15" s="39">
        <f t="shared" si="10"/>
        <v>0</v>
      </c>
      <c r="SH15" s="39">
        <f t="shared" si="11"/>
        <v>0</v>
      </c>
      <c r="SI15" s="39">
        <f t="shared" si="12"/>
        <v>1919809</v>
      </c>
      <c r="SM15" s="39">
        <f t="shared" si="13"/>
        <v>6985005</v>
      </c>
      <c r="SN15" s="39">
        <f t="shared" si="14"/>
        <v>0</v>
      </c>
      <c r="SO15" s="39">
        <f t="shared" si="51"/>
        <v>6985005</v>
      </c>
      <c r="SP15" s="50">
        <f t="shared" si="52"/>
        <v>1</v>
      </c>
      <c r="ST15" s="124">
        <f>IFERROR(VLOOKUP(A15,'Grade Enroll 15-16'!B:AC,27,FALSE),"")</f>
        <v>1177</v>
      </c>
      <c r="SU15" s="124">
        <f t="shared" si="53"/>
        <v>568.82085987261144</v>
      </c>
      <c r="SV15" s="131">
        <f>IFERROR(VLOOKUP($A15, 'Title I Enroll 16-17'!S:V, 4, FALSE), 0)</f>
        <v>0.48328025477707004</v>
      </c>
      <c r="SW15" s="729">
        <f>IFERROR(VLOOKUP(A15, 'ELL Enroll 15-16'!$N:$S, 6, FALSE), 0)</f>
        <v>5</v>
      </c>
      <c r="SX15" s="131">
        <f t="shared" si="54"/>
        <v>4.248088360237893E-3</v>
      </c>
      <c r="SY15" s="124">
        <f>IFERROR(VLOOKUP(A15, 'SPED enroll 2015-16'!$M:$O, 3, FALSE), 0)</f>
        <v>125</v>
      </c>
      <c r="SZ15" s="131">
        <f t="shared" si="55"/>
        <v>0.10620220900594732</v>
      </c>
      <c r="TA15" s="142">
        <f t="shared" si="56"/>
        <v>87.5</v>
      </c>
      <c r="TB15" s="142">
        <f t="shared" si="15"/>
        <v>25</v>
      </c>
      <c r="TC15" s="142">
        <f t="shared" si="15"/>
        <v>8.75</v>
      </c>
      <c r="TD15" s="142">
        <f t="shared" si="15"/>
        <v>3.75</v>
      </c>
      <c r="TE15" s="124">
        <f>VLOOKUP($A15, 'Grade Enroll 15-16'!$B:$AB, 20, FALSE)</f>
        <v>9</v>
      </c>
      <c r="TF15" s="124">
        <f>VLOOKUP($A15, 'Grade Enroll 15-16'!$B:$AB, 21, FALSE)</f>
        <v>79</v>
      </c>
      <c r="TG15" s="124">
        <f>VLOOKUP($A15, 'Grade Enroll 15-16'!$B:$AB, 22, FALSE)</f>
        <v>287</v>
      </c>
      <c r="TH15" s="124">
        <f>VLOOKUP($A15, 'Grade Enroll 15-16'!$B:$AB, 23, FALSE)</f>
        <v>332</v>
      </c>
      <c r="TI15" s="124">
        <f>VLOOKUP($A15, 'Grade Enroll 15-16'!$B:$AB, 24, FALSE)</f>
        <v>200</v>
      </c>
      <c r="TJ15" s="124">
        <f>VLOOKUP($A15, 'Grade Enroll 15-16'!$B:$AB, 25, FALSE)</f>
        <v>358</v>
      </c>
      <c r="TK15" s="124">
        <f>VLOOKUP($A15, 'Grade Enroll 15-16'!$B:$AB, 26, FALSE)</f>
        <v>826</v>
      </c>
      <c r="TL15" s="131">
        <f>SUMIFS('Student Achievement 15-16'!N:N, 'Student Achievement 15-16'!B:B, 'Idaho Data'!A15, 'Student Achievement 15-16'!D:D, "math")/100</f>
        <v>0.22</v>
      </c>
      <c r="TM15" s="134">
        <f t="shared" si="57"/>
        <v>258.94</v>
      </c>
      <c r="TN15" s="131">
        <f>SUMIFS('Student Achievement 15-16'!N:N, 'Student Achievement 15-16'!B:B, 'Idaho Data'!A15, 'Student Achievement 15-16'!D:D, "ela")/100</f>
        <v>0.17</v>
      </c>
      <c r="TO15" s="134">
        <f t="shared" si="58"/>
        <v>200.09</v>
      </c>
      <c r="TP15" s="688">
        <f>IFERROR(VLOOKUP(A15, 'G&amp;T 15-16'!B:G, 6, FALSE), 0)*1</f>
        <v>76</v>
      </c>
      <c r="TQ15" s="168">
        <f t="shared" si="59"/>
        <v>70.61999999999999</v>
      </c>
      <c r="TU15" s="168">
        <f t="shared" si="60"/>
        <v>200.09</v>
      </c>
      <c r="TV15" s="168">
        <f t="shared" si="61"/>
        <v>258.94</v>
      </c>
      <c r="TW15" s="205">
        <f t="shared" si="62"/>
        <v>258.94</v>
      </c>
      <c r="TX15" s="144"/>
      <c r="TY15" s="129"/>
      <c r="TZ15" s="127">
        <f t="shared" si="63"/>
        <v>70.61999999999999</v>
      </c>
      <c r="UA15" s="127">
        <f t="shared" si="64"/>
        <v>76</v>
      </c>
      <c r="UB15" s="205">
        <f t="shared" si="65"/>
        <v>76</v>
      </c>
      <c r="UE15" s="853" t="str">
        <f>IF(ST15&lt;='1. Simulator Input'!$E$104, "yes", "")</f>
        <v/>
      </c>
      <c r="UI15" s="199">
        <f t="shared" si="66"/>
        <v>0</v>
      </c>
      <c r="UJ15" s="200">
        <f>IF('Idaho Data'!SI15&gt;=0, ((1-'1. Simulator Input'!$E$39)*'Idaho Data'!SI15), 0)</f>
        <v>0</v>
      </c>
      <c r="UK15" s="200">
        <f t="shared" si="67"/>
        <v>6985005</v>
      </c>
      <c r="UL15" s="39"/>
      <c r="UM15" s="182"/>
      <c r="UN15" s="39"/>
      <c r="UO15" s="39" t="str">
        <f>IF(AND('1. Simulator Input'!$E$96="yes", '1. Simulator Input'!$E$98="yes", '1. Simulator Input'!$E$100="hold harmless"), 'Idaho Data'!WN15, IF(AND('1. Simulator Input'!$E$96="yes", '1. Simulator Input'!$E$98="no", '1. Simulator Input'!$E$100="hold harmless"), 'Idaho Data'!WM15, IF(AND('1. Simulator Input'!$E$96="yes", '1. Simulator Input'!$E$98="yes", '1. Simulator Input'!$E$100="small district grant"), WL15,IF(AND('1. Simulator Input'!$E$96="yes", '1. Simulator Input'!$E$98="no", '1. Simulator Input'!$E$100="small district grant"), WK15, ""))))</f>
        <v/>
      </c>
      <c r="UP15" s="200">
        <f>'1. Simulator Input'!$D$56*('Idaho Data'!ST15)</f>
        <v>6504102</v>
      </c>
      <c r="UQ15" s="204">
        <f>'1. Simulator Input'!$D$65*'1. Simulator Input'!$D$56*'Idaho Data'!SU15</f>
        <v>0</v>
      </c>
      <c r="UR15" s="204">
        <f>'1. Simulator Input'!$D$66*'1. Simulator Input'!$D$56*'Idaho Data'!SW15</f>
        <v>0</v>
      </c>
      <c r="US15" s="200">
        <f>'1. Simulator Input'!$D$67*'1. Simulator Input'!$D$56*'Idaho Data'!TA15</f>
        <v>0</v>
      </c>
      <c r="UT15" s="200">
        <f>'1. Simulator Input'!$D$68*'1. Simulator Input'!$D$56*'Idaho Data'!TB15</f>
        <v>0</v>
      </c>
      <c r="UU15" s="200">
        <f>'1. Simulator Input'!$D$69*'1. Simulator Input'!$D$56*'Idaho Data'!TC15</f>
        <v>0</v>
      </c>
      <c r="UV15" s="200">
        <f>'1. Simulator Input'!$D$70*'1. Simulator Input'!$D$56*TD15</f>
        <v>0</v>
      </c>
      <c r="UW15" s="200">
        <f>'1. Simulator Input'!$D$80*'1. Simulator Input'!$D$56*TW15</f>
        <v>0</v>
      </c>
      <c r="UX15" s="200">
        <f>'1. Simulator Input'!$D$79*'1. Simulator Input'!$D$56*UB15</f>
        <v>0</v>
      </c>
      <c r="UY15" s="200">
        <f>'1. Simulator Input'!$D$87*'1. Simulator Input'!$D$56*TF15</f>
        <v>218277</v>
      </c>
      <c r="UZ15" s="200">
        <f>'1. Simulator Input'!$D$73*'1. Simulator Input'!$D$56*'Idaho Data'!TG15</f>
        <v>0</v>
      </c>
      <c r="VA15" s="200">
        <f>'1. Simulator Input'!$D$56*'1. Simulator Input'!$D$74*'Idaho Data'!TH15</f>
        <v>0</v>
      </c>
      <c r="VB15" s="200">
        <f>'1. Simulator Input'!$D$56*'1. Simulator Input'!$D$75*'Idaho Data'!TI10</f>
        <v>0</v>
      </c>
      <c r="VC15" s="200">
        <f>'1. Simulator Input'!$D$76*'1. Simulator Input'!$D$56*'Idaho Data'!TJ15</f>
        <v>0</v>
      </c>
      <c r="VD15" s="200">
        <f t="shared" si="68"/>
        <v>6722379</v>
      </c>
      <c r="VE15" s="200"/>
      <c r="VF15" s="182"/>
      <c r="VG15" s="200"/>
      <c r="VH15" s="200">
        <f t="shared" si="69"/>
        <v>0</v>
      </c>
      <c r="VI15" s="200">
        <f t="shared" si="70"/>
        <v>0</v>
      </c>
      <c r="VJ15" s="200">
        <f t="shared" si="16"/>
        <v>6722379</v>
      </c>
      <c r="VK15" s="200">
        <f t="shared" si="17"/>
        <v>6722379</v>
      </c>
      <c r="VL15" s="200"/>
      <c r="VM15" s="182"/>
      <c r="VN15" s="200"/>
      <c r="VO15" s="200">
        <f t="shared" si="71"/>
        <v>1041694</v>
      </c>
      <c r="VP15" s="200">
        <f t="shared" si="72"/>
        <v>6985005</v>
      </c>
      <c r="VQ15" s="200">
        <f t="shared" si="73"/>
        <v>1919809</v>
      </c>
      <c r="VR15" s="200">
        <f t="shared" si="74"/>
        <v>1041694</v>
      </c>
      <c r="VS15" s="200">
        <f t="shared" si="18"/>
        <v>6722379</v>
      </c>
      <c r="VT15" s="200">
        <f t="shared" si="19"/>
        <v>1919809</v>
      </c>
      <c r="VU15" s="200">
        <f t="shared" si="20"/>
        <v>0</v>
      </c>
      <c r="VV15" s="200"/>
      <c r="VW15" s="182"/>
      <c r="VX15" s="200"/>
      <c r="VZ15" s="199">
        <f t="shared" si="75"/>
        <v>-262626</v>
      </c>
      <c r="WA15" s="199">
        <f t="shared" si="76"/>
        <v>-223.13169073916737</v>
      </c>
      <c r="WB15" s="131">
        <f t="shared" si="77"/>
        <v>-3.759854144699968E-2</v>
      </c>
      <c r="WC15" s="131"/>
      <c r="WD15" s="461"/>
      <c r="WE15" s="893"/>
      <c r="WF15" s="893">
        <f t="shared" si="78"/>
        <v>8450.7289719626169</v>
      </c>
      <c r="WG15" s="893">
        <f t="shared" si="79"/>
        <v>8227.5972812234486</v>
      </c>
      <c r="WH15" s="893"/>
      <c r="WI15" s="893">
        <f t="shared" si="80"/>
        <v>6985005</v>
      </c>
      <c r="WJ15" s="893">
        <f t="shared" si="21"/>
        <v>6722379</v>
      </c>
      <c r="WK15" s="39" t="str">
        <f t="shared" si="22"/>
        <v/>
      </c>
      <c r="WL15" s="39" t="str">
        <f t="shared" si="23"/>
        <v/>
      </c>
      <c r="WM15" s="200" t="str">
        <f t="shared" si="24"/>
        <v/>
      </c>
      <c r="WN15" s="39" t="str">
        <f t="shared" si="25"/>
        <v/>
      </c>
      <c r="WO15" s="39"/>
      <c r="WP15" s="182"/>
      <c r="WQ15" s="39"/>
      <c r="WR15" s="305">
        <f t="shared" si="26"/>
        <v>0.53500000000000003</v>
      </c>
      <c r="WT15" s="200">
        <f t="shared" si="27"/>
        <v>5934.583687340697</v>
      </c>
      <c r="WU15" s="131">
        <f t="shared" si="81"/>
        <v>0.32</v>
      </c>
      <c r="WW15" s="199">
        <f t="shared" si="28"/>
        <v>1041694</v>
      </c>
      <c r="WX15" s="199">
        <f t="shared" si="29"/>
        <v>6722379</v>
      </c>
      <c r="WY15" s="199">
        <f t="shared" si="30"/>
        <v>0</v>
      </c>
      <c r="WZ15" s="199">
        <f t="shared" si="82"/>
        <v>6722379</v>
      </c>
      <c r="XA15" s="199">
        <f t="shared" si="31"/>
        <v>0</v>
      </c>
      <c r="XB15" s="199">
        <f t="shared" si="32"/>
        <v>1919809</v>
      </c>
      <c r="XC15" s="199">
        <f t="shared" si="33"/>
        <v>1919809</v>
      </c>
      <c r="XD15" s="199" t="str">
        <f t="shared" si="34"/>
        <v/>
      </c>
      <c r="XE15" s="199"/>
      <c r="XF15" s="199"/>
      <c r="XG15" s="199"/>
      <c r="XH15" s="199"/>
      <c r="XI15" s="199"/>
      <c r="XJ15" s="199">
        <f t="shared" si="83"/>
        <v>6722379</v>
      </c>
      <c r="XP15" s="199">
        <f t="shared" si="35"/>
        <v>6722379</v>
      </c>
      <c r="XQ15" s="199">
        <f t="shared" si="36"/>
        <v>5711.4519966015296</v>
      </c>
      <c r="XR15" s="199">
        <f t="shared" si="37"/>
        <v>6722379</v>
      </c>
      <c r="XS15" s="199">
        <f t="shared" si="38"/>
        <v>6722379</v>
      </c>
      <c r="XT15" s="199">
        <f t="shared" si="39"/>
        <v>5711.4519966015296</v>
      </c>
      <c r="XU15" s="199">
        <f t="shared" si="40"/>
        <v>6985005</v>
      </c>
      <c r="XV15" s="199">
        <f t="shared" si="41"/>
        <v>5934.583687340697</v>
      </c>
      <c r="XW15" s="199">
        <f t="shared" si="42"/>
        <v>6985005</v>
      </c>
      <c r="XX15" s="199">
        <f t="shared" si="43"/>
        <v>5934.583687340697</v>
      </c>
      <c r="XY15" s="199">
        <f t="shared" si="84"/>
        <v>-262626</v>
      </c>
      <c r="XZ15" s="199">
        <f t="shared" si="85"/>
        <v>-223.13169073916742</v>
      </c>
      <c r="YA15" s="131">
        <f t="shared" si="86"/>
        <v>-3.7598541446999686E-2</v>
      </c>
      <c r="YB15" s="199"/>
      <c r="YC15" s="221"/>
      <c r="YD15" s="199"/>
      <c r="YE15" s="199">
        <f t="shared" si="44"/>
        <v>1041694</v>
      </c>
      <c r="YF15" s="200">
        <f t="shared" si="45"/>
        <v>0</v>
      </c>
      <c r="YG15" s="199">
        <f t="shared" si="46"/>
        <v>1919809</v>
      </c>
      <c r="YH15" s="199">
        <f t="shared" si="47"/>
        <v>164567</v>
      </c>
    </row>
    <row r="16" spans="1:660">
      <c r="A16" s="3">
        <v>25</v>
      </c>
      <c r="B16" s="2" t="s">
        <v>106</v>
      </c>
      <c r="C16" s="400">
        <v>0</v>
      </c>
      <c r="D16" s="400">
        <v>0</v>
      </c>
      <c r="E16" s="400">
        <v>0</v>
      </c>
      <c r="F16" s="400">
        <v>0</v>
      </c>
      <c r="G16" s="400">
        <v>9362392</v>
      </c>
      <c r="H16" s="400">
        <v>0</v>
      </c>
      <c r="I16" s="400">
        <v>2284</v>
      </c>
      <c r="J16" s="400">
        <v>2999</v>
      </c>
      <c r="K16" s="400">
        <v>0</v>
      </c>
      <c r="L16" s="400">
        <v>0</v>
      </c>
      <c r="M16" s="400">
        <v>0</v>
      </c>
      <c r="N16" s="400">
        <v>165</v>
      </c>
      <c r="O16" s="400">
        <v>0</v>
      </c>
      <c r="P16" s="400">
        <v>0</v>
      </c>
      <c r="Q16" s="400">
        <v>0</v>
      </c>
      <c r="R16" s="400">
        <v>0</v>
      </c>
      <c r="S16" s="400">
        <v>0</v>
      </c>
      <c r="T16" s="400">
        <v>4868901</v>
      </c>
      <c r="U16" s="400">
        <v>0</v>
      </c>
      <c r="V16" s="400">
        <v>0</v>
      </c>
      <c r="W16" s="400">
        <v>0</v>
      </c>
      <c r="X16" s="400">
        <v>1913881</v>
      </c>
      <c r="Y16" s="400">
        <v>107641</v>
      </c>
      <c r="Z16" s="400">
        <v>0</v>
      </c>
      <c r="AA16" s="400">
        <v>0</v>
      </c>
      <c r="AB16" s="400">
        <v>0</v>
      </c>
      <c r="AC16" s="400">
        <v>0</v>
      </c>
      <c r="AD16" s="400">
        <v>39305</v>
      </c>
      <c r="AE16" s="400">
        <v>0</v>
      </c>
      <c r="AF16" s="400">
        <v>0</v>
      </c>
      <c r="AG16" s="400">
        <v>0</v>
      </c>
      <c r="AH16" s="400">
        <v>0</v>
      </c>
      <c r="AI16" s="400">
        <v>19713</v>
      </c>
      <c r="AJ16" s="400">
        <v>0</v>
      </c>
      <c r="AK16" s="400">
        <v>0</v>
      </c>
      <c r="AL16" s="400">
        <v>73441</v>
      </c>
      <c r="AM16" s="400">
        <v>0</v>
      </c>
      <c r="AN16" s="400">
        <v>0</v>
      </c>
      <c r="AO16" s="400">
        <v>0</v>
      </c>
      <c r="AP16" s="400">
        <v>0</v>
      </c>
      <c r="AQ16" s="400">
        <v>0</v>
      </c>
      <c r="AR16" s="400">
        <v>0</v>
      </c>
      <c r="AS16" s="400">
        <v>0</v>
      </c>
      <c r="AT16" s="400">
        <v>0</v>
      </c>
      <c r="AU16" s="400">
        <v>0</v>
      </c>
      <c r="AV16" s="400">
        <v>0</v>
      </c>
      <c r="AW16" s="400">
        <v>0</v>
      </c>
      <c r="AX16" s="400">
        <v>0</v>
      </c>
      <c r="AY16" s="400">
        <v>0</v>
      </c>
      <c r="AZ16" s="400">
        <v>0</v>
      </c>
      <c r="BA16" s="400">
        <v>0</v>
      </c>
      <c r="BB16" s="400">
        <v>0</v>
      </c>
      <c r="BC16" s="400">
        <v>1223</v>
      </c>
      <c r="BD16" s="400">
        <v>6266</v>
      </c>
      <c r="BE16" s="400">
        <v>0</v>
      </c>
      <c r="BF16" s="400">
        <v>49</v>
      </c>
      <c r="BG16" s="400">
        <v>0</v>
      </c>
      <c r="BH16" s="400">
        <v>0</v>
      </c>
      <c r="BI16" s="400">
        <v>0</v>
      </c>
      <c r="BJ16" s="400">
        <v>0</v>
      </c>
      <c r="BK16" s="400">
        <v>0</v>
      </c>
      <c r="BL16" s="400">
        <v>0</v>
      </c>
      <c r="BM16" s="400">
        <v>1143</v>
      </c>
      <c r="BN16" s="400">
        <v>0</v>
      </c>
      <c r="BO16" s="400">
        <v>0</v>
      </c>
      <c r="BP16" s="400">
        <v>0</v>
      </c>
      <c r="BQ16" s="400">
        <v>0</v>
      </c>
      <c r="BR16" s="400">
        <v>0</v>
      </c>
      <c r="BS16" s="400">
        <v>0</v>
      </c>
      <c r="BT16" s="400">
        <v>0</v>
      </c>
      <c r="BU16" s="400">
        <v>0</v>
      </c>
      <c r="BV16" s="400">
        <v>0</v>
      </c>
      <c r="BW16" s="400">
        <v>0</v>
      </c>
      <c r="BX16" s="400">
        <v>0</v>
      </c>
      <c r="BY16" s="400">
        <v>0</v>
      </c>
      <c r="BZ16" s="400">
        <v>0</v>
      </c>
      <c r="CA16" s="400">
        <v>0</v>
      </c>
      <c r="CB16" s="400">
        <v>0</v>
      </c>
      <c r="CC16" s="400">
        <v>0</v>
      </c>
      <c r="CD16" s="400">
        <v>933544</v>
      </c>
      <c r="CE16" s="400">
        <v>214847</v>
      </c>
      <c r="CF16" s="400">
        <v>0</v>
      </c>
      <c r="CG16" s="400">
        <v>9034</v>
      </c>
      <c r="CH16" s="400">
        <v>0</v>
      </c>
      <c r="CI16" s="400">
        <v>0</v>
      </c>
      <c r="CJ16" s="400">
        <v>0</v>
      </c>
      <c r="CK16" s="400">
        <v>0</v>
      </c>
      <c r="CL16" s="400">
        <v>0</v>
      </c>
      <c r="CM16" s="400">
        <v>0</v>
      </c>
      <c r="CN16" s="400">
        <v>0</v>
      </c>
      <c r="CO16" s="400">
        <v>0</v>
      </c>
      <c r="CP16" s="400">
        <v>50</v>
      </c>
      <c r="CQ16" s="400">
        <v>0</v>
      </c>
      <c r="CR16" s="400">
        <v>0</v>
      </c>
      <c r="CS16" s="400">
        <v>9516</v>
      </c>
      <c r="CT16" s="400">
        <v>0</v>
      </c>
      <c r="CU16" s="400">
        <v>0</v>
      </c>
      <c r="CV16" s="400">
        <v>0</v>
      </c>
      <c r="CW16" s="400">
        <v>0</v>
      </c>
      <c r="CX16" s="400">
        <v>0</v>
      </c>
      <c r="CY16" s="400">
        <v>0</v>
      </c>
      <c r="CZ16" s="400">
        <v>0</v>
      </c>
      <c r="DA16" s="400">
        <v>0</v>
      </c>
      <c r="DB16" s="400">
        <v>0</v>
      </c>
      <c r="DC16" s="400">
        <v>0</v>
      </c>
      <c r="DD16" s="400">
        <v>280340</v>
      </c>
      <c r="DE16" s="400">
        <v>0</v>
      </c>
      <c r="DF16" s="400">
        <v>0</v>
      </c>
      <c r="DG16" s="400">
        <v>0</v>
      </c>
      <c r="DH16" s="400">
        <v>0</v>
      </c>
      <c r="DI16" s="400">
        <v>0</v>
      </c>
      <c r="DJ16" s="400">
        <v>0</v>
      </c>
      <c r="DK16" s="400">
        <v>0</v>
      </c>
      <c r="DL16" s="400">
        <v>0</v>
      </c>
      <c r="DM16" s="400">
        <v>0</v>
      </c>
      <c r="DN16" s="400">
        <v>0</v>
      </c>
      <c r="DO16" s="400">
        <v>0</v>
      </c>
      <c r="DP16" s="400">
        <v>0</v>
      </c>
      <c r="DQ16" s="400">
        <v>0</v>
      </c>
      <c r="DR16" s="400">
        <v>0</v>
      </c>
      <c r="DS16" s="400">
        <v>0</v>
      </c>
      <c r="DT16" s="400">
        <v>0</v>
      </c>
      <c r="DU16" s="400">
        <v>16821</v>
      </c>
      <c r="DV16" s="400">
        <v>0</v>
      </c>
      <c r="DW16" s="400">
        <v>0</v>
      </c>
      <c r="DX16" s="400">
        <v>0</v>
      </c>
      <c r="DY16" s="400">
        <v>0</v>
      </c>
      <c r="DZ16" s="400">
        <v>0</v>
      </c>
      <c r="EA16" s="400">
        <v>0</v>
      </c>
      <c r="EB16" s="400">
        <v>0</v>
      </c>
      <c r="EC16" s="400">
        <v>0</v>
      </c>
      <c r="ED16" s="400">
        <v>0</v>
      </c>
      <c r="EE16" s="400">
        <v>0</v>
      </c>
      <c r="EF16" s="400">
        <v>0</v>
      </c>
      <c r="EG16" s="400">
        <v>5110</v>
      </c>
      <c r="EH16" s="400">
        <v>0</v>
      </c>
      <c r="EI16" s="400">
        <v>0</v>
      </c>
      <c r="EJ16" s="400">
        <v>0</v>
      </c>
      <c r="EK16" s="400">
        <v>0</v>
      </c>
      <c r="EL16" s="400">
        <v>0</v>
      </c>
      <c r="EM16" s="400">
        <v>0</v>
      </c>
      <c r="EN16" s="400">
        <v>0</v>
      </c>
      <c r="EO16" s="400">
        <v>0</v>
      </c>
      <c r="EP16" s="400">
        <v>0</v>
      </c>
      <c r="EQ16" s="400">
        <v>0</v>
      </c>
      <c r="ER16" s="400">
        <v>19564</v>
      </c>
      <c r="ES16" s="400">
        <v>0</v>
      </c>
      <c r="ET16" s="400">
        <v>0</v>
      </c>
      <c r="EU16" s="400">
        <v>0</v>
      </c>
      <c r="EV16" s="400">
        <v>0</v>
      </c>
      <c r="EW16" s="400">
        <v>0</v>
      </c>
      <c r="EX16" s="400">
        <v>0</v>
      </c>
      <c r="EY16" s="400">
        <v>0</v>
      </c>
      <c r="EZ16" s="400">
        <v>0</v>
      </c>
      <c r="FA16" s="400">
        <v>0</v>
      </c>
      <c r="FB16" s="400">
        <v>105000</v>
      </c>
      <c r="FC16" s="400">
        <v>0</v>
      </c>
      <c r="FD16" s="400">
        <v>0</v>
      </c>
      <c r="FE16" s="400">
        <v>0</v>
      </c>
      <c r="FF16" s="400">
        <v>0</v>
      </c>
      <c r="FG16" s="400">
        <v>0</v>
      </c>
      <c r="FH16" s="400">
        <v>0</v>
      </c>
      <c r="FI16" s="400">
        <v>0</v>
      </c>
      <c r="FJ16" s="400">
        <v>0</v>
      </c>
      <c r="FK16" s="400">
        <v>0</v>
      </c>
      <c r="FL16" s="400">
        <v>194186</v>
      </c>
      <c r="FM16" s="400">
        <v>0</v>
      </c>
      <c r="FN16" s="400">
        <v>0</v>
      </c>
      <c r="FO16" s="400">
        <v>0</v>
      </c>
      <c r="FP16" s="400">
        <v>34085</v>
      </c>
      <c r="FQ16" s="400">
        <v>0</v>
      </c>
      <c r="FR16" s="400">
        <v>0</v>
      </c>
      <c r="FS16" s="400">
        <v>111955</v>
      </c>
      <c r="FT16" s="400">
        <v>0</v>
      </c>
      <c r="FU16" s="400">
        <v>0</v>
      </c>
      <c r="FV16" s="400">
        <v>0</v>
      </c>
      <c r="FW16" s="400">
        <v>0</v>
      </c>
      <c r="FX16" s="400">
        <v>0</v>
      </c>
      <c r="FY16" s="400">
        <v>0</v>
      </c>
      <c r="FZ16" s="400">
        <v>0</v>
      </c>
      <c r="GA16" s="400">
        <v>0</v>
      </c>
      <c r="GB16" s="400">
        <v>0</v>
      </c>
      <c r="GC16" s="400">
        <v>0</v>
      </c>
      <c r="GD16" s="400">
        <v>0</v>
      </c>
      <c r="GE16" s="400">
        <v>0</v>
      </c>
      <c r="GF16" s="400">
        <v>0</v>
      </c>
      <c r="GG16" s="400">
        <v>0</v>
      </c>
      <c r="GH16" s="400">
        <v>0</v>
      </c>
      <c r="GI16" s="400">
        <v>0</v>
      </c>
      <c r="GJ16" s="400">
        <v>0</v>
      </c>
      <c r="GK16" s="400">
        <v>0</v>
      </c>
      <c r="GL16" s="400">
        <v>0</v>
      </c>
      <c r="GM16" s="400">
        <v>0</v>
      </c>
      <c r="GN16" s="400">
        <v>0</v>
      </c>
      <c r="GO16" s="400">
        <v>0</v>
      </c>
      <c r="GP16" s="400">
        <v>0</v>
      </c>
      <c r="GQ16" s="400">
        <v>0</v>
      </c>
      <c r="GR16" s="400">
        <v>0</v>
      </c>
      <c r="GS16" s="400">
        <v>0</v>
      </c>
      <c r="GT16" s="400">
        <v>0</v>
      </c>
      <c r="GU16" s="400">
        <v>0</v>
      </c>
      <c r="GV16" s="400">
        <v>0</v>
      </c>
      <c r="GW16" s="400">
        <v>0</v>
      </c>
      <c r="GX16" s="400">
        <v>0</v>
      </c>
      <c r="GY16" s="400">
        <v>0</v>
      </c>
      <c r="GZ16" s="400">
        <v>104977</v>
      </c>
      <c r="HA16" s="400">
        <v>0</v>
      </c>
      <c r="HB16" s="400">
        <v>0</v>
      </c>
      <c r="HC16" s="400">
        <v>0</v>
      </c>
      <c r="HD16" s="400">
        <v>48344842</v>
      </c>
      <c r="HE16" s="400">
        <v>0</v>
      </c>
      <c r="HF16" s="400">
        <v>0</v>
      </c>
      <c r="HG16" s="400">
        <v>0</v>
      </c>
      <c r="HH16" s="400">
        <v>0</v>
      </c>
      <c r="HI16" s="400">
        <v>1730882</v>
      </c>
      <c r="HJ16" s="400">
        <v>292029</v>
      </c>
      <c r="HK16" s="400">
        <v>0</v>
      </c>
      <c r="HL16" s="400">
        <v>62264</v>
      </c>
      <c r="HM16" s="400">
        <v>0</v>
      </c>
      <c r="HN16" s="400">
        <v>0</v>
      </c>
      <c r="HO16" s="400">
        <v>6414556</v>
      </c>
      <c r="HP16" s="400">
        <v>1739526</v>
      </c>
      <c r="HQ16" s="400">
        <v>0</v>
      </c>
      <c r="HR16" s="400">
        <v>0</v>
      </c>
      <c r="HS16" s="400">
        <v>0</v>
      </c>
      <c r="HT16" s="400">
        <v>0</v>
      </c>
      <c r="HU16" s="400">
        <v>0</v>
      </c>
      <c r="HV16" s="400">
        <v>0</v>
      </c>
      <c r="HW16" s="400">
        <v>0</v>
      </c>
      <c r="HX16" s="400">
        <v>41519</v>
      </c>
      <c r="HY16" s="400">
        <v>0</v>
      </c>
      <c r="HZ16" s="400">
        <v>0</v>
      </c>
      <c r="IA16" s="400">
        <v>627122</v>
      </c>
      <c r="IB16" s="400">
        <v>6504</v>
      </c>
      <c r="IC16" s="400">
        <v>0</v>
      </c>
      <c r="ID16" s="400">
        <v>0</v>
      </c>
      <c r="IE16" s="400">
        <v>0</v>
      </c>
      <c r="IF16" s="400">
        <v>0</v>
      </c>
      <c r="IG16" s="400">
        <v>0</v>
      </c>
      <c r="IH16" s="400">
        <v>0</v>
      </c>
      <c r="II16" s="400">
        <v>0</v>
      </c>
      <c r="IJ16" s="400">
        <v>0</v>
      </c>
      <c r="IK16" s="400">
        <v>0</v>
      </c>
      <c r="IL16" s="400">
        <v>0</v>
      </c>
      <c r="IM16" s="400">
        <v>0</v>
      </c>
      <c r="IN16" s="400">
        <v>0</v>
      </c>
      <c r="IO16" s="400">
        <v>29813</v>
      </c>
      <c r="IP16" s="400">
        <v>0</v>
      </c>
      <c r="IQ16" s="400">
        <v>0</v>
      </c>
      <c r="IR16" s="400">
        <v>423748</v>
      </c>
      <c r="IS16" s="400">
        <v>0</v>
      </c>
      <c r="IT16" s="400">
        <v>0</v>
      </c>
      <c r="IU16" s="400">
        <v>0</v>
      </c>
      <c r="IV16" s="400">
        <v>0</v>
      </c>
      <c r="IW16" s="400">
        <v>20914</v>
      </c>
      <c r="IX16" s="400">
        <v>0</v>
      </c>
      <c r="IY16" s="400">
        <v>26681</v>
      </c>
      <c r="IZ16" s="400">
        <v>0</v>
      </c>
      <c r="JA16" s="400">
        <v>0</v>
      </c>
      <c r="JB16" s="400">
        <v>8954</v>
      </c>
      <c r="JC16" s="400">
        <v>0</v>
      </c>
      <c r="JD16" s="400">
        <v>0</v>
      </c>
      <c r="JE16" s="400">
        <v>159141</v>
      </c>
      <c r="JF16" s="400">
        <v>0</v>
      </c>
      <c r="JG16" s="400">
        <v>0</v>
      </c>
      <c r="JH16" s="400">
        <v>0</v>
      </c>
      <c r="JI16" s="400">
        <v>0</v>
      </c>
      <c r="JJ16" s="400">
        <v>0</v>
      </c>
      <c r="JK16" s="400">
        <v>0</v>
      </c>
      <c r="JL16" s="400">
        <v>0</v>
      </c>
      <c r="JM16" s="400">
        <v>0</v>
      </c>
      <c r="JN16" s="400">
        <v>0</v>
      </c>
      <c r="JO16" s="400">
        <v>0</v>
      </c>
      <c r="JP16" s="400">
        <v>0</v>
      </c>
      <c r="JQ16" s="400">
        <v>0</v>
      </c>
      <c r="JR16" s="400">
        <v>0</v>
      </c>
      <c r="JS16" s="400">
        <v>0</v>
      </c>
      <c r="JT16" s="400">
        <v>0</v>
      </c>
      <c r="JU16" s="400">
        <v>185609</v>
      </c>
      <c r="JV16" s="400">
        <v>0</v>
      </c>
      <c r="JW16" s="400">
        <v>0</v>
      </c>
      <c r="JX16" s="400">
        <v>0</v>
      </c>
      <c r="JY16" s="400">
        <v>0</v>
      </c>
      <c r="JZ16" s="400">
        <v>0</v>
      </c>
      <c r="KA16" s="400">
        <v>0</v>
      </c>
      <c r="KB16" s="400">
        <v>734677</v>
      </c>
      <c r="KC16" s="400">
        <v>0</v>
      </c>
      <c r="KD16" s="400">
        <v>0</v>
      </c>
      <c r="KE16" s="400">
        <v>0</v>
      </c>
      <c r="KF16" s="400">
        <v>212563</v>
      </c>
      <c r="KG16" s="400">
        <v>0</v>
      </c>
      <c r="KH16" s="400">
        <v>0</v>
      </c>
      <c r="KI16" s="400">
        <v>0</v>
      </c>
      <c r="KJ16" s="400">
        <v>0</v>
      </c>
      <c r="KK16" s="400">
        <v>0</v>
      </c>
      <c r="KL16" s="400">
        <v>0</v>
      </c>
      <c r="KM16" s="400">
        <v>0</v>
      </c>
      <c r="KN16" s="400">
        <v>0</v>
      </c>
      <c r="KO16" s="400">
        <v>0</v>
      </c>
      <c r="KP16" s="400">
        <v>0</v>
      </c>
      <c r="KQ16" s="400">
        <v>0</v>
      </c>
      <c r="KR16" s="400">
        <v>0</v>
      </c>
      <c r="KS16" s="400">
        <v>0</v>
      </c>
      <c r="KT16" s="400">
        <v>2683127</v>
      </c>
      <c r="KU16" s="400">
        <v>117825</v>
      </c>
      <c r="KV16" s="400">
        <v>0</v>
      </c>
      <c r="KW16" s="400">
        <v>0</v>
      </c>
      <c r="KX16" s="400">
        <v>0</v>
      </c>
      <c r="KY16" s="400">
        <v>0</v>
      </c>
      <c r="KZ16" s="400">
        <v>0</v>
      </c>
      <c r="LA16" s="400">
        <v>0</v>
      </c>
      <c r="LB16" s="400">
        <v>0</v>
      </c>
      <c r="LC16" s="400">
        <v>1364886</v>
      </c>
      <c r="LD16" s="400">
        <v>0</v>
      </c>
      <c r="LE16" s="400">
        <v>0</v>
      </c>
      <c r="LF16" s="400">
        <v>0</v>
      </c>
      <c r="LG16" s="400">
        <v>0</v>
      </c>
      <c r="LH16" s="400">
        <v>0</v>
      </c>
      <c r="LI16" s="400">
        <v>0</v>
      </c>
      <c r="LJ16" s="400">
        <v>0</v>
      </c>
      <c r="LK16" s="400">
        <v>0</v>
      </c>
      <c r="LL16" s="400">
        <v>0</v>
      </c>
      <c r="LM16" s="400">
        <v>0</v>
      </c>
      <c r="LN16" s="400">
        <v>0</v>
      </c>
      <c r="LO16" s="400">
        <v>0</v>
      </c>
      <c r="LP16" s="400">
        <v>0</v>
      </c>
      <c r="LQ16" s="400">
        <v>2560955</v>
      </c>
      <c r="LR16" s="400">
        <v>0</v>
      </c>
      <c r="LS16" s="400">
        <v>0</v>
      </c>
      <c r="LT16" s="400">
        <v>0</v>
      </c>
      <c r="LU16" s="400">
        <v>0</v>
      </c>
      <c r="LV16" s="400">
        <v>0</v>
      </c>
      <c r="LW16" s="400">
        <v>0</v>
      </c>
      <c r="LX16" s="400">
        <v>0</v>
      </c>
      <c r="LY16" s="400">
        <v>0</v>
      </c>
      <c r="LZ16" s="400">
        <v>0</v>
      </c>
      <c r="MA16" s="400">
        <v>0</v>
      </c>
      <c r="MB16" s="400">
        <v>0</v>
      </c>
      <c r="MC16" s="400">
        <v>0</v>
      </c>
      <c r="MD16" s="400">
        <v>0</v>
      </c>
      <c r="ME16" s="400">
        <v>0</v>
      </c>
      <c r="MF16" s="400">
        <v>0</v>
      </c>
      <c r="MG16" s="400">
        <v>0</v>
      </c>
      <c r="MH16" s="400">
        <v>0</v>
      </c>
      <c r="MI16" s="400">
        <v>0</v>
      </c>
      <c r="MJ16" s="400">
        <v>0</v>
      </c>
      <c r="MK16" s="400">
        <v>0</v>
      </c>
      <c r="ML16" s="400">
        <v>0</v>
      </c>
      <c r="MM16" s="400">
        <v>0</v>
      </c>
      <c r="MN16" s="400">
        <v>0</v>
      </c>
      <c r="MO16" s="400">
        <v>157552</v>
      </c>
      <c r="MP16" s="400">
        <v>0</v>
      </c>
      <c r="MQ16" s="400">
        <v>0</v>
      </c>
      <c r="MR16" s="400">
        <v>3367603</v>
      </c>
      <c r="MS16" s="400">
        <v>0</v>
      </c>
      <c r="MT16" s="400">
        <v>0</v>
      </c>
      <c r="MU16" s="400">
        <v>40087</v>
      </c>
      <c r="MV16" s="400">
        <v>0</v>
      </c>
      <c r="MW16" s="400">
        <v>56227</v>
      </c>
      <c r="MX16" s="400">
        <v>0</v>
      </c>
      <c r="MY16" s="400">
        <v>0</v>
      </c>
      <c r="MZ16" s="400">
        <v>18687</v>
      </c>
      <c r="NA16" s="400">
        <v>696577</v>
      </c>
      <c r="NB16" s="400">
        <v>30324</v>
      </c>
      <c r="NC16" s="400">
        <v>0</v>
      </c>
      <c r="ND16" s="400">
        <v>0</v>
      </c>
      <c r="NE16" s="400">
        <v>0</v>
      </c>
      <c r="NF16" s="400">
        <v>0</v>
      </c>
      <c r="NG16" s="400">
        <v>0</v>
      </c>
      <c r="NH16" s="400">
        <v>0</v>
      </c>
      <c r="NI16" s="400">
        <v>0</v>
      </c>
      <c r="NJ16" s="400">
        <v>0</v>
      </c>
      <c r="NK16" s="400">
        <v>0</v>
      </c>
      <c r="NL16" s="400">
        <v>0</v>
      </c>
      <c r="NM16" s="400">
        <v>0</v>
      </c>
      <c r="NN16" s="400">
        <v>0</v>
      </c>
      <c r="NO16" s="400">
        <v>0</v>
      </c>
      <c r="NP16" s="400">
        <v>0</v>
      </c>
      <c r="NQ16" s="400">
        <v>0</v>
      </c>
      <c r="NR16" s="400">
        <v>0</v>
      </c>
      <c r="NS16" s="400">
        <v>0</v>
      </c>
      <c r="NT16" s="400">
        <v>0</v>
      </c>
      <c r="NU16" s="400">
        <v>0</v>
      </c>
      <c r="NV16" s="400">
        <v>516189</v>
      </c>
      <c r="NW16" s="400">
        <v>0</v>
      </c>
      <c r="NX16" s="400">
        <v>269709</v>
      </c>
      <c r="NY16" s="400">
        <v>0</v>
      </c>
      <c r="NZ16" s="400">
        <v>0</v>
      </c>
      <c r="OA16" s="400">
        <v>0</v>
      </c>
      <c r="OB16" s="400">
        <v>0</v>
      </c>
      <c r="OC16" s="400">
        <v>0</v>
      </c>
      <c r="OD16" s="400">
        <v>0</v>
      </c>
      <c r="OE16" s="400">
        <v>0</v>
      </c>
      <c r="OF16" s="400">
        <v>0</v>
      </c>
      <c r="OG16" s="400">
        <v>0</v>
      </c>
      <c r="OH16" s="400">
        <v>0</v>
      </c>
      <c r="OI16" s="400">
        <v>0</v>
      </c>
      <c r="OJ16" s="400">
        <v>0</v>
      </c>
      <c r="OK16" s="400">
        <v>287776</v>
      </c>
      <c r="OL16" s="400">
        <v>0</v>
      </c>
      <c r="OM16" s="400">
        <v>0</v>
      </c>
      <c r="ON16" s="400">
        <v>0</v>
      </c>
      <c r="OO16" s="400">
        <v>0</v>
      </c>
      <c r="OP16" s="400">
        <v>0</v>
      </c>
      <c r="OQ16" s="400">
        <v>0</v>
      </c>
      <c r="OR16" s="400">
        <v>0</v>
      </c>
      <c r="OS16" s="400">
        <v>0</v>
      </c>
      <c r="OT16" s="400">
        <v>0</v>
      </c>
      <c r="OU16" s="400">
        <v>0</v>
      </c>
      <c r="OV16" s="400">
        <v>0</v>
      </c>
      <c r="OW16" s="400">
        <v>0</v>
      </c>
      <c r="OX16" s="400">
        <v>0</v>
      </c>
      <c r="OY16" s="400">
        <v>0</v>
      </c>
      <c r="OZ16" s="400">
        <v>0</v>
      </c>
      <c r="PA16" s="400">
        <v>0</v>
      </c>
      <c r="PB16" s="400">
        <v>0</v>
      </c>
      <c r="PC16" s="400">
        <v>11288</v>
      </c>
      <c r="PD16" s="400">
        <v>0</v>
      </c>
      <c r="PE16" s="400">
        <v>0</v>
      </c>
      <c r="PF16" s="400">
        <v>0</v>
      </c>
      <c r="PG16" s="400">
        <v>0</v>
      </c>
      <c r="PH16" s="400">
        <v>181928</v>
      </c>
      <c r="PI16" s="400">
        <v>0</v>
      </c>
      <c r="PJ16" s="400">
        <v>0</v>
      </c>
      <c r="PK16" s="400">
        <v>0</v>
      </c>
      <c r="PL16" s="400">
        <v>0</v>
      </c>
      <c r="PM16" s="400">
        <v>0</v>
      </c>
      <c r="PN16" s="400">
        <v>0</v>
      </c>
      <c r="PO16" s="400">
        <v>0</v>
      </c>
      <c r="PP16" s="400">
        <v>0</v>
      </c>
      <c r="PQ16" s="400">
        <v>0</v>
      </c>
      <c r="PR16" s="400">
        <v>0</v>
      </c>
      <c r="PS16" s="400">
        <v>0</v>
      </c>
      <c r="PT16" s="400">
        <v>0</v>
      </c>
      <c r="PU16" s="400">
        <v>4000</v>
      </c>
      <c r="PV16" s="400">
        <v>0</v>
      </c>
      <c r="PW16" s="400">
        <v>0</v>
      </c>
      <c r="PX16" s="400">
        <v>0</v>
      </c>
      <c r="PY16" s="400">
        <v>0</v>
      </c>
      <c r="PZ16" s="400">
        <v>0</v>
      </c>
      <c r="QA16" s="400">
        <v>0</v>
      </c>
      <c r="QB16" s="400">
        <v>0</v>
      </c>
      <c r="QC16" s="400">
        <v>0</v>
      </c>
      <c r="QD16" s="400">
        <v>0</v>
      </c>
      <c r="QE16" s="400">
        <v>0</v>
      </c>
      <c r="QF16" s="400">
        <v>0</v>
      </c>
      <c r="QG16" s="400">
        <v>0</v>
      </c>
      <c r="QH16" s="400">
        <v>0</v>
      </c>
      <c r="QI16" s="400">
        <v>0</v>
      </c>
      <c r="QJ16" s="400">
        <v>0</v>
      </c>
      <c r="QK16" s="400">
        <v>0</v>
      </c>
      <c r="QL16" s="400">
        <v>0</v>
      </c>
      <c r="QM16" s="400">
        <v>0</v>
      </c>
      <c r="QN16" s="400">
        <v>58</v>
      </c>
      <c r="QO16" s="400">
        <v>0</v>
      </c>
      <c r="QP16" s="400">
        <v>0</v>
      </c>
      <c r="QQ16" s="400">
        <v>0</v>
      </c>
      <c r="QR16" s="400">
        <v>0</v>
      </c>
      <c r="QS16" s="400">
        <v>118029</v>
      </c>
      <c r="QT16" s="400">
        <v>0</v>
      </c>
      <c r="QU16" s="400">
        <v>0</v>
      </c>
      <c r="QV16" s="400">
        <v>0</v>
      </c>
      <c r="QW16" s="400">
        <v>0</v>
      </c>
      <c r="QX16" s="400">
        <v>0</v>
      </c>
      <c r="QY16" s="400">
        <v>0</v>
      </c>
      <c r="QZ16" s="400">
        <v>0</v>
      </c>
      <c r="RA16" s="400">
        <v>0</v>
      </c>
      <c r="RB16" s="400">
        <v>0</v>
      </c>
      <c r="RG16" s="39">
        <f t="shared" si="48"/>
        <v>48344842</v>
      </c>
      <c r="RH16" s="39">
        <f t="shared" si="7"/>
        <v>2022911</v>
      </c>
      <c r="RI16" s="39">
        <f t="shared" si="7"/>
        <v>62264</v>
      </c>
      <c r="RJ16" s="39">
        <f t="shared" si="7"/>
        <v>0</v>
      </c>
      <c r="RK16" s="39">
        <f t="shared" si="7"/>
        <v>0</v>
      </c>
      <c r="RL16" s="39">
        <f t="shared" si="7"/>
        <v>6414556</v>
      </c>
      <c r="RM16" s="39">
        <f t="shared" si="7"/>
        <v>2414671</v>
      </c>
      <c r="RN16" s="39">
        <f t="shared" si="7"/>
        <v>29813</v>
      </c>
      <c r="RO16" s="39">
        <f t="shared" si="7"/>
        <v>423748</v>
      </c>
      <c r="RP16" s="39">
        <f t="shared" si="7"/>
        <v>47595</v>
      </c>
      <c r="RQ16" s="39">
        <f t="shared" si="7"/>
        <v>8954</v>
      </c>
      <c r="RR16" s="39">
        <f t="shared" si="7"/>
        <v>1079427</v>
      </c>
      <c r="RS16" s="39"/>
      <c r="RT16" s="182"/>
      <c r="RU16" s="39"/>
      <c r="RV16" s="39">
        <f t="shared" si="49"/>
        <v>12380087</v>
      </c>
      <c r="RW16" s="39">
        <f t="shared" si="8"/>
        <v>60848781</v>
      </c>
      <c r="RX16" s="39">
        <f t="shared" si="8"/>
        <v>18438432</v>
      </c>
      <c r="RY16" s="39">
        <f t="shared" si="8"/>
        <v>315303</v>
      </c>
      <c r="RZ16" s="39"/>
      <c r="SA16" s="182"/>
      <c r="SB16" s="39"/>
      <c r="SC16" s="25">
        <f t="shared" si="50"/>
        <v>1579.3089507494647</v>
      </c>
      <c r="SD16" s="39">
        <f>IFERROR(VLOOKUP(A16, 'Levy Data 15-16'!$B:$O, 3, FALSE), 0)</f>
        <v>3364035950</v>
      </c>
      <c r="SE16" s="39">
        <f t="shared" si="9"/>
        <v>288140.12419700215</v>
      </c>
      <c r="SF16" s="631">
        <f>IFERROR(VLOOKUP(A16, 'Levy Data 15-16'!$B:$O, 14, FALSE), 0)*1000</f>
        <v>4.4224259999999997</v>
      </c>
      <c r="SG16" s="39">
        <f t="shared" si="10"/>
        <v>0</v>
      </c>
      <c r="SH16" s="39">
        <f t="shared" si="11"/>
        <v>0</v>
      </c>
      <c r="SI16" s="39">
        <f t="shared" si="12"/>
        <v>18438432</v>
      </c>
      <c r="SM16" s="39">
        <f t="shared" si="13"/>
        <v>60848781</v>
      </c>
      <c r="SN16" s="39">
        <f t="shared" si="14"/>
        <v>0</v>
      </c>
      <c r="SO16" s="39">
        <f t="shared" si="51"/>
        <v>60848781</v>
      </c>
      <c r="SP16" s="50">
        <f t="shared" si="52"/>
        <v>1</v>
      </c>
      <c r="ST16" s="124">
        <f>IFERROR(VLOOKUP(A16,'Grade Enroll 15-16'!B:AC,27,FALSE),"")</f>
        <v>11675</v>
      </c>
      <c r="SU16" s="124">
        <f t="shared" si="53"/>
        <v>5772.6594731831165</v>
      </c>
      <c r="SV16" s="131">
        <f>IFERROR(VLOOKUP($A16, 'Title I Enroll 16-17'!S:V, 4, FALSE), 0)</f>
        <v>0.49444620755315771</v>
      </c>
      <c r="SW16" s="729">
        <f>IFERROR(VLOOKUP(A16, 'ELL Enroll 15-16'!$N:$S, 6, FALSE), 0)</f>
        <v>139</v>
      </c>
      <c r="SX16" s="131">
        <f t="shared" si="54"/>
        <v>1.190578158458244E-2</v>
      </c>
      <c r="SY16" s="124">
        <f>IFERROR(VLOOKUP(A16, 'SPED enroll 2015-16'!$M:$O, 3, FALSE), 0)</f>
        <v>1330</v>
      </c>
      <c r="SZ16" s="131">
        <f t="shared" si="55"/>
        <v>0.1139186295503212</v>
      </c>
      <c r="TA16" s="142">
        <f t="shared" si="56"/>
        <v>930.99999999999989</v>
      </c>
      <c r="TB16" s="142">
        <f t="shared" si="15"/>
        <v>266</v>
      </c>
      <c r="TC16" s="142">
        <f t="shared" si="15"/>
        <v>93.100000000000009</v>
      </c>
      <c r="TD16" s="142">
        <f t="shared" si="15"/>
        <v>39.9</v>
      </c>
      <c r="TE16" s="124">
        <f>VLOOKUP($A16, 'Grade Enroll 15-16'!$B:$AB, 20, FALSE)</f>
        <v>118</v>
      </c>
      <c r="TF16" s="124">
        <f>VLOOKUP($A16, 'Grade Enroll 15-16'!$B:$AB, 21, FALSE)</f>
        <v>948</v>
      </c>
      <c r="TG16" s="124">
        <f>VLOOKUP($A16, 'Grade Enroll 15-16'!$B:$AB, 22, FALSE)</f>
        <v>2955</v>
      </c>
      <c r="TH16" s="124">
        <f>VLOOKUP($A16, 'Grade Enroll 15-16'!$B:$AB, 23, FALSE)</f>
        <v>2969</v>
      </c>
      <c r="TI16" s="124">
        <f>VLOOKUP($A16, 'Grade Enroll 15-16'!$B:$AB, 24, FALSE)</f>
        <v>1875</v>
      </c>
      <c r="TJ16" s="124">
        <f>VLOOKUP($A16, 'Grade Enroll 15-16'!$B:$AB, 25, FALSE)</f>
        <v>3876</v>
      </c>
      <c r="TK16" s="124">
        <f>VLOOKUP($A16, 'Grade Enroll 15-16'!$B:$AB, 26, FALSE)</f>
        <v>7846</v>
      </c>
      <c r="TL16" s="131">
        <f>SUMIFS('Student Achievement 15-16'!N:N, 'Student Achievement 15-16'!B:B, 'Idaho Data'!A16, 'Student Achievement 15-16'!D:D, "math")/100</f>
        <v>0.22800000000000001</v>
      </c>
      <c r="TM16" s="134">
        <f t="shared" si="57"/>
        <v>2661.9</v>
      </c>
      <c r="TN16" s="131">
        <f>SUMIFS('Student Achievement 15-16'!N:N, 'Student Achievement 15-16'!B:B, 'Idaho Data'!A16, 'Student Achievement 15-16'!D:D, "ela")/100</f>
        <v>0.17800000000000002</v>
      </c>
      <c r="TO16" s="134">
        <f t="shared" si="58"/>
        <v>2078.15</v>
      </c>
      <c r="TP16" s="688">
        <f>IFERROR(VLOOKUP(A16, 'G&amp;T 15-16'!B:G, 6, FALSE), 0)*1</f>
        <v>5</v>
      </c>
      <c r="TQ16" s="168">
        <f t="shared" si="59"/>
        <v>700.5</v>
      </c>
      <c r="TU16" s="168">
        <f t="shared" si="60"/>
        <v>2078.15</v>
      </c>
      <c r="TV16" s="168">
        <f t="shared" si="61"/>
        <v>2661.9</v>
      </c>
      <c r="TW16" s="205">
        <f t="shared" si="62"/>
        <v>2661.9</v>
      </c>
      <c r="TX16" s="144"/>
      <c r="TY16" s="129"/>
      <c r="TZ16" s="127">
        <f t="shared" si="63"/>
        <v>5</v>
      </c>
      <c r="UA16" s="127">
        <f t="shared" si="64"/>
        <v>700.5</v>
      </c>
      <c r="UB16" s="205">
        <f t="shared" si="65"/>
        <v>700.5</v>
      </c>
      <c r="UE16" s="853" t="str">
        <f>IF(ST16&lt;='1. Simulator Input'!$E$104, "yes", "")</f>
        <v/>
      </c>
      <c r="UI16" s="199">
        <f t="shared" si="66"/>
        <v>0</v>
      </c>
      <c r="UJ16" s="200">
        <f>IF('Idaho Data'!SI16&gt;=0, ((1-'1. Simulator Input'!$E$39)*'Idaho Data'!SI16), 0)</f>
        <v>0</v>
      </c>
      <c r="UK16" s="200">
        <f t="shared" si="67"/>
        <v>60848781</v>
      </c>
      <c r="UL16" s="39"/>
      <c r="UM16" s="182"/>
      <c r="UN16" s="39"/>
      <c r="UO16" s="39" t="str">
        <f>IF(AND('1. Simulator Input'!$E$96="yes", '1. Simulator Input'!$E$98="yes", '1. Simulator Input'!$E$100="hold harmless"), 'Idaho Data'!WN16, IF(AND('1. Simulator Input'!$E$96="yes", '1. Simulator Input'!$E$98="no", '1. Simulator Input'!$E$100="hold harmless"), 'Idaho Data'!WM16, IF(AND('1. Simulator Input'!$E$96="yes", '1. Simulator Input'!$E$98="yes", '1. Simulator Input'!$E$100="small district grant"), WL16,IF(AND('1. Simulator Input'!$E$96="yes", '1. Simulator Input'!$E$98="no", '1. Simulator Input'!$E$100="small district grant"), WK16, ""))))</f>
        <v/>
      </c>
      <c r="UP16" s="200">
        <f>'1. Simulator Input'!$D$56*('Idaho Data'!ST16)</f>
        <v>64516050</v>
      </c>
      <c r="UQ16" s="204">
        <f>'1. Simulator Input'!$D$65*'1. Simulator Input'!$D$56*'Idaho Data'!SU16</f>
        <v>0</v>
      </c>
      <c r="UR16" s="204">
        <f>'1. Simulator Input'!$D$66*'1. Simulator Input'!$D$56*'Idaho Data'!SW16</f>
        <v>0</v>
      </c>
      <c r="US16" s="200">
        <f>'1. Simulator Input'!$D$67*'1. Simulator Input'!$D$56*'Idaho Data'!TA16</f>
        <v>0</v>
      </c>
      <c r="UT16" s="200">
        <f>'1. Simulator Input'!$D$68*'1. Simulator Input'!$D$56*'Idaho Data'!TB16</f>
        <v>0</v>
      </c>
      <c r="UU16" s="200">
        <f>'1. Simulator Input'!$D$69*'1. Simulator Input'!$D$56*'Idaho Data'!TC16</f>
        <v>0</v>
      </c>
      <c r="UV16" s="200">
        <f>'1. Simulator Input'!$D$70*'1. Simulator Input'!$D$56*TD16</f>
        <v>0</v>
      </c>
      <c r="UW16" s="200">
        <f>'1. Simulator Input'!$D$80*'1. Simulator Input'!$D$56*TW16</f>
        <v>0</v>
      </c>
      <c r="UX16" s="200">
        <f>'1. Simulator Input'!$D$79*'1. Simulator Input'!$D$56*UB16</f>
        <v>0</v>
      </c>
      <c r="UY16" s="200">
        <f>'1. Simulator Input'!$D$87*'1. Simulator Input'!$D$56*TF16</f>
        <v>2619324</v>
      </c>
      <c r="UZ16" s="200">
        <f>'1. Simulator Input'!$D$73*'1. Simulator Input'!$D$56*'Idaho Data'!TG16</f>
        <v>0</v>
      </c>
      <c r="VA16" s="200">
        <f>'1. Simulator Input'!$D$56*'1. Simulator Input'!$D$74*'Idaho Data'!TH16</f>
        <v>0</v>
      </c>
      <c r="VB16" s="200">
        <f>'1. Simulator Input'!$D$56*'1. Simulator Input'!$D$75*'Idaho Data'!TI11</f>
        <v>0</v>
      </c>
      <c r="VC16" s="200">
        <f>'1. Simulator Input'!$D$76*'1. Simulator Input'!$D$56*'Idaho Data'!TJ16</f>
        <v>0</v>
      </c>
      <c r="VD16" s="200">
        <f t="shared" si="68"/>
        <v>67135374</v>
      </c>
      <c r="VE16" s="200"/>
      <c r="VF16" s="182"/>
      <c r="VG16" s="200"/>
      <c r="VH16" s="200">
        <f t="shared" si="69"/>
        <v>0</v>
      </c>
      <c r="VI16" s="200">
        <f t="shared" si="70"/>
        <v>0</v>
      </c>
      <c r="VJ16" s="200">
        <f t="shared" si="16"/>
        <v>67135374</v>
      </c>
      <c r="VK16" s="200">
        <f t="shared" si="17"/>
        <v>67135374</v>
      </c>
      <c r="VL16" s="200"/>
      <c r="VM16" s="182"/>
      <c r="VN16" s="200"/>
      <c r="VO16" s="200">
        <f t="shared" si="71"/>
        <v>12380087</v>
      </c>
      <c r="VP16" s="200">
        <f t="shared" si="72"/>
        <v>60848781</v>
      </c>
      <c r="VQ16" s="200">
        <f t="shared" si="73"/>
        <v>18438432</v>
      </c>
      <c r="VR16" s="200">
        <f t="shared" si="74"/>
        <v>12380087</v>
      </c>
      <c r="VS16" s="200">
        <f t="shared" si="18"/>
        <v>67135374</v>
      </c>
      <c r="VT16" s="200">
        <f t="shared" si="19"/>
        <v>18438432</v>
      </c>
      <c r="VU16" s="200">
        <f t="shared" si="20"/>
        <v>0</v>
      </c>
      <c r="VV16" s="200"/>
      <c r="VW16" s="182"/>
      <c r="VX16" s="200"/>
      <c r="VZ16" s="199">
        <f t="shared" si="75"/>
        <v>6286593</v>
      </c>
      <c r="WA16" s="199">
        <f t="shared" si="76"/>
        <v>538.46620985010702</v>
      </c>
      <c r="WB16" s="131">
        <f t="shared" si="77"/>
        <v>0.1033150195728654</v>
      </c>
      <c r="WC16" s="131"/>
      <c r="WD16" s="461"/>
      <c r="WE16" s="893"/>
      <c r="WF16" s="893">
        <f t="shared" si="78"/>
        <v>7851.5888650963598</v>
      </c>
      <c r="WG16" s="893">
        <f t="shared" si="79"/>
        <v>8390.0550749464674</v>
      </c>
      <c r="WH16" s="893"/>
      <c r="WI16" s="893">
        <f t="shared" si="80"/>
        <v>60848781</v>
      </c>
      <c r="WJ16" s="893">
        <f t="shared" si="21"/>
        <v>67135374</v>
      </c>
      <c r="WK16" s="39" t="str">
        <f t="shared" si="22"/>
        <v/>
      </c>
      <c r="WL16" s="39" t="str">
        <f t="shared" si="23"/>
        <v/>
      </c>
      <c r="WM16" s="200" t="str">
        <f t="shared" si="24"/>
        <v/>
      </c>
      <c r="WN16" s="39" t="str">
        <f t="shared" si="25"/>
        <v/>
      </c>
      <c r="WO16" s="39"/>
      <c r="WP16" s="182"/>
      <c r="WQ16" s="39"/>
      <c r="WR16" s="305">
        <f t="shared" si="26"/>
        <v>0.21</v>
      </c>
      <c r="WT16" s="200">
        <f t="shared" si="27"/>
        <v>5211.8870235546037</v>
      </c>
      <c r="WU16" s="131">
        <f t="shared" si="81"/>
        <v>0.03</v>
      </c>
      <c r="WW16" s="199">
        <f t="shared" si="28"/>
        <v>12380087</v>
      </c>
      <c r="WX16" s="199">
        <f t="shared" si="29"/>
        <v>67135374</v>
      </c>
      <c r="WY16" s="199">
        <f t="shared" si="30"/>
        <v>0</v>
      </c>
      <c r="WZ16" s="199">
        <f t="shared" si="82"/>
        <v>67135374</v>
      </c>
      <c r="XA16" s="199">
        <f t="shared" si="31"/>
        <v>0</v>
      </c>
      <c r="XB16" s="199">
        <f t="shared" si="32"/>
        <v>18438432</v>
      </c>
      <c r="XC16" s="199">
        <f t="shared" si="33"/>
        <v>18438432</v>
      </c>
      <c r="XD16" s="199" t="str">
        <f t="shared" si="34"/>
        <v/>
      </c>
      <c r="XE16" s="199"/>
      <c r="XF16" s="199"/>
      <c r="XG16" s="199"/>
      <c r="XH16" s="199"/>
      <c r="XI16" s="199"/>
      <c r="XJ16" s="199">
        <f t="shared" si="83"/>
        <v>67135374</v>
      </c>
      <c r="XK16" s="833"/>
      <c r="XP16" s="199">
        <f t="shared" si="35"/>
        <v>67135374</v>
      </c>
      <c r="XQ16" s="199">
        <f t="shared" si="36"/>
        <v>5750.3532334047113</v>
      </c>
      <c r="XR16" s="199">
        <f t="shared" si="37"/>
        <v>67135374</v>
      </c>
      <c r="XS16" s="199">
        <f t="shared" si="38"/>
        <v>67135374</v>
      </c>
      <c r="XT16" s="199">
        <f t="shared" si="39"/>
        <v>5750.3532334047113</v>
      </c>
      <c r="XU16" s="199">
        <f t="shared" si="40"/>
        <v>60848781</v>
      </c>
      <c r="XV16" s="199">
        <f t="shared" si="41"/>
        <v>5211.8870235546037</v>
      </c>
      <c r="XW16" s="199">
        <f t="shared" si="42"/>
        <v>60848781</v>
      </c>
      <c r="XX16" s="199">
        <f t="shared" si="43"/>
        <v>5211.8870235546037</v>
      </c>
      <c r="XY16" s="199">
        <f t="shared" si="84"/>
        <v>6286593</v>
      </c>
      <c r="XZ16" s="199">
        <f t="shared" si="85"/>
        <v>538.46620985010759</v>
      </c>
      <c r="YA16" s="131">
        <f t="shared" si="86"/>
        <v>0.1033150195728655</v>
      </c>
      <c r="YB16" s="199"/>
      <c r="YC16" s="221"/>
      <c r="YD16" s="199"/>
      <c r="YE16" s="199">
        <f t="shared" si="44"/>
        <v>12380087</v>
      </c>
      <c r="YF16" s="200">
        <f t="shared" si="45"/>
        <v>0</v>
      </c>
      <c r="YG16" s="199">
        <f t="shared" si="46"/>
        <v>18438432</v>
      </c>
      <c r="YH16" s="199">
        <f t="shared" si="47"/>
        <v>315303</v>
      </c>
    </row>
    <row r="17" spans="1:658">
      <c r="A17" s="3">
        <v>33</v>
      </c>
      <c r="B17" s="2" t="s">
        <v>108</v>
      </c>
      <c r="C17" s="24">
        <v>781420</v>
      </c>
      <c r="D17" s="24">
        <v>0</v>
      </c>
      <c r="E17" s="24">
        <v>0</v>
      </c>
      <c r="F17" s="24">
        <v>0</v>
      </c>
      <c r="G17" s="24">
        <v>0</v>
      </c>
      <c r="H17" s="24">
        <v>0</v>
      </c>
      <c r="I17" s="24">
        <v>98155</v>
      </c>
      <c r="J17" s="24">
        <v>0</v>
      </c>
      <c r="K17" s="24">
        <v>0</v>
      </c>
      <c r="L17" s="24">
        <v>0</v>
      </c>
      <c r="M17" s="24">
        <v>0</v>
      </c>
      <c r="N17" s="24">
        <v>0</v>
      </c>
      <c r="O17" s="24">
        <v>0</v>
      </c>
      <c r="P17" s="24">
        <v>0</v>
      </c>
      <c r="Q17" s="24">
        <v>0</v>
      </c>
      <c r="R17" s="24">
        <v>0</v>
      </c>
      <c r="S17" s="24">
        <v>0</v>
      </c>
      <c r="T17" s="24">
        <v>408284</v>
      </c>
      <c r="U17" s="24">
        <v>0</v>
      </c>
      <c r="V17" s="24">
        <v>0</v>
      </c>
      <c r="W17" s="24">
        <v>0</v>
      </c>
      <c r="X17" s="24">
        <v>0</v>
      </c>
      <c r="Y17" s="24">
        <v>15281</v>
      </c>
      <c r="Z17" s="24">
        <v>0</v>
      </c>
      <c r="AA17" s="24">
        <v>0</v>
      </c>
      <c r="AB17" s="24">
        <v>0</v>
      </c>
      <c r="AC17" s="24">
        <v>0</v>
      </c>
      <c r="AD17" s="24">
        <v>0</v>
      </c>
      <c r="AE17" s="24">
        <v>0</v>
      </c>
      <c r="AF17" s="24">
        <v>0</v>
      </c>
      <c r="AG17" s="24">
        <v>0</v>
      </c>
      <c r="AH17" s="24">
        <v>7000</v>
      </c>
      <c r="AI17" s="24">
        <v>0</v>
      </c>
      <c r="AJ17" s="24">
        <v>0</v>
      </c>
      <c r="AK17" s="24">
        <v>0</v>
      </c>
      <c r="AL17" s="24">
        <v>10482</v>
      </c>
      <c r="AM17" s="24">
        <v>0</v>
      </c>
      <c r="AN17" s="24">
        <v>0</v>
      </c>
      <c r="AO17" s="24">
        <v>0</v>
      </c>
      <c r="AP17" s="24">
        <v>0</v>
      </c>
      <c r="AQ17" s="24">
        <v>0</v>
      </c>
      <c r="AR17" s="24">
        <v>0</v>
      </c>
      <c r="AS17" s="24">
        <v>0</v>
      </c>
      <c r="AT17" s="24">
        <v>0</v>
      </c>
      <c r="AU17" s="24">
        <v>0</v>
      </c>
      <c r="AV17" s="24">
        <v>0</v>
      </c>
      <c r="AW17" s="24">
        <v>0</v>
      </c>
      <c r="AX17" s="24">
        <v>0</v>
      </c>
      <c r="AY17" s="24">
        <v>0</v>
      </c>
      <c r="AZ17" s="24">
        <v>0</v>
      </c>
      <c r="BA17" s="24">
        <v>0</v>
      </c>
      <c r="BB17" s="24">
        <v>0</v>
      </c>
      <c r="BC17" s="24">
        <v>0</v>
      </c>
      <c r="BD17" s="24">
        <v>0</v>
      </c>
      <c r="BE17" s="24">
        <v>0</v>
      </c>
      <c r="BF17" s="24">
        <v>0</v>
      </c>
      <c r="BG17" s="24">
        <v>0</v>
      </c>
      <c r="BH17" s="24">
        <v>0</v>
      </c>
      <c r="BI17" s="24">
        <v>0</v>
      </c>
      <c r="BJ17" s="24">
        <v>0</v>
      </c>
      <c r="BK17" s="24">
        <v>0</v>
      </c>
      <c r="BL17" s="24">
        <v>0</v>
      </c>
      <c r="BM17" s="24">
        <v>0</v>
      </c>
      <c r="BN17" s="24">
        <v>0</v>
      </c>
      <c r="BO17" s="24">
        <v>0</v>
      </c>
      <c r="BP17" s="24">
        <v>0</v>
      </c>
      <c r="BQ17" s="24">
        <v>0</v>
      </c>
      <c r="BR17" s="24">
        <v>0</v>
      </c>
      <c r="BS17" s="24">
        <v>0</v>
      </c>
      <c r="BT17" s="24">
        <v>0</v>
      </c>
      <c r="BU17" s="24">
        <v>0</v>
      </c>
      <c r="BV17" s="24">
        <v>0</v>
      </c>
      <c r="BW17" s="24">
        <v>0</v>
      </c>
      <c r="BX17" s="24">
        <v>0</v>
      </c>
      <c r="BY17" s="24">
        <v>0</v>
      </c>
      <c r="BZ17" s="24">
        <v>0</v>
      </c>
      <c r="CA17" s="24">
        <v>0</v>
      </c>
      <c r="CB17" s="24">
        <v>0</v>
      </c>
      <c r="CC17" s="24">
        <v>0</v>
      </c>
      <c r="CD17" s="24">
        <v>78576</v>
      </c>
      <c r="CE17" s="24">
        <v>0</v>
      </c>
      <c r="CF17" s="24">
        <v>0</v>
      </c>
      <c r="CG17" s="24">
        <v>7138</v>
      </c>
      <c r="CH17" s="24">
        <v>0</v>
      </c>
      <c r="CI17" s="24">
        <v>0</v>
      </c>
      <c r="CJ17" s="24">
        <v>0</v>
      </c>
      <c r="CK17" s="24">
        <v>0</v>
      </c>
      <c r="CL17" s="24">
        <v>0</v>
      </c>
      <c r="CM17" s="24">
        <v>0</v>
      </c>
      <c r="CN17" s="24">
        <v>0</v>
      </c>
      <c r="CO17" s="24">
        <v>0</v>
      </c>
      <c r="CP17" s="24">
        <v>0</v>
      </c>
      <c r="CQ17" s="24">
        <v>0</v>
      </c>
      <c r="CR17" s="24">
        <v>0</v>
      </c>
      <c r="CS17" s="24">
        <v>0</v>
      </c>
      <c r="CT17" s="24">
        <v>0</v>
      </c>
      <c r="CU17" s="24">
        <v>0</v>
      </c>
      <c r="CV17" s="24">
        <v>0</v>
      </c>
      <c r="CW17" s="24">
        <v>0</v>
      </c>
      <c r="CX17" s="24">
        <v>0</v>
      </c>
      <c r="CY17" s="24">
        <v>0</v>
      </c>
      <c r="CZ17" s="24">
        <v>0</v>
      </c>
      <c r="DA17" s="24">
        <v>0</v>
      </c>
      <c r="DB17" s="24">
        <v>0</v>
      </c>
      <c r="DC17" s="24">
        <v>0</v>
      </c>
      <c r="DD17" s="24">
        <v>0</v>
      </c>
      <c r="DE17" s="24">
        <v>0</v>
      </c>
      <c r="DF17" s="24">
        <v>0</v>
      </c>
      <c r="DG17" s="24">
        <v>0</v>
      </c>
      <c r="DH17" s="24">
        <v>0</v>
      </c>
      <c r="DI17" s="24">
        <v>0</v>
      </c>
      <c r="DJ17" s="24">
        <v>0</v>
      </c>
      <c r="DK17" s="24">
        <v>0</v>
      </c>
      <c r="DL17" s="24">
        <v>0</v>
      </c>
      <c r="DM17" s="24">
        <v>0</v>
      </c>
      <c r="DN17" s="24">
        <v>0</v>
      </c>
      <c r="DO17" s="24">
        <v>0</v>
      </c>
      <c r="DP17" s="24">
        <v>0</v>
      </c>
      <c r="DQ17" s="24">
        <v>0</v>
      </c>
      <c r="DR17" s="24">
        <v>0</v>
      </c>
      <c r="DS17" s="24">
        <v>0</v>
      </c>
      <c r="DT17" s="24">
        <v>0</v>
      </c>
      <c r="DU17" s="24">
        <v>0</v>
      </c>
      <c r="DV17" s="24">
        <v>0</v>
      </c>
      <c r="DW17" s="24">
        <v>0</v>
      </c>
      <c r="DX17" s="24">
        <v>0</v>
      </c>
      <c r="DY17" s="24">
        <v>0</v>
      </c>
      <c r="DZ17" s="24">
        <v>0</v>
      </c>
      <c r="EA17" s="24">
        <v>0</v>
      </c>
      <c r="EB17" s="24">
        <v>0</v>
      </c>
      <c r="EC17" s="24">
        <v>0</v>
      </c>
      <c r="ED17" s="24">
        <v>0</v>
      </c>
      <c r="EE17" s="24">
        <v>0</v>
      </c>
      <c r="EF17" s="24">
        <v>0</v>
      </c>
      <c r="EG17" s="24">
        <v>10850</v>
      </c>
      <c r="EH17" s="24">
        <v>0</v>
      </c>
      <c r="EI17" s="24">
        <v>0</v>
      </c>
      <c r="EJ17" s="24">
        <v>0</v>
      </c>
      <c r="EK17" s="24">
        <v>0</v>
      </c>
      <c r="EL17" s="24">
        <v>0</v>
      </c>
      <c r="EM17" s="24">
        <v>0</v>
      </c>
      <c r="EN17" s="24">
        <v>0</v>
      </c>
      <c r="EO17" s="24">
        <v>0</v>
      </c>
      <c r="EP17" s="24">
        <v>0</v>
      </c>
      <c r="EQ17" s="24">
        <v>0</v>
      </c>
      <c r="ER17" s="24">
        <v>0</v>
      </c>
      <c r="ES17" s="24">
        <v>0</v>
      </c>
      <c r="ET17" s="24">
        <v>0</v>
      </c>
      <c r="EU17" s="24">
        <v>0</v>
      </c>
      <c r="EV17" s="24">
        <v>0</v>
      </c>
      <c r="EW17" s="24">
        <v>0</v>
      </c>
      <c r="EX17" s="24">
        <v>0</v>
      </c>
      <c r="EY17" s="24">
        <v>0</v>
      </c>
      <c r="EZ17" s="24">
        <v>0</v>
      </c>
      <c r="FA17" s="24">
        <v>0</v>
      </c>
      <c r="FB17" s="24">
        <v>0</v>
      </c>
      <c r="FC17" s="24">
        <v>0</v>
      </c>
      <c r="FD17" s="24">
        <v>0</v>
      </c>
      <c r="FE17" s="24">
        <v>0</v>
      </c>
      <c r="FF17" s="24">
        <v>0</v>
      </c>
      <c r="FG17" s="24">
        <v>0</v>
      </c>
      <c r="FH17" s="24">
        <v>0</v>
      </c>
      <c r="FI17" s="24">
        <v>0</v>
      </c>
      <c r="FJ17" s="24">
        <v>0</v>
      </c>
      <c r="FK17" s="24">
        <v>0</v>
      </c>
      <c r="FL17" s="24">
        <v>0</v>
      </c>
      <c r="FM17" s="24">
        <v>0</v>
      </c>
      <c r="FN17" s="24">
        <v>0</v>
      </c>
      <c r="FO17" s="24">
        <v>0</v>
      </c>
      <c r="FP17" s="24">
        <v>0</v>
      </c>
      <c r="FQ17" s="24">
        <v>0</v>
      </c>
      <c r="FR17" s="24">
        <v>0</v>
      </c>
      <c r="FS17" s="24">
        <v>116219</v>
      </c>
      <c r="FT17" s="24">
        <v>0</v>
      </c>
      <c r="FU17" s="24">
        <v>0</v>
      </c>
      <c r="FV17" s="24">
        <v>0</v>
      </c>
      <c r="FW17" s="24">
        <v>0</v>
      </c>
      <c r="FX17" s="24">
        <v>0</v>
      </c>
      <c r="FY17" s="24">
        <v>0</v>
      </c>
      <c r="FZ17" s="24">
        <v>0</v>
      </c>
      <c r="GA17" s="24">
        <v>0</v>
      </c>
      <c r="GB17" s="24">
        <v>0</v>
      </c>
      <c r="GC17" s="24">
        <v>0</v>
      </c>
      <c r="GD17" s="24">
        <v>0</v>
      </c>
      <c r="GE17" s="24">
        <v>0</v>
      </c>
      <c r="GF17" s="24">
        <v>0</v>
      </c>
      <c r="GG17" s="24">
        <v>0</v>
      </c>
      <c r="GH17" s="24">
        <v>0</v>
      </c>
      <c r="GI17" s="24">
        <v>0</v>
      </c>
      <c r="GJ17" s="24">
        <v>0</v>
      </c>
      <c r="GK17" s="24">
        <v>0</v>
      </c>
      <c r="GL17" s="24">
        <v>0</v>
      </c>
      <c r="GM17" s="24">
        <v>0</v>
      </c>
      <c r="GN17" s="24">
        <v>0</v>
      </c>
      <c r="GO17" s="24">
        <v>0</v>
      </c>
      <c r="GP17" s="24">
        <v>0</v>
      </c>
      <c r="GQ17" s="24">
        <v>0</v>
      </c>
      <c r="GR17" s="24">
        <v>0</v>
      </c>
      <c r="GS17" s="24">
        <v>0</v>
      </c>
      <c r="GT17" s="24">
        <v>0</v>
      </c>
      <c r="GU17" s="24">
        <v>0</v>
      </c>
      <c r="GV17" s="24">
        <v>0</v>
      </c>
      <c r="GW17" s="24">
        <v>0</v>
      </c>
      <c r="GX17" s="24">
        <v>0</v>
      </c>
      <c r="GY17" s="24">
        <v>0</v>
      </c>
      <c r="GZ17" s="24">
        <v>0</v>
      </c>
      <c r="HA17" s="24">
        <v>0</v>
      </c>
      <c r="HB17" s="24">
        <v>0</v>
      </c>
      <c r="HC17" s="24">
        <v>0</v>
      </c>
      <c r="HD17" s="24">
        <v>4830386</v>
      </c>
      <c r="HE17" s="24">
        <v>0</v>
      </c>
      <c r="HF17" s="24">
        <v>0</v>
      </c>
      <c r="HG17" s="24">
        <v>0</v>
      </c>
      <c r="HH17" s="24">
        <v>0</v>
      </c>
      <c r="HI17" s="24">
        <v>378184</v>
      </c>
      <c r="HJ17" s="24">
        <v>0</v>
      </c>
      <c r="HK17" s="24">
        <v>0</v>
      </c>
      <c r="HL17" s="24">
        <v>0</v>
      </c>
      <c r="HM17" s="24">
        <v>0</v>
      </c>
      <c r="HN17" s="24">
        <v>0</v>
      </c>
      <c r="HO17" s="24">
        <v>641399</v>
      </c>
      <c r="HP17" s="24">
        <v>162955</v>
      </c>
      <c r="HQ17" s="24">
        <v>0</v>
      </c>
      <c r="HR17" s="24">
        <v>0</v>
      </c>
      <c r="HS17" s="24">
        <v>0</v>
      </c>
      <c r="HT17" s="24">
        <v>0</v>
      </c>
      <c r="HU17" s="24">
        <v>0</v>
      </c>
      <c r="HV17" s="24">
        <v>0</v>
      </c>
      <c r="HW17" s="24">
        <v>0</v>
      </c>
      <c r="HX17" s="24">
        <v>0</v>
      </c>
      <c r="HY17" s="24">
        <v>0</v>
      </c>
      <c r="HZ17" s="24">
        <v>0</v>
      </c>
      <c r="IA17" s="24">
        <v>50171</v>
      </c>
      <c r="IB17" s="24">
        <v>16198</v>
      </c>
      <c r="IC17" s="24">
        <v>0</v>
      </c>
      <c r="ID17" s="24">
        <v>0</v>
      </c>
      <c r="IE17" s="24">
        <v>0</v>
      </c>
      <c r="IF17" s="24">
        <v>0</v>
      </c>
      <c r="IG17" s="24">
        <v>0</v>
      </c>
      <c r="IH17" s="24">
        <v>0</v>
      </c>
      <c r="II17" s="24">
        <v>0</v>
      </c>
      <c r="IJ17" s="24">
        <v>0</v>
      </c>
      <c r="IK17" s="24">
        <v>0</v>
      </c>
      <c r="IL17" s="24">
        <v>0</v>
      </c>
      <c r="IM17" s="24">
        <v>0</v>
      </c>
      <c r="IN17" s="24">
        <v>0</v>
      </c>
      <c r="IO17" s="24">
        <v>7750</v>
      </c>
      <c r="IP17" s="24">
        <v>0</v>
      </c>
      <c r="IQ17" s="24">
        <v>0</v>
      </c>
      <c r="IR17" s="24">
        <v>55501</v>
      </c>
      <c r="IS17" s="24">
        <v>0</v>
      </c>
      <c r="IT17" s="24">
        <v>0</v>
      </c>
      <c r="IU17" s="24">
        <v>0</v>
      </c>
      <c r="IV17" s="24">
        <v>0</v>
      </c>
      <c r="IW17" s="24">
        <v>0</v>
      </c>
      <c r="IX17" s="24">
        <v>22096</v>
      </c>
      <c r="IY17" s="24">
        <v>0</v>
      </c>
      <c r="IZ17" s="24">
        <v>0</v>
      </c>
      <c r="JA17" s="24">
        <v>0</v>
      </c>
      <c r="JB17" s="24">
        <v>0</v>
      </c>
      <c r="JC17" s="24">
        <v>0</v>
      </c>
      <c r="JD17" s="24">
        <v>0</v>
      </c>
      <c r="JE17" s="24">
        <v>66800</v>
      </c>
      <c r="JF17" s="24">
        <v>0</v>
      </c>
      <c r="JG17" s="24">
        <v>0</v>
      </c>
      <c r="JH17" s="24">
        <v>0</v>
      </c>
      <c r="JI17" s="24">
        <v>0</v>
      </c>
      <c r="JJ17" s="24">
        <v>0</v>
      </c>
      <c r="JK17" s="24">
        <v>0</v>
      </c>
      <c r="JL17" s="24">
        <v>0</v>
      </c>
      <c r="JM17" s="24">
        <v>0</v>
      </c>
      <c r="JN17" s="24">
        <v>0</v>
      </c>
      <c r="JO17" s="24">
        <v>0</v>
      </c>
      <c r="JP17" s="24">
        <v>0</v>
      </c>
      <c r="JQ17" s="24">
        <v>0</v>
      </c>
      <c r="JR17" s="24">
        <v>0</v>
      </c>
      <c r="JS17" s="24">
        <v>0</v>
      </c>
      <c r="JT17" s="24">
        <v>0</v>
      </c>
      <c r="JU17" s="24">
        <v>0</v>
      </c>
      <c r="JV17" s="24">
        <v>0</v>
      </c>
      <c r="JW17" s="24">
        <v>0</v>
      </c>
      <c r="JX17" s="24">
        <v>0</v>
      </c>
      <c r="JY17" s="24">
        <v>0</v>
      </c>
      <c r="JZ17" s="24">
        <v>0</v>
      </c>
      <c r="KA17" s="24">
        <v>0</v>
      </c>
      <c r="KB17" s="24">
        <v>0</v>
      </c>
      <c r="KC17" s="24">
        <v>0</v>
      </c>
      <c r="KD17" s="24">
        <v>0</v>
      </c>
      <c r="KE17" s="24">
        <v>0</v>
      </c>
      <c r="KF17" s="24">
        <v>0</v>
      </c>
      <c r="KG17" s="24">
        <v>55861</v>
      </c>
      <c r="KH17" s="24">
        <v>0</v>
      </c>
      <c r="KI17" s="24">
        <v>0</v>
      </c>
      <c r="KJ17" s="24">
        <v>0</v>
      </c>
      <c r="KK17" s="24">
        <v>0</v>
      </c>
      <c r="KL17" s="24">
        <v>0</v>
      </c>
      <c r="KM17" s="24">
        <v>0</v>
      </c>
      <c r="KN17" s="24">
        <v>0</v>
      </c>
      <c r="KO17" s="24">
        <v>0</v>
      </c>
      <c r="KP17" s="24">
        <v>0</v>
      </c>
      <c r="KQ17" s="24">
        <v>0</v>
      </c>
      <c r="KR17" s="24">
        <v>0</v>
      </c>
      <c r="KS17" s="24">
        <v>0</v>
      </c>
      <c r="KT17" s="24">
        <v>0</v>
      </c>
      <c r="KU17" s="24">
        <v>0</v>
      </c>
      <c r="KV17" s="24">
        <v>0</v>
      </c>
      <c r="KW17" s="24">
        <v>0</v>
      </c>
      <c r="KX17" s="24">
        <v>0</v>
      </c>
      <c r="KY17" s="24">
        <v>0</v>
      </c>
      <c r="KZ17" s="24">
        <v>0</v>
      </c>
      <c r="LA17" s="24">
        <v>0</v>
      </c>
      <c r="LB17" s="24">
        <v>0</v>
      </c>
      <c r="LC17" s="24">
        <v>0</v>
      </c>
      <c r="LD17" s="24">
        <v>0</v>
      </c>
      <c r="LE17" s="24">
        <v>0</v>
      </c>
      <c r="LF17" s="24">
        <v>0</v>
      </c>
      <c r="LG17" s="24">
        <v>0</v>
      </c>
      <c r="LH17" s="24">
        <v>0</v>
      </c>
      <c r="LI17" s="24">
        <v>0</v>
      </c>
      <c r="LJ17" s="24">
        <v>0</v>
      </c>
      <c r="LK17" s="24">
        <v>0</v>
      </c>
      <c r="LL17" s="24">
        <v>0</v>
      </c>
      <c r="LM17" s="24">
        <v>0</v>
      </c>
      <c r="LN17" s="24">
        <v>0</v>
      </c>
      <c r="LO17" s="24">
        <v>0</v>
      </c>
      <c r="LP17" s="24">
        <v>0</v>
      </c>
      <c r="LQ17" s="24">
        <v>158225</v>
      </c>
      <c r="LR17" s="24">
        <v>0</v>
      </c>
      <c r="LS17" s="24">
        <v>0</v>
      </c>
      <c r="LT17" s="24">
        <v>0</v>
      </c>
      <c r="LU17" s="24">
        <v>0</v>
      </c>
      <c r="LV17" s="24">
        <v>0</v>
      </c>
      <c r="LW17" s="24">
        <v>0</v>
      </c>
      <c r="LX17" s="24">
        <v>0</v>
      </c>
      <c r="LY17" s="24">
        <v>0</v>
      </c>
      <c r="LZ17" s="24">
        <v>0</v>
      </c>
      <c r="MA17" s="24">
        <v>0</v>
      </c>
      <c r="MB17" s="24">
        <v>0</v>
      </c>
      <c r="MC17" s="24">
        <v>0</v>
      </c>
      <c r="MD17" s="24">
        <v>0</v>
      </c>
      <c r="ME17" s="24">
        <v>0</v>
      </c>
      <c r="MF17" s="24">
        <v>0</v>
      </c>
      <c r="MG17" s="24">
        <v>0</v>
      </c>
      <c r="MH17" s="24">
        <v>0</v>
      </c>
      <c r="MI17" s="24">
        <v>0</v>
      </c>
      <c r="MJ17" s="24">
        <v>0</v>
      </c>
      <c r="MK17" s="24">
        <v>0</v>
      </c>
      <c r="ML17" s="24">
        <v>0</v>
      </c>
      <c r="MM17" s="24">
        <v>0</v>
      </c>
      <c r="MN17" s="24">
        <v>0</v>
      </c>
      <c r="MO17" s="24">
        <v>11498</v>
      </c>
      <c r="MP17" s="24">
        <v>0</v>
      </c>
      <c r="MQ17" s="24">
        <v>0</v>
      </c>
      <c r="MR17" s="24">
        <v>324092</v>
      </c>
      <c r="MS17" s="24">
        <v>0</v>
      </c>
      <c r="MT17" s="24">
        <v>0</v>
      </c>
      <c r="MU17" s="24">
        <v>0</v>
      </c>
      <c r="MV17" s="24">
        <v>0</v>
      </c>
      <c r="MW17" s="24">
        <v>244480</v>
      </c>
      <c r="MX17" s="24">
        <v>16008</v>
      </c>
      <c r="MY17" s="24">
        <v>0</v>
      </c>
      <c r="MZ17" s="24">
        <v>0</v>
      </c>
      <c r="NA17" s="24">
        <v>0</v>
      </c>
      <c r="NB17" s="24">
        <v>0</v>
      </c>
      <c r="NC17" s="24">
        <v>0</v>
      </c>
      <c r="ND17" s="24">
        <v>0</v>
      </c>
      <c r="NE17" s="24">
        <v>0</v>
      </c>
      <c r="NF17" s="24">
        <v>0</v>
      </c>
      <c r="NG17" s="24">
        <v>0</v>
      </c>
      <c r="NH17" s="24">
        <v>0</v>
      </c>
      <c r="NI17" s="24">
        <v>0</v>
      </c>
      <c r="NJ17" s="24">
        <v>0</v>
      </c>
      <c r="NK17" s="24">
        <v>0</v>
      </c>
      <c r="NL17" s="24">
        <v>0</v>
      </c>
      <c r="NM17" s="24">
        <v>0</v>
      </c>
      <c r="NN17" s="24">
        <v>0</v>
      </c>
      <c r="NO17" s="24">
        <v>0</v>
      </c>
      <c r="NP17" s="24">
        <v>0</v>
      </c>
      <c r="NQ17" s="24">
        <v>0</v>
      </c>
      <c r="NR17" s="24">
        <v>0</v>
      </c>
      <c r="NS17" s="24">
        <v>0</v>
      </c>
      <c r="NT17" s="24">
        <v>0</v>
      </c>
      <c r="NU17" s="24">
        <v>0</v>
      </c>
      <c r="NV17" s="24">
        <v>55416</v>
      </c>
      <c r="NW17" s="24">
        <v>0</v>
      </c>
      <c r="NX17" s="24">
        <v>0</v>
      </c>
      <c r="NY17" s="24">
        <v>0</v>
      </c>
      <c r="NZ17" s="24">
        <v>0</v>
      </c>
      <c r="OA17" s="24">
        <v>0</v>
      </c>
      <c r="OB17" s="24">
        <v>0</v>
      </c>
      <c r="OC17" s="24">
        <v>0</v>
      </c>
      <c r="OD17" s="24">
        <v>0</v>
      </c>
      <c r="OE17" s="24">
        <v>0</v>
      </c>
      <c r="OF17" s="24">
        <v>0</v>
      </c>
      <c r="OG17" s="24">
        <v>0</v>
      </c>
      <c r="OH17" s="24">
        <v>0</v>
      </c>
      <c r="OI17" s="24">
        <v>0</v>
      </c>
      <c r="OJ17" s="24">
        <v>0</v>
      </c>
      <c r="OK17" s="24">
        <v>0</v>
      </c>
      <c r="OL17" s="24">
        <v>0</v>
      </c>
      <c r="OM17" s="24">
        <v>0</v>
      </c>
      <c r="ON17" s="24">
        <v>0</v>
      </c>
      <c r="OO17" s="24">
        <v>0</v>
      </c>
      <c r="OP17" s="24">
        <v>0</v>
      </c>
      <c r="OQ17" s="24">
        <v>0</v>
      </c>
      <c r="OR17" s="24">
        <v>0</v>
      </c>
      <c r="OS17" s="24">
        <v>0</v>
      </c>
      <c r="OT17" s="24">
        <v>0</v>
      </c>
      <c r="OU17" s="24">
        <v>0</v>
      </c>
      <c r="OV17" s="24">
        <v>0</v>
      </c>
      <c r="OW17" s="24">
        <v>0</v>
      </c>
      <c r="OX17" s="24">
        <v>0</v>
      </c>
      <c r="OY17" s="24">
        <v>0</v>
      </c>
      <c r="OZ17" s="24">
        <v>0</v>
      </c>
      <c r="PA17" s="24">
        <v>0</v>
      </c>
      <c r="PB17" s="24">
        <v>0</v>
      </c>
      <c r="PC17" s="24">
        <v>0</v>
      </c>
      <c r="PD17" s="24">
        <v>0</v>
      </c>
      <c r="PE17" s="24">
        <v>0</v>
      </c>
      <c r="PF17" s="24">
        <v>0</v>
      </c>
      <c r="PG17" s="24">
        <v>0</v>
      </c>
      <c r="PH17" s="24">
        <v>23483</v>
      </c>
      <c r="PI17" s="24">
        <v>0</v>
      </c>
      <c r="PJ17" s="24">
        <v>0</v>
      </c>
      <c r="PK17" s="24">
        <v>0</v>
      </c>
      <c r="PL17" s="24">
        <v>0</v>
      </c>
      <c r="PM17" s="24">
        <v>0</v>
      </c>
      <c r="PN17" s="24">
        <v>0</v>
      </c>
      <c r="PO17" s="24">
        <v>0</v>
      </c>
      <c r="PP17" s="24">
        <v>0</v>
      </c>
      <c r="PQ17" s="24">
        <v>0</v>
      </c>
      <c r="PR17" s="24">
        <v>0</v>
      </c>
      <c r="PS17" s="24">
        <v>0</v>
      </c>
      <c r="PT17" s="24">
        <v>0</v>
      </c>
      <c r="PU17" s="24">
        <v>0</v>
      </c>
      <c r="PV17" s="24">
        <v>0</v>
      </c>
      <c r="PW17" s="24">
        <v>0</v>
      </c>
      <c r="PX17" s="24">
        <v>0</v>
      </c>
      <c r="PY17" s="24">
        <v>0</v>
      </c>
      <c r="PZ17" s="24">
        <v>0</v>
      </c>
      <c r="QA17" s="24">
        <v>0</v>
      </c>
      <c r="QB17" s="24">
        <v>0</v>
      </c>
      <c r="QC17" s="24">
        <v>0</v>
      </c>
      <c r="QD17" s="24">
        <v>0</v>
      </c>
      <c r="QE17" s="24">
        <v>0</v>
      </c>
      <c r="QF17" s="24">
        <v>0</v>
      </c>
      <c r="QG17" s="24">
        <v>0</v>
      </c>
      <c r="QH17" s="24">
        <v>0</v>
      </c>
      <c r="QI17" s="24">
        <v>0</v>
      </c>
      <c r="QJ17" s="24">
        <v>0</v>
      </c>
      <c r="QK17" s="24">
        <v>0</v>
      </c>
      <c r="QL17" s="24">
        <v>0</v>
      </c>
      <c r="QM17" s="24">
        <v>0</v>
      </c>
      <c r="QN17" s="24">
        <v>0</v>
      </c>
      <c r="QO17" s="24">
        <v>0</v>
      </c>
      <c r="QP17" s="24">
        <v>0</v>
      </c>
      <c r="QQ17" s="24">
        <v>0</v>
      </c>
      <c r="QR17" s="24">
        <v>0</v>
      </c>
      <c r="QS17" s="24">
        <v>0</v>
      </c>
      <c r="QT17" s="24">
        <v>0</v>
      </c>
      <c r="QU17" s="24">
        <v>0</v>
      </c>
      <c r="QV17" s="24">
        <v>175645</v>
      </c>
      <c r="QW17" s="24">
        <v>61968</v>
      </c>
      <c r="QX17" s="24">
        <v>0</v>
      </c>
      <c r="QY17" s="24">
        <v>0</v>
      </c>
      <c r="QZ17" s="24">
        <v>0</v>
      </c>
      <c r="RA17" s="24">
        <v>0</v>
      </c>
      <c r="RB17" s="24">
        <v>0</v>
      </c>
      <c r="RG17" s="39">
        <f t="shared" si="48"/>
        <v>4830386</v>
      </c>
      <c r="RH17" s="39">
        <f t="shared" si="7"/>
        <v>378184</v>
      </c>
      <c r="RI17" s="39">
        <f t="shared" si="7"/>
        <v>0</v>
      </c>
      <c r="RJ17" s="39">
        <f t="shared" si="7"/>
        <v>0</v>
      </c>
      <c r="RK17" s="39">
        <f t="shared" si="7"/>
        <v>0</v>
      </c>
      <c r="RL17" s="39">
        <f t="shared" si="7"/>
        <v>641399</v>
      </c>
      <c r="RM17" s="39">
        <f t="shared" si="7"/>
        <v>229324</v>
      </c>
      <c r="RN17" s="39">
        <f t="shared" si="7"/>
        <v>7750</v>
      </c>
      <c r="RO17" s="39">
        <f t="shared" si="7"/>
        <v>55501</v>
      </c>
      <c r="RP17" s="39">
        <f t="shared" si="7"/>
        <v>22096</v>
      </c>
      <c r="RQ17" s="39">
        <f t="shared" si="7"/>
        <v>0</v>
      </c>
      <c r="RR17" s="39">
        <f t="shared" si="7"/>
        <v>66800</v>
      </c>
      <c r="RS17" s="39"/>
      <c r="RT17" s="182"/>
      <c r="RU17" s="39"/>
      <c r="RV17" s="39">
        <f t="shared" si="49"/>
        <v>865580</v>
      </c>
      <c r="RW17" s="39">
        <f t="shared" si="8"/>
        <v>6231440</v>
      </c>
      <c r="RX17" s="39">
        <f t="shared" si="8"/>
        <v>1533405</v>
      </c>
      <c r="RY17" s="39">
        <f t="shared" si="8"/>
        <v>261096</v>
      </c>
      <c r="RZ17" s="39"/>
      <c r="SA17" s="182"/>
      <c r="SB17" s="39"/>
      <c r="SC17" s="25">
        <f t="shared" si="50"/>
        <v>1548.8939393939395</v>
      </c>
      <c r="SD17" s="39">
        <f>IFERROR(VLOOKUP(A17, 'Levy Data 15-16'!$B:$O, 3, FALSE), 0)</f>
        <v>817372314</v>
      </c>
      <c r="SE17" s="39">
        <f t="shared" si="9"/>
        <v>825628.6</v>
      </c>
      <c r="SF17" s="631">
        <f>IFERROR(VLOOKUP(A17, 'Levy Data 15-16'!$B:$O, 14, FALSE), 0)*1000</f>
        <v>1.5609310000000001</v>
      </c>
      <c r="SG17" s="39">
        <f t="shared" si="10"/>
        <v>0</v>
      </c>
      <c r="SH17" s="39">
        <f t="shared" si="11"/>
        <v>0</v>
      </c>
      <c r="SI17" s="39">
        <f t="shared" si="12"/>
        <v>1533405</v>
      </c>
      <c r="SM17" s="39">
        <f t="shared" si="13"/>
        <v>6231440</v>
      </c>
      <c r="SN17" s="39">
        <f t="shared" si="14"/>
        <v>0</v>
      </c>
      <c r="SO17" s="39">
        <f t="shared" si="51"/>
        <v>6231440</v>
      </c>
      <c r="SP17" s="50">
        <f t="shared" si="52"/>
        <v>1</v>
      </c>
      <c r="ST17" s="124">
        <f>IFERROR(VLOOKUP(A17,'Grade Enroll 15-16'!B:AC,27,FALSE),"")</f>
        <v>990</v>
      </c>
      <c r="SU17" s="124">
        <f t="shared" si="53"/>
        <v>456.85403445149592</v>
      </c>
      <c r="SV17" s="131">
        <f>IFERROR(VLOOKUP($A17, 'Title I Enroll 16-17'!S:V, 4, FALSE), 0)</f>
        <v>0.46146872166817771</v>
      </c>
      <c r="SW17" s="729">
        <f>IFERROR(VLOOKUP(A17, 'ELL Enroll 15-16'!$N:$S, 6, FALSE), 0)</f>
        <v>5</v>
      </c>
      <c r="SX17" s="131">
        <f t="shared" si="54"/>
        <v>5.0505050505050509E-3</v>
      </c>
      <c r="SY17" s="124">
        <f>IFERROR(VLOOKUP(A17, 'SPED enroll 2015-16'!$M:$O, 3, FALSE), 0)</f>
        <v>134</v>
      </c>
      <c r="SZ17" s="131">
        <f t="shared" si="55"/>
        <v>0.13535353535353536</v>
      </c>
      <c r="TA17" s="142">
        <f t="shared" si="56"/>
        <v>93.8</v>
      </c>
      <c r="TB17" s="142">
        <f t="shared" si="15"/>
        <v>26.8</v>
      </c>
      <c r="TC17" s="142">
        <f t="shared" si="15"/>
        <v>9.3800000000000008</v>
      </c>
      <c r="TD17" s="142">
        <f t="shared" si="15"/>
        <v>4.0199999999999996</v>
      </c>
      <c r="TE17" s="124">
        <f>VLOOKUP($A17, 'Grade Enroll 15-16'!$B:$AB, 20, FALSE)</f>
        <v>21</v>
      </c>
      <c r="TF17" s="124">
        <f>VLOOKUP($A17, 'Grade Enroll 15-16'!$B:$AB, 21, FALSE)</f>
        <v>105</v>
      </c>
      <c r="TG17" s="124">
        <f>VLOOKUP($A17, 'Grade Enroll 15-16'!$B:$AB, 22, FALSE)</f>
        <v>254</v>
      </c>
      <c r="TH17" s="124">
        <f>VLOOKUP($A17, 'Grade Enroll 15-16'!$B:$AB, 23, FALSE)</f>
        <v>242</v>
      </c>
      <c r="TI17" s="124">
        <f>VLOOKUP($A17, 'Grade Enroll 15-16'!$B:$AB, 24, FALSE)</f>
        <v>168</v>
      </c>
      <c r="TJ17" s="124">
        <f>VLOOKUP($A17, 'Grade Enroll 15-16'!$B:$AB, 25, FALSE)</f>
        <v>326</v>
      </c>
      <c r="TK17" s="124">
        <f>VLOOKUP($A17, 'Grade Enroll 15-16'!$B:$AB, 26, FALSE)</f>
        <v>663</v>
      </c>
      <c r="TL17" s="131">
        <f>SUMIFS('Student Achievement 15-16'!N:N, 'Student Achievement 15-16'!B:B, 'Idaho Data'!A17, 'Student Achievement 15-16'!D:D, "math")/100</f>
        <v>0.27100000000000002</v>
      </c>
      <c r="TM17" s="134">
        <f t="shared" si="57"/>
        <v>268.29000000000002</v>
      </c>
      <c r="TN17" s="131">
        <f>SUMIFS('Student Achievement 15-16'!N:N, 'Student Achievement 15-16'!B:B, 'Idaho Data'!A17, 'Student Achievement 15-16'!D:D, "ela")/100</f>
        <v>0.21299999999999999</v>
      </c>
      <c r="TO17" s="134">
        <f t="shared" si="58"/>
        <v>210.87</v>
      </c>
      <c r="TP17" s="688">
        <f>IFERROR(VLOOKUP(A17, 'G&amp;T 15-16'!B:G, 6, FALSE), 0)*1</f>
        <v>0</v>
      </c>
      <c r="TQ17" s="168">
        <f t="shared" si="59"/>
        <v>59.4</v>
      </c>
      <c r="TU17" s="168">
        <f t="shared" si="60"/>
        <v>210.87</v>
      </c>
      <c r="TV17" s="168">
        <f t="shared" si="61"/>
        <v>268.29000000000002</v>
      </c>
      <c r="TW17" s="205">
        <f t="shared" si="62"/>
        <v>268.29000000000002</v>
      </c>
      <c r="TX17" s="144"/>
      <c r="TY17" s="129"/>
      <c r="TZ17" s="127">
        <f t="shared" si="63"/>
        <v>0</v>
      </c>
      <c r="UA17" s="127">
        <f t="shared" si="64"/>
        <v>59.4</v>
      </c>
      <c r="UB17" s="205">
        <f t="shared" si="65"/>
        <v>59.4</v>
      </c>
      <c r="UE17" s="853" t="str">
        <f>IF(ST17&lt;='1. Simulator Input'!$E$104, "yes", "")</f>
        <v/>
      </c>
      <c r="UI17" s="199">
        <f t="shared" si="66"/>
        <v>0</v>
      </c>
      <c r="UJ17" s="200">
        <f>IF('Idaho Data'!SI17&gt;=0, ((1-'1. Simulator Input'!$E$39)*'Idaho Data'!SI17), 0)</f>
        <v>0</v>
      </c>
      <c r="UK17" s="200">
        <f t="shared" si="67"/>
        <v>6231440</v>
      </c>
      <c r="UL17" s="39"/>
      <c r="UM17" s="182"/>
      <c r="UN17" s="39"/>
      <c r="UO17" s="39" t="str">
        <f>IF(AND('1. Simulator Input'!$E$96="yes", '1. Simulator Input'!$E$98="yes", '1. Simulator Input'!$E$100="hold harmless"), 'Idaho Data'!WN17, IF(AND('1. Simulator Input'!$E$96="yes", '1. Simulator Input'!$E$98="no", '1. Simulator Input'!$E$100="hold harmless"), 'Idaho Data'!WM17, IF(AND('1. Simulator Input'!$E$96="yes", '1. Simulator Input'!$E$98="yes", '1. Simulator Input'!$E$100="small district grant"), WL17,IF(AND('1. Simulator Input'!$E$96="yes", '1. Simulator Input'!$E$98="no", '1. Simulator Input'!$E$100="small district grant"), WK17, ""))))</f>
        <v/>
      </c>
      <c r="UP17" s="200">
        <f>'1. Simulator Input'!$D$56*('Idaho Data'!ST17)</f>
        <v>5470740</v>
      </c>
      <c r="UQ17" s="204">
        <f>'1. Simulator Input'!$D$65*'1. Simulator Input'!$D$56*'Idaho Data'!SU17</f>
        <v>0</v>
      </c>
      <c r="UR17" s="204">
        <f>'1. Simulator Input'!$D$66*'1. Simulator Input'!$D$56*'Idaho Data'!SW17</f>
        <v>0</v>
      </c>
      <c r="US17" s="200">
        <f>'1. Simulator Input'!$D$67*'1. Simulator Input'!$D$56*'Idaho Data'!TA17</f>
        <v>0</v>
      </c>
      <c r="UT17" s="200">
        <f>'1. Simulator Input'!$D$68*'1. Simulator Input'!$D$56*'Idaho Data'!TB17</f>
        <v>0</v>
      </c>
      <c r="UU17" s="200">
        <f>'1. Simulator Input'!$D$69*'1. Simulator Input'!$D$56*'Idaho Data'!TC17</f>
        <v>0</v>
      </c>
      <c r="UV17" s="200">
        <f>'1. Simulator Input'!$D$70*'1. Simulator Input'!$D$56*TD17</f>
        <v>0</v>
      </c>
      <c r="UW17" s="200">
        <f>'1. Simulator Input'!$D$80*'1. Simulator Input'!$D$56*TW17</f>
        <v>0</v>
      </c>
      <c r="UX17" s="200">
        <f>'1. Simulator Input'!$D$79*'1. Simulator Input'!$D$56*UB17</f>
        <v>0</v>
      </c>
      <c r="UY17" s="200">
        <f>'1. Simulator Input'!$D$87*'1. Simulator Input'!$D$56*TF17</f>
        <v>290115</v>
      </c>
      <c r="UZ17" s="200">
        <f>'1. Simulator Input'!$D$73*'1. Simulator Input'!$D$56*'Idaho Data'!TG17</f>
        <v>0</v>
      </c>
      <c r="VA17" s="200">
        <f>'1. Simulator Input'!$D$56*'1. Simulator Input'!$D$74*'Idaho Data'!TH17</f>
        <v>0</v>
      </c>
      <c r="VB17" s="200">
        <f>'1. Simulator Input'!$D$56*'1. Simulator Input'!$D$75*'Idaho Data'!TI12</f>
        <v>0</v>
      </c>
      <c r="VC17" s="200">
        <f>'1. Simulator Input'!$D$76*'1. Simulator Input'!$D$56*'Idaho Data'!TJ17</f>
        <v>0</v>
      </c>
      <c r="VD17" s="200">
        <f t="shared" si="68"/>
        <v>5760855</v>
      </c>
      <c r="VE17" s="200"/>
      <c r="VF17" s="182"/>
      <c r="VG17" s="200"/>
      <c r="VH17" s="200">
        <f t="shared" si="69"/>
        <v>0</v>
      </c>
      <c r="VI17" s="200">
        <f t="shared" si="70"/>
        <v>0</v>
      </c>
      <c r="VJ17" s="200">
        <f t="shared" si="16"/>
        <v>5760855</v>
      </c>
      <c r="VK17" s="200">
        <f t="shared" si="17"/>
        <v>5760855</v>
      </c>
      <c r="VL17" s="200"/>
      <c r="VM17" s="182"/>
      <c r="VN17" s="200"/>
      <c r="VO17" s="200">
        <f t="shared" si="71"/>
        <v>865580</v>
      </c>
      <c r="VP17" s="200">
        <f t="shared" si="72"/>
        <v>6231440</v>
      </c>
      <c r="VQ17" s="200">
        <f t="shared" si="73"/>
        <v>1533405</v>
      </c>
      <c r="VR17" s="200">
        <f t="shared" si="74"/>
        <v>865580</v>
      </c>
      <c r="VS17" s="200">
        <f t="shared" si="18"/>
        <v>5760855</v>
      </c>
      <c r="VT17" s="200">
        <f t="shared" si="19"/>
        <v>1533405</v>
      </c>
      <c r="VU17" s="200">
        <f t="shared" si="20"/>
        <v>0</v>
      </c>
      <c r="VV17" s="200"/>
      <c r="VW17" s="182"/>
      <c r="VX17" s="200"/>
      <c r="VZ17" s="199">
        <f t="shared" si="75"/>
        <v>-470585</v>
      </c>
      <c r="WA17" s="199">
        <f t="shared" si="76"/>
        <v>-475.33838383838383</v>
      </c>
      <c r="WB17" s="131">
        <f t="shared" si="77"/>
        <v>-7.5517857830613794E-2</v>
      </c>
      <c r="WC17" s="131"/>
      <c r="WD17" s="461"/>
      <c r="WE17" s="893"/>
      <c r="WF17" s="893">
        <f t="shared" si="78"/>
        <v>8717.6010101010106</v>
      </c>
      <c r="WG17" s="893">
        <f t="shared" si="79"/>
        <v>8242.2626262626254</v>
      </c>
      <c r="WH17" s="893"/>
      <c r="WI17" s="893">
        <f t="shared" si="80"/>
        <v>6231440</v>
      </c>
      <c r="WJ17" s="893">
        <f t="shared" si="21"/>
        <v>5760855</v>
      </c>
      <c r="WK17" s="39" t="str">
        <f t="shared" si="22"/>
        <v/>
      </c>
      <c r="WL17" s="39" t="str">
        <f t="shared" si="23"/>
        <v/>
      </c>
      <c r="WM17" s="200" t="str">
        <f t="shared" si="24"/>
        <v/>
      </c>
      <c r="WN17" s="39" t="str">
        <f t="shared" si="25"/>
        <v/>
      </c>
      <c r="WO17" s="39"/>
      <c r="WP17" s="182"/>
      <c r="WQ17" s="39"/>
      <c r="WR17" s="305">
        <f t="shared" si="26"/>
        <v>0.76300000000000001</v>
      </c>
      <c r="WT17" s="200">
        <f t="shared" si="27"/>
        <v>6294.3838383838383</v>
      </c>
      <c r="WU17" s="131">
        <f t="shared" si="81"/>
        <v>0.47</v>
      </c>
      <c r="WW17" s="199">
        <f t="shared" si="28"/>
        <v>865580</v>
      </c>
      <c r="WX17" s="199">
        <f t="shared" si="29"/>
        <v>5760855</v>
      </c>
      <c r="WY17" s="199">
        <f t="shared" si="30"/>
        <v>0</v>
      </c>
      <c r="WZ17" s="199">
        <f t="shared" si="82"/>
        <v>5760855</v>
      </c>
      <c r="XA17" s="199">
        <f t="shared" si="31"/>
        <v>0</v>
      </c>
      <c r="XB17" s="199">
        <f t="shared" si="32"/>
        <v>1533405</v>
      </c>
      <c r="XC17" s="199">
        <f t="shared" si="33"/>
        <v>1533405</v>
      </c>
      <c r="XD17" s="199" t="str">
        <f t="shared" si="34"/>
        <v/>
      </c>
      <c r="XE17" s="199"/>
      <c r="XF17" s="199"/>
      <c r="XG17" s="199"/>
      <c r="XH17" s="199"/>
      <c r="XI17" s="199"/>
      <c r="XJ17" s="199">
        <f t="shared" si="83"/>
        <v>5760855</v>
      </c>
      <c r="XK17" s="833"/>
      <c r="XP17" s="199">
        <f t="shared" si="35"/>
        <v>5760855</v>
      </c>
      <c r="XQ17" s="199">
        <f t="shared" si="36"/>
        <v>5819.045454545455</v>
      </c>
      <c r="XR17" s="199">
        <f t="shared" si="37"/>
        <v>5760855</v>
      </c>
      <c r="XS17" s="199">
        <f t="shared" si="38"/>
        <v>5760855</v>
      </c>
      <c r="XT17" s="199">
        <f t="shared" si="39"/>
        <v>5819.045454545455</v>
      </c>
      <c r="XU17" s="199">
        <f t="shared" si="40"/>
        <v>6231440</v>
      </c>
      <c r="XV17" s="199">
        <f t="shared" si="41"/>
        <v>6294.3838383838383</v>
      </c>
      <c r="XW17" s="199">
        <f t="shared" si="42"/>
        <v>6231440</v>
      </c>
      <c r="XX17" s="199">
        <f t="shared" si="43"/>
        <v>6294.3838383838383</v>
      </c>
      <c r="XY17" s="199">
        <f t="shared" si="84"/>
        <v>-470585</v>
      </c>
      <c r="XZ17" s="199">
        <f t="shared" si="85"/>
        <v>-475.33838383838338</v>
      </c>
      <c r="YA17" s="131">
        <f t="shared" si="86"/>
        <v>-7.5517857830613724E-2</v>
      </c>
      <c r="YB17" s="199"/>
      <c r="YC17" s="221"/>
      <c r="YD17" s="199"/>
      <c r="YE17" s="199">
        <f t="shared" si="44"/>
        <v>865580</v>
      </c>
      <c r="YF17" s="200">
        <f t="shared" si="45"/>
        <v>0</v>
      </c>
      <c r="YG17" s="199">
        <f t="shared" si="46"/>
        <v>1533405</v>
      </c>
      <c r="YH17" s="199">
        <f t="shared" si="47"/>
        <v>261096</v>
      </c>
    </row>
    <row r="18" spans="1:658">
      <c r="A18" s="3">
        <v>41</v>
      </c>
      <c r="B18" s="2" t="s">
        <v>109</v>
      </c>
      <c r="C18" s="24">
        <v>0</v>
      </c>
      <c r="D18" s="24">
        <v>0</v>
      </c>
      <c r="E18" s="24">
        <v>0</v>
      </c>
      <c r="F18" s="24">
        <v>0</v>
      </c>
      <c r="G18" s="24">
        <v>2078562</v>
      </c>
      <c r="H18" s="24">
        <v>0</v>
      </c>
      <c r="I18" s="24">
        <v>0</v>
      </c>
      <c r="J18" s="24">
        <v>6783</v>
      </c>
      <c r="K18" s="24">
        <v>0</v>
      </c>
      <c r="L18" s="24">
        <v>0</v>
      </c>
      <c r="M18" s="24">
        <v>0</v>
      </c>
      <c r="N18" s="24">
        <v>0</v>
      </c>
      <c r="O18" s="24">
        <v>0</v>
      </c>
      <c r="P18" s="24">
        <v>0</v>
      </c>
      <c r="Q18" s="24">
        <v>0</v>
      </c>
      <c r="R18" s="24">
        <v>0</v>
      </c>
      <c r="S18" s="24">
        <v>0</v>
      </c>
      <c r="T18" s="24">
        <v>0</v>
      </c>
      <c r="U18" s="24">
        <v>0</v>
      </c>
      <c r="V18" s="24">
        <v>0</v>
      </c>
      <c r="W18" s="24">
        <v>0</v>
      </c>
      <c r="X18" s="24">
        <v>0</v>
      </c>
      <c r="Y18" s="24">
        <v>28163</v>
      </c>
      <c r="Z18" s="24">
        <v>0</v>
      </c>
      <c r="AA18" s="24">
        <v>0</v>
      </c>
      <c r="AB18" s="24">
        <v>0</v>
      </c>
      <c r="AC18" s="24">
        <v>0</v>
      </c>
      <c r="AD18" s="24">
        <v>24880</v>
      </c>
      <c r="AE18" s="24">
        <v>0</v>
      </c>
      <c r="AF18" s="24">
        <v>0</v>
      </c>
      <c r="AG18" s="24">
        <v>0</v>
      </c>
      <c r="AH18" s="24">
        <v>0</v>
      </c>
      <c r="AI18" s="24">
        <v>0</v>
      </c>
      <c r="AJ18" s="24">
        <v>0</v>
      </c>
      <c r="AK18" s="24">
        <v>0</v>
      </c>
      <c r="AL18" s="24">
        <v>9099</v>
      </c>
      <c r="AM18" s="24">
        <v>0</v>
      </c>
      <c r="AN18" s="24">
        <v>0</v>
      </c>
      <c r="AO18" s="24">
        <v>0</v>
      </c>
      <c r="AP18" s="24">
        <v>0</v>
      </c>
      <c r="AQ18" s="24">
        <v>0</v>
      </c>
      <c r="AR18" s="24">
        <v>0</v>
      </c>
      <c r="AS18" s="24">
        <v>0</v>
      </c>
      <c r="AT18" s="24">
        <v>0</v>
      </c>
      <c r="AU18" s="24">
        <v>0</v>
      </c>
      <c r="AV18" s="24">
        <v>0</v>
      </c>
      <c r="AW18" s="24">
        <v>0</v>
      </c>
      <c r="AX18" s="24">
        <v>0</v>
      </c>
      <c r="AY18" s="24">
        <v>0</v>
      </c>
      <c r="AZ18" s="24">
        <v>0</v>
      </c>
      <c r="BA18" s="24">
        <v>0</v>
      </c>
      <c r="BB18" s="24">
        <v>0</v>
      </c>
      <c r="BC18" s="24">
        <v>3</v>
      </c>
      <c r="BD18" s="24">
        <v>0</v>
      </c>
      <c r="BE18" s="24">
        <v>0</v>
      </c>
      <c r="BF18" s="24">
        <v>3</v>
      </c>
      <c r="BG18" s="24">
        <v>0</v>
      </c>
      <c r="BH18" s="24">
        <v>0</v>
      </c>
      <c r="BI18" s="24">
        <v>0</v>
      </c>
      <c r="BJ18" s="24">
        <v>0</v>
      </c>
      <c r="BK18" s="24">
        <v>0</v>
      </c>
      <c r="BL18" s="24">
        <v>0</v>
      </c>
      <c r="BM18" s="24">
        <v>971</v>
      </c>
      <c r="BN18" s="24">
        <v>0</v>
      </c>
      <c r="BO18" s="24">
        <v>0</v>
      </c>
      <c r="BP18" s="24">
        <v>0</v>
      </c>
      <c r="BQ18" s="24">
        <v>0</v>
      </c>
      <c r="BR18" s="24">
        <v>0</v>
      </c>
      <c r="BS18" s="24">
        <v>0</v>
      </c>
      <c r="BT18" s="24">
        <v>0</v>
      </c>
      <c r="BU18" s="24">
        <v>0</v>
      </c>
      <c r="BV18" s="24">
        <v>0</v>
      </c>
      <c r="BW18" s="24">
        <v>0</v>
      </c>
      <c r="BX18" s="24">
        <v>0</v>
      </c>
      <c r="BY18" s="24">
        <v>0</v>
      </c>
      <c r="BZ18" s="24">
        <v>0</v>
      </c>
      <c r="CA18" s="24">
        <v>0</v>
      </c>
      <c r="CB18" s="24">
        <v>0</v>
      </c>
      <c r="CC18" s="24">
        <v>0</v>
      </c>
      <c r="CD18" s="24">
        <v>71866</v>
      </c>
      <c r="CE18" s="24">
        <v>5510</v>
      </c>
      <c r="CF18" s="24">
        <v>0</v>
      </c>
      <c r="CG18" s="24">
        <v>-7</v>
      </c>
      <c r="CH18" s="24">
        <v>0</v>
      </c>
      <c r="CI18" s="24">
        <v>0</v>
      </c>
      <c r="CJ18" s="24">
        <v>0</v>
      </c>
      <c r="CK18" s="24">
        <v>0</v>
      </c>
      <c r="CL18" s="24">
        <v>0</v>
      </c>
      <c r="CM18" s="24">
        <v>0</v>
      </c>
      <c r="CN18" s="24">
        <v>0</v>
      </c>
      <c r="CO18" s="24">
        <v>0</v>
      </c>
      <c r="CP18" s="24">
        <v>0</v>
      </c>
      <c r="CQ18" s="24">
        <v>0</v>
      </c>
      <c r="CR18" s="24">
        <v>0</v>
      </c>
      <c r="CS18" s="24">
        <v>0</v>
      </c>
      <c r="CT18" s="24">
        <v>0</v>
      </c>
      <c r="CU18" s="24">
        <v>0</v>
      </c>
      <c r="CV18" s="24">
        <v>0</v>
      </c>
      <c r="CW18" s="24">
        <v>0</v>
      </c>
      <c r="CX18" s="24">
        <v>0</v>
      </c>
      <c r="CY18" s="24">
        <v>0</v>
      </c>
      <c r="CZ18" s="24">
        <v>0</v>
      </c>
      <c r="DA18" s="24">
        <v>0</v>
      </c>
      <c r="DB18" s="24">
        <v>0</v>
      </c>
      <c r="DC18" s="24">
        <v>0</v>
      </c>
      <c r="DD18" s="24">
        <v>0</v>
      </c>
      <c r="DE18" s="24">
        <v>0</v>
      </c>
      <c r="DF18" s="24">
        <v>0</v>
      </c>
      <c r="DG18" s="24">
        <v>0</v>
      </c>
      <c r="DH18" s="24">
        <v>0</v>
      </c>
      <c r="DI18" s="24">
        <v>0</v>
      </c>
      <c r="DJ18" s="24">
        <v>0</v>
      </c>
      <c r="DK18" s="24">
        <v>0</v>
      </c>
      <c r="DL18" s="24">
        <v>0</v>
      </c>
      <c r="DM18" s="24">
        <v>0</v>
      </c>
      <c r="DN18" s="24">
        <v>0</v>
      </c>
      <c r="DO18" s="24">
        <v>0</v>
      </c>
      <c r="DP18" s="24">
        <v>0</v>
      </c>
      <c r="DQ18" s="24">
        <v>0</v>
      </c>
      <c r="DR18" s="24">
        <v>0</v>
      </c>
      <c r="DS18" s="24">
        <v>0</v>
      </c>
      <c r="DT18" s="24">
        <v>0</v>
      </c>
      <c r="DU18" s="24">
        <v>13693</v>
      </c>
      <c r="DV18" s="24">
        <v>0</v>
      </c>
      <c r="DW18" s="24">
        <v>0</v>
      </c>
      <c r="DX18" s="24">
        <v>0</v>
      </c>
      <c r="DY18" s="24">
        <v>0</v>
      </c>
      <c r="DZ18" s="24">
        <v>0</v>
      </c>
      <c r="EA18" s="24">
        <v>0</v>
      </c>
      <c r="EB18" s="24">
        <v>0</v>
      </c>
      <c r="EC18" s="24">
        <v>0</v>
      </c>
      <c r="ED18" s="24">
        <v>0</v>
      </c>
      <c r="EE18" s="24">
        <v>0</v>
      </c>
      <c r="EF18" s="24">
        <v>0</v>
      </c>
      <c r="EG18" s="24">
        <v>14725</v>
      </c>
      <c r="EH18" s="24">
        <v>0</v>
      </c>
      <c r="EI18" s="24">
        <v>0</v>
      </c>
      <c r="EJ18" s="24">
        <v>0</v>
      </c>
      <c r="EK18" s="24">
        <v>0</v>
      </c>
      <c r="EL18" s="24">
        <v>0</v>
      </c>
      <c r="EM18" s="24">
        <v>0</v>
      </c>
      <c r="EN18" s="24">
        <v>0</v>
      </c>
      <c r="EO18" s="24">
        <v>0</v>
      </c>
      <c r="EP18" s="24">
        <v>0</v>
      </c>
      <c r="EQ18" s="24">
        <v>0</v>
      </c>
      <c r="ER18" s="24">
        <v>0</v>
      </c>
      <c r="ES18" s="24">
        <v>0</v>
      </c>
      <c r="ET18" s="24">
        <v>0</v>
      </c>
      <c r="EU18" s="24">
        <v>0</v>
      </c>
      <c r="EV18" s="24">
        <v>0</v>
      </c>
      <c r="EW18" s="24">
        <v>0</v>
      </c>
      <c r="EX18" s="24">
        <v>0</v>
      </c>
      <c r="EY18" s="24">
        <v>0</v>
      </c>
      <c r="EZ18" s="24">
        <v>0</v>
      </c>
      <c r="FA18" s="24">
        <v>0</v>
      </c>
      <c r="FB18" s="24">
        <v>0</v>
      </c>
      <c r="FC18" s="24">
        <v>0</v>
      </c>
      <c r="FD18" s="24">
        <v>0</v>
      </c>
      <c r="FE18" s="24">
        <v>0</v>
      </c>
      <c r="FF18" s="24">
        <v>0</v>
      </c>
      <c r="FG18" s="24">
        <v>0</v>
      </c>
      <c r="FH18" s="24">
        <v>0</v>
      </c>
      <c r="FI18" s="24">
        <v>0</v>
      </c>
      <c r="FJ18" s="24">
        <v>0</v>
      </c>
      <c r="FK18" s="24">
        <v>0</v>
      </c>
      <c r="FL18" s="24">
        <v>13373</v>
      </c>
      <c r="FM18" s="24">
        <v>0</v>
      </c>
      <c r="FN18" s="24">
        <v>0</v>
      </c>
      <c r="FO18" s="24">
        <v>0</v>
      </c>
      <c r="FP18" s="24">
        <v>0</v>
      </c>
      <c r="FQ18" s="24">
        <v>0</v>
      </c>
      <c r="FR18" s="24">
        <v>0</v>
      </c>
      <c r="FS18" s="24">
        <v>157622</v>
      </c>
      <c r="FT18" s="24">
        <v>0</v>
      </c>
      <c r="FU18" s="24">
        <v>0</v>
      </c>
      <c r="FV18" s="24">
        <v>0</v>
      </c>
      <c r="FW18" s="24">
        <v>0</v>
      </c>
      <c r="FX18" s="24">
        <v>0</v>
      </c>
      <c r="FY18" s="24">
        <v>0</v>
      </c>
      <c r="FZ18" s="24">
        <v>0</v>
      </c>
      <c r="GA18" s="24">
        <v>0</v>
      </c>
      <c r="GB18" s="24">
        <v>0</v>
      </c>
      <c r="GC18" s="24">
        <v>0</v>
      </c>
      <c r="GD18" s="24">
        <v>0</v>
      </c>
      <c r="GE18" s="24">
        <v>9500</v>
      </c>
      <c r="GF18" s="24">
        <v>0</v>
      </c>
      <c r="GG18" s="24">
        <v>0</v>
      </c>
      <c r="GH18" s="24">
        <v>0</v>
      </c>
      <c r="GI18" s="24">
        <v>0</v>
      </c>
      <c r="GJ18" s="24">
        <v>0</v>
      </c>
      <c r="GK18" s="24">
        <v>0</v>
      </c>
      <c r="GL18" s="24">
        <v>0</v>
      </c>
      <c r="GM18" s="24">
        <v>0</v>
      </c>
      <c r="GN18" s="24">
        <v>0</v>
      </c>
      <c r="GO18" s="24">
        <v>0</v>
      </c>
      <c r="GP18" s="24">
        <v>0</v>
      </c>
      <c r="GQ18" s="24">
        <v>0</v>
      </c>
      <c r="GR18" s="24">
        <v>0</v>
      </c>
      <c r="GS18" s="24">
        <v>0</v>
      </c>
      <c r="GT18" s="24">
        <v>0</v>
      </c>
      <c r="GU18" s="24">
        <v>0</v>
      </c>
      <c r="GV18" s="24">
        <v>0</v>
      </c>
      <c r="GW18" s="24">
        <v>0</v>
      </c>
      <c r="GX18" s="24">
        <v>0</v>
      </c>
      <c r="GY18" s="24">
        <v>0</v>
      </c>
      <c r="GZ18" s="24">
        <v>0</v>
      </c>
      <c r="HA18" s="24">
        <v>0</v>
      </c>
      <c r="HB18" s="24">
        <v>0</v>
      </c>
      <c r="HC18" s="24">
        <v>0</v>
      </c>
      <c r="HD18" s="24">
        <v>4079857</v>
      </c>
      <c r="HE18" s="24">
        <v>0</v>
      </c>
      <c r="HF18" s="24">
        <v>0</v>
      </c>
      <c r="HG18" s="24">
        <v>0</v>
      </c>
      <c r="HH18" s="24">
        <v>0</v>
      </c>
      <c r="HI18" s="24">
        <v>489676</v>
      </c>
      <c r="HJ18" s="24">
        <v>0</v>
      </c>
      <c r="HK18" s="24">
        <v>0</v>
      </c>
      <c r="HL18" s="24">
        <v>0</v>
      </c>
      <c r="HM18" s="24">
        <v>0</v>
      </c>
      <c r="HN18" s="24">
        <v>816</v>
      </c>
      <c r="HO18" s="24">
        <v>539230</v>
      </c>
      <c r="HP18" s="24">
        <v>155621</v>
      </c>
      <c r="HQ18" s="24">
        <v>0</v>
      </c>
      <c r="HR18" s="24">
        <v>0</v>
      </c>
      <c r="HS18" s="24">
        <v>0</v>
      </c>
      <c r="HT18" s="24">
        <v>0</v>
      </c>
      <c r="HU18" s="24">
        <v>0</v>
      </c>
      <c r="HV18" s="24">
        <v>0</v>
      </c>
      <c r="HW18" s="24">
        <v>0</v>
      </c>
      <c r="HX18" s="24">
        <v>0</v>
      </c>
      <c r="HY18" s="24">
        <v>0</v>
      </c>
      <c r="HZ18" s="24">
        <v>0</v>
      </c>
      <c r="IA18" s="24">
        <v>60042</v>
      </c>
      <c r="IB18" s="24">
        <v>13675</v>
      </c>
      <c r="IC18" s="24">
        <v>0</v>
      </c>
      <c r="ID18" s="24">
        <v>0</v>
      </c>
      <c r="IE18" s="24">
        <v>0</v>
      </c>
      <c r="IF18" s="24">
        <v>0</v>
      </c>
      <c r="IG18" s="24">
        <v>0</v>
      </c>
      <c r="IH18" s="24">
        <v>0</v>
      </c>
      <c r="II18" s="24">
        <v>0</v>
      </c>
      <c r="IJ18" s="24">
        <v>0</v>
      </c>
      <c r="IK18" s="24">
        <v>0</v>
      </c>
      <c r="IL18" s="24">
        <v>0</v>
      </c>
      <c r="IM18" s="24">
        <v>0</v>
      </c>
      <c r="IN18" s="24">
        <v>0</v>
      </c>
      <c r="IO18" s="24">
        <v>7375</v>
      </c>
      <c r="IP18" s="24">
        <v>0</v>
      </c>
      <c r="IQ18" s="24">
        <v>0</v>
      </c>
      <c r="IR18" s="24">
        <v>22895</v>
      </c>
      <c r="IS18" s="24">
        <v>0</v>
      </c>
      <c r="IT18" s="24">
        <v>0</v>
      </c>
      <c r="IU18" s="24">
        <v>0</v>
      </c>
      <c r="IV18" s="24">
        <v>0</v>
      </c>
      <c r="IW18" s="24">
        <v>0</v>
      </c>
      <c r="IX18" s="24">
        <v>0</v>
      </c>
      <c r="IY18" s="24">
        <v>0</v>
      </c>
      <c r="IZ18" s="24">
        <v>70457</v>
      </c>
      <c r="JA18" s="24">
        <v>0</v>
      </c>
      <c r="JB18" s="24">
        <v>46333</v>
      </c>
      <c r="JC18" s="24">
        <v>0</v>
      </c>
      <c r="JD18" s="24">
        <v>0</v>
      </c>
      <c r="JE18" s="24">
        <v>6379</v>
      </c>
      <c r="JF18" s="24">
        <v>0</v>
      </c>
      <c r="JG18" s="24">
        <v>0</v>
      </c>
      <c r="JH18" s="24">
        <v>0</v>
      </c>
      <c r="JI18" s="24">
        <v>0</v>
      </c>
      <c r="JJ18" s="24">
        <v>0</v>
      </c>
      <c r="JK18" s="24">
        <v>0</v>
      </c>
      <c r="JL18" s="24">
        <v>0</v>
      </c>
      <c r="JM18" s="24">
        <v>0</v>
      </c>
      <c r="JN18" s="24">
        <v>0</v>
      </c>
      <c r="JO18" s="24">
        <v>0</v>
      </c>
      <c r="JP18" s="24">
        <v>0</v>
      </c>
      <c r="JQ18" s="24">
        <v>0</v>
      </c>
      <c r="JR18" s="24">
        <v>0</v>
      </c>
      <c r="JS18" s="24">
        <v>0</v>
      </c>
      <c r="JT18" s="24">
        <v>0</v>
      </c>
      <c r="JU18" s="24">
        <v>0</v>
      </c>
      <c r="JV18" s="24">
        <v>0</v>
      </c>
      <c r="JW18" s="24">
        <v>0</v>
      </c>
      <c r="JX18" s="24">
        <v>0</v>
      </c>
      <c r="JY18" s="24">
        <v>0</v>
      </c>
      <c r="JZ18" s="24">
        <v>2015</v>
      </c>
      <c r="KA18" s="24">
        <v>0</v>
      </c>
      <c r="KB18" s="24">
        <v>0</v>
      </c>
      <c r="KC18" s="24">
        <v>0</v>
      </c>
      <c r="KD18" s="24">
        <v>0</v>
      </c>
      <c r="KE18" s="24">
        <v>0</v>
      </c>
      <c r="KF18" s="24">
        <v>0</v>
      </c>
      <c r="KG18" s="24">
        <v>0</v>
      </c>
      <c r="KH18" s="24">
        <v>0</v>
      </c>
      <c r="KI18" s="24">
        <v>0</v>
      </c>
      <c r="KJ18" s="24">
        <v>0</v>
      </c>
      <c r="KK18" s="24">
        <v>0</v>
      </c>
      <c r="KL18" s="24">
        <v>0</v>
      </c>
      <c r="KM18" s="24">
        <v>0</v>
      </c>
      <c r="KN18" s="24">
        <v>0</v>
      </c>
      <c r="KO18" s="24">
        <v>0</v>
      </c>
      <c r="KP18" s="24">
        <v>0</v>
      </c>
      <c r="KQ18" s="24">
        <v>0</v>
      </c>
      <c r="KR18" s="24">
        <v>0</v>
      </c>
      <c r="KS18" s="24">
        <v>0</v>
      </c>
      <c r="KT18" s="24">
        <v>0</v>
      </c>
      <c r="KU18" s="24">
        <v>0</v>
      </c>
      <c r="KV18" s="24">
        <v>0</v>
      </c>
      <c r="KW18" s="24">
        <v>0</v>
      </c>
      <c r="KX18" s="24">
        <v>0</v>
      </c>
      <c r="KY18" s="24">
        <v>0</v>
      </c>
      <c r="KZ18" s="24">
        <v>0</v>
      </c>
      <c r="LA18" s="24">
        <v>0</v>
      </c>
      <c r="LB18" s="24">
        <v>0</v>
      </c>
      <c r="LC18" s="24">
        <v>0</v>
      </c>
      <c r="LD18" s="24">
        <v>0</v>
      </c>
      <c r="LE18" s="24">
        <v>0</v>
      </c>
      <c r="LF18" s="24">
        <v>0</v>
      </c>
      <c r="LG18" s="24">
        <v>0</v>
      </c>
      <c r="LH18" s="24">
        <v>0</v>
      </c>
      <c r="LI18" s="24">
        <v>0</v>
      </c>
      <c r="LJ18" s="24">
        <v>0</v>
      </c>
      <c r="LK18" s="24">
        <v>0</v>
      </c>
      <c r="LL18" s="24">
        <v>0</v>
      </c>
      <c r="LM18" s="24">
        <v>0</v>
      </c>
      <c r="LN18" s="24">
        <v>0</v>
      </c>
      <c r="LO18" s="24">
        <v>0</v>
      </c>
      <c r="LP18" s="24">
        <v>0</v>
      </c>
      <c r="LQ18" s="24">
        <v>188422</v>
      </c>
      <c r="LR18" s="24">
        <v>0</v>
      </c>
      <c r="LS18" s="24">
        <v>0</v>
      </c>
      <c r="LT18" s="24">
        <v>0</v>
      </c>
      <c r="LU18" s="24">
        <v>0</v>
      </c>
      <c r="LV18" s="24">
        <v>0</v>
      </c>
      <c r="LW18" s="24">
        <v>0</v>
      </c>
      <c r="LX18" s="24">
        <v>0</v>
      </c>
      <c r="LY18" s="24">
        <v>39089</v>
      </c>
      <c r="LZ18" s="24">
        <v>0</v>
      </c>
      <c r="MA18" s="24">
        <v>0</v>
      </c>
      <c r="MB18" s="24">
        <v>0</v>
      </c>
      <c r="MC18" s="24">
        <v>0</v>
      </c>
      <c r="MD18" s="24">
        <v>0</v>
      </c>
      <c r="ME18" s="24">
        <v>0</v>
      </c>
      <c r="MF18" s="24">
        <v>0</v>
      </c>
      <c r="MG18" s="24">
        <v>0</v>
      </c>
      <c r="MH18" s="24">
        <v>0</v>
      </c>
      <c r="MI18" s="24">
        <v>0</v>
      </c>
      <c r="MJ18" s="24">
        <v>0</v>
      </c>
      <c r="MK18" s="24">
        <v>0</v>
      </c>
      <c r="ML18" s="24">
        <v>0</v>
      </c>
      <c r="MM18" s="24">
        <v>0</v>
      </c>
      <c r="MN18" s="24">
        <v>0</v>
      </c>
      <c r="MO18" s="24">
        <v>25274</v>
      </c>
      <c r="MP18" s="24">
        <v>0</v>
      </c>
      <c r="MQ18" s="24">
        <v>0</v>
      </c>
      <c r="MR18" s="24">
        <v>308357</v>
      </c>
      <c r="MS18" s="24">
        <v>0</v>
      </c>
      <c r="MT18" s="24">
        <v>0</v>
      </c>
      <c r="MU18" s="24">
        <v>0</v>
      </c>
      <c r="MV18" s="24">
        <v>0</v>
      </c>
      <c r="MW18" s="24">
        <v>200003</v>
      </c>
      <c r="MX18" s="24">
        <v>8725</v>
      </c>
      <c r="MY18" s="24">
        <v>0</v>
      </c>
      <c r="MZ18" s="24">
        <v>0</v>
      </c>
      <c r="NA18" s="24">
        <v>21430</v>
      </c>
      <c r="NB18" s="24">
        <v>22627</v>
      </c>
      <c r="NC18" s="24">
        <v>0</v>
      </c>
      <c r="ND18" s="24">
        <v>0</v>
      </c>
      <c r="NE18" s="24">
        <v>0</v>
      </c>
      <c r="NF18" s="24">
        <v>0</v>
      </c>
      <c r="NG18" s="24">
        <v>0</v>
      </c>
      <c r="NH18" s="24">
        <v>0</v>
      </c>
      <c r="NI18" s="24">
        <v>0</v>
      </c>
      <c r="NJ18" s="24">
        <v>0</v>
      </c>
      <c r="NK18" s="24">
        <v>0</v>
      </c>
      <c r="NL18" s="24">
        <v>0</v>
      </c>
      <c r="NM18" s="24">
        <v>0</v>
      </c>
      <c r="NN18" s="24">
        <v>0</v>
      </c>
      <c r="NO18" s="24">
        <v>0</v>
      </c>
      <c r="NP18" s="24">
        <v>0</v>
      </c>
      <c r="NQ18" s="24">
        <v>3696</v>
      </c>
      <c r="NR18" s="24">
        <v>0</v>
      </c>
      <c r="NS18" s="24">
        <v>0</v>
      </c>
      <c r="NT18" s="24">
        <v>0</v>
      </c>
      <c r="NU18" s="24">
        <v>0</v>
      </c>
      <c r="NV18" s="24">
        <v>7141</v>
      </c>
      <c r="NW18" s="24">
        <v>0</v>
      </c>
      <c r="NX18" s="24">
        <v>0</v>
      </c>
      <c r="NY18" s="24">
        <v>0</v>
      </c>
      <c r="NZ18" s="24">
        <v>0</v>
      </c>
      <c r="OA18" s="24">
        <v>0</v>
      </c>
      <c r="OB18" s="24">
        <v>0</v>
      </c>
      <c r="OC18" s="24">
        <v>0</v>
      </c>
      <c r="OD18" s="24">
        <v>0</v>
      </c>
      <c r="OE18" s="24">
        <v>0</v>
      </c>
      <c r="OF18" s="24">
        <v>0</v>
      </c>
      <c r="OG18" s="24">
        <v>6064</v>
      </c>
      <c r="OH18" s="24">
        <v>0</v>
      </c>
      <c r="OI18" s="24">
        <v>0</v>
      </c>
      <c r="OJ18" s="24">
        <v>0</v>
      </c>
      <c r="OK18" s="24">
        <v>40550</v>
      </c>
      <c r="OL18" s="24">
        <v>0</v>
      </c>
      <c r="OM18" s="24">
        <v>0</v>
      </c>
      <c r="ON18" s="24">
        <v>0</v>
      </c>
      <c r="OO18" s="24">
        <v>0</v>
      </c>
      <c r="OP18" s="24">
        <v>0</v>
      </c>
      <c r="OQ18" s="24">
        <v>0</v>
      </c>
      <c r="OR18" s="24">
        <v>0</v>
      </c>
      <c r="OS18" s="24">
        <v>0</v>
      </c>
      <c r="OT18" s="24">
        <v>0</v>
      </c>
      <c r="OU18" s="24">
        <v>0</v>
      </c>
      <c r="OV18" s="24">
        <v>0</v>
      </c>
      <c r="OW18" s="24">
        <v>0</v>
      </c>
      <c r="OX18" s="24">
        <v>0</v>
      </c>
      <c r="OY18" s="24">
        <v>0</v>
      </c>
      <c r="OZ18" s="24">
        <v>0</v>
      </c>
      <c r="PA18" s="24">
        <v>0</v>
      </c>
      <c r="PB18" s="24">
        <v>0</v>
      </c>
      <c r="PC18" s="24">
        <v>0</v>
      </c>
      <c r="PD18" s="24">
        <v>0</v>
      </c>
      <c r="PE18" s="24">
        <v>0</v>
      </c>
      <c r="PF18" s="24">
        <v>0</v>
      </c>
      <c r="PG18" s="24">
        <v>0</v>
      </c>
      <c r="PH18" s="24">
        <v>250</v>
      </c>
      <c r="PI18" s="24">
        <v>0</v>
      </c>
      <c r="PJ18" s="24">
        <v>0</v>
      </c>
      <c r="PK18" s="24">
        <v>0</v>
      </c>
      <c r="PL18" s="24">
        <v>0</v>
      </c>
      <c r="PM18" s="24">
        <v>0</v>
      </c>
      <c r="PN18" s="24">
        <v>0</v>
      </c>
      <c r="PO18" s="24">
        <v>0</v>
      </c>
      <c r="PP18" s="24">
        <v>0</v>
      </c>
      <c r="PQ18" s="24">
        <v>0</v>
      </c>
      <c r="PR18" s="24">
        <v>0</v>
      </c>
      <c r="PS18" s="24">
        <v>0</v>
      </c>
      <c r="PT18" s="24">
        <v>0</v>
      </c>
      <c r="PU18" s="24">
        <v>0</v>
      </c>
      <c r="PV18" s="24">
        <v>0</v>
      </c>
      <c r="PW18" s="24">
        <v>0</v>
      </c>
      <c r="PX18" s="24">
        <v>0</v>
      </c>
      <c r="PY18" s="24">
        <v>0</v>
      </c>
      <c r="PZ18" s="24">
        <v>0</v>
      </c>
      <c r="QA18" s="24">
        <v>0</v>
      </c>
      <c r="QB18" s="24">
        <v>0</v>
      </c>
      <c r="QC18" s="24">
        <v>0</v>
      </c>
      <c r="QD18" s="24">
        <v>0</v>
      </c>
      <c r="QE18" s="24">
        <v>0</v>
      </c>
      <c r="QF18" s="24">
        <v>0</v>
      </c>
      <c r="QG18" s="24">
        <v>0</v>
      </c>
      <c r="QH18" s="24">
        <v>0</v>
      </c>
      <c r="QI18" s="24">
        <v>0</v>
      </c>
      <c r="QJ18" s="24">
        <v>0</v>
      </c>
      <c r="QK18" s="24">
        <v>0</v>
      </c>
      <c r="QL18" s="24">
        <v>0</v>
      </c>
      <c r="QM18" s="24">
        <v>0</v>
      </c>
      <c r="QN18" s="24">
        <v>0</v>
      </c>
      <c r="QO18" s="24">
        <v>0</v>
      </c>
      <c r="QP18" s="24">
        <v>0</v>
      </c>
      <c r="QQ18" s="24">
        <v>0</v>
      </c>
      <c r="QR18" s="24">
        <v>0</v>
      </c>
      <c r="QS18" s="24">
        <v>10112</v>
      </c>
      <c r="QT18" s="24">
        <v>0</v>
      </c>
      <c r="QU18" s="24">
        <v>0</v>
      </c>
      <c r="QV18" s="24">
        <v>56000</v>
      </c>
      <c r="QW18" s="24">
        <v>46921</v>
      </c>
      <c r="QX18" s="24">
        <v>0</v>
      </c>
      <c r="QY18" s="24">
        <v>0</v>
      </c>
      <c r="QZ18" s="24">
        <v>0</v>
      </c>
      <c r="RA18" s="24">
        <v>0</v>
      </c>
      <c r="RB18" s="24">
        <v>0</v>
      </c>
      <c r="RG18" s="39">
        <f t="shared" si="48"/>
        <v>4079857</v>
      </c>
      <c r="RH18" s="39">
        <f t="shared" si="7"/>
        <v>489676</v>
      </c>
      <c r="RI18" s="39">
        <f t="shared" si="7"/>
        <v>0</v>
      </c>
      <c r="RJ18" s="39">
        <f t="shared" si="7"/>
        <v>0</v>
      </c>
      <c r="RK18" s="39">
        <f t="shared" si="7"/>
        <v>816</v>
      </c>
      <c r="RL18" s="39">
        <f t="shared" si="7"/>
        <v>539230</v>
      </c>
      <c r="RM18" s="39">
        <f t="shared" si="7"/>
        <v>229338</v>
      </c>
      <c r="RN18" s="39">
        <f t="shared" si="7"/>
        <v>7375</v>
      </c>
      <c r="RO18" s="39">
        <f t="shared" si="7"/>
        <v>22895</v>
      </c>
      <c r="RP18" s="39">
        <f t="shared" si="7"/>
        <v>70457</v>
      </c>
      <c r="RQ18" s="39">
        <f t="shared" si="7"/>
        <v>46333</v>
      </c>
      <c r="RR18" s="39">
        <f t="shared" si="7"/>
        <v>8394</v>
      </c>
      <c r="RS18" s="39"/>
      <c r="RT18" s="182"/>
      <c r="RU18" s="39"/>
      <c r="RV18" s="39">
        <f t="shared" si="49"/>
        <v>871378</v>
      </c>
      <c r="RW18" s="39">
        <f t="shared" si="8"/>
        <v>5494371</v>
      </c>
      <c r="RX18" s="39">
        <f t="shared" si="8"/>
        <v>2434746</v>
      </c>
      <c r="RY18" s="39">
        <f t="shared" si="8"/>
        <v>113283</v>
      </c>
      <c r="RZ18" s="39"/>
      <c r="SA18" s="182"/>
      <c r="SB18" s="39"/>
      <c r="SC18" s="25">
        <f t="shared" si="50"/>
        <v>2888.1921708185055</v>
      </c>
      <c r="SD18" s="39">
        <f>IFERROR(VLOOKUP(A18, 'Levy Data 15-16'!$B:$O, 3, FALSE), 0)</f>
        <v>450839135</v>
      </c>
      <c r="SE18" s="39">
        <f t="shared" si="9"/>
        <v>534803.24436536175</v>
      </c>
      <c r="SF18" s="631">
        <f>IFERROR(VLOOKUP(A18, 'Levy Data 15-16'!$B:$O, 14, FALSE), 0)*1000</f>
        <v>4.6105949999999991</v>
      </c>
      <c r="SG18" s="39">
        <f t="shared" si="10"/>
        <v>0</v>
      </c>
      <c r="SH18" s="39">
        <f t="shared" si="11"/>
        <v>0</v>
      </c>
      <c r="SI18" s="39">
        <f t="shared" si="12"/>
        <v>2434746</v>
      </c>
      <c r="SM18" s="39">
        <f t="shared" si="13"/>
        <v>5494371</v>
      </c>
      <c r="SN18" s="39">
        <f t="shared" si="14"/>
        <v>0</v>
      </c>
      <c r="SO18" s="39">
        <f t="shared" si="51"/>
        <v>5494371</v>
      </c>
      <c r="SP18" s="50">
        <f t="shared" si="52"/>
        <v>1</v>
      </c>
      <c r="ST18" s="124">
        <f>IFERROR(VLOOKUP(A18,'Grade Enroll 15-16'!B:AC,27,FALSE),"")</f>
        <v>843</v>
      </c>
      <c r="SU18" s="124">
        <f t="shared" si="53"/>
        <v>427.47546346782991</v>
      </c>
      <c r="SV18" s="131">
        <f>IFERROR(VLOOKUP($A18, 'Title I Enroll 16-17'!S:V, 4, FALSE), 0)</f>
        <v>0.50708833151581245</v>
      </c>
      <c r="SW18" s="729">
        <f>IFERROR(VLOOKUP(A18, 'ELL Enroll 15-16'!$N:$S, 6, FALSE), 0)</f>
        <v>5</v>
      </c>
      <c r="SX18" s="131">
        <f t="shared" si="54"/>
        <v>5.9311981020166073E-3</v>
      </c>
      <c r="SY18" s="124">
        <f>IFERROR(VLOOKUP(A18, 'SPED enroll 2015-16'!$M:$O, 3, FALSE), 0)</f>
        <v>106</v>
      </c>
      <c r="SZ18" s="131">
        <f t="shared" si="55"/>
        <v>0.12574139976275209</v>
      </c>
      <c r="TA18" s="142">
        <f t="shared" si="56"/>
        <v>74.199999999999989</v>
      </c>
      <c r="TB18" s="142">
        <f t="shared" si="15"/>
        <v>21.200000000000003</v>
      </c>
      <c r="TC18" s="142">
        <f t="shared" si="15"/>
        <v>7.4200000000000008</v>
      </c>
      <c r="TD18" s="142">
        <f t="shared" si="15"/>
        <v>3.1799999999999997</v>
      </c>
      <c r="TE18" s="124">
        <f>VLOOKUP($A18, 'Grade Enroll 15-16'!$B:$AB, 20, FALSE)</f>
        <v>21</v>
      </c>
      <c r="TF18" s="124">
        <f>VLOOKUP($A18, 'Grade Enroll 15-16'!$B:$AB, 21, FALSE)</f>
        <v>71</v>
      </c>
      <c r="TG18" s="124">
        <f>VLOOKUP($A18, 'Grade Enroll 15-16'!$B:$AB, 22, FALSE)</f>
        <v>213</v>
      </c>
      <c r="TH18" s="124">
        <f>VLOOKUP($A18, 'Grade Enroll 15-16'!$B:$AB, 23, FALSE)</f>
        <v>203</v>
      </c>
      <c r="TI18" s="124">
        <f>VLOOKUP($A18, 'Grade Enroll 15-16'!$B:$AB, 24, FALSE)</f>
        <v>145</v>
      </c>
      <c r="TJ18" s="124">
        <f>VLOOKUP($A18, 'Grade Enroll 15-16'!$B:$AB, 25, FALSE)</f>
        <v>282</v>
      </c>
      <c r="TK18" s="124">
        <f>VLOOKUP($A18, 'Grade Enroll 15-16'!$B:$AB, 26, FALSE)</f>
        <v>565</v>
      </c>
      <c r="TL18" s="131">
        <f>SUMIFS('Student Achievement 15-16'!N:N, 'Student Achievement 15-16'!B:B, 'Idaho Data'!A18, 'Student Achievement 15-16'!D:D, "math")/100</f>
        <v>0.34</v>
      </c>
      <c r="TM18" s="134">
        <f t="shared" si="57"/>
        <v>286.62</v>
      </c>
      <c r="TN18" s="131">
        <f>SUMIFS('Student Achievement 15-16'!N:N, 'Student Achievement 15-16'!B:B, 'Idaho Data'!A18, 'Student Achievement 15-16'!D:D, "ela")/100</f>
        <v>0.248</v>
      </c>
      <c r="TO18" s="134">
        <f t="shared" si="58"/>
        <v>209.06399999999999</v>
      </c>
      <c r="TP18" s="688">
        <f>IFERROR(VLOOKUP(A18, 'G&amp;T 15-16'!B:G, 6, FALSE), 0)*1</f>
        <v>0</v>
      </c>
      <c r="TQ18" s="168">
        <f t="shared" si="59"/>
        <v>50.58</v>
      </c>
      <c r="TU18" s="168">
        <f t="shared" si="60"/>
        <v>209.06399999999999</v>
      </c>
      <c r="TV18" s="168">
        <f t="shared" si="61"/>
        <v>286.62</v>
      </c>
      <c r="TW18" s="205">
        <f t="shared" si="62"/>
        <v>286.62</v>
      </c>
      <c r="TX18" s="144"/>
      <c r="TY18" s="129"/>
      <c r="TZ18" s="127">
        <f t="shared" si="63"/>
        <v>0</v>
      </c>
      <c r="UA18" s="127">
        <f t="shared" si="64"/>
        <v>50.58</v>
      </c>
      <c r="UB18" s="205">
        <f t="shared" si="65"/>
        <v>50.58</v>
      </c>
      <c r="UE18" s="853" t="str">
        <f>IF(ST18&lt;='1. Simulator Input'!$E$104, "yes", "")</f>
        <v/>
      </c>
      <c r="UI18" s="199">
        <f t="shared" si="66"/>
        <v>0</v>
      </c>
      <c r="UJ18" s="200">
        <f>IF('Idaho Data'!SI18&gt;=0, ((1-'1. Simulator Input'!$E$39)*'Idaho Data'!SI18), 0)</f>
        <v>0</v>
      </c>
      <c r="UK18" s="200">
        <f t="shared" si="67"/>
        <v>5494371</v>
      </c>
      <c r="UL18" s="39"/>
      <c r="UM18" s="182"/>
      <c r="UN18" s="39"/>
      <c r="UO18" s="39" t="str">
        <f>IF(AND('1. Simulator Input'!$E$96="yes", '1. Simulator Input'!$E$98="yes", '1. Simulator Input'!$E$100="hold harmless"), 'Idaho Data'!WN18, IF(AND('1. Simulator Input'!$E$96="yes", '1. Simulator Input'!$E$98="no", '1. Simulator Input'!$E$100="hold harmless"), 'Idaho Data'!WM18, IF(AND('1. Simulator Input'!$E$96="yes", '1. Simulator Input'!$E$98="yes", '1. Simulator Input'!$E$100="small district grant"), WL18,IF(AND('1. Simulator Input'!$E$96="yes", '1. Simulator Input'!$E$98="no", '1. Simulator Input'!$E$100="small district grant"), WK18, ""))))</f>
        <v/>
      </c>
      <c r="UP18" s="200">
        <f>'1. Simulator Input'!$D$56*('Idaho Data'!ST18)</f>
        <v>4658418</v>
      </c>
      <c r="UQ18" s="204">
        <f>'1. Simulator Input'!$D$65*'1. Simulator Input'!$D$56*'Idaho Data'!SU18</f>
        <v>0</v>
      </c>
      <c r="UR18" s="204">
        <f>'1. Simulator Input'!$D$66*'1. Simulator Input'!$D$56*'Idaho Data'!SW18</f>
        <v>0</v>
      </c>
      <c r="US18" s="200">
        <f>'1. Simulator Input'!$D$67*'1. Simulator Input'!$D$56*'Idaho Data'!TA18</f>
        <v>0</v>
      </c>
      <c r="UT18" s="200">
        <f>'1. Simulator Input'!$D$68*'1. Simulator Input'!$D$56*'Idaho Data'!TB18</f>
        <v>0</v>
      </c>
      <c r="UU18" s="200">
        <f>'1. Simulator Input'!$D$69*'1. Simulator Input'!$D$56*'Idaho Data'!TC18</f>
        <v>0</v>
      </c>
      <c r="UV18" s="200">
        <f>'1. Simulator Input'!$D$70*'1. Simulator Input'!$D$56*TD18</f>
        <v>0</v>
      </c>
      <c r="UW18" s="200">
        <f>'1. Simulator Input'!$D$80*'1. Simulator Input'!$D$56*TW18</f>
        <v>0</v>
      </c>
      <c r="UX18" s="200">
        <f>'1. Simulator Input'!$D$79*'1. Simulator Input'!$D$56*UB18</f>
        <v>0</v>
      </c>
      <c r="UY18" s="200">
        <f>'1. Simulator Input'!$D$87*'1. Simulator Input'!$D$56*TF18</f>
        <v>196173</v>
      </c>
      <c r="UZ18" s="200">
        <f>'1. Simulator Input'!$D$73*'1. Simulator Input'!$D$56*'Idaho Data'!TG18</f>
        <v>0</v>
      </c>
      <c r="VA18" s="200">
        <f>'1. Simulator Input'!$D$56*'1. Simulator Input'!$D$74*'Idaho Data'!TH18</f>
        <v>0</v>
      </c>
      <c r="VB18" s="200">
        <f>'1. Simulator Input'!$D$56*'1. Simulator Input'!$D$75*'Idaho Data'!TI13</f>
        <v>0</v>
      </c>
      <c r="VC18" s="200">
        <f>'1. Simulator Input'!$D$76*'1. Simulator Input'!$D$56*'Idaho Data'!TJ18</f>
        <v>0</v>
      </c>
      <c r="VD18" s="200">
        <f t="shared" si="68"/>
        <v>4854591</v>
      </c>
      <c r="VE18" s="200"/>
      <c r="VF18" s="182"/>
      <c r="VG18" s="200"/>
      <c r="VH18" s="200">
        <f t="shared" si="69"/>
        <v>0</v>
      </c>
      <c r="VI18" s="200">
        <f t="shared" si="70"/>
        <v>0</v>
      </c>
      <c r="VJ18" s="200">
        <f t="shared" si="16"/>
        <v>4854591</v>
      </c>
      <c r="VK18" s="200">
        <f t="shared" si="17"/>
        <v>4854591</v>
      </c>
      <c r="VL18" s="200"/>
      <c r="VM18" s="182"/>
      <c r="VN18" s="200"/>
      <c r="VO18" s="200">
        <f t="shared" si="71"/>
        <v>871378</v>
      </c>
      <c r="VP18" s="200">
        <f t="shared" si="72"/>
        <v>5494371</v>
      </c>
      <c r="VQ18" s="200">
        <f t="shared" si="73"/>
        <v>2434746</v>
      </c>
      <c r="VR18" s="200">
        <f t="shared" si="74"/>
        <v>871378</v>
      </c>
      <c r="VS18" s="200">
        <f t="shared" si="18"/>
        <v>4854591</v>
      </c>
      <c r="VT18" s="200">
        <f t="shared" si="19"/>
        <v>2434746</v>
      </c>
      <c r="VU18" s="200">
        <f t="shared" si="20"/>
        <v>0</v>
      </c>
      <c r="VV18" s="200"/>
      <c r="VW18" s="182"/>
      <c r="VX18" s="200"/>
      <c r="VZ18" s="199">
        <f t="shared" si="75"/>
        <v>-639780</v>
      </c>
      <c r="WA18" s="199">
        <f t="shared" si="76"/>
        <v>-758.93238434163698</v>
      </c>
      <c r="WB18" s="131">
        <f t="shared" si="77"/>
        <v>-0.1164428102871102</v>
      </c>
      <c r="WC18" s="131"/>
      <c r="WD18" s="461"/>
      <c r="WE18" s="893"/>
      <c r="WF18" s="893">
        <f t="shared" si="78"/>
        <v>10439.495848161328</v>
      </c>
      <c r="WG18" s="893">
        <f t="shared" si="79"/>
        <v>9680.5634638196916</v>
      </c>
      <c r="WH18" s="893"/>
      <c r="WI18" s="893">
        <f t="shared" si="80"/>
        <v>5494371</v>
      </c>
      <c r="WJ18" s="893">
        <f t="shared" si="21"/>
        <v>4854591</v>
      </c>
      <c r="WK18" s="39" t="str">
        <f t="shared" si="22"/>
        <v/>
      </c>
      <c r="WL18" s="39" t="str">
        <f t="shared" si="23"/>
        <v/>
      </c>
      <c r="WM18" s="200" t="str">
        <f t="shared" si="24"/>
        <v/>
      </c>
      <c r="WN18" s="39" t="str">
        <f t="shared" si="25"/>
        <v/>
      </c>
      <c r="WO18" s="39"/>
      <c r="WP18" s="182"/>
      <c r="WQ18" s="39"/>
      <c r="WR18" s="305">
        <f t="shared" si="26"/>
        <v>0.52600000000000002</v>
      </c>
      <c r="WT18" s="200">
        <f t="shared" si="27"/>
        <v>6517.6405693950182</v>
      </c>
      <c r="WU18" s="131">
        <f t="shared" si="81"/>
        <v>0.51</v>
      </c>
      <c r="WW18" s="199">
        <f t="shared" si="28"/>
        <v>871378</v>
      </c>
      <c r="WX18" s="199">
        <f t="shared" si="29"/>
        <v>4854591</v>
      </c>
      <c r="WY18" s="199">
        <f t="shared" si="30"/>
        <v>0</v>
      </c>
      <c r="WZ18" s="199">
        <f t="shared" si="82"/>
        <v>4854591</v>
      </c>
      <c r="XA18" s="199">
        <f t="shared" si="31"/>
        <v>0</v>
      </c>
      <c r="XB18" s="199">
        <f t="shared" si="32"/>
        <v>2434746</v>
      </c>
      <c r="XC18" s="199">
        <f t="shared" si="33"/>
        <v>2434746</v>
      </c>
      <c r="XD18" s="199" t="str">
        <f t="shared" si="34"/>
        <v/>
      </c>
      <c r="XE18" s="199"/>
      <c r="XF18" s="199"/>
      <c r="XG18" s="199"/>
      <c r="XH18" s="199"/>
      <c r="XI18" s="199"/>
      <c r="XJ18" s="199">
        <f t="shared" si="83"/>
        <v>4854591</v>
      </c>
      <c r="XP18" s="199">
        <f t="shared" si="35"/>
        <v>4854591</v>
      </c>
      <c r="XQ18" s="199">
        <f t="shared" si="36"/>
        <v>5758.7081850533805</v>
      </c>
      <c r="XR18" s="199">
        <f t="shared" si="37"/>
        <v>4854591</v>
      </c>
      <c r="XS18" s="199">
        <f t="shared" si="38"/>
        <v>4854591</v>
      </c>
      <c r="XT18" s="199">
        <f t="shared" si="39"/>
        <v>5758.7081850533805</v>
      </c>
      <c r="XU18" s="199">
        <f t="shared" si="40"/>
        <v>5494371</v>
      </c>
      <c r="XV18" s="199">
        <f t="shared" si="41"/>
        <v>6517.6405693950182</v>
      </c>
      <c r="XW18" s="199">
        <f t="shared" si="42"/>
        <v>5494371</v>
      </c>
      <c r="XX18" s="199">
        <f t="shared" si="43"/>
        <v>6517.6405693950182</v>
      </c>
      <c r="XY18" s="199">
        <f t="shared" si="84"/>
        <v>-639780</v>
      </c>
      <c r="XZ18" s="199">
        <f t="shared" si="85"/>
        <v>-758.93238434163777</v>
      </c>
      <c r="YA18" s="131">
        <f t="shared" si="86"/>
        <v>-0.11644281028711032</v>
      </c>
      <c r="YB18" s="199"/>
      <c r="YC18" s="221"/>
      <c r="YD18" s="199"/>
      <c r="YE18" s="199">
        <f t="shared" si="44"/>
        <v>871378</v>
      </c>
      <c r="YF18" s="200">
        <f t="shared" si="45"/>
        <v>0</v>
      </c>
      <c r="YG18" s="199">
        <f t="shared" si="46"/>
        <v>2434746</v>
      </c>
      <c r="YH18" s="199">
        <f t="shared" si="47"/>
        <v>113283</v>
      </c>
    </row>
    <row r="19" spans="1:658">
      <c r="A19" s="3">
        <v>44</v>
      </c>
      <c r="B19" s="2" t="s">
        <v>110</v>
      </c>
      <c r="C19" s="24">
        <v>0</v>
      </c>
      <c r="D19" s="24">
        <v>0</v>
      </c>
      <c r="E19" s="24">
        <v>0</v>
      </c>
      <c r="F19" s="24">
        <v>0</v>
      </c>
      <c r="G19" s="24">
        <v>545911</v>
      </c>
      <c r="H19" s="24">
        <v>0</v>
      </c>
      <c r="I19" s="24">
        <v>0</v>
      </c>
      <c r="J19" s="24">
        <v>19463</v>
      </c>
      <c r="K19" s="24">
        <v>0</v>
      </c>
      <c r="L19" s="24">
        <v>0</v>
      </c>
      <c r="M19" s="24">
        <v>0</v>
      </c>
      <c r="N19" s="24">
        <v>17260</v>
      </c>
      <c r="O19" s="24">
        <v>0</v>
      </c>
      <c r="P19" s="24">
        <v>0</v>
      </c>
      <c r="Q19" s="24">
        <v>0</v>
      </c>
      <c r="R19" s="24">
        <v>0</v>
      </c>
      <c r="S19" s="24">
        <v>0</v>
      </c>
      <c r="T19" s="24">
        <v>0</v>
      </c>
      <c r="U19" s="24">
        <v>0</v>
      </c>
      <c r="V19" s="24">
        <v>0</v>
      </c>
      <c r="W19" s="24">
        <v>0</v>
      </c>
      <c r="X19" s="24">
        <v>0</v>
      </c>
      <c r="Y19" s="24">
        <v>4224</v>
      </c>
      <c r="Z19" s="24">
        <v>0</v>
      </c>
      <c r="AA19" s="24">
        <v>0</v>
      </c>
      <c r="AB19" s="24">
        <v>0</v>
      </c>
      <c r="AC19" s="24">
        <v>0</v>
      </c>
      <c r="AD19" s="24">
        <v>0</v>
      </c>
      <c r="AE19" s="24">
        <v>0</v>
      </c>
      <c r="AF19" s="24">
        <v>0</v>
      </c>
      <c r="AG19" s="24">
        <v>0</v>
      </c>
      <c r="AH19" s="24">
        <v>4275</v>
      </c>
      <c r="AI19" s="24">
        <v>0</v>
      </c>
      <c r="AJ19" s="24">
        <v>0</v>
      </c>
      <c r="AK19" s="24">
        <v>0</v>
      </c>
      <c r="AL19" s="24">
        <v>5447</v>
      </c>
      <c r="AM19" s="24">
        <v>0</v>
      </c>
      <c r="AN19" s="24">
        <v>0</v>
      </c>
      <c r="AO19" s="24">
        <v>0</v>
      </c>
      <c r="AP19" s="24">
        <v>0</v>
      </c>
      <c r="AQ19" s="24">
        <v>0</v>
      </c>
      <c r="AR19" s="24">
        <v>0</v>
      </c>
      <c r="AS19" s="24">
        <v>0</v>
      </c>
      <c r="AT19" s="24">
        <v>0</v>
      </c>
      <c r="AU19" s="24">
        <v>0</v>
      </c>
      <c r="AV19" s="24">
        <v>0</v>
      </c>
      <c r="AW19" s="24">
        <v>0</v>
      </c>
      <c r="AX19" s="24">
        <v>0</v>
      </c>
      <c r="AY19" s="24">
        <v>0</v>
      </c>
      <c r="AZ19" s="24">
        <v>0</v>
      </c>
      <c r="BA19" s="24">
        <v>0</v>
      </c>
      <c r="BB19" s="24">
        <v>0</v>
      </c>
      <c r="BC19" s="24">
        <v>0</v>
      </c>
      <c r="BD19" s="24">
        <v>0</v>
      </c>
      <c r="BE19" s="24">
        <v>0</v>
      </c>
      <c r="BF19" s="24">
        <v>0</v>
      </c>
      <c r="BG19" s="24">
        <v>0</v>
      </c>
      <c r="BH19" s="24">
        <v>0</v>
      </c>
      <c r="BI19" s="24">
        <v>0</v>
      </c>
      <c r="BJ19" s="24">
        <v>0</v>
      </c>
      <c r="BK19" s="24">
        <v>0</v>
      </c>
      <c r="BL19" s="24">
        <v>0</v>
      </c>
      <c r="BM19" s="24">
        <v>3</v>
      </c>
      <c r="BN19" s="24">
        <v>0</v>
      </c>
      <c r="BO19" s="24">
        <v>0</v>
      </c>
      <c r="BP19" s="24">
        <v>0</v>
      </c>
      <c r="BQ19" s="24">
        <v>0</v>
      </c>
      <c r="BR19" s="24">
        <v>0</v>
      </c>
      <c r="BS19" s="24">
        <v>0</v>
      </c>
      <c r="BT19" s="24">
        <v>0</v>
      </c>
      <c r="BU19" s="24">
        <v>0</v>
      </c>
      <c r="BV19" s="24">
        <v>0</v>
      </c>
      <c r="BW19" s="24">
        <v>0</v>
      </c>
      <c r="BX19" s="24">
        <v>0</v>
      </c>
      <c r="BY19" s="24">
        <v>0</v>
      </c>
      <c r="BZ19" s="24">
        <v>0</v>
      </c>
      <c r="CA19" s="24">
        <v>0</v>
      </c>
      <c r="CB19" s="24">
        <v>0</v>
      </c>
      <c r="CC19" s="24">
        <v>0</v>
      </c>
      <c r="CD19" s="24">
        <v>2869</v>
      </c>
      <c r="CE19" s="24">
        <v>5070</v>
      </c>
      <c r="CF19" s="24">
        <v>0</v>
      </c>
      <c r="CG19" s="24">
        <v>777</v>
      </c>
      <c r="CH19" s="24">
        <v>0</v>
      </c>
      <c r="CI19" s="24">
        <v>0</v>
      </c>
      <c r="CJ19" s="24">
        <v>0</v>
      </c>
      <c r="CK19" s="24">
        <v>0</v>
      </c>
      <c r="CL19" s="24">
        <v>0</v>
      </c>
      <c r="CM19" s="24">
        <v>0</v>
      </c>
      <c r="CN19" s="24">
        <v>0</v>
      </c>
      <c r="CO19" s="24">
        <v>0</v>
      </c>
      <c r="CP19" s="24">
        <v>0</v>
      </c>
      <c r="CQ19" s="24">
        <v>0</v>
      </c>
      <c r="CR19" s="24">
        <v>0</v>
      </c>
      <c r="CS19" s="24">
        <v>0</v>
      </c>
      <c r="CT19" s="24">
        <v>0</v>
      </c>
      <c r="CU19" s="24">
        <v>0</v>
      </c>
      <c r="CV19" s="24">
        <v>0</v>
      </c>
      <c r="CW19" s="24">
        <v>0</v>
      </c>
      <c r="CX19" s="24">
        <v>0</v>
      </c>
      <c r="CY19" s="24">
        <v>0</v>
      </c>
      <c r="CZ19" s="24">
        <v>0</v>
      </c>
      <c r="DA19" s="24">
        <v>0</v>
      </c>
      <c r="DB19" s="24">
        <v>0</v>
      </c>
      <c r="DC19" s="24">
        <v>0</v>
      </c>
      <c r="DD19" s="24">
        <v>0</v>
      </c>
      <c r="DE19" s="24">
        <v>0</v>
      </c>
      <c r="DF19" s="24">
        <v>0</v>
      </c>
      <c r="DG19" s="24">
        <v>0</v>
      </c>
      <c r="DH19" s="24">
        <v>0</v>
      </c>
      <c r="DI19" s="24">
        <v>0</v>
      </c>
      <c r="DJ19" s="24">
        <v>0</v>
      </c>
      <c r="DK19" s="24">
        <v>0</v>
      </c>
      <c r="DL19" s="24">
        <v>0</v>
      </c>
      <c r="DM19" s="24">
        <v>0</v>
      </c>
      <c r="DN19" s="24">
        <v>0</v>
      </c>
      <c r="DO19" s="24">
        <v>0</v>
      </c>
      <c r="DP19" s="24">
        <v>0</v>
      </c>
      <c r="DQ19" s="24">
        <v>0</v>
      </c>
      <c r="DR19" s="24">
        <v>0</v>
      </c>
      <c r="DS19" s="24">
        <v>0</v>
      </c>
      <c r="DT19" s="24">
        <v>0</v>
      </c>
      <c r="DU19" s="24">
        <v>3700</v>
      </c>
      <c r="DV19" s="24">
        <v>0</v>
      </c>
      <c r="DW19" s="24">
        <v>0</v>
      </c>
      <c r="DX19" s="24">
        <v>0</v>
      </c>
      <c r="DY19" s="24">
        <v>0</v>
      </c>
      <c r="DZ19" s="24">
        <v>0</v>
      </c>
      <c r="EA19" s="24">
        <v>0</v>
      </c>
      <c r="EB19" s="24">
        <v>0</v>
      </c>
      <c r="EC19" s="24">
        <v>0</v>
      </c>
      <c r="ED19" s="24">
        <v>0</v>
      </c>
      <c r="EE19" s="24">
        <v>1200</v>
      </c>
      <c r="EF19" s="24">
        <v>0</v>
      </c>
      <c r="EG19" s="24">
        <v>0</v>
      </c>
      <c r="EH19" s="24">
        <v>0</v>
      </c>
      <c r="EI19" s="24">
        <v>0</v>
      </c>
      <c r="EJ19" s="24">
        <v>0</v>
      </c>
      <c r="EK19" s="24">
        <v>0</v>
      </c>
      <c r="EL19" s="24">
        <v>225000</v>
      </c>
      <c r="EM19" s="24">
        <v>0</v>
      </c>
      <c r="EN19" s="24">
        <v>0</v>
      </c>
      <c r="EO19" s="24">
        <v>0</v>
      </c>
      <c r="EP19" s="24">
        <v>0</v>
      </c>
      <c r="EQ19" s="24">
        <v>0</v>
      </c>
      <c r="ER19" s="24">
        <v>0</v>
      </c>
      <c r="ES19" s="24">
        <v>0</v>
      </c>
      <c r="ET19" s="24">
        <v>0</v>
      </c>
      <c r="EU19" s="24">
        <v>0</v>
      </c>
      <c r="EV19" s="24">
        <v>0</v>
      </c>
      <c r="EW19" s="24">
        <v>1571</v>
      </c>
      <c r="EX19" s="24">
        <v>0</v>
      </c>
      <c r="EY19" s="24">
        <v>0</v>
      </c>
      <c r="EZ19" s="24">
        <v>0</v>
      </c>
      <c r="FA19" s="24">
        <v>0</v>
      </c>
      <c r="FB19" s="24">
        <v>0</v>
      </c>
      <c r="FC19" s="24">
        <v>0</v>
      </c>
      <c r="FD19" s="24">
        <v>0</v>
      </c>
      <c r="FE19" s="24">
        <v>0</v>
      </c>
      <c r="FF19" s="24">
        <v>0</v>
      </c>
      <c r="FG19" s="24">
        <v>0</v>
      </c>
      <c r="FH19" s="24">
        <v>0</v>
      </c>
      <c r="FI19" s="24">
        <v>0</v>
      </c>
      <c r="FJ19" s="24">
        <v>0</v>
      </c>
      <c r="FK19" s="24">
        <v>0</v>
      </c>
      <c r="FL19" s="24">
        <v>0</v>
      </c>
      <c r="FM19" s="24">
        <v>0</v>
      </c>
      <c r="FN19" s="24">
        <v>0</v>
      </c>
      <c r="FO19" s="24">
        <v>0</v>
      </c>
      <c r="FP19" s="24">
        <v>0</v>
      </c>
      <c r="FQ19" s="24">
        <v>0</v>
      </c>
      <c r="FR19" s="24">
        <v>0</v>
      </c>
      <c r="FS19" s="24">
        <v>37232</v>
      </c>
      <c r="FT19" s="24">
        <v>0</v>
      </c>
      <c r="FU19" s="24">
        <v>0</v>
      </c>
      <c r="FV19" s="24">
        <v>0</v>
      </c>
      <c r="FW19" s="24">
        <v>0</v>
      </c>
      <c r="FX19" s="24">
        <v>0</v>
      </c>
      <c r="FY19" s="24">
        <v>0</v>
      </c>
      <c r="FZ19" s="24">
        <v>0</v>
      </c>
      <c r="GA19" s="24">
        <v>0</v>
      </c>
      <c r="GB19" s="24">
        <v>0</v>
      </c>
      <c r="GC19" s="24">
        <v>0</v>
      </c>
      <c r="GD19" s="24">
        <v>0</v>
      </c>
      <c r="GE19" s="24">
        <v>0</v>
      </c>
      <c r="GF19" s="24">
        <v>0</v>
      </c>
      <c r="GG19" s="24">
        <v>0</v>
      </c>
      <c r="GH19" s="24">
        <v>0</v>
      </c>
      <c r="GI19" s="24">
        <v>0</v>
      </c>
      <c r="GJ19" s="24">
        <v>0</v>
      </c>
      <c r="GK19" s="24">
        <v>0</v>
      </c>
      <c r="GL19" s="24">
        <v>0</v>
      </c>
      <c r="GM19" s="24">
        <v>0</v>
      </c>
      <c r="GN19" s="24">
        <v>0</v>
      </c>
      <c r="GO19" s="24">
        <v>0</v>
      </c>
      <c r="GP19" s="24">
        <v>0</v>
      </c>
      <c r="GQ19" s="24">
        <v>0</v>
      </c>
      <c r="GR19" s="24">
        <v>0</v>
      </c>
      <c r="GS19" s="24">
        <v>0</v>
      </c>
      <c r="GT19" s="24">
        <v>0</v>
      </c>
      <c r="GU19" s="24">
        <v>0</v>
      </c>
      <c r="GV19" s="24">
        <v>0</v>
      </c>
      <c r="GW19" s="24">
        <v>0</v>
      </c>
      <c r="GX19" s="24">
        <v>0</v>
      </c>
      <c r="GY19" s="24">
        <v>0</v>
      </c>
      <c r="GZ19" s="24">
        <v>0</v>
      </c>
      <c r="HA19" s="24">
        <v>0</v>
      </c>
      <c r="HB19" s="24">
        <v>0</v>
      </c>
      <c r="HC19" s="24">
        <v>0</v>
      </c>
      <c r="HD19" s="24">
        <v>1672844</v>
      </c>
      <c r="HE19" s="24">
        <v>0</v>
      </c>
      <c r="HF19" s="24">
        <v>0</v>
      </c>
      <c r="HG19" s="24">
        <v>0</v>
      </c>
      <c r="HH19" s="24">
        <v>0</v>
      </c>
      <c r="HI19" s="24">
        <v>219301</v>
      </c>
      <c r="HJ19" s="24">
        <v>0</v>
      </c>
      <c r="HK19" s="24">
        <v>0</v>
      </c>
      <c r="HL19" s="24">
        <v>0</v>
      </c>
      <c r="HM19" s="24">
        <v>0</v>
      </c>
      <c r="HN19" s="24">
        <v>7527</v>
      </c>
      <c r="HO19" s="24">
        <v>225878</v>
      </c>
      <c r="HP19" s="24">
        <v>118146</v>
      </c>
      <c r="HQ19" s="24">
        <v>0</v>
      </c>
      <c r="HR19" s="24">
        <v>0</v>
      </c>
      <c r="HS19" s="24">
        <v>0</v>
      </c>
      <c r="HT19" s="24">
        <v>0</v>
      </c>
      <c r="HU19" s="24">
        <v>0</v>
      </c>
      <c r="HV19" s="24">
        <v>0</v>
      </c>
      <c r="HW19" s="24">
        <v>0</v>
      </c>
      <c r="HX19" s="24">
        <v>0</v>
      </c>
      <c r="HY19" s="24">
        <v>0</v>
      </c>
      <c r="HZ19" s="24">
        <v>0</v>
      </c>
      <c r="IA19" s="24">
        <v>28461</v>
      </c>
      <c r="IB19" s="24">
        <v>6313</v>
      </c>
      <c r="IC19" s="24">
        <v>0</v>
      </c>
      <c r="ID19" s="24">
        <v>0</v>
      </c>
      <c r="IE19" s="24">
        <v>0</v>
      </c>
      <c r="IF19" s="24">
        <v>0</v>
      </c>
      <c r="IG19" s="24">
        <v>0</v>
      </c>
      <c r="IH19" s="24">
        <v>0</v>
      </c>
      <c r="II19" s="24">
        <v>0</v>
      </c>
      <c r="IJ19" s="24">
        <v>0</v>
      </c>
      <c r="IK19" s="24">
        <v>0</v>
      </c>
      <c r="IL19" s="24">
        <v>0</v>
      </c>
      <c r="IM19" s="24">
        <v>0</v>
      </c>
      <c r="IN19" s="24">
        <v>0</v>
      </c>
      <c r="IO19" s="24">
        <v>2375</v>
      </c>
      <c r="IP19" s="24">
        <v>0</v>
      </c>
      <c r="IQ19" s="24">
        <v>0</v>
      </c>
      <c r="IR19" s="24">
        <v>21740</v>
      </c>
      <c r="IS19" s="24">
        <v>0</v>
      </c>
      <c r="IT19" s="24">
        <v>0</v>
      </c>
      <c r="IU19" s="24">
        <v>0</v>
      </c>
      <c r="IV19" s="24">
        <v>0</v>
      </c>
      <c r="IW19" s="24">
        <v>0</v>
      </c>
      <c r="IX19" s="24">
        <v>0</v>
      </c>
      <c r="IY19" s="24">
        <v>0</v>
      </c>
      <c r="IZ19" s="24">
        <v>0</v>
      </c>
      <c r="JA19" s="24">
        <v>28480</v>
      </c>
      <c r="JB19" s="24">
        <v>4774</v>
      </c>
      <c r="JC19" s="24">
        <v>0</v>
      </c>
      <c r="JD19" s="24">
        <v>0</v>
      </c>
      <c r="JE19" s="24">
        <v>0</v>
      </c>
      <c r="JF19" s="24">
        <v>0</v>
      </c>
      <c r="JG19" s="24">
        <v>0</v>
      </c>
      <c r="JH19" s="24">
        <v>0</v>
      </c>
      <c r="JI19" s="24">
        <v>0</v>
      </c>
      <c r="JJ19" s="24">
        <v>0</v>
      </c>
      <c r="JK19" s="24">
        <v>0</v>
      </c>
      <c r="JL19" s="24">
        <v>0</v>
      </c>
      <c r="JM19" s="24">
        <v>0</v>
      </c>
      <c r="JN19" s="24">
        <v>0</v>
      </c>
      <c r="JO19" s="24">
        <v>0</v>
      </c>
      <c r="JP19" s="24">
        <v>0</v>
      </c>
      <c r="JQ19" s="24">
        <v>0</v>
      </c>
      <c r="JR19" s="24">
        <v>0</v>
      </c>
      <c r="JS19" s="24">
        <v>0</v>
      </c>
      <c r="JT19" s="24">
        <v>0</v>
      </c>
      <c r="JU19" s="24">
        <v>0</v>
      </c>
      <c r="JV19" s="24">
        <v>0</v>
      </c>
      <c r="JW19" s="24">
        <v>0</v>
      </c>
      <c r="JX19" s="24">
        <v>0</v>
      </c>
      <c r="JY19" s="24">
        <v>0</v>
      </c>
      <c r="JZ19" s="24">
        <v>0</v>
      </c>
      <c r="KA19" s="24">
        <v>0</v>
      </c>
      <c r="KB19" s="24">
        <v>0</v>
      </c>
      <c r="KC19" s="24">
        <v>0</v>
      </c>
      <c r="KD19" s="24">
        <v>0</v>
      </c>
      <c r="KE19" s="24">
        <v>0</v>
      </c>
      <c r="KF19" s="24">
        <v>0</v>
      </c>
      <c r="KG19" s="24">
        <v>5536</v>
      </c>
      <c r="KH19" s="24">
        <v>0</v>
      </c>
      <c r="KI19" s="24">
        <v>0</v>
      </c>
      <c r="KJ19" s="24">
        <v>0</v>
      </c>
      <c r="KK19" s="24">
        <v>0</v>
      </c>
      <c r="KL19" s="24">
        <v>0</v>
      </c>
      <c r="KM19" s="24">
        <v>0</v>
      </c>
      <c r="KN19" s="24">
        <v>0</v>
      </c>
      <c r="KO19" s="24">
        <v>0</v>
      </c>
      <c r="KP19" s="24">
        <v>0</v>
      </c>
      <c r="KQ19" s="24">
        <v>0</v>
      </c>
      <c r="KR19" s="24">
        <v>0</v>
      </c>
      <c r="KS19" s="24">
        <v>0</v>
      </c>
      <c r="KT19" s="24">
        <v>0</v>
      </c>
      <c r="KU19" s="24">
        <v>0</v>
      </c>
      <c r="KV19" s="24">
        <v>0</v>
      </c>
      <c r="KW19" s="24">
        <v>708</v>
      </c>
      <c r="KX19" s="24">
        <v>48546</v>
      </c>
      <c r="KY19" s="24">
        <v>0</v>
      </c>
      <c r="KZ19" s="24">
        <v>0</v>
      </c>
      <c r="LA19" s="24">
        <v>0</v>
      </c>
      <c r="LB19" s="24">
        <v>0</v>
      </c>
      <c r="LC19" s="24">
        <v>0</v>
      </c>
      <c r="LD19" s="24">
        <v>0</v>
      </c>
      <c r="LE19" s="24">
        <v>0</v>
      </c>
      <c r="LF19" s="24">
        <v>0</v>
      </c>
      <c r="LG19" s="24">
        <v>0</v>
      </c>
      <c r="LH19" s="24">
        <v>0</v>
      </c>
      <c r="LI19" s="24">
        <v>0</v>
      </c>
      <c r="LJ19" s="24">
        <v>0</v>
      </c>
      <c r="LK19" s="24">
        <v>0</v>
      </c>
      <c r="LL19" s="24">
        <v>0</v>
      </c>
      <c r="LM19" s="24">
        <v>0</v>
      </c>
      <c r="LN19" s="24">
        <v>0</v>
      </c>
      <c r="LO19" s="24">
        <v>0</v>
      </c>
      <c r="LP19" s="24">
        <v>0</v>
      </c>
      <c r="LQ19" s="24">
        <v>426478</v>
      </c>
      <c r="LR19" s="24">
        <v>0</v>
      </c>
      <c r="LS19" s="24">
        <v>0</v>
      </c>
      <c r="LT19" s="24">
        <v>0</v>
      </c>
      <c r="LU19" s="24">
        <v>0</v>
      </c>
      <c r="LV19" s="24">
        <v>0</v>
      </c>
      <c r="LW19" s="24">
        <v>0</v>
      </c>
      <c r="LX19" s="24">
        <v>0</v>
      </c>
      <c r="LY19" s="24">
        <v>0</v>
      </c>
      <c r="LZ19" s="24">
        <v>0</v>
      </c>
      <c r="MA19" s="24">
        <v>0</v>
      </c>
      <c r="MB19" s="24">
        <v>0</v>
      </c>
      <c r="MC19" s="24">
        <v>0</v>
      </c>
      <c r="MD19" s="24">
        <v>0</v>
      </c>
      <c r="ME19" s="24">
        <v>0</v>
      </c>
      <c r="MF19" s="24">
        <v>0</v>
      </c>
      <c r="MG19" s="24">
        <v>0</v>
      </c>
      <c r="MH19" s="24">
        <v>0</v>
      </c>
      <c r="MI19" s="24">
        <v>0</v>
      </c>
      <c r="MJ19" s="24">
        <v>0</v>
      </c>
      <c r="MK19" s="24">
        <v>0</v>
      </c>
      <c r="ML19" s="24">
        <v>0</v>
      </c>
      <c r="MM19" s="24">
        <v>0</v>
      </c>
      <c r="MN19" s="24">
        <v>0</v>
      </c>
      <c r="MO19" s="24">
        <v>10577</v>
      </c>
      <c r="MP19" s="24">
        <v>0</v>
      </c>
      <c r="MQ19" s="24">
        <v>0</v>
      </c>
      <c r="MR19" s="24">
        <v>172104</v>
      </c>
      <c r="MS19" s="24">
        <v>0</v>
      </c>
      <c r="MT19" s="24">
        <v>0</v>
      </c>
      <c r="MU19" s="24">
        <v>0</v>
      </c>
      <c r="MV19" s="24">
        <v>0</v>
      </c>
      <c r="MW19" s="24">
        <v>96444</v>
      </c>
      <c r="MX19" s="24">
        <v>6506</v>
      </c>
      <c r="MY19" s="24">
        <v>0</v>
      </c>
      <c r="MZ19" s="24">
        <v>0</v>
      </c>
      <c r="NA19" s="24">
        <v>0</v>
      </c>
      <c r="NB19" s="24">
        <v>0</v>
      </c>
      <c r="NC19" s="24">
        <v>0</v>
      </c>
      <c r="ND19" s="24">
        <v>0</v>
      </c>
      <c r="NE19" s="24">
        <v>0</v>
      </c>
      <c r="NF19" s="24">
        <v>0</v>
      </c>
      <c r="NG19" s="24">
        <v>0</v>
      </c>
      <c r="NH19" s="24">
        <v>0</v>
      </c>
      <c r="NI19" s="24">
        <v>0</v>
      </c>
      <c r="NJ19" s="24">
        <v>0</v>
      </c>
      <c r="NK19" s="24">
        <v>0</v>
      </c>
      <c r="NL19" s="24">
        <v>0</v>
      </c>
      <c r="NM19" s="24">
        <v>0</v>
      </c>
      <c r="NN19" s="24">
        <v>0</v>
      </c>
      <c r="NO19" s="24">
        <v>0</v>
      </c>
      <c r="NP19" s="24">
        <v>0</v>
      </c>
      <c r="NQ19" s="24">
        <v>0</v>
      </c>
      <c r="NR19" s="24">
        <v>0</v>
      </c>
      <c r="NS19" s="24">
        <v>0</v>
      </c>
      <c r="NT19" s="24">
        <v>113</v>
      </c>
      <c r="NU19" s="24">
        <v>0</v>
      </c>
      <c r="NV19" s="24">
        <v>42478</v>
      </c>
      <c r="NW19" s="24">
        <v>0</v>
      </c>
      <c r="NX19" s="24">
        <v>112012</v>
      </c>
      <c r="NY19" s="24">
        <v>0</v>
      </c>
      <c r="NZ19" s="24">
        <v>0</v>
      </c>
      <c r="OA19" s="24">
        <v>0</v>
      </c>
      <c r="OB19" s="24">
        <v>0</v>
      </c>
      <c r="OC19" s="24">
        <v>0</v>
      </c>
      <c r="OD19" s="24">
        <v>0</v>
      </c>
      <c r="OE19" s="24">
        <v>0</v>
      </c>
      <c r="OF19" s="24">
        <v>0</v>
      </c>
      <c r="OG19" s="24">
        <v>43686</v>
      </c>
      <c r="OH19" s="24">
        <v>1256</v>
      </c>
      <c r="OI19" s="24">
        <v>0</v>
      </c>
      <c r="OJ19" s="24">
        <v>4277</v>
      </c>
      <c r="OK19" s="24">
        <v>23795</v>
      </c>
      <c r="OL19" s="24">
        <v>0</v>
      </c>
      <c r="OM19" s="24">
        <v>0</v>
      </c>
      <c r="ON19" s="24">
        <v>1079415</v>
      </c>
      <c r="OO19" s="24">
        <v>0</v>
      </c>
      <c r="OP19" s="24">
        <v>0</v>
      </c>
      <c r="OQ19" s="24">
        <v>0</v>
      </c>
      <c r="OR19" s="24">
        <v>0</v>
      </c>
      <c r="OS19" s="24">
        <v>0</v>
      </c>
      <c r="OT19" s="24">
        <v>0</v>
      </c>
      <c r="OU19" s="24">
        <v>0</v>
      </c>
      <c r="OV19" s="24">
        <v>0</v>
      </c>
      <c r="OW19" s="24">
        <v>0</v>
      </c>
      <c r="OX19" s="24">
        <v>0</v>
      </c>
      <c r="OY19" s="24">
        <v>0</v>
      </c>
      <c r="OZ19" s="24">
        <v>0</v>
      </c>
      <c r="PA19" s="24">
        <v>0</v>
      </c>
      <c r="PB19" s="24">
        <v>0</v>
      </c>
      <c r="PC19" s="24">
        <v>291987</v>
      </c>
      <c r="PD19" s="24">
        <v>0</v>
      </c>
      <c r="PE19" s="24">
        <v>0</v>
      </c>
      <c r="PF19" s="24">
        <v>0</v>
      </c>
      <c r="PG19" s="24">
        <v>0</v>
      </c>
      <c r="PH19" s="24">
        <v>25436</v>
      </c>
      <c r="PI19" s="24">
        <v>0</v>
      </c>
      <c r="PJ19" s="24">
        <v>0</v>
      </c>
      <c r="PK19" s="24">
        <v>0</v>
      </c>
      <c r="PL19" s="24">
        <v>0</v>
      </c>
      <c r="PM19" s="24">
        <v>0</v>
      </c>
      <c r="PN19" s="24">
        <v>0</v>
      </c>
      <c r="PO19" s="24">
        <v>0</v>
      </c>
      <c r="PP19" s="24">
        <v>0</v>
      </c>
      <c r="PQ19" s="24">
        <v>0</v>
      </c>
      <c r="PR19" s="24">
        <v>0</v>
      </c>
      <c r="PS19" s="24">
        <v>0</v>
      </c>
      <c r="PT19" s="24">
        <v>0</v>
      </c>
      <c r="PU19" s="24">
        <v>0</v>
      </c>
      <c r="PV19" s="24">
        <v>0</v>
      </c>
      <c r="PW19" s="24">
        <v>0</v>
      </c>
      <c r="PX19" s="24">
        <v>0</v>
      </c>
      <c r="PY19" s="24">
        <v>0</v>
      </c>
      <c r="PZ19" s="24">
        <v>0</v>
      </c>
      <c r="QA19" s="24">
        <v>0</v>
      </c>
      <c r="QB19" s="24">
        <v>0</v>
      </c>
      <c r="QC19" s="24">
        <v>0</v>
      </c>
      <c r="QD19" s="24">
        <v>0</v>
      </c>
      <c r="QE19" s="24">
        <v>0</v>
      </c>
      <c r="QF19" s="24">
        <v>0</v>
      </c>
      <c r="QG19" s="24">
        <v>0</v>
      </c>
      <c r="QH19" s="24">
        <v>0</v>
      </c>
      <c r="QI19" s="24">
        <v>0</v>
      </c>
      <c r="QJ19" s="24">
        <v>0</v>
      </c>
      <c r="QK19" s="24">
        <v>0</v>
      </c>
      <c r="QL19" s="24">
        <v>0</v>
      </c>
      <c r="QM19" s="24">
        <v>0</v>
      </c>
      <c r="QN19" s="24">
        <v>0</v>
      </c>
      <c r="QO19" s="24">
        <v>0</v>
      </c>
      <c r="QP19" s="24">
        <v>983</v>
      </c>
      <c r="QQ19" s="24">
        <v>0</v>
      </c>
      <c r="QR19" s="24">
        <v>0</v>
      </c>
      <c r="QS19" s="24">
        <v>82000</v>
      </c>
      <c r="QT19" s="24">
        <v>0</v>
      </c>
      <c r="QU19" s="24">
        <v>0</v>
      </c>
      <c r="QV19" s="24">
        <v>0</v>
      </c>
      <c r="QW19" s="24">
        <v>50986</v>
      </c>
      <c r="QX19" s="24">
        <v>0</v>
      </c>
      <c r="QY19" s="24">
        <v>0</v>
      </c>
      <c r="QZ19" s="24">
        <v>0</v>
      </c>
      <c r="RA19" s="24">
        <v>0</v>
      </c>
      <c r="RB19" s="24">
        <v>0</v>
      </c>
      <c r="RG19" s="39">
        <f t="shared" si="48"/>
        <v>1672844</v>
      </c>
      <c r="RH19" s="39">
        <f t="shared" si="7"/>
        <v>219301</v>
      </c>
      <c r="RI19" s="39">
        <f t="shared" si="7"/>
        <v>0</v>
      </c>
      <c r="RJ19" s="39">
        <f t="shared" si="7"/>
        <v>0</v>
      </c>
      <c r="RK19" s="39">
        <f t="shared" si="7"/>
        <v>7527</v>
      </c>
      <c r="RL19" s="39">
        <f t="shared" si="7"/>
        <v>225878</v>
      </c>
      <c r="RM19" s="39">
        <f t="shared" si="7"/>
        <v>152920</v>
      </c>
      <c r="RN19" s="39">
        <f t="shared" si="7"/>
        <v>2375</v>
      </c>
      <c r="RO19" s="39">
        <f t="shared" si="7"/>
        <v>21740</v>
      </c>
      <c r="RP19" s="39">
        <f t="shared" si="7"/>
        <v>28480</v>
      </c>
      <c r="RQ19" s="39">
        <f t="shared" si="7"/>
        <v>4774</v>
      </c>
      <c r="RR19" s="39">
        <f t="shared" si="7"/>
        <v>0</v>
      </c>
      <c r="RS19" s="39"/>
      <c r="RT19" s="182"/>
      <c r="RU19" s="39"/>
      <c r="RV19" s="39">
        <f t="shared" si="49"/>
        <v>2073931</v>
      </c>
      <c r="RW19" s="39">
        <f t="shared" si="8"/>
        <v>2335839</v>
      </c>
      <c r="RX19" s="39">
        <f t="shared" si="8"/>
        <v>874002</v>
      </c>
      <c r="RY19" s="39">
        <f t="shared" si="8"/>
        <v>451392</v>
      </c>
      <c r="RZ19" s="39"/>
      <c r="SA19" s="182"/>
      <c r="SB19" s="39"/>
      <c r="SC19" s="25">
        <f t="shared" si="50"/>
        <v>2982.9419795221843</v>
      </c>
      <c r="SD19" s="39">
        <f>IFERROR(VLOOKUP(A19, 'Levy Data 15-16'!$B:$O, 3, FALSE), 0)</f>
        <v>508795838</v>
      </c>
      <c r="SE19" s="39">
        <f t="shared" si="9"/>
        <v>1736504.5665529009</v>
      </c>
      <c r="SF19" s="631">
        <f>IFERROR(VLOOKUP(A19, 'Levy Data 15-16'!$B:$O, 14, FALSE), 0)*1000</f>
        <v>1.1141699999999999</v>
      </c>
      <c r="SG19" s="39">
        <f t="shared" si="10"/>
        <v>0</v>
      </c>
      <c r="SH19" s="39">
        <f t="shared" si="11"/>
        <v>0</v>
      </c>
      <c r="SI19" s="39">
        <f t="shared" si="12"/>
        <v>874002</v>
      </c>
      <c r="SM19" s="39">
        <f t="shared" si="13"/>
        <v>2335839</v>
      </c>
      <c r="SN19" s="39">
        <f t="shared" si="14"/>
        <v>0</v>
      </c>
      <c r="SO19" s="39">
        <f t="shared" si="51"/>
        <v>2335839</v>
      </c>
      <c r="SP19" s="50">
        <f t="shared" si="52"/>
        <v>1</v>
      </c>
      <c r="ST19" s="124">
        <f>IFERROR(VLOOKUP(A19,'Grade Enroll 15-16'!B:AC,27,FALSE),"")</f>
        <v>293</v>
      </c>
      <c r="SU19" s="124">
        <f t="shared" si="53"/>
        <v>198.62883435582822</v>
      </c>
      <c r="SV19" s="131">
        <f>IFERROR(VLOOKUP($A19, 'Title I Enroll 16-17'!S:V, 4, FALSE), 0)</f>
        <v>0.67791411042944782</v>
      </c>
      <c r="SW19" s="729">
        <f>IFERROR(VLOOKUP(A19, 'ELL Enroll 15-16'!$N:$S, 6, FALSE), 0)</f>
        <v>5</v>
      </c>
      <c r="SX19" s="131">
        <f t="shared" si="54"/>
        <v>1.7064846416382253E-2</v>
      </c>
      <c r="SY19" s="124">
        <f>IFERROR(VLOOKUP(A19, 'SPED enroll 2015-16'!$M:$O, 3, FALSE), 0)</f>
        <v>72</v>
      </c>
      <c r="SZ19" s="131">
        <f t="shared" si="55"/>
        <v>0.24573378839590443</v>
      </c>
      <c r="TA19" s="142">
        <f t="shared" si="56"/>
        <v>50.4</v>
      </c>
      <c r="TB19" s="142">
        <f t="shared" si="15"/>
        <v>14.4</v>
      </c>
      <c r="TC19" s="142">
        <f t="shared" si="15"/>
        <v>5.0400000000000009</v>
      </c>
      <c r="TD19" s="142">
        <f t="shared" si="15"/>
        <v>2.16</v>
      </c>
      <c r="TE19" s="124">
        <f>VLOOKUP($A19, 'Grade Enroll 15-16'!$B:$AB, 20, FALSE)</f>
        <v>8</v>
      </c>
      <c r="TF19" s="124">
        <f>VLOOKUP($A19, 'Grade Enroll 15-16'!$B:$AB, 21, FALSE)</f>
        <v>37</v>
      </c>
      <c r="TG19" s="124">
        <f>VLOOKUP($A19, 'Grade Enroll 15-16'!$B:$AB, 22, FALSE)</f>
        <v>74</v>
      </c>
      <c r="TH19" s="124">
        <f>VLOOKUP($A19, 'Grade Enroll 15-16'!$B:$AB, 23, FALSE)</f>
        <v>78</v>
      </c>
      <c r="TI19" s="124">
        <f>VLOOKUP($A19, 'Grade Enroll 15-16'!$B:$AB, 24, FALSE)</f>
        <v>48</v>
      </c>
      <c r="TJ19" s="124">
        <f>VLOOKUP($A19, 'Grade Enroll 15-16'!$B:$AB, 25, FALSE)</f>
        <v>93</v>
      </c>
      <c r="TK19" s="124">
        <f>VLOOKUP($A19, 'Grade Enroll 15-16'!$B:$AB, 26, FALSE)</f>
        <v>209</v>
      </c>
      <c r="TL19" s="131">
        <f>SUMIFS('Student Achievement 15-16'!N:N, 'Student Achievement 15-16'!B:B, 'Idaho Data'!A19, 'Student Achievement 15-16'!D:D, "math")/100</f>
        <v>0.65099999999999991</v>
      </c>
      <c r="TM19" s="134">
        <f t="shared" si="57"/>
        <v>190.74299999999997</v>
      </c>
      <c r="TN19" s="131">
        <f>SUMIFS('Student Achievement 15-16'!N:N, 'Student Achievement 15-16'!B:B, 'Idaho Data'!A19, 'Student Achievement 15-16'!D:D, "ela")/100</f>
        <v>0.58599999999999997</v>
      </c>
      <c r="TO19" s="134">
        <f t="shared" si="58"/>
        <v>171.69799999999998</v>
      </c>
      <c r="TP19" s="688">
        <f>IFERROR(VLOOKUP(A19, 'G&amp;T 15-16'!B:G, 6, FALSE), 0)*1</f>
        <v>5</v>
      </c>
      <c r="TQ19" s="168">
        <f t="shared" si="59"/>
        <v>17.579999999999998</v>
      </c>
      <c r="TU19" s="168">
        <f t="shared" si="60"/>
        <v>171.69799999999998</v>
      </c>
      <c r="TV19" s="168">
        <f t="shared" si="61"/>
        <v>190.74299999999997</v>
      </c>
      <c r="TW19" s="205">
        <f t="shared" si="62"/>
        <v>190.74299999999997</v>
      </c>
      <c r="TX19" s="144"/>
      <c r="TY19" s="129"/>
      <c r="TZ19" s="127">
        <f t="shared" si="63"/>
        <v>5</v>
      </c>
      <c r="UA19" s="127">
        <f t="shared" si="64"/>
        <v>17.579999999999998</v>
      </c>
      <c r="UB19" s="205">
        <f t="shared" si="65"/>
        <v>17.579999999999998</v>
      </c>
      <c r="UE19" s="853" t="str">
        <f>IF(ST19&lt;='1. Simulator Input'!$E$104, "yes", "")</f>
        <v>yes</v>
      </c>
      <c r="UI19" s="199">
        <f t="shared" si="66"/>
        <v>0</v>
      </c>
      <c r="UJ19" s="200">
        <f>IF('Idaho Data'!SI19&gt;=0, ((1-'1. Simulator Input'!$E$39)*'Idaho Data'!SI19), 0)</f>
        <v>0</v>
      </c>
      <c r="UK19" s="200">
        <f t="shared" si="67"/>
        <v>2335839</v>
      </c>
      <c r="UL19" s="39"/>
      <c r="UM19" s="182"/>
      <c r="UN19" s="39"/>
      <c r="UO19" s="39">
        <f>IF(AND('1. Simulator Input'!$E$96="yes", '1. Simulator Input'!$E$98="yes", '1. Simulator Input'!$E$100="hold harmless"), 'Idaho Data'!WN19, IF(AND('1. Simulator Input'!$E$96="yes", '1. Simulator Input'!$E$98="no", '1. Simulator Input'!$E$100="hold harmless"), 'Idaho Data'!WM19, IF(AND('1. Simulator Input'!$E$96="yes", '1. Simulator Input'!$E$98="yes", '1. Simulator Input'!$E$100="small district grant"), WL19,IF(AND('1. Simulator Input'!$E$96="yes", '1. Simulator Input'!$E$98="no", '1. Simulator Input'!$E$100="small district grant"), WK19, ""))))</f>
        <v>0</v>
      </c>
      <c r="UP19" s="200">
        <f>'1. Simulator Input'!$D$56*('Idaho Data'!ST19)</f>
        <v>1619118</v>
      </c>
      <c r="UQ19" s="204">
        <f>'1. Simulator Input'!$D$65*'1. Simulator Input'!$D$56*'Idaho Data'!SU19</f>
        <v>0</v>
      </c>
      <c r="UR19" s="204">
        <f>'1. Simulator Input'!$D$66*'1. Simulator Input'!$D$56*'Idaho Data'!SW19</f>
        <v>0</v>
      </c>
      <c r="US19" s="200">
        <f>'1. Simulator Input'!$D$67*'1. Simulator Input'!$D$56*'Idaho Data'!TA19</f>
        <v>0</v>
      </c>
      <c r="UT19" s="200">
        <f>'1. Simulator Input'!$D$68*'1. Simulator Input'!$D$56*'Idaho Data'!TB19</f>
        <v>0</v>
      </c>
      <c r="UU19" s="200">
        <f>'1. Simulator Input'!$D$69*'1. Simulator Input'!$D$56*'Idaho Data'!TC19</f>
        <v>0</v>
      </c>
      <c r="UV19" s="200">
        <f>'1. Simulator Input'!$D$70*'1. Simulator Input'!$D$56*TD19</f>
        <v>0</v>
      </c>
      <c r="UW19" s="200">
        <f>'1. Simulator Input'!$D$80*'1. Simulator Input'!$D$56*TW19</f>
        <v>0</v>
      </c>
      <c r="UX19" s="200">
        <f>'1. Simulator Input'!$D$79*'1. Simulator Input'!$D$56*UB19</f>
        <v>0</v>
      </c>
      <c r="UY19" s="200">
        <f>'1. Simulator Input'!$D$87*'1. Simulator Input'!$D$56*TF19</f>
        <v>102231</v>
      </c>
      <c r="UZ19" s="200">
        <f>'1. Simulator Input'!$D$73*'1. Simulator Input'!$D$56*'Idaho Data'!TG19</f>
        <v>0</v>
      </c>
      <c r="VA19" s="200">
        <f>'1. Simulator Input'!$D$56*'1. Simulator Input'!$D$74*'Idaho Data'!TH19</f>
        <v>0</v>
      </c>
      <c r="VB19" s="200">
        <f>'1. Simulator Input'!$D$56*'1. Simulator Input'!$D$75*'Idaho Data'!TI14</f>
        <v>0</v>
      </c>
      <c r="VC19" s="200">
        <f>'1. Simulator Input'!$D$76*'1. Simulator Input'!$D$56*'Idaho Data'!TJ19</f>
        <v>0</v>
      </c>
      <c r="VD19" s="200">
        <f t="shared" si="68"/>
        <v>1721349</v>
      </c>
      <c r="VE19" s="200"/>
      <c r="VF19" s="182"/>
      <c r="VG19" s="200"/>
      <c r="VH19" s="200">
        <f t="shared" si="69"/>
        <v>0</v>
      </c>
      <c r="VI19" s="200">
        <f t="shared" si="70"/>
        <v>0</v>
      </c>
      <c r="VJ19" s="200">
        <f t="shared" si="16"/>
        <v>1721349</v>
      </c>
      <c r="VK19" s="200">
        <f t="shared" si="17"/>
        <v>1721349</v>
      </c>
      <c r="VL19" s="200"/>
      <c r="VM19" s="182"/>
      <c r="VN19" s="200"/>
      <c r="VO19" s="200">
        <f t="shared" si="71"/>
        <v>2073931</v>
      </c>
      <c r="VP19" s="200">
        <f t="shared" si="72"/>
        <v>2335839</v>
      </c>
      <c r="VQ19" s="200">
        <f t="shared" si="73"/>
        <v>874002</v>
      </c>
      <c r="VR19" s="200">
        <f t="shared" si="74"/>
        <v>2073931</v>
      </c>
      <c r="VS19" s="200">
        <f t="shared" si="18"/>
        <v>1721349</v>
      </c>
      <c r="VT19" s="200">
        <f t="shared" si="19"/>
        <v>874002</v>
      </c>
      <c r="VU19" s="200">
        <f t="shared" si="20"/>
        <v>0</v>
      </c>
      <c r="VV19" s="200"/>
      <c r="VW19" s="182"/>
      <c r="VX19" s="200"/>
      <c r="VZ19" s="199">
        <f t="shared" si="75"/>
        <v>-614490</v>
      </c>
      <c r="WA19" s="199">
        <f t="shared" si="76"/>
        <v>-2097.235494880546</v>
      </c>
      <c r="WB19" s="131">
        <f t="shared" si="77"/>
        <v>-0.26307035716074612</v>
      </c>
      <c r="WC19" s="131"/>
      <c r="WD19" s="461"/>
      <c r="WE19" s="893"/>
      <c r="WF19" s="893">
        <f t="shared" si="78"/>
        <v>18033.351535836176</v>
      </c>
      <c r="WG19" s="893">
        <f t="shared" si="79"/>
        <v>15936.116040955631</v>
      </c>
      <c r="WH19" s="893"/>
      <c r="WI19" s="893">
        <f t="shared" si="80"/>
        <v>2335839</v>
      </c>
      <c r="WJ19" s="893">
        <f t="shared" si="21"/>
        <v>1721349</v>
      </c>
      <c r="WK19" s="39">
        <f t="shared" si="22"/>
        <v>0</v>
      </c>
      <c r="WL19" s="39">
        <f t="shared" si="23"/>
        <v>0</v>
      </c>
      <c r="WM19" s="200">
        <f t="shared" si="24"/>
        <v>614490</v>
      </c>
      <c r="WN19" s="39">
        <f t="shared" si="25"/>
        <v>614490</v>
      </c>
      <c r="WO19" s="39"/>
      <c r="WP19" s="182"/>
      <c r="WQ19" s="39"/>
      <c r="WR19" s="305">
        <f t="shared" si="26"/>
        <v>0.91200000000000003</v>
      </c>
      <c r="WT19" s="200">
        <f t="shared" si="27"/>
        <v>7972.1467576791811</v>
      </c>
      <c r="WU19" s="131">
        <f t="shared" si="81"/>
        <v>0.75</v>
      </c>
      <c r="WW19" s="199">
        <f t="shared" si="28"/>
        <v>2073931</v>
      </c>
      <c r="WX19" s="199">
        <f t="shared" si="29"/>
        <v>1721349</v>
      </c>
      <c r="WY19" s="199">
        <f t="shared" si="30"/>
        <v>0</v>
      </c>
      <c r="WZ19" s="199">
        <f t="shared" si="82"/>
        <v>1721349</v>
      </c>
      <c r="XA19" s="199">
        <f t="shared" si="31"/>
        <v>0</v>
      </c>
      <c r="XB19" s="199">
        <f t="shared" si="32"/>
        <v>874002</v>
      </c>
      <c r="XC19" s="199">
        <f t="shared" si="33"/>
        <v>874002</v>
      </c>
      <c r="XD19" s="199" t="str">
        <f t="shared" si="34"/>
        <v/>
      </c>
      <c r="XE19" s="199"/>
      <c r="XF19" s="199"/>
      <c r="XG19" s="199"/>
      <c r="XH19" s="199"/>
      <c r="XI19" s="199"/>
      <c r="XJ19" s="199">
        <f t="shared" si="83"/>
        <v>1721349</v>
      </c>
      <c r="XP19" s="199">
        <f t="shared" si="35"/>
        <v>1721349</v>
      </c>
      <c r="XQ19" s="199">
        <f t="shared" si="36"/>
        <v>5874.9112627986351</v>
      </c>
      <c r="XR19" s="199">
        <f t="shared" si="37"/>
        <v>1721349</v>
      </c>
      <c r="XS19" s="199">
        <f t="shared" si="38"/>
        <v>1721349</v>
      </c>
      <c r="XT19" s="199">
        <f t="shared" si="39"/>
        <v>5874.9112627986351</v>
      </c>
      <c r="XU19" s="199">
        <f t="shared" si="40"/>
        <v>2335839</v>
      </c>
      <c r="XV19" s="199">
        <f t="shared" si="41"/>
        <v>7972.1467576791811</v>
      </c>
      <c r="XW19" s="199">
        <f t="shared" si="42"/>
        <v>2335839</v>
      </c>
      <c r="XX19" s="199">
        <f t="shared" si="43"/>
        <v>7972.1467576791811</v>
      </c>
      <c r="XY19" s="199">
        <f t="shared" si="84"/>
        <v>-614490</v>
      </c>
      <c r="XZ19" s="199">
        <f t="shared" si="85"/>
        <v>-2097.235494880546</v>
      </c>
      <c r="YA19" s="131">
        <f>XZ19/XV19</f>
        <v>-0.26307035716074606</v>
      </c>
      <c r="YB19" s="199"/>
      <c r="YC19" s="221"/>
      <c r="YD19" s="199"/>
      <c r="YE19" s="199">
        <f t="shared" si="44"/>
        <v>2073931</v>
      </c>
      <c r="YF19" s="200">
        <f t="shared" si="45"/>
        <v>0</v>
      </c>
      <c r="YG19" s="199">
        <f t="shared" si="46"/>
        <v>874002</v>
      </c>
      <c r="YH19" s="199">
        <f t="shared" si="47"/>
        <v>451392</v>
      </c>
    </row>
    <row r="20" spans="1:658">
      <c r="A20" s="3">
        <v>52</v>
      </c>
      <c r="B20" s="2" t="s">
        <v>111</v>
      </c>
      <c r="C20" s="24">
        <v>0</v>
      </c>
      <c r="D20" s="24">
        <v>0</v>
      </c>
      <c r="E20" s="24">
        <v>0</v>
      </c>
      <c r="F20" s="24">
        <v>0</v>
      </c>
      <c r="G20" s="24">
        <v>734460</v>
      </c>
      <c r="H20" s="24">
        <v>0</v>
      </c>
      <c r="I20" s="24">
        <v>0</v>
      </c>
      <c r="J20" s="24">
        <v>0</v>
      </c>
      <c r="K20" s="24">
        <v>0</v>
      </c>
      <c r="L20" s="24">
        <v>0</v>
      </c>
      <c r="M20" s="24">
        <v>0</v>
      </c>
      <c r="N20" s="24">
        <v>2807</v>
      </c>
      <c r="O20" s="24">
        <v>0</v>
      </c>
      <c r="P20" s="24">
        <v>0</v>
      </c>
      <c r="Q20" s="24">
        <v>0</v>
      </c>
      <c r="R20" s="24">
        <v>0</v>
      </c>
      <c r="S20" s="24">
        <v>0</v>
      </c>
      <c r="T20" s="24">
        <v>489734</v>
      </c>
      <c r="U20" s="24">
        <v>0</v>
      </c>
      <c r="V20" s="24">
        <v>0</v>
      </c>
      <c r="W20" s="24">
        <v>0</v>
      </c>
      <c r="X20" s="24">
        <v>926306</v>
      </c>
      <c r="Y20" s="24">
        <v>16810</v>
      </c>
      <c r="Z20" s="24">
        <v>0</v>
      </c>
      <c r="AA20" s="24">
        <v>0</v>
      </c>
      <c r="AB20" s="24">
        <v>0</v>
      </c>
      <c r="AC20" s="24">
        <v>0</v>
      </c>
      <c r="AD20" s="24">
        <v>0</v>
      </c>
      <c r="AE20" s="24">
        <v>0</v>
      </c>
      <c r="AF20" s="24">
        <v>0</v>
      </c>
      <c r="AG20" s="24">
        <v>0</v>
      </c>
      <c r="AH20" s="24">
        <v>0</v>
      </c>
      <c r="AI20" s="24">
        <v>0</v>
      </c>
      <c r="AJ20" s="24">
        <v>0</v>
      </c>
      <c r="AK20" s="24">
        <v>0</v>
      </c>
      <c r="AL20" s="24">
        <v>14102</v>
      </c>
      <c r="AM20" s="24">
        <v>0</v>
      </c>
      <c r="AN20" s="24">
        <v>0</v>
      </c>
      <c r="AO20" s="24">
        <v>0</v>
      </c>
      <c r="AP20" s="24">
        <v>0</v>
      </c>
      <c r="AQ20" s="24">
        <v>0</v>
      </c>
      <c r="AR20" s="24">
        <v>0</v>
      </c>
      <c r="AS20" s="24">
        <v>0</v>
      </c>
      <c r="AT20" s="24">
        <v>0</v>
      </c>
      <c r="AU20" s="24">
        <v>0</v>
      </c>
      <c r="AV20" s="24">
        <v>0</v>
      </c>
      <c r="AW20" s="24">
        <v>0</v>
      </c>
      <c r="AX20" s="24">
        <v>0</v>
      </c>
      <c r="AY20" s="24">
        <v>0</v>
      </c>
      <c r="AZ20" s="24">
        <v>0</v>
      </c>
      <c r="BA20" s="24">
        <v>0</v>
      </c>
      <c r="BB20" s="24">
        <v>0</v>
      </c>
      <c r="BC20" s="24">
        <v>0</v>
      </c>
      <c r="BD20" s="24">
        <v>0</v>
      </c>
      <c r="BE20" s="24">
        <v>628</v>
      </c>
      <c r="BF20" s="24">
        <v>0</v>
      </c>
      <c r="BG20" s="24">
        <v>0</v>
      </c>
      <c r="BH20" s="24">
        <v>0</v>
      </c>
      <c r="BI20" s="24">
        <v>0</v>
      </c>
      <c r="BJ20" s="24">
        <v>0</v>
      </c>
      <c r="BK20" s="24">
        <v>0</v>
      </c>
      <c r="BL20" s="24">
        <v>0</v>
      </c>
      <c r="BM20" s="24">
        <v>0</v>
      </c>
      <c r="BN20" s="24">
        <v>0</v>
      </c>
      <c r="BO20" s="24">
        <v>0</v>
      </c>
      <c r="BP20" s="24">
        <v>0</v>
      </c>
      <c r="BQ20" s="24">
        <v>0</v>
      </c>
      <c r="BR20" s="24">
        <v>0</v>
      </c>
      <c r="BS20" s="24">
        <v>0</v>
      </c>
      <c r="BT20" s="24">
        <v>0</v>
      </c>
      <c r="BU20" s="24">
        <v>0</v>
      </c>
      <c r="BV20" s="24">
        <v>0</v>
      </c>
      <c r="BW20" s="24">
        <v>0</v>
      </c>
      <c r="BX20" s="24">
        <v>0</v>
      </c>
      <c r="BY20" s="24">
        <v>0</v>
      </c>
      <c r="BZ20" s="24">
        <v>0</v>
      </c>
      <c r="CA20" s="24">
        <v>0</v>
      </c>
      <c r="CB20" s="24">
        <v>0</v>
      </c>
      <c r="CC20" s="24">
        <v>0</v>
      </c>
      <c r="CD20" s="24">
        <v>111357</v>
      </c>
      <c r="CE20" s="24">
        <v>4791</v>
      </c>
      <c r="CF20" s="24">
        <v>0</v>
      </c>
      <c r="CG20" s="24">
        <v>49</v>
      </c>
      <c r="CH20" s="24">
        <v>0</v>
      </c>
      <c r="CI20" s="24">
        <v>0</v>
      </c>
      <c r="CJ20" s="24">
        <v>0</v>
      </c>
      <c r="CK20" s="24">
        <v>0</v>
      </c>
      <c r="CL20" s="24">
        <v>0</v>
      </c>
      <c r="CM20" s="24">
        <v>0</v>
      </c>
      <c r="CN20" s="24">
        <v>0</v>
      </c>
      <c r="CO20" s="24">
        <v>0</v>
      </c>
      <c r="CP20" s="24">
        <v>0</v>
      </c>
      <c r="CQ20" s="24">
        <v>0</v>
      </c>
      <c r="CR20" s="24">
        <v>0</v>
      </c>
      <c r="CS20" s="24">
        <v>0</v>
      </c>
      <c r="CT20" s="24">
        <v>0</v>
      </c>
      <c r="CU20" s="24">
        <v>0</v>
      </c>
      <c r="CV20" s="24">
        <v>0</v>
      </c>
      <c r="CW20" s="24">
        <v>0</v>
      </c>
      <c r="CX20" s="24">
        <v>0</v>
      </c>
      <c r="CY20" s="24">
        <v>0</v>
      </c>
      <c r="CZ20" s="24">
        <v>0</v>
      </c>
      <c r="DA20" s="24">
        <v>0</v>
      </c>
      <c r="DB20" s="24">
        <v>9020</v>
      </c>
      <c r="DC20" s="24">
        <v>0</v>
      </c>
      <c r="DD20" s="24">
        <v>0</v>
      </c>
      <c r="DE20" s="24">
        <v>0</v>
      </c>
      <c r="DF20" s="24">
        <v>0</v>
      </c>
      <c r="DG20" s="24">
        <v>0</v>
      </c>
      <c r="DH20" s="24">
        <v>0</v>
      </c>
      <c r="DI20" s="24">
        <v>0</v>
      </c>
      <c r="DJ20" s="24">
        <v>0</v>
      </c>
      <c r="DK20" s="24">
        <v>0</v>
      </c>
      <c r="DL20" s="24">
        <v>0</v>
      </c>
      <c r="DM20" s="24">
        <v>0</v>
      </c>
      <c r="DN20" s="24">
        <v>0</v>
      </c>
      <c r="DO20" s="24">
        <v>0</v>
      </c>
      <c r="DP20" s="24">
        <v>0</v>
      </c>
      <c r="DQ20" s="24">
        <v>0</v>
      </c>
      <c r="DR20" s="24">
        <v>0</v>
      </c>
      <c r="DS20" s="24">
        <v>0</v>
      </c>
      <c r="DT20" s="24">
        <v>0</v>
      </c>
      <c r="DU20" s="24">
        <v>3480</v>
      </c>
      <c r="DV20" s="24">
        <v>0</v>
      </c>
      <c r="DW20" s="24">
        <v>0</v>
      </c>
      <c r="DX20" s="24">
        <v>0</v>
      </c>
      <c r="DY20" s="24">
        <v>0</v>
      </c>
      <c r="DZ20" s="24">
        <v>0</v>
      </c>
      <c r="EA20" s="24">
        <v>0</v>
      </c>
      <c r="EB20" s="24">
        <v>0</v>
      </c>
      <c r="EC20" s="24">
        <v>0</v>
      </c>
      <c r="ED20" s="24">
        <v>0</v>
      </c>
      <c r="EE20" s="24">
        <v>0</v>
      </c>
      <c r="EF20" s="24">
        <v>0</v>
      </c>
      <c r="EG20" s="24">
        <v>0</v>
      </c>
      <c r="EH20" s="24">
        <v>0</v>
      </c>
      <c r="EI20" s="24">
        <v>0</v>
      </c>
      <c r="EJ20" s="24">
        <v>0</v>
      </c>
      <c r="EK20" s="24">
        <v>0</v>
      </c>
      <c r="EL20" s="24">
        <v>0</v>
      </c>
      <c r="EM20" s="24">
        <v>0</v>
      </c>
      <c r="EN20" s="24">
        <v>0</v>
      </c>
      <c r="EO20" s="24">
        <v>0</v>
      </c>
      <c r="EP20" s="24">
        <v>0</v>
      </c>
      <c r="EQ20" s="24">
        <v>0</v>
      </c>
      <c r="ER20" s="24">
        <v>0</v>
      </c>
      <c r="ES20" s="24">
        <v>0</v>
      </c>
      <c r="ET20" s="24">
        <v>0</v>
      </c>
      <c r="EU20" s="24">
        <v>0</v>
      </c>
      <c r="EV20" s="24">
        <v>0</v>
      </c>
      <c r="EW20" s="24">
        <v>0</v>
      </c>
      <c r="EX20" s="24">
        <v>0</v>
      </c>
      <c r="EY20" s="24">
        <v>0</v>
      </c>
      <c r="EZ20" s="24">
        <v>0</v>
      </c>
      <c r="FA20" s="24">
        <v>0</v>
      </c>
      <c r="FB20" s="24">
        <v>0</v>
      </c>
      <c r="FC20" s="24">
        <v>0</v>
      </c>
      <c r="FD20" s="24">
        <v>0</v>
      </c>
      <c r="FE20" s="24">
        <v>0</v>
      </c>
      <c r="FF20" s="24">
        <v>0</v>
      </c>
      <c r="FG20" s="24">
        <v>0</v>
      </c>
      <c r="FH20" s="24">
        <v>0</v>
      </c>
      <c r="FI20" s="24">
        <v>0</v>
      </c>
      <c r="FJ20" s="24">
        <v>0</v>
      </c>
      <c r="FK20" s="24">
        <v>0</v>
      </c>
      <c r="FL20" s="24">
        <v>16066</v>
      </c>
      <c r="FM20" s="24">
        <v>0</v>
      </c>
      <c r="FN20" s="24">
        <v>0</v>
      </c>
      <c r="FO20" s="24">
        <v>0</v>
      </c>
      <c r="FP20" s="24">
        <v>0</v>
      </c>
      <c r="FQ20" s="24">
        <v>0</v>
      </c>
      <c r="FR20" s="24">
        <v>0</v>
      </c>
      <c r="FS20" s="24">
        <v>141850</v>
      </c>
      <c r="FT20" s="24">
        <v>0</v>
      </c>
      <c r="FU20" s="24">
        <v>0</v>
      </c>
      <c r="FV20" s="24">
        <v>0</v>
      </c>
      <c r="FW20" s="24">
        <v>0</v>
      </c>
      <c r="FX20" s="24">
        <v>0</v>
      </c>
      <c r="FY20" s="24">
        <v>0</v>
      </c>
      <c r="FZ20" s="24">
        <v>0</v>
      </c>
      <c r="GA20" s="24">
        <v>0</v>
      </c>
      <c r="GB20" s="24">
        <v>0</v>
      </c>
      <c r="GC20" s="24">
        <v>0</v>
      </c>
      <c r="GD20" s="24">
        <v>0</v>
      </c>
      <c r="GE20" s="24">
        <v>0</v>
      </c>
      <c r="GF20" s="24">
        <v>0</v>
      </c>
      <c r="GG20" s="24">
        <v>0</v>
      </c>
      <c r="GH20" s="24">
        <v>0</v>
      </c>
      <c r="GI20" s="24">
        <v>0</v>
      </c>
      <c r="GJ20" s="24">
        <v>0</v>
      </c>
      <c r="GK20" s="24">
        <v>0</v>
      </c>
      <c r="GL20" s="24">
        <v>0</v>
      </c>
      <c r="GM20" s="24">
        <v>0</v>
      </c>
      <c r="GN20" s="24">
        <v>0</v>
      </c>
      <c r="GO20" s="24">
        <v>0</v>
      </c>
      <c r="GP20" s="24">
        <v>0</v>
      </c>
      <c r="GQ20" s="24">
        <v>0</v>
      </c>
      <c r="GR20" s="24">
        <v>0</v>
      </c>
      <c r="GS20" s="24">
        <v>0</v>
      </c>
      <c r="GT20" s="24">
        <v>0</v>
      </c>
      <c r="GU20" s="24">
        <v>0</v>
      </c>
      <c r="GV20" s="24">
        <v>0</v>
      </c>
      <c r="GW20" s="24">
        <v>0</v>
      </c>
      <c r="GX20" s="24">
        <v>0</v>
      </c>
      <c r="GY20" s="24">
        <v>0</v>
      </c>
      <c r="GZ20" s="24">
        <v>0</v>
      </c>
      <c r="HA20" s="24">
        <v>0</v>
      </c>
      <c r="HB20" s="24">
        <v>0</v>
      </c>
      <c r="HC20" s="24">
        <v>0</v>
      </c>
      <c r="HD20" s="24">
        <v>6773291</v>
      </c>
      <c r="HE20" s="24">
        <v>0</v>
      </c>
      <c r="HF20" s="24">
        <v>0</v>
      </c>
      <c r="HG20" s="24">
        <v>0</v>
      </c>
      <c r="HH20" s="24">
        <v>0</v>
      </c>
      <c r="HI20" s="24">
        <v>455187</v>
      </c>
      <c r="HJ20" s="24">
        <v>0</v>
      </c>
      <c r="HK20" s="24">
        <v>0</v>
      </c>
      <c r="HL20" s="24">
        <v>0</v>
      </c>
      <c r="HM20" s="24">
        <v>0</v>
      </c>
      <c r="HN20" s="24">
        <v>0</v>
      </c>
      <c r="HO20" s="24">
        <v>891958</v>
      </c>
      <c r="HP20" s="24">
        <v>302299</v>
      </c>
      <c r="HQ20" s="24">
        <v>0</v>
      </c>
      <c r="HR20" s="24">
        <v>0</v>
      </c>
      <c r="HS20" s="24">
        <v>0</v>
      </c>
      <c r="HT20" s="24">
        <v>0</v>
      </c>
      <c r="HU20" s="24">
        <v>0</v>
      </c>
      <c r="HV20" s="24">
        <v>0</v>
      </c>
      <c r="HW20" s="24">
        <v>0</v>
      </c>
      <c r="HX20" s="24">
        <v>0</v>
      </c>
      <c r="HY20" s="24">
        <v>0</v>
      </c>
      <c r="HZ20" s="24">
        <v>0</v>
      </c>
      <c r="IA20" s="24">
        <v>101711</v>
      </c>
      <c r="IB20" s="24">
        <v>23948</v>
      </c>
      <c r="IC20" s="24">
        <v>0</v>
      </c>
      <c r="ID20" s="24">
        <v>0</v>
      </c>
      <c r="IE20" s="24">
        <v>0</v>
      </c>
      <c r="IF20" s="24">
        <v>0</v>
      </c>
      <c r="IG20" s="24">
        <v>0</v>
      </c>
      <c r="IH20" s="24">
        <v>0</v>
      </c>
      <c r="II20" s="24">
        <v>0</v>
      </c>
      <c r="IJ20" s="24">
        <v>326271</v>
      </c>
      <c r="IK20" s="24">
        <v>0</v>
      </c>
      <c r="IL20" s="24">
        <v>0</v>
      </c>
      <c r="IM20" s="24">
        <v>0</v>
      </c>
      <c r="IN20" s="24">
        <v>0</v>
      </c>
      <c r="IO20" s="24">
        <v>10125</v>
      </c>
      <c r="IP20" s="24">
        <v>0</v>
      </c>
      <c r="IQ20" s="24">
        <v>0</v>
      </c>
      <c r="IR20" s="24">
        <v>35936</v>
      </c>
      <c r="IS20" s="24">
        <v>0</v>
      </c>
      <c r="IT20" s="24">
        <v>0</v>
      </c>
      <c r="IU20" s="24">
        <v>0</v>
      </c>
      <c r="IV20" s="24">
        <v>0</v>
      </c>
      <c r="IW20" s="24">
        <v>0</v>
      </c>
      <c r="IX20" s="24">
        <v>0</v>
      </c>
      <c r="IY20" s="24">
        <v>0</v>
      </c>
      <c r="IZ20" s="24">
        <v>187453</v>
      </c>
      <c r="JA20" s="24">
        <v>0</v>
      </c>
      <c r="JB20" s="24">
        <v>186066</v>
      </c>
      <c r="JC20" s="24">
        <v>0</v>
      </c>
      <c r="JD20" s="24">
        <v>0</v>
      </c>
      <c r="JE20" s="24">
        <v>0</v>
      </c>
      <c r="JF20" s="24">
        <v>0</v>
      </c>
      <c r="JG20" s="24">
        <v>0</v>
      </c>
      <c r="JH20" s="24">
        <v>0</v>
      </c>
      <c r="JI20" s="24">
        <v>0</v>
      </c>
      <c r="JJ20" s="24">
        <v>0</v>
      </c>
      <c r="JK20" s="24">
        <v>0</v>
      </c>
      <c r="JL20" s="24">
        <v>0</v>
      </c>
      <c r="JM20" s="24">
        <v>0</v>
      </c>
      <c r="JN20" s="24">
        <v>0</v>
      </c>
      <c r="JO20" s="24">
        <v>0</v>
      </c>
      <c r="JP20" s="24">
        <v>0</v>
      </c>
      <c r="JQ20" s="24">
        <v>67781</v>
      </c>
      <c r="JR20" s="24">
        <v>0</v>
      </c>
      <c r="JS20" s="24">
        <v>0</v>
      </c>
      <c r="JT20" s="24">
        <v>0</v>
      </c>
      <c r="JU20" s="24">
        <v>0</v>
      </c>
      <c r="JV20" s="24">
        <v>0</v>
      </c>
      <c r="JW20" s="24">
        <v>0</v>
      </c>
      <c r="JX20" s="24">
        <v>0</v>
      </c>
      <c r="JY20" s="24">
        <v>0</v>
      </c>
      <c r="JZ20" s="24">
        <v>0</v>
      </c>
      <c r="KA20" s="24">
        <v>0</v>
      </c>
      <c r="KB20" s="24">
        <v>0</v>
      </c>
      <c r="KC20" s="24">
        <v>0</v>
      </c>
      <c r="KD20" s="24">
        <v>0</v>
      </c>
      <c r="KE20" s="24">
        <v>0</v>
      </c>
      <c r="KF20" s="24">
        <v>0</v>
      </c>
      <c r="KG20" s="24">
        <v>0</v>
      </c>
      <c r="KH20" s="24">
        <v>0</v>
      </c>
      <c r="KI20" s="24">
        <v>0</v>
      </c>
      <c r="KJ20" s="24">
        <v>0</v>
      </c>
      <c r="KK20" s="24">
        <v>0</v>
      </c>
      <c r="KL20" s="24">
        <v>0</v>
      </c>
      <c r="KM20" s="24">
        <v>0</v>
      </c>
      <c r="KN20" s="24">
        <v>0</v>
      </c>
      <c r="KO20" s="24">
        <v>0</v>
      </c>
      <c r="KP20" s="24">
        <v>0</v>
      </c>
      <c r="KQ20" s="24">
        <v>0</v>
      </c>
      <c r="KR20" s="24">
        <v>0</v>
      </c>
      <c r="KS20" s="24">
        <v>0</v>
      </c>
      <c r="KT20" s="24">
        <v>0</v>
      </c>
      <c r="KU20" s="24">
        <v>0</v>
      </c>
      <c r="KV20" s="24">
        <v>0</v>
      </c>
      <c r="KW20" s="24">
        <v>0</v>
      </c>
      <c r="KX20" s="24">
        <v>0</v>
      </c>
      <c r="KY20" s="24">
        <v>0</v>
      </c>
      <c r="KZ20" s="24">
        <v>0</v>
      </c>
      <c r="LA20" s="24">
        <v>0</v>
      </c>
      <c r="LB20" s="24">
        <v>0</v>
      </c>
      <c r="LC20" s="24">
        <v>0</v>
      </c>
      <c r="LD20" s="24">
        <v>0</v>
      </c>
      <c r="LE20" s="24">
        <v>0</v>
      </c>
      <c r="LF20" s="24">
        <v>0</v>
      </c>
      <c r="LG20" s="24">
        <v>0</v>
      </c>
      <c r="LH20" s="24">
        <v>0</v>
      </c>
      <c r="LI20" s="24">
        <v>0</v>
      </c>
      <c r="LJ20" s="24">
        <v>0</v>
      </c>
      <c r="LK20" s="24">
        <v>0</v>
      </c>
      <c r="LL20" s="24">
        <v>0</v>
      </c>
      <c r="LM20" s="24">
        <v>0</v>
      </c>
      <c r="LN20" s="24">
        <v>0</v>
      </c>
      <c r="LO20" s="24">
        <v>0</v>
      </c>
      <c r="LP20" s="24">
        <v>0</v>
      </c>
      <c r="LQ20" s="24">
        <v>377211</v>
      </c>
      <c r="LR20" s="24">
        <v>19842</v>
      </c>
      <c r="LS20" s="24">
        <v>0</v>
      </c>
      <c r="LT20" s="24">
        <v>0</v>
      </c>
      <c r="LU20" s="24">
        <v>0</v>
      </c>
      <c r="LV20" s="24">
        <v>0</v>
      </c>
      <c r="LW20" s="24">
        <v>0</v>
      </c>
      <c r="LX20" s="24">
        <v>0</v>
      </c>
      <c r="LY20" s="24">
        <v>0</v>
      </c>
      <c r="LZ20" s="24">
        <v>0</v>
      </c>
      <c r="MA20" s="24">
        <v>0</v>
      </c>
      <c r="MB20" s="24">
        <v>0</v>
      </c>
      <c r="MC20" s="24">
        <v>0</v>
      </c>
      <c r="MD20" s="24">
        <v>0</v>
      </c>
      <c r="ME20" s="24">
        <v>0</v>
      </c>
      <c r="MF20" s="24">
        <v>0</v>
      </c>
      <c r="MG20" s="24">
        <v>0</v>
      </c>
      <c r="MH20" s="24">
        <v>0</v>
      </c>
      <c r="MI20" s="24">
        <v>0</v>
      </c>
      <c r="MJ20" s="24">
        <v>0</v>
      </c>
      <c r="MK20" s="24">
        <v>0</v>
      </c>
      <c r="ML20" s="24">
        <v>0</v>
      </c>
      <c r="MM20" s="24">
        <v>0</v>
      </c>
      <c r="MN20" s="24">
        <v>0</v>
      </c>
      <c r="MO20" s="24">
        <v>25588</v>
      </c>
      <c r="MP20" s="24">
        <v>0</v>
      </c>
      <c r="MQ20" s="24">
        <v>0</v>
      </c>
      <c r="MR20" s="24">
        <v>277094</v>
      </c>
      <c r="MS20" s="24">
        <v>0</v>
      </c>
      <c r="MT20" s="24">
        <v>0</v>
      </c>
      <c r="MU20" s="24">
        <v>0</v>
      </c>
      <c r="MV20" s="24">
        <v>0</v>
      </c>
      <c r="MW20" s="24">
        <v>334100</v>
      </c>
      <c r="MX20" s="24">
        <v>17607</v>
      </c>
      <c r="MY20" s="24">
        <v>0</v>
      </c>
      <c r="MZ20" s="24">
        <v>0</v>
      </c>
      <c r="NA20" s="24">
        <v>0</v>
      </c>
      <c r="NB20" s="24">
        <v>0</v>
      </c>
      <c r="NC20" s="24">
        <v>0</v>
      </c>
      <c r="ND20" s="24">
        <v>0</v>
      </c>
      <c r="NE20" s="24">
        <v>0</v>
      </c>
      <c r="NF20" s="24">
        <v>0</v>
      </c>
      <c r="NG20" s="24">
        <v>0</v>
      </c>
      <c r="NH20" s="24">
        <v>0</v>
      </c>
      <c r="NI20" s="24">
        <v>0</v>
      </c>
      <c r="NJ20" s="24">
        <v>0</v>
      </c>
      <c r="NK20" s="24">
        <v>0</v>
      </c>
      <c r="NL20" s="24">
        <v>0</v>
      </c>
      <c r="NM20" s="24">
        <v>0</v>
      </c>
      <c r="NN20" s="24">
        <v>0</v>
      </c>
      <c r="NO20" s="24">
        <v>0</v>
      </c>
      <c r="NP20" s="24">
        <v>0</v>
      </c>
      <c r="NQ20" s="24">
        <v>38652</v>
      </c>
      <c r="NR20" s="24">
        <v>0</v>
      </c>
      <c r="NS20" s="24">
        <v>0</v>
      </c>
      <c r="NT20" s="24">
        <v>0</v>
      </c>
      <c r="NU20" s="24">
        <v>23201</v>
      </c>
      <c r="NV20" s="24">
        <v>61396</v>
      </c>
      <c r="NW20" s="24">
        <v>0</v>
      </c>
      <c r="NX20" s="24">
        <v>0</v>
      </c>
      <c r="NY20" s="24">
        <v>0</v>
      </c>
      <c r="NZ20" s="24">
        <v>0</v>
      </c>
      <c r="OA20" s="24">
        <v>0</v>
      </c>
      <c r="OB20" s="24">
        <v>0</v>
      </c>
      <c r="OC20" s="24">
        <v>0</v>
      </c>
      <c r="OD20" s="24">
        <v>0</v>
      </c>
      <c r="OE20" s="24">
        <v>0</v>
      </c>
      <c r="OF20" s="24">
        <v>0</v>
      </c>
      <c r="OG20" s="24">
        <v>0</v>
      </c>
      <c r="OH20" s="24">
        <v>0</v>
      </c>
      <c r="OI20" s="24">
        <v>0</v>
      </c>
      <c r="OJ20" s="24">
        <v>0</v>
      </c>
      <c r="OK20" s="24">
        <v>52346</v>
      </c>
      <c r="OL20" s="24">
        <v>0</v>
      </c>
      <c r="OM20" s="24">
        <v>0</v>
      </c>
      <c r="ON20" s="24">
        <v>10067</v>
      </c>
      <c r="OO20" s="24">
        <v>0</v>
      </c>
      <c r="OP20" s="24">
        <v>0</v>
      </c>
      <c r="OQ20" s="24">
        <v>0</v>
      </c>
      <c r="OR20" s="24">
        <v>0</v>
      </c>
      <c r="OS20" s="24">
        <v>0</v>
      </c>
      <c r="OT20" s="24">
        <v>0</v>
      </c>
      <c r="OU20" s="24">
        <v>0</v>
      </c>
      <c r="OV20" s="24">
        <v>0</v>
      </c>
      <c r="OW20" s="24">
        <v>0</v>
      </c>
      <c r="OX20" s="24">
        <v>0</v>
      </c>
      <c r="OY20" s="24">
        <v>0</v>
      </c>
      <c r="OZ20" s="24">
        <v>0</v>
      </c>
      <c r="PA20" s="24">
        <v>0</v>
      </c>
      <c r="PB20" s="24">
        <v>0</v>
      </c>
      <c r="PC20" s="24">
        <v>1180</v>
      </c>
      <c r="PD20" s="24">
        <v>5915</v>
      </c>
      <c r="PE20" s="24">
        <v>0</v>
      </c>
      <c r="PF20" s="24">
        <v>0</v>
      </c>
      <c r="PG20" s="24">
        <v>0</v>
      </c>
      <c r="PH20" s="24">
        <v>90000</v>
      </c>
      <c r="PI20" s="24">
        <v>0</v>
      </c>
      <c r="PJ20" s="24">
        <v>0</v>
      </c>
      <c r="PK20" s="24">
        <v>0</v>
      </c>
      <c r="PL20" s="24">
        <v>0</v>
      </c>
      <c r="PM20" s="24">
        <v>0</v>
      </c>
      <c r="PN20" s="24">
        <v>0</v>
      </c>
      <c r="PO20" s="24">
        <v>0</v>
      </c>
      <c r="PP20" s="24">
        <v>0</v>
      </c>
      <c r="PQ20" s="24">
        <v>0</v>
      </c>
      <c r="PR20" s="24">
        <v>0</v>
      </c>
      <c r="PS20" s="24">
        <v>0</v>
      </c>
      <c r="PT20" s="24">
        <v>0</v>
      </c>
      <c r="PU20" s="24">
        <v>0</v>
      </c>
      <c r="PV20" s="24">
        <v>0</v>
      </c>
      <c r="PW20" s="24">
        <v>35000</v>
      </c>
      <c r="PX20" s="24">
        <v>0</v>
      </c>
      <c r="PY20" s="24">
        <v>0</v>
      </c>
      <c r="PZ20" s="24">
        <v>0</v>
      </c>
      <c r="QA20" s="24">
        <v>0</v>
      </c>
      <c r="QB20" s="24">
        <v>0</v>
      </c>
      <c r="QC20" s="24">
        <v>0</v>
      </c>
      <c r="QD20" s="24">
        <v>0</v>
      </c>
      <c r="QE20" s="24">
        <v>0</v>
      </c>
      <c r="QF20" s="24">
        <v>0</v>
      </c>
      <c r="QG20" s="24">
        <v>0</v>
      </c>
      <c r="QH20" s="24">
        <v>0</v>
      </c>
      <c r="QI20" s="24">
        <v>0</v>
      </c>
      <c r="QJ20" s="24">
        <v>0</v>
      </c>
      <c r="QK20" s="24">
        <v>0</v>
      </c>
      <c r="QL20" s="24">
        <v>0</v>
      </c>
      <c r="QM20" s="24">
        <v>0</v>
      </c>
      <c r="QN20" s="24">
        <v>0</v>
      </c>
      <c r="QO20" s="24">
        <v>0</v>
      </c>
      <c r="QP20" s="24">
        <v>0</v>
      </c>
      <c r="QQ20" s="24">
        <v>0</v>
      </c>
      <c r="QR20" s="24">
        <v>0</v>
      </c>
      <c r="QS20" s="24">
        <v>0</v>
      </c>
      <c r="QT20" s="24">
        <v>0</v>
      </c>
      <c r="QU20" s="24">
        <v>0</v>
      </c>
      <c r="QV20" s="24">
        <v>0</v>
      </c>
      <c r="QW20" s="24">
        <v>102660</v>
      </c>
      <c r="QX20" s="24">
        <v>0</v>
      </c>
      <c r="QY20" s="24">
        <v>0</v>
      </c>
      <c r="QZ20" s="24">
        <v>0</v>
      </c>
      <c r="RA20" s="24">
        <v>0</v>
      </c>
      <c r="RB20" s="24">
        <v>0</v>
      </c>
      <c r="RG20" s="39">
        <f t="shared" si="48"/>
        <v>6773291</v>
      </c>
      <c r="RH20" s="39">
        <f t="shared" si="7"/>
        <v>455187</v>
      </c>
      <c r="RI20" s="39">
        <f t="shared" si="7"/>
        <v>0</v>
      </c>
      <c r="RJ20" s="39">
        <f t="shared" si="7"/>
        <v>0</v>
      </c>
      <c r="RK20" s="39">
        <f t="shared" si="7"/>
        <v>0</v>
      </c>
      <c r="RL20" s="39">
        <f t="shared" si="7"/>
        <v>891958</v>
      </c>
      <c r="RM20" s="39">
        <f t="shared" si="7"/>
        <v>754229</v>
      </c>
      <c r="RN20" s="39">
        <f t="shared" si="7"/>
        <v>10125</v>
      </c>
      <c r="RO20" s="39">
        <f t="shared" si="7"/>
        <v>35936</v>
      </c>
      <c r="RP20" s="39">
        <f t="shared" si="7"/>
        <v>187453</v>
      </c>
      <c r="RQ20" s="39">
        <f t="shared" si="7"/>
        <v>186066</v>
      </c>
      <c r="RR20" s="39">
        <f t="shared" si="7"/>
        <v>67781</v>
      </c>
      <c r="RS20" s="39"/>
      <c r="RT20" s="182"/>
      <c r="RU20" s="39"/>
      <c r="RV20" s="39">
        <f t="shared" si="49"/>
        <v>1237104</v>
      </c>
      <c r="RW20" s="39">
        <f t="shared" si="8"/>
        <v>9362026</v>
      </c>
      <c r="RX20" s="39">
        <f t="shared" si="8"/>
        <v>2471460</v>
      </c>
      <c r="RY20" s="39">
        <f t="shared" si="8"/>
        <v>234755</v>
      </c>
      <c r="RZ20" s="39"/>
      <c r="SA20" s="182"/>
      <c r="SB20" s="39"/>
      <c r="SC20" s="25">
        <f t="shared" si="50"/>
        <v>1592.4355670103093</v>
      </c>
      <c r="SD20" s="39">
        <f>IFERROR(VLOOKUP(A20, 'Levy Data 15-16'!$B:$O, 3, FALSE), 0)</f>
        <v>348691488</v>
      </c>
      <c r="SE20" s="39">
        <f t="shared" si="9"/>
        <v>224672.35051546391</v>
      </c>
      <c r="SF20" s="631">
        <f>IFERROR(VLOOKUP(A20, 'Levy Data 15-16'!$B:$O, 14, FALSE), 0)*1000</f>
        <v>6.2998719999999997</v>
      </c>
      <c r="SG20" s="39">
        <f t="shared" si="10"/>
        <v>0</v>
      </c>
      <c r="SH20" s="39">
        <f t="shared" si="11"/>
        <v>0</v>
      </c>
      <c r="SI20" s="39">
        <f t="shared" si="12"/>
        <v>2471460</v>
      </c>
      <c r="SM20" s="39">
        <f t="shared" si="13"/>
        <v>9362026</v>
      </c>
      <c r="SN20" s="39">
        <f t="shared" si="14"/>
        <v>0</v>
      </c>
      <c r="SO20" s="39">
        <f t="shared" si="51"/>
        <v>9362026</v>
      </c>
      <c r="SP20" s="50">
        <f t="shared" si="52"/>
        <v>1</v>
      </c>
      <c r="ST20" s="124">
        <f>IFERROR(VLOOKUP(A20,'Grade Enroll 15-16'!B:AC,27,FALSE),"")</f>
        <v>1552</v>
      </c>
      <c r="SU20" s="124">
        <f t="shared" si="53"/>
        <v>691.20378027170705</v>
      </c>
      <c r="SV20" s="131">
        <f>IFERROR(VLOOKUP($A20, 'Title I Enroll 16-17'!S:V, 4, FALSE), 0)</f>
        <v>0.44536326048434732</v>
      </c>
      <c r="SW20" s="729">
        <f>IFERROR(VLOOKUP(A20, 'ELL Enroll 15-16'!$N:$S, 6, FALSE), 0)</f>
        <v>201</v>
      </c>
      <c r="SX20" s="131">
        <f t="shared" si="54"/>
        <v>0.12951030927835053</v>
      </c>
      <c r="SY20" s="124">
        <f>IFERROR(VLOOKUP(A20, 'SPED enroll 2015-16'!$M:$O, 3, FALSE), 0)</f>
        <v>107</v>
      </c>
      <c r="SZ20" s="131">
        <f t="shared" si="55"/>
        <v>6.894329896907217E-2</v>
      </c>
      <c r="TA20" s="142">
        <f t="shared" si="56"/>
        <v>74.899999999999991</v>
      </c>
      <c r="TB20" s="142">
        <f t="shared" si="15"/>
        <v>21.400000000000002</v>
      </c>
      <c r="TC20" s="142">
        <f t="shared" si="15"/>
        <v>7.4900000000000011</v>
      </c>
      <c r="TD20" s="142">
        <f t="shared" si="15"/>
        <v>3.21</v>
      </c>
      <c r="TE20" s="124">
        <f>VLOOKUP($A20, 'Grade Enroll 15-16'!$B:$AB, 20, FALSE)</f>
        <v>22</v>
      </c>
      <c r="TF20" s="124">
        <f>VLOOKUP($A20, 'Grade Enroll 15-16'!$B:$AB, 21, FALSE)</f>
        <v>135</v>
      </c>
      <c r="TG20" s="124">
        <f>VLOOKUP($A20, 'Grade Enroll 15-16'!$B:$AB, 22, FALSE)</f>
        <v>381</v>
      </c>
      <c r="TH20" s="124">
        <f>VLOOKUP($A20, 'Grade Enroll 15-16'!$B:$AB, 23, FALSE)</f>
        <v>389</v>
      </c>
      <c r="TI20" s="124">
        <f>VLOOKUP($A20, 'Grade Enroll 15-16'!$B:$AB, 24, FALSE)</f>
        <v>229</v>
      </c>
      <c r="TJ20" s="124">
        <f>VLOOKUP($A20, 'Grade Enroll 15-16'!$B:$AB, 25, FALSE)</f>
        <v>553</v>
      </c>
      <c r="TK20" s="124">
        <f>VLOOKUP($A20, 'Grade Enroll 15-16'!$B:$AB, 26, FALSE)</f>
        <v>1026</v>
      </c>
      <c r="TL20" s="131">
        <f>SUMIFS('Student Achievement 15-16'!N:N, 'Student Achievement 15-16'!B:B, 'Idaho Data'!A20, 'Student Achievement 15-16'!D:D, "math")/100</f>
        <v>0.27899999999999997</v>
      </c>
      <c r="TM20" s="134">
        <f t="shared" si="57"/>
        <v>433.00799999999998</v>
      </c>
      <c r="TN20" s="131">
        <f>SUMIFS('Student Achievement 15-16'!N:N, 'Student Achievement 15-16'!B:B, 'Idaho Data'!A20, 'Student Achievement 15-16'!D:D, "ela")/100</f>
        <v>0.23300000000000001</v>
      </c>
      <c r="TO20" s="134">
        <f t="shared" si="58"/>
        <v>361.61600000000004</v>
      </c>
      <c r="TP20" s="688">
        <f>IFERROR(VLOOKUP(A20, 'G&amp;T 15-16'!B:G, 6, FALSE), 0)*1</f>
        <v>58</v>
      </c>
      <c r="TQ20" s="168">
        <f t="shared" si="59"/>
        <v>93.11999999999999</v>
      </c>
      <c r="TU20" s="168">
        <f t="shared" si="60"/>
        <v>361.61600000000004</v>
      </c>
      <c r="TV20" s="168">
        <f t="shared" si="61"/>
        <v>433.00799999999998</v>
      </c>
      <c r="TW20" s="205">
        <f t="shared" si="62"/>
        <v>433.00799999999998</v>
      </c>
      <c r="TX20" s="144"/>
      <c r="TY20" s="129"/>
      <c r="TZ20" s="127">
        <f t="shared" si="63"/>
        <v>58</v>
      </c>
      <c r="UA20" s="127">
        <f t="shared" si="64"/>
        <v>93.11999999999999</v>
      </c>
      <c r="UB20" s="205">
        <f t="shared" si="65"/>
        <v>93.11999999999999</v>
      </c>
      <c r="UE20" s="853" t="str">
        <f>IF(ST20&lt;='1. Simulator Input'!$E$104, "yes", "")</f>
        <v/>
      </c>
      <c r="UI20" s="199">
        <f t="shared" si="66"/>
        <v>0</v>
      </c>
      <c r="UJ20" s="200">
        <f>IF('Idaho Data'!SI20&gt;=0, ((1-'1. Simulator Input'!$E$39)*'Idaho Data'!SI20), 0)</f>
        <v>0</v>
      </c>
      <c r="UK20" s="200">
        <f t="shared" si="67"/>
        <v>9362026</v>
      </c>
      <c r="UL20" s="39"/>
      <c r="UM20" s="182"/>
      <c r="UN20" s="39"/>
      <c r="UO20" s="39" t="str">
        <f>IF(AND('1. Simulator Input'!$E$96="yes", '1. Simulator Input'!$E$98="yes", '1. Simulator Input'!$E$100="hold harmless"), 'Idaho Data'!WN20, IF(AND('1. Simulator Input'!$E$96="yes", '1. Simulator Input'!$E$98="no", '1. Simulator Input'!$E$100="hold harmless"), 'Idaho Data'!WM20, IF(AND('1. Simulator Input'!$E$96="yes", '1. Simulator Input'!$E$98="yes", '1. Simulator Input'!$E$100="small district grant"), WL20,IF(AND('1. Simulator Input'!$E$96="yes", '1. Simulator Input'!$E$98="no", '1. Simulator Input'!$E$100="small district grant"), WK20, ""))))</f>
        <v/>
      </c>
      <c r="UP20" s="200">
        <f>'1. Simulator Input'!$D$56*('Idaho Data'!ST20)</f>
        <v>8576352</v>
      </c>
      <c r="UQ20" s="204">
        <f>'1. Simulator Input'!$D$65*'1. Simulator Input'!$D$56*'Idaho Data'!SU20</f>
        <v>0</v>
      </c>
      <c r="UR20" s="204">
        <f>'1. Simulator Input'!$D$66*'1. Simulator Input'!$D$56*'Idaho Data'!SW20</f>
        <v>0</v>
      </c>
      <c r="US20" s="200">
        <f>'1. Simulator Input'!$D$67*'1. Simulator Input'!$D$56*'Idaho Data'!TA20</f>
        <v>0</v>
      </c>
      <c r="UT20" s="200">
        <f>'1. Simulator Input'!$D$68*'1. Simulator Input'!$D$56*'Idaho Data'!TB20</f>
        <v>0</v>
      </c>
      <c r="UU20" s="200">
        <f>'1. Simulator Input'!$D$69*'1. Simulator Input'!$D$56*'Idaho Data'!TC20</f>
        <v>0</v>
      </c>
      <c r="UV20" s="200">
        <f>'1. Simulator Input'!$D$70*'1. Simulator Input'!$D$56*TD20</f>
        <v>0</v>
      </c>
      <c r="UW20" s="200">
        <f>'1. Simulator Input'!$D$80*'1. Simulator Input'!$D$56*TW20</f>
        <v>0</v>
      </c>
      <c r="UX20" s="200">
        <f>'1. Simulator Input'!$D$79*'1. Simulator Input'!$D$56*UB20</f>
        <v>0</v>
      </c>
      <c r="UY20" s="200">
        <f>'1. Simulator Input'!$D$87*'1. Simulator Input'!$D$56*TF20</f>
        <v>373005</v>
      </c>
      <c r="UZ20" s="200">
        <f>'1. Simulator Input'!$D$73*'1. Simulator Input'!$D$56*'Idaho Data'!TG20</f>
        <v>0</v>
      </c>
      <c r="VA20" s="200">
        <f>'1. Simulator Input'!$D$56*'1. Simulator Input'!$D$74*'Idaho Data'!TH20</f>
        <v>0</v>
      </c>
      <c r="VB20" s="200">
        <f>'1. Simulator Input'!$D$56*'1. Simulator Input'!$D$75*'Idaho Data'!TI15</f>
        <v>0</v>
      </c>
      <c r="VC20" s="200">
        <f>'1. Simulator Input'!$D$76*'1. Simulator Input'!$D$56*'Idaho Data'!TJ20</f>
        <v>0</v>
      </c>
      <c r="VD20" s="200">
        <f t="shared" si="68"/>
        <v>8949357</v>
      </c>
      <c r="VE20" s="200"/>
      <c r="VF20" s="182"/>
      <c r="VG20" s="200"/>
      <c r="VH20" s="200">
        <f t="shared" si="69"/>
        <v>0</v>
      </c>
      <c r="VI20" s="200">
        <f t="shared" si="70"/>
        <v>0</v>
      </c>
      <c r="VJ20" s="200">
        <f t="shared" si="16"/>
        <v>8949357</v>
      </c>
      <c r="VK20" s="200">
        <f t="shared" si="17"/>
        <v>8949357</v>
      </c>
      <c r="VL20" s="200"/>
      <c r="VM20" s="182"/>
      <c r="VN20" s="200"/>
      <c r="VO20" s="200">
        <f t="shared" si="71"/>
        <v>1237104</v>
      </c>
      <c r="VP20" s="200">
        <f t="shared" si="72"/>
        <v>9362026</v>
      </c>
      <c r="VQ20" s="200">
        <f t="shared" si="73"/>
        <v>2471460</v>
      </c>
      <c r="VR20" s="200">
        <f t="shared" si="74"/>
        <v>1237104</v>
      </c>
      <c r="VS20" s="200">
        <f t="shared" si="18"/>
        <v>8949357</v>
      </c>
      <c r="VT20" s="200">
        <f t="shared" si="19"/>
        <v>2471460</v>
      </c>
      <c r="VU20" s="200">
        <f t="shared" si="20"/>
        <v>0</v>
      </c>
      <c r="VV20" s="200"/>
      <c r="VW20" s="182"/>
      <c r="VX20" s="200"/>
      <c r="VZ20" s="199">
        <f t="shared" si="75"/>
        <v>-412669</v>
      </c>
      <c r="WA20" s="199">
        <f t="shared" si="76"/>
        <v>-265.89497422680415</v>
      </c>
      <c r="WB20" s="131">
        <f t="shared" si="77"/>
        <v>-4.407902733874057E-2</v>
      </c>
      <c r="WC20" s="131"/>
      <c r="WD20" s="461"/>
      <c r="WE20" s="893"/>
      <c r="WF20" s="893">
        <f t="shared" si="78"/>
        <v>8421.7719072164946</v>
      </c>
      <c r="WG20" s="893">
        <f t="shared" si="79"/>
        <v>8155.8769329896904</v>
      </c>
      <c r="WH20" s="893"/>
      <c r="WI20" s="893">
        <f t="shared" si="80"/>
        <v>9362026</v>
      </c>
      <c r="WJ20" s="893">
        <f t="shared" si="21"/>
        <v>8949357</v>
      </c>
      <c r="WK20" s="39" t="str">
        <f t="shared" si="22"/>
        <v/>
      </c>
      <c r="WL20" s="39" t="str">
        <f t="shared" si="23"/>
        <v/>
      </c>
      <c r="WM20" s="200" t="str">
        <f t="shared" si="24"/>
        <v/>
      </c>
      <c r="WN20" s="39" t="str">
        <f t="shared" si="25"/>
        <v/>
      </c>
      <c r="WO20" s="39"/>
      <c r="WP20" s="182"/>
      <c r="WQ20" s="39"/>
      <c r="WR20" s="305">
        <f t="shared" si="26"/>
        <v>7.0000000000000007E-2</v>
      </c>
      <c r="WT20" s="200">
        <f t="shared" si="27"/>
        <v>6032.2332474226805</v>
      </c>
      <c r="WU20" s="131">
        <f t="shared" si="81"/>
        <v>0.36</v>
      </c>
      <c r="WW20" s="199">
        <f t="shared" si="28"/>
        <v>1237104</v>
      </c>
      <c r="WX20" s="199">
        <f t="shared" si="29"/>
        <v>8949357</v>
      </c>
      <c r="WY20" s="199">
        <f t="shared" si="30"/>
        <v>0</v>
      </c>
      <c r="WZ20" s="199">
        <f t="shared" si="82"/>
        <v>8949357</v>
      </c>
      <c r="XA20" s="199">
        <f t="shared" si="31"/>
        <v>0</v>
      </c>
      <c r="XB20" s="199">
        <f t="shared" si="32"/>
        <v>2471460</v>
      </c>
      <c r="XC20" s="199">
        <f t="shared" si="33"/>
        <v>2471460</v>
      </c>
      <c r="XD20" s="199" t="str">
        <f t="shared" si="34"/>
        <v/>
      </c>
      <c r="XE20" s="199"/>
      <c r="XF20" s="199"/>
      <c r="XG20" s="199"/>
      <c r="XH20" s="199"/>
      <c r="XI20" s="199"/>
      <c r="XJ20" s="199">
        <f t="shared" si="83"/>
        <v>8949357</v>
      </c>
      <c r="XP20" s="199">
        <f t="shared" si="35"/>
        <v>8949357</v>
      </c>
      <c r="XQ20" s="199">
        <f t="shared" si="36"/>
        <v>5766.3382731958764</v>
      </c>
      <c r="XR20" s="199">
        <f t="shared" si="37"/>
        <v>8949357</v>
      </c>
      <c r="XS20" s="199">
        <f t="shared" si="38"/>
        <v>8949357</v>
      </c>
      <c r="XT20" s="199">
        <f t="shared" si="39"/>
        <v>5766.3382731958764</v>
      </c>
      <c r="XU20" s="199">
        <f t="shared" si="40"/>
        <v>9362026</v>
      </c>
      <c r="XV20" s="199">
        <f t="shared" si="41"/>
        <v>6032.2332474226805</v>
      </c>
      <c r="XW20" s="199">
        <f t="shared" si="42"/>
        <v>9362026</v>
      </c>
      <c r="XX20" s="199">
        <f t="shared" si="43"/>
        <v>6032.2332474226805</v>
      </c>
      <c r="XY20" s="199">
        <f t="shared" si="84"/>
        <v>-412669</v>
      </c>
      <c r="XZ20" s="199">
        <f t="shared" si="85"/>
        <v>-265.89497422680415</v>
      </c>
      <c r="YA20" s="131">
        <f t="shared" si="86"/>
        <v>-4.407902733874057E-2</v>
      </c>
      <c r="YB20" s="199"/>
      <c r="YC20" s="221"/>
      <c r="YD20" s="199"/>
      <c r="YE20" s="199">
        <f t="shared" si="44"/>
        <v>1237104</v>
      </c>
      <c r="YF20" s="200">
        <f t="shared" si="45"/>
        <v>0</v>
      </c>
      <c r="YG20" s="199">
        <f t="shared" si="46"/>
        <v>2471460</v>
      </c>
      <c r="YH20" s="199">
        <f t="shared" si="47"/>
        <v>234755</v>
      </c>
    </row>
    <row r="21" spans="1:658">
      <c r="A21" s="3">
        <v>55</v>
      </c>
      <c r="B21" s="2" t="s">
        <v>112</v>
      </c>
      <c r="C21" s="24">
        <v>1966</v>
      </c>
      <c r="D21" s="24">
        <v>0</v>
      </c>
      <c r="E21" s="24">
        <v>0</v>
      </c>
      <c r="F21" s="24">
        <v>0</v>
      </c>
      <c r="G21" s="24">
        <v>2599548</v>
      </c>
      <c r="H21" s="24">
        <v>0</v>
      </c>
      <c r="I21" s="24">
        <v>0</v>
      </c>
      <c r="J21" s="24">
        <v>14557</v>
      </c>
      <c r="K21" s="24">
        <v>0</v>
      </c>
      <c r="L21" s="24">
        <v>0</v>
      </c>
      <c r="M21" s="24">
        <v>0</v>
      </c>
      <c r="N21" s="24">
        <v>167</v>
      </c>
      <c r="O21" s="24">
        <v>0</v>
      </c>
      <c r="P21" s="24">
        <v>0</v>
      </c>
      <c r="Q21" s="24">
        <v>0</v>
      </c>
      <c r="R21" s="24">
        <v>0</v>
      </c>
      <c r="S21" s="24">
        <v>0</v>
      </c>
      <c r="T21" s="24">
        <v>0</v>
      </c>
      <c r="U21" s="24">
        <v>0</v>
      </c>
      <c r="V21" s="24">
        <v>0</v>
      </c>
      <c r="W21" s="24">
        <v>0</v>
      </c>
      <c r="X21" s="24">
        <v>980832</v>
      </c>
      <c r="Y21" s="24">
        <v>12531</v>
      </c>
      <c r="Z21" s="24">
        <v>0</v>
      </c>
      <c r="AA21" s="24">
        <v>4026</v>
      </c>
      <c r="AB21" s="24">
        <v>0</v>
      </c>
      <c r="AC21" s="24">
        <v>0</v>
      </c>
      <c r="AD21" s="24">
        <v>0</v>
      </c>
      <c r="AE21" s="24">
        <v>0</v>
      </c>
      <c r="AF21" s="24">
        <v>0</v>
      </c>
      <c r="AG21" s="24">
        <v>0</v>
      </c>
      <c r="AH21" s="24">
        <v>18866</v>
      </c>
      <c r="AI21" s="24">
        <v>0</v>
      </c>
      <c r="AJ21" s="24">
        <v>0</v>
      </c>
      <c r="AK21" s="24">
        <v>0</v>
      </c>
      <c r="AL21" s="24">
        <v>6046</v>
      </c>
      <c r="AM21" s="24">
        <v>0</v>
      </c>
      <c r="AN21" s="24">
        <v>0</v>
      </c>
      <c r="AO21" s="24">
        <v>0</v>
      </c>
      <c r="AP21" s="24">
        <v>0</v>
      </c>
      <c r="AQ21" s="24">
        <v>0</v>
      </c>
      <c r="AR21" s="24">
        <v>0</v>
      </c>
      <c r="AS21" s="24">
        <v>0</v>
      </c>
      <c r="AT21" s="24">
        <v>0</v>
      </c>
      <c r="AU21" s="24">
        <v>0</v>
      </c>
      <c r="AV21" s="24">
        <v>0</v>
      </c>
      <c r="AW21" s="24">
        <v>0</v>
      </c>
      <c r="AX21" s="24">
        <v>0</v>
      </c>
      <c r="AY21" s="24">
        <v>0</v>
      </c>
      <c r="AZ21" s="24">
        <v>0</v>
      </c>
      <c r="BA21" s="24">
        <v>0</v>
      </c>
      <c r="BB21" s="24">
        <v>0</v>
      </c>
      <c r="BC21" s="24">
        <v>62</v>
      </c>
      <c r="BD21" s="24">
        <v>0</v>
      </c>
      <c r="BE21" s="24">
        <v>0</v>
      </c>
      <c r="BF21" s="24">
        <v>0</v>
      </c>
      <c r="BG21" s="24">
        <v>0</v>
      </c>
      <c r="BH21" s="24">
        <v>0</v>
      </c>
      <c r="BI21" s="24">
        <v>0</v>
      </c>
      <c r="BJ21" s="24">
        <v>0</v>
      </c>
      <c r="BK21" s="24">
        <v>0</v>
      </c>
      <c r="BL21" s="24">
        <v>0</v>
      </c>
      <c r="BM21" s="24">
        <v>0</v>
      </c>
      <c r="BN21" s="24">
        <v>0</v>
      </c>
      <c r="BO21" s="24">
        <v>0</v>
      </c>
      <c r="BP21" s="24">
        <v>0</v>
      </c>
      <c r="BQ21" s="24">
        <v>0</v>
      </c>
      <c r="BR21" s="24">
        <v>0</v>
      </c>
      <c r="BS21" s="24">
        <v>0</v>
      </c>
      <c r="BT21" s="24">
        <v>0</v>
      </c>
      <c r="BU21" s="24">
        <v>0</v>
      </c>
      <c r="BV21" s="24">
        <v>0</v>
      </c>
      <c r="BW21" s="24">
        <v>0</v>
      </c>
      <c r="BX21" s="24">
        <v>0</v>
      </c>
      <c r="BY21" s="24">
        <v>0</v>
      </c>
      <c r="BZ21" s="24">
        <v>0</v>
      </c>
      <c r="CA21" s="24">
        <v>0</v>
      </c>
      <c r="CB21" s="24">
        <v>0</v>
      </c>
      <c r="CC21" s="24">
        <v>0</v>
      </c>
      <c r="CD21" s="24">
        <v>241706</v>
      </c>
      <c r="CE21" s="24">
        <v>-7</v>
      </c>
      <c r="CF21" s="24">
        <v>0</v>
      </c>
      <c r="CG21" s="24">
        <v>3812</v>
      </c>
      <c r="CH21" s="24">
        <v>0</v>
      </c>
      <c r="CI21" s="24">
        <v>0</v>
      </c>
      <c r="CJ21" s="24">
        <v>0</v>
      </c>
      <c r="CK21" s="24">
        <v>0</v>
      </c>
      <c r="CL21" s="24">
        <v>0</v>
      </c>
      <c r="CM21" s="24">
        <v>0</v>
      </c>
      <c r="CN21" s="24">
        <v>0</v>
      </c>
      <c r="CO21" s="24">
        <v>0</v>
      </c>
      <c r="CP21" s="24">
        <v>0</v>
      </c>
      <c r="CQ21" s="24">
        <v>0</v>
      </c>
      <c r="CR21" s="24">
        <v>0</v>
      </c>
      <c r="CS21" s="24">
        <v>0</v>
      </c>
      <c r="CT21" s="24">
        <v>0</v>
      </c>
      <c r="CU21" s="24">
        <v>0</v>
      </c>
      <c r="CV21" s="24">
        <v>0</v>
      </c>
      <c r="CW21" s="24">
        <v>0</v>
      </c>
      <c r="CX21" s="24">
        <v>0</v>
      </c>
      <c r="CY21" s="24">
        <v>0</v>
      </c>
      <c r="CZ21" s="24">
        <v>0</v>
      </c>
      <c r="DA21" s="24">
        <v>0</v>
      </c>
      <c r="DB21" s="24">
        <v>0</v>
      </c>
      <c r="DC21" s="24">
        <v>0</v>
      </c>
      <c r="DD21" s="24">
        <v>0</v>
      </c>
      <c r="DE21" s="24">
        <v>0</v>
      </c>
      <c r="DF21" s="24">
        <v>0</v>
      </c>
      <c r="DG21" s="24">
        <v>0</v>
      </c>
      <c r="DH21" s="24">
        <v>0</v>
      </c>
      <c r="DI21" s="24">
        <v>0</v>
      </c>
      <c r="DJ21" s="24">
        <v>0</v>
      </c>
      <c r="DK21" s="24">
        <v>0</v>
      </c>
      <c r="DL21" s="24">
        <v>0</v>
      </c>
      <c r="DM21" s="24">
        <v>0</v>
      </c>
      <c r="DN21" s="24">
        <v>0</v>
      </c>
      <c r="DO21" s="24">
        <v>0</v>
      </c>
      <c r="DP21" s="24">
        <v>0</v>
      </c>
      <c r="DQ21" s="24">
        <v>0</v>
      </c>
      <c r="DR21" s="24">
        <v>0</v>
      </c>
      <c r="DS21" s="24">
        <v>0</v>
      </c>
      <c r="DT21" s="24">
        <v>0</v>
      </c>
      <c r="DU21" s="24">
        <v>13769</v>
      </c>
      <c r="DV21" s="24">
        <v>0</v>
      </c>
      <c r="DW21" s="24">
        <v>0</v>
      </c>
      <c r="DX21" s="24">
        <v>0</v>
      </c>
      <c r="DY21" s="24">
        <v>0</v>
      </c>
      <c r="DZ21" s="24">
        <v>0</v>
      </c>
      <c r="EA21" s="24">
        <v>0</v>
      </c>
      <c r="EB21" s="24">
        <v>0</v>
      </c>
      <c r="EC21" s="24">
        <v>0</v>
      </c>
      <c r="ED21" s="24">
        <v>0</v>
      </c>
      <c r="EE21" s="24">
        <v>0</v>
      </c>
      <c r="EF21" s="24">
        <v>0</v>
      </c>
      <c r="EG21" s="24">
        <v>0</v>
      </c>
      <c r="EH21" s="24">
        <v>0</v>
      </c>
      <c r="EI21" s="24">
        <v>0</v>
      </c>
      <c r="EJ21" s="24">
        <v>0</v>
      </c>
      <c r="EK21" s="24">
        <v>0</v>
      </c>
      <c r="EL21" s="24">
        <v>0</v>
      </c>
      <c r="EM21" s="24">
        <v>0</v>
      </c>
      <c r="EN21" s="24">
        <v>0</v>
      </c>
      <c r="EO21" s="24">
        <v>0</v>
      </c>
      <c r="EP21" s="24">
        <v>0</v>
      </c>
      <c r="EQ21" s="24">
        <v>0</v>
      </c>
      <c r="ER21" s="24">
        <v>0</v>
      </c>
      <c r="ES21" s="24">
        <v>0</v>
      </c>
      <c r="ET21" s="24">
        <v>0</v>
      </c>
      <c r="EU21" s="24">
        <v>0</v>
      </c>
      <c r="EV21" s="24">
        <v>0</v>
      </c>
      <c r="EW21" s="24">
        <v>0</v>
      </c>
      <c r="EX21" s="24">
        <v>0</v>
      </c>
      <c r="EY21" s="24">
        <v>0</v>
      </c>
      <c r="EZ21" s="24">
        <v>0</v>
      </c>
      <c r="FA21" s="24">
        <v>0</v>
      </c>
      <c r="FB21" s="24">
        <v>0</v>
      </c>
      <c r="FC21" s="24">
        <v>0</v>
      </c>
      <c r="FD21" s="24">
        <v>0</v>
      </c>
      <c r="FE21" s="24">
        <v>0</v>
      </c>
      <c r="FF21" s="24">
        <v>0</v>
      </c>
      <c r="FG21" s="24">
        <v>0</v>
      </c>
      <c r="FH21" s="24">
        <v>0</v>
      </c>
      <c r="FI21" s="24">
        <v>0</v>
      </c>
      <c r="FJ21" s="24">
        <v>0</v>
      </c>
      <c r="FK21" s="24">
        <v>0</v>
      </c>
      <c r="FL21" s="24">
        <v>0</v>
      </c>
      <c r="FM21" s="24">
        <v>0</v>
      </c>
      <c r="FN21" s="24">
        <v>0</v>
      </c>
      <c r="FO21" s="24">
        <v>0</v>
      </c>
      <c r="FP21" s="24">
        <v>0</v>
      </c>
      <c r="FQ21" s="24">
        <v>0</v>
      </c>
      <c r="FR21" s="24">
        <v>0</v>
      </c>
      <c r="FS21" s="24">
        <v>616013</v>
      </c>
      <c r="FT21" s="24">
        <v>0</v>
      </c>
      <c r="FU21" s="24">
        <v>0</v>
      </c>
      <c r="FV21" s="24">
        <v>0</v>
      </c>
      <c r="FW21" s="24">
        <v>0</v>
      </c>
      <c r="FX21" s="24">
        <v>0</v>
      </c>
      <c r="FY21" s="24">
        <v>0</v>
      </c>
      <c r="FZ21" s="24">
        <v>0</v>
      </c>
      <c r="GA21" s="24">
        <v>0</v>
      </c>
      <c r="GB21" s="24">
        <v>0</v>
      </c>
      <c r="GC21" s="24">
        <v>0</v>
      </c>
      <c r="GD21" s="24">
        <v>0</v>
      </c>
      <c r="GE21" s="24">
        <v>0</v>
      </c>
      <c r="GF21" s="24">
        <v>0</v>
      </c>
      <c r="GG21" s="24">
        <v>0</v>
      </c>
      <c r="GH21" s="24">
        <v>0</v>
      </c>
      <c r="GI21" s="24">
        <v>0</v>
      </c>
      <c r="GJ21" s="24">
        <v>0</v>
      </c>
      <c r="GK21" s="24">
        <v>0</v>
      </c>
      <c r="GL21" s="24">
        <v>0</v>
      </c>
      <c r="GM21" s="24">
        <v>0</v>
      </c>
      <c r="GN21" s="24">
        <v>32664</v>
      </c>
      <c r="GO21" s="24">
        <v>0</v>
      </c>
      <c r="GP21" s="24">
        <v>0</v>
      </c>
      <c r="GQ21" s="24">
        <v>0</v>
      </c>
      <c r="GR21" s="24">
        <v>0</v>
      </c>
      <c r="GS21" s="24">
        <v>0</v>
      </c>
      <c r="GT21" s="24">
        <v>0</v>
      </c>
      <c r="GU21" s="24">
        <v>0</v>
      </c>
      <c r="GV21" s="24">
        <v>0</v>
      </c>
      <c r="GW21" s="24">
        <v>0</v>
      </c>
      <c r="GX21" s="24">
        <v>0</v>
      </c>
      <c r="GY21" s="24">
        <v>46196</v>
      </c>
      <c r="GZ21" s="24">
        <v>0</v>
      </c>
      <c r="HA21" s="24">
        <v>0</v>
      </c>
      <c r="HB21" s="24">
        <v>0</v>
      </c>
      <c r="HC21" s="24">
        <v>0</v>
      </c>
      <c r="HD21" s="24">
        <v>15500419</v>
      </c>
      <c r="HE21" s="24">
        <v>0</v>
      </c>
      <c r="HF21" s="24">
        <v>0</v>
      </c>
      <c r="HG21" s="24">
        <v>0</v>
      </c>
      <c r="HH21" s="24">
        <v>0</v>
      </c>
      <c r="HI21" s="24">
        <v>1294398</v>
      </c>
      <c r="HJ21" s="24">
        <v>0</v>
      </c>
      <c r="HK21" s="24">
        <v>0</v>
      </c>
      <c r="HL21" s="24">
        <v>0</v>
      </c>
      <c r="HM21" s="24">
        <v>0</v>
      </c>
      <c r="HN21" s="24">
        <v>0</v>
      </c>
      <c r="HO21" s="24">
        <v>2059022</v>
      </c>
      <c r="HP21" s="24">
        <v>1139030</v>
      </c>
      <c r="HQ21" s="24">
        <v>0</v>
      </c>
      <c r="HR21" s="24">
        <v>0</v>
      </c>
      <c r="HS21" s="24">
        <v>0</v>
      </c>
      <c r="HT21" s="24">
        <v>0</v>
      </c>
      <c r="HU21" s="24">
        <v>0</v>
      </c>
      <c r="HV21" s="24">
        <v>0</v>
      </c>
      <c r="HW21" s="24">
        <v>0</v>
      </c>
      <c r="HX21" s="24">
        <v>0</v>
      </c>
      <c r="HY21" s="24">
        <v>0</v>
      </c>
      <c r="HZ21" s="24">
        <v>0</v>
      </c>
      <c r="IA21" s="24">
        <v>0</v>
      </c>
      <c r="IB21" s="24">
        <v>0</v>
      </c>
      <c r="IC21" s="24">
        <v>0</v>
      </c>
      <c r="ID21" s="24">
        <v>0</v>
      </c>
      <c r="IE21" s="24">
        <v>0</v>
      </c>
      <c r="IF21" s="24">
        <v>0</v>
      </c>
      <c r="IG21" s="24">
        <v>0</v>
      </c>
      <c r="IH21" s="24">
        <v>0</v>
      </c>
      <c r="II21" s="24">
        <v>0</v>
      </c>
      <c r="IJ21" s="24">
        <v>0</v>
      </c>
      <c r="IK21" s="24">
        <v>0</v>
      </c>
      <c r="IL21" s="24">
        <v>0</v>
      </c>
      <c r="IM21" s="24">
        <v>0</v>
      </c>
      <c r="IN21" s="24">
        <v>0</v>
      </c>
      <c r="IO21" s="24">
        <v>29500</v>
      </c>
      <c r="IP21" s="24">
        <v>0</v>
      </c>
      <c r="IQ21" s="24">
        <v>0</v>
      </c>
      <c r="IR21" s="24">
        <v>99283</v>
      </c>
      <c r="IS21" s="24">
        <v>0</v>
      </c>
      <c r="IT21" s="24">
        <v>0</v>
      </c>
      <c r="IU21" s="24">
        <v>0</v>
      </c>
      <c r="IV21" s="24">
        <v>0</v>
      </c>
      <c r="IW21" s="24">
        <v>239099</v>
      </c>
      <c r="IX21" s="24">
        <v>0</v>
      </c>
      <c r="IY21" s="24">
        <v>0</v>
      </c>
      <c r="IZ21" s="24">
        <v>0</v>
      </c>
      <c r="JA21" s="24">
        <v>0</v>
      </c>
      <c r="JB21" s="24">
        <v>78615</v>
      </c>
      <c r="JC21" s="24">
        <v>0</v>
      </c>
      <c r="JD21" s="24">
        <v>0</v>
      </c>
      <c r="JE21" s="24">
        <v>0</v>
      </c>
      <c r="JF21" s="24">
        <v>0</v>
      </c>
      <c r="JG21" s="24">
        <v>0</v>
      </c>
      <c r="JH21" s="24">
        <v>0</v>
      </c>
      <c r="JI21" s="24">
        <v>0</v>
      </c>
      <c r="JJ21" s="24">
        <v>0</v>
      </c>
      <c r="JK21" s="24">
        <v>0</v>
      </c>
      <c r="JL21" s="24">
        <v>0</v>
      </c>
      <c r="JM21" s="24">
        <v>0</v>
      </c>
      <c r="JN21" s="24">
        <v>0</v>
      </c>
      <c r="JO21" s="24">
        <v>0</v>
      </c>
      <c r="JP21" s="24">
        <v>0</v>
      </c>
      <c r="JQ21" s="24">
        <v>0</v>
      </c>
      <c r="JR21" s="24">
        <v>0</v>
      </c>
      <c r="JS21" s="24">
        <v>0</v>
      </c>
      <c r="JT21" s="24">
        <v>0</v>
      </c>
      <c r="JU21" s="24">
        <v>0</v>
      </c>
      <c r="JV21" s="24">
        <v>0</v>
      </c>
      <c r="JW21" s="24">
        <v>0</v>
      </c>
      <c r="JX21" s="24">
        <v>0</v>
      </c>
      <c r="JY21" s="24">
        <v>0</v>
      </c>
      <c r="JZ21" s="24">
        <v>0</v>
      </c>
      <c r="KA21" s="24">
        <v>0</v>
      </c>
      <c r="KB21" s="24">
        <v>0</v>
      </c>
      <c r="KC21" s="24">
        <v>0</v>
      </c>
      <c r="KD21" s="24">
        <v>0</v>
      </c>
      <c r="KE21" s="24">
        <v>0</v>
      </c>
      <c r="KF21" s="24">
        <v>0</v>
      </c>
      <c r="KG21" s="24">
        <v>0</v>
      </c>
      <c r="KH21" s="24">
        <v>0</v>
      </c>
      <c r="KI21" s="24">
        <v>0</v>
      </c>
      <c r="KJ21" s="24">
        <v>0</v>
      </c>
      <c r="KK21" s="24">
        <v>0</v>
      </c>
      <c r="KL21" s="24">
        <v>0</v>
      </c>
      <c r="KM21" s="24">
        <v>0</v>
      </c>
      <c r="KN21" s="24">
        <v>0</v>
      </c>
      <c r="KO21" s="24">
        <v>0</v>
      </c>
      <c r="KP21" s="24">
        <v>0</v>
      </c>
      <c r="KQ21" s="24">
        <v>0</v>
      </c>
      <c r="KR21" s="24">
        <v>0</v>
      </c>
      <c r="KS21" s="24">
        <v>0</v>
      </c>
      <c r="KT21" s="24">
        <v>0</v>
      </c>
      <c r="KU21" s="24">
        <v>0</v>
      </c>
      <c r="KV21" s="24">
        <v>0</v>
      </c>
      <c r="KW21" s="24">
        <v>0</v>
      </c>
      <c r="KX21" s="24">
        <v>0</v>
      </c>
      <c r="KY21" s="24">
        <v>0</v>
      </c>
      <c r="KZ21" s="24">
        <v>0</v>
      </c>
      <c r="LA21" s="24">
        <v>0</v>
      </c>
      <c r="LB21" s="24">
        <v>0</v>
      </c>
      <c r="LC21" s="24">
        <v>0</v>
      </c>
      <c r="LD21" s="24">
        <v>0</v>
      </c>
      <c r="LE21" s="24">
        <v>0</v>
      </c>
      <c r="LF21" s="24">
        <v>0</v>
      </c>
      <c r="LG21" s="24">
        <v>0</v>
      </c>
      <c r="LH21" s="24">
        <v>0</v>
      </c>
      <c r="LI21" s="24">
        <v>0</v>
      </c>
      <c r="LJ21" s="24">
        <v>0</v>
      </c>
      <c r="LK21" s="24">
        <v>0</v>
      </c>
      <c r="LL21" s="24">
        <v>0</v>
      </c>
      <c r="LM21" s="24">
        <v>0</v>
      </c>
      <c r="LN21" s="24">
        <v>0</v>
      </c>
      <c r="LO21" s="24">
        <v>0</v>
      </c>
      <c r="LP21" s="24">
        <v>0</v>
      </c>
      <c r="LQ21" s="24">
        <v>909473</v>
      </c>
      <c r="LR21" s="24">
        <v>111817</v>
      </c>
      <c r="LS21" s="24">
        <v>0</v>
      </c>
      <c r="LT21" s="24">
        <v>0</v>
      </c>
      <c r="LU21" s="24">
        <v>114480</v>
      </c>
      <c r="LV21" s="24">
        <v>0</v>
      </c>
      <c r="LW21" s="24">
        <v>0</v>
      </c>
      <c r="LX21" s="24">
        <v>0</v>
      </c>
      <c r="LY21" s="24">
        <v>0</v>
      </c>
      <c r="LZ21" s="24">
        <v>0</v>
      </c>
      <c r="MA21" s="24">
        <v>0</v>
      </c>
      <c r="MB21" s="24">
        <v>0</v>
      </c>
      <c r="MC21" s="24">
        <v>0</v>
      </c>
      <c r="MD21" s="24">
        <v>0</v>
      </c>
      <c r="ME21" s="24">
        <v>0</v>
      </c>
      <c r="MF21" s="24">
        <v>0</v>
      </c>
      <c r="MG21" s="24">
        <v>0</v>
      </c>
      <c r="MH21" s="24">
        <v>0</v>
      </c>
      <c r="MI21" s="24">
        <v>0</v>
      </c>
      <c r="MJ21" s="24">
        <v>0</v>
      </c>
      <c r="MK21" s="24">
        <v>0</v>
      </c>
      <c r="ML21" s="24">
        <v>0</v>
      </c>
      <c r="MM21" s="24">
        <v>0</v>
      </c>
      <c r="MN21" s="24">
        <v>0</v>
      </c>
      <c r="MO21" s="24">
        <v>42386</v>
      </c>
      <c r="MP21" s="24">
        <v>0</v>
      </c>
      <c r="MQ21" s="24">
        <v>0</v>
      </c>
      <c r="MR21" s="24">
        <v>1310559</v>
      </c>
      <c r="MS21" s="24">
        <v>0</v>
      </c>
      <c r="MT21" s="24">
        <v>0</v>
      </c>
      <c r="MU21" s="24">
        <v>0</v>
      </c>
      <c r="MV21" s="24">
        <v>0</v>
      </c>
      <c r="MW21" s="24">
        <v>602463</v>
      </c>
      <c r="MX21" s="24">
        <v>42761</v>
      </c>
      <c r="MY21" s="24">
        <v>0</v>
      </c>
      <c r="MZ21" s="24">
        <v>0</v>
      </c>
      <c r="NA21" s="24">
        <v>0</v>
      </c>
      <c r="NB21" s="24">
        <v>0</v>
      </c>
      <c r="NC21" s="24">
        <v>0</v>
      </c>
      <c r="ND21" s="24">
        <v>0</v>
      </c>
      <c r="NE21" s="24">
        <v>0</v>
      </c>
      <c r="NF21" s="24">
        <v>0</v>
      </c>
      <c r="NG21" s="24">
        <v>0</v>
      </c>
      <c r="NH21" s="24">
        <v>0</v>
      </c>
      <c r="NI21" s="24">
        <v>0</v>
      </c>
      <c r="NJ21" s="24">
        <v>0</v>
      </c>
      <c r="NK21" s="24">
        <v>0</v>
      </c>
      <c r="NL21" s="24">
        <v>0</v>
      </c>
      <c r="NM21" s="24">
        <v>0</v>
      </c>
      <c r="NN21" s="24">
        <v>0</v>
      </c>
      <c r="NO21" s="24">
        <v>0</v>
      </c>
      <c r="NP21" s="24">
        <v>0</v>
      </c>
      <c r="NQ21" s="24">
        <v>0</v>
      </c>
      <c r="NR21" s="24">
        <v>0</v>
      </c>
      <c r="NS21" s="24">
        <v>97347</v>
      </c>
      <c r="NT21" s="24">
        <v>0</v>
      </c>
      <c r="NU21" s="24">
        <v>45920</v>
      </c>
      <c r="NV21" s="24">
        <v>234225</v>
      </c>
      <c r="NW21" s="24">
        <v>0</v>
      </c>
      <c r="NX21" s="24">
        <v>423907</v>
      </c>
      <c r="NY21" s="24">
        <v>0</v>
      </c>
      <c r="NZ21" s="24">
        <v>0</v>
      </c>
      <c r="OA21" s="24">
        <v>0</v>
      </c>
      <c r="OB21" s="24">
        <v>0</v>
      </c>
      <c r="OC21" s="24">
        <v>0</v>
      </c>
      <c r="OD21" s="24">
        <v>0</v>
      </c>
      <c r="OE21" s="24">
        <v>0</v>
      </c>
      <c r="OF21" s="24">
        <v>0</v>
      </c>
      <c r="OG21" s="24">
        <v>0</v>
      </c>
      <c r="OH21" s="24">
        <v>0</v>
      </c>
      <c r="OI21" s="24">
        <v>0</v>
      </c>
      <c r="OJ21" s="24">
        <v>0</v>
      </c>
      <c r="OK21" s="24">
        <v>162759</v>
      </c>
      <c r="OL21" s="24">
        <v>0</v>
      </c>
      <c r="OM21" s="24">
        <v>0</v>
      </c>
      <c r="ON21" s="24">
        <v>608082</v>
      </c>
      <c r="OO21" s="24">
        <v>0</v>
      </c>
      <c r="OP21" s="24">
        <v>0</v>
      </c>
      <c r="OQ21" s="24">
        <v>0</v>
      </c>
      <c r="OR21" s="24">
        <v>0</v>
      </c>
      <c r="OS21" s="24">
        <v>0</v>
      </c>
      <c r="OT21" s="24">
        <v>0</v>
      </c>
      <c r="OU21" s="24">
        <v>0</v>
      </c>
      <c r="OV21" s="24">
        <v>0</v>
      </c>
      <c r="OW21" s="24">
        <v>0</v>
      </c>
      <c r="OX21" s="24">
        <v>0</v>
      </c>
      <c r="OY21" s="24">
        <v>0</v>
      </c>
      <c r="OZ21" s="24">
        <v>0</v>
      </c>
      <c r="PA21" s="24">
        <v>-79</v>
      </c>
      <c r="PB21" s="24">
        <v>0</v>
      </c>
      <c r="PC21" s="24">
        <v>0</v>
      </c>
      <c r="PD21" s="24">
        <v>0</v>
      </c>
      <c r="PE21" s="24">
        <v>0</v>
      </c>
      <c r="PF21" s="24">
        <v>0</v>
      </c>
      <c r="PG21" s="24">
        <v>0</v>
      </c>
      <c r="PH21" s="24">
        <v>0</v>
      </c>
      <c r="PI21" s="24">
        <v>0</v>
      </c>
      <c r="PJ21" s="24">
        <v>0</v>
      </c>
      <c r="PK21" s="24">
        <v>0</v>
      </c>
      <c r="PL21" s="24">
        <v>0</v>
      </c>
      <c r="PM21" s="24">
        <v>0</v>
      </c>
      <c r="PN21" s="24">
        <v>0</v>
      </c>
      <c r="PO21" s="24">
        <v>0</v>
      </c>
      <c r="PP21" s="24">
        <v>0</v>
      </c>
      <c r="PQ21" s="24">
        <v>0</v>
      </c>
      <c r="PR21" s="24">
        <v>0</v>
      </c>
      <c r="PS21" s="24">
        <v>0</v>
      </c>
      <c r="PT21" s="24">
        <v>0</v>
      </c>
      <c r="PU21" s="24">
        <v>0</v>
      </c>
      <c r="PV21" s="24">
        <v>0</v>
      </c>
      <c r="PW21" s="24">
        <v>0</v>
      </c>
      <c r="PX21" s="24">
        <v>0</v>
      </c>
      <c r="PY21" s="24">
        <v>0</v>
      </c>
      <c r="PZ21" s="24">
        <v>0</v>
      </c>
      <c r="QA21" s="24">
        <v>0</v>
      </c>
      <c r="QB21" s="24">
        <v>0</v>
      </c>
      <c r="QC21" s="24">
        <v>0</v>
      </c>
      <c r="QD21" s="24">
        <v>0</v>
      </c>
      <c r="QE21" s="24">
        <v>0</v>
      </c>
      <c r="QF21" s="24">
        <v>0</v>
      </c>
      <c r="QG21" s="24">
        <v>0</v>
      </c>
      <c r="QH21" s="24">
        <v>0</v>
      </c>
      <c r="QI21" s="24">
        <v>0</v>
      </c>
      <c r="QJ21" s="24">
        <v>0</v>
      </c>
      <c r="QK21" s="24">
        <v>0</v>
      </c>
      <c r="QL21" s="24">
        <v>0</v>
      </c>
      <c r="QM21" s="24">
        <v>0</v>
      </c>
      <c r="QN21" s="24">
        <v>0</v>
      </c>
      <c r="QO21" s="24">
        <v>0</v>
      </c>
      <c r="QP21" s="24">
        <v>0</v>
      </c>
      <c r="QQ21" s="24">
        <v>0</v>
      </c>
      <c r="QR21" s="24">
        <v>0</v>
      </c>
      <c r="QS21" s="24">
        <v>39441</v>
      </c>
      <c r="QT21" s="24">
        <v>0</v>
      </c>
      <c r="QU21" s="24">
        <v>0</v>
      </c>
      <c r="QV21" s="24">
        <v>0</v>
      </c>
      <c r="QW21" s="24">
        <v>0</v>
      </c>
      <c r="QX21" s="24">
        <v>0</v>
      </c>
      <c r="QY21" s="24">
        <v>0</v>
      </c>
      <c r="QZ21" s="24">
        <v>0</v>
      </c>
      <c r="RA21" s="24">
        <v>0</v>
      </c>
      <c r="RB21" s="24">
        <v>0</v>
      </c>
      <c r="RG21" s="39">
        <f t="shared" si="48"/>
        <v>15500419</v>
      </c>
      <c r="RH21" s="39">
        <f t="shared" si="7"/>
        <v>1294398</v>
      </c>
      <c r="RI21" s="39">
        <f t="shared" si="7"/>
        <v>0</v>
      </c>
      <c r="RJ21" s="39">
        <f t="shared" si="7"/>
        <v>0</v>
      </c>
      <c r="RK21" s="39">
        <f t="shared" si="7"/>
        <v>0</v>
      </c>
      <c r="RL21" s="39">
        <f t="shared" si="7"/>
        <v>2059022</v>
      </c>
      <c r="RM21" s="39">
        <f t="shared" si="7"/>
        <v>1139030</v>
      </c>
      <c r="RN21" s="39">
        <f t="shared" si="7"/>
        <v>29500</v>
      </c>
      <c r="RO21" s="39">
        <f t="shared" si="7"/>
        <v>99283</v>
      </c>
      <c r="RP21" s="39">
        <f t="shared" si="7"/>
        <v>239099</v>
      </c>
      <c r="RQ21" s="39">
        <f t="shared" si="7"/>
        <v>78615</v>
      </c>
      <c r="RR21" s="39">
        <f t="shared" si="7"/>
        <v>0</v>
      </c>
      <c r="RS21" s="39"/>
      <c r="RT21" s="182"/>
      <c r="RU21" s="39"/>
      <c r="RV21" s="39">
        <f t="shared" si="49"/>
        <v>4706179</v>
      </c>
      <c r="RW21" s="39">
        <f t="shared" si="8"/>
        <v>20439366</v>
      </c>
      <c r="RX21" s="39">
        <f t="shared" si="8"/>
        <v>4592754</v>
      </c>
      <c r="RY21" s="39">
        <f t="shared" si="8"/>
        <v>39362</v>
      </c>
      <c r="RZ21" s="39"/>
      <c r="SA21" s="182"/>
      <c r="SB21" s="39"/>
      <c r="SC21" s="25">
        <f t="shared" si="50"/>
        <v>1269.0671456203372</v>
      </c>
      <c r="SD21" s="39">
        <f>IFERROR(VLOOKUP(A21, 'Levy Data 15-16'!$B:$O, 3, FALSE), 0)</f>
        <v>755126362</v>
      </c>
      <c r="SE21" s="39">
        <f t="shared" si="9"/>
        <v>208656.08234318873</v>
      </c>
      <c r="SF21" s="631">
        <f>IFERROR(VLOOKUP(A21, 'Levy Data 15-16'!$B:$O, 14, FALSE), 0)*1000</f>
        <v>4.5786059999999997</v>
      </c>
      <c r="SG21" s="39">
        <f t="shared" si="10"/>
        <v>0</v>
      </c>
      <c r="SH21" s="39">
        <f t="shared" si="11"/>
        <v>0</v>
      </c>
      <c r="SI21" s="39">
        <f t="shared" si="12"/>
        <v>4592754</v>
      </c>
      <c r="SM21" s="39">
        <f t="shared" si="13"/>
        <v>20439366</v>
      </c>
      <c r="SN21" s="39">
        <f t="shared" si="14"/>
        <v>0</v>
      </c>
      <c r="SO21" s="39">
        <f t="shared" si="51"/>
        <v>20439366</v>
      </c>
      <c r="SP21" s="50">
        <f t="shared" si="52"/>
        <v>1</v>
      </c>
      <c r="ST21" s="124">
        <f>IFERROR(VLOOKUP(A21,'Grade Enroll 15-16'!B:AC,27,FALSE),"")</f>
        <v>3619</v>
      </c>
      <c r="SU21" s="124">
        <f t="shared" si="53"/>
        <v>2058.5769858541894</v>
      </c>
      <c r="SV21" s="131">
        <f>IFERROR(VLOOKUP($A21, 'Title I Enroll 16-17'!S:V, 4, FALSE), 0)</f>
        <v>0.56882480957562565</v>
      </c>
      <c r="SW21" s="729">
        <f>IFERROR(VLOOKUP(A21, 'ELL Enroll 15-16'!$N:$S, 6, FALSE), 0)</f>
        <v>715</v>
      </c>
      <c r="SX21" s="131">
        <f t="shared" si="54"/>
        <v>0.19756838905775076</v>
      </c>
      <c r="SY21" s="124">
        <f>IFERROR(VLOOKUP(A21, 'SPED enroll 2015-16'!$M:$O, 3, FALSE), 0)</f>
        <v>403</v>
      </c>
      <c r="SZ21" s="131">
        <f t="shared" si="55"/>
        <v>0.11135672837800498</v>
      </c>
      <c r="TA21" s="142">
        <f t="shared" si="56"/>
        <v>282.09999999999997</v>
      </c>
      <c r="TB21" s="142">
        <f t="shared" si="15"/>
        <v>80.600000000000009</v>
      </c>
      <c r="TC21" s="142">
        <f t="shared" si="15"/>
        <v>28.210000000000004</v>
      </c>
      <c r="TD21" s="142">
        <f t="shared" si="15"/>
        <v>12.09</v>
      </c>
      <c r="TE21" s="124">
        <f>VLOOKUP($A21, 'Grade Enroll 15-16'!$B:$AB, 20, FALSE)</f>
        <v>25</v>
      </c>
      <c r="TF21" s="124">
        <f>VLOOKUP($A21, 'Grade Enroll 15-16'!$B:$AB, 21, FALSE)</f>
        <v>255</v>
      </c>
      <c r="TG21" s="124">
        <f>VLOOKUP($A21, 'Grade Enroll 15-16'!$B:$AB, 22, FALSE)</f>
        <v>925</v>
      </c>
      <c r="TH21" s="124">
        <f>VLOOKUP($A21, 'Grade Enroll 15-16'!$B:$AB, 23, FALSE)</f>
        <v>900</v>
      </c>
      <c r="TI21" s="124">
        <f>VLOOKUP($A21, 'Grade Enroll 15-16'!$B:$AB, 24, FALSE)</f>
        <v>561</v>
      </c>
      <c r="TJ21" s="124">
        <f>VLOOKUP($A21, 'Grade Enroll 15-16'!$B:$AB, 25, FALSE)</f>
        <v>1233</v>
      </c>
      <c r="TK21" s="124">
        <f>VLOOKUP($A21, 'Grade Enroll 15-16'!$B:$AB, 26, FALSE)</f>
        <v>2402</v>
      </c>
      <c r="TL21" s="131">
        <f>SUMIFS('Student Achievement 15-16'!N:N, 'Student Achievement 15-16'!B:B, 'Idaho Data'!A21, 'Student Achievement 15-16'!D:D, "math")/100</f>
        <v>0.433</v>
      </c>
      <c r="TM21" s="134">
        <f t="shared" si="57"/>
        <v>1567.027</v>
      </c>
      <c r="TN21" s="131">
        <f>SUMIFS('Student Achievement 15-16'!N:N, 'Student Achievement 15-16'!B:B, 'Idaho Data'!A21, 'Student Achievement 15-16'!D:D, "ela")/100</f>
        <v>0.32600000000000001</v>
      </c>
      <c r="TO21" s="134">
        <f t="shared" si="58"/>
        <v>1179.7940000000001</v>
      </c>
      <c r="TP21" s="688">
        <f>IFERROR(VLOOKUP(A21, 'G&amp;T 15-16'!B:G, 6, FALSE), 0)*1</f>
        <v>200</v>
      </c>
      <c r="TQ21" s="168">
        <f t="shared" si="59"/>
        <v>217.14</v>
      </c>
      <c r="TU21" s="168">
        <f t="shared" si="60"/>
        <v>1179.7940000000001</v>
      </c>
      <c r="TV21" s="168">
        <f t="shared" si="61"/>
        <v>1567.027</v>
      </c>
      <c r="TW21" s="205">
        <f t="shared" si="62"/>
        <v>1567.027</v>
      </c>
      <c r="TX21" s="144"/>
      <c r="TY21" s="129"/>
      <c r="TZ21" s="127">
        <f t="shared" si="63"/>
        <v>200</v>
      </c>
      <c r="UA21" s="127">
        <f t="shared" si="64"/>
        <v>217.14</v>
      </c>
      <c r="UB21" s="205">
        <f t="shared" si="65"/>
        <v>217.14</v>
      </c>
      <c r="UE21" s="853" t="str">
        <f>IF(ST21&lt;='1. Simulator Input'!$E$104, "yes", "")</f>
        <v/>
      </c>
      <c r="UI21" s="199">
        <f t="shared" si="66"/>
        <v>0</v>
      </c>
      <c r="UJ21" s="200">
        <f>IF('Idaho Data'!SI21&gt;=0, ((1-'1. Simulator Input'!$E$39)*'Idaho Data'!SI21), 0)</f>
        <v>0</v>
      </c>
      <c r="UK21" s="200">
        <f t="shared" si="67"/>
        <v>20439366</v>
      </c>
      <c r="UL21" s="39"/>
      <c r="UM21" s="182"/>
      <c r="UN21" s="39"/>
      <c r="UO21" s="39" t="str">
        <f>IF(AND('1. Simulator Input'!$E$96="yes", '1. Simulator Input'!$E$98="yes", '1. Simulator Input'!$E$100="hold harmless"), 'Idaho Data'!WN21, IF(AND('1. Simulator Input'!$E$96="yes", '1. Simulator Input'!$E$98="no", '1. Simulator Input'!$E$100="hold harmless"), 'Idaho Data'!WM21, IF(AND('1. Simulator Input'!$E$96="yes", '1. Simulator Input'!$E$98="yes", '1. Simulator Input'!$E$100="small district grant"), WL21,IF(AND('1. Simulator Input'!$E$96="yes", '1. Simulator Input'!$E$98="no", '1. Simulator Input'!$E$100="small district grant"), WK21, ""))))</f>
        <v/>
      </c>
      <c r="UP21" s="200">
        <f>'1. Simulator Input'!$D$56*('Idaho Data'!ST21)</f>
        <v>19998594</v>
      </c>
      <c r="UQ21" s="204">
        <f>'1. Simulator Input'!$D$65*'1. Simulator Input'!$D$56*'Idaho Data'!SU21</f>
        <v>0</v>
      </c>
      <c r="UR21" s="204">
        <f>'1. Simulator Input'!$D$66*'1. Simulator Input'!$D$56*'Idaho Data'!SW21</f>
        <v>0</v>
      </c>
      <c r="US21" s="200">
        <f>'1. Simulator Input'!$D$67*'1. Simulator Input'!$D$56*'Idaho Data'!TA21</f>
        <v>0</v>
      </c>
      <c r="UT21" s="200">
        <f>'1. Simulator Input'!$D$68*'1. Simulator Input'!$D$56*'Idaho Data'!TB21</f>
        <v>0</v>
      </c>
      <c r="UU21" s="200">
        <f>'1. Simulator Input'!$D$69*'1. Simulator Input'!$D$56*'Idaho Data'!TC21</f>
        <v>0</v>
      </c>
      <c r="UV21" s="200">
        <f>'1. Simulator Input'!$D$70*'1. Simulator Input'!$D$56*TD21</f>
        <v>0</v>
      </c>
      <c r="UW21" s="200">
        <f>'1. Simulator Input'!$D$80*'1. Simulator Input'!$D$56*TW21</f>
        <v>0</v>
      </c>
      <c r="UX21" s="200">
        <f>'1. Simulator Input'!$D$79*'1. Simulator Input'!$D$56*UB21</f>
        <v>0</v>
      </c>
      <c r="UY21" s="200">
        <f>'1. Simulator Input'!$D$87*'1. Simulator Input'!$D$56*TF21</f>
        <v>704565</v>
      </c>
      <c r="UZ21" s="200">
        <f>'1. Simulator Input'!$D$73*'1. Simulator Input'!$D$56*'Idaho Data'!TG21</f>
        <v>0</v>
      </c>
      <c r="VA21" s="200">
        <f>'1. Simulator Input'!$D$56*'1. Simulator Input'!$D$74*'Idaho Data'!TH21</f>
        <v>0</v>
      </c>
      <c r="VB21" s="200">
        <f>'1. Simulator Input'!$D$56*'1. Simulator Input'!$D$75*'Idaho Data'!TI16</f>
        <v>0</v>
      </c>
      <c r="VC21" s="200">
        <f>'1. Simulator Input'!$D$76*'1. Simulator Input'!$D$56*'Idaho Data'!TJ21</f>
        <v>0</v>
      </c>
      <c r="VD21" s="200">
        <f t="shared" si="68"/>
        <v>20703159</v>
      </c>
      <c r="VE21" s="200"/>
      <c r="VF21" s="182"/>
      <c r="VG21" s="200"/>
      <c r="VH21" s="200">
        <f t="shared" si="69"/>
        <v>0</v>
      </c>
      <c r="VI21" s="200">
        <f t="shared" si="70"/>
        <v>0</v>
      </c>
      <c r="VJ21" s="200">
        <f t="shared" si="16"/>
        <v>20703159</v>
      </c>
      <c r="VK21" s="200">
        <f t="shared" si="17"/>
        <v>20703159</v>
      </c>
      <c r="VL21" s="200"/>
      <c r="VM21" s="182"/>
      <c r="VN21" s="200"/>
      <c r="VO21" s="200">
        <f t="shared" si="71"/>
        <v>4706179</v>
      </c>
      <c r="VP21" s="200">
        <f t="shared" si="72"/>
        <v>20439366</v>
      </c>
      <c r="VQ21" s="200">
        <f t="shared" si="73"/>
        <v>4592754</v>
      </c>
      <c r="VR21" s="200">
        <f t="shared" si="74"/>
        <v>4706179</v>
      </c>
      <c r="VS21" s="200">
        <f t="shared" si="18"/>
        <v>20703159</v>
      </c>
      <c r="VT21" s="200">
        <f t="shared" si="19"/>
        <v>4592754</v>
      </c>
      <c r="VU21" s="200">
        <f t="shared" si="20"/>
        <v>0</v>
      </c>
      <c r="VV21" s="200"/>
      <c r="VW21" s="182"/>
      <c r="VX21" s="200"/>
      <c r="VZ21" s="199">
        <f t="shared" si="75"/>
        <v>263793</v>
      </c>
      <c r="WA21" s="199">
        <f t="shared" si="76"/>
        <v>72.891130146449299</v>
      </c>
      <c r="WB21" s="131">
        <f t="shared" si="77"/>
        <v>1.2906124387615545E-2</v>
      </c>
      <c r="WC21" s="131"/>
      <c r="WD21" s="461"/>
      <c r="WE21" s="893"/>
      <c r="WF21" s="893">
        <f t="shared" si="78"/>
        <v>8217.2696877590497</v>
      </c>
      <c r="WG21" s="893">
        <f t="shared" si="79"/>
        <v>8290.1608179054983</v>
      </c>
      <c r="WH21" s="893"/>
      <c r="WI21" s="893">
        <f t="shared" si="80"/>
        <v>20439366</v>
      </c>
      <c r="WJ21" s="893">
        <f t="shared" si="21"/>
        <v>20703159</v>
      </c>
      <c r="WK21" s="39" t="str">
        <f t="shared" si="22"/>
        <v/>
      </c>
      <c r="WL21" s="39" t="str">
        <f t="shared" si="23"/>
        <v/>
      </c>
      <c r="WM21" s="200" t="str">
        <f t="shared" si="24"/>
        <v/>
      </c>
      <c r="WN21" s="39" t="str">
        <f t="shared" si="25"/>
        <v/>
      </c>
      <c r="WO21" s="39"/>
      <c r="WP21" s="182"/>
      <c r="WQ21" s="39"/>
      <c r="WR21" s="305">
        <f t="shared" si="26"/>
        <v>3.5000000000000003E-2</v>
      </c>
      <c r="WT21" s="200">
        <f t="shared" si="27"/>
        <v>5647.7938657087598</v>
      </c>
      <c r="WU21" s="131">
        <f t="shared" si="81"/>
        <v>0.17</v>
      </c>
      <c r="WW21" s="199">
        <f t="shared" si="28"/>
        <v>4706179</v>
      </c>
      <c r="WX21" s="199">
        <f t="shared" si="29"/>
        <v>20703159</v>
      </c>
      <c r="WY21" s="199">
        <f t="shared" si="30"/>
        <v>0</v>
      </c>
      <c r="WZ21" s="199">
        <f t="shared" si="82"/>
        <v>20703159</v>
      </c>
      <c r="XA21" s="199">
        <f t="shared" si="31"/>
        <v>0</v>
      </c>
      <c r="XB21" s="199">
        <f t="shared" si="32"/>
        <v>4592754</v>
      </c>
      <c r="XC21" s="199">
        <f t="shared" si="33"/>
        <v>4592754</v>
      </c>
      <c r="XD21" s="199" t="str">
        <f t="shared" si="34"/>
        <v/>
      </c>
      <c r="XE21" s="199"/>
      <c r="XF21" s="199"/>
      <c r="XG21" s="199"/>
      <c r="XH21" s="199"/>
      <c r="XI21" s="199"/>
      <c r="XJ21" s="199">
        <f t="shared" si="83"/>
        <v>20703159</v>
      </c>
      <c r="XP21" s="199">
        <f t="shared" si="35"/>
        <v>20703159</v>
      </c>
      <c r="XQ21" s="199">
        <f t="shared" si="36"/>
        <v>5720.6849958552084</v>
      </c>
      <c r="XR21" s="199">
        <f t="shared" si="37"/>
        <v>20703159</v>
      </c>
      <c r="XS21" s="199">
        <f t="shared" si="38"/>
        <v>20703159</v>
      </c>
      <c r="XT21" s="199">
        <f t="shared" si="39"/>
        <v>5720.6849958552084</v>
      </c>
      <c r="XU21" s="199">
        <f t="shared" si="40"/>
        <v>20439366</v>
      </c>
      <c r="XV21" s="199">
        <f t="shared" si="41"/>
        <v>5647.7938657087598</v>
      </c>
      <c r="XW21" s="199">
        <f t="shared" si="42"/>
        <v>20439366</v>
      </c>
      <c r="XX21" s="199">
        <f t="shared" si="43"/>
        <v>5647.7938657087598</v>
      </c>
      <c r="XY21" s="199">
        <f t="shared" si="84"/>
        <v>263793</v>
      </c>
      <c r="XZ21" s="199">
        <f t="shared" si="85"/>
        <v>72.891130146448631</v>
      </c>
      <c r="YA21" s="131">
        <f t="shared" si="86"/>
        <v>1.2906124387615427E-2</v>
      </c>
      <c r="YB21" s="199"/>
      <c r="YC21" s="221"/>
      <c r="YD21" s="199"/>
      <c r="YE21" s="199">
        <f t="shared" si="44"/>
        <v>4706179</v>
      </c>
      <c r="YF21" s="200">
        <f t="shared" si="45"/>
        <v>0</v>
      </c>
      <c r="YG21" s="199">
        <f t="shared" si="46"/>
        <v>4592754</v>
      </c>
      <c r="YH21" s="199">
        <f t="shared" si="47"/>
        <v>39362</v>
      </c>
    </row>
    <row r="22" spans="1:658">
      <c r="A22" s="3">
        <v>58</v>
      </c>
      <c r="B22" s="2" t="s">
        <v>113</v>
      </c>
      <c r="C22" s="24">
        <v>0</v>
      </c>
      <c r="D22" s="24">
        <v>0</v>
      </c>
      <c r="E22" s="24">
        <v>0</v>
      </c>
      <c r="F22" s="24">
        <v>0</v>
      </c>
      <c r="G22" s="24">
        <v>967081</v>
      </c>
      <c r="H22" s="24">
        <v>0</v>
      </c>
      <c r="I22" s="24">
        <v>0</v>
      </c>
      <c r="J22" s="24">
        <v>66</v>
      </c>
      <c r="K22" s="24">
        <v>0</v>
      </c>
      <c r="L22" s="24">
        <v>0</v>
      </c>
      <c r="M22" s="24">
        <v>0</v>
      </c>
      <c r="N22" s="24">
        <v>0</v>
      </c>
      <c r="O22" s="24">
        <v>0</v>
      </c>
      <c r="P22" s="24">
        <v>0</v>
      </c>
      <c r="Q22" s="24">
        <v>0</v>
      </c>
      <c r="R22" s="24">
        <v>0</v>
      </c>
      <c r="S22" s="24">
        <v>0</v>
      </c>
      <c r="T22" s="24">
        <v>0</v>
      </c>
      <c r="U22" s="24">
        <v>0</v>
      </c>
      <c r="V22" s="24">
        <v>274770</v>
      </c>
      <c r="W22" s="24">
        <v>0</v>
      </c>
      <c r="X22" s="24">
        <v>445913</v>
      </c>
      <c r="Y22" s="24">
        <v>9079</v>
      </c>
      <c r="Z22" s="24">
        <v>0</v>
      </c>
      <c r="AA22" s="24">
        <v>0</v>
      </c>
      <c r="AB22" s="24">
        <v>0</v>
      </c>
      <c r="AC22" s="24">
        <v>0</v>
      </c>
      <c r="AD22" s="24">
        <v>0</v>
      </c>
      <c r="AE22" s="24">
        <v>0</v>
      </c>
      <c r="AF22" s="24">
        <v>0</v>
      </c>
      <c r="AG22" s="24">
        <v>0</v>
      </c>
      <c r="AH22" s="24">
        <v>0</v>
      </c>
      <c r="AI22" s="24">
        <v>0</v>
      </c>
      <c r="AJ22" s="24">
        <v>0</v>
      </c>
      <c r="AK22" s="24">
        <v>0</v>
      </c>
      <c r="AL22" s="24">
        <v>7106</v>
      </c>
      <c r="AM22" s="24">
        <v>0</v>
      </c>
      <c r="AN22" s="24">
        <v>0</v>
      </c>
      <c r="AO22" s="24">
        <v>0</v>
      </c>
      <c r="AP22" s="24">
        <v>0</v>
      </c>
      <c r="AQ22" s="24">
        <v>0</v>
      </c>
      <c r="AR22" s="24">
        <v>0</v>
      </c>
      <c r="AS22" s="24">
        <v>0</v>
      </c>
      <c r="AT22" s="24">
        <v>0</v>
      </c>
      <c r="AU22" s="24">
        <v>0</v>
      </c>
      <c r="AV22" s="24">
        <v>0</v>
      </c>
      <c r="AW22" s="24">
        <v>0</v>
      </c>
      <c r="AX22" s="24">
        <v>0</v>
      </c>
      <c r="AY22" s="24">
        <v>0</v>
      </c>
      <c r="AZ22" s="24">
        <v>0</v>
      </c>
      <c r="BA22" s="24">
        <v>0</v>
      </c>
      <c r="BB22" s="24">
        <v>0</v>
      </c>
      <c r="BC22" s="24">
        <v>0</v>
      </c>
      <c r="BD22" s="24">
        <v>0</v>
      </c>
      <c r="BE22" s="24">
        <v>0</v>
      </c>
      <c r="BF22" s="24">
        <v>0</v>
      </c>
      <c r="BG22" s="24">
        <v>0</v>
      </c>
      <c r="BH22" s="24">
        <v>0</v>
      </c>
      <c r="BI22" s="24">
        <v>0</v>
      </c>
      <c r="BJ22" s="24">
        <v>0</v>
      </c>
      <c r="BK22" s="24">
        <v>0</v>
      </c>
      <c r="BL22" s="24">
        <v>0</v>
      </c>
      <c r="BM22" s="24">
        <v>0</v>
      </c>
      <c r="BN22" s="24">
        <v>0</v>
      </c>
      <c r="BO22" s="24">
        <v>0</v>
      </c>
      <c r="BP22" s="24">
        <v>0</v>
      </c>
      <c r="BQ22" s="24">
        <v>0</v>
      </c>
      <c r="BR22" s="24">
        <v>0</v>
      </c>
      <c r="BS22" s="24">
        <v>0</v>
      </c>
      <c r="BT22" s="24">
        <v>0</v>
      </c>
      <c r="BU22" s="24">
        <v>0</v>
      </c>
      <c r="BV22" s="24">
        <v>0</v>
      </c>
      <c r="BW22" s="24">
        <v>0</v>
      </c>
      <c r="BX22" s="24">
        <v>0</v>
      </c>
      <c r="BY22" s="24">
        <v>0</v>
      </c>
      <c r="BZ22" s="24">
        <v>0</v>
      </c>
      <c r="CA22" s="24">
        <v>0</v>
      </c>
      <c r="CB22" s="24">
        <v>0</v>
      </c>
      <c r="CC22" s="24">
        <v>0</v>
      </c>
      <c r="CD22" s="24">
        <v>18528</v>
      </c>
      <c r="CE22" s="24">
        <v>3930</v>
      </c>
      <c r="CF22" s="24">
        <v>0</v>
      </c>
      <c r="CG22" s="24">
        <v>3991</v>
      </c>
      <c r="CH22" s="24">
        <v>0</v>
      </c>
      <c r="CI22" s="24">
        <v>0</v>
      </c>
      <c r="CJ22" s="24">
        <v>0</v>
      </c>
      <c r="CK22" s="24">
        <v>0</v>
      </c>
      <c r="CL22" s="24">
        <v>0</v>
      </c>
      <c r="CM22" s="24">
        <v>0</v>
      </c>
      <c r="CN22" s="24">
        <v>0</v>
      </c>
      <c r="CO22" s="24">
        <v>0</v>
      </c>
      <c r="CP22" s="24">
        <v>0</v>
      </c>
      <c r="CQ22" s="24">
        <v>0</v>
      </c>
      <c r="CR22" s="24">
        <v>0</v>
      </c>
      <c r="CS22" s="24">
        <v>0</v>
      </c>
      <c r="CT22" s="24">
        <v>0</v>
      </c>
      <c r="CU22" s="24">
        <v>0</v>
      </c>
      <c r="CV22" s="24">
        <v>0</v>
      </c>
      <c r="CW22" s="24">
        <v>0</v>
      </c>
      <c r="CX22" s="24">
        <v>0</v>
      </c>
      <c r="CY22" s="24">
        <v>0</v>
      </c>
      <c r="CZ22" s="24">
        <v>0</v>
      </c>
      <c r="DA22" s="24">
        <v>0</v>
      </c>
      <c r="DB22" s="24">
        <v>0</v>
      </c>
      <c r="DC22" s="24">
        <v>0</v>
      </c>
      <c r="DD22" s="24">
        <v>0</v>
      </c>
      <c r="DE22" s="24">
        <v>0</v>
      </c>
      <c r="DF22" s="24">
        <v>0</v>
      </c>
      <c r="DG22" s="24">
        <v>0</v>
      </c>
      <c r="DH22" s="24">
        <v>0</v>
      </c>
      <c r="DI22" s="24">
        <v>0</v>
      </c>
      <c r="DJ22" s="24">
        <v>0</v>
      </c>
      <c r="DK22" s="24">
        <v>0</v>
      </c>
      <c r="DL22" s="24">
        <v>0</v>
      </c>
      <c r="DM22" s="24">
        <v>0</v>
      </c>
      <c r="DN22" s="24">
        <v>0</v>
      </c>
      <c r="DO22" s="24">
        <v>0</v>
      </c>
      <c r="DP22" s="24">
        <v>0</v>
      </c>
      <c r="DQ22" s="24">
        <v>0</v>
      </c>
      <c r="DR22" s="24">
        <v>0</v>
      </c>
      <c r="DS22" s="24">
        <v>0</v>
      </c>
      <c r="DT22" s="24">
        <v>0</v>
      </c>
      <c r="DU22" s="24">
        <v>0</v>
      </c>
      <c r="DV22" s="24">
        <v>0</v>
      </c>
      <c r="DW22" s="24">
        <v>0</v>
      </c>
      <c r="DX22" s="24">
        <v>0</v>
      </c>
      <c r="DY22" s="24">
        <v>0</v>
      </c>
      <c r="DZ22" s="24">
        <v>0</v>
      </c>
      <c r="EA22" s="24">
        <v>0</v>
      </c>
      <c r="EB22" s="24">
        <v>0</v>
      </c>
      <c r="EC22" s="24">
        <v>11064</v>
      </c>
      <c r="ED22" s="24">
        <v>0</v>
      </c>
      <c r="EE22" s="24">
        <v>0</v>
      </c>
      <c r="EF22" s="24">
        <v>0</v>
      </c>
      <c r="EG22" s="24">
        <v>0</v>
      </c>
      <c r="EH22" s="24">
        <v>0</v>
      </c>
      <c r="EI22" s="24">
        <v>0</v>
      </c>
      <c r="EJ22" s="24">
        <v>0</v>
      </c>
      <c r="EK22" s="24">
        <v>0</v>
      </c>
      <c r="EL22" s="24">
        <v>0</v>
      </c>
      <c r="EM22" s="24">
        <v>0</v>
      </c>
      <c r="EN22" s="24">
        <v>0</v>
      </c>
      <c r="EO22" s="24">
        <v>0</v>
      </c>
      <c r="EP22" s="24">
        <v>0</v>
      </c>
      <c r="EQ22" s="24">
        <v>0</v>
      </c>
      <c r="ER22" s="24">
        <v>0</v>
      </c>
      <c r="ES22" s="24">
        <v>0</v>
      </c>
      <c r="ET22" s="24">
        <v>0</v>
      </c>
      <c r="EU22" s="24">
        <v>0</v>
      </c>
      <c r="EV22" s="24">
        <v>0</v>
      </c>
      <c r="EW22" s="24">
        <v>0</v>
      </c>
      <c r="EX22" s="24">
        <v>0</v>
      </c>
      <c r="EY22" s="24">
        <v>0</v>
      </c>
      <c r="EZ22" s="24">
        <v>0</v>
      </c>
      <c r="FA22" s="24">
        <v>0</v>
      </c>
      <c r="FB22" s="24">
        <v>0</v>
      </c>
      <c r="FC22" s="24">
        <v>0</v>
      </c>
      <c r="FD22" s="24">
        <v>0</v>
      </c>
      <c r="FE22" s="24">
        <v>0</v>
      </c>
      <c r="FF22" s="24">
        <v>0</v>
      </c>
      <c r="FG22" s="24">
        <v>0</v>
      </c>
      <c r="FH22" s="24">
        <v>0</v>
      </c>
      <c r="FI22" s="24">
        <v>0</v>
      </c>
      <c r="FJ22" s="24">
        <v>0</v>
      </c>
      <c r="FK22" s="24">
        <v>0</v>
      </c>
      <c r="FL22" s="24">
        <v>12235</v>
      </c>
      <c r="FM22" s="24">
        <v>0</v>
      </c>
      <c r="FN22" s="24">
        <v>0</v>
      </c>
      <c r="FO22" s="24">
        <v>0</v>
      </c>
      <c r="FP22" s="24">
        <v>0</v>
      </c>
      <c r="FQ22" s="24">
        <v>0</v>
      </c>
      <c r="FR22" s="24">
        <v>0</v>
      </c>
      <c r="FS22" s="24">
        <v>43864</v>
      </c>
      <c r="FT22" s="24">
        <v>0</v>
      </c>
      <c r="FU22" s="24">
        <v>0</v>
      </c>
      <c r="FV22" s="24">
        <v>0</v>
      </c>
      <c r="FW22" s="24">
        <v>0</v>
      </c>
      <c r="FX22" s="24">
        <v>0</v>
      </c>
      <c r="FY22" s="24">
        <v>0</v>
      </c>
      <c r="FZ22" s="24">
        <v>0</v>
      </c>
      <c r="GA22" s="24">
        <v>0</v>
      </c>
      <c r="GB22" s="24">
        <v>0</v>
      </c>
      <c r="GC22" s="24">
        <v>0</v>
      </c>
      <c r="GD22" s="24">
        <v>0</v>
      </c>
      <c r="GE22" s="24">
        <v>3811</v>
      </c>
      <c r="GF22" s="24">
        <v>0</v>
      </c>
      <c r="GG22" s="24">
        <v>0</v>
      </c>
      <c r="GH22" s="24">
        <v>0</v>
      </c>
      <c r="GI22" s="24">
        <v>0</v>
      </c>
      <c r="GJ22" s="24">
        <v>0</v>
      </c>
      <c r="GK22" s="24">
        <v>0</v>
      </c>
      <c r="GL22" s="24">
        <v>0</v>
      </c>
      <c r="GM22" s="24">
        <v>0</v>
      </c>
      <c r="GN22" s="24">
        <v>0</v>
      </c>
      <c r="GO22" s="24">
        <v>0</v>
      </c>
      <c r="GP22" s="24">
        <v>0</v>
      </c>
      <c r="GQ22" s="24">
        <v>0</v>
      </c>
      <c r="GR22" s="24">
        <v>0</v>
      </c>
      <c r="GS22" s="24">
        <v>0</v>
      </c>
      <c r="GT22" s="24">
        <v>0</v>
      </c>
      <c r="GU22" s="24">
        <v>0</v>
      </c>
      <c r="GV22" s="24">
        <v>3701</v>
      </c>
      <c r="GW22" s="24">
        <v>0</v>
      </c>
      <c r="GX22" s="24">
        <v>0</v>
      </c>
      <c r="GY22" s="24">
        <v>0</v>
      </c>
      <c r="GZ22" s="24">
        <v>0</v>
      </c>
      <c r="HA22" s="24">
        <v>0</v>
      </c>
      <c r="HB22" s="24">
        <v>0</v>
      </c>
      <c r="HC22" s="24">
        <v>0</v>
      </c>
      <c r="HD22" s="24">
        <v>3234295</v>
      </c>
      <c r="HE22" s="24">
        <v>0</v>
      </c>
      <c r="HF22" s="24">
        <v>0</v>
      </c>
      <c r="HG22" s="24">
        <v>0</v>
      </c>
      <c r="HH22" s="24">
        <v>0</v>
      </c>
      <c r="HI22" s="24">
        <v>209071</v>
      </c>
      <c r="HJ22" s="24">
        <v>0</v>
      </c>
      <c r="HK22" s="24">
        <v>0</v>
      </c>
      <c r="HL22" s="24">
        <v>12844</v>
      </c>
      <c r="HM22" s="24">
        <v>0</v>
      </c>
      <c r="HN22" s="24">
        <v>0</v>
      </c>
      <c r="HO22" s="24">
        <v>431168</v>
      </c>
      <c r="HP22" s="24">
        <v>154698</v>
      </c>
      <c r="HQ22" s="24">
        <v>0</v>
      </c>
      <c r="HR22" s="24">
        <v>0</v>
      </c>
      <c r="HS22" s="24">
        <v>0</v>
      </c>
      <c r="HT22" s="24">
        <v>0</v>
      </c>
      <c r="HU22" s="24">
        <v>0</v>
      </c>
      <c r="HV22" s="24">
        <v>0</v>
      </c>
      <c r="HW22" s="24">
        <v>0</v>
      </c>
      <c r="HX22" s="24">
        <v>0</v>
      </c>
      <c r="HY22" s="24">
        <v>0</v>
      </c>
      <c r="HZ22" s="24">
        <v>0</v>
      </c>
      <c r="IA22" s="24">
        <v>50652</v>
      </c>
      <c r="IB22" s="24">
        <v>11625</v>
      </c>
      <c r="IC22" s="24">
        <v>0</v>
      </c>
      <c r="ID22" s="24">
        <v>0</v>
      </c>
      <c r="IE22" s="24">
        <v>0</v>
      </c>
      <c r="IF22" s="24">
        <v>0</v>
      </c>
      <c r="IG22" s="24">
        <v>0</v>
      </c>
      <c r="IH22" s="24">
        <v>0</v>
      </c>
      <c r="II22" s="24">
        <v>0</v>
      </c>
      <c r="IJ22" s="24">
        <v>92836</v>
      </c>
      <c r="IK22" s="24">
        <v>0</v>
      </c>
      <c r="IL22" s="24">
        <v>0</v>
      </c>
      <c r="IM22" s="24">
        <v>0</v>
      </c>
      <c r="IN22" s="24">
        <v>0</v>
      </c>
      <c r="IO22" s="24">
        <v>3812</v>
      </c>
      <c r="IP22" s="24">
        <v>0</v>
      </c>
      <c r="IQ22" s="24">
        <v>0</v>
      </c>
      <c r="IR22" s="24">
        <v>23055</v>
      </c>
      <c r="IS22" s="24">
        <v>0</v>
      </c>
      <c r="IT22" s="24">
        <v>0</v>
      </c>
      <c r="IU22" s="24">
        <v>0</v>
      </c>
      <c r="IV22" s="24">
        <v>0</v>
      </c>
      <c r="IW22" s="24">
        <v>58709</v>
      </c>
      <c r="IX22" s="24">
        <v>0</v>
      </c>
      <c r="IY22" s="24">
        <v>0</v>
      </c>
      <c r="IZ22" s="24">
        <v>44789</v>
      </c>
      <c r="JA22" s="24">
        <v>0</v>
      </c>
      <c r="JB22" s="24">
        <v>60993</v>
      </c>
      <c r="JC22" s="24">
        <v>0</v>
      </c>
      <c r="JD22" s="24">
        <v>0</v>
      </c>
      <c r="JE22" s="24">
        <v>0</v>
      </c>
      <c r="JF22" s="24">
        <v>0</v>
      </c>
      <c r="JG22" s="24">
        <v>0</v>
      </c>
      <c r="JH22" s="24">
        <v>0</v>
      </c>
      <c r="JI22" s="24">
        <v>0</v>
      </c>
      <c r="JJ22" s="24">
        <v>0</v>
      </c>
      <c r="JK22" s="24">
        <v>0</v>
      </c>
      <c r="JL22" s="24">
        <v>0</v>
      </c>
      <c r="JM22" s="24">
        <v>0</v>
      </c>
      <c r="JN22" s="24">
        <v>0</v>
      </c>
      <c r="JO22" s="24">
        <v>0</v>
      </c>
      <c r="JP22" s="24">
        <v>0</v>
      </c>
      <c r="JQ22" s="24">
        <v>0</v>
      </c>
      <c r="JR22" s="24">
        <v>0</v>
      </c>
      <c r="JS22" s="24">
        <v>0</v>
      </c>
      <c r="JT22" s="24">
        <v>0</v>
      </c>
      <c r="JU22" s="24">
        <v>0</v>
      </c>
      <c r="JV22" s="24">
        <v>0</v>
      </c>
      <c r="JW22" s="24">
        <v>0</v>
      </c>
      <c r="JX22" s="24">
        <v>0</v>
      </c>
      <c r="JY22" s="24">
        <v>0</v>
      </c>
      <c r="JZ22" s="24">
        <v>0</v>
      </c>
      <c r="KA22" s="24">
        <v>0</v>
      </c>
      <c r="KB22" s="24">
        <v>0</v>
      </c>
      <c r="KC22" s="24">
        <v>0</v>
      </c>
      <c r="KD22" s="24">
        <v>0</v>
      </c>
      <c r="KE22" s="24">
        <v>0</v>
      </c>
      <c r="KF22" s="24">
        <v>0</v>
      </c>
      <c r="KG22" s="24">
        <v>0</v>
      </c>
      <c r="KH22" s="24">
        <v>0</v>
      </c>
      <c r="KI22" s="24">
        <v>0</v>
      </c>
      <c r="KJ22" s="24">
        <v>0</v>
      </c>
      <c r="KK22" s="24">
        <v>0</v>
      </c>
      <c r="KL22" s="24">
        <v>0</v>
      </c>
      <c r="KM22" s="24">
        <v>0</v>
      </c>
      <c r="KN22" s="24">
        <v>0</v>
      </c>
      <c r="KO22" s="24">
        <v>0</v>
      </c>
      <c r="KP22" s="24">
        <v>0</v>
      </c>
      <c r="KQ22" s="24">
        <v>0</v>
      </c>
      <c r="KR22" s="24">
        <v>0</v>
      </c>
      <c r="KS22" s="24">
        <v>0</v>
      </c>
      <c r="KT22" s="24">
        <v>0</v>
      </c>
      <c r="KU22" s="24">
        <v>0</v>
      </c>
      <c r="KV22" s="24">
        <v>0</v>
      </c>
      <c r="KW22" s="24">
        <v>0</v>
      </c>
      <c r="KX22" s="24">
        <v>0</v>
      </c>
      <c r="KY22" s="24">
        <v>0</v>
      </c>
      <c r="KZ22" s="24">
        <v>0</v>
      </c>
      <c r="LA22" s="24">
        <v>0</v>
      </c>
      <c r="LB22" s="24">
        <v>0</v>
      </c>
      <c r="LC22" s="24">
        <v>0</v>
      </c>
      <c r="LD22" s="24">
        <v>0</v>
      </c>
      <c r="LE22" s="24">
        <v>0</v>
      </c>
      <c r="LF22" s="24">
        <v>0</v>
      </c>
      <c r="LG22" s="24">
        <v>0</v>
      </c>
      <c r="LH22" s="24">
        <v>0</v>
      </c>
      <c r="LI22" s="24">
        <v>0</v>
      </c>
      <c r="LJ22" s="24">
        <v>0</v>
      </c>
      <c r="LK22" s="24">
        <v>0</v>
      </c>
      <c r="LL22" s="24">
        <v>0</v>
      </c>
      <c r="LM22" s="24">
        <v>0</v>
      </c>
      <c r="LN22" s="24">
        <v>0</v>
      </c>
      <c r="LO22" s="24">
        <v>0</v>
      </c>
      <c r="LP22" s="24">
        <v>0</v>
      </c>
      <c r="LQ22" s="24">
        <v>268008</v>
      </c>
      <c r="LR22" s="24">
        <v>92813</v>
      </c>
      <c r="LS22" s="24">
        <v>0</v>
      </c>
      <c r="LT22" s="24">
        <v>0</v>
      </c>
      <c r="LU22" s="24">
        <v>0</v>
      </c>
      <c r="LV22" s="24">
        <v>0</v>
      </c>
      <c r="LW22" s="24">
        <v>0</v>
      </c>
      <c r="LX22" s="24">
        <v>0</v>
      </c>
      <c r="LY22" s="24">
        <v>0</v>
      </c>
      <c r="LZ22" s="24">
        <v>0</v>
      </c>
      <c r="MA22" s="24">
        <v>0</v>
      </c>
      <c r="MB22" s="24">
        <v>0</v>
      </c>
      <c r="MC22" s="24">
        <v>0</v>
      </c>
      <c r="MD22" s="24">
        <v>0</v>
      </c>
      <c r="ME22" s="24">
        <v>0</v>
      </c>
      <c r="MF22" s="24">
        <v>0</v>
      </c>
      <c r="MG22" s="24">
        <v>0</v>
      </c>
      <c r="MH22" s="24">
        <v>0</v>
      </c>
      <c r="MI22" s="24">
        <v>0</v>
      </c>
      <c r="MJ22" s="24">
        <v>0</v>
      </c>
      <c r="MK22" s="24">
        <v>0</v>
      </c>
      <c r="ML22" s="24">
        <v>0</v>
      </c>
      <c r="MM22" s="24">
        <v>0</v>
      </c>
      <c r="MN22" s="24">
        <v>0</v>
      </c>
      <c r="MO22" s="24">
        <v>10534</v>
      </c>
      <c r="MP22" s="24">
        <v>0</v>
      </c>
      <c r="MQ22" s="24">
        <v>0</v>
      </c>
      <c r="MR22" s="24">
        <v>281639</v>
      </c>
      <c r="MS22" s="24">
        <v>0</v>
      </c>
      <c r="MT22" s="24">
        <v>0</v>
      </c>
      <c r="MU22" s="24">
        <v>0</v>
      </c>
      <c r="MV22" s="24">
        <v>0</v>
      </c>
      <c r="MW22" s="24">
        <v>151049</v>
      </c>
      <c r="MX22" s="24">
        <v>5850</v>
      </c>
      <c r="MY22" s="24">
        <v>0</v>
      </c>
      <c r="MZ22" s="24">
        <v>0</v>
      </c>
      <c r="NA22" s="24">
        <v>0</v>
      </c>
      <c r="NB22" s="24">
        <v>0</v>
      </c>
      <c r="NC22" s="24">
        <v>0</v>
      </c>
      <c r="ND22" s="24">
        <v>0</v>
      </c>
      <c r="NE22" s="24">
        <v>0</v>
      </c>
      <c r="NF22" s="24">
        <v>0</v>
      </c>
      <c r="NG22" s="24">
        <v>0</v>
      </c>
      <c r="NH22" s="24">
        <v>0</v>
      </c>
      <c r="NI22" s="24">
        <v>0</v>
      </c>
      <c r="NJ22" s="24">
        <v>0</v>
      </c>
      <c r="NK22" s="24">
        <v>0</v>
      </c>
      <c r="NL22" s="24">
        <v>0</v>
      </c>
      <c r="NM22" s="24">
        <v>0</v>
      </c>
      <c r="NN22" s="24">
        <v>0</v>
      </c>
      <c r="NO22" s="24">
        <v>0</v>
      </c>
      <c r="NP22" s="24">
        <v>0</v>
      </c>
      <c r="NQ22" s="24">
        <v>14654</v>
      </c>
      <c r="NR22" s="24">
        <v>0</v>
      </c>
      <c r="NS22" s="24">
        <v>0</v>
      </c>
      <c r="NT22" s="24">
        <v>0</v>
      </c>
      <c r="NU22" s="24">
        <v>13709</v>
      </c>
      <c r="NV22" s="24">
        <v>49077</v>
      </c>
      <c r="NW22" s="24">
        <v>0</v>
      </c>
      <c r="NX22" s="24">
        <v>0</v>
      </c>
      <c r="NY22" s="24">
        <v>0</v>
      </c>
      <c r="NZ22" s="24">
        <v>0</v>
      </c>
      <c r="OA22" s="24">
        <v>0</v>
      </c>
      <c r="OB22" s="24">
        <v>0</v>
      </c>
      <c r="OC22" s="24">
        <v>0</v>
      </c>
      <c r="OD22" s="24">
        <v>0</v>
      </c>
      <c r="OE22" s="24">
        <v>0</v>
      </c>
      <c r="OF22" s="24">
        <v>0</v>
      </c>
      <c r="OG22" s="24">
        <v>0</v>
      </c>
      <c r="OH22" s="24">
        <v>32599</v>
      </c>
      <c r="OI22" s="24">
        <v>0</v>
      </c>
      <c r="OJ22" s="24">
        <v>27963</v>
      </c>
      <c r="OK22" s="24">
        <v>0</v>
      </c>
      <c r="OL22" s="24">
        <v>0</v>
      </c>
      <c r="OM22" s="24">
        <v>0</v>
      </c>
      <c r="ON22" s="24">
        <v>0</v>
      </c>
      <c r="OO22" s="24">
        <v>0</v>
      </c>
      <c r="OP22" s="24">
        <v>0</v>
      </c>
      <c r="OQ22" s="24">
        <v>0</v>
      </c>
      <c r="OR22" s="24">
        <v>0</v>
      </c>
      <c r="OS22" s="24">
        <v>0</v>
      </c>
      <c r="OT22" s="24">
        <v>0</v>
      </c>
      <c r="OU22" s="24">
        <v>0</v>
      </c>
      <c r="OV22" s="24">
        <v>0</v>
      </c>
      <c r="OW22" s="24">
        <v>0</v>
      </c>
      <c r="OX22" s="24">
        <v>0</v>
      </c>
      <c r="OY22" s="24">
        <v>0</v>
      </c>
      <c r="OZ22" s="24">
        <v>0</v>
      </c>
      <c r="PA22" s="24">
        <v>0</v>
      </c>
      <c r="PB22" s="24">
        <v>0</v>
      </c>
      <c r="PC22" s="24">
        <v>0</v>
      </c>
      <c r="PD22" s="24">
        <v>0</v>
      </c>
      <c r="PE22" s="24">
        <v>0</v>
      </c>
      <c r="PF22" s="24">
        <v>0</v>
      </c>
      <c r="PG22" s="24">
        <v>0</v>
      </c>
      <c r="PH22" s="24">
        <v>20940</v>
      </c>
      <c r="PI22" s="24">
        <v>0</v>
      </c>
      <c r="PJ22" s="24">
        <v>0</v>
      </c>
      <c r="PK22" s="24">
        <v>0</v>
      </c>
      <c r="PL22" s="24">
        <v>0</v>
      </c>
      <c r="PM22" s="24">
        <v>0</v>
      </c>
      <c r="PN22" s="24">
        <v>0</v>
      </c>
      <c r="PO22" s="24">
        <v>0</v>
      </c>
      <c r="PP22" s="24">
        <v>0</v>
      </c>
      <c r="PQ22" s="24">
        <v>0</v>
      </c>
      <c r="PR22" s="24">
        <v>0</v>
      </c>
      <c r="PS22" s="24">
        <v>0</v>
      </c>
      <c r="PT22" s="24">
        <v>0</v>
      </c>
      <c r="PU22" s="24">
        <v>0</v>
      </c>
      <c r="PV22" s="24">
        <v>0</v>
      </c>
      <c r="PW22" s="24">
        <v>0</v>
      </c>
      <c r="PX22" s="24">
        <v>0</v>
      </c>
      <c r="PY22" s="24">
        <v>0</v>
      </c>
      <c r="PZ22" s="24">
        <v>0</v>
      </c>
      <c r="QA22" s="24">
        <v>0</v>
      </c>
      <c r="QB22" s="24">
        <v>0</v>
      </c>
      <c r="QC22" s="24">
        <v>0</v>
      </c>
      <c r="QD22" s="24">
        <v>0</v>
      </c>
      <c r="QE22" s="24">
        <v>0</v>
      </c>
      <c r="QF22" s="24">
        <v>0</v>
      </c>
      <c r="QG22" s="24">
        <v>0</v>
      </c>
      <c r="QH22" s="24">
        <v>0</v>
      </c>
      <c r="QI22" s="24">
        <v>0</v>
      </c>
      <c r="QJ22" s="24">
        <v>0</v>
      </c>
      <c r="QK22" s="24">
        <v>0</v>
      </c>
      <c r="QL22" s="24">
        <v>0</v>
      </c>
      <c r="QM22" s="24">
        <v>0</v>
      </c>
      <c r="QN22" s="24">
        <v>0</v>
      </c>
      <c r="QO22" s="24">
        <v>0</v>
      </c>
      <c r="QP22" s="24">
        <v>0</v>
      </c>
      <c r="QQ22" s="24">
        <v>0</v>
      </c>
      <c r="QR22" s="24">
        <v>0</v>
      </c>
      <c r="QS22" s="24">
        <v>7254</v>
      </c>
      <c r="QT22" s="24">
        <v>0</v>
      </c>
      <c r="QU22" s="24">
        <v>0</v>
      </c>
      <c r="QV22" s="24">
        <v>0</v>
      </c>
      <c r="QW22" s="24">
        <v>56601</v>
      </c>
      <c r="QX22" s="24">
        <v>0</v>
      </c>
      <c r="QY22" s="24">
        <v>0</v>
      </c>
      <c r="QZ22" s="24">
        <v>0</v>
      </c>
      <c r="RA22" s="24">
        <v>0</v>
      </c>
      <c r="RB22" s="24">
        <v>0</v>
      </c>
      <c r="RG22" s="39">
        <f t="shared" si="48"/>
        <v>3234295</v>
      </c>
      <c r="RH22" s="39">
        <f t="shared" si="7"/>
        <v>209071</v>
      </c>
      <c r="RI22" s="39">
        <f t="shared" si="7"/>
        <v>12844</v>
      </c>
      <c r="RJ22" s="39">
        <f t="shared" si="7"/>
        <v>0</v>
      </c>
      <c r="RK22" s="39">
        <f t="shared" si="7"/>
        <v>0</v>
      </c>
      <c r="RL22" s="39">
        <f t="shared" si="7"/>
        <v>431168</v>
      </c>
      <c r="RM22" s="39">
        <f t="shared" si="7"/>
        <v>309811</v>
      </c>
      <c r="RN22" s="39">
        <f t="shared" si="7"/>
        <v>3812</v>
      </c>
      <c r="RO22" s="39">
        <f t="shared" si="7"/>
        <v>23055</v>
      </c>
      <c r="RP22" s="39">
        <f t="shared" si="7"/>
        <v>103498</v>
      </c>
      <c r="RQ22" s="39">
        <f t="shared" si="7"/>
        <v>60993</v>
      </c>
      <c r="RR22" s="39">
        <f t="shared" si="7"/>
        <v>0</v>
      </c>
      <c r="RS22" s="39"/>
      <c r="RT22" s="182"/>
      <c r="RU22" s="39"/>
      <c r="RV22" s="39">
        <f t="shared" si="49"/>
        <v>947895</v>
      </c>
      <c r="RW22" s="39">
        <f t="shared" si="8"/>
        <v>4388547</v>
      </c>
      <c r="RX22" s="39">
        <f t="shared" si="8"/>
        <v>1805139</v>
      </c>
      <c r="RY22" s="39">
        <f t="shared" si="8"/>
        <v>84795</v>
      </c>
      <c r="RZ22" s="39"/>
      <c r="SA22" s="182"/>
      <c r="SB22" s="39"/>
      <c r="SC22" s="25">
        <f t="shared" si="50"/>
        <v>2714.4947368421053</v>
      </c>
      <c r="SD22" s="39">
        <f>IFERROR(VLOOKUP(A22, 'Levy Data 15-16'!$B:$O, 3, FALSE), 0)</f>
        <v>212916410</v>
      </c>
      <c r="SE22" s="39">
        <f t="shared" si="9"/>
        <v>320175.05263157893</v>
      </c>
      <c r="SF22" s="631">
        <f>IFERROR(VLOOKUP(A22, 'Levy Data 15-16'!$B:$O, 14, FALSE), 0)*1000</f>
        <v>7.9467930000000004</v>
      </c>
      <c r="SG22" s="39">
        <f t="shared" si="10"/>
        <v>0</v>
      </c>
      <c r="SH22" s="39">
        <f t="shared" si="11"/>
        <v>0</v>
      </c>
      <c r="SI22" s="39">
        <f t="shared" si="12"/>
        <v>1805139</v>
      </c>
      <c r="SM22" s="39">
        <f t="shared" si="13"/>
        <v>4388547</v>
      </c>
      <c r="SN22" s="39">
        <f t="shared" si="14"/>
        <v>0</v>
      </c>
      <c r="SO22" s="39">
        <f t="shared" si="51"/>
        <v>4388547</v>
      </c>
      <c r="SP22" s="50">
        <f t="shared" si="52"/>
        <v>1</v>
      </c>
      <c r="ST22" s="124">
        <f>IFERROR(VLOOKUP(A22,'Grade Enroll 15-16'!B:AC,27,FALSE),"")</f>
        <v>665</v>
      </c>
      <c r="SU22" s="124">
        <f t="shared" si="53"/>
        <v>467.44769874476987</v>
      </c>
      <c r="SV22" s="131">
        <f>IFERROR(VLOOKUP($A22, 'Title I Enroll 16-17'!S:V, 4, FALSE), 0)</f>
        <v>0.70292887029288698</v>
      </c>
      <c r="SW22" s="729">
        <f>IFERROR(VLOOKUP(A22, 'ELL Enroll 15-16'!$N:$S, 6, FALSE), 0)</f>
        <v>348</v>
      </c>
      <c r="SX22" s="131">
        <f t="shared" si="54"/>
        <v>0.52330827067669172</v>
      </c>
      <c r="SY22" s="124">
        <f>IFERROR(VLOOKUP(A22, 'SPED enroll 2015-16'!$M:$O, 3, FALSE), 0)</f>
        <v>126</v>
      </c>
      <c r="SZ22" s="131">
        <f t="shared" si="55"/>
        <v>0.18947368421052632</v>
      </c>
      <c r="TA22" s="142">
        <f t="shared" si="56"/>
        <v>88.199999999999989</v>
      </c>
      <c r="TB22" s="142">
        <f t="shared" si="56"/>
        <v>25.200000000000003</v>
      </c>
      <c r="TC22" s="142">
        <f t="shared" si="56"/>
        <v>8.82</v>
      </c>
      <c r="TD22" s="142">
        <f t="shared" si="56"/>
        <v>3.78</v>
      </c>
      <c r="TE22" s="124">
        <f>VLOOKUP($A22, 'Grade Enroll 15-16'!$B:$AB, 20, FALSE)</f>
        <v>8</v>
      </c>
      <c r="TF22" s="124">
        <f>VLOOKUP($A22, 'Grade Enroll 15-16'!$B:$AB, 21, FALSE)</f>
        <v>62</v>
      </c>
      <c r="TG22" s="124">
        <f>VLOOKUP($A22, 'Grade Enroll 15-16'!$B:$AB, 22, FALSE)</f>
        <v>176</v>
      </c>
      <c r="TH22" s="124">
        <f>VLOOKUP($A22, 'Grade Enroll 15-16'!$B:$AB, 23, FALSE)</f>
        <v>181</v>
      </c>
      <c r="TI22" s="124">
        <f>VLOOKUP($A22, 'Grade Enroll 15-16'!$B:$AB, 24, FALSE)</f>
        <v>111</v>
      </c>
      <c r="TJ22" s="124">
        <f>VLOOKUP($A22, 'Grade Enroll 15-16'!$B:$AB, 25, FALSE)</f>
        <v>197</v>
      </c>
      <c r="TK22" s="124">
        <f>VLOOKUP($A22, 'Grade Enroll 15-16'!$B:$AB, 26, FALSE)</f>
        <v>461</v>
      </c>
      <c r="TL22" s="131">
        <f>SUMIFS('Student Achievement 15-16'!N:N, 'Student Achievement 15-16'!B:B, 'Idaho Data'!A22, 'Student Achievement 15-16'!D:D, "math")/100</f>
        <v>0.39100000000000001</v>
      </c>
      <c r="TM22" s="134">
        <f t="shared" si="57"/>
        <v>260.01499999999999</v>
      </c>
      <c r="TN22" s="131">
        <f>SUMIFS('Student Achievement 15-16'!N:N, 'Student Achievement 15-16'!B:B, 'Idaho Data'!A22, 'Student Achievement 15-16'!D:D, "ela")/100</f>
        <v>0.34</v>
      </c>
      <c r="TO22" s="134">
        <f t="shared" si="58"/>
        <v>226.10000000000002</v>
      </c>
      <c r="TP22" s="688">
        <f>IFERROR(VLOOKUP(A22, 'G&amp;T 15-16'!B:G, 6, FALSE), 0)*1</f>
        <v>47</v>
      </c>
      <c r="TQ22" s="168">
        <f t="shared" si="59"/>
        <v>39.9</v>
      </c>
      <c r="TU22" s="168">
        <f t="shared" si="60"/>
        <v>226.10000000000002</v>
      </c>
      <c r="TV22" s="168">
        <f t="shared" si="61"/>
        <v>260.01499999999999</v>
      </c>
      <c r="TW22" s="205">
        <f t="shared" si="62"/>
        <v>260.01499999999999</v>
      </c>
      <c r="TX22" s="144"/>
      <c r="TY22" s="129"/>
      <c r="TZ22" s="127">
        <f t="shared" si="63"/>
        <v>39.9</v>
      </c>
      <c r="UA22" s="127">
        <f t="shared" si="64"/>
        <v>47</v>
      </c>
      <c r="UB22" s="205">
        <f t="shared" si="65"/>
        <v>47</v>
      </c>
      <c r="UE22" s="853" t="str">
        <f>IF(ST22&lt;='1. Simulator Input'!$E$104, "yes", "")</f>
        <v/>
      </c>
      <c r="UI22" s="199">
        <f t="shared" si="66"/>
        <v>0</v>
      </c>
      <c r="UJ22" s="200">
        <f>IF('Idaho Data'!SI22&gt;=0, ((1-'1. Simulator Input'!$E$39)*'Idaho Data'!SI22), 0)</f>
        <v>0</v>
      </c>
      <c r="UK22" s="200">
        <f t="shared" si="67"/>
        <v>4388547</v>
      </c>
      <c r="UL22" s="39"/>
      <c r="UM22" s="182"/>
      <c r="UN22" s="39"/>
      <c r="UO22" s="39" t="str">
        <f>IF(AND('1. Simulator Input'!$E$96="yes", '1. Simulator Input'!$E$98="yes", '1. Simulator Input'!$E$100="hold harmless"), 'Idaho Data'!WN22, IF(AND('1. Simulator Input'!$E$96="yes", '1. Simulator Input'!$E$98="no", '1. Simulator Input'!$E$100="hold harmless"), 'Idaho Data'!WM22, IF(AND('1. Simulator Input'!$E$96="yes", '1. Simulator Input'!$E$98="yes", '1. Simulator Input'!$E$100="small district grant"), WL22,IF(AND('1. Simulator Input'!$E$96="yes", '1. Simulator Input'!$E$98="no", '1. Simulator Input'!$E$100="small district grant"), WK22, ""))))</f>
        <v/>
      </c>
      <c r="UP22" s="200">
        <f>'1. Simulator Input'!$D$56*('Idaho Data'!ST22)</f>
        <v>3674790</v>
      </c>
      <c r="UQ22" s="204">
        <f>'1. Simulator Input'!$D$65*'1. Simulator Input'!$D$56*'Idaho Data'!SU22</f>
        <v>0</v>
      </c>
      <c r="UR22" s="204">
        <f>'1. Simulator Input'!$D$66*'1. Simulator Input'!$D$56*'Idaho Data'!SW22</f>
        <v>0</v>
      </c>
      <c r="US22" s="200">
        <f>'1. Simulator Input'!$D$67*'1. Simulator Input'!$D$56*'Idaho Data'!TA22</f>
        <v>0</v>
      </c>
      <c r="UT22" s="200">
        <f>'1. Simulator Input'!$D$68*'1. Simulator Input'!$D$56*'Idaho Data'!TB22</f>
        <v>0</v>
      </c>
      <c r="UU22" s="200">
        <f>'1. Simulator Input'!$D$69*'1. Simulator Input'!$D$56*'Idaho Data'!TC22</f>
        <v>0</v>
      </c>
      <c r="UV22" s="200">
        <f>'1. Simulator Input'!$D$70*'1. Simulator Input'!$D$56*TD22</f>
        <v>0</v>
      </c>
      <c r="UW22" s="200">
        <f>'1. Simulator Input'!$D$80*'1. Simulator Input'!$D$56*TW22</f>
        <v>0</v>
      </c>
      <c r="UX22" s="200">
        <f>'1. Simulator Input'!$D$79*'1. Simulator Input'!$D$56*UB22</f>
        <v>0</v>
      </c>
      <c r="UY22" s="200">
        <f>'1. Simulator Input'!$D$87*'1. Simulator Input'!$D$56*TF22</f>
        <v>171306</v>
      </c>
      <c r="UZ22" s="200">
        <f>'1. Simulator Input'!$D$73*'1. Simulator Input'!$D$56*'Idaho Data'!TG22</f>
        <v>0</v>
      </c>
      <c r="VA22" s="200">
        <f>'1. Simulator Input'!$D$56*'1. Simulator Input'!$D$74*'Idaho Data'!TH22</f>
        <v>0</v>
      </c>
      <c r="VB22" s="200">
        <f>'1. Simulator Input'!$D$56*'1. Simulator Input'!$D$75*'Idaho Data'!TI17</f>
        <v>0</v>
      </c>
      <c r="VC22" s="200">
        <f>'1. Simulator Input'!$D$76*'1. Simulator Input'!$D$56*'Idaho Data'!TJ22</f>
        <v>0</v>
      </c>
      <c r="VD22" s="200">
        <f t="shared" si="68"/>
        <v>3846096</v>
      </c>
      <c r="VE22" s="200"/>
      <c r="VF22" s="182"/>
      <c r="VG22" s="200"/>
      <c r="VH22" s="200">
        <f t="shared" si="69"/>
        <v>0</v>
      </c>
      <c r="VI22" s="200">
        <f t="shared" si="70"/>
        <v>0</v>
      </c>
      <c r="VJ22" s="200">
        <f t="shared" si="16"/>
        <v>3846096</v>
      </c>
      <c r="VK22" s="200">
        <f t="shared" si="17"/>
        <v>3846096</v>
      </c>
      <c r="VL22" s="200"/>
      <c r="VM22" s="182"/>
      <c r="VN22" s="200"/>
      <c r="VO22" s="200">
        <f t="shared" si="71"/>
        <v>947895</v>
      </c>
      <c r="VP22" s="200">
        <f t="shared" si="72"/>
        <v>4388547</v>
      </c>
      <c r="VQ22" s="200">
        <f t="shared" si="73"/>
        <v>1805139</v>
      </c>
      <c r="VR22" s="200">
        <f t="shared" si="74"/>
        <v>947895</v>
      </c>
      <c r="VS22" s="200">
        <f t="shared" si="18"/>
        <v>3846096</v>
      </c>
      <c r="VT22" s="200">
        <f t="shared" si="19"/>
        <v>1805139</v>
      </c>
      <c r="VU22" s="200">
        <f t="shared" si="20"/>
        <v>0</v>
      </c>
      <c r="VV22" s="200"/>
      <c r="VW22" s="182"/>
      <c r="VX22" s="200"/>
      <c r="VZ22" s="199">
        <f t="shared" si="75"/>
        <v>-542451</v>
      </c>
      <c r="WA22" s="199">
        <f t="shared" si="76"/>
        <v>-815.71578947368425</v>
      </c>
      <c r="WB22" s="131">
        <f t="shared" si="77"/>
        <v>-0.1236060591352901</v>
      </c>
      <c r="WC22" s="131"/>
      <c r="WD22" s="461"/>
      <c r="WE22" s="893"/>
      <c r="WF22" s="893">
        <f t="shared" si="78"/>
        <v>10739.219548872181</v>
      </c>
      <c r="WG22" s="893">
        <f t="shared" si="79"/>
        <v>9923.5037593984962</v>
      </c>
      <c r="WH22" s="893"/>
      <c r="WI22" s="893">
        <f t="shared" si="80"/>
        <v>4388547</v>
      </c>
      <c r="WJ22" s="893">
        <f t="shared" si="21"/>
        <v>3846096</v>
      </c>
      <c r="WK22" s="39" t="str">
        <f t="shared" si="22"/>
        <v/>
      </c>
      <c r="WL22" s="39" t="str">
        <f t="shared" si="23"/>
        <v/>
      </c>
      <c r="WM22" s="200" t="str">
        <f t="shared" si="24"/>
        <v/>
      </c>
      <c r="WN22" s="39" t="str">
        <f t="shared" si="25"/>
        <v/>
      </c>
      <c r="WO22" s="39"/>
      <c r="WP22" s="182"/>
      <c r="WQ22" s="39"/>
      <c r="WR22" s="305">
        <f t="shared" si="26"/>
        <v>0.32400000000000001</v>
      </c>
      <c r="WT22" s="200">
        <f t="shared" si="27"/>
        <v>6599.3187969924811</v>
      </c>
      <c r="WU22" s="131">
        <f t="shared" si="81"/>
        <v>0.52</v>
      </c>
      <c r="WW22" s="199">
        <f t="shared" si="28"/>
        <v>947895</v>
      </c>
      <c r="WX22" s="199">
        <f t="shared" si="29"/>
        <v>3846096</v>
      </c>
      <c r="WY22" s="199">
        <f t="shared" si="30"/>
        <v>0</v>
      </c>
      <c r="WZ22" s="199">
        <f t="shared" si="82"/>
        <v>3846096</v>
      </c>
      <c r="XA22" s="199">
        <f t="shared" si="31"/>
        <v>0</v>
      </c>
      <c r="XB22" s="199">
        <f t="shared" si="32"/>
        <v>1805139</v>
      </c>
      <c r="XC22" s="199">
        <f t="shared" si="33"/>
        <v>1805139</v>
      </c>
      <c r="XD22" s="199" t="str">
        <f t="shared" si="34"/>
        <v/>
      </c>
      <c r="XE22" s="199"/>
      <c r="XF22" s="199"/>
      <c r="XG22" s="199"/>
      <c r="XH22" s="199"/>
      <c r="XI22" s="199"/>
      <c r="XJ22" s="199">
        <f t="shared" si="83"/>
        <v>3846096</v>
      </c>
      <c r="XP22" s="199">
        <f t="shared" si="35"/>
        <v>3846096</v>
      </c>
      <c r="XQ22" s="199">
        <f t="shared" si="36"/>
        <v>5783.6030075187973</v>
      </c>
      <c r="XR22" s="199">
        <f t="shared" si="37"/>
        <v>3846096</v>
      </c>
      <c r="XS22" s="199">
        <f t="shared" si="38"/>
        <v>3846096</v>
      </c>
      <c r="XT22" s="199">
        <f t="shared" si="39"/>
        <v>5783.6030075187973</v>
      </c>
      <c r="XU22" s="199">
        <f t="shared" si="40"/>
        <v>4388547</v>
      </c>
      <c r="XV22" s="199">
        <f t="shared" si="41"/>
        <v>6599.3187969924811</v>
      </c>
      <c r="XW22" s="199">
        <f t="shared" si="42"/>
        <v>4388547</v>
      </c>
      <c r="XX22" s="199">
        <f t="shared" si="43"/>
        <v>6599.3187969924811</v>
      </c>
      <c r="XY22" s="199">
        <f t="shared" si="84"/>
        <v>-542451</v>
      </c>
      <c r="XZ22" s="199">
        <f t="shared" si="85"/>
        <v>-815.7157894736838</v>
      </c>
      <c r="YA22" s="131">
        <f t="shared" si="86"/>
        <v>-0.12360605913529005</v>
      </c>
      <c r="YB22" s="199"/>
      <c r="YC22" s="221"/>
      <c r="YD22" s="199"/>
      <c r="YE22" s="199">
        <f t="shared" si="44"/>
        <v>947895</v>
      </c>
      <c r="YF22" s="200">
        <f t="shared" si="45"/>
        <v>0</v>
      </c>
      <c r="YG22" s="199">
        <f t="shared" si="46"/>
        <v>1805139</v>
      </c>
      <c r="YH22" s="199">
        <f t="shared" si="47"/>
        <v>84795</v>
      </c>
    </row>
    <row r="23" spans="1:658">
      <c r="A23" s="3">
        <v>59</v>
      </c>
      <c r="B23" s="2" t="s">
        <v>114</v>
      </c>
      <c r="C23" s="24">
        <v>0</v>
      </c>
      <c r="D23" s="24">
        <v>0</v>
      </c>
      <c r="E23" s="24">
        <v>0</v>
      </c>
      <c r="F23" s="24">
        <v>0</v>
      </c>
      <c r="G23" s="24">
        <v>232245</v>
      </c>
      <c r="H23" s="24">
        <v>0</v>
      </c>
      <c r="I23" s="24">
        <v>0</v>
      </c>
      <c r="J23" s="24">
        <v>15228</v>
      </c>
      <c r="K23" s="24">
        <v>0</v>
      </c>
      <c r="L23" s="24">
        <v>0</v>
      </c>
      <c r="M23" s="24">
        <v>0</v>
      </c>
      <c r="N23" s="24">
        <v>190</v>
      </c>
      <c r="O23" s="24">
        <v>0</v>
      </c>
      <c r="P23" s="24">
        <v>0</v>
      </c>
      <c r="Q23" s="24">
        <v>0</v>
      </c>
      <c r="R23" s="24">
        <v>0</v>
      </c>
      <c r="S23" s="24">
        <v>0</v>
      </c>
      <c r="T23" s="24">
        <v>113568</v>
      </c>
      <c r="U23" s="24">
        <v>0</v>
      </c>
      <c r="V23" s="24">
        <v>0</v>
      </c>
      <c r="W23" s="24">
        <v>0</v>
      </c>
      <c r="X23" s="24">
        <v>3113</v>
      </c>
      <c r="Y23" s="24">
        <v>0</v>
      </c>
      <c r="Z23" s="24">
        <v>0</v>
      </c>
      <c r="AA23" s="24">
        <v>0</v>
      </c>
      <c r="AB23" s="24">
        <v>0</v>
      </c>
      <c r="AC23" s="24">
        <v>0</v>
      </c>
      <c r="AD23" s="24">
        <v>0</v>
      </c>
      <c r="AE23" s="24">
        <v>0</v>
      </c>
      <c r="AF23" s="24">
        <v>0</v>
      </c>
      <c r="AG23" s="24">
        <v>0</v>
      </c>
      <c r="AH23" s="24">
        <v>0</v>
      </c>
      <c r="AI23" s="24">
        <v>0</v>
      </c>
      <c r="AJ23" s="24">
        <v>0</v>
      </c>
      <c r="AK23" s="24">
        <v>0</v>
      </c>
      <c r="AL23" s="24">
        <v>6170</v>
      </c>
      <c r="AM23" s="24">
        <v>0</v>
      </c>
      <c r="AN23" s="24">
        <v>0</v>
      </c>
      <c r="AO23" s="24">
        <v>0</v>
      </c>
      <c r="AP23" s="24">
        <v>0</v>
      </c>
      <c r="AQ23" s="24">
        <v>0</v>
      </c>
      <c r="AR23" s="24">
        <v>0</v>
      </c>
      <c r="AS23" s="24">
        <v>0</v>
      </c>
      <c r="AT23" s="24">
        <v>0</v>
      </c>
      <c r="AU23" s="24">
        <v>0</v>
      </c>
      <c r="AV23" s="24">
        <v>0</v>
      </c>
      <c r="AW23" s="24">
        <v>0</v>
      </c>
      <c r="AX23" s="24">
        <v>0</v>
      </c>
      <c r="AY23" s="24">
        <v>0</v>
      </c>
      <c r="AZ23" s="24">
        <v>0</v>
      </c>
      <c r="BA23" s="24">
        <v>0</v>
      </c>
      <c r="BB23" s="24">
        <v>0</v>
      </c>
      <c r="BC23" s="24">
        <v>0</v>
      </c>
      <c r="BD23" s="24">
        <v>0</v>
      </c>
      <c r="BE23" s="24">
        <v>0</v>
      </c>
      <c r="BF23" s="24">
        <v>0</v>
      </c>
      <c r="BG23" s="24">
        <v>0</v>
      </c>
      <c r="BH23" s="24">
        <v>0</v>
      </c>
      <c r="BI23" s="24">
        <v>0</v>
      </c>
      <c r="BJ23" s="24">
        <v>0</v>
      </c>
      <c r="BK23" s="24">
        <v>0</v>
      </c>
      <c r="BL23" s="24">
        <v>0</v>
      </c>
      <c r="BM23" s="24">
        <v>0</v>
      </c>
      <c r="BN23" s="24">
        <v>0</v>
      </c>
      <c r="BO23" s="24">
        <v>0</v>
      </c>
      <c r="BP23" s="24">
        <v>0</v>
      </c>
      <c r="BQ23" s="24">
        <v>0</v>
      </c>
      <c r="BR23" s="24">
        <v>0</v>
      </c>
      <c r="BS23" s="24">
        <v>0</v>
      </c>
      <c r="BT23" s="24">
        <v>0</v>
      </c>
      <c r="BU23" s="24">
        <v>0</v>
      </c>
      <c r="BV23" s="24">
        <v>0</v>
      </c>
      <c r="BW23" s="24">
        <v>0</v>
      </c>
      <c r="BX23" s="24">
        <v>0</v>
      </c>
      <c r="BY23" s="24">
        <v>0</v>
      </c>
      <c r="BZ23" s="24">
        <v>0</v>
      </c>
      <c r="CA23" s="24">
        <v>0</v>
      </c>
      <c r="CB23" s="24">
        <v>0</v>
      </c>
      <c r="CC23" s="24">
        <v>0</v>
      </c>
      <c r="CD23" s="24">
        <v>55354</v>
      </c>
      <c r="CE23" s="24">
        <v>11675</v>
      </c>
      <c r="CF23" s="24">
        <v>0</v>
      </c>
      <c r="CG23" s="24">
        <v>0</v>
      </c>
      <c r="CH23" s="24">
        <v>0</v>
      </c>
      <c r="CI23" s="24">
        <v>0</v>
      </c>
      <c r="CJ23" s="24">
        <v>0</v>
      </c>
      <c r="CK23" s="24">
        <v>0</v>
      </c>
      <c r="CL23" s="24">
        <v>0</v>
      </c>
      <c r="CM23" s="24">
        <v>0</v>
      </c>
      <c r="CN23" s="24">
        <v>0</v>
      </c>
      <c r="CO23" s="24">
        <v>0</v>
      </c>
      <c r="CP23" s="24">
        <v>0</v>
      </c>
      <c r="CQ23" s="24">
        <v>0</v>
      </c>
      <c r="CR23" s="24">
        <v>0</v>
      </c>
      <c r="CS23" s="24">
        <v>0</v>
      </c>
      <c r="CT23" s="24">
        <v>0</v>
      </c>
      <c r="CU23" s="24">
        <v>0</v>
      </c>
      <c r="CV23" s="24">
        <v>0</v>
      </c>
      <c r="CW23" s="24">
        <v>0</v>
      </c>
      <c r="CX23" s="24">
        <v>0</v>
      </c>
      <c r="CY23" s="24">
        <v>0</v>
      </c>
      <c r="CZ23" s="24">
        <v>0</v>
      </c>
      <c r="DA23" s="24">
        <v>0</v>
      </c>
      <c r="DB23" s="24">
        <v>3450</v>
      </c>
      <c r="DC23" s="24">
        <v>0</v>
      </c>
      <c r="DD23" s="24">
        <v>0</v>
      </c>
      <c r="DE23" s="24">
        <v>0</v>
      </c>
      <c r="DF23" s="24">
        <v>0</v>
      </c>
      <c r="DG23" s="24">
        <v>0</v>
      </c>
      <c r="DH23" s="24">
        <v>0</v>
      </c>
      <c r="DI23" s="24">
        <v>0</v>
      </c>
      <c r="DJ23" s="24">
        <v>0</v>
      </c>
      <c r="DK23" s="24">
        <v>0</v>
      </c>
      <c r="DL23" s="24">
        <v>0</v>
      </c>
      <c r="DM23" s="24">
        <v>0</v>
      </c>
      <c r="DN23" s="24">
        <v>0</v>
      </c>
      <c r="DO23" s="24">
        <v>0</v>
      </c>
      <c r="DP23" s="24">
        <v>0</v>
      </c>
      <c r="DQ23" s="24">
        <v>0</v>
      </c>
      <c r="DR23" s="24">
        <v>0</v>
      </c>
      <c r="DS23" s="24">
        <v>0</v>
      </c>
      <c r="DT23" s="24">
        <v>0</v>
      </c>
      <c r="DU23" s="24">
        <v>0</v>
      </c>
      <c r="DV23" s="24">
        <v>0</v>
      </c>
      <c r="DW23" s="24">
        <v>0</v>
      </c>
      <c r="DX23" s="24">
        <v>0</v>
      </c>
      <c r="DY23" s="24">
        <v>0</v>
      </c>
      <c r="DZ23" s="24">
        <v>0</v>
      </c>
      <c r="EA23" s="24">
        <v>0</v>
      </c>
      <c r="EB23" s="24">
        <v>0</v>
      </c>
      <c r="EC23" s="24">
        <v>0</v>
      </c>
      <c r="ED23" s="24">
        <v>0</v>
      </c>
      <c r="EE23" s="24">
        <v>0</v>
      </c>
      <c r="EF23" s="24">
        <v>0</v>
      </c>
      <c r="EG23" s="24">
        <v>0</v>
      </c>
      <c r="EH23" s="24">
        <v>0</v>
      </c>
      <c r="EI23" s="24">
        <v>0</v>
      </c>
      <c r="EJ23" s="24">
        <v>0</v>
      </c>
      <c r="EK23" s="24">
        <v>0</v>
      </c>
      <c r="EL23" s="24">
        <v>0</v>
      </c>
      <c r="EM23" s="24">
        <v>0</v>
      </c>
      <c r="EN23" s="24">
        <v>0</v>
      </c>
      <c r="EO23" s="24">
        <v>0</v>
      </c>
      <c r="EP23" s="24">
        <v>0</v>
      </c>
      <c r="EQ23" s="24">
        <v>0</v>
      </c>
      <c r="ER23" s="24">
        <v>0</v>
      </c>
      <c r="ES23" s="24">
        <v>0</v>
      </c>
      <c r="ET23" s="24">
        <v>0</v>
      </c>
      <c r="EU23" s="24">
        <v>0</v>
      </c>
      <c r="EV23" s="24">
        <v>0</v>
      </c>
      <c r="EW23" s="24">
        <v>0</v>
      </c>
      <c r="EX23" s="24">
        <v>0</v>
      </c>
      <c r="EY23" s="24">
        <v>0</v>
      </c>
      <c r="EZ23" s="24">
        <v>0</v>
      </c>
      <c r="FA23" s="24">
        <v>0</v>
      </c>
      <c r="FB23" s="24">
        <v>0</v>
      </c>
      <c r="FC23" s="24">
        <v>0</v>
      </c>
      <c r="FD23" s="24">
        <v>0</v>
      </c>
      <c r="FE23" s="24">
        <v>0</v>
      </c>
      <c r="FF23" s="24">
        <v>0</v>
      </c>
      <c r="FG23" s="24">
        <v>0</v>
      </c>
      <c r="FH23" s="24">
        <v>0</v>
      </c>
      <c r="FI23" s="24">
        <v>0</v>
      </c>
      <c r="FJ23" s="24">
        <v>0</v>
      </c>
      <c r="FK23" s="24">
        <v>0</v>
      </c>
      <c r="FL23" s="24">
        <v>0</v>
      </c>
      <c r="FM23" s="24">
        <v>0</v>
      </c>
      <c r="FN23" s="24">
        <v>0</v>
      </c>
      <c r="FO23" s="24">
        <v>0</v>
      </c>
      <c r="FP23" s="24">
        <v>0</v>
      </c>
      <c r="FQ23" s="24">
        <v>0</v>
      </c>
      <c r="FR23" s="24">
        <v>0</v>
      </c>
      <c r="FS23" s="24">
        <v>12241</v>
      </c>
      <c r="FT23" s="24">
        <v>0</v>
      </c>
      <c r="FU23" s="24">
        <v>0</v>
      </c>
      <c r="FV23" s="24">
        <v>0</v>
      </c>
      <c r="FW23" s="24">
        <v>0</v>
      </c>
      <c r="FX23" s="24">
        <v>0</v>
      </c>
      <c r="FY23" s="24">
        <v>0</v>
      </c>
      <c r="FZ23" s="24">
        <v>0</v>
      </c>
      <c r="GA23" s="24">
        <v>0</v>
      </c>
      <c r="GB23" s="24">
        <v>0</v>
      </c>
      <c r="GC23" s="24">
        <v>0</v>
      </c>
      <c r="GD23" s="24">
        <v>0</v>
      </c>
      <c r="GE23" s="24">
        <v>0</v>
      </c>
      <c r="GF23" s="24">
        <v>0</v>
      </c>
      <c r="GG23" s="24">
        <v>0</v>
      </c>
      <c r="GH23" s="24">
        <v>0</v>
      </c>
      <c r="GI23" s="24">
        <v>0</v>
      </c>
      <c r="GJ23" s="24">
        <v>0</v>
      </c>
      <c r="GK23" s="24">
        <v>0</v>
      </c>
      <c r="GL23" s="24">
        <v>0</v>
      </c>
      <c r="GM23" s="24">
        <v>0</v>
      </c>
      <c r="GN23" s="24">
        <v>0</v>
      </c>
      <c r="GO23" s="24">
        <v>0</v>
      </c>
      <c r="GP23" s="24">
        <v>0</v>
      </c>
      <c r="GQ23" s="24">
        <v>0</v>
      </c>
      <c r="GR23" s="24">
        <v>0</v>
      </c>
      <c r="GS23" s="24">
        <v>0</v>
      </c>
      <c r="GT23" s="24">
        <v>0</v>
      </c>
      <c r="GU23" s="24">
        <v>0</v>
      </c>
      <c r="GV23" s="24">
        <v>0</v>
      </c>
      <c r="GW23" s="24">
        <v>0</v>
      </c>
      <c r="GX23" s="24">
        <v>0</v>
      </c>
      <c r="GY23" s="24">
        <v>0</v>
      </c>
      <c r="GZ23" s="24">
        <v>0</v>
      </c>
      <c r="HA23" s="24">
        <v>0</v>
      </c>
      <c r="HB23" s="24">
        <v>0</v>
      </c>
      <c r="HC23" s="24">
        <v>0</v>
      </c>
      <c r="HD23" s="24">
        <v>3395832</v>
      </c>
      <c r="HE23" s="24">
        <v>0</v>
      </c>
      <c r="HF23" s="24">
        <v>0</v>
      </c>
      <c r="HG23" s="24">
        <v>0</v>
      </c>
      <c r="HH23" s="24">
        <v>0</v>
      </c>
      <c r="HI23" s="24">
        <v>178335</v>
      </c>
      <c r="HJ23" s="24">
        <v>0</v>
      </c>
      <c r="HK23" s="24">
        <v>0</v>
      </c>
      <c r="HL23" s="24">
        <v>0</v>
      </c>
      <c r="HM23" s="24">
        <v>0</v>
      </c>
      <c r="HN23" s="24">
        <v>0</v>
      </c>
      <c r="HO23" s="24">
        <v>427338</v>
      </c>
      <c r="HP23" s="24">
        <v>102014</v>
      </c>
      <c r="HQ23" s="24">
        <v>0</v>
      </c>
      <c r="HR23" s="24">
        <v>0</v>
      </c>
      <c r="HS23" s="24">
        <v>0</v>
      </c>
      <c r="HT23" s="24">
        <v>0</v>
      </c>
      <c r="HU23" s="24">
        <v>0</v>
      </c>
      <c r="HV23" s="24">
        <v>0</v>
      </c>
      <c r="HW23" s="24">
        <v>0</v>
      </c>
      <c r="HX23" s="24">
        <v>0</v>
      </c>
      <c r="HY23" s="24">
        <v>0</v>
      </c>
      <c r="HZ23" s="24">
        <v>0</v>
      </c>
      <c r="IA23" s="24">
        <v>57724</v>
      </c>
      <c r="IB23" s="24">
        <v>11904</v>
      </c>
      <c r="IC23" s="24">
        <v>0</v>
      </c>
      <c r="ID23" s="24">
        <v>0</v>
      </c>
      <c r="IE23" s="24">
        <v>0</v>
      </c>
      <c r="IF23" s="24">
        <v>0</v>
      </c>
      <c r="IG23" s="24">
        <v>0</v>
      </c>
      <c r="IH23" s="24">
        <v>0</v>
      </c>
      <c r="II23" s="24">
        <v>0</v>
      </c>
      <c r="IJ23" s="24">
        <v>0</v>
      </c>
      <c r="IK23" s="24">
        <v>0</v>
      </c>
      <c r="IL23" s="24">
        <v>0</v>
      </c>
      <c r="IM23" s="24">
        <v>0</v>
      </c>
      <c r="IN23" s="24">
        <v>0</v>
      </c>
      <c r="IO23" s="24">
        <v>6625</v>
      </c>
      <c r="IP23" s="24">
        <v>0</v>
      </c>
      <c r="IQ23" s="24">
        <v>0</v>
      </c>
      <c r="IR23" s="24">
        <v>32291</v>
      </c>
      <c r="IS23" s="24">
        <v>0</v>
      </c>
      <c r="IT23" s="24">
        <v>0</v>
      </c>
      <c r="IU23" s="24">
        <v>0</v>
      </c>
      <c r="IV23" s="24">
        <v>0</v>
      </c>
      <c r="IW23" s="24">
        <v>89813</v>
      </c>
      <c r="IX23" s="24">
        <v>0</v>
      </c>
      <c r="IY23" s="24">
        <v>0</v>
      </c>
      <c r="IZ23" s="24">
        <v>0</v>
      </c>
      <c r="JA23" s="24">
        <v>0</v>
      </c>
      <c r="JB23" s="24">
        <v>17535</v>
      </c>
      <c r="JC23" s="24">
        <v>0</v>
      </c>
      <c r="JD23" s="24">
        <v>0</v>
      </c>
      <c r="JE23" s="24">
        <v>602</v>
      </c>
      <c r="JF23" s="24">
        <v>0</v>
      </c>
      <c r="JG23" s="24">
        <v>0</v>
      </c>
      <c r="JH23" s="24">
        <v>0</v>
      </c>
      <c r="JI23" s="24">
        <v>0</v>
      </c>
      <c r="JJ23" s="24">
        <v>0</v>
      </c>
      <c r="JK23" s="24">
        <v>0</v>
      </c>
      <c r="JL23" s="24">
        <v>0</v>
      </c>
      <c r="JM23" s="24">
        <v>0</v>
      </c>
      <c r="JN23" s="24">
        <v>0</v>
      </c>
      <c r="JO23" s="24">
        <v>0</v>
      </c>
      <c r="JP23" s="24">
        <v>0</v>
      </c>
      <c r="JQ23" s="24">
        <v>0</v>
      </c>
      <c r="JR23" s="24">
        <v>0</v>
      </c>
      <c r="JS23" s="24">
        <v>0</v>
      </c>
      <c r="JT23" s="24">
        <v>0</v>
      </c>
      <c r="JU23" s="24">
        <v>0</v>
      </c>
      <c r="JV23" s="24">
        <v>0</v>
      </c>
      <c r="JW23" s="24">
        <v>0</v>
      </c>
      <c r="JX23" s="24">
        <v>0</v>
      </c>
      <c r="JY23" s="24">
        <v>0</v>
      </c>
      <c r="JZ23" s="24">
        <v>0</v>
      </c>
      <c r="KA23" s="24">
        <v>0</v>
      </c>
      <c r="KB23" s="24">
        <v>0</v>
      </c>
      <c r="KC23" s="24">
        <v>0</v>
      </c>
      <c r="KD23" s="24">
        <v>0</v>
      </c>
      <c r="KE23" s="24">
        <v>0</v>
      </c>
      <c r="KF23" s="24">
        <v>0</v>
      </c>
      <c r="KG23" s="24">
        <v>0</v>
      </c>
      <c r="KH23" s="24">
        <v>0</v>
      </c>
      <c r="KI23" s="24">
        <v>0</v>
      </c>
      <c r="KJ23" s="24">
        <v>0</v>
      </c>
      <c r="KK23" s="24">
        <v>0</v>
      </c>
      <c r="KL23" s="24">
        <v>0</v>
      </c>
      <c r="KM23" s="24">
        <v>0</v>
      </c>
      <c r="KN23" s="24">
        <v>0</v>
      </c>
      <c r="KO23" s="24">
        <v>0</v>
      </c>
      <c r="KP23" s="24">
        <v>0</v>
      </c>
      <c r="KQ23" s="24">
        <v>0</v>
      </c>
      <c r="KR23" s="24">
        <v>0</v>
      </c>
      <c r="KS23" s="24">
        <v>0</v>
      </c>
      <c r="KT23" s="24">
        <v>0</v>
      </c>
      <c r="KU23" s="24">
        <v>0</v>
      </c>
      <c r="KV23" s="24">
        <v>0</v>
      </c>
      <c r="KW23" s="24">
        <v>0</v>
      </c>
      <c r="KX23" s="24">
        <v>0</v>
      </c>
      <c r="KY23" s="24">
        <v>0</v>
      </c>
      <c r="KZ23" s="24">
        <v>0</v>
      </c>
      <c r="LA23" s="24">
        <v>0</v>
      </c>
      <c r="LB23" s="24">
        <v>0</v>
      </c>
      <c r="LC23" s="24">
        <v>0</v>
      </c>
      <c r="LD23" s="24">
        <v>0</v>
      </c>
      <c r="LE23" s="24">
        <v>0</v>
      </c>
      <c r="LF23" s="24">
        <v>0</v>
      </c>
      <c r="LG23" s="24">
        <v>0</v>
      </c>
      <c r="LH23" s="24">
        <v>0</v>
      </c>
      <c r="LI23" s="24">
        <v>0</v>
      </c>
      <c r="LJ23" s="24">
        <v>0</v>
      </c>
      <c r="LK23" s="24">
        <v>0</v>
      </c>
      <c r="LL23" s="24">
        <v>0</v>
      </c>
      <c r="LM23" s="24">
        <v>0</v>
      </c>
      <c r="LN23" s="24">
        <v>0</v>
      </c>
      <c r="LO23" s="24">
        <v>0</v>
      </c>
      <c r="LP23" s="24">
        <v>0</v>
      </c>
      <c r="LQ23" s="24">
        <v>130481</v>
      </c>
      <c r="LR23" s="24">
        <v>0</v>
      </c>
      <c r="LS23" s="24">
        <v>0</v>
      </c>
      <c r="LT23" s="24">
        <v>0</v>
      </c>
      <c r="LU23" s="24">
        <v>0</v>
      </c>
      <c r="LV23" s="24">
        <v>0</v>
      </c>
      <c r="LW23" s="24">
        <v>0</v>
      </c>
      <c r="LX23" s="24">
        <v>0</v>
      </c>
      <c r="LY23" s="24">
        <v>0</v>
      </c>
      <c r="LZ23" s="24">
        <v>0</v>
      </c>
      <c r="MA23" s="24">
        <v>0</v>
      </c>
      <c r="MB23" s="24">
        <v>0</v>
      </c>
      <c r="MC23" s="24">
        <v>0</v>
      </c>
      <c r="MD23" s="24">
        <v>0</v>
      </c>
      <c r="ME23" s="24">
        <v>0</v>
      </c>
      <c r="MF23" s="24">
        <v>0</v>
      </c>
      <c r="MG23" s="24">
        <v>0</v>
      </c>
      <c r="MH23" s="24">
        <v>0</v>
      </c>
      <c r="MI23" s="24">
        <v>0</v>
      </c>
      <c r="MJ23" s="24">
        <v>0</v>
      </c>
      <c r="MK23" s="24">
        <v>0</v>
      </c>
      <c r="ML23" s="24">
        <v>0</v>
      </c>
      <c r="MM23" s="24">
        <v>0</v>
      </c>
      <c r="MN23" s="24">
        <v>0</v>
      </c>
      <c r="MO23" s="24">
        <v>7260</v>
      </c>
      <c r="MP23" s="24">
        <v>0</v>
      </c>
      <c r="MQ23" s="24">
        <v>0</v>
      </c>
      <c r="MR23" s="24">
        <v>205056</v>
      </c>
      <c r="MS23" s="24">
        <v>0</v>
      </c>
      <c r="MT23" s="24">
        <v>0</v>
      </c>
      <c r="MU23" s="24">
        <v>0</v>
      </c>
      <c r="MV23" s="24">
        <v>0</v>
      </c>
      <c r="MW23" s="24">
        <v>166742</v>
      </c>
      <c r="MX23" s="24">
        <v>545</v>
      </c>
      <c r="MY23" s="24">
        <v>0</v>
      </c>
      <c r="MZ23" s="24">
        <v>0</v>
      </c>
      <c r="NA23" s="24">
        <v>0</v>
      </c>
      <c r="NB23" s="24">
        <v>0</v>
      </c>
      <c r="NC23" s="24">
        <v>0</v>
      </c>
      <c r="ND23" s="24">
        <v>0</v>
      </c>
      <c r="NE23" s="24">
        <v>0</v>
      </c>
      <c r="NF23" s="24">
        <v>0</v>
      </c>
      <c r="NG23" s="24">
        <v>0</v>
      </c>
      <c r="NH23" s="24">
        <v>0</v>
      </c>
      <c r="NI23" s="24">
        <v>44197</v>
      </c>
      <c r="NJ23" s="24">
        <v>0</v>
      </c>
      <c r="NK23" s="24">
        <v>0</v>
      </c>
      <c r="NL23" s="24">
        <v>0</v>
      </c>
      <c r="NM23" s="24">
        <v>0</v>
      </c>
      <c r="NN23" s="24">
        <v>0</v>
      </c>
      <c r="NO23" s="24">
        <v>0</v>
      </c>
      <c r="NP23" s="24">
        <v>0</v>
      </c>
      <c r="NQ23" s="24">
        <v>0</v>
      </c>
      <c r="NR23" s="24">
        <v>0</v>
      </c>
      <c r="NS23" s="24">
        <v>0</v>
      </c>
      <c r="NT23" s="24">
        <v>0</v>
      </c>
      <c r="NU23" s="24">
        <v>0</v>
      </c>
      <c r="NV23" s="24">
        <v>32542</v>
      </c>
      <c r="NW23" s="24">
        <v>0</v>
      </c>
      <c r="NX23" s="24">
        <v>0</v>
      </c>
      <c r="NY23" s="24">
        <v>0</v>
      </c>
      <c r="NZ23" s="24">
        <v>0</v>
      </c>
      <c r="OA23" s="24">
        <v>0</v>
      </c>
      <c r="OB23" s="24">
        <v>0</v>
      </c>
      <c r="OC23" s="24">
        <v>0</v>
      </c>
      <c r="OD23" s="24">
        <v>0</v>
      </c>
      <c r="OE23" s="24">
        <v>0</v>
      </c>
      <c r="OF23" s="24">
        <v>0</v>
      </c>
      <c r="OG23" s="24">
        <v>0</v>
      </c>
      <c r="OH23" s="24">
        <v>0</v>
      </c>
      <c r="OI23" s="24">
        <v>0</v>
      </c>
      <c r="OJ23" s="24">
        <v>0</v>
      </c>
      <c r="OK23" s="24">
        <v>0</v>
      </c>
      <c r="OL23" s="24">
        <v>0</v>
      </c>
      <c r="OM23" s="24">
        <v>0</v>
      </c>
      <c r="ON23" s="24">
        <v>0</v>
      </c>
      <c r="OO23" s="24">
        <v>0</v>
      </c>
      <c r="OP23" s="24">
        <v>0</v>
      </c>
      <c r="OQ23" s="24">
        <v>0</v>
      </c>
      <c r="OR23" s="24">
        <v>0</v>
      </c>
      <c r="OS23" s="24">
        <v>0</v>
      </c>
      <c r="OT23" s="24">
        <v>0</v>
      </c>
      <c r="OU23" s="24">
        <v>0</v>
      </c>
      <c r="OV23" s="24">
        <v>0</v>
      </c>
      <c r="OW23" s="24">
        <v>0</v>
      </c>
      <c r="OX23" s="24">
        <v>0</v>
      </c>
      <c r="OY23" s="24">
        <v>0</v>
      </c>
      <c r="OZ23" s="24">
        <v>0</v>
      </c>
      <c r="PA23" s="24">
        <v>0</v>
      </c>
      <c r="PB23" s="24">
        <v>0</v>
      </c>
      <c r="PC23" s="24">
        <v>0</v>
      </c>
      <c r="PD23" s="24">
        <v>0</v>
      </c>
      <c r="PE23" s="24">
        <v>0</v>
      </c>
      <c r="PF23" s="24">
        <v>0</v>
      </c>
      <c r="PG23" s="24">
        <v>0</v>
      </c>
      <c r="PH23" s="24">
        <v>0</v>
      </c>
      <c r="PI23" s="24">
        <v>0</v>
      </c>
      <c r="PJ23" s="24">
        <v>0</v>
      </c>
      <c r="PK23" s="24">
        <v>0</v>
      </c>
      <c r="PL23" s="24">
        <v>0</v>
      </c>
      <c r="PM23" s="24">
        <v>0</v>
      </c>
      <c r="PN23" s="24">
        <v>0</v>
      </c>
      <c r="PO23" s="24">
        <v>0</v>
      </c>
      <c r="PP23" s="24">
        <v>0</v>
      </c>
      <c r="PQ23" s="24">
        <v>0</v>
      </c>
      <c r="PR23" s="24">
        <v>0</v>
      </c>
      <c r="PS23" s="24">
        <v>0</v>
      </c>
      <c r="PT23" s="24">
        <v>0</v>
      </c>
      <c r="PU23" s="24">
        <v>0</v>
      </c>
      <c r="PV23" s="24">
        <v>0</v>
      </c>
      <c r="PW23" s="24">
        <v>0</v>
      </c>
      <c r="PX23" s="24">
        <v>0</v>
      </c>
      <c r="PY23" s="24">
        <v>0</v>
      </c>
      <c r="PZ23" s="24">
        <v>0</v>
      </c>
      <c r="QA23" s="24">
        <v>0</v>
      </c>
      <c r="QB23" s="24">
        <v>0</v>
      </c>
      <c r="QC23" s="24">
        <v>0</v>
      </c>
      <c r="QD23" s="24">
        <v>0</v>
      </c>
      <c r="QE23" s="24">
        <v>0</v>
      </c>
      <c r="QF23" s="24">
        <v>0</v>
      </c>
      <c r="QG23" s="24">
        <v>0</v>
      </c>
      <c r="QH23" s="24">
        <v>0</v>
      </c>
      <c r="QI23" s="24">
        <v>0</v>
      </c>
      <c r="QJ23" s="24">
        <v>0</v>
      </c>
      <c r="QK23" s="24">
        <v>0</v>
      </c>
      <c r="QL23" s="24">
        <v>0</v>
      </c>
      <c r="QM23" s="24">
        <v>0</v>
      </c>
      <c r="QN23" s="24">
        <v>0</v>
      </c>
      <c r="QO23" s="24">
        <v>0</v>
      </c>
      <c r="QP23" s="24">
        <v>0</v>
      </c>
      <c r="QQ23" s="24">
        <v>0</v>
      </c>
      <c r="QR23" s="24">
        <v>0</v>
      </c>
      <c r="QS23" s="24">
        <v>52800</v>
      </c>
      <c r="QT23" s="24">
        <v>0</v>
      </c>
      <c r="QU23" s="24">
        <v>0</v>
      </c>
      <c r="QV23" s="24">
        <v>0</v>
      </c>
      <c r="QW23" s="24">
        <v>29316</v>
      </c>
      <c r="QX23" s="24">
        <v>0</v>
      </c>
      <c r="QY23" s="24">
        <v>185000</v>
      </c>
      <c r="QZ23" s="24">
        <v>0</v>
      </c>
      <c r="RA23" s="24">
        <v>0</v>
      </c>
      <c r="RB23" s="24">
        <v>0</v>
      </c>
      <c r="RG23" s="39">
        <f t="shared" si="48"/>
        <v>3395832</v>
      </c>
      <c r="RH23" s="39">
        <f t="shared" si="7"/>
        <v>178335</v>
      </c>
      <c r="RI23" s="39">
        <f t="shared" si="7"/>
        <v>0</v>
      </c>
      <c r="RJ23" s="39">
        <f t="shared" si="7"/>
        <v>0</v>
      </c>
      <c r="RK23" s="39">
        <f t="shared" si="7"/>
        <v>0</v>
      </c>
      <c r="RL23" s="39">
        <f t="shared" si="7"/>
        <v>427338</v>
      </c>
      <c r="RM23" s="39">
        <f t="shared" si="7"/>
        <v>171642</v>
      </c>
      <c r="RN23" s="39">
        <f t="shared" si="7"/>
        <v>6625</v>
      </c>
      <c r="RO23" s="39">
        <f t="shared" si="7"/>
        <v>32291</v>
      </c>
      <c r="RP23" s="39">
        <f t="shared" si="7"/>
        <v>89813</v>
      </c>
      <c r="RQ23" s="39">
        <f t="shared" si="7"/>
        <v>17535</v>
      </c>
      <c r="RR23" s="39">
        <f t="shared" si="7"/>
        <v>602</v>
      </c>
      <c r="RS23" s="39"/>
      <c r="RT23" s="182"/>
      <c r="RU23" s="39"/>
      <c r="RV23" s="39">
        <f t="shared" si="49"/>
        <v>586823</v>
      </c>
      <c r="RW23" s="39">
        <f t="shared" si="8"/>
        <v>4320013</v>
      </c>
      <c r="RX23" s="39">
        <f t="shared" si="8"/>
        <v>453234</v>
      </c>
      <c r="RY23" s="39">
        <f t="shared" si="8"/>
        <v>267116</v>
      </c>
      <c r="RZ23" s="39"/>
      <c r="SA23" s="182"/>
      <c r="SB23" s="39"/>
      <c r="SC23" s="25">
        <f t="shared" si="50"/>
        <v>670.46449704142015</v>
      </c>
      <c r="SD23" s="39">
        <f>IFERROR(VLOOKUP(A23, 'Levy Data 15-16'!$B:$O, 3, FALSE), 0)</f>
        <v>191275041</v>
      </c>
      <c r="SE23" s="39">
        <f t="shared" si="9"/>
        <v>282951.24408284022</v>
      </c>
      <c r="SF23" s="631">
        <f>IFERROR(VLOOKUP(A23, 'Levy Data 15-16'!$B:$O, 14, FALSE), 0)*1000</f>
        <v>1.7770620000000001</v>
      </c>
      <c r="SG23" s="39">
        <f t="shared" si="10"/>
        <v>0</v>
      </c>
      <c r="SH23" s="39">
        <f t="shared" si="11"/>
        <v>0</v>
      </c>
      <c r="SI23" s="39">
        <f t="shared" si="12"/>
        <v>453234</v>
      </c>
      <c r="SM23" s="39">
        <f t="shared" si="13"/>
        <v>4320013</v>
      </c>
      <c r="SN23" s="39">
        <f t="shared" si="14"/>
        <v>0</v>
      </c>
      <c r="SO23" s="39">
        <f t="shared" si="51"/>
        <v>4320013</v>
      </c>
      <c r="SP23" s="50">
        <f t="shared" si="52"/>
        <v>1</v>
      </c>
      <c r="ST23" s="124">
        <f>IFERROR(VLOOKUP(A23,'Grade Enroll 15-16'!B:AC,27,FALSE),"")</f>
        <v>676</v>
      </c>
      <c r="SU23" s="124">
        <f t="shared" si="53"/>
        <v>374.95466666666664</v>
      </c>
      <c r="SV23" s="131">
        <f>IFERROR(VLOOKUP($A23, 'Title I Enroll 16-17'!S:V, 4, FALSE), 0)</f>
        <v>0.55466666666666664</v>
      </c>
      <c r="SW23" s="729">
        <f>IFERROR(VLOOKUP(A23, 'ELL Enroll 15-16'!$N:$S, 6, FALSE), 0)</f>
        <v>29</v>
      </c>
      <c r="SX23" s="131">
        <f t="shared" si="54"/>
        <v>4.2899408284023666E-2</v>
      </c>
      <c r="SY23" s="124">
        <f>IFERROR(VLOOKUP(A23, 'SPED enroll 2015-16'!$M:$O, 3, FALSE), 0)</f>
        <v>65</v>
      </c>
      <c r="SZ23" s="131">
        <f t="shared" si="55"/>
        <v>9.6153846153846159E-2</v>
      </c>
      <c r="TA23" s="142">
        <f t="shared" si="56"/>
        <v>45.5</v>
      </c>
      <c r="TB23" s="142">
        <f t="shared" si="56"/>
        <v>13</v>
      </c>
      <c r="TC23" s="142">
        <f t="shared" si="56"/>
        <v>4.5500000000000007</v>
      </c>
      <c r="TD23" s="142">
        <f t="shared" si="56"/>
        <v>1.95</v>
      </c>
      <c r="TE23" s="124">
        <f>VLOOKUP($A23, 'Grade Enroll 15-16'!$B:$AB, 20, FALSE)</f>
        <v>0</v>
      </c>
      <c r="TF23" s="124">
        <f>VLOOKUP($A23, 'Grade Enroll 15-16'!$B:$AB, 21, FALSE)</f>
        <v>64</v>
      </c>
      <c r="TG23" s="124">
        <f>VLOOKUP($A23, 'Grade Enroll 15-16'!$B:$AB, 22, FALSE)</f>
        <v>165</v>
      </c>
      <c r="TH23" s="124">
        <f>VLOOKUP($A23, 'Grade Enroll 15-16'!$B:$AB, 23, FALSE)</f>
        <v>173</v>
      </c>
      <c r="TI23" s="124">
        <f>VLOOKUP($A23, 'Grade Enroll 15-16'!$B:$AB, 24, FALSE)</f>
        <v>117</v>
      </c>
      <c r="TJ23" s="124">
        <f>VLOOKUP($A23, 'Grade Enroll 15-16'!$B:$AB, 25, FALSE)</f>
        <v>221</v>
      </c>
      <c r="TK23" s="124">
        <f>VLOOKUP($A23, 'Grade Enroll 15-16'!$B:$AB, 26, FALSE)</f>
        <v>462</v>
      </c>
      <c r="TL23" s="131">
        <f>SUMIFS('Student Achievement 15-16'!N:N, 'Student Achievement 15-16'!B:B, 'Idaho Data'!A23, 'Student Achievement 15-16'!D:D, "math")/100</f>
        <v>0.373</v>
      </c>
      <c r="TM23" s="134">
        <f t="shared" si="57"/>
        <v>252.148</v>
      </c>
      <c r="TN23" s="131">
        <f>SUMIFS('Student Achievement 15-16'!N:N, 'Student Achievement 15-16'!B:B, 'Idaho Data'!A23, 'Student Achievement 15-16'!D:D, "ela")/100</f>
        <v>0.43</v>
      </c>
      <c r="TO23" s="134">
        <f t="shared" si="58"/>
        <v>290.68</v>
      </c>
      <c r="TP23" s="688">
        <f>IFERROR(VLOOKUP(A23, 'G&amp;T 15-16'!B:G, 6, FALSE), 0)*1</f>
        <v>0</v>
      </c>
      <c r="TQ23" s="168">
        <f t="shared" si="59"/>
        <v>40.559999999999995</v>
      </c>
      <c r="TU23" s="168">
        <f t="shared" si="60"/>
        <v>252.148</v>
      </c>
      <c r="TV23" s="168">
        <f t="shared" si="61"/>
        <v>290.68</v>
      </c>
      <c r="TW23" s="205">
        <f t="shared" si="62"/>
        <v>290.68</v>
      </c>
      <c r="TX23" s="144"/>
      <c r="TY23" s="129"/>
      <c r="TZ23" s="127">
        <f t="shared" si="63"/>
        <v>0</v>
      </c>
      <c r="UA23" s="127">
        <f t="shared" si="64"/>
        <v>40.559999999999995</v>
      </c>
      <c r="UB23" s="205">
        <f t="shared" si="65"/>
        <v>40.559999999999995</v>
      </c>
      <c r="UE23" s="853" t="str">
        <f>IF(ST23&lt;='1. Simulator Input'!$E$104, "yes", "")</f>
        <v/>
      </c>
      <c r="UI23" s="199">
        <f t="shared" si="66"/>
        <v>0</v>
      </c>
      <c r="UJ23" s="200">
        <f>IF('Idaho Data'!SI23&gt;=0, ((1-'1. Simulator Input'!$E$39)*'Idaho Data'!SI23), 0)</f>
        <v>0</v>
      </c>
      <c r="UK23" s="200">
        <f t="shared" si="67"/>
        <v>4320013</v>
      </c>
      <c r="UL23" s="39"/>
      <c r="UM23" s="182"/>
      <c r="UN23" s="39"/>
      <c r="UO23" s="39" t="str">
        <f>IF(AND('1. Simulator Input'!$E$96="yes", '1. Simulator Input'!$E$98="yes", '1. Simulator Input'!$E$100="hold harmless"), 'Idaho Data'!WN23, IF(AND('1. Simulator Input'!$E$96="yes", '1. Simulator Input'!$E$98="no", '1. Simulator Input'!$E$100="hold harmless"), 'Idaho Data'!WM23, IF(AND('1. Simulator Input'!$E$96="yes", '1. Simulator Input'!$E$98="yes", '1. Simulator Input'!$E$100="small district grant"), WL23,IF(AND('1. Simulator Input'!$E$96="yes", '1. Simulator Input'!$E$98="no", '1. Simulator Input'!$E$100="small district grant"), WK23, ""))))</f>
        <v/>
      </c>
      <c r="UP23" s="200">
        <f>'1. Simulator Input'!$D$56*('Idaho Data'!ST23)</f>
        <v>3735576</v>
      </c>
      <c r="UQ23" s="204">
        <f>'1. Simulator Input'!$D$65*'1. Simulator Input'!$D$56*'Idaho Data'!SU23</f>
        <v>0</v>
      </c>
      <c r="UR23" s="204">
        <f>'1. Simulator Input'!$D$66*'1. Simulator Input'!$D$56*'Idaho Data'!SW23</f>
        <v>0</v>
      </c>
      <c r="US23" s="200">
        <f>'1. Simulator Input'!$D$67*'1. Simulator Input'!$D$56*'Idaho Data'!TA23</f>
        <v>0</v>
      </c>
      <c r="UT23" s="200">
        <f>'1. Simulator Input'!$D$68*'1. Simulator Input'!$D$56*'Idaho Data'!TB23</f>
        <v>0</v>
      </c>
      <c r="UU23" s="200">
        <f>'1. Simulator Input'!$D$69*'1. Simulator Input'!$D$56*'Idaho Data'!TC23</f>
        <v>0</v>
      </c>
      <c r="UV23" s="200">
        <f>'1. Simulator Input'!$D$70*'1. Simulator Input'!$D$56*TD23</f>
        <v>0</v>
      </c>
      <c r="UW23" s="200">
        <f>'1. Simulator Input'!$D$80*'1. Simulator Input'!$D$56*TW23</f>
        <v>0</v>
      </c>
      <c r="UX23" s="200">
        <f>'1. Simulator Input'!$D$79*'1. Simulator Input'!$D$56*UB23</f>
        <v>0</v>
      </c>
      <c r="UY23" s="200">
        <f>'1. Simulator Input'!$D$87*'1. Simulator Input'!$D$56*TF23</f>
        <v>176832</v>
      </c>
      <c r="UZ23" s="200">
        <f>'1. Simulator Input'!$D$73*'1. Simulator Input'!$D$56*'Idaho Data'!TG23</f>
        <v>0</v>
      </c>
      <c r="VA23" s="200">
        <f>'1. Simulator Input'!$D$56*'1. Simulator Input'!$D$74*'Idaho Data'!TH23</f>
        <v>0</v>
      </c>
      <c r="VB23" s="200">
        <f>'1. Simulator Input'!$D$56*'1. Simulator Input'!$D$75*'Idaho Data'!TI18</f>
        <v>0</v>
      </c>
      <c r="VC23" s="200">
        <f>'1. Simulator Input'!$D$76*'1. Simulator Input'!$D$56*'Idaho Data'!TJ23</f>
        <v>0</v>
      </c>
      <c r="VD23" s="200">
        <f t="shared" si="68"/>
        <v>3912408</v>
      </c>
      <c r="VE23" s="200"/>
      <c r="VF23" s="182"/>
      <c r="VG23" s="200"/>
      <c r="VH23" s="200">
        <f t="shared" si="69"/>
        <v>0</v>
      </c>
      <c r="VI23" s="200">
        <f t="shared" si="70"/>
        <v>0</v>
      </c>
      <c r="VJ23" s="200">
        <f t="shared" si="16"/>
        <v>3912408</v>
      </c>
      <c r="VK23" s="200">
        <f t="shared" si="17"/>
        <v>3912408</v>
      </c>
      <c r="VL23" s="200"/>
      <c r="VM23" s="182"/>
      <c r="VN23" s="200"/>
      <c r="VO23" s="200">
        <f t="shared" si="71"/>
        <v>586823</v>
      </c>
      <c r="VP23" s="200">
        <f t="shared" si="72"/>
        <v>4320013</v>
      </c>
      <c r="VQ23" s="200">
        <f t="shared" si="73"/>
        <v>453234</v>
      </c>
      <c r="VR23" s="200">
        <f t="shared" si="74"/>
        <v>586823</v>
      </c>
      <c r="VS23" s="200">
        <f t="shared" si="18"/>
        <v>3912408</v>
      </c>
      <c r="VT23" s="200">
        <f t="shared" si="19"/>
        <v>453234</v>
      </c>
      <c r="VU23" s="200">
        <f t="shared" si="20"/>
        <v>0</v>
      </c>
      <c r="VV23" s="200"/>
      <c r="VW23" s="182"/>
      <c r="VX23" s="200"/>
      <c r="VZ23" s="199">
        <f t="shared" si="75"/>
        <v>-407605</v>
      </c>
      <c r="WA23" s="199">
        <f t="shared" si="76"/>
        <v>-602.96597633136093</v>
      </c>
      <c r="WB23" s="131">
        <f t="shared" si="77"/>
        <v>-9.4352725327446929E-2</v>
      </c>
      <c r="WC23" s="131"/>
      <c r="WD23" s="461"/>
      <c r="WE23" s="893"/>
      <c r="WF23" s="893">
        <f t="shared" si="78"/>
        <v>7929.0976331360944</v>
      </c>
      <c r="WG23" s="893">
        <f t="shared" si="79"/>
        <v>7326.1316568047341</v>
      </c>
      <c r="WH23" s="893"/>
      <c r="WI23" s="893">
        <f t="shared" si="80"/>
        <v>4320013</v>
      </c>
      <c r="WJ23" s="893">
        <f t="shared" si="21"/>
        <v>3912408</v>
      </c>
      <c r="WK23" s="39" t="str">
        <f t="shared" si="22"/>
        <v/>
      </c>
      <c r="WL23" s="39" t="str">
        <f t="shared" si="23"/>
        <v/>
      </c>
      <c r="WM23" s="200" t="str">
        <f t="shared" si="24"/>
        <v/>
      </c>
      <c r="WN23" s="39" t="str">
        <f t="shared" si="25"/>
        <v/>
      </c>
      <c r="WO23" s="39"/>
      <c r="WP23" s="182"/>
      <c r="WQ23" s="39"/>
      <c r="WR23" s="305">
        <f t="shared" si="26"/>
        <v>0.20100000000000001</v>
      </c>
      <c r="WT23" s="200">
        <f t="shared" si="27"/>
        <v>6390.5517751479292</v>
      </c>
      <c r="WU23" s="131">
        <f t="shared" si="81"/>
        <v>0.49</v>
      </c>
      <c r="WW23" s="199">
        <f t="shared" si="28"/>
        <v>586823</v>
      </c>
      <c r="WX23" s="199">
        <f t="shared" si="29"/>
        <v>3912408</v>
      </c>
      <c r="WY23" s="199">
        <f t="shared" si="30"/>
        <v>0</v>
      </c>
      <c r="WZ23" s="199">
        <f t="shared" si="82"/>
        <v>3912408</v>
      </c>
      <c r="XA23" s="199">
        <f t="shared" si="31"/>
        <v>0</v>
      </c>
      <c r="XB23" s="199">
        <f t="shared" si="32"/>
        <v>453234</v>
      </c>
      <c r="XC23" s="199">
        <f t="shared" si="33"/>
        <v>453234</v>
      </c>
      <c r="XD23" s="199" t="str">
        <f t="shared" si="34"/>
        <v/>
      </c>
      <c r="XE23" s="199"/>
      <c r="XF23" s="199"/>
      <c r="XG23" s="199"/>
      <c r="XH23" s="199"/>
      <c r="XI23" s="199"/>
      <c r="XJ23" s="199">
        <f t="shared" si="83"/>
        <v>3912408</v>
      </c>
      <c r="XP23" s="199">
        <f t="shared" si="35"/>
        <v>3912408</v>
      </c>
      <c r="XQ23" s="199">
        <f t="shared" si="36"/>
        <v>5787.5857988165681</v>
      </c>
      <c r="XR23" s="199">
        <f t="shared" si="37"/>
        <v>3912408</v>
      </c>
      <c r="XS23" s="199">
        <f t="shared" si="38"/>
        <v>3912408</v>
      </c>
      <c r="XT23" s="199">
        <f t="shared" si="39"/>
        <v>5787.5857988165681</v>
      </c>
      <c r="XU23" s="199">
        <f t="shared" si="40"/>
        <v>4320013</v>
      </c>
      <c r="XV23" s="199">
        <f t="shared" si="41"/>
        <v>6390.5517751479292</v>
      </c>
      <c r="XW23" s="199">
        <f t="shared" si="42"/>
        <v>4320013</v>
      </c>
      <c r="XX23" s="199">
        <f t="shared" si="43"/>
        <v>6390.5517751479292</v>
      </c>
      <c r="XY23" s="199">
        <f t="shared" si="84"/>
        <v>-407605</v>
      </c>
      <c r="XZ23" s="199">
        <f t="shared" si="85"/>
        <v>-602.96597633136116</v>
      </c>
      <c r="YA23" s="131">
        <f t="shared" si="86"/>
        <v>-9.4352725327446957E-2</v>
      </c>
      <c r="YB23" s="199"/>
      <c r="YC23" s="221"/>
      <c r="YD23" s="199"/>
      <c r="YE23" s="199">
        <f t="shared" si="44"/>
        <v>586823</v>
      </c>
      <c r="YF23" s="200">
        <f t="shared" si="45"/>
        <v>0</v>
      </c>
      <c r="YG23" s="199">
        <f t="shared" si="46"/>
        <v>453234</v>
      </c>
      <c r="YH23" s="199">
        <f t="shared" si="47"/>
        <v>267116</v>
      </c>
    </row>
    <row r="24" spans="1:658">
      <c r="A24" s="3">
        <v>60</v>
      </c>
      <c r="B24" s="2" t="s">
        <v>115</v>
      </c>
      <c r="C24" s="24">
        <v>0</v>
      </c>
      <c r="D24" s="24">
        <v>0</v>
      </c>
      <c r="E24" s="24">
        <v>0</v>
      </c>
      <c r="F24" s="24">
        <v>0</v>
      </c>
      <c r="G24" s="24">
        <v>578867</v>
      </c>
      <c r="H24" s="24">
        <v>0</v>
      </c>
      <c r="I24" s="24">
        <v>628</v>
      </c>
      <c r="J24" s="24">
        <v>18646</v>
      </c>
      <c r="K24" s="24">
        <v>0</v>
      </c>
      <c r="L24" s="24">
        <v>0</v>
      </c>
      <c r="M24" s="24">
        <v>0</v>
      </c>
      <c r="N24" s="24">
        <v>0</v>
      </c>
      <c r="O24" s="24">
        <v>0</v>
      </c>
      <c r="P24" s="24">
        <v>0</v>
      </c>
      <c r="Q24" s="24">
        <v>0</v>
      </c>
      <c r="R24" s="24">
        <v>0</v>
      </c>
      <c r="S24" s="24">
        <v>0</v>
      </c>
      <c r="T24" s="24">
        <v>393526</v>
      </c>
      <c r="U24" s="24">
        <v>0</v>
      </c>
      <c r="V24" s="24">
        <v>0</v>
      </c>
      <c r="W24" s="24">
        <v>0</v>
      </c>
      <c r="X24" s="24">
        <v>756963</v>
      </c>
      <c r="Y24" s="24">
        <v>3164</v>
      </c>
      <c r="Z24" s="24">
        <v>0</v>
      </c>
      <c r="AA24" s="24">
        <v>3714</v>
      </c>
      <c r="AB24" s="24">
        <v>2230</v>
      </c>
      <c r="AC24" s="24">
        <v>0</v>
      </c>
      <c r="AD24" s="24">
        <v>0</v>
      </c>
      <c r="AE24" s="24">
        <v>0</v>
      </c>
      <c r="AF24" s="24">
        <v>0</v>
      </c>
      <c r="AG24" s="24">
        <v>0</v>
      </c>
      <c r="AH24" s="24">
        <v>0</v>
      </c>
      <c r="AI24" s="24">
        <v>0</v>
      </c>
      <c r="AJ24" s="24">
        <v>0</v>
      </c>
      <c r="AK24" s="24">
        <v>0</v>
      </c>
      <c r="AL24" s="24">
        <v>14044</v>
      </c>
      <c r="AM24" s="24">
        <v>0</v>
      </c>
      <c r="AN24" s="24">
        <v>0</v>
      </c>
      <c r="AO24" s="24">
        <v>0</v>
      </c>
      <c r="AP24" s="24">
        <v>0</v>
      </c>
      <c r="AQ24" s="24">
        <v>0</v>
      </c>
      <c r="AR24" s="24">
        <v>0</v>
      </c>
      <c r="AS24" s="24">
        <v>0</v>
      </c>
      <c r="AT24" s="24">
        <v>0</v>
      </c>
      <c r="AU24" s="24">
        <v>0</v>
      </c>
      <c r="AV24" s="24">
        <v>0</v>
      </c>
      <c r="AW24" s="24">
        <v>0</v>
      </c>
      <c r="AX24" s="24">
        <v>0</v>
      </c>
      <c r="AY24" s="24">
        <v>0</v>
      </c>
      <c r="AZ24" s="24">
        <v>0</v>
      </c>
      <c r="BA24" s="24">
        <v>0</v>
      </c>
      <c r="BB24" s="24">
        <v>0</v>
      </c>
      <c r="BC24" s="24">
        <v>53</v>
      </c>
      <c r="BD24" s="24">
        <v>0</v>
      </c>
      <c r="BE24" s="24">
        <v>0</v>
      </c>
      <c r="BF24" s="24">
        <v>0</v>
      </c>
      <c r="BG24" s="24">
        <v>0</v>
      </c>
      <c r="BH24" s="24">
        <v>0</v>
      </c>
      <c r="BI24" s="24">
        <v>0</v>
      </c>
      <c r="BJ24" s="24">
        <v>0</v>
      </c>
      <c r="BK24" s="24">
        <v>0</v>
      </c>
      <c r="BL24" s="24">
        <v>0</v>
      </c>
      <c r="BM24" s="24">
        <v>0</v>
      </c>
      <c r="BN24" s="24">
        <v>0</v>
      </c>
      <c r="BO24" s="24">
        <v>0</v>
      </c>
      <c r="BP24" s="24">
        <v>0</v>
      </c>
      <c r="BQ24" s="24">
        <v>0</v>
      </c>
      <c r="BR24" s="24">
        <v>0</v>
      </c>
      <c r="BS24" s="24">
        <v>0</v>
      </c>
      <c r="BT24" s="24">
        <v>0</v>
      </c>
      <c r="BU24" s="24">
        <v>0</v>
      </c>
      <c r="BV24" s="24">
        <v>0</v>
      </c>
      <c r="BW24" s="24">
        <v>0</v>
      </c>
      <c r="BX24" s="24">
        <v>0</v>
      </c>
      <c r="BY24" s="24">
        <v>0</v>
      </c>
      <c r="BZ24" s="24">
        <v>0</v>
      </c>
      <c r="CA24" s="24">
        <v>0</v>
      </c>
      <c r="CB24" s="24">
        <v>0</v>
      </c>
      <c r="CC24" s="24">
        <v>0</v>
      </c>
      <c r="CD24" s="24">
        <v>182234</v>
      </c>
      <c r="CE24" s="24">
        <v>9345</v>
      </c>
      <c r="CF24" s="24">
        <v>0</v>
      </c>
      <c r="CG24" s="24">
        <v>3842</v>
      </c>
      <c r="CH24" s="24">
        <v>0</v>
      </c>
      <c r="CI24" s="24">
        <v>0</v>
      </c>
      <c r="CJ24" s="24">
        <v>0</v>
      </c>
      <c r="CK24" s="24">
        <v>0</v>
      </c>
      <c r="CL24" s="24">
        <v>0</v>
      </c>
      <c r="CM24" s="24">
        <v>0</v>
      </c>
      <c r="CN24" s="24">
        <v>0</v>
      </c>
      <c r="CO24" s="24">
        <v>0</v>
      </c>
      <c r="CP24" s="24">
        <v>0</v>
      </c>
      <c r="CQ24" s="24">
        <v>0</v>
      </c>
      <c r="CR24" s="24">
        <v>0</v>
      </c>
      <c r="CS24" s="24">
        <v>0</v>
      </c>
      <c r="CT24" s="24">
        <v>0</v>
      </c>
      <c r="CU24" s="24">
        <v>0</v>
      </c>
      <c r="CV24" s="24">
        <v>0</v>
      </c>
      <c r="CW24" s="24">
        <v>0</v>
      </c>
      <c r="CX24" s="24">
        <v>0</v>
      </c>
      <c r="CY24" s="24">
        <v>0</v>
      </c>
      <c r="CZ24" s="24">
        <v>0</v>
      </c>
      <c r="DA24" s="24">
        <v>0</v>
      </c>
      <c r="DB24" s="24">
        <v>0</v>
      </c>
      <c r="DC24" s="24">
        <v>0</v>
      </c>
      <c r="DD24" s="24">
        <v>0</v>
      </c>
      <c r="DE24" s="24">
        <v>0</v>
      </c>
      <c r="DF24" s="24">
        <v>0</v>
      </c>
      <c r="DG24" s="24">
        <v>0</v>
      </c>
      <c r="DH24" s="24">
        <v>0</v>
      </c>
      <c r="DI24" s="24">
        <v>0</v>
      </c>
      <c r="DJ24" s="24">
        <v>0</v>
      </c>
      <c r="DK24" s="24">
        <v>0</v>
      </c>
      <c r="DL24" s="24">
        <v>0</v>
      </c>
      <c r="DM24" s="24">
        <v>0</v>
      </c>
      <c r="DN24" s="24">
        <v>0</v>
      </c>
      <c r="DO24" s="24">
        <v>0</v>
      </c>
      <c r="DP24" s="24">
        <v>0</v>
      </c>
      <c r="DQ24" s="24">
        <v>0</v>
      </c>
      <c r="DR24" s="24">
        <v>0</v>
      </c>
      <c r="DS24" s="24">
        <v>0</v>
      </c>
      <c r="DT24" s="24">
        <v>0</v>
      </c>
      <c r="DU24" s="24">
        <v>0</v>
      </c>
      <c r="DV24" s="24">
        <v>0</v>
      </c>
      <c r="DW24" s="24">
        <v>0</v>
      </c>
      <c r="DX24" s="24">
        <v>0</v>
      </c>
      <c r="DY24" s="24">
        <v>0</v>
      </c>
      <c r="DZ24" s="24">
        <v>0</v>
      </c>
      <c r="EA24" s="24">
        <v>0</v>
      </c>
      <c r="EB24" s="24">
        <v>0</v>
      </c>
      <c r="EC24" s="24">
        <v>0</v>
      </c>
      <c r="ED24" s="24">
        <v>0</v>
      </c>
      <c r="EE24" s="24">
        <v>0</v>
      </c>
      <c r="EF24" s="24">
        <v>0</v>
      </c>
      <c r="EG24" s="24">
        <v>41194</v>
      </c>
      <c r="EH24" s="24">
        <v>0</v>
      </c>
      <c r="EI24" s="24">
        <v>0</v>
      </c>
      <c r="EJ24" s="24">
        <v>0</v>
      </c>
      <c r="EK24" s="24">
        <v>0</v>
      </c>
      <c r="EL24" s="24">
        <v>0</v>
      </c>
      <c r="EM24" s="24">
        <v>0</v>
      </c>
      <c r="EN24" s="24">
        <v>0</v>
      </c>
      <c r="EO24" s="24">
        <v>0</v>
      </c>
      <c r="EP24" s="24">
        <v>0</v>
      </c>
      <c r="EQ24" s="24">
        <v>0</v>
      </c>
      <c r="ER24" s="24">
        <v>0</v>
      </c>
      <c r="ES24" s="24">
        <v>0</v>
      </c>
      <c r="ET24" s="24">
        <v>0</v>
      </c>
      <c r="EU24" s="24">
        <v>0</v>
      </c>
      <c r="EV24" s="24">
        <v>0</v>
      </c>
      <c r="EW24" s="24">
        <v>0</v>
      </c>
      <c r="EX24" s="24">
        <v>0</v>
      </c>
      <c r="EY24" s="24">
        <v>0</v>
      </c>
      <c r="EZ24" s="24">
        <v>0</v>
      </c>
      <c r="FA24" s="24">
        <v>0</v>
      </c>
      <c r="FB24" s="24">
        <v>0</v>
      </c>
      <c r="FC24" s="24">
        <v>0</v>
      </c>
      <c r="FD24" s="24">
        <v>0</v>
      </c>
      <c r="FE24" s="24">
        <v>0</v>
      </c>
      <c r="FF24" s="24">
        <v>0</v>
      </c>
      <c r="FG24" s="24">
        <v>0</v>
      </c>
      <c r="FH24" s="24">
        <v>0</v>
      </c>
      <c r="FI24" s="24">
        <v>0</v>
      </c>
      <c r="FJ24" s="24">
        <v>0</v>
      </c>
      <c r="FK24" s="24">
        <v>0</v>
      </c>
      <c r="FL24" s="24">
        <v>0</v>
      </c>
      <c r="FM24" s="24">
        <v>0</v>
      </c>
      <c r="FN24" s="24">
        <v>0</v>
      </c>
      <c r="FO24" s="24">
        <v>0</v>
      </c>
      <c r="FP24" s="24">
        <v>0</v>
      </c>
      <c r="FQ24" s="24">
        <v>0</v>
      </c>
      <c r="FR24" s="24">
        <v>0</v>
      </c>
      <c r="FS24" s="24">
        <v>97654</v>
      </c>
      <c r="FT24" s="24">
        <v>0</v>
      </c>
      <c r="FU24" s="24">
        <v>0</v>
      </c>
      <c r="FV24" s="24">
        <v>0</v>
      </c>
      <c r="FW24" s="24">
        <v>0</v>
      </c>
      <c r="FX24" s="24">
        <v>0</v>
      </c>
      <c r="FY24" s="24">
        <v>0</v>
      </c>
      <c r="FZ24" s="24">
        <v>0</v>
      </c>
      <c r="GA24" s="24">
        <v>0</v>
      </c>
      <c r="GB24" s="24">
        <v>0</v>
      </c>
      <c r="GC24" s="24">
        <v>0</v>
      </c>
      <c r="GD24" s="24">
        <v>0</v>
      </c>
      <c r="GE24" s="24">
        <v>13050</v>
      </c>
      <c r="GF24" s="24">
        <v>0</v>
      </c>
      <c r="GG24" s="24">
        <v>0</v>
      </c>
      <c r="GH24" s="24">
        <v>0</v>
      </c>
      <c r="GI24" s="24">
        <v>0</v>
      </c>
      <c r="GJ24" s="24">
        <v>0</v>
      </c>
      <c r="GK24" s="24">
        <v>0</v>
      </c>
      <c r="GL24" s="24">
        <v>0</v>
      </c>
      <c r="GM24" s="24">
        <v>0</v>
      </c>
      <c r="GN24" s="24">
        <v>0</v>
      </c>
      <c r="GO24" s="24">
        <v>0</v>
      </c>
      <c r="GP24" s="24">
        <v>0</v>
      </c>
      <c r="GQ24" s="24">
        <v>0</v>
      </c>
      <c r="GR24" s="24">
        <v>0</v>
      </c>
      <c r="GS24" s="24">
        <v>0</v>
      </c>
      <c r="GT24" s="24">
        <v>0</v>
      </c>
      <c r="GU24" s="24">
        <v>3296</v>
      </c>
      <c r="GV24" s="24">
        <v>1500</v>
      </c>
      <c r="GW24" s="24">
        <v>0</v>
      </c>
      <c r="GX24" s="24">
        <v>0</v>
      </c>
      <c r="GY24" s="24">
        <v>0</v>
      </c>
      <c r="GZ24" s="24">
        <v>0</v>
      </c>
      <c r="HA24" s="24">
        <v>0</v>
      </c>
      <c r="HB24" s="24">
        <v>0</v>
      </c>
      <c r="HC24" s="24">
        <v>0</v>
      </c>
      <c r="HD24" s="24">
        <v>8341706</v>
      </c>
      <c r="HE24" s="24">
        <v>0</v>
      </c>
      <c r="HF24" s="24">
        <v>0</v>
      </c>
      <c r="HG24" s="24">
        <v>0</v>
      </c>
      <c r="HH24" s="24">
        <v>0</v>
      </c>
      <c r="HI24" s="24">
        <v>380755</v>
      </c>
      <c r="HJ24" s="24">
        <v>0</v>
      </c>
      <c r="HK24" s="24">
        <v>0</v>
      </c>
      <c r="HL24" s="24">
        <v>0</v>
      </c>
      <c r="HM24" s="24">
        <v>0</v>
      </c>
      <c r="HN24" s="24">
        <v>0</v>
      </c>
      <c r="HO24" s="24">
        <v>1104607</v>
      </c>
      <c r="HP24" s="24">
        <v>410875</v>
      </c>
      <c r="HQ24" s="24">
        <v>0</v>
      </c>
      <c r="HR24" s="24">
        <v>0</v>
      </c>
      <c r="HS24" s="24">
        <v>0</v>
      </c>
      <c r="HT24" s="24">
        <v>0</v>
      </c>
      <c r="HU24" s="24">
        <v>0</v>
      </c>
      <c r="HV24" s="24">
        <v>0</v>
      </c>
      <c r="HW24" s="24">
        <v>0</v>
      </c>
      <c r="HX24" s="24">
        <v>0</v>
      </c>
      <c r="HY24" s="24">
        <v>0</v>
      </c>
      <c r="HZ24" s="24">
        <v>0</v>
      </c>
      <c r="IA24" s="24">
        <v>132798</v>
      </c>
      <c r="IB24" s="24">
        <v>30224</v>
      </c>
      <c r="IC24" s="24">
        <v>0</v>
      </c>
      <c r="ID24" s="24">
        <v>222596</v>
      </c>
      <c r="IE24" s="24">
        <v>0</v>
      </c>
      <c r="IF24" s="24">
        <v>0</v>
      </c>
      <c r="IG24" s="24">
        <v>0</v>
      </c>
      <c r="IH24" s="24">
        <v>0</v>
      </c>
      <c r="II24" s="24">
        <v>0</v>
      </c>
      <c r="IJ24" s="24">
        <v>214517</v>
      </c>
      <c r="IK24" s="24">
        <v>0</v>
      </c>
      <c r="IL24" s="24">
        <v>0</v>
      </c>
      <c r="IM24" s="24">
        <v>0</v>
      </c>
      <c r="IN24" s="24">
        <v>0</v>
      </c>
      <c r="IO24" s="24">
        <v>13612</v>
      </c>
      <c r="IP24" s="24">
        <v>0</v>
      </c>
      <c r="IQ24" s="24">
        <v>0</v>
      </c>
      <c r="IR24" s="24">
        <v>56650</v>
      </c>
      <c r="IS24" s="24">
        <v>0</v>
      </c>
      <c r="IT24" s="24">
        <v>0</v>
      </c>
      <c r="IU24" s="24">
        <v>0</v>
      </c>
      <c r="IV24" s="24">
        <v>0</v>
      </c>
      <c r="IW24" s="24">
        <v>63652</v>
      </c>
      <c r="IX24" s="24">
        <v>0</v>
      </c>
      <c r="IY24" s="24">
        <v>0</v>
      </c>
      <c r="IZ24" s="24">
        <v>0</v>
      </c>
      <c r="JA24" s="24">
        <v>131709</v>
      </c>
      <c r="JB24" s="24">
        <v>39428</v>
      </c>
      <c r="JC24" s="24">
        <v>0</v>
      </c>
      <c r="JD24" s="24">
        <v>0</v>
      </c>
      <c r="JE24" s="24">
        <v>0</v>
      </c>
      <c r="JF24" s="24">
        <v>0</v>
      </c>
      <c r="JG24" s="24">
        <v>0</v>
      </c>
      <c r="JH24" s="24">
        <v>0</v>
      </c>
      <c r="JI24" s="24">
        <v>0</v>
      </c>
      <c r="JJ24" s="24">
        <v>0</v>
      </c>
      <c r="JK24" s="24">
        <v>0</v>
      </c>
      <c r="JL24" s="24">
        <v>0</v>
      </c>
      <c r="JM24" s="24">
        <v>0</v>
      </c>
      <c r="JN24" s="24">
        <v>0</v>
      </c>
      <c r="JO24" s="24">
        <v>0</v>
      </c>
      <c r="JP24" s="24">
        <v>0</v>
      </c>
      <c r="JQ24" s="24">
        <v>0</v>
      </c>
      <c r="JR24" s="24">
        <v>0</v>
      </c>
      <c r="JS24" s="24">
        <v>0</v>
      </c>
      <c r="JT24" s="24">
        <v>0</v>
      </c>
      <c r="JU24" s="24">
        <v>0</v>
      </c>
      <c r="JV24" s="24">
        <v>0</v>
      </c>
      <c r="JW24" s="24">
        <v>0</v>
      </c>
      <c r="JX24" s="24">
        <v>0</v>
      </c>
      <c r="JY24" s="24">
        <v>0</v>
      </c>
      <c r="JZ24" s="24">
        <v>0</v>
      </c>
      <c r="KA24" s="24">
        <v>0</v>
      </c>
      <c r="KB24" s="24">
        <v>0</v>
      </c>
      <c r="KC24" s="24">
        <v>0</v>
      </c>
      <c r="KD24" s="24">
        <v>0</v>
      </c>
      <c r="KE24" s="24">
        <v>0</v>
      </c>
      <c r="KF24" s="24">
        <v>0</v>
      </c>
      <c r="KG24" s="24">
        <v>884</v>
      </c>
      <c r="KH24" s="24">
        <v>0</v>
      </c>
      <c r="KI24" s="24">
        <v>0</v>
      </c>
      <c r="KJ24" s="24">
        <v>0</v>
      </c>
      <c r="KK24" s="24">
        <v>0</v>
      </c>
      <c r="KL24" s="24">
        <v>0</v>
      </c>
      <c r="KM24" s="24">
        <v>80313</v>
      </c>
      <c r="KN24" s="24">
        <v>0</v>
      </c>
      <c r="KO24" s="24">
        <v>0</v>
      </c>
      <c r="KP24" s="24">
        <v>0</v>
      </c>
      <c r="KQ24" s="24">
        <v>0</v>
      </c>
      <c r="KR24" s="24">
        <v>0</v>
      </c>
      <c r="KS24" s="24">
        <v>0</v>
      </c>
      <c r="KT24" s="24">
        <v>0</v>
      </c>
      <c r="KU24" s="24">
        <v>0</v>
      </c>
      <c r="KV24" s="24">
        <v>0</v>
      </c>
      <c r="KW24" s="24">
        <v>0</v>
      </c>
      <c r="KX24" s="24">
        <v>0</v>
      </c>
      <c r="KY24" s="24">
        <v>0</v>
      </c>
      <c r="KZ24" s="24">
        <v>0</v>
      </c>
      <c r="LA24" s="24">
        <v>0</v>
      </c>
      <c r="LB24" s="24">
        <v>0</v>
      </c>
      <c r="LC24" s="24">
        <v>0</v>
      </c>
      <c r="LD24" s="24">
        <v>0</v>
      </c>
      <c r="LE24" s="24">
        <v>0</v>
      </c>
      <c r="LF24" s="24">
        <v>0</v>
      </c>
      <c r="LG24" s="24">
        <v>0</v>
      </c>
      <c r="LH24" s="24">
        <v>0</v>
      </c>
      <c r="LI24" s="24">
        <v>0</v>
      </c>
      <c r="LJ24" s="24">
        <v>0</v>
      </c>
      <c r="LK24" s="24">
        <v>0</v>
      </c>
      <c r="LL24" s="24">
        <v>0</v>
      </c>
      <c r="LM24" s="24">
        <v>0</v>
      </c>
      <c r="LN24" s="24">
        <v>0</v>
      </c>
      <c r="LO24" s="24">
        <v>20000</v>
      </c>
      <c r="LP24" s="24">
        <v>0</v>
      </c>
      <c r="LQ24" s="24">
        <v>278378</v>
      </c>
      <c r="LR24" s="24">
        <v>36892</v>
      </c>
      <c r="LS24" s="24">
        <v>0</v>
      </c>
      <c r="LT24" s="24">
        <v>0</v>
      </c>
      <c r="LU24" s="24">
        <v>0</v>
      </c>
      <c r="LV24" s="24">
        <v>0</v>
      </c>
      <c r="LW24" s="24">
        <v>0</v>
      </c>
      <c r="LX24" s="24">
        <v>0</v>
      </c>
      <c r="LY24" s="24">
        <v>0</v>
      </c>
      <c r="LZ24" s="24">
        <v>0</v>
      </c>
      <c r="MA24" s="24">
        <v>0</v>
      </c>
      <c r="MB24" s="24">
        <v>0</v>
      </c>
      <c r="MC24" s="24">
        <v>0</v>
      </c>
      <c r="MD24" s="24">
        <v>0</v>
      </c>
      <c r="ME24" s="24">
        <v>0</v>
      </c>
      <c r="MF24" s="24">
        <v>0</v>
      </c>
      <c r="MG24" s="24">
        <v>0</v>
      </c>
      <c r="MH24" s="24">
        <v>0</v>
      </c>
      <c r="MI24" s="24">
        <v>0</v>
      </c>
      <c r="MJ24" s="24">
        <v>0</v>
      </c>
      <c r="MK24" s="24">
        <v>0</v>
      </c>
      <c r="ML24" s="24">
        <v>0</v>
      </c>
      <c r="MM24" s="24">
        <v>0</v>
      </c>
      <c r="MN24" s="24">
        <v>0</v>
      </c>
      <c r="MO24" s="24">
        <v>45365</v>
      </c>
      <c r="MP24" s="24">
        <v>0</v>
      </c>
      <c r="MQ24" s="24">
        <v>0</v>
      </c>
      <c r="MR24" s="24">
        <v>478437</v>
      </c>
      <c r="MS24" s="24">
        <v>0</v>
      </c>
      <c r="MT24" s="24">
        <v>0</v>
      </c>
      <c r="MU24" s="24">
        <v>0</v>
      </c>
      <c r="MV24" s="24">
        <v>0</v>
      </c>
      <c r="MW24" s="24">
        <v>316008</v>
      </c>
      <c r="MX24" s="24">
        <v>23610</v>
      </c>
      <c r="MY24" s="24">
        <v>0</v>
      </c>
      <c r="MZ24" s="24">
        <v>0</v>
      </c>
      <c r="NA24" s="24">
        <v>0</v>
      </c>
      <c r="NB24" s="24">
        <v>0</v>
      </c>
      <c r="NC24" s="24">
        <v>0</v>
      </c>
      <c r="ND24" s="24">
        <v>0</v>
      </c>
      <c r="NE24" s="24">
        <v>0</v>
      </c>
      <c r="NF24" s="24">
        <v>0</v>
      </c>
      <c r="NG24" s="24">
        <v>0</v>
      </c>
      <c r="NH24" s="24">
        <v>0</v>
      </c>
      <c r="NI24" s="24">
        <v>0</v>
      </c>
      <c r="NJ24" s="24">
        <v>0</v>
      </c>
      <c r="NK24" s="24">
        <v>0</v>
      </c>
      <c r="NL24" s="24">
        <v>0</v>
      </c>
      <c r="NM24" s="24">
        <v>0</v>
      </c>
      <c r="NN24" s="24">
        <v>0</v>
      </c>
      <c r="NO24" s="24">
        <v>0</v>
      </c>
      <c r="NP24" s="24">
        <v>0</v>
      </c>
      <c r="NQ24" s="24">
        <v>0</v>
      </c>
      <c r="NR24" s="24">
        <v>0</v>
      </c>
      <c r="NS24" s="24">
        <v>0</v>
      </c>
      <c r="NT24" s="24">
        <v>0</v>
      </c>
      <c r="NU24" s="24">
        <v>0</v>
      </c>
      <c r="NV24" s="24">
        <v>0</v>
      </c>
      <c r="NW24" s="24">
        <v>0</v>
      </c>
      <c r="NX24" s="24">
        <v>0</v>
      </c>
      <c r="NY24" s="24">
        <v>0</v>
      </c>
      <c r="NZ24" s="24">
        <v>0</v>
      </c>
      <c r="OA24" s="24">
        <v>0</v>
      </c>
      <c r="OB24" s="24">
        <v>0</v>
      </c>
      <c r="OC24" s="24">
        <v>0</v>
      </c>
      <c r="OD24" s="24">
        <v>0</v>
      </c>
      <c r="OE24" s="24">
        <v>0</v>
      </c>
      <c r="OF24" s="24">
        <v>0</v>
      </c>
      <c r="OG24" s="24">
        <v>0</v>
      </c>
      <c r="OH24" s="24">
        <v>0</v>
      </c>
      <c r="OI24" s="24">
        <v>0</v>
      </c>
      <c r="OJ24" s="24">
        <v>0</v>
      </c>
      <c r="OK24" s="24">
        <v>77723</v>
      </c>
      <c r="OL24" s="24">
        <v>0</v>
      </c>
      <c r="OM24" s="24">
        <v>0</v>
      </c>
      <c r="ON24" s="24">
        <v>0</v>
      </c>
      <c r="OO24" s="24">
        <v>0</v>
      </c>
      <c r="OP24" s="24">
        <v>0</v>
      </c>
      <c r="OQ24" s="24">
        <v>0</v>
      </c>
      <c r="OR24" s="24">
        <v>0</v>
      </c>
      <c r="OS24" s="24">
        <v>0</v>
      </c>
      <c r="OT24" s="24">
        <v>0</v>
      </c>
      <c r="OU24" s="24">
        <v>0</v>
      </c>
      <c r="OV24" s="24">
        <v>0</v>
      </c>
      <c r="OW24" s="24">
        <v>0</v>
      </c>
      <c r="OX24" s="24">
        <v>0</v>
      </c>
      <c r="OY24" s="24">
        <v>0</v>
      </c>
      <c r="OZ24" s="24">
        <v>0</v>
      </c>
      <c r="PA24" s="24">
        <v>0</v>
      </c>
      <c r="PB24" s="24">
        <v>0</v>
      </c>
      <c r="PC24" s="24">
        <v>0</v>
      </c>
      <c r="PD24" s="24">
        <v>0</v>
      </c>
      <c r="PE24" s="24">
        <v>0</v>
      </c>
      <c r="PF24" s="24">
        <v>0</v>
      </c>
      <c r="PG24" s="24">
        <v>0</v>
      </c>
      <c r="PH24" s="24">
        <v>0</v>
      </c>
      <c r="PI24" s="24">
        <v>0</v>
      </c>
      <c r="PJ24" s="24">
        <v>0</v>
      </c>
      <c r="PK24" s="24">
        <v>0</v>
      </c>
      <c r="PL24" s="24">
        <v>0</v>
      </c>
      <c r="PM24" s="24">
        <v>0</v>
      </c>
      <c r="PN24" s="24">
        <v>0</v>
      </c>
      <c r="PO24" s="24">
        <v>0</v>
      </c>
      <c r="PP24" s="24">
        <v>0</v>
      </c>
      <c r="PQ24" s="24">
        <v>0</v>
      </c>
      <c r="PR24" s="24">
        <v>0</v>
      </c>
      <c r="PS24" s="24">
        <v>0</v>
      </c>
      <c r="PT24" s="24">
        <v>0</v>
      </c>
      <c r="PU24" s="24">
        <v>0</v>
      </c>
      <c r="PV24" s="24">
        <v>0</v>
      </c>
      <c r="PW24" s="24">
        <v>0</v>
      </c>
      <c r="PX24" s="24">
        <v>0</v>
      </c>
      <c r="PY24" s="24">
        <v>0</v>
      </c>
      <c r="PZ24" s="24">
        <v>30554</v>
      </c>
      <c r="QA24" s="24">
        <v>0</v>
      </c>
      <c r="QB24" s="24">
        <v>0</v>
      </c>
      <c r="QC24" s="24">
        <v>0</v>
      </c>
      <c r="QD24" s="24">
        <v>0</v>
      </c>
      <c r="QE24" s="24">
        <v>0</v>
      </c>
      <c r="QF24" s="24">
        <v>0</v>
      </c>
      <c r="QG24" s="24">
        <v>0</v>
      </c>
      <c r="QH24" s="24">
        <v>0</v>
      </c>
      <c r="QI24" s="24">
        <v>0</v>
      </c>
      <c r="QJ24" s="24">
        <v>0</v>
      </c>
      <c r="QK24" s="24">
        <v>0</v>
      </c>
      <c r="QL24" s="24">
        <v>0</v>
      </c>
      <c r="QM24" s="24">
        <v>0</v>
      </c>
      <c r="QN24" s="24">
        <v>0</v>
      </c>
      <c r="QO24" s="24">
        <v>0</v>
      </c>
      <c r="QP24" s="24">
        <v>0</v>
      </c>
      <c r="QQ24" s="24">
        <v>0</v>
      </c>
      <c r="QR24" s="24">
        <v>0</v>
      </c>
      <c r="QS24" s="24">
        <v>21856</v>
      </c>
      <c r="QT24" s="24">
        <v>0</v>
      </c>
      <c r="QU24" s="24">
        <v>0</v>
      </c>
      <c r="QV24" s="24">
        <v>0</v>
      </c>
      <c r="QW24" s="24">
        <v>76041</v>
      </c>
      <c r="QX24" s="24">
        <v>0</v>
      </c>
      <c r="QY24" s="24">
        <v>0</v>
      </c>
      <c r="QZ24" s="24">
        <v>0</v>
      </c>
      <c r="RA24" s="24">
        <v>0</v>
      </c>
      <c r="RB24" s="24">
        <v>0</v>
      </c>
      <c r="RG24" s="39">
        <f t="shared" si="48"/>
        <v>8341706</v>
      </c>
      <c r="RH24" s="39">
        <f t="shared" si="7"/>
        <v>380755</v>
      </c>
      <c r="RI24" s="39">
        <f t="shared" si="7"/>
        <v>0</v>
      </c>
      <c r="RJ24" s="39">
        <f t="shared" si="7"/>
        <v>0</v>
      </c>
      <c r="RK24" s="39">
        <f t="shared" si="7"/>
        <v>0</v>
      </c>
      <c r="RL24" s="39">
        <f t="shared" si="7"/>
        <v>1104607</v>
      </c>
      <c r="RM24" s="39">
        <f t="shared" si="7"/>
        <v>1011010</v>
      </c>
      <c r="RN24" s="39">
        <f t="shared" si="7"/>
        <v>13612</v>
      </c>
      <c r="RO24" s="39">
        <f t="shared" si="7"/>
        <v>56650</v>
      </c>
      <c r="RP24" s="39">
        <f t="shared" si="7"/>
        <v>195361</v>
      </c>
      <c r="RQ24" s="39">
        <f t="shared" si="7"/>
        <v>39428</v>
      </c>
      <c r="RR24" s="39">
        <f t="shared" si="7"/>
        <v>0</v>
      </c>
      <c r="RS24" s="39"/>
      <c r="RT24" s="182"/>
      <c r="RU24" s="39"/>
      <c r="RV24" s="39">
        <f t="shared" si="49"/>
        <v>1357610</v>
      </c>
      <c r="RW24" s="39">
        <f t="shared" si="8"/>
        <v>11143129</v>
      </c>
      <c r="RX24" s="39">
        <f t="shared" si="8"/>
        <v>2123950</v>
      </c>
      <c r="RY24" s="39">
        <f t="shared" si="8"/>
        <v>128451</v>
      </c>
      <c r="RZ24" s="39"/>
      <c r="SA24" s="182"/>
      <c r="SB24" s="39"/>
      <c r="SC24" s="25">
        <f t="shared" si="50"/>
        <v>1042.1736997055937</v>
      </c>
      <c r="SD24" s="39">
        <f>IFERROR(VLOOKUP(A24, 'Levy Data 15-16'!$B:$O, 3, FALSE), 0)</f>
        <v>499476397</v>
      </c>
      <c r="SE24" s="39">
        <f t="shared" si="9"/>
        <v>245081.64720314034</v>
      </c>
      <c r="SF24" s="631">
        <f>IFERROR(VLOOKUP(A24, 'Levy Data 15-16'!$B:$O, 14, FALSE), 0)*1000</f>
        <v>3.4697260000000001</v>
      </c>
      <c r="SG24" s="39">
        <f t="shared" si="10"/>
        <v>0</v>
      </c>
      <c r="SH24" s="39">
        <f t="shared" si="11"/>
        <v>0</v>
      </c>
      <c r="SI24" s="39">
        <f t="shared" si="12"/>
        <v>2123950</v>
      </c>
      <c r="SM24" s="39">
        <f t="shared" si="13"/>
        <v>11143129</v>
      </c>
      <c r="SN24" s="39">
        <f t="shared" si="14"/>
        <v>0</v>
      </c>
      <c r="SO24" s="39">
        <f t="shared" si="51"/>
        <v>11143129</v>
      </c>
      <c r="SP24" s="50">
        <f t="shared" si="52"/>
        <v>1</v>
      </c>
      <c r="ST24" s="124">
        <f>IFERROR(VLOOKUP(A24,'Grade Enroll 15-16'!B:AC,27,FALSE),"")</f>
        <v>2038</v>
      </c>
      <c r="SU24" s="124">
        <f t="shared" si="53"/>
        <v>873.55965781179646</v>
      </c>
      <c r="SV24" s="131">
        <f>IFERROR(VLOOKUP($A24, 'Title I Enroll 16-17'!S:V, 4, FALSE), 0)</f>
        <v>0.42863574966231427</v>
      </c>
      <c r="SW24" s="729">
        <f>IFERROR(VLOOKUP(A24, 'ELL Enroll 15-16'!$N:$S, 6, FALSE), 0)</f>
        <v>154</v>
      </c>
      <c r="SX24" s="131">
        <f t="shared" si="54"/>
        <v>7.5564278704612367E-2</v>
      </c>
      <c r="SY24" s="124">
        <f>IFERROR(VLOOKUP(A24, 'SPED enroll 2015-16'!$M:$O, 3, FALSE), 0)</f>
        <v>206</v>
      </c>
      <c r="SZ24" s="131">
        <f t="shared" si="55"/>
        <v>0.10107948969578018</v>
      </c>
      <c r="TA24" s="142">
        <f t="shared" si="56"/>
        <v>144.19999999999999</v>
      </c>
      <c r="TB24" s="142">
        <f t="shared" si="56"/>
        <v>41.2</v>
      </c>
      <c r="TC24" s="142">
        <f t="shared" si="56"/>
        <v>14.420000000000002</v>
      </c>
      <c r="TD24" s="142">
        <f t="shared" si="56"/>
        <v>6.18</v>
      </c>
      <c r="TE24" s="124">
        <f>VLOOKUP($A24, 'Grade Enroll 15-16'!$B:$AB, 20, FALSE)</f>
        <v>30</v>
      </c>
      <c r="TF24" s="124">
        <f>VLOOKUP($A24, 'Grade Enroll 15-16'!$B:$AB, 21, FALSE)</f>
        <v>189</v>
      </c>
      <c r="TG24" s="124">
        <f>VLOOKUP($A24, 'Grade Enroll 15-16'!$B:$AB, 22, FALSE)</f>
        <v>540</v>
      </c>
      <c r="TH24" s="124">
        <f>VLOOKUP($A24, 'Grade Enroll 15-16'!$B:$AB, 23, FALSE)</f>
        <v>507</v>
      </c>
      <c r="TI24" s="124">
        <f>VLOOKUP($A24, 'Grade Enroll 15-16'!$B:$AB, 24, FALSE)</f>
        <v>339</v>
      </c>
      <c r="TJ24" s="124">
        <f>VLOOKUP($A24, 'Grade Enroll 15-16'!$B:$AB, 25, FALSE)</f>
        <v>652</v>
      </c>
      <c r="TK24" s="124">
        <f>VLOOKUP($A24, 'Grade Enroll 15-16'!$B:$AB, 26, FALSE)</f>
        <v>1365</v>
      </c>
      <c r="TL24" s="131">
        <f>SUMIFS('Student Achievement 15-16'!N:N, 'Student Achievement 15-16'!B:B, 'Idaho Data'!A24, 'Student Achievement 15-16'!D:D, "math")/100</f>
        <v>0.26800000000000002</v>
      </c>
      <c r="TM24" s="134">
        <f t="shared" si="57"/>
        <v>546.18400000000008</v>
      </c>
      <c r="TN24" s="131">
        <f>SUMIFS('Student Achievement 15-16'!N:N, 'Student Achievement 15-16'!B:B, 'Idaho Data'!A24, 'Student Achievement 15-16'!D:D, "ela")/100</f>
        <v>0.254</v>
      </c>
      <c r="TO24" s="134">
        <f t="shared" si="58"/>
        <v>517.65200000000004</v>
      </c>
      <c r="TP24" s="688">
        <f>IFERROR(VLOOKUP(A24, 'G&amp;T 15-16'!B:G, 6, FALSE), 0)*1</f>
        <v>120</v>
      </c>
      <c r="TQ24" s="168">
        <f t="shared" si="59"/>
        <v>122.28</v>
      </c>
      <c r="TU24" s="168">
        <f t="shared" si="60"/>
        <v>517.65200000000004</v>
      </c>
      <c r="TV24" s="168">
        <f t="shared" si="61"/>
        <v>546.18400000000008</v>
      </c>
      <c r="TW24" s="205">
        <f t="shared" si="62"/>
        <v>546.18400000000008</v>
      </c>
      <c r="TX24" s="144"/>
      <c r="TY24" s="129"/>
      <c r="TZ24" s="127">
        <f t="shared" si="63"/>
        <v>120</v>
      </c>
      <c r="UA24" s="127">
        <f t="shared" si="64"/>
        <v>122.28</v>
      </c>
      <c r="UB24" s="205">
        <f t="shared" si="65"/>
        <v>122.28</v>
      </c>
      <c r="UE24" s="853" t="str">
        <f>IF(ST24&lt;='1. Simulator Input'!$E$104, "yes", "")</f>
        <v/>
      </c>
      <c r="UI24" s="199">
        <f t="shared" si="66"/>
        <v>0</v>
      </c>
      <c r="UJ24" s="200">
        <f>IF('Idaho Data'!SI24&gt;=0, ((1-'1. Simulator Input'!$E$39)*'Idaho Data'!SI24), 0)</f>
        <v>0</v>
      </c>
      <c r="UK24" s="200">
        <f t="shared" si="67"/>
        <v>11143129</v>
      </c>
      <c r="UL24" s="39"/>
      <c r="UM24" s="182"/>
      <c r="UN24" s="39"/>
      <c r="UO24" s="39" t="str">
        <f>IF(AND('1. Simulator Input'!$E$96="yes", '1. Simulator Input'!$E$98="yes", '1. Simulator Input'!$E$100="hold harmless"), 'Idaho Data'!WN24, IF(AND('1. Simulator Input'!$E$96="yes", '1. Simulator Input'!$E$98="no", '1. Simulator Input'!$E$100="hold harmless"), 'Idaho Data'!WM24, IF(AND('1. Simulator Input'!$E$96="yes", '1. Simulator Input'!$E$98="yes", '1. Simulator Input'!$E$100="small district grant"), WL24,IF(AND('1. Simulator Input'!$E$96="yes", '1. Simulator Input'!$E$98="no", '1. Simulator Input'!$E$100="small district grant"), WK24, ""))))</f>
        <v/>
      </c>
      <c r="UP24" s="200">
        <f>'1. Simulator Input'!$D$56*('Idaho Data'!ST24)</f>
        <v>11261988</v>
      </c>
      <c r="UQ24" s="204">
        <f>'1. Simulator Input'!$D$65*'1. Simulator Input'!$D$56*'Idaho Data'!SU24</f>
        <v>0</v>
      </c>
      <c r="UR24" s="204">
        <f>'1. Simulator Input'!$D$66*'1. Simulator Input'!$D$56*'Idaho Data'!SW24</f>
        <v>0</v>
      </c>
      <c r="US24" s="200">
        <f>'1. Simulator Input'!$D$67*'1. Simulator Input'!$D$56*'Idaho Data'!TA24</f>
        <v>0</v>
      </c>
      <c r="UT24" s="200">
        <f>'1. Simulator Input'!$D$68*'1. Simulator Input'!$D$56*'Idaho Data'!TB24</f>
        <v>0</v>
      </c>
      <c r="UU24" s="200">
        <f>'1. Simulator Input'!$D$69*'1. Simulator Input'!$D$56*'Idaho Data'!TC24</f>
        <v>0</v>
      </c>
      <c r="UV24" s="200">
        <f>'1. Simulator Input'!$D$70*'1. Simulator Input'!$D$56*TD24</f>
        <v>0</v>
      </c>
      <c r="UW24" s="200">
        <f>'1. Simulator Input'!$D$80*'1. Simulator Input'!$D$56*TW24</f>
        <v>0</v>
      </c>
      <c r="UX24" s="200">
        <f>'1. Simulator Input'!$D$79*'1. Simulator Input'!$D$56*UB24</f>
        <v>0</v>
      </c>
      <c r="UY24" s="200">
        <f>'1. Simulator Input'!$D$87*'1. Simulator Input'!$D$56*TF24</f>
        <v>522207</v>
      </c>
      <c r="UZ24" s="200">
        <f>'1. Simulator Input'!$D$73*'1. Simulator Input'!$D$56*'Idaho Data'!TG24</f>
        <v>0</v>
      </c>
      <c r="VA24" s="200">
        <f>'1. Simulator Input'!$D$56*'1. Simulator Input'!$D$74*'Idaho Data'!TH24</f>
        <v>0</v>
      </c>
      <c r="VB24" s="200">
        <f>'1. Simulator Input'!$D$56*'1. Simulator Input'!$D$75*'Idaho Data'!TI19</f>
        <v>0</v>
      </c>
      <c r="VC24" s="200">
        <f>'1. Simulator Input'!$D$76*'1. Simulator Input'!$D$56*'Idaho Data'!TJ24</f>
        <v>0</v>
      </c>
      <c r="VD24" s="200">
        <f t="shared" si="68"/>
        <v>11784195</v>
      </c>
      <c r="VE24" s="200"/>
      <c r="VF24" s="182"/>
      <c r="VG24" s="200"/>
      <c r="VH24" s="200">
        <f t="shared" si="69"/>
        <v>0</v>
      </c>
      <c r="VI24" s="200">
        <f t="shared" si="70"/>
        <v>0</v>
      </c>
      <c r="VJ24" s="200">
        <f t="shared" si="16"/>
        <v>11784195</v>
      </c>
      <c r="VK24" s="200">
        <f t="shared" si="17"/>
        <v>11784195</v>
      </c>
      <c r="VL24" s="200"/>
      <c r="VM24" s="182"/>
      <c r="VN24" s="200"/>
      <c r="VO24" s="200">
        <f t="shared" si="71"/>
        <v>1357610</v>
      </c>
      <c r="VP24" s="200">
        <f t="shared" si="72"/>
        <v>11143129</v>
      </c>
      <c r="VQ24" s="200">
        <f t="shared" si="73"/>
        <v>2123950</v>
      </c>
      <c r="VR24" s="200">
        <f t="shared" si="74"/>
        <v>1357610</v>
      </c>
      <c r="VS24" s="200">
        <f t="shared" si="18"/>
        <v>11784195</v>
      </c>
      <c r="VT24" s="200">
        <f t="shared" si="19"/>
        <v>2123950</v>
      </c>
      <c r="VU24" s="200">
        <f t="shared" si="20"/>
        <v>0</v>
      </c>
      <c r="VV24" s="200"/>
      <c r="VW24" s="182"/>
      <c r="VX24" s="200"/>
      <c r="VZ24" s="199">
        <f t="shared" si="75"/>
        <v>641066</v>
      </c>
      <c r="WA24" s="199">
        <f t="shared" si="76"/>
        <v>314.55642787046122</v>
      </c>
      <c r="WB24" s="131">
        <f t="shared" si="77"/>
        <v>5.7530160514160787E-2</v>
      </c>
      <c r="WC24" s="131"/>
      <c r="WD24" s="461"/>
      <c r="WE24" s="893"/>
      <c r="WF24" s="893">
        <f t="shared" si="78"/>
        <v>7176.0004906771346</v>
      </c>
      <c r="WG24" s="893">
        <f t="shared" si="79"/>
        <v>7490.5569185475961</v>
      </c>
      <c r="WH24" s="893"/>
      <c r="WI24" s="893">
        <f t="shared" si="80"/>
        <v>11143129</v>
      </c>
      <c r="WJ24" s="893">
        <f t="shared" si="21"/>
        <v>11784195</v>
      </c>
      <c r="WK24" s="39" t="str">
        <f t="shared" si="22"/>
        <v/>
      </c>
      <c r="WL24" s="39" t="str">
        <f t="shared" si="23"/>
        <v/>
      </c>
      <c r="WM24" s="200" t="str">
        <f t="shared" si="24"/>
        <v/>
      </c>
      <c r="WN24" s="39" t="str">
        <f t="shared" si="25"/>
        <v/>
      </c>
      <c r="WO24" s="39"/>
      <c r="WP24" s="182"/>
      <c r="WQ24" s="39"/>
      <c r="WR24" s="305">
        <f t="shared" si="26"/>
        <v>0.13100000000000001</v>
      </c>
      <c r="WT24" s="200">
        <f t="shared" si="27"/>
        <v>5467.6786064769385</v>
      </c>
      <c r="WU24" s="131">
        <f t="shared" si="81"/>
        <v>0.12</v>
      </c>
      <c r="WW24" s="199">
        <f t="shared" si="28"/>
        <v>1357610</v>
      </c>
      <c r="WX24" s="199">
        <f t="shared" si="29"/>
        <v>11784195</v>
      </c>
      <c r="WY24" s="199">
        <f t="shared" si="30"/>
        <v>0</v>
      </c>
      <c r="WZ24" s="199">
        <f t="shared" si="82"/>
        <v>11784195</v>
      </c>
      <c r="XA24" s="199">
        <f t="shared" si="31"/>
        <v>0</v>
      </c>
      <c r="XB24" s="199">
        <f t="shared" si="32"/>
        <v>2123950</v>
      </c>
      <c r="XC24" s="199">
        <f t="shared" si="33"/>
        <v>2123950</v>
      </c>
      <c r="XD24" s="199" t="str">
        <f t="shared" si="34"/>
        <v/>
      </c>
      <c r="XE24" s="199"/>
      <c r="XF24" s="199"/>
      <c r="XG24" s="199"/>
      <c r="XH24" s="199"/>
      <c r="XI24" s="199"/>
      <c r="XJ24" s="199">
        <f t="shared" si="83"/>
        <v>11784195</v>
      </c>
      <c r="XP24" s="199">
        <f t="shared" si="35"/>
        <v>11784195</v>
      </c>
      <c r="XQ24" s="199">
        <f t="shared" si="36"/>
        <v>5782.2350343473991</v>
      </c>
      <c r="XR24" s="199">
        <f t="shared" si="37"/>
        <v>11784195</v>
      </c>
      <c r="XS24" s="199">
        <f t="shared" si="38"/>
        <v>11784195</v>
      </c>
      <c r="XT24" s="199">
        <f t="shared" si="39"/>
        <v>5782.2350343473991</v>
      </c>
      <c r="XU24" s="199">
        <f t="shared" si="40"/>
        <v>11143129</v>
      </c>
      <c r="XV24" s="199">
        <f t="shared" si="41"/>
        <v>5467.6786064769385</v>
      </c>
      <c r="XW24" s="199">
        <f t="shared" si="42"/>
        <v>11143129</v>
      </c>
      <c r="XX24" s="199">
        <f t="shared" si="43"/>
        <v>5467.6786064769385</v>
      </c>
      <c r="XY24" s="199">
        <f t="shared" si="84"/>
        <v>641066</v>
      </c>
      <c r="XZ24" s="199">
        <f t="shared" si="85"/>
        <v>314.55642787046054</v>
      </c>
      <c r="YA24" s="131">
        <f t="shared" si="86"/>
        <v>5.7530160514160655E-2</v>
      </c>
      <c r="YB24" s="199"/>
      <c r="YC24" s="221"/>
      <c r="YD24" s="199"/>
      <c r="YE24" s="199">
        <f t="shared" si="44"/>
        <v>1357610</v>
      </c>
      <c r="YF24" s="200">
        <f t="shared" si="45"/>
        <v>0</v>
      </c>
      <c r="YG24" s="199">
        <f t="shared" si="46"/>
        <v>2123950</v>
      </c>
      <c r="YH24" s="199">
        <f t="shared" si="47"/>
        <v>128451</v>
      </c>
    </row>
    <row r="25" spans="1:658">
      <c r="A25" s="3">
        <v>61</v>
      </c>
      <c r="B25" s="2" t="s">
        <v>116</v>
      </c>
      <c r="C25" s="24">
        <v>0</v>
      </c>
      <c r="D25" s="24">
        <v>0</v>
      </c>
      <c r="E25" s="24">
        <v>0</v>
      </c>
      <c r="F25" s="24">
        <v>0</v>
      </c>
      <c r="G25" s="24">
        <v>2495115</v>
      </c>
      <c r="H25" s="24">
        <v>0</v>
      </c>
      <c r="I25" s="24">
        <v>0</v>
      </c>
      <c r="J25" s="24">
        <v>0</v>
      </c>
      <c r="K25" s="24">
        <v>0</v>
      </c>
      <c r="L25" s="24">
        <v>0</v>
      </c>
      <c r="M25" s="24">
        <v>0</v>
      </c>
      <c r="N25" s="24">
        <v>29841369</v>
      </c>
      <c r="O25" s="24">
        <v>0</v>
      </c>
      <c r="P25" s="24">
        <v>0</v>
      </c>
      <c r="Q25" s="24">
        <v>0</v>
      </c>
      <c r="R25" s="24">
        <v>0</v>
      </c>
      <c r="S25" s="24">
        <v>0</v>
      </c>
      <c r="T25" s="24">
        <v>6031700</v>
      </c>
      <c r="U25" s="24">
        <v>0</v>
      </c>
      <c r="V25" s="24">
        <v>0</v>
      </c>
      <c r="W25" s="24">
        <v>0</v>
      </c>
      <c r="X25" s="24">
        <v>0</v>
      </c>
      <c r="Y25" s="24">
        <v>152396</v>
      </c>
      <c r="Z25" s="24">
        <v>0</v>
      </c>
      <c r="AA25" s="24">
        <v>0</v>
      </c>
      <c r="AB25" s="24">
        <v>28416</v>
      </c>
      <c r="AC25" s="24">
        <v>0</v>
      </c>
      <c r="AD25" s="24">
        <v>6995</v>
      </c>
      <c r="AE25" s="24">
        <v>5049</v>
      </c>
      <c r="AF25" s="24">
        <v>0</v>
      </c>
      <c r="AG25" s="24">
        <v>39082</v>
      </c>
      <c r="AH25" s="24">
        <v>0</v>
      </c>
      <c r="AI25" s="24">
        <v>0</v>
      </c>
      <c r="AJ25" s="24">
        <v>0</v>
      </c>
      <c r="AK25" s="24">
        <v>0</v>
      </c>
      <c r="AL25" s="24">
        <v>38308</v>
      </c>
      <c r="AM25" s="24">
        <v>19881</v>
      </c>
      <c r="AN25" s="24">
        <v>0</v>
      </c>
      <c r="AO25" s="24">
        <v>0</v>
      </c>
      <c r="AP25" s="24">
        <v>0</v>
      </c>
      <c r="AQ25" s="24">
        <v>0</v>
      </c>
      <c r="AR25" s="24">
        <v>0</v>
      </c>
      <c r="AS25" s="24">
        <v>0</v>
      </c>
      <c r="AT25" s="24">
        <v>0</v>
      </c>
      <c r="AU25" s="24">
        <v>0</v>
      </c>
      <c r="AV25" s="24">
        <v>0</v>
      </c>
      <c r="AW25" s="24">
        <v>0</v>
      </c>
      <c r="AX25" s="24">
        <v>0</v>
      </c>
      <c r="AY25" s="24">
        <v>0</v>
      </c>
      <c r="AZ25" s="24">
        <v>0</v>
      </c>
      <c r="BA25" s="24">
        <v>0</v>
      </c>
      <c r="BB25" s="24">
        <v>0</v>
      </c>
      <c r="BC25" s="24">
        <v>0</v>
      </c>
      <c r="BD25" s="24">
        <v>0</v>
      </c>
      <c r="BE25" s="24">
        <v>11197</v>
      </c>
      <c r="BF25" s="24">
        <v>292244</v>
      </c>
      <c r="BG25" s="24">
        <v>0</v>
      </c>
      <c r="BH25" s="24">
        <v>0</v>
      </c>
      <c r="BI25" s="24">
        <v>0</v>
      </c>
      <c r="BJ25" s="24">
        <v>0</v>
      </c>
      <c r="BK25" s="24">
        <v>0</v>
      </c>
      <c r="BL25" s="24">
        <v>0</v>
      </c>
      <c r="BM25" s="24">
        <v>0</v>
      </c>
      <c r="BN25" s="24">
        <v>0</v>
      </c>
      <c r="BO25" s="24">
        <v>0</v>
      </c>
      <c r="BP25" s="24">
        <v>0</v>
      </c>
      <c r="BQ25" s="24">
        <v>0</v>
      </c>
      <c r="BR25" s="24">
        <v>0</v>
      </c>
      <c r="BS25" s="24">
        <v>0</v>
      </c>
      <c r="BT25" s="24">
        <v>0</v>
      </c>
      <c r="BU25" s="24">
        <v>0</v>
      </c>
      <c r="BV25" s="24">
        <v>0</v>
      </c>
      <c r="BW25" s="24">
        <v>0</v>
      </c>
      <c r="BX25" s="24">
        <v>0</v>
      </c>
      <c r="BY25" s="24">
        <v>0</v>
      </c>
      <c r="BZ25" s="24">
        <v>0</v>
      </c>
      <c r="CA25" s="24">
        <v>0</v>
      </c>
      <c r="CB25" s="24">
        <v>0</v>
      </c>
      <c r="CC25" s="24">
        <v>64591</v>
      </c>
      <c r="CD25" s="24">
        <v>231533</v>
      </c>
      <c r="CE25" s="24">
        <v>62008</v>
      </c>
      <c r="CF25" s="24">
        <v>0</v>
      </c>
      <c r="CG25" s="24">
        <v>145556</v>
      </c>
      <c r="CH25" s="24">
        <v>0</v>
      </c>
      <c r="CI25" s="24">
        <v>0</v>
      </c>
      <c r="CJ25" s="24">
        <v>0</v>
      </c>
      <c r="CK25" s="24">
        <v>0</v>
      </c>
      <c r="CL25" s="24">
        <v>0</v>
      </c>
      <c r="CM25" s="24">
        <v>0</v>
      </c>
      <c r="CN25" s="24">
        <v>0</v>
      </c>
      <c r="CO25" s="24">
        <v>0</v>
      </c>
      <c r="CP25" s="24">
        <v>0</v>
      </c>
      <c r="CQ25" s="24">
        <v>0</v>
      </c>
      <c r="CR25" s="24">
        <v>0</v>
      </c>
      <c r="CS25" s="24">
        <v>0</v>
      </c>
      <c r="CT25" s="24">
        <v>0</v>
      </c>
      <c r="CU25" s="24">
        <v>0</v>
      </c>
      <c r="CV25" s="24">
        <v>0</v>
      </c>
      <c r="CW25" s="24">
        <v>0</v>
      </c>
      <c r="CX25" s="24">
        <v>0</v>
      </c>
      <c r="CY25" s="24">
        <v>0</v>
      </c>
      <c r="CZ25" s="24">
        <v>0</v>
      </c>
      <c r="DA25" s="24">
        <v>0</v>
      </c>
      <c r="DB25" s="24">
        <v>0</v>
      </c>
      <c r="DC25" s="24">
        <v>0</v>
      </c>
      <c r="DD25" s="24">
        <v>0</v>
      </c>
      <c r="DE25" s="24">
        <v>0</v>
      </c>
      <c r="DF25" s="24">
        <v>0</v>
      </c>
      <c r="DG25" s="24">
        <v>0</v>
      </c>
      <c r="DH25" s="24">
        <v>0</v>
      </c>
      <c r="DI25" s="24">
        <v>0</v>
      </c>
      <c r="DJ25" s="24">
        <v>0</v>
      </c>
      <c r="DK25" s="24">
        <v>0</v>
      </c>
      <c r="DL25" s="24">
        <v>0</v>
      </c>
      <c r="DM25" s="24">
        <v>0</v>
      </c>
      <c r="DN25" s="24">
        <v>0</v>
      </c>
      <c r="DO25" s="24">
        <v>0</v>
      </c>
      <c r="DP25" s="24">
        <v>0</v>
      </c>
      <c r="DQ25" s="24">
        <v>0</v>
      </c>
      <c r="DR25" s="24">
        <v>0</v>
      </c>
      <c r="DS25" s="24">
        <v>0</v>
      </c>
      <c r="DT25" s="24">
        <v>0</v>
      </c>
      <c r="DU25" s="24">
        <v>7350</v>
      </c>
      <c r="DV25" s="24">
        <v>0</v>
      </c>
      <c r="DW25" s="24">
        <v>0</v>
      </c>
      <c r="DX25" s="24">
        <v>123813</v>
      </c>
      <c r="DY25" s="24">
        <v>0</v>
      </c>
      <c r="DZ25" s="24">
        <v>0</v>
      </c>
      <c r="EA25" s="24">
        <v>0</v>
      </c>
      <c r="EB25" s="24">
        <v>0</v>
      </c>
      <c r="EC25" s="24">
        <v>0</v>
      </c>
      <c r="ED25" s="24">
        <v>0</v>
      </c>
      <c r="EE25" s="24">
        <v>0</v>
      </c>
      <c r="EF25" s="24">
        <v>0</v>
      </c>
      <c r="EG25" s="24">
        <v>0</v>
      </c>
      <c r="EH25" s="24">
        <v>0</v>
      </c>
      <c r="EI25" s="24">
        <v>0</v>
      </c>
      <c r="EJ25" s="24">
        <v>0</v>
      </c>
      <c r="EK25" s="24">
        <v>0</v>
      </c>
      <c r="EL25" s="24">
        <v>0</v>
      </c>
      <c r="EM25" s="24">
        <v>0</v>
      </c>
      <c r="EN25" s="24">
        <v>0</v>
      </c>
      <c r="EO25" s="24">
        <v>0</v>
      </c>
      <c r="EP25" s="24">
        <v>0</v>
      </c>
      <c r="EQ25" s="24">
        <v>0</v>
      </c>
      <c r="ER25" s="24">
        <v>0</v>
      </c>
      <c r="ES25" s="24">
        <v>0</v>
      </c>
      <c r="ET25" s="24">
        <v>0</v>
      </c>
      <c r="EU25" s="24">
        <v>0</v>
      </c>
      <c r="EV25" s="24">
        <v>0</v>
      </c>
      <c r="EW25" s="24">
        <v>0</v>
      </c>
      <c r="EX25" s="24">
        <v>0</v>
      </c>
      <c r="EY25" s="24">
        <v>0</v>
      </c>
      <c r="EZ25" s="24">
        <v>0</v>
      </c>
      <c r="FA25" s="24">
        <v>0</v>
      </c>
      <c r="FB25" s="24">
        <v>0</v>
      </c>
      <c r="FC25" s="24">
        <v>0</v>
      </c>
      <c r="FD25" s="24">
        <v>0</v>
      </c>
      <c r="FE25" s="24">
        <v>0</v>
      </c>
      <c r="FF25" s="24">
        <v>0</v>
      </c>
      <c r="FG25" s="24">
        <v>0</v>
      </c>
      <c r="FH25" s="24">
        <v>0</v>
      </c>
      <c r="FI25" s="24">
        <v>0</v>
      </c>
      <c r="FJ25" s="24">
        <v>0</v>
      </c>
      <c r="FK25" s="24">
        <v>0</v>
      </c>
      <c r="FL25" s="24">
        <v>0</v>
      </c>
      <c r="FM25" s="24">
        <v>0</v>
      </c>
      <c r="FN25" s="24">
        <v>0</v>
      </c>
      <c r="FO25" s="24">
        <v>0</v>
      </c>
      <c r="FP25" s="24">
        <v>0</v>
      </c>
      <c r="FQ25" s="24">
        <v>0</v>
      </c>
      <c r="FR25" s="24">
        <v>57625</v>
      </c>
      <c r="FS25" s="24">
        <v>660653</v>
      </c>
      <c r="FT25" s="24">
        <v>0</v>
      </c>
      <c r="FU25" s="24">
        <v>0</v>
      </c>
      <c r="FV25" s="24">
        <v>0</v>
      </c>
      <c r="FW25" s="24">
        <v>0</v>
      </c>
      <c r="FX25" s="24">
        <v>0</v>
      </c>
      <c r="FY25" s="24">
        <v>139909</v>
      </c>
      <c r="FZ25" s="24">
        <v>0</v>
      </c>
      <c r="GA25" s="24">
        <v>0</v>
      </c>
      <c r="GB25" s="24">
        <v>0</v>
      </c>
      <c r="GC25" s="24">
        <v>0</v>
      </c>
      <c r="GD25" s="24">
        <v>0</v>
      </c>
      <c r="GE25" s="24">
        <v>0</v>
      </c>
      <c r="GF25" s="24">
        <v>0</v>
      </c>
      <c r="GG25" s="24">
        <v>0</v>
      </c>
      <c r="GH25" s="24">
        <v>0</v>
      </c>
      <c r="GI25" s="24">
        <v>0</v>
      </c>
      <c r="GJ25" s="24">
        <v>0</v>
      </c>
      <c r="GK25" s="24">
        <v>0</v>
      </c>
      <c r="GL25" s="24">
        <v>0</v>
      </c>
      <c r="GM25" s="24">
        <v>0</v>
      </c>
      <c r="GN25" s="24">
        <v>0</v>
      </c>
      <c r="GO25" s="24">
        <v>0</v>
      </c>
      <c r="GP25" s="24">
        <v>0</v>
      </c>
      <c r="GQ25" s="24">
        <v>0</v>
      </c>
      <c r="GR25" s="24">
        <v>2825</v>
      </c>
      <c r="GS25" s="24">
        <v>0</v>
      </c>
      <c r="GT25" s="24">
        <v>0</v>
      </c>
      <c r="GU25" s="24">
        <v>0</v>
      </c>
      <c r="GV25" s="24">
        <v>0</v>
      </c>
      <c r="GW25" s="24">
        <v>0</v>
      </c>
      <c r="GX25" s="24">
        <v>0</v>
      </c>
      <c r="GY25" s="24">
        <v>0</v>
      </c>
      <c r="GZ25" s="24">
        <v>0</v>
      </c>
      <c r="HA25" s="24">
        <v>0</v>
      </c>
      <c r="HB25" s="24">
        <v>0</v>
      </c>
      <c r="HC25" s="24">
        <v>0</v>
      </c>
      <c r="HD25" s="24">
        <v>12812297</v>
      </c>
      <c r="HE25" s="24">
        <v>0</v>
      </c>
      <c r="HF25" s="24">
        <v>0</v>
      </c>
      <c r="HG25" s="24">
        <v>0</v>
      </c>
      <c r="HH25" s="24">
        <v>0</v>
      </c>
      <c r="HI25" s="24">
        <v>930466</v>
      </c>
      <c r="HJ25" s="24">
        <v>0</v>
      </c>
      <c r="HK25" s="24">
        <v>0</v>
      </c>
      <c r="HL25" s="24">
        <v>0</v>
      </c>
      <c r="HM25" s="24">
        <v>0</v>
      </c>
      <c r="HN25" s="24">
        <v>6694</v>
      </c>
      <c r="HO25" s="24">
        <v>1698807</v>
      </c>
      <c r="HP25" s="24">
        <v>1067838</v>
      </c>
      <c r="HQ25" s="24">
        <v>0</v>
      </c>
      <c r="HR25" s="24">
        <v>0</v>
      </c>
      <c r="HS25" s="24">
        <v>0</v>
      </c>
      <c r="HT25" s="24">
        <v>0</v>
      </c>
      <c r="HU25" s="24">
        <v>0</v>
      </c>
      <c r="HV25" s="24">
        <v>0</v>
      </c>
      <c r="HW25" s="24">
        <v>0</v>
      </c>
      <c r="HX25" s="24">
        <v>0</v>
      </c>
      <c r="HY25" s="24">
        <v>0</v>
      </c>
      <c r="HZ25" s="24">
        <v>0</v>
      </c>
      <c r="IA25" s="24">
        <v>0</v>
      </c>
      <c r="IB25" s="24">
        <v>0</v>
      </c>
      <c r="IC25" s="24">
        <v>0</v>
      </c>
      <c r="ID25" s="24">
        <v>0</v>
      </c>
      <c r="IE25" s="24">
        <v>0</v>
      </c>
      <c r="IF25" s="24">
        <v>0</v>
      </c>
      <c r="IG25" s="24">
        <v>0</v>
      </c>
      <c r="IH25" s="24">
        <v>0</v>
      </c>
      <c r="II25" s="24">
        <v>0</v>
      </c>
      <c r="IJ25" s="24">
        <v>0</v>
      </c>
      <c r="IK25" s="24">
        <v>0</v>
      </c>
      <c r="IL25" s="24">
        <v>0</v>
      </c>
      <c r="IM25" s="24">
        <v>0</v>
      </c>
      <c r="IN25" s="24">
        <v>0</v>
      </c>
      <c r="IO25" s="24">
        <v>14500</v>
      </c>
      <c r="IP25" s="24">
        <v>0</v>
      </c>
      <c r="IQ25" s="24">
        <v>0</v>
      </c>
      <c r="IR25" s="24">
        <v>79794</v>
      </c>
      <c r="IS25" s="24">
        <v>0</v>
      </c>
      <c r="IT25" s="24">
        <v>0</v>
      </c>
      <c r="IU25" s="24">
        <v>0</v>
      </c>
      <c r="IV25" s="24">
        <v>0</v>
      </c>
      <c r="IW25" s="24">
        <v>190019</v>
      </c>
      <c r="IX25" s="24">
        <v>0</v>
      </c>
      <c r="IY25" s="24">
        <v>0</v>
      </c>
      <c r="IZ25" s="24">
        <v>0</v>
      </c>
      <c r="JA25" s="24">
        <v>0</v>
      </c>
      <c r="JB25" s="24">
        <v>2858</v>
      </c>
      <c r="JC25" s="24">
        <v>0</v>
      </c>
      <c r="JD25" s="24">
        <v>0</v>
      </c>
      <c r="JE25" s="24">
        <v>0</v>
      </c>
      <c r="JF25" s="24">
        <v>0</v>
      </c>
      <c r="JG25" s="24">
        <v>0</v>
      </c>
      <c r="JH25" s="24">
        <v>0</v>
      </c>
      <c r="JI25" s="24">
        <v>0</v>
      </c>
      <c r="JJ25" s="24">
        <v>0</v>
      </c>
      <c r="JK25" s="24">
        <v>0</v>
      </c>
      <c r="JL25" s="24">
        <v>0</v>
      </c>
      <c r="JM25" s="24">
        <v>0</v>
      </c>
      <c r="JN25" s="24">
        <v>0</v>
      </c>
      <c r="JO25" s="24">
        <v>0</v>
      </c>
      <c r="JP25" s="24">
        <v>0</v>
      </c>
      <c r="JQ25" s="24">
        <v>0</v>
      </c>
      <c r="JR25" s="24">
        <v>0</v>
      </c>
      <c r="JS25" s="24">
        <v>0</v>
      </c>
      <c r="JT25" s="24">
        <v>0</v>
      </c>
      <c r="JU25" s="24">
        <v>0</v>
      </c>
      <c r="JV25" s="24">
        <v>0</v>
      </c>
      <c r="JW25" s="24">
        <v>0</v>
      </c>
      <c r="JX25" s="24">
        <v>0</v>
      </c>
      <c r="JY25" s="24">
        <v>0</v>
      </c>
      <c r="JZ25" s="24">
        <v>0</v>
      </c>
      <c r="KA25" s="24">
        <v>0</v>
      </c>
      <c r="KB25" s="24">
        <v>0</v>
      </c>
      <c r="KC25" s="24">
        <v>0</v>
      </c>
      <c r="KD25" s="24">
        <v>0</v>
      </c>
      <c r="KE25" s="24">
        <v>0</v>
      </c>
      <c r="KF25" s="24">
        <v>0</v>
      </c>
      <c r="KG25" s="24">
        <v>0</v>
      </c>
      <c r="KH25" s="24">
        <v>0</v>
      </c>
      <c r="KI25" s="24">
        <v>0</v>
      </c>
      <c r="KJ25" s="24">
        <v>0</v>
      </c>
      <c r="KK25" s="24">
        <v>0</v>
      </c>
      <c r="KL25" s="24">
        <v>0</v>
      </c>
      <c r="KM25" s="24">
        <v>0</v>
      </c>
      <c r="KN25" s="24">
        <v>0</v>
      </c>
      <c r="KO25" s="24">
        <v>0</v>
      </c>
      <c r="KP25" s="24">
        <v>0</v>
      </c>
      <c r="KQ25" s="24">
        <v>0</v>
      </c>
      <c r="KR25" s="24">
        <v>0</v>
      </c>
      <c r="KS25" s="24">
        <v>0</v>
      </c>
      <c r="KT25" s="24">
        <v>0</v>
      </c>
      <c r="KU25" s="24">
        <v>0</v>
      </c>
      <c r="KV25" s="24">
        <v>0</v>
      </c>
      <c r="KW25" s="24">
        <v>0</v>
      </c>
      <c r="KX25" s="24">
        <v>0</v>
      </c>
      <c r="KY25" s="24">
        <v>0</v>
      </c>
      <c r="KZ25" s="24">
        <v>0</v>
      </c>
      <c r="LA25" s="24">
        <v>0</v>
      </c>
      <c r="LB25" s="24">
        <v>0</v>
      </c>
      <c r="LC25" s="24">
        <v>0</v>
      </c>
      <c r="LD25" s="24">
        <v>0</v>
      </c>
      <c r="LE25" s="24">
        <v>0</v>
      </c>
      <c r="LF25" s="24">
        <v>0</v>
      </c>
      <c r="LG25" s="24">
        <v>0</v>
      </c>
      <c r="LH25" s="24">
        <v>0</v>
      </c>
      <c r="LI25" s="24">
        <v>0</v>
      </c>
      <c r="LJ25" s="24">
        <v>0</v>
      </c>
      <c r="LK25" s="24">
        <v>0</v>
      </c>
      <c r="LL25" s="24">
        <v>0</v>
      </c>
      <c r="LM25" s="24">
        <v>0</v>
      </c>
      <c r="LN25" s="24">
        <v>0</v>
      </c>
      <c r="LO25" s="24">
        <v>0</v>
      </c>
      <c r="LP25" s="24">
        <v>0</v>
      </c>
      <c r="LQ25" s="24">
        <v>319734</v>
      </c>
      <c r="LR25" s="24">
        <v>0</v>
      </c>
      <c r="LS25" s="24">
        <v>0</v>
      </c>
      <c r="LT25" s="24">
        <v>0</v>
      </c>
      <c r="LU25" s="24">
        <v>0</v>
      </c>
      <c r="LV25" s="24">
        <v>0</v>
      </c>
      <c r="LW25" s="24">
        <v>0</v>
      </c>
      <c r="LX25" s="24">
        <v>0</v>
      </c>
      <c r="LY25" s="24">
        <v>0</v>
      </c>
      <c r="LZ25" s="24">
        <v>0</v>
      </c>
      <c r="MA25" s="24">
        <v>0</v>
      </c>
      <c r="MB25" s="24">
        <v>0</v>
      </c>
      <c r="MC25" s="24">
        <v>0</v>
      </c>
      <c r="MD25" s="24">
        <v>0</v>
      </c>
      <c r="ME25" s="24">
        <v>0</v>
      </c>
      <c r="MF25" s="24">
        <v>0</v>
      </c>
      <c r="MG25" s="24">
        <v>0</v>
      </c>
      <c r="MH25" s="24">
        <v>0</v>
      </c>
      <c r="MI25" s="24">
        <v>0</v>
      </c>
      <c r="MJ25" s="24">
        <v>0</v>
      </c>
      <c r="MK25" s="24">
        <v>0</v>
      </c>
      <c r="ML25" s="24">
        <v>0</v>
      </c>
      <c r="MM25" s="24">
        <v>0</v>
      </c>
      <c r="MN25" s="24">
        <v>0</v>
      </c>
      <c r="MO25" s="24">
        <v>0</v>
      </c>
      <c r="MP25" s="24">
        <v>0</v>
      </c>
      <c r="MQ25" s="24">
        <v>0</v>
      </c>
      <c r="MR25" s="24">
        <v>599937</v>
      </c>
      <c r="MS25" s="24">
        <v>0</v>
      </c>
      <c r="MT25" s="24">
        <v>0</v>
      </c>
      <c r="MU25" s="24">
        <v>0</v>
      </c>
      <c r="MV25" s="24">
        <v>0</v>
      </c>
      <c r="MW25" s="24">
        <v>655153</v>
      </c>
      <c r="MX25" s="24">
        <v>14612</v>
      </c>
      <c r="MY25" s="24">
        <v>0</v>
      </c>
      <c r="MZ25" s="24">
        <v>0</v>
      </c>
      <c r="NA25" s="24">
        <v>0</v>
      </c>
      <c r="NB25" s="24">
        <v>0</v>
      </c>
      <c r="NC25" s="24">
        <v>0</v>
      </c>
      <c r="ND25" s="24">
        <v>0</v>
      </c>
      <c r="NE25" s="24">
        <v>0</v>
      </c>
      <c r="NF25" s="24">
        <v>0</v>
      </c>
      <c r="NG25" s="24">
        <v>0</v>
      </c>
      <c r="NH25" s="24">
        <v>0</v>
      </c>
      <c r="NI25" s="24">
        <v>0</v>
      </c>
      <c r="NJ25" s="24">
        <v>0</v>
      </c>
      <c r="NK25" s="24">
        <v>0</v>
      </c>
      <c r="NL25" s="24">
        <v>0</v>
      </c>
      <c r="NM25" s="24">
        <v>0</v>
      </c>
      <c r="NN25" s="24">
        <v>0</v>
      </c>
      <c r="NO25" s="24">
        <v>0</v>
      </c>
      <c r="NP25" s="24">
        <v>0</v>
      </c>
      <c r="NQ25" s="24">
        <v>0</v>
      </c>
      <c r="NR25" s="24">
        <v>31456</v>
      </c>
      <c r="NS25" s="24">
        <v>0</v>
      </c>
      <c r="NT25" s="24">
        <v>0</v>
      </c>
      <c r="NU25" s="24">
        <v>67731</v>
      </c>
      <c r="NV25" s="24">
        <v>86212</v>
      </c>
      <c r="NW25" s="24">
        <v>0</v>
      </c>
      <c r="NX25" s="24">
        <v>0</v>
      </c>
      <c r="NY25" s="24">
        <v>0</v>
      </c>
      <c r="NZ25" s="24">
        <v>0</v>
      </c>
      <c r="OA25" s="24">
        <v>0</v>
      </c>
      <c r="OB25" s="24">
        <v>0</v>
      </c>
      <c r="OC25" s="24">
        <v>0</v>
      </c>
      <c r="OD25" s="24">
        <v>0</v>
      </c>
      <c r="OE25" s="24">
        <v>0</v>
      </c>
      <c r="OF25" s="24">
        <v>0</v>
      </c>
      <c r="OG25" s="24">
        <v>0</v>
      </c>
      <c r="OH25" s="24">
        <v>0</v>
      </c>
      <c r="OI25" s="24">
        <v>2689</v>
      </c>
      <c r="OJ25" s="24">
        <v>0</v>
      </c>
      <c r="OK25" s="24">
        <v>17899</v>
      </c>
      <c r="OL25" s="24">
        <v>0</v>
      </c>
      <c r="OM25" s="24">
        <v>0</v>
      </c>
      <c r="ON25" s="24">
        <v>0</v>
      </c>
      <c r="OO25" s="24">
        <v>0</v>
      </c>
      <c r="OP25" s="24">
        <v>0</v>
      </c>
      <c r="OQ25" s="24">
        <v>0</v>
      </c>
      <c r="OR25" s="24">
        <v>0</v>
      </c>
      <c r="OS25" s="24">
        <v>0</v>
      </c>
      <c r="OT25" s="24">
        <v>0</v>
      </c>
      <c r="OU25" s="24">
        <v>0</v>
      </c>
      <c r="OV25" s="24">
        <v>0</v>
      </c>
      <c r="OW25" s="24">
        <v>0</v>
      </c>
      <c r="OX25" s="24">
        <v>5841</v>
      </c>
      <c r="OY25" s="24">
        <v>0</v>
      </c>
      <c r="OZ25" s="24">
        <v>0</v>
      </c>
      <c r="PA25" s="24">
        <v>0</v>
      </c>
      <c r="PB25" s="24">
        <v>0</v>
      </c>
      <c r="PC25" s="24">
        <v>0</v>
      </c>
      <c r="PD25" s="24">
        <v>12800</v>
      </c>
      <c r="PE25" s="24">
        <v>0</v>
      </c>
      <c r="PF25" s="24">
        <v>0</v>
      </c>
      <c r="PG25" s="24">
        <v>134659</v>
      </c>
      <c r="PH25" s="24">
        <v>0</v>
      </c>
      <c r="PI25" s="24">
        <v>0</v>
      </c>
      <c r="PJ25" s="24">
        <v>0</v>
      </c>
      <c r="PK25" s="24">
        <v>10961</v>
      </c>
      <c r="PL25" s="24">
        <v>145461</v>
      </c>
      <c r="PM25" s="24">
        <v>339743</v>
      </c>
      <c r="PN25" s="24">
        <v>207836</v>
      </c>
      <c r="PO25" s="24">
        <v>91937</v>
      </c>
      <c r="PP25" s="24">
        <v>0</v>
      </c>
      <c r="PQ25" s="24">
        <v>0</v>
      </c>
      <c r="PR25" s="24">
        <v>0</v>
      </c>
      <c r="PS25" s="24">
        <v>0</v>
      </c>
      <c r="PT25" s="24">
        <v>0</v>
      </c>
      <c r="PU25" s="24">
        <v>48059</v>
      </c>
      <c r="PV25" s="24">
        <v>0</v>
      </c>
      <c r="PW25" s="24">
        <v>0</v>
      </c>
      <c r="PX25" s="24">
        <v>0</v>
      </c>
      <c r="PY25" s="24">
        <v>0</v>
      </c>
      <c r="PZ25" s="24">
        <v>0</v>
      </c>
      <c r="QA25" s="24">
        <v>0</v>
      </c>
      <c r="QB25" s="24">
        <v>17374</v>
      </c>
      <c r="QC25" s="24">
        <v>0</v>
      </c>
      <c r="QD25" s="24">
        <v>62251</v>
      </c>
      <c r="QE25" s="24">
        <v>6411</v>
      </c>
      <c r="QF25" s="24">
        <v>0</v>
      </c>
      <c r="QG25" s="24">
        <v>0</v>
      </c>
      <c r="QH25" s="24">
        <v>0</v>
      </c>
      <c r="QI25" s="24">
        <v>0</v>
      </c>
      <c r="QJ25" s="24">
        <v>23834</v>
      </c>
      <c r="QK25" s="24">
        <v>0</v>
      </c>
      <c r="QL25" s="24">
        <v>0</v>
      </c>
      <c r="QM25" s="24">
        <v>0</v>
      </c>
      <c r="QN25" s="24">
        <v>0</v>
      </c>
      <c r="QO25" s="24">
        <v>0</v>
      </c>
      <c r="QP25" s="24">
        <v>0</v>
      </c>
      <c r="QQ25" s="24">
        <v>504</v>
      </c>
      <c r="QR25" s="24">
        <v>0</v>
      </c>
      <c r="QS25" s="24">
        <v>287144</v>
      </c>
      <c r="QT25" s="24">
        <v>0</v>
      </c>
      <c r="QU25" s="24">
        <v>0</v>
      </c>
      <c r="QV25" s="24">
        <v>0</v>
      </c>
      <c r="QW25" s="24">
        <v>109045</v>
      </c>
      <c r="QX25" s="24">
        <v>0</v>
      </c>
      <c r="QY25" s="24">
        <v>0</v>
      </c>
      <c r="QZ25" s="24">
        <v>0</v>
      </c>
      <c r="RA25" s="24">
        <v>0</v>
      </c>
      <c r="RB25" s="24">
        <v>0</v>
      </c>
      <c r="RG25" s="39">
        <f t="shared" si="48"/>
        <v>12812297</v>
      </c>
      <c r="RH25" s="39">
        <f t="shared" si="7"/>
        <v>930466</v>
      </c>
      <c r="RI25" s="39">
        <f t="shared" si="7"/>
        <v>0</v>
      </c>
      <c r="RJ25" s="39">
        <f t="shared" si="7"/>
        <v>0</v>
      </c>
      <c r="RK25" s="39">
        <f t="shared" si="7"/>
        <v>6694</v>
      </c>
      <c r="RL25" s="39">
        <f t="shared" si="7"/>
        <v>1698807</v>
      </c>
      <c r="RM25" s="39">
        <f t="shared" si="7"/>
        <v>1067838</v>
      </c>
      <c r="RN25" s="39">
        <f t="shared" si="7"/>
        <v>14500</v>
      </c>
      <c r="RO25" s="39">
        <f t="shared" si="7"/>
        <v>79794</v>
      </c>
      <c r="RP25" s="39">
        <f t="shared" si="7"/>
        <v>190019</v>
      </c>
      <c r="RQ25" s="39">
        <f t="shared" si="7"/>
        <v>2858</v>
      </c>
      <c r="RR25" s="39">
        <f t="shared" si="7"/>
        <v>0</v>
      </c>
      <c r="RS25" s="39"/>
      <c r="RT25" s="182"/>
      <c r="RU25" s="39"/>
      <c r="RV25" s="39">
        <f t="shared" si="49"/>
        <v>1795423</v>
      </c>
      <c r="RW25" s="39">
        <f t="shared" si="8"/>
        <v>16803273</v>
      </c>
      <c r="RX25" s="39">
        <f t="shared" si="8"/>
        <v>40457615</v>
      </c>
      <c r="RY25" s="39">
        <f t="shared" si="8"/>
        <v>1503860</v>
      </c>
      <c r="RZ25" s="39"/>
      <c r="SA25" s="182"/>
      <c r="SB25" s="39"/>
      <c r="SC25" s="25">
        <f t="shared" si="50"/>
        <v>13247.418140144073</v>
      </c>
      <c r="SD25" s="39">
        <f>IFERROR(VLOOKUP(A25, 'Levy Data 15-16'!$B:$O, 3, FALSE), 0)</f>
        <v>8940960855</v>
      </c>
      <c r="SE25" s="39">
        <f t="shared" si="9"/>
        <v>2927623.0697445972</v>
      </c>
      <c r="SF25" s="631">
        <f>IFERROR(VLOOKUP(A25, 'Levy Data 15-16'!$B:$O, 14, FALSE), 0)*1000</f>
        <v>4.242661</v>
      </c>
      <c r="SG25" s="39">
        <f t="shared" si="10"/>
        <v>0</v>
      </c>
      <c r="SH25" s="39">
        <f t="shared" si="11"/>
        <v>0</v>
      </c>
      <c r="SI25" s="39">
        <f t="shared" si="12"/>
        <v>40457615</v>
      </c>
      <c r="SM25" s="39">
        <f t="shared" si="13"/>
        <v>16803273</v>
      </c>
      <c r="SN25" s="39">
        <f t="shared" si="14"/>
        <v>0</v>
      </c>
      <c r="SO25" s="39">
        <f t="shared" si="51"/>
        <v>16803273</v>
      </c>
      <c r="SP25" s="50">
        <f t="shared" si="52"/>
        <v>1</v>
      </c>
      <c r="ST25" s="124">
        <f>IFERROR(VLOOKUP(A25,'Grade Enroll 15-16'!B:AC,27,FALSE),"")</f>
        <v>3054</v>
      </c>
      <c r="SU25" s="124">
        <f t="shared" si="53"/>
        <v>1272.730734360834</v>
      </c>
      <c r="SV25" s="131">
        <f>IFERROR(VLOOKUP($A25, 'Title I Enroll 16-17'!S:V, 4, FALSE), 0)</f>
        <v>0.41674221819280749</v>
      </c>
      <c r="SW25" s="729">
        <f>IFERROR(VLOOKUP(A25, 'ELL Enroll 15-16'!$N:$S, 6, FALSE), 0)</f>
        <v>1079</v>
      </c>
      <c r="SX25" s="131">
        <f t="shared" si="54"/>
        <v>0.35330713817943682</v>
      </c>
      <c r="SY25" s="124">
        <f>IFERROR(VLOOKUP(A25, 'SPED enroll 2015-16'!$M:$O, 3, FALSE), 0)</f>
        <v>325</v>
      </c>
      <c r="SZ25" s="131">
        <f t="shared" si="55"/>
        <v>0.10641781270464964</v>
      </c>
      <c r="TA25" s="142">
        <f t="shared" si="56"/>
        <v>227.49999999999997</v>
      </c>
      <c r="TB25" s="142">
        <f t="shared" si="56"/>
        <v>65</v>
      </c>
      <c r="TC25" s="142">
        <f t="shared" si="56"/>
        <v>22.750000000000004</v>
      </c>
      <c r="TD25" s="142">
        <f t="shared" si="56"/>
        <v>9.75</v>
      </c>
      <c r="TE25" s="124">
        <f>VLOOKUP($A25, 'Grade Enroll 15-16'!$B:$AB, 20, FALSE)</f>
        <v>100</v>
      </c>
      <c r="TF25" s="124">
        <f>VLOOKUP($A25, 'Grade Enroll 15-16'!$B:$AB, 21, FALSE)</f>
        <v>217</v>
      </c>
      <c r="TG25" s="124">
        <f>VLOOKUP($A25, 'Grade Enroll 15-16'!$B:$AB, 22, FALSE)</f>
        <v>776</v>
      </c>
      <c r="TH25" s="124">
        <f>VLOOKUP($A25, 'Grade Enroll 15-16'!$B:$AB, 23, FALSE)</f>
        <v>760</v>
      </c>
      <c r="TI25" s="124">
        <f>VLOOKUP($A25, 'Grade Enroll 15-16'!$B:$AB, 24, FALSE)</f>
        <v>542</v>
      </c>
      <c r="TJ25" s="124">
        <f>VLOOKUP($A25, 'Grade Enroll 15-16'!$B:$AB, 25, FALSE)</f>
        <v>976</v>
      </c>
      <c r="TK25" s="124">
        <f>VLOOKUP($A25, 'Grade Enroll 15-16'!$B:$AB, 26, FALSE)</f>
        <v>2090</v>
      </c>
      <c r="TL25" s="131">
        <f>SUMIFS('Student Achievement 15-16'!N:N, 'Student Achievement 15-16'!B:B, 'Idaho Data'!A25, 'Student Achievement 15-16'!D:D, "math")/100</f>
        <v>0.252</v>
      </c>
      <c r="TM25" s="134">
        <f t="shared" si="57"/>
        <v>769.60800000000006</v>
      </c>
      <c r="TN25" s="131">
        <f>SUMIFS('Student Achievement 15-16'!N:N, 'Student Achievement 15-16'!B:B, 'Idaho Data'!A25, 'Student Achievement 15-16'!D:D, "ela")/100</f>
        <v>0.159</v>
      </c>
      <c r="TO25" s="134">
        <f t="shared" si="58"/>
        <v>485.58600000000001</v>
      </c>
      <c r="TP25" s="688">
        <f>IFERROR(VLOOKUP(A25, 'G&amp;T 15-16'!B:G, 6, FALSE), 0)*1</f>
        <v>221</v>
      </c>
      <c r="TQ25" s="168">
        <f t="shared" si="59"/>
        <v>183.23999999999998</v>
      </c>
      <c r="TU25" s="168">
        <f t="shared" si="60"/>
        <v>485.58600000000001</v>
      </c>
      <c r="TV25" s="168">
        <f t="shared" si="61"/>
        <v>769.60800000000006</v>
      </c>
      <c r="TW25" s="205">
        <f t="shared" si="62"/>
        <v>769.60800000000006</v>
      </c>
      <c r="TX25" s="144"/>
      <c r="TY25" s="129"/>
      <c r="TZ25" s="127">
        <f t="shared" si="63"/>
        <v>183.23999999999998</v>
      </c>
      <c r="UA25" s="127">
        <f t="shared" si="64"/>
        <v>221</v>
      </c>
      <c r="UB25" s="205">
        <f t="shared" si="65"/>
        <v>221</v>
      </c>
      <c r="UE25" s="853" t="str">
        <f>IF(ST25&lt;='1. Simulator Input'!$E$104, "yes", "")</f>
        <v/>
      </c>
      <c r="UI25" s="199">
        <f t="shared" si="66"/>
        <v>0</v>
      </c>
      <c r="UJ25" s="200">
        <f>IF('Idaho Data'!SI25&gt;=0, ((1-'1. Simulator Input'!$E$39)*'Idaho Data'!SI25), 0)</f>
        <v>0</v>
      </c>
      <c r="UK25" s="200">
        <f t="shared" si="67"/>
        <v>16803273</v>
      </c>
      <c r="UL25" s="39"/>
      <c r="UM25" s="182"/>
      <c r="UN25" s="39"/>
      <c r="UO25" s="39" t="str">
        <f>IF(AND('1. Simulator Input'!$E$96="yes", '1. Simulator Input'!$E$98="yes", '1. Simulator Input'!$E$100="hold harmless"), 'Idaho Data'!WN25, IF(AND('1. Simulator Input'!$E$96="yes", '1. Simulator Input'!$E$98="no", '1. Simulator Input'!$E$100="hold harmless"), 'Idaho Data'!WM25, IF(AND('1. Simulator Input'!$E$96="yes", '1. Simulator Input'!$E$98="yes", '1. Simulator Input'!$E$100="small district grant"), WL25,IF(AND('1. Simulator Input'!$E$96="yes", '1. Simulator Input'!$E$98="no", '1. Simulator Input'!$E$100="small district grant"), WK25, ""))))</f>
        <v/>
      </c>
      <c r="UP25" s="200">
        <f>'1. Simulator Input'!$D$56*('Idaho Data'!ST25)</f>
        <v>16876404</v>
      </c>
      <c r="UQ25" s="204">
        <f>'1. Simulator Input'!$D$65*'1. Simulator Input'!$D$56*'Idaho Data'!SU25</f>
        <v>0</v>
      </c>
      <c r="UR25" s="204">
        <f>'1. Simulator Input'!$D$66*'1. Simulator Input'!$D$56*'Idaho Data'!SW25</f>
        <v>0</v>
      </c>
      <c r="US25" s="200">
        <f>'1. Simulator Input'!$D$67*'1. Simulator Input'!$D$56*'Idaho Data'!TA25</f>
        <v>0</v>
      </c>
      <c r="UT25" s="200">
        <f>'1. Simulator Input'!$D$68*'1. Simulator Input'!$D$56*'Idaho Data'!TB25</f>
        <v>0</v>
      </c>
      <c r="UU25" s="200">
        <f>'1. Simulator Input'!$D$69*'1. Simulator Input'!$D$56*'Idaho Data'!TC25</f>
        <v>0</v>
      </c>
      <c r="UV25" s="200">
        <f>'1. Simulator Input'!$D$70*'1. Simulator Input'!$D$56*TD25</f>
        <v>0</v>
      </c>
      <c r="UW25" s="200">
        <f>'1. Simulator Input'!$D$80*'1. Simulator Input'!$D$56*TW25</f>
        <v>0</v>
      </c>
      <c r="UX25" s="200">
        <f>'1. Simulator Input'!$D$79*'1. Simulator Input'!$D$56*UB25</f>
        <v>0</v>
      </c>
      <c r="UY25" s="200">
        <f>'1. Simulator Input'!$D$87*'1. Simulator Input'!$D$56*TF25</f>
        <v>599571</v>
      </c>
      <c r="UZ25" s="200">
        <f>'1. Simulator Input'!$D$73*'1. Simulator Input'!$D$56*'Idaho Data'!TG25</f>
        <v>0</v>
      </c>
      <c r="VA25" s="200">
        <f>'1. Simulator Input'!$D$56*'1. Simulator Input'!$D$74*'Idaho Data'!TH25</f>
        <v>0</v>
      </c>
      <c r="VB25" s="200">
        <f>'1. Simulator Input'!$D$56*'1. Simulator Input'!$D$75*'Idaho Data'!TI20</f>
        <v>0</v>
      </c>
      <c r="VC25" s="200">
        <f>'1. Simulator Input'!$D$76*'1. Simulator Input'!$D$56*'Idaho Data'!TJ25</f>
        <v>0</v>
      </c>
      <c r="VD25" s="200">
        <f t="shared" si="68"/>
        <v>17475975</v>
      </c>
      <c r="VE25" s="200"/>
      <c r="VF25" s="182"/>
      <c r="VG25" s="200"/>
      <c r="VH25" s="200">
        <f t="shared" si="69"/>
        <v>0</v>
      </c>
      <c r="VI25" s="200">
        <f t="shared" si="70"/>
        <v>0</v>
      </c>
      <c r="VJ25" s="200">
        <f t="shared" si="16"/>
        <v>17475975</v>
      </c>
      <c r="VK25" s="200">
        <f t="shared" si="17"/>
        <v>17475975</v>
      </c>
      <c r="VL25" s="200"/>
      <c r="VM25" s="182"/>
      <c r="VN25" s="200"/>
      <c r="VO25" s="200">
        <f t="shared" si="71"/>
        <v>1795423</v>
      </c>
      <c r="VP25" s="200">
        <f t="shared" si="72"/>
        <v>16803273</v>
      </c>
      <c r="VQ25" s="200">
        <f t="shared" si="73"/>
        <v>40457615</v>
      </c>
      <c r="VR25" s="200">
        <f t="shared" si="74"/>
        <v>1795423</v>
      </c>
      <c r="VS25" s="200">
        <f t="shared" si="18"/>
        <v>17475975</v>
      </c>
      <c r="VT25" s="200">
        <f t="shared" si="19"/>
        <v>40457615</v>
      </c>
      <c r="VU25" s="200">
        <f t="shared" si="20"/>
        <v>0</v>
      </c>
      <c r="VV25" s="200"/>
      <c r="VW25" s="182"/>
      <c r="VX25" s="200"/>
      <c r="VZ25" s="199">
        <f t="shared" si="75"/>
        <v>672702</v>
      </c>
      <c r="WA25" s="199">
        <f t="shared" si="76"/>
        <v>220.26915520628683</v>
      </c>
      <c r="WB25" s="131">
        <f t="shared" si="77"/>
        <v>4.0033986235895831E-2</v>
      </c>
      <c r="WC25" s="131"/>
      <c r="WD25" s="461"/>
      <c r="WE25" s="893"/>
      <c r="WF25" s="893">
        <f t="shared" si="78"/>
        <v>19337.364440078585</v>
      </c>
      <c r="WG25" s="893">
        <f t="shared" si="79"/>
        <v>19557.633595284871</v>
      </c>
      <c r="WH25" s="893"/>
      <c r="WI25" s="893">
        <f t="shared" si="80"/>
        <v>16803273</v>
      </c>
      <c r="WJ25" s="893">
        <f t="shared" si="21"/>
        <v>17475975</v>
      </c>
      <c r="WK25" s="39" t="str">
        <f t="shared" si="22"/>
        <v/>
      </c>
      <c r="WL25" s="39" t="str">
        <f t="shared" si="23"/>
        <v/>
      </c>
      <c r="WM25" s="200" t="str">
        <f t="shared" si="24"/>
        <v/>
      </c>
      <c r="WN25" s="39" t="str">
        <f t="shared" si="25"/>
        <v/>
      </c>
      <c r="WO25" s="39"/>
      <c r="WP25" s="182"/>
      <c r="WQ25" s="39"/>
      <c r="WR25" s="305">
        <f t="shared" si="26"/>
        <v>0.96399999999999997</v>
      </c>
      <c r="WT25" s="200">
        <f t="shared" si="27"/>
        <v>5502.0540275049116</v>
      </c>
      <c r="WU25" s="131">
        <f t="shared" si="81"/>
        <v>0.14000000000000001</v>
      </c>
      <c r="WW25" s="199">
        <f t="shared" si="28"/>
        <v>1795423</v>
      </c>
      <c r="WX25" s="199">
        <f t="shared" si="29"/>
        <v>17475975</v>
      </c>
      <c r="WY25" s="199">
        <f t="shared" si="30"/>
        <v>0</v>
      </c>
      <c r="WZ25" s="199">
        <f t="shared" si="82"/>
        <v>17475975</v>
      </c>
      <c r="XA25" s="199">
        <f t="shared" si="31"/>
        <v>0</v>
      </c>
      <c r="XB25" s="199">
        <f t="shared" si="32"/>
        <v>40457615</v>
      </c>
      <c r="XC25" s="199">
        <f t="shared" si="33"/>
        <v>40457615</v>
      </c>
      <c r="XD25" s="199" t="str">
        <f t="shared" si="34"/>
        <v/>
      </c>
      <c r="XE25" s="199"/>
      <c r="XF25" s="199"/>
      <c r="XG25" s="199"/>
      <c r="XH25" s="199"/>
      <c r="XI25" s="199"/>
      <c r="XJ25" s="199">
        <f t="shared" si="83"/>
        <v>17475975</v>
      </c>
      <c r="XP25" s="199">
        <f t="shared" si="35"/>
        <v>17475975</v>
      </c>
      <c r="XQ25" s="199">
        <f t="shared" si="36"/>
        <v>5722.3231827111986</v>
      </c>
      <c r="XR25" s="199">
        <f t="shared" si="37"/>
        <v>17475975</v>
      </c>
      <c r="XS25" s="199">
        <f t="shared" si="38"/>
        <v>17475975</v>
      </c>
      <c r="XT25" s="199">
        <f t="shared" si="39"/>
        <v>5722.3231827111986</v>
      </c>
      <c r="XU25" s="199">
        <f t="shared" si="40"/>
        <v>16803273</v>
      </c>
      <c r="XV25" s="199">
        <f t="shared" si="41"/>
        <v>5502.0540275049116</v>
      </c>
      <c r="XW25" s="199">
        <f t="shared" si="42"/>
        <v>16803273</v>
      </c>
      <c r="XX25" s="199">
        <f t="shared" si="43"/>
        <v>5502.0540275049116</v>
      </c>
      <c r="XY25" s="199">
        <f t="shared" si="84"/>
        <v>672702</v>
      </c>
      <c r="XZ25" s="199">
        <f t="shared" si="85"/>
        <v>220.269155206287</v>
      </c>
      <c r="YA25" s="131">
        <f t="shared" si="86"/>
        <v>4.0033986235895859E-2</v>
      </c>
      <c r="YB25" s="199"/>
      <c r="YC25" s="221"/>
      <c r="YD25" s="199"/>
      <c r="YE25" s="199">
        <f t="shared" si="44"/>
        <v>1795423</v>
      </c>
      <c r="YF25" s="200">
        <f t="shared" si="45"/>
        <v>0</v>
      </c>
      <c r="YG25" s="199">
        <f t="shared" si="46"/>
        <v>40457615</v>
      </c>
      <c r="YH25" s="199">
        <f t="shared" si="47"/>
        <v>1503860</v>
      </c>
    </row>
    <row r="26" spans="1:658">
      <c r="A26" s="3">
        <v>71</v>
      </c>
      <c r="B26" s="2" t="s">
        <v>117</v>
      </c>
      <c r="C26" s="24">
        <v>29049</v>
      </c>
      <c r="D26" s="24">
        <v>0</v>
      </c>
      <c r="E26" s="24">
        <v>0</v>
      </c>
      <c r="F26" s="24">
        <v>0</v>
      </c>
      <c r="G26" s="24">
        <v>248457</v>
      </c>
      <c r="H26" s="24">
        <v>0</v>
      </c>
      <c r="I26" s="24">
        <v>85621</v>
      </c>
      <c r="J26" s="24">
        <v>4459</v>
      </c>
      <c r="K26" s="24">
        <v>0</v>
      </c>
      <c r="L26" s="24">
        <v>0</v>
      </c>
      <c r="M26" s="24">
        <v>0</v>
      </c>
      <c r="N26" s="24">
        <v>0</v>
      </c>
      <c r="O26" s="24">
        <v>0</v>
      </c>
      <c r="P26" s="24">
        <v>0</v>
      </c>
      <c r="Q26" s="24">
        <v>0</v>
      </c>
      <c r="R26" s="24">
        <v>0</v>
      </c>
      <c r="S26" s="24">
        <v>0</v>
      </c>
      <c r="T26" s="24">
        <v>0</v>
      </c>
      <c r="U26" s="24">
        <v>0</v>
      </c>
      <c r="V26" s="24">
        <v>0</v>
      </c>
      <c r="W26" s="24">
        <v>0</v>
      </c>
      <c r="X26" s="24">
        <v>957716</v>
      </c>
      <c r="Y26" s="24">
        <v>16194</v>
      </c>
      <c r="Z26" s="24">
        <v>0</v>
      </c>
      <c r="AA26" s="24">
        <v>2023</v>
      </c>
      <c r="AB26" s="24">
        <v>0</v>
      </c>
      <c r="AC26" s="24">
        <v>0</v>
      </c>
      <c r="AD26" s="24">
        <v>0</v>
      </c>
      <c r="AE26" s="24">
        <v>0</v>
      </c>
      <c r="AF26" s="24">
        <v>0</v>
      </c>
      <c r="AG26" s="24">
        <v>0</v>
      </c>
      <c r="AH26" s="24">
        <v>0</v>
      </c>
      <c r="AI26" s="24">
        <v>0</v>
      </c>
      <c r="AJ26" s="24">
        <v>0</v>
      </c>
      <c r="AK26" s="24">
        <v>0</v>
      </c>
      <c r="AL26" s="24">
        <v>2123</v>
      </c>
      <c r="AM26" s="24">
        <v>85</v>
      </c>
      <c r="AN26" s="24">
        <v>0</v>
      </c>
      <c r="AO26" s="24">
        <v>0</v>
      </c>
      <c r="AP26" s="24">
        <v>0</v>
      </c>
      <c r="AQ26" s="24">
        <v>0</v>
      </c>
      <c r="AR26" s="24">
        <v>0</v>
      </c>
      <c r="AS26" s="24">
        <v>0</v>
      </c>
      <c r="AT26" s="24">
        <v>0</v>
      </c>
      <c r="AU26" s="24">
        <v>0</v>
      </c>
      <c r="AV26" s="24">
        <v>0</v>
      </c>
      <c r="AW26" s="24">
        <v>0</v>
      </c>
      <c r="AX26" s="24">
        <v>0</v>
      </c>
      <c r="AY26" s="24">
        <v>0</v>
      </c>
      <c r="AZ26" s="24">
        <v>0</v>
      </c>
      <c r="BA26" s="24">
        <v>0</v>
      </c>
      <c r="BB26" s="24">
        <v>0</v>
      </c>
      <c r="BC26" s="24">
        <v>0</v>
      </c>
      <c r="BD26" s="24">
        <v>974</v>
      </c>
      <c r="BE26" s="24">
        <v>0</v>
      </c>
      <c r="BF26" s="24">
        <v>0</v>
      </c>
      <c r="BG26" s="24">
        <v>0</v>
      </c>
      <c r="BH26" s="24">
        <v>0</v>
      </c>
      <c r="BI26" s="24">
        <v>0</v>
      </c>
      <c r="BJ26" s="24">
        <v>0</v>
      </c>
      <c r="BK26" s="24">
        <v>0</v>
      </c>
      <c r="BL26" s="24">
        <v>0</v>
      </c>
      <c r="BM26" s="24">
        <v>89</v>
      </c>
      <c r="BN26" s="24">
        <v>0</v>
      </c>
      <c r="BO26" s="24">
        <v>0</v>
      </c>
      <c r="BP26" s="24">
        <v>0</v>
      </c>
      <c r="BQ26" s="24">
        <v>0</v>
      </c>
      <c r="BR26" s="24">
        <v>0</v>
      </c>
      <c r="BS26" s="24">
        <v>0</v>
      </c>
      <c r="BT26" s="24">
        <v>0</v>
      </c>
      <c r="BU26" s="24">
        <v>0</v>
      </c>
      <c r="BV26" s="24">
        <v>0</v>
      </c>
      <c r="BW26" s="24">
        <v>0</v>
      </c>
      <c r="BX26" s="24">
        <v>0</v>
      </c>
      <c r="BY26" s="24">
        <v>0</v>
      </c>
      <c r="BZ26" s="24">
        <v>0</v>
      </c>
      <c r="CA26" s="24">
        <v>0</v>
      </c>
      <c r="CB26" s="24">
        <v>0</v>
      </c>
      <c r="CC26" s="24">
        <v>0</v>
      </c>
      <c r="CD26" s="24">
        <v>0</v>
      </c>
      <c r="CE26" s="24">
        <v>34613</v>
      </c>
      <c r="CF26" s="24">
        <v>0</v>
      </c>
      <c r="CG26" s="24">
        <v>0</v>
      </c>
      <c r="CH26" s="24">
        <v>0</v>
      </c>
      <c r="CI26" s="24">
        <v>0</v>
      </c>
      <c r="CJ26" s="24">
        <v>0</v>
      </c>
      <c r="CK26" s="24">
        <v>0</v>
      </c>
      <c r="CL26" s="24">
        <v>0</v>
      </c>
      <c r="CM26" s="24">
        <v>0</v>
      </c>
      <c r="CN26" s="24">
        <v>0</v>
      </c>
      <c r="CO26" s="24">
        <v>0</v>
      </c>
      <c r="CP26" s="24">
        <v>0</v>
      </c>
      <c r="CQ26" s="24">
        <v>0</v>
      </c>
      <c r="CR26" s="24">
        <v>0</v>
      </c>
      <c r="CS26" s="24">
        <v>0</v>
      </c>
      <c r="CT26" s="24">
        <v>0</v>
      </c>
      <c r="CU26" s="24">
        <v>0</v>
      </c>
      <c r="CV26" s="24">
        <v>0</v>
      </c>
      <c r="CW26" s="24">
        <v>0</v>
      </c>
      <c r="CX26" s="24">
        <v>0</v>
      </c>
      <c r="CY26" s="24">
        <v>0</v>
      </c>
      <c r="CZ26" s="24">
        <v>0</v>
      </c>
      <c r="DA26" s="24">
        <v>0</v>
      </c>
      <c r="DB26" s="24">
        <v>0</v>
      </c>
      <c r="DC26" s="24">
        <v>0</v>
      </c>
      <c r="DD26" s="24">
        <v>75</v>
      </c>
      <c r="DE26" s="24">
        <v>0</v>
      </c>
      <c r="DF26" s="24">
        <v>0</v>
      </c>
      <c r="DG26" s="24">
        <v>0</v>
      </c>
      <c r="DH26" s="24">
        <v>0</v>
      </c>
      <c r="DI26" s="24">
        <v>0</v>
      </c>
      <c r="DJ26" s="24">
        <v>0</v>
      </c>
      <c r="DK26" s="24">
        <v>0</v>
      </c>
      <c r="DL26" s="24">
        <v>0</v>
      </c>
      <c r="DM26" s="24">
        <v>0</v>
      </c>
      <c r="DN26" s="24">
        <v>0</v>
      </c>
      <c r="DO26" s="24">
        <v>0</v>
      </c>
      <c r="DP26" s="24">
        <v>0</v>
      </c>
      <c r="DQ26" s="24">
        <v>0</v>
      </c>
      <c r="DR26" s="24">
        <v>0</v>
      </c>
      <c r="DS26" s="24">
        <v>0</v>
      </c>
      <c r="DT26" s="24">
        <v>0</v>
      </c>
      <c r="DU26" s="24">
        <v>0</v>
      </c>
      <c r="DV26" s="24">
        <v>0</v>
      </c>
      <c r="DW26" s="24">
        <v>0</v>
      </c>
      <c r="DX26" s="24">
        <v>0</v>
      </c>
      <c r="DY26" s="24">
        <v>0</v>
      </c>
      <c r="DZ26" s="24">
        <v>0</v>
      </c>
      <c r="EA26" s="24">
        <v>0</v>
      </c>
      <c r="EB26" s="24">
        <v>0</v>
      </c>
      <c r="EC26" s="24">
        <v>0</v>
      </c>
      <c r="ED26" s="24">
        <v>0</v>
      </c>
      <c r="EE26" s="24">
        <v>0</v>
      </c>
      <c r="EF26" s="24">
        <v>0</v>
      </c>
      <c r="EG26" s="24">
        <v>0</v>
      </c>
      <c r="EH26" s="24">
        <v>0</v>
      </c>
      <c r="EI26" s="24">
        <v>0</v>
      </c>
      <c r="EJ26" s="24">
        <v>0</v>
      </c>
      <c r="EK26" s="24">
        <v>0</v>
      </c>
      <c r="EL26" s="24">
        <v>0</v>
      </c>
      <c r="EM26" s="24">
        <v>0</v>
      </c>
      <c r="EN26" s="24">
        <v>0</v>
      </c>
      <c r="EO26" s="24">
        <v>0</v>
      </c>
      <c r="EP26" s="24">
        <v>0</v>
      </c>
      <c r="EQ26" s="24">
        <v>0</v>
      </c>
      <c r="ER26" s="24">
        <v>0</v>
      </c>
      <c r="ES26" s="24">
        <v>0</v>
      </c>
      <c r="ET26" s="24">
        <v>0</v>
      </c>
      <c r="EU26" s="24">
        <v>0</v>
      </c>
      <c r="EV26" s="24">
        <v>0</v>
      </c>
      <c r="EW26" s="24">
        <v>0</v>
      </c>
      <c r="EX26" s="24">
        <v>0</v>
      </c>
      <c r="EY26" s="24">
        <v>0</v>
      </c>
      <c r="EZ26" s="24">
        <v>0</v>
      </c>
      <c r="FA26" s="24">
        <v>0</v>
      </c>
      <c r="FB26" s="24">
        <v>30865</v>
      </c>
      <c r="FC26" s="24">
        <v>0</v>
      </c>
      <c r="FD26" s="24">
        <v>0</v>
      </c>
      <c r="FE26" s="24">
        <v>0</v>
      </c>
      <c r="FF26" s="24">
        <v>0</v>
      </c>
      <c r="FG26" s="24">
        <v>0</v>
      </c>
      <c r="FH26" s="24">
        <v>0</v>
      </c>
      <c r="FI26" s="24">
        <v>0</v>
      </c>
      <c r="FJ26" s="24">
        <v>0</v>
      </c>
      <c r="FK26" s="24">
        <v>0</v>
      </c>
      <c r="FL26" s="24">
        <v>0</v>
      </c>
      <c r="FM26" s="24">
        <v>0</v>
      </c>
      <c r="FN26" s="24">
        <v>0</v>
      </c>
      <c r="FO26" s="24">
        <v>0</v>
      </c>
      <c r="FP26" s="24">
        <v>0</v>
      </c>
      <c r="FQ26" s="24">
        <v>0</v>
      </c>
      <c r="FR26" s="24">
        <v>0</v>
      </c>
      <c r="FS26" s="24">
        <v>48334</v>
      </c>
      <c r="FT26" s="24">
        <v>0</v>
      </c>
      <c r="FU26" s="24">
        <v>0</v>
      </c>
      <c r="FV26" s="24">
        <v>0</v>
      </c>
      <c r="FW26" s="24">
        <v>0</v>
      </c>
      <c r="FX26" s="24">
        <v>0</v>
      </c>
      <c r="FY26" s="24">
        <v>0</v>
      </c>
      <c r="FZ26" s="24">
        <v>0</v>
      </c>
      <c r="GA26" s="24">
        <v>0</v>
      </c>
      <c r="GB26" s="24">
        <v>0</v>
      </c>
      <c r="GC26" s="24">
        <v>0</v>
      </c>
      <c r="GD26" s="24">
        <v>0</v>
      </c>
      <c r="GE26" s="24">
        <v>0</v>
      </c>
      <c r="GF26" s="24">
        <v>0</v>
      </c>
      <c r="GG26" s="24">
        <v>0</v>
      </c>
      <c r="GH26" s="24">
        <v>0</v>
      </c>
      <c r="GI26" s="24">
        <v>0</v>
      </c>
      <c r="GJ26" s="24">
        <v>0</v>
      </c>
      <c r="GK26" s="24">
        <v>0</v>
      </c>
      <c r="GL26" s="24">
        <v>0</v>
      </c>
      <c r="GM26" s="24">
        <v>0</v>
      </c>
      <c r="GN26" s="24">
        <v>0</v>
      </c>
      <c r="GO26" s="24">
        <v>0</v>
      </c>
      <c r="GP26" s="24">
        <v>0</v>
      </c>
      <c r="GQ26" s="24">
        <v>0</v>
      </c>
      <c r="GR26" s="24">
        <v>121</v>
      </c>
      <c r="GS26" s="24">
        <v>0</v>
      </c>
      <c r="GT26" s="24">
        <v>0</v>
      </c>
      <c r="GU26" s="24">
        <v>0</v>
      </c>
      <c r="GV26" s="24">
        <v>0</v>
      </c>
      <c r="GW26" s="24">
        <v>0</v>
      </c>
      <c r="GX26" s="24">
        <v>0</v>
      </c>
      <c r="GY26" s="24">
        <v>0</v>
      </c>
      <c r="GZ26" s="24">
        <v>0</v>
      </c>
      <c r="HA26" s="24">
        <v>0</v>
      </c>
      <c r="HB26" s="24">
        <v>0</v>
      </c>
      <c r="HC26" s="24">
        <v>0</v>
      </c>
      <c r="HD26" s="24">
        <v>1791507</v>
      </c>
      <c r="HE26" s="24">
        <v>0</v>
      </c>
      <c r="HF26" s="24">
        <v>0</v>
      </c>
      <c r="HG26" s="24">
        <v>0</v>
      </c>
      <c r="HH26" s="24">
        <v>0</v>
      </c>
      <c r="HI26" s="24">
        <v>0</v>
      </c>
      <c r="HJ26" s="24">
        <v>0</v>
      </c>
      <c r="HK26" s="24">
        <v>0</v>
      </c>
      <c r="HL26" s="24">
        <v>0</v>
      </c>
      <c r="HM26" s="24">
        <v>0</v>
      </c>
      <c r="HN26" s="24">
        <v>0</v>
      </c>
      <c r="HO26" s="24">
        <v>0</v>
      </c>
      <c r="HP26" s="24">
        <v>87537</v>
      </c>
      <c r="HQ26" s="24">
        <v>0</v>
      </c>
      <c r="HR26" s="24">
        <v>0</v>
      </c>
      <c r="HS26" s="24">
        <v>0</v>
      </c>
      <c r="HT26" s="24">
        <v>0</v>
      </c>
      <c r="HU26" s="24">
        <v>0</v>
      </c>
      <c r="HV26" s="24">
        <v>0</v>
      </c>
      <c r="HW26" s="24">
        <v>0</v>
      </c>
      <c r="HX26" s="24">
        <v>0</v>
      </c>
      <c r="HY26" s="24">
        <v>0</v>
      </c>
      <c r="HZ26" s="24">
        <v>0</v>
      </c>
      <c r="IA26" s="24">
        <v>23237</v>
      </c>
      <c r="IB26" s="24">
        <v>3077</v>
      </c>
      <c r="IC26" s="24">
        <v>0</v>
      </c>
      <c r="ID26" s="24">
        <v>0</v>
      </c>
      <c r="IE26" s="24">
        <v>0</v>
      </c>
      <c r="IF26" s="24">
        <v>0</v>
      </c>
      <c r="IG26" s="24">
        <v>0</v>
      </c>
      <c r="IH26" s="24">
        <v>0</v>
      </c>
      <c r="II26" s="24">
        <v>0</v>
      </c>
      <c r="IJ26" s="24">
        <v>0</v>
      </c>
      <c r="IK26" s="24">
        <v>0</v>
      </c>
      <c r="IL26" s="24">
        <v>0</v>
      </c>
      <c r="IM26" s="24">
        <v>0</v>
      </c>
      <c r="IN26" s="24">
        <v>0</v>
      </c>
      <c r="IO26" s="24">
        <v>0</v>
      </c>
      <c r="IP26" s="24">
        <v>0</v>
      </c>
      <c r="IQ26" s="24">
        <v>0</v>
      </c>
      <c r="IR26" s="24">
        <v>7146</v>
      </c>
      <c r="IS26" s="24">
        <v>0</v>
      </c>
      <c r="IT26" s="24">
        <v>0</v>
      </c>
      <c r="IU26" s="24">
        <v>0</v>
      </c>
      <c r="IV26" s="24">
        <v>0</v>
      </c>
      <c r="IW26" s="24">
        <v>15242</v>
      </c>
      <c r="IX26" s="24">
        <v>0</v>
      </c>
      <c r="IY26" s="24">
        <v>0</v>
      </c>
      <c r="IZ26" s="24">
        <v>0</v>
      </c>
      <c r="JA26" s="24">
        <v>0</v>
      </c>
      <c r="JB26" s="24">
        <v>13276</v>
      </c>
      <c r="JC26" s="24">
        <v>0</v>
      </c>
      <c r="JD26" s="24">
        <v>0</v>
      </c>
      <c r="JE26" s="24">
        <v>0</v>
      </c>
      <c r="JF26" s="24">
        <v>0</v>
      </c>
      <c r="JG26" s="24">
        <v>0</v>
      </c>
      <c r="JH26" s="24">
        <v>0</v>
      </c>
      <c r="JI26" s="24">
        <v>0</v>
      </c>
      <c r="JJ26" s="24">
        <v>0</v>
      </c>
      <c r="JK26" s="24">
        <v>0</v>
      </c>
      <c r="JL26" s="24">
        <v>0</v>
      </c>
      <c r="JM26" s="24">
        <v>0</v>
      </c>
      <c r="JN26" s="24">
        <v>0</v>
      </c>
      <c r="JO26" s="24">
        <v>0</v>
      </c>
      <c r="JP26" s="24">
        <v>0</v>
      </c>
      <c r="JQ26" s="24">
        <v>0</v>
      </c>
      <c r="JR26" s="24">
        <v>0</v>
      </c>
      <c r="JS26" s="24">
        <v>0</v>
      </c>
      <c r="JT26" s="24">
        <v>0</v>
      </c>
      <c r="JU26" s="24">
        <v>0</v>
      </c>
      <c r="JV26" s="24">
        <v>0</v>
      </c>
      <c r="JW26" s="24">
        <v>0</v>
      </c>
      <c r="JX26" s="24">
        <v>0</v>
      </c>
      <c r="JY26" s="24">
        <v>0</v>
      </c>
      <c r="JZ26" s="24">
        <v>0</v>
      </c>
      <c r="KA26" s="24">
        <v>0</v>
      </c>
      <c r="KB26" s="24">
        <v>0</v>
      </c>
      <c r="KC26" s="24">
        <v>0</v>
      </c>
      <c r="KD26" s="24">
        <v>0</v>
      </c>
      <c r="KE26" s="24">
        <v>0</v>
      </c>
      <c r="KF26" s="24">
        <v>0</v>
      </c>
      <c r="KG26" s="24">
        <v>0</v>
      </c>
      <c r="KH26" s="24">
        <v>0</v>
      </c>
      <c r="KI26" s="24">
        <v>0</v>
      </c>
      <c r="KJ26" s="24">
        <v>0</v>
      </c>
      <c r="KK26" s="24">
        <v>0</v>
      </c>
      <c r="KL26" s="24">
        <v>0</v>
      </c>
      <c r="KM26" s="24">
        <v>0</v>
      </c>
      <c r="KN26" s="24">
        <v>0</v>
      </c>
      <c r="KO26" s="24">
        <v>0</v>
      </c>
      <c r="KP26" s="24">
        <v>0</v>
      </c>
      <c r="KQ26" s="24">
        <v>0</v>
      </c>
      <c r="KR26" s="24">
        <v>73206</v>
      </c>
      <c r="KS26" s="24">
        <v>0</v>
      </c>
      <c r="KT26" s="24">
        <v>0</v>
      </c>
      <c r="KU26" s="24">
        <v>0</v>
      </c>
      <c r="KV26" s="24">
        <v>0</v>
      </c>
      <c r="KW26" s="24">
        <v>0</v>
      </c>
      <c r="KX26" s="24">
        <v>0</v>
      </c>
      <c r="KY26" s="24">
        <v>0</v>
      </c>
      <c r="KZ26" s="24">
        <v>0</v>
      </c>
      <c r="LA26" s="24">
        <v>0</v>
      </c>
      <c r="LB26" s="24">
        <v>0</v>
      </c>
      <c r="LC26" s="24">
        <v>0</v>
      </c>
      <c r="LD26" s="24">
        <v>0</v>
      </c>
      <c r="LE26" s="24">
        <v>0</v>
      </c>
      <c r="LF26" s="24">
        <v>0</v>
      </c>
      <c r="LG26" s="24">
        <v>0</v>
      </c>
      <c r="LH26" s="24">
        <v>0</v>
      </c>
      <c r="LI26" s="24">
        <v>0</v>
      </c>
      <c r="LJ26" s="24">
        <v>0</v>
      </c>
      <c r="LK26" s="24">
        <v>0</v>
      </c>
      <c r="LL26" s="24">
        <v>0</v>
      </c>
      <c r="LM26" s="24">
        <v>0</v>
      </c>
      <c r="LN26" s="24">
        <v>0</v>
      </c>
      <c r="LO26" s="24">
        <v>0</v>
      </c>
      <c r="LP26" s="24">
        <v>0</v>
      </c>
      <c r="LQ26" s="24">
        <v>54136</v>
      </c>
      <c r="LR26" s="24">
        <v>0</v>
      </c>
      <c r="LS26" s="24">
        <v>0</v>
      </c>
      <c r="LT26" s="24">
        <v>25414</v>
      </c>
      <c r="LU26" s="24">
        <v>0</v>
      </c>
      <c r="LV26" s="24">
        <v>0</v>
      </c>
      <c r="LW26" s="24">
        <v>0</v>
      </c>
      <c r="LX26" s="24">
        <v>0</v>
      </c>
      <c r="LY26" s="24">
        <v>0</v>
      </c>
      <c r="LZ26" s="24">
        <v>0</v>
      </c>
      <c r="MA26" s="24">
        <v>0</v>
      </c>
      <c r="MB26" s="24">
        <v>0</v>
      </c>
      <c r="MC26" s="24">
        <v>0</v>
      </c>
      <c r="MD26" s="24">
        <v>0</v>
      </c>
      <c r="ME26" s="24">
        <v>0</v>
      </c>
      <c r="MF26" s="24">
        <v>0</v>
      </c>
      <c r="MG26" s="24">
        <v>0</v>
      </c>
      <c r="MH26" s="24">
        <v>0</v>
      </c>
      <c r="MI26" s="24">
        <v>0</v>
      </c>
      <c r="MJ26" s="24">
        <v>0</v>
      </c>
      <c r="MK26" s="24">
        <v>0</v>
      </c>
      <c r="ML26" s="24">
        <v>0</v>
      </c>
      <c r="MM26" s="24">
        <v>0</v>
      </c>
      <c r="MN26" s="24">
        <v>0</v>
      </c>
      <c r="MO26" s="24">
        <v>3944</v>
      </c>
      <c r="MP26" s="24">
        <v>0</v>
      </c>
      <c r="MQ26" s="24">
        <v>0</v>
      </c>
      <c r="MR26" s="24">
        <v>102325</v>
      </c>
      <c r="MS26" s="24">
        <v>0</v>
      </c>
      <c r="MT26" s="24">
        <v>0</v>
      </c>
      <c r="MU26" s="24">
        <v>0</v>
      </c>
      <c r="MV26" s="24">
        <v>0</v>
      </c>
      <c r="MW26" s="24">
        <v>38394</v>
      </c>
      <c r="MX26" s="24">
        <v>860</v>
      </c>
      <c r="MY26" s="24">
        <v>21953</v>
      </c>
      <c r="MZ26" s="24">
        <v>0</v>
      </c>
      <c r="NA26" s="24">
        <v>0</v>
      </c>
      <c r="NB26" s="24">
        <v>0</v>
      </c>
      <c r="NC26" s="24">
        <v>0</v>
      </c>
      <c r="ND26" s="24">
        <v>0</v>
      </c>
      <c r="NE26" s="24">
        <v>0</v>
      </c>
      <c r="NF26" s="24">
        <v>0</v>
      </c>
      <c r="NG26" s="24">
        <v>0</v>
      </c>
      <c r="NH26" s="24">
        <v>0</v>
      </c>
      <c r="NI26" s="24">
        <v>0</v>
      </c>
      <c r="NJ26" s="24">
        <v>0</v>
      </c>
      <c r="NK26" s="24">
        <v>0</v>
      </c>
      <c r="NL26" s="24">
        <v>0</v>
      </c>
      <c r="NM26" s="24">
        <v>0</v>
      </c>
      <c r="NN26" s="24">
        <v>0</v>
      </c>
      <c r="NO26" s="24">
        <v>0</v>
      </c>
      <c r="NP26" s="24">
        <v>0</v>
      </c>
      <c r="NQ26" s="24">
        <v>0</v>
      </c>
      <c r="NR26" s="24">
        <v>0</v>
      </c>
      <c r="NS26" s="24">
        <v>0</v>
      </c>
      <c r="NT26" s="24">
        <v>0</v>
      </c>
      <c r="NU26" s="24">
        <v>0</v>
      </c>
      <c r="NV26" s="24">
        <v>7177</v>
      </c>
      <c r="NW26" s="24">
        <v>0</v>
      </c>
      <c r="NX26" s="24">
        <v>0</v>
      </c>
      <c r="NY26" s="24">
        <v>0</v>
      </c>
      <c r="NZ26" s="24">
        <v>0</v>
      </c>
      <c r="OA26" s="24">
        <v>0</v>
      </c>
      <c r="OB26" s="24">
        <v>0</v>
      </c>
      <c r="OC26" s="24">
        <v>0</v>
      </c>
      <c r="OD26" s="24">
        <v>0</v>
      </c>
      <c r="OE26" s="24">
        <v>0</v>
      </c>
      <c r="OF26" s="24">
        <v>0</v>
      </c>
      <c r="OG26" s="24">
        <v>0</v>
      </c>
      <c r="OH26" s="24">
        <v>0</v>
      </c>
      <c r="OI26" s="24">
        <v>0</v>
      </c>
      <c r="OJ26" s="24">
        <v>0</v>
      </c>
      <c r="OK26" s="24">
        <v>0</v>
      </c>
      <c r="OL26" s="24">
        <v>0</v>
      </c>
      <c r="OM26" s="24">
        <v>0</v>
      </c>
      <c r="ON26" s="24">
        <v>0</v>
      </c>
      <c r="OO26" s="24">
        <v>0</v>
      </c>
      <c r="OP26" s="24">
        <v>0</v>
      </c>
      <c r="OQ26" s="24">
        <v>0</v>
      </c>
      <c r="OR26" s="24">
        <v>0</v>
      </c>
      <c r="OS26" s="24">
        <v>0</v>
      </c>
      <c r="OT26" s="24">
        <v>0</v>
      </c>
      <c r="OU26" s="24">
        <v>0</v>
      </c>
      <c r="OV26" s="24">
        <v>0</v>
      </c>
      <c r="OW26" s="24">
        <v>0</v>
      </c>
      <c r="OX26" s="24">
        <v>0</v>
      </c>
      <c r="OY26" s="24">
        <v>0</v>
      </c>
      <c r="OZ26" s="24">
        <v>0</v>
      </c>
      <c r="PA26" s="24">
        <v>0</v>
      </c>
      <c r="PB26" s="24">
        <v>0</v>
      </c>
      <c r="PC26" s="24">
        <v>0</v>
      </c>
      <c r="PD26" s="24">
        <v>0</v>
      </c>
      <c r="PE26" s="24">
        <v>0</v>
      </c>
      <c r="PF26" s="24">
        <v>0</v>
      </c>
      <c r="PG26" s="24">
        <v>0</v>
      </c>
      <c r="PH26" s="24">
        <v>0</v>
      </c>
      <c r="PI26" s="24">
        <v>0</v>
      </c>
      <c r="PJ26" s="24">
        <v>0</v>
      </c>
      <c r="PK26" s="24">
        <v>0</v>
      </c>
      <c r="PL26" s="24">
        <v>0</v>
      </c>
      <c r="PM26" s="24">
        <v>0</v>
      </c>
      <c r="PN26" s="24">
        <v>0</v>
      </c>
      <c r="PO26" s="24">
        <v>0</v>
      </c>
      <c r="PP26" s="24">
        <v>0</v>
      </c>
      <c r="PQ26" s="24">
        <v>0</v>
      </c>
      <c r="PR26" s="24">
        <v>0</v>
      </c>
      <c r="PS26" s="24">
        <v>0</v>
      </c>
      <c r="PT26" s="24">
        <v>0</v>
      </c>
      <c r="PU26" s="24">
        <v>1492</v>
      </c>
      <c r="PV26" s="24">
        <v>0</v>
      </c>
      <c r="PW26" s="24">
        <v>0</v>
      </c>
      <c r="PX26" s="24">
        <v>0</v>
      </c>
      <c r="PY26" s="24">
        <v>0</v>
      </c>
      <c r="PZ26" s="24">
        <v>0</v>
      </c>
      <c r="QA26" s="24">
        <v>0</v>
      </c>
      <c r="QB26" s="24">
        <v>0</v>
      </c>
      <c r="QC26" s="24">
        <v>0</v>
      </c>
      <c r="QD26" s="24">
        <v>0</v>
      </c>
      <c r="QE26" s="24">
        <v>0</v>
      </c>
      <c r="QF26" s="24">
        <v>0</v>
      </c>
      <c r="QG26" s="24">
        <v>0</v>
      </c>
      <c r="QH26" s="24">
        <v>0</v>
      </c>
      <c r="QI26" s="24">
        <v>0</v>
      </c>
      <c r="QJ26" s="24">
        <v>0</v>
      </c>
      <c r="QK26" s="24">
        <v>0</v>
      </c>
      <c r="QL26" s="24">
        <v>0</v>
      </c>
      <c r="QM26" s="24">
        <v>0</v>
      </c>
      <c r="QN26" s="24">
        <v>0</v>
      </c>
      <c r="QO26" s="24">
        <v>0</v>
      </c>
      <c r="QP26" s="24">
        <v>0</v>
      </c>
      <c r="QQ26" s="24">
        <v>0</v>
      </c>
      <c r="QR26" s="24">
        <v>0</v>
      </c>
      <c r="QS26" s="24">
        <v>0</v>
      </c>
      <c r="QT26" s="24">
        <v>0</v>
      </c>
      <c r="QU26" s="24">
        <v>0</v>
      </c>
      <c r="QV26" s="24">
        <v>0</v>
      </c>
      <c r="QW26" s="24">
        <v>0</v>
      </c>
      <c r="QX26" s="24">
        <v>0</v>
      </c>
      <c r="QY26" s="24">
        <v>0</v>
      </c>
      <c r="QZ26" s="24">
        <v>0</v>
      </c>
      <c r="RA26" s="24">
        <v>0</v>
      </c>
      <c r="RB26" s="24">
        <v>0</v>
      </c>
      <c r="RG26" s="39">
        <f t="shared" si="48"/>
        <v>1791507</v>
      </c>
      <c r="RH26" s="39">
        <f t="shared" si="48"/>
        <v>0</v>
      </c>
      <c r="RI26" s="39">
        <f t="shared" si="48"/>
        <v>0</v>
      </c>
      <c r="RJ26" s="39">
        <f t="shared" si="48"/>
        <v>0</v>
      </c>
      <c r="RK26" s="39">
        <f t="shared" si="48"/>
        <v>0</v>
      </c>
      <c r="RL26" s="39">
        <f t="shared" si="48"/>
        <v>0</v>
      </c>
      <c r="RM26" s="39">
        <f t="shared" si="48"/>
        <v>113851</v>
      </c>
      <c r="RN26" s="39">
        <f t="shared" si="48"/>
        <v>0</v>
      </c>
      <c r="RO26" s="39">
        <f t="shared" si="48"/>
        <v>7146</v>
      </c>
      <c r="RP26" s="39">
        <f t="shared" si="48"/>
        <v>15242</v>
      </c>
      <c r="RQ26" s="39">
        <f t="shared" si="48"/>
        <v>13276</v>
      </c>
      <c r="RR26" s="39">
        <f t="shared" si="48"/>
        <v>0</v>
      </c>
      <c r="RS26" s="39"/>
      <c r="RT26" s="182"/>
      <c r="RU26" s="39"/>
      <c r="RV26" s="39">
        <f t="shared" si="49"/>
        <v>327409</v>
      </c>
      <c r="RW26" s="39">
        <f t="shared" si="49"/>
        <v>1941022</v>
      </c>
      <c r="RX26" s="39">
        <f t="shared" si="49"/>
        <v>1460798</v>
      </c>
      <c r="RY26" s="39">
        <f t="shared" si="49"/>
        <v>1492</v>
      </c>
      <c r="RZ26" s="39"/>
      <c r="SA26" s="182"/>
      <c r="SB26" s="39"/>
      <c r="SC26" s="25">
        <f t="shared" si="50"/>
        <v>6794.4093023255818</v>
      </c>
      <c r="SD26" s="39">
        <f>IFERROR(VLOOKUP(A26, 'Levy Data 15-16'!$B:$O, 3, FALSE), 0)</f>
        <v>390888421</v>
      </c>
      <c r="SE26" s="39">
        <f t="shared" si="9"/>
        <v>1818085.6790697675</v>
      </c>
      <c r="SF26" s="631">
        <f>IFERROR(VLOOKUP(A26, 'Levy Data 15-16'!$B:$O, 14, FALSE), 0)*1000</f>
        <v>3.3692659999999997</v>
      </c>
      <c r="SG26" s="39">
        <f t="shared" si="10"/>
        <v>0</v>
      </c>
      <c r="SH26" s="39">
        <f t="shared" si="11"/>
        <v>0</v>
      </c>
      <c r="SI26" s="39">
        <f t="shared" si="12"/>
        <v>1460798</v>
      </c>
      <c r="SM26" s="39">
        <f t="shared" si="13"/>
        <v>1941022</v>
      </c>
      <c r="SN26" s="39">
        <f t="shared" si="14"/>
        <v>0</v>
      </c>
      <c r="SO26" s="39">
        <f t="shared" si="51"/>
        <v>1941022</v>
      </c>
      <c r="SP26" s="50">
        <f t="shared" si="52"/>
        <v>1</v>
      </c>
      <c r="ST26" s="124">
        <f>IFERROR(VLOOKUP(A26,'Grade Enroll 15-16'!B:AC,27,FALSE),"")</f>
        <v>215</v>
      </c>
      <c r="SU26" s="124">
        <f t="shared" si="53"/>
        <v>108.83817427385891</v>
      </c>
      <c r="SV26" s="131">
        <f>IFERROR(VLOOKUP($A26, 'Title I Enroll 16-17'!S:V, 4, FALSE), 0)</f>
        <v>0.50622406639004147</v>
      </c>
      <c r="SW26" s="729">
        <f>IFERROR(VLOOKUP(A26, 'ELL Enroll 15-16'!$N:$S, 6, FALSE), 0)</f>
        <v>5</v>
      </c>
      <c r="SX26" s="131">
        <f t="shared" si="54"/>
        <v>2.3255813953488372E-2</v>
      </c>
      <c r="SY26" s="124">
        <f>IFERROR(VLOOKUP(A26, 'SPED enroll 2015-16'!$M:$O, 3, FALSE), 0)</f>
        <v>20</v>
      </c>
      <c r="SZ26" s="131">
        <f t="shared" si="55"/>
        <v>9.3023255813953487E-2</v>
      </c>
      <c r="TA26" s="142">
        <f t="shared" si="56"/>
        <v>14</v>
      </c>
      <c r="TB26" s="142">
        <f t="shared" si="56"/>
        <v>4</v>
      </c>
      <c r="TC26" s="142">
        <f t="shared" si="56"/>
        <v>1.4000000000000001</v>
      </c>
      <c r="TD26" s="142">
        <f t="shared" si="56"/>
        <v>0.6</v>
      </c>
      <c r="TE26" s="124">
        <f>VLOOKUP($A26, 'Grade Enroll 15-16'!$B:$AB, 20, FALSE)</f>
        <v>12</v>
      </c>
      <c r="TF26" s="124">
        <f>VLOOKUP($A26, 'Grade Enroll 15-16'!$B:$AB, 21, FALSE)</f>
        <v>16</v>
      </c>
      <c r="TG26" s="124">
        <f>VLOOKUP($A26, 'Grade Enroll 15-16'!$B:$AB, 22, FALSE)</f>
        <v>53</v>
      </c>
      <c r="TH26" s="124">
        <f>VLOOKUP($A26, 'Grade Enroll 15-16'!$B:$AB, 23, FALSE)</f>
        <v>47</v>
      </c>
      <c r="TI26" s="124">
        <f>VLOOKUP($A26, 'Grade Enroll 15-16'!$B:$AB, 24, FALSE)</f>
        <v>39</v>
      </c>
      <c r="TJ26" s="124">
        <f>VLOOKUP($A26, 'Grade Enroll 15-16'!$B:$AB, 25, FALSE)</f>
        <v>76</v>
      </c>
      <c r="TK26" s="124">
        <f>VLOOKUP($A26, 'Grade Enroll 15-16'!$B:$AB, 26, FALSE)</f>
        <v>143</v>
      </c>
      <c r="TL26" s="131">
        <f>SUMIFS('Student Achievement 15-16'!N:N, 'Student Achievement 15-16'!B:B, 'Idaho Data'!A26, 'Student Achievement 15-16'!D:D, "math")/100</f>
        <v>0.217</v>
      </c>
      <c r="TM26" s="134">
        <f t="shared" si="57"/>
        <v>46.655000000000001</v>
      </c>
      <c r="TN26" s="131">
        <f>SUMIFS('Student Achievement 15-16'!N:N, 'Student Achievement 15-16'!B:B, 'Idaho Data'!A26, 'Student Achievement 15-16'!D:D, "ela")/100</f>
        <v>0.15</v>
      </c>
      <c r="TO26" s="134">
        <f t="shared" si="58"/>
        <v>32.25</v>
      </c>
      <c r="TP26" s="688">
        <f>IFERROR(VLOOKUP(A26, 'G&amp;T 15-16'!B:G, 6, FALSE), 0)*1</f>
        <v>0</v>
      </c>
      <c r="TQ26" s="168">
        <f t="shared" si="59"/>
        <v>12.9</v>
      </c>
      <c r="TU26" s="168">
        <f t="shared" si="60"/>
        <v>32.25</v>
      </c>
      <c r="TV26" s="168">
        <f t="shared" si="61"/>
        <v>46.655000000000001</v>
      </c>
      <c r="TW26" s="205">
        <f t="shared" si="62"/>
        <v>46.655000000000001</v>
      </c>
      <c r="TX26" s="144"/>
      <c r="TY26" s="129"/>
      <c r="TZ26" s="127">
        <f t="shared" si="63"/>
        <v>0</v>
      </c>
      <c r="UA26" s="127">
        <f t="shared" si="64"/>
        <v>12.9</v>
      </c>
      <c r="UB26" s="205">
        <f t="shared" si="65"/>
        <v>12.9</v>
      </c>
      <c r="UE26" s="853" t="str">
        <f>IF(ST26&lt;='1. Simulator Input'!$E$104, "yes", "")</f>
        <v>yes</v>
      </c>
      <c r="UI26" s="199">
        <f t="shared" si="66"/>
        <v>0</v>
      </c>
      <c r="UJ26" s="200">
        <f>IF('Idaho Data'!SI26&gt;=0, ((1-'1. Simulator Input'!$E$39)*'Idaho Data'!SI26), 0)</f>
        <v>0</v>
      </c>
      <c r="UK26" s="200">
        <f t="shared" si="67"/>
        <v>1941022</v>
      </c>
      <c r="UL26" s="39"/>
      <c r="UM26" s="182"/>
      <c r="UN26" s="39"/>
      <c r="UO26" s="39">
        <f>IF(AND('1. Simulator Input'!$E$96="yes", '1. Simulator Input'!$E$98="yes", '1. Simulator Input'!$E$100="hold harmless"), 'Idaho Data'!WN26, IF(AND('1. Simulator Input'!$E$96="yes", '1. Simulator Input'!$E$98="no", '1. Simulator Input'!$E$100="hold harmless"), 'Idaho Data'!WM26, IF(AND('1. Simulator Input'!$E$96="yes", '1. Simulator Input'!$E$98="yes", '1. Simulator Input'!$E$100="small district grant"), WL26,IF(AND('1. Simulator Input'!$E$96="yes", '1. Simulator Input'!$E$98="no", '1. Simulator Input'!$E$100="small district grant"), WK26, ""))))</f>
        <v>0</v>
      </c>
      <c r="UP26" s="200">
        <f>'1. Simulator Input'!$D$56*('Idaho Data'!ST26)</f>
        <v>1188090</v>
      </c>
      <c r="UQ26" s="204">
        <f>'1. Simulator Input'!$D$65*'1. Simulator Input'!$D$56*'Idaho Data'!SU26</f>
        <v>0</v>
      </c>
      <c r="UR26" s="204">
        <f>'1. Simulator Input'!$D$66*'1. Simulator Input'!$D$56*'Idaho Data'!SW26</f>
        <v>0</v>
      </c>
      <c r="US26" s="200">
        <f>'1. Simulator Input'!$D$67*'1. Simulator Input'!$D$56*'Idaho Data'!TA26</f>
        <v>0</v>
      </c>
      <c r="UT26" s="200">
        <f>'1. Simulator Input'!$D$68*'1. Simulator Input'!$D$56*'Idaho Data'!TB26</f>
        <v>0</v>
      </c>
      <c r="UU26" s="200">
        <f>'1. Simulator Input'!$D$69*'1. Simulator Input'!$D$56*'Idaho Data'!TC26</f>
        <v>0</v>
      </c>
      <c r="UV26" s="200">
        <f>'1. Simulator Input'!$D$70*'1. Simulator Input'!$D$56*TD26</f>
        <v>0</v>
      </c>
      <c r="UW26" s="200">
        <f>'1. Simulator Input'!$D$80*'1. Simulator Input'!$D$56*TW26</f>
        <v>0</v>
      </c>
      <c r="UX26" s="200">
        <f>'1. Simulator Input'!$D$79*'1. Simulator Input'!$D$56*UB26</f>
        <v>0</v>
      </c>
      <c r="UY26" s="200">
        <f>'1. Simulator Input'!$D$87*'1. Simulator Input'!$D$56*TF26</f>
        <v>44208</v>
      </c>
      <c r="UZ26" s="200">
        <f>'1. Simulator Input'!$D$73*'1. Simulator Input'!$D$56*'Idaho Data'!TG26</f>
        <v>0</v>
      </c>
      <c r="VA26" s="200">
        <f>'1. Simulator Input'!$D$56*'1. Simulator Input'!$D$74*'Idaho Data'!TH26</f>
        <v>0</v>
      </c>
      <c r="VB26" s="200">
        <f>'1. Simulator Input'!$D$56*'1. Simulator Input'!$D$75*'Idaho Data'!TI21</f>
        <v>0</v>
      </c>
      <c r="VC26" s="200">
        <f>'1. Simulator Input'!$D$76*'1. Simulator Input'!$D$56*'Idaho Data'!TJ26</f>
        <v>0</v>
      </c>
      <c r="VD26" s="200">
        <f t="shared" si="68"/>
        <v>1232298</v>
      </c>
      <c r="VE26" s="200"/>
      <c r="VF26" s="182"/>
      <c r="VG26" s="200"/>
      <c r="VH26" s="200">
        <f t="shared" si="69"/>
        <v>0</v>
      </c>
      <c r="VI26" s="200">
        <f t="shared" si="70"/>
        <v>0</v>
      </c>
      <c r="VJ26" s="200">
        <f t="shared" si="16"/>
        <v>1232298</v>
      </c>
      <c r="VK26" s="200">
        <f t="shared" si="17"/>
        <v>1232298</v>
      </c>
      <c r="VL26" s="200"/>
      <c r="VM26" s="182"/>
      <c r="VN26" s="200"/>
      <c r="VO26" s="200">
        <f t="shared" si="71"/>
        <v>327409</v>
      </c>
      <c r="VP26" s="200">
        <f t="shared" si="72"/>
        <v>1941022</v>
      </c>
      <c r="VQ26" s="200">
        <f t="shared" si="73"/>
        <v>1460798</v>
      </c>
      <c r="VR26" s="200">
        <f t="shared" si="74"/>
        <v>327409</v>
      </c>
      <c r="VS26" s="200">
        <f t="shared" si="18"/>
        <v>1232298</v>
      </c>
      <c r="VT26" s="200">
        <f t="shared" si="19"/>
        <v>1460798</v>
      </c>
      <c r="VU26" s="200">
        <f t="shared" si="20"/>
        <v>0</v>
      </c>
      <c r="VV26" s="200"/>
      <c r="VW26" s="182"/>
      <c r="VX26" s="200"/>
      <c r="VZ26" s="199">
        <f t="shared" si="75"/>
        <v>-708724</v>
      </c>
      <c r="WA26" s="199">
        <f t="shared" si="76"/>
        <v>-3296.3906976744188</v>
      </c>
      <c r="WB26" s="131">
        <f t="shared" si="77"/>
        <v>-0.36512929786473314</v>
      </c>
      <c r="WC26" s="131"/>
      <c r="WD26" s="461"/>
      <c r="WE26" s="893"/>
      <c r="WF26" s="893">
        <f t="shared" si="78"/>
        <v>17345.251162790697</v>
      </c>
      <c r="WG26" s="893">
        <f t="shared" si="79"/>
        <v>14048.860465116279</v>
      </c>
      <c r="WH26" s="893"/>
      <c r="WI26" s="893">
        <f t="shared" si="80"/>
        <v>1941022</v>
      </c>
      <c r="WJ26" s="893">
        <f t="shared" si="21"/>
        <v>1232298</v>
      </c>
      <c r="WK26" s="39">
        <f t="shared" si="22"/>
        <v>0</v>
      </c>
      <c r="WL26" s="39">
        <f t="shared" si="23"/>
        <v>0</v>
      </c>
      <c r="WM26" s="200">
        <f t="shared" si="24"/>
        <v>708724</v>
      </c>
      <c r="WN26" s="39">
        <f t="shared" si="25"/>
        <v>708724</v>
      </c>
      <c r="WO26" s="39"/>
      <c r="WP26" s="182"/>
      <c r="WQ26" s="39"/>
      <c r="WR26" s="305">
        <f t="shared" si="26"/>
        <v>0.92900000000000005</v>
      </c>
      <c r="WT26" s="200">
        <f t="shared" si="27"/>
        <v>9028.0093023255813</v>
      </c>
      <c r="WU26" s="131">
        <f t="shared" si="81"/>
        <v>0.81</v>
      </c>
      <c r="WW26" s="199">
        <f t="shared" si="28"/>
        <v>327409</v>
      </c>
      <c r="WX26" s="199">
        <f t="shared" si="29"/>
        <v>1232298</v>
      </c>
      <c r="WY26" s="199">
        <f t="shared" si="30"/>
        <v>0</v>
      </c>
      <c r="WZ26" s="199">
        <f t="shared" si="82"/>
        <v>1232298</v>
      </c>
      <c r="XA26" s="199">
        <f t="shared" si="31"/>
        <v>0</v>
      </c>
      <c r="XB26" s="199">
        <f t="shared" si="32"/>
        <v>1460798</v>
      </c>
      <c r="XC26" s="199">
        <f t="shared" si="33"/>
        <v>1460798</v>
      </c>
      <c r="XD26" s="199" t="str">
        <f t="shared" si="34"/>
        <v/>
      </c>
      <c r="XE26" s="199"/>
      <c r="XF26" s="199"/>
      <c r="XG26" s="199"/>
      <c r="XH26" s="199"/>
      <c r="XI26" s="199"/>
      <c r="XJ26" s="199">
        <f t="shared" si="83"/>
        <v>1232298</v>
      </c>
      <c r="XP26" s="199">
        <f t="shared" si="35"/>
        <v>1232298</v>
      </c>
      <c r="XQ26" s="199">
        <f t="shared" si="36"/>
        <v>5731.618604651163</v>
      </c>
      <c r="XR26" s="199">
        <f t="shared" si="37"/>
        <v>1232298</v>
      </c>
      <c r="XS26" s="199">
        <f t="shared" si="38"/>
        <v>1232298</v>
      </c>
      <c r="XT26" s="199">
        <f t="shared" si="39"/>
        <v>5731.618604651163</v>
      </c>
      <c r="XU26" s="199">
        <f t="shared" si="40"/>
        <v>1941022</v>
      </c>
      <c r="XV26" s="199">
        <f t="shared" si="41"/>
        <v>9028.0093023255813</v>
      </c>
      <c r="XW26" s="199">
        <f t="shared" si="42"/>
        <v>1941022</v>
      </c>
      <c r="XX26" s="199">
        <f t="shared" si="43"/>
        <v>9028.0093023255813</v>
      </c>
      <c r="XY26" s="199">
        <f t="shared" si="84"/>
        <v>-708724</v>
      </c>
      <c r="XZ26" s="199">
        <f t="shared" si="85"/>
        <v>-3296.3906976744183</v>
      </c>
      <c r="YA26" s="131">
        <f t="shared" si="86"/>
        <v>-0.36512929786473308</v>
      </c>
      <c r="YB26" s="199"/>
      <c r="YC26" s="221"/>
      <c r="YD26" s="199"/>
      <c r="YE26" s="199">
        <f t="shared" si="44"/>
        <v>327409</v>
      </c>
      <c r="YF26" s="200">
        <f t="shared" si="45"/>
        <v>0</v>
      </c>
      <c r="YG26" s="199">
        <f t="shared" si="46"/>
        <v>1460798</v>
      </c>
      <c r="YH26" s="199">
        <f t="shared" si="47"/>
        <v>1492</v>
      </c>
    </row>
    <row r="27" spans="1:658">
      <c r="A27" s="3">
        <v>72</v>
      </c>
      <c r="B27" s="2" t="s">
        <v>118</v>
      </c>
      <c r="C27" s="24">
        <v>0</v>
      </c>
      <c r="D27" s="24">
        <v>0</v>
      </c>
      <c r="E27" s="24">
        <v>0</v>
      </c>
      <c r="F27" s="24">
        <v>0</v>
      </c>
      <c r="G27" s="24">
        <v>242398</v>
      </c>
      <c r="H27" s="24">
        <v>0</v>
      </c>
      <c r="I27" s="24">
        <v>0</v>
      </c>
      <c r="J27" s="24">
        <v>30425</v>
      </c>
      <c r="K27" s="24">
        <v>0</v>
      </c>
      <c r="L27" s="24">
        <v>0</v>
      </c>
      <c r="M27" s="24">
        <v>0</v>
      </c>
      <c r="N27" s="24">
        <v>0</v>
      </c>
      <c r="O27" s="24">
        <v>0</v>
      </c>
      <c r="P27" s="24">
        <v>0</v>
      </c>
      <c r="Q27" s="24">
        <v>0</v>
      </c>
      <c r="R27" s="24">
        <v>0</v>
      </c>
      <c r="S27" s="24">
        <v>0</v>
      </c>
      <c r="T27" s="24">
        <v>122462</v>
      </c>
      <c r="U27" s="24">
        <v>0</v>
      </c>
      <c r="V27" s="24">
        <v>0</v>
      </c>
      <c r="W27" s="24">
        <v>0</v>
      </c>
      <c r="X27" s="24">
        <v>0</v>
      </c>
      <c r="Y27" s="24">
        <v>0</v>
      </c>
      <c r="Z27" s="24">
        <v>0</v>
      </c>
      <c r="AA27" s="24">
        <v>0</v>
      </c>
      <c r="AB27" s="24">
        <v>0</v>
      </c>
      <c r="AC27" s="24">
        <v>0</v>
      </c>
      <c r="AD27" s="24">
        <v>0</v>
      </c>
      <c r="AE27" s="24">
        <v>0</v>
      </c>
      <c r="AF27" s="24">
        <v>0</v>
      </c>
      <c r="AG27" s="24">
        <v>0</v>
      </c>
      <c r="AH27" s="24">
        <v>0</v>
      </c>
      <c r="AI27" s="24">
        <v>0</v>
      </c>
      <c r="AJ27" s="24">
        <v>0</v>
      </c>
      <c r="AK27" s="24">
        <v>0</v>
      </c>
      <c r="AL27" s="24">
        <v>2769</v>
      </c>
      <c r="AM27" s="24">
        <v>0</v>
      </c>
      <c r="AN27" s="24">
        <v>0</v>
      </c>
      <c r="AO27" s="24">
        <v>0</v>
      </c>
      <c r="AP27" s="24">
        <v>0</v>
      </c>
      <c r="AQ27" s="24">
        <v>0</v>
      </c>
      <c r="AR27" s="24">
        <v>0</v>
      </c>
      <c r="AS27" s="24">
        <v>0</v>
      </c>
      <c r="AT27" s="24">
        <v>0</v>
      </c>
      <c r="AU27" s="24">
        <v>0</v>
      </c>
      <c r="AV27" s="24">
        <v>0</v>
      </c>
      <c r="AW27" s="24">
        <v>0</v>
      </c>
      <c r="AX27" s="24">
        <v>0</v>
      </c>
      <c r="AY27" s="24">
        <v>0</v>
      </c>
      <c r="AZ27" s="24">
        <v>0</v>
      </c>
      <c r="BA27" s="24">
        <v>0</v>
      </c>
      <c r="BB27" s="24">
        <v>0</v>
      </c>
      <c r="BC27" s="24">
        <v>0</v>
      </c>
      <c r="BD27" s="24">
        <v>0</v>
      </c>
      <c r="BE27" s="24">
        <v>0</v>
      </c>
      <c r="BF27" s="24">
        <v>0</v>
      </c>
      <c r="BG27" s="24">
        <v>86</v>
      </c>
      <c r="BH27" s="24">
        <v>0</v>
      </c>
      <c r="BI27" s="24">
        <v>0</v>
      </c>
      <c r="BJ27" s="24">
        <v>0</v>
      </c>
      <c r="BK27" s="24">
        <v>0</v>
      </c>
      <c r="BL27" s="24">
        <v>0</v>
      </c>
      <c r="BM27" s="24">
        <v>0</v>
      </c>
      <c r="BN27" s="24">
        <v>0</v>
      </c>
      <c r="BO27" s="24">
        <v>0</v>
      </c>
      <c r="BP27" s="24">
        <v>0</v>
      </c>
      <c r="BQ27" s="24">
        <v>0</v>
      </c>
      <c r="BR27" s="24">
        <v>0</v>
      </c>
      <c r="BS27" s="24">
        <v>0</v>
      </c>
      <c r="BT27" s="24">
        <v>0</v>
      </c>
      <c r="BU27" s="24">
        <v>0</v>
      </c>
      <c r="BV27" s="24">
        <v>0</v>
      </c>
      <c r="BW27" s="24">
        <v>0</v>
      </c>
      <c r="BX27" s="24">
        <v>0</v>
      </c>
      <c r="BY27" s="24">
        <v>0</v>
      </c>
      <c r="BZ27" s="24">
        <v>0</v>
      </c>
      <c r="CA27" s="24">
        <v>0</v>
      </c>
      <c r="CB27" s="24">
        <v>0</v>
      </c>
      <c r="CC27" s="24">
        <v>0</v>
      </c>
      <c r="CD27" s="24">
        <v>34309</v>
      </c>
      <c r="CE27" s="24">
        <v>5233</v>
      </c>
      <c r="CF27" s="24">
        <v>0</v>
      </c>
      <c r="CG27" s="24">
        <v>66</v>
      </c>
      <c r="CH27" s="24">
        <v>0</v>
      </c>
      <c r="CI27" s="24">
        <v>0</v>
      </c>
      <c r="CJ27" s="24">
        <v>0</v>
      </c>
      <c r="CK27" s="24">
        <v>0</v>
      </c>
      <c r="CL27" s="24">
        <v>0</v>
      </c>
      <c r="CM27" s="24">
        <v>0</v>
      </c>
      <c r="CN27" s="24">
        <v>0</v>
      </c>
      <c r="CO27" s="24">
        <v>0</v>
      </c>
      <c r="CP27" s="24">
        <v>0</v>
      </c>
      <c r="CQ27" s="24">
        <v>0</v>
      </c>
      <c r="CR27" s="24">
        <v>0</v>
      </c>
      <c r="CS27" s="24">
        <v>0</v>
      </c>
      <c r="CT27" s="24">
        <v>0</v>
      </c>
      <c r="CU27" s="24">
        <v>0</v>
      </c>
      <c r="CV27" s="24">
        <v>0</v>
      </c>
      <c r="CW27" s="24">
        <v>0</v>
      </c>
      <c r="CX27" s="24">
        <v>0</v>
      </c>
      <c r="CY27" s="24">
        <v>0</v>
      </c>
      <c r="CZ27" s="24">
        <v>0</v>
      </c>
      <c r="DA27" s="24">
        <v>0</v>
      </c>
      <c r="DB27" s="24">
        <v>1129</v>
      </c>
      <c r="DC27" s="24">
        <v>0</v>
      </c>
      <c r="DD27" s="24">
        <v>0</v>
      </c>
      <c r="DE27" s="24">
        <v>0</v>
      </c>
      <c r="DF27" s="24">
        <v>0</v>
      </c>
      <c r="DG27" s="24">
        <v>0</v>
      </c>
      <c r="DH27" s="24">
        <v>0</v>
      </c>
      <c r="DI27" s="24">
        <v>0</v>
      </c>
      <c r="DJ27" s="24">
        <v>0</v>
      </c>
      <c r="DK27" s="24">
        <v>0</v>
      </c>
      <c r="DL27" s="24">
        <v>0</v>
      </c>
      <c r="DM27" s="24">
        <v>0</v>
      </c>
      <c r="DN27" s="24">
        <v>0</v>
      </c>
      <c r="DO27" s="24">
        <v>0</v>
      </c>
      <c r="DP27" s="24">
        <v>0</v>
      </c>
      <c r="DQ27" s="24">
        <v>0</v>
      </c>
      <c r="DR27" s="24">
        <v>0</v>
      </c>
      <c r="DS27" s="24">
        <v>0</v>
      </c>
      <c r="DT27" s="24">
        <v>0</v>
      </c>
      <c r="DU27" s="24">
        <v>0</v>
      </c>
      <c r="DV27" s="24">
        <v>0</v>
      </c>
      <c r="DW27" s="24">
        <v>0</v>
      </c>
      <c r="DX27" s="24">
        <v>0</v>
      </c>
      <c r="DY27" s="24">
        <v>0</v>
      </c>
      <c r="DZ27" s="24">
        <v>0</v>
      </c>
      <c r="EA27" s="24">
        <v>0</v>
      </c>
      <c r="EB27" s="24">
        <v>0</v>
      </c>
      <c r="EC27" s="24">
        <v>0</v>
      </c>
      <c r="ED27" s="24">
        <v>0</v>
      </c>
      <c r="EE27" s="24">
        <v>0</v>
      </c>
      <c r="EF27" s="24">
        <v>0</v>
      </c>
      <c r="EG27" s="24">
        <v>0</v>
      </c>
      <c r="EH27" s="24">
        <v>0</v>
      </c>
      <c r="EI27" s="24">
        <v>0</v>
      </c>
      <c r="EJ27" s="24">
        <v>0</v>
      </c>
      <c r="EK27" s="24">
        <v>0</v>
      </c>
      <c r="EL27" s="24">
        <v>0</v>
      </c>
      <c r="EM27" s="24">
        <v>0</v>
      </c>
      <c r="EN27" s="24">
        <v>0</v>
      </c>
      <c r="EO27" s="24">
        <v>0</v>
      </c>
      <c r="EP27" s="24">
        <v>0</v>
      </c>
      <c r="EQ27" s="24">
        <v>0</v>
      </c>
      <c r="ER27" s="24">
        <v>0</v>
      </c>
      <c r="ES27" s="24">
        <v>0</v>
      </c>
      <c r="ET27" s="24">
        <v>0</v>
      </c>
      <c r="EU27" s="24">
        <v>0</v>
      </c>
      <c r="EV27" s="24">
        <v>0</v>
      </c>
      <c r="EW27" s="24">
        <v>0</v>
      </c>
      <c r="EX27" s="24">
        <v>0</v>
      </c>
      <c r="EY27" s="24">
        <v>0</v>
      </c>
      <c r="EZ27" s="24">
        <v>0</v>
      </c>
      <c r="FA27" s="24">
        <v>0</v>
      </c>
      <c r="FB27" s="24">
        <v>0</v>
      </c>
      <c r="FC27" s="24">
        <v>0</v>
      </c>
      <c r="FD27" s="24">
        <v>0</v>
      </c>
      <c r="FE27" s="24">
        <v>0</v>
      </c>
      <c r="FF27" s="24">
        <v>0</v>
      </c>
      <c r="FG27" s="24">
        <v>0</v>
      </c>
      <c r="FH27" s="24">
        <v>0</v>
      </c>
      <c r="FI27" s="24">
        <v>0</v>
      </c>
      <c r="FJ27" s="24">
        <v>0</v>
      </c>
      <c r="FK27" s="24">
        <v>0</v>
      </c>
      <c r="FL27" s="24">
        <v>0</v>
      </c>
      <c r="FM27" s="24">
        <v>0</v>
      </c>
      <c r="FN27" s="24">
        <v>0</v>
      </c>
      <c r="FO27" s="24">
        <v>0</v>
      </c>
      <c r="FP27" s="24">
        <v>0</v>
      </c>
      <c r="FQ27" s="24">
        <v>0</v>
      </c>
      <c r="FR27" s="24">
        <v>0</v>
      </c>
      <c r="FS27" s="24">
        <v>57620</v>
      </c>
      <c r="FT27" s="24">
        <v>0</v>
      </c>
      <c r="FU27" s="24">
        <v>0</v>
      </c>
      <c r="FV27" s="24">
        <v>0</v>
      </c>
      <c r="FW27" s="24">
        <v>0</v>
      </c>
      <c r="FX27" s="24">
        <v>0</v>
      </c>
      <c r="FY27" s="24">
        <v>0</v>
      </c>
      <c r="FZ27" s="24">
        <v>0</v>
      </c>
      <c r="GA27" s="24">
        <v>0</v>
      </c>
      <c r="GB27" s="24">
        <v>0</v>
      </c>
      <c r="GC27" s="24">
        <v>0</v>
      </c>
      <c r="GD27" s="24">
        <v>14155</v>
      </c>
      <c r="GE27" s="24">
        <v>0</v>
      </c>
      <c r="GF27" s="24">
        <v>0</v>
      </c>
      <c r="GG27" s="24">
        <v>0</v>
      </c>
      <c r="GH27" s="24">
        <v>0</v>
      </c>
      <c r="GI27" s="24">
        <v>0</v>
      </c>
      <c r="GJ27" s="24">
        <v>0</v>
      </c>
      <c r="GK27" s="24">
        <v>0</v>
      </c>
      <c r="GL27" s="24">
        <v>0</v>
      </c>
      <c r="GM27" s="24">
        <v>0</v>
      </c>
      <c r="GN27" s="24">
        <v>0</v>
      </c>
      <c r="GO27" s="24">
        <v>0</v>
      </c>
      <c r="GP27" s="24">
        <v>0</v>
      </c>
      <c r="GQ27" s="24">
        <v>0</v>
      </c>
      <c r="GR27" s="24">
        <v>0</v>
      </c>
      <c r="GS27" s="24">
        <v>0</v>
      </c>
      <c r="GT27" s="24">
        <v>0</v>
      </c>
      <c r="GU27" s="24">
        <v>0</v>
      </c>
      <c r="GV27" s="24">
        <v>0</v>
      </c>
      <c r="GW27" s="24">
        <v>0</v>
      </c>
      <c r="GX27" s="24">
        <v>0</v>
      </c>
      <c r="GY27" s="24">
        <v>0</v>
      </c>
      <c r="GZ27" s="24">
        <v>0</v>
      </c>
      <c r="HA27" s="24">
        <v>0</v>
      </c>
      <c r="HB27" s="24">
        <v>0</v>
      </c>
      <c r="HC27" s="24">
        <v>0</v>
      </c>
      <c r="HD27" s="24">
        <v>1792480</v>
      </c>
      <c r="HE27" s="24">
        <v>0</v>
      </c>
      <c r="HF27" s="24">
        <v>0</v>
      </c>
      <c r="HG27" s="24">
        <v>0</v>
      </c>
      <c r="HH27" s="24">
        <v>0</v>
      </c>
      <c r="HI27" s="24">
        <v>135828</v>
      </c>
      <c r="HJ27" s="24">
        <v>0</v>
      </c>
      <c r="HK27" s="24">
        <v>0</v>
      </c>
      <c r="HL27" s="24">
        <v>0</v>
      </c>
      <c r="HM27" s="24">
        <v>0</v>
      </c>
      <c r="HN27" s="24">
        <v>0</v>
      </c>
      <c r="HO27" s="24">
        <v>226472</v>
      </c>
      <c r="HP27" s="24">
        <v>72345</v>
      </c>
      <c r="HQ27" s="24">
        <v>0</v>
      </c>
      <c r="HR27" s="24">
        <v>0</v>
      </c>
      <c r="HS27" s="24">
        <v>0</v>
      </c>
      <c r="HT27" s="24">
        <v>0</v>
      </c>
      <c r="HU27" s="24">
        <v>11217</v>
      </c>
      <c r="HV27" s="24">
        <v>0</v>
      </c>
      <c r="HW27" s="24">
        <v>0</v>
      </c>
      <c r="HX27" s="24">
        <v>0</v>
      </c>
      <c r="HY27" s="24">
        <v>0</v>
      </c>
      <c r="HZ27" s="24">
        <v>0</v>
      </c>
      <c r="IA27" s="24">
        <v>24944</v>
      </c>
      <c r="IB27" s="24">
        <v>6569</v>
      </c>
      <c r="IC27" s="24">
        <v>0</v>
      </c>
      <c r="ID27" s="24">
        <v>0</v>
      </c>
      <c r="IE27" s="24">
        <v>0</v>
      </c>
      <c r="IF27" s="24">
        <v>0</v>
      </c>
      <c r="IG27" s="24">
        <v>0</v>
      </c>
      <c r="IH27" s="24">
        <v>0</v>
      </c>
      <c r="II27" s="24">
        <v>0</v>
      </c>
      <c r="IJ27" s="24">
        <v>0</v>
      </c>
      <c r="IK27" s="24">
        <v>0</v>
      </c>
      <c r="IL27" s="24">
        <v>0</v>
      </c>
      <c r="IM27" s="24">
        <v>0</v>
      </c>
      <c r="IN27" s="24">
        <v>0</v>
      </c>
      <c r="IO27" s="24">
        <v>196</v>
      </c>
      <c r="IP27" s="24">
        <v>0</v>
      </c>
      <c r="IQ27" s="24">
        <v>0</v>
      </c>
      <c r="IR27" s="24">
        <v>3950</v>
      </c>
      <c r="IS27" s="24">
        <v>0</v>
      </c>
      <c r="IT27" s="24">
        <v>0</v>
      </c>
      <c r="IU27" s="24">
        <v>0</v>
      </c>
      <c r="IV27" s="24">
        <v>0</v>
      </c>
      <c r="IW27" s="24">
        <v>26669</v>
      </c>
      <c r="IX27" s="24">
        <v>0</v>
      </c>
      <c r="IY27" s="24">
        <v>0</v>
      </c>
      <c r="IZ27" s="24">
        <v>0</v>
      </c>
      <c r="JA27" s="24">
        <v>0</v>
      </c>
      <c r="JB27" s="24">
        <v>903</v>
      </c>
      <c r="JC27" s="24">
        <v>0</v>
      </c>
      <c r="JD27" s="24">
        <v>0</v>
      </c>
      <c r="JE27" s="24">
        <v>0</v>
      </c>
      <c r="JF27" s="24">
        <v>0</v>
      </c>
      <c r="JG27" s="24">
        <v>0</v>
      </c>
      <c r="JH27" s="24">
        <v>0</v>
      </c>
      <c r="JI27" s="24">
        <v>0</v>
      </c>
      <c r="JJ27" s="24">
        <v>0</v>
      </c>
      <c r="JK27" s="24">
        <v>0</v>
      </c>
      <c r="JL27" s="24">
        <v>0</v>
      </c>
      <c r="JM27" s="24">
        <v>0</v>
      </c>
      <c r="JN27" s="24">
        <v>0</v>
      </c>
      <c r="JO27" s="24">
        <v>0</v>
      </c>
      <c r="JP27" s="24">
        <v>0</v>
      </c>
      <c r="JQ27" s="24">
        <v>0</v>
      </c>
      <c r="JR27" s="24">
        <v>0</v>
      </c>
      <c r="JS27" s="24">
        <v>0</v>
      </c>
      <c r="JT27" s="24">
        <v>0</v>
      </c>
      <c r="JU27" s="24">
        <v>0</v>
      </c>
      <c r="JV27" s="24">
        <v>0</v>
      </c>
      <c r="JW27" s="24">
        <v>0</v>
      </c>
      <c r="JX27" s="24">
        <v>0</v>
      </c>
      <c r="JY27" s="24">
        <v>0</v>
      </c>
      <c r="JZ27" s="24">
        <v>0</v>
      </c>
      <c r="KA27" s="24">
        <v>0</v>
      </c>
      <c r="KB27" s="24">
        <v>0</v>
      </c>
      <c r="KC27" s="24">
        <v>0</v>
      </c>
      <c r="KD27" s="24">
        <v>0</v>
      </c>
      <c r="KE27" s="24">
        <v>0</v>
      </c>
      <c r="KF27" s="24">
        <v>0</v>
      </c>
      <c r="KG27" s="24">
        <v>125639</v>
      </c>
      <c r="KH27" s="24">
        <v>0</v>
      </c>
      <c r="KI27" s="24">
        <v>0</v>
      </c>
      <c r="KJ27" s="24">
        <v>0</v>
      </c>
      <c r="KK27" s="24">
        <v>0</v>
      </c>
      <c r="KL27" s="24">
        <v>0</v>
      </c>
      <c r="KM27" s="24">
        <v>0</v>
      </c>
      <c r="KN27" s="24">
        <v>0</v>
      </c>
      <c r="KO27" s="24">
        <v>0</v>
      </c>
      <c r="KP27" s="24">
        <v>0</v>
      </c>
      <c r="KQ27" s="24">
        <v>0</v>
      </c>
      <c r="KR27" s="24">
        <v>0</v>
      </c>
      <c r="KS27" s="24">
        <v>0</v>
      </c>
      <c r="KT27" s="24">
        <v>0</v>
      </c>
      <c r="KU27" s="24">
        <v>0</v>
      </c>
      <c r="KV27" s="24">
        <v>0</v>
      </c>
      <c r="KW27" s="24">
        <v>0</v>
      </c>
      <c r="KX27" s="24">
        <v>0</v>
      </c>
      <c r="KY27" s="24">
        <v>0</v>
      </c>
      <c r="KZ27" s="24">
        <v>0</v>
      </c>
      <c r="LA27" s="24">
        <v>0</v>
      </c>
      <c r="LB27" s="24">
        <v>0</v>
      </c>
      <c r="LC27" s="24">
        <v>0</v>
      </c>
      <c r="LD27" s="24">
        <v>0</v>
      </c>
      <c r="LE27" s="24">
        <v>0</v>
      </c>
      <c r="LF27" s="24">
        <v>0</v>
      </c>
      <c r="LG27" s="24">
        <v>0</v>
      </c>
      <c r="LH27" s="24">
        <v>0</v>
      </c>
      <c r="LI27" s="24">
        <v>0</v>
      </c>
      <c r="LJ27" s="24">
        <v>0</v>
      </c>
      <c r="LK27" s="24">
        <v>0</v>
      </c>
      <c r="LL27" s="24">
        <v>0</v>
      </c>
      <c r="LM27" s="24">
        <v>0</v>
      </c>
      <c r="LN27" s="24">
        <v>0</v>
      </c>
      <c r="LO27" s="24">
        <v>0</v>
      </c>
      <c r="LP27" s="24">
        <v>0</v>
      </c>
      <c r="LQ27" s="24">
        <v>72945</v>
      </c>
      <c r="LR27" s="24">
        <v>0</v>
      </c>
      <c r="LS27" s="24">
        <v>0</v>
      </c>
      <c r="LT27" s="24">
        <v>0</v>
      </c>
      <c r="LU27" s="24">
        <v>0</v>
      </c>
      <c r="LV27" s="24">
        <v>0</v>
      </c>
      <c r="LW27" s="24">
        <v>0</v>
      </c>
      <c r="LX27" s="24">
        <v>0</v>
      </c>
      <c r="LY27" s="24">
        <v>0</v>
      </c>
      <c r="LZ27" s="24">
        <v>0</v>
      </c>
      <c r="MA27" s="24">
        <v>0</v>
      </c>
      <c r="MB27" s="24">
        <v>0</v>
      </c>
      <c r="MC27" s="24">
        <v>0</v>
      </c>
      <c r="MD27" s="24">
        <v>0</v>
      </c>
      <c r="ME27" s="24">
        <v>0</v>
      </c>
      <c r="MF27" s="24">
        <v>0</v>
      </c>
      <c r="MG27" s="24">
        <v>0</v>
      </c>
      <c r="MH27" s="24">
        <v>0</v>
      </c>
      <c r="MI27" s="24">
        <v>0</v>
      </c>
      <c r="MJ27" s="24">
        <v>0</v>
      </c>
      <c r="MK27" s="24">
        <v>0</v>
      </c>
      <c r="ML27" s="24">
        <v>0</v>
      </c>
      <c r="MM27" s="24">
        <v>0</v>
      </c>
      <c r="MN27" s="24">
        <v>0</v>
      </c>
      <c r="MO27" s="24">
        <v>3333</v>
      </c>
      <c r="MP27" s="24">
        <v>0</v>
      </c>
      <c r="MQ27" s="24">
        <v>0</v>
      </c>
      <c r="MR27" s="24">
        <v>109948</v>
      </c>
      <c r="MS27" s="24">
        <v>0</v>
      </c>
      <c r="MT27" s="24">
        <v>0</v>
      </c>
      <c r="MU27" s="24">
        <v>0</v>
      </c>
      <c r="MV27" s="24">
        <v>0</v>
      </c>
      <c r="MW27" s="24">
        <v>71794</v>
      </c>
      <c r="MX27" s="24">
        <v>3068</v>
      </c>
      <c r="MY27" s="24">
        <v>0</v>
      </c>
      <c r="MZ27" s="24">
        <v>0</v>
      </c>
      <c r="NA27" s="24">
        <v>0</v>
      </c>
      <c r="NB27" s="24">
        <v>0</v>
      </c>
      <c r="NC27" s="24">
        <v>0</v>
      </c>
      <c r="ND27" s="24">
        <v>0</v>
      </c>
      <c r="NE27" s="24">
        <v>0</v>
      </c>
      <c r="NF27" s="24">
        <v>0</v>
      </c>
      <c r="NG27" s="24">
        <v>0</v>
      </c>
      <c r="NH27" s="24">
        <v>0</v>
      </c>
      <c r="NI27" s="24">
        <v>0</v>
      </c>
      <c r="NJ27" s="24">
        <v>0</v>
      </c>
      <c r="NK27" s="24">
        <v>0</v>
      </c>
      <c r="NL27" s="24">
        <v>0</v>
      </c>
      <c r="NM27" s="24">
        <v>0</v>
      </c>
      <c r="NN27" s="24">
        <v>0</v>
      </c>
      <c r="NO27" s="24">
        <v>0</v>
      </c>
      <c r="NP27" s="24">
        <v>0</v>
      </c>
      <c r="NQ27" s="24">
        <v>32893</v>
      </c>
      <c r="NR27" s="24">
        <v>0</v>
      </c>
      <c r="NS27" s="24">
        <v>0</v>
      </c>
      <c r="NT27" s="24">
        <v>0</v>
      </c>
      <c r="NU27" s="24">
        <v>0</v>
      </c>
      <c r="NV27" s="24">
        <v>3768</v>
      </c>
      <c r="NW27" s="24">
        <v>0</v>
      </c>
      <c r="NX27" s="24">
        <v>0</v>
      </c>
      <c r="NY27" s="24">
        <v>0</v>
      </c>
      <c r="NZ27" s="24">
        <v>0</v>
      </c>
      <c r="OA27" s="24">
        <v>0</v>
      </c>
      <c r="OB27" s="24">
        <v>0</v>
      </c>
      <c r="OC27" s="24">
        <v>0</v>
      </c>
      <c r="OD27" s="24">
        <v>0</v>
      </c>
      <c r="OE27" s="24">
        <v>0</v>
      </c>
      <c r="OF27" s="24">
        <v>0</v>
      </c>
      <c r="OG27" s="24">
        <v>0</v>
      </c>
      <c r="OH27" s="24">
        <v>0</v>
      </c>
      <c r="OI27" s="24">
        <v>0</v>
      </c>
      <c r="OJ27" s="24">
        <v>0</v>
      </c>
      <c r="OK27" s="24">
        <v>9388</v>
      </c>
      <c r="OL27" s="24">
        <v>0</v>
      </c>
      <c r="OM27" s="24">
        <v>0</v>
      </c>
      <c r="ON27" s="24">
        <v>0</v>
      </c>
      <c r="OO27" s="24">
        <v>0</v>
      </c>
      <c r="OP27" s="24">
        <v>0</v>
      </c>
      <c r="OQ27" s="24">
        <v>0</v>
      </c>
      <c r="OR27" s="24">
        <v>0</v>
      </c>
      <c r="OS27" s="24">
        <v>0</v>
      </c>
      <c r="OT27" s="24">
        <v>0</v>
      </c>
      <c r="OU27" s="24">
        <v>0</v>
      </c>
      <c r="OV27" s="24">
        <v>0</v>
      </c>
      <c r="OW27" s="24">
        <v>0</v>
      </c>
      <c r="OX27" s="24">
        <v>0</v>
      </c>
      <c r="OY27" s="24">
        <v>0</v>
      </c>
      <c r="OZ27" s="24">
        <v>0</v>
      </c>
      <c r="PA27" s="24">
        <v>0</v>
      </c>
      <c r="PB27" s="24">
        <v>0</v>
      </c>
      <c r="PC27" s="24">
        <v>0</v>
      </c>
      <c r="PD27" s="24">
        <v>0</v>
      </c>
      <c r="PE27" s="24">
        <v>0</v>
      </c>
      <c r="PF27" s="24">
        <v>0</v>
      </c>
      <c r="PG27" s="24">
        <v>0</v>
      </c>
      <c r="PH27" s="24">
        <v>0</v>
      </c>
      <c r="PI27" s="24">
        <v>0</v>
      </c>
      <c r="PJ27" s="24">
        <v>0</v>
      </c>
      <c r="PK27" s="24">
        <v>0</v>
      </c>
      <c r="PL27" s="24">
        <v>0</v>
      </c>
      <c r="PM27" s="24">
        <v>0</v>
      </c>
      <c r="PN27" s="24">
        <v>0</v>
      </c>
      <c r="PO27" s="24">
        <v>0</v>
      </c>
      <c r="PP27" s="24">
        <v>0</v>
      </c>
      <c r="PQ27" s="24">
        <v>0</v>
      </c>
      <c r="PR27" s="24">
        <v>0</v>
      </c>
      <c r="PS27" s="24">
        <v>0</v>
      </c>
      <c r="PT27" s="24">
        <v>0</v>
      </c>
      <c r="PU27" s="24">
        <v>0</v>
      </c>
      <c r="PV27" s="24">
        <v>0</v>
      </c>
      <c r="PW27" s="24">
        <v>0</v>
      </c>
      <c r="PX27" s="24">
        <v>0</v>
      </c>
      <c r="PY27" s="24">
        <v>0</v>
      </c>
      <c r="PZ27" s="24">
        <v>0</v>
      </c>
      <c r="QA27" s="24">
        <v>0</v>
      </c>
      <c r="QB27" s="24">
        <v>0</v>
      </c>
      <c r="QC27" s="24">
        <v>0</v>
      </c>
      <c r="QD27" s="24">
        <v>0</v>
      </c>
      <c r="QE27" s="24">
        <v>0</v>
      </c>
      <c r="QF27" s="24">
        <v>0</v>
      </c>
      <c r="QG27" s="24">
        <v>0</v>
      </c>
      <c r="QH27" s="24">
        <v>0</v>
      </c>
      <c r="QI27" s="24">
        <v>0</v>
      </c>
      <c r="QJ27" s="24">
        <v>0</v>
      </c>
      <c r="QK27" s="24">
        <v>0</v>
      </c>
      <c r="QL27" s="24">
        <v>0</v>
      </c>
      <c r="QM27" s="24">
        <v>0</v>
      </c>
      <c r="QN27" s="24">
        <v>0</v>
      </c>
      <c r="QO27" s="24">
        <v>0</v>
      </c>
      <c r="QP27" s="24">
        <v>0</v>
      </c>
      <c r="QQ27" s="24">
        <v>0</v>
      </c>
      <c r="QR27" s="24">
        <v>0</v>
      </c>
      <c r="QS27" s="24">
        <v>0</v>
      </c>
      <c r="QT27" s="24">
        <v>0</v>
      </c>
      <c r="QU27" s="24">
        <v>0</v>
      </c>
      <c r="QV27" s="24">
        <v>0</v>
      </c>
      <c r="QW27" s="24">
        <v>7643</v>
      </c>
      <c r="QX27" s="24">
        <v>0</v>
      </c>
      <c r="QY27" s="24">
        <v>0</v>
      </c>
      <c r="QZ27" s="24">
        <v>0</v>
      </c>
      <c r="RA27" s="24">
        <v>0</v>
      </c>
      <c r="RB27" s="24">
        <v>0</v>
      </c>
      <c r="RG27" s="39">
        <f t="shared" si="48"/>
        <v>1792480</v>
      </c>
      <c r="RH27" s="39">
        <f t="shared" si="48"/>
        <v>135828</v>
      </c>
      <c r="RI27" s="39">
        <f t="shared" si="48"/>
        <v>0</v>
      </c>
      <c r="RJ27" s="39">
        <f t="shared" si="48"/>
        <v>0</v>
      </c>
      <c r="RK27" s="39">
        <f t="shared" si="48"/>
        <v>0</v>
      </c>
      <c r="RL27" s="39">
        <f t="shared" si="48"/>
        <v>226472</v>
      </c>
      <c r="RM27" s="39">
        <f t="shared" si="48"/>
        <v>115075</v>
      </c>
      <c r="RN27" s="39">
        <f t="shared" si="48"/>
        <v>196</v>
      </c>
      <c r="RO27" s="39">
        <f t="shared" si="48"/>
        <v>3950</v>
      </c>
      <c r="RP27" s="39">
        <f t="shared" si="48"/>
        <v>26669</v>
      </c>
      <c r="RQ27" s="39">
        <f t="shared" si="48"/>
        <v>903</v>
      </c>
      <c r="RR27" s="39">
        <f t="shared" si="48"/>
        <v>0</v>
      </c>
      <c r="RS27" s="39"/>
      <c r="RT27" s="182"/>
      <c r="RU27" s="39"/>
      <c r="RV27" s="39">
        <f t="shared" si="49"/>
        <v>432776</v>
      </c>
      <c r="RW27" s="39">
        <f t="shared" si="49"/>
        <v>2301573</v>
      </c>
      <c r="RX27" s="39">
        <f t="shared" si="49"/>
        <v>510652</v>
      </c>
      <c r="RY27" s="39">
        <f t="shared" si="49"/>
        <v>7643</v>
      </c>
      <c r="RZ27" s="39"/>
      <c r="SA27" s="182"/>
      <c r="SB27" s="39"/>
      <c r="SC27" s="25">
        <f t="shared" si="50"/>
        <v>1538.1084337349398</v>
      </c>
      <c r="SD27" s="39">
        <f>IFERROR(VLOOKUP(A27, 'Levy Data 15-16'!$B:$O, 3, FALSE), 0)</f>
        <v>279324218</v>
      </c>
      <c r="SE27" s="39">
        <f t="shared" si="9"/>
        <v>841338.00602409639</v>
      </c>
      <c r="SF27" s="631">
        <f>IFERROR(VLOOKUP(A27, 'Levy Data 15-16'!$B:$O, 14, FALSE), 0)*1000</f>
        <v>1.4618960000000001</v>
      </c>
      <c r="SG27" s="39">
        <f t="shared" si="10"/>
        <v>0</v>
      </c>
      <c r="SH27" s="39">
        <f t="shared" si="11"/>
        <v>0</v>
      </c>
      <c r="SI27" s="39">
        <f t="shared" si="12"/>
        <v>510652</v>
      </c>
      <c r="SM27" s="39">
        <f t="shared" si="13"/>
        <v>2301573</v>
      </c>
      <c r="SN27" s="39">
        <f t="shared" si="14"/>
        <v>0</v>
      </c>
      <c r="SO27" s="39">
        <f t="shared" si="51"/>
        <v>2301573</v>
      </c>
      <c r="SP27" s="50">
        <f t="shared" si="52"/>
        <v>1</v>
      </c>
      <c r="ST27" s="124">
        <f>IFERROR(VLOOKUP(A27,'Grade Enroll 15-16'!B:AC,27,FALSE),"")</f>
        <v>332</v>
      </c>
      <c r="SU27" s="124">
        <f t="shared" si="53"/>
        <v>150.90909090909091</v>
      </c>
      <c r="SV27" s="131">
        <f>IFERROR(VLOOKUP($A27, 'Title I Enroll 16-17'!S:V, 4, FALSE), 0)</f>
        <v>0.45454545454545453</v>
      </c>
      <c r="SW27" s="729">
        <f>IFERROR(VLOOKUP(A27, 'ELL Enroll 15-16'!$N:$S, 6, FALSE), 0)</f>
        <v>5</v>
      </c>
      <c r="SX27" s="131">
        <f t="shared" si="54"/>
        <v>1.5060240963855422E-2</v>
      </c>
      <c r="SY27" s="124">
        <f>IFERROR(VLOOKUP(A27, 'SPED enroll 2015-16'!$M:$O, 3, FALSE), 0)</f>
        <v>42</v>
      </c>
      <c r="SZ27" s="131">
        <f t="shared" si="55"/>
        <v>0.12650602409638553</v>
      </c>
      <c r="TA27" s="142">
        <f t="shared" si="56"/>
        <v>29.4</v>
      </c>
      <c r="TB27" s="142">
        <f t="shared" si="56"/>
        <v>8.4</v>
      </c>
      <c r="TC27" s="142">
        <f t="shared" si="56"/>
        <v>2.9400000000000004</v>
      </c>
      <c r="TD27" s="142">
        <f t="shared" si="56"/>
        <v>1.26</v>
      </c>
      <c r="TE27" s="124">
        <f>VLOOKUP($A27, 'Grade Enroll 15-16'!$B:$AB, 20, FALSE)</f>
        <v>0</v>
      </c>
      <c r="TF27" s="124">
        <f>VLOOKUP($A27, 'Grade Enroll 15-16'!$B:$AB, 21, FALSE)</f>
        <v>16</v>
      </c>
      <c r="TG27" s="124">
        <f>VLOOKUP($A27, 'Grade Enroll 15-16'!$B:$AB, 22, FALSE)</f>
        <v>73</v>
      </c>
      <c r="TH27" s="124">
        <f>VLOOKUP($A27, 'Grade Enroll 15-16'!$B:$AB, 23, FALSE)</f>
        <v>82</v>
      </c>
      <c r="TI27" s="124">
        <f>VLOOKUP($A27, 'Grade Enroll 15-16'!$B:$AB, 24, FALSE)</f>
        <v>59</v>
      </c>
      <c r="TJ27" s="124">
        <f>VLOOKUP($A27, 'Grade Enroll 15-16'!$B:$AB, 25, FALSE)</f>
        <v>118</v>
      </c>
      <c r="TK27" s="124">
        <f>VLOOKUP($A27, 'Grade Enroll 15-16'!$B:$AB, 26, FALSE)</f>
        <v>229</v>
      </c>
      <c r="TL27" s="131">
        <f>SUMIFS('Student Achievement 15-16'!N:N, 'Student Achievement 15-16'!B:B, 'Idaho Data'!A27, 'Student Achievement 15-16'!D:D, "math")/100</f>
        <v>0.34600000000000003</v>
      </c>
      <c r="TM27" s="134">
        <f t="shared" si="57"/>
        <v>114.87200000000001</v>
      </c>
      <c r="TN27" s="131">
        <f>SUMIFS('Student Achievement 15-16'!N:N, 'Student Achievement 15-16'!B:B, 'Idaho Data'!A27, 'Student Achievement 15-16'!D:D, "ela")/100</f>
        <v>0.183</v>
      </c>
      <c r="TO27" s="134">
        <f t="shared" si="58"/>
        <v>60.756</v>
      </c>
      <c r="TP27" s="688">
        <f>IFERROR(VLOOKUP(A27, 'G&amp;T 15-16'!B:G, 6, FALSE), 0)*1</f>
        <v>5</v>
      </c>
      <c r="TQ27" s="168">
        <f t="shared" si="59"/>
        <v>19.919999999999998</v>
      </c>
      <c r="TU27" s="168">
        <f t="shared" si="60"/>
        <v>60.756</v>
      </c>
      <c r="TV27" s="168">
        <f t="shared" si="61"/>
        <v>114.87200000000001</v>
      </c>
      <c r="TW27" s="205">
        <f t="shared" si="62"/>
        <v>114.87200000000001</v>
      </c>
      <c r="TX27" s="144"/>
      <c r="TY27" s="129"/>
      <c r="TZ27" s="127">
        <f t="shared" si="63"/>
        <v>5</v>
      </c>
      <c r="UA27" s="127">
        <f t="shared" si="64"/>
        <v>19.919999999999998</v>
      </c>
      <c r="UB27" s="205">
        <f t="shared" si="65"/>
        <v>19.919999999999998</v>
      </c>
      <c r="UE27" s="853" t="str">
        <f>IF(ST27&lt;='1. Simulator Input'!$E$104, "yes", "")</f>
        <v/>
      </c>
      <c r="UI27" s="199">
        <f t="shared" si="66"/>
        <v>0</v>
      </c>
      <c r="UJ27" s="200">
        <f>IF('Idaho Data'!SI27&gt;=0, ((1-'1. Simulator Input'!$E$39)*'Idaho Data'!SI27), 0)</f>
        <v>0</v>
      </c>
      <c r="UK27" s="200">
        <f t="shared" si="67"/>
        <v>2301573</v>
      </c>
      <c r="UL27" s="39"/>
      <c r="UM27" s="182"/>
      <c r="UN27" s="39"/>
      <c r="UO27" s="39" t="str">
        <f>IF(AND('1. Simulator Input'!$E$96="yes", '1. Simulator Input'!$E$98="yes", '1. Simulator Input'!$E$100="hold harmless"), 'Idaho Data'!WN27, IF(AND('1. Simulator Input'!$E$96="yes", '1. Simulator Input'!$E$98="no", '1. Simulator Input'!$E$100="hold harmless"), 'Idaho Data'!WM27, IF(AND('1. Simulator Input'!$E$96="yes", '1. Simulator Input'!$E$98="yes", '1. Simulator Input'!$E$100="small district grant"), WL27,IF(AND('1. Simulator Input'!$E$96="yes", '1. Simulator Input'!$E$98="no", '1. Simulator Input'!$E$100="small district grant"), WK27, ""))))</f>
        <v/>
      </c>
      <c r="UP27" s="200">
        <f>'1. Simulator Input'!$D$56*('Idaho Data'!ST27)</f>
        <v>1834632</v>
      </c>
      <c r="UQ27" s="204">
        <f>'1. Simulator Input'!$D$65*'1. Simulator Input'!$D$56*'Idaho Data'!SU27</f>
        <v>0</v>
      </c>
      <c r="UR27" s="204">
        <f>'1. Simulator Input'!$D$66*'1. Simulator Input'!$D$56*'Idaho Data'!SW27</f>
        <v>0</v>
      </c>
      <c r="US27" s="200">
        <f>'1. Simulator Input'!$D$67*'1. Simulator Input'!$D$56*'Idaho Data'!TA27</f>
        <v>0</v>
      </c>
      <c r="UT27" s="200">
        <f>'1. Simulator Input'!$D$68*'1. Simulator Input'!$D$56*'Idaho Data'!TB27</f>
        <v>0</v>
      </c>
      <c r="UU27" s="200">
        <f>'1. Simulator Input'!$D$69*'1. Simulator Input'!$D$56*'Idaho Data'!TC27</f>
        <v>0</v>
      </c>
      <c r="UV27" s="200">
        <f>'1. Simulator Input'!$D$70*'1. Simulator Input'!$D$56*TD27</f>
        <v>0</v>
      </c>
      <c r="UW27" s="200">
        <f>'1. Simulator Input'!$D$80*'1. Simulator Input'!$D$56*TW27</f>
        <v>0</v>
      </c>
      <c r="UX27" s="200">
        <f>'1. Simulator Input'!$D$79*'1. Simulator Input'!$D$56*UB27</f>
        <v>0</v>
      </c>
      <c r="UY27" s="200">
        <f>'1. Simulator Input'!$D$87*'1. Simulator Input'!$D$56*TF27</f>
        <v>44208</v>
      </c>
      <c r="UZ27" s="200">
        <f>'1. Simulator Input'!$D$73*'1. Simulator Input'!$D$56*'Idaho Data'!TG27</f>
        <v>0</v>
      </c>
      <c r="VA27" s="200">
        <f>'1. Simulator Input'!$D$56*'1. Simulator Input'!$D$74*'Idaho Data'!TH27</f>
        <v>0</v>
      </c>
      <c r="VB27" s="200">
        <f>'1. Simulator Input'!$D$56*'1. Simulator Input'!$D$75*'Idaho Data'!TI22</f>
        <v>0</v>
      </c>
      <c r="VC27" s="200">
        <f>'1. Simulator Input'!$D$76*'1. Simulator Input'!$D$56*'Idaho Data'!TJ27</f>
        <v>0</v>
      </c>
      <c r="VD27" s="200">
        <f t="shared" si="68"/>
        <v>1878840</v>
      </c>
      <c r="VE27" s="200"/>
      <c r="VF27" s="182"/>
      <c r="VG27" s="200"/>
      <c r="VH27" s="200">
        <f t="shared" si="69"/>
        <v>0</v>
      </c>
      <c r="VI27" s="200">
        <f t="shared" si="70"/>
        <v>0</v>
      </c>
      <c r="VJ27" s="200">
        <f t="shared" si="16"/>
        <v>1878840</v>
      </c>
      <c r="VK27" s="200">
        <f t="shared" si="17"/>
        <v>1878840</v>
      </c>
      <c r="VL27" s="200"/>
      <c r="VM27" s="182"/>
      <c r="VN27" s="200"/>
      <c r="VO27" s="200">
        <f t="shared" si="71"/>
        <v>432776</v>
      </c>
      <c r="VP27" s="200">
        <f t="shared" si="72"/>
        <v>2301573</v>
      </c>
      <c r="VQ27" s="200">
        <f t="shared" si="73"/>
        <v>510652</v>
      </c>
      <c r="VR27" s="200">
        <f t="shared" si="74"/>
        <v>432776</v>
      </c>
      <c r="VS27" s="200">
        <f t="shared" si="18"/>
        <v>1878840</v>
      </c>
      <c r="VT27" s="200">
        <f t="shared" si="19"/>
        <v>510652</v>
      </c>
      <c r="VU27" s="200">
        <f t="shared" si="20"/>
        <v>0</v>
      </c>
      <c r="VV27" s="200"/>
      <c r="VW27" s="182"/>
      <c r="VX27" s="200"/>
      <c r="VZ27" s="199">
        <f t="shared" si="75"/>
        <v>-422733</v>
      </c>
      <c r="WA27" s="199">
        <f t="shared" si="76"/>
        <v>-1273.2921686746988</v>
      </c>
      <c r="WB27" s="131">
        <f t="shared" si="77"/>
        <v>-0.18367134129571386</v>
      </c>
      <c r="WC27" s="131"/>
      <c r="WD27" s="461"/>
      <c r="WE27" s="893"/>
      <c r="WF27" s="893">
        <f t="shared" si="78"/>
        <v>9774.0993975903621</v>
      </c>
      <c r="WG27" s="893">
        <f t="shared" si="79"/>
        <v>8500.8072289156626</v>
      </c>
      <c r="WH27" s="893"/>
      <c r="WI27" s="893">
        <f t="shared" si="80"/>
        <v>2301573</v>
      </c>
      <c r="WJ27" s="893">
        <f t="shared" si="21"/>
        <v>1878840</v>
      </c>
      <c r="WK27" s="39" t="str">
        <f t="shared" si="22"/>
        <v/>
      </c>
      <c r="WL27" s="39" t="str">
        <f t="shared" si="23"/>
        <v/>
      </c>
      <c r="WM27" s="200" t="str">
        <f t="shared" si="24"/>
        <v/>
      </c>
      <c r="WN27" s="39" t="str">
        <f t="shared" si="25"/>
        <v/>
      </c>
      <c r="WO27" s="39"/>
      <c r="WP27" s="182"/>
      <c r="WQ27" s="39"/>
      <c r="WR27" s="305">
        <f t="shared" si="26"/>
        <v>0.77100000000000002</v>
      </c>
      <c r="WT27" s="200">
        <f t="shared" si="27"/>
        <v>6932.4487951807232</v>
      </c>
      <c r="WU27" s="131">
        <f t="shared" si="81"/>
        <v>0.59</v>
      </c>
      <c r="WW27" s="199">
        <f t="shared" si="28"/>
        <v>432776</v>
      </c>
      <c r="WX27" s="199">
        <f t="shared" si="29"/>
        <v>1878840</v>
      </c>
      <c r="WY27" s="199">
        <f t="shared" si="30"/>
        <v>0</v>
      </c>
      <c r="WZ27" s="199">
        <f t="shared" si="82"/>
        <v>1878840</v>
      </c>
      <c r="XA27" s="199">
        <f t="shared" si="31"/>
        <v>0</v>
      </c>
      <c r="XB27" s="199">
        <f t="shared" si="32"/>
        <v>510652</v>
      </c>
      <c r="XC27" s="199">
        <f t="shared" si="33"/>
        <v>510652</v>
      </c>
      <c r="XD27" s="199" t="str">
        <f t="shared" si="34"/>
        <v/>
      </c>
      <c r="XE27" s="199"/>
      <c r="XF27" s="199"/>
      <c r="XG27" s="199"/>
      <c r="XH27" s="199"/>
      <c r="XI27" s="199"/>
      <c r="XJ27" s="199">
        <f t="shared" si="83"/>
        <v>1878840</v>
      </c>
      <c r="XP27" s="199">
        <f t="shared" si="35"/>
        <v>1878840</v>
      </c>
      <c r="XQ27" s="199">
        <f t="shared" si="36"/>
        <v>5659.1566265060237</v>
      </c>
      <c r="XR27" s="199">
        <f t="shared" si="37"/>
        <v>1878840</v>
      </c>
      <c r="XS27" s="199">
        <f t="shared" si="38"/>
        <v>1878840</v>
      </c>
      <c r="XT27" s="199">
        <f t="shared" si="39"/>
        <v>5659.1566265060237</v>
      </c>
      <c r="XU27" s="199">
        <f t="shared" si="40"/>
        <v>2301573</v>
      </c>
      <c r="XV27" s="199">
        <f t="shared" si="41"/>
        <v>6932.4487951807232</v>
      </c>
      <c r="XW27" s="199">
        <f t="shared" si="42"/>
        <v>2301573</v>
      </c>
      <c r="XX27" s="199">
        <f t="shared" si="43"/>
        <v>6932.4487951807232</v>
      </c>
      <c r="XY27" s="199">
        <f t="shared" si="84"/>
        <v>-422733</v>
      </c>
      <c r="XZ27" s="199">
        <f t="shared" si="85"/>
        <v>-1273.2921686746995</v>
      </c>
      <c r="YA27" s="131">
        <f t="shared" si="86"/>
        <v>-0.18367134129571394</v>
      </c>
      <c r="YB27" s="199"/>
      <c r="YC27" s="221"/>
      <c r="YD27" s="199"/>
      <c r="YE27" s="199">
        <f t="shared" si="44"/>
        <v>432776</v>
      </c>
      <c r="YF27" s="200">
        <f t="shared" si="45"/>
        <v>0</v>
      </c>
      <c r="YG27" s="199">
        <f t="shared" si="46"/>
        <v>510652</v>
      </c>
      <c r="YH27" s="199">
        <f t="shared" si="47"/>
        <v>7643</v>
      </c>
    </row>
    <row r="28" spans="1:658">
      <c r="A28" s="3">
        <v>73</v>
      </c>
      <c r="B28" s="2" t="s">
        <v>119</v>
      </c>
      <c r="C28" s="24">
        <v>0</v>
      </c>
      <c r="D28" s="24">
        <v>0</v>
      </c>
      <c r="E28" s="24">
        <v>0</v>
      </c>
      <c r="F28" s="24">
        <v>0</v>
      </c>
      <c r="G28" s="24">
        <v>303881</v>
      </c>
      <c r="H28" s="24">
        <v>0</v>
      </c>
      <c r="I28" s="24">
        <v>0</v>
      </c>
      <c r="J28" s="24">
        <v>2004</v>
      </c>
      <c r="K28" s="24">
        <v>0</v>
      </c>
      <c r="L28" s="24">
        <v>0</v>
      </c>
      <c r="M28" s="24">
        <v>0</v>
      </c>
      <c r="N28" s="24">
        <v>7196</v>
      </c>
      <c r="O28" s="24">
        <v>0</v>
      </c>
      <c r="P28" s="24">
        <v>0</v>
      </c>
      <c r="Q28" s="24">
        <v>0</v>
      </c>
      <c r="R28" s="24">
        <v>0</v>
      </c>
      <c r="S28" s="24">
        <v>0</v>
      </c>
      <c r="T28" s="24">
        <v>0</v>
      </c>
      <c r="U28" s="24">
        <v>0</v>
      </c>
      <c r="V28" s="24">
        <v>0</v>
      </c>
      <c r="W28" s="24">
        <v>0</v>
      </c>
      <c r="X28" s="24">
        <v>151520</v>
      </c>
      <c r="Y28" s="24">
        <v>5060</v>
      </c>
      <c r="Z28" s="24">
        <v>0</v>
      </c>
      <c r="AA28" s="24">
        <v>3867</v>
      </c>
      <c r="AB28" s="24">
        <v>0</v>
      </c>
      <c r="AC28" s="24">
        <v>0</v>
      </c>
      <c r="AD28" s="24">
        <v>0</v>
      </c>
      <c r="AE28" s="24">
        <v>0</v>
      </c>
      <c r="AF28" s="24">
        <v>0</v>
      </c>
      <c r="AG28" s="24">
        <v>0</v>
      </c>
      <c r="AH28" s="24">
        <v>0</v>
      </c>
      <c r="AI28" s="24">
        <v>0</v>
      </c>
      <c r="AJ28" s="24">
        <v>0</v>
      </c>
      <c r="AK28" s="24">
        <v>0</v>
      </c>
      <c r="AL28" s="24">
        <v>1024</v>
      </c>
      <c r="AM28" s="24">
        <v>0</v>
      </c>
      <c r="AN28" s="24">
        <v>0</v>
      </c>
      <c r="AO28" s="24">
        <v>0</v>
      </c>
      <c r="AP28" s="24">
        <v>0</v>
      </c>
      <c r="AQ28" s="24">
        <v>0</v>
      </c>
      <c r="AR28" s="24">
        <v>0</v>
      </c>
      <c r="AS28" s="24">
        <v>0</v>
      </c>
      <c r="AT28" s="24">
        <v>0</v>
      </c>
      <c r="AU28" s="24">
        <v>0</v>
      </c>
      <c r="AV28" s="24">
        <v>0</v>
      </c>
      <c r="AW28" s="24">
        <v>0</v>
      </c>
      <c r="AX28" s="24">
        <v>0</v>
      </c>
      <c r="AY28" s="24">
        <v>0</v>
      </c>
      <c r="AZ28" s="24">
        <v>0</v>
      </c>
      <c r="BA28" s="24">
        <v>0</v>
      </c>
      <c r="BB28" s="24">
        <v>0</v>
      </c>
      <c r="BC28" s="24">
        <v>0</v>
      </c>
      <c r="BD28" s="24">
        <v>956</v>
      </c>
      <c r="BE28" s="24">
        <v>0</v>
      </c>
      <c r="BF28" s="24">
        <v>0</v>
      </c>
      <c r="BG28" s="24">
        <v>0</v>
      </c>
      <c r="BH28" s="24">
        <v>0</v>
      </c>
      <c r="BI28" s="24">
        <v>0</v>
      </c>
      <c r="BJ28" s="24">
        <v>0</v>
      </c>
      <c r="BK28" s="24">
        <v>0</v>
      </c>
      <c r="BL28" s="24">
        <v>0</v>
      </c>
      <c r="BM28" s="24">
        <v>86</v>
      </c>
      <c r="BN28" s="24">
        <v>0</v>
      </c>
      <c r="BO28" s="24">
        <v>0</v>
      </c>
      <c r="BP28" s="24">
        <v>0</v>
      </c>
      <c r="BQ28" s="24">
        <v>0</v>
      </c>
      <c r="BR28" s="24">
        <v>0</v>
      </c>
      <c r="BS28" s="24">
        <v>0</v>
      </c>
      <c r="BT28" s="24">
        <v>0</v>
      </c>
      <c r="BU28" s="24">
        <v>0</v>
      </c>
      <c r="BV28" s="24">
        <v>0</v>
      </c>
      <c r="BW28" s="24">
        <v>0</v>
      </c>
      <c r="BX28" s="24">
        <v>0</v>
      </c>
      <c r="BY28" s="24">
        <v>0</v>
      </c>
      <c r="BZ28" s="24">
        <v>0</v>
      </c>
      <c r="CA28" s="24">
        <v>0</v>
      </c>
      <c r="CB28" s="24">
        <v>0</v>
      </c>
      <c r="CC28" s="24">
        <v>0</v>
      </c>
      <c r="CD28" s="24">
        <v>12747</v>
      </c>
      <c r="CE28" s="24">
        <v>0</v>
      </c>
      <c r="CF28" s="24">
        <v>0</v>
      </c>
      <c r="CG28" s="24">
        <v>619</v>
      </c>
      <c r="CH28" s="24">
        <v>0</v>
      </c>
      <c r="CI28" s="24">
        <v>0</v>
      </c>
      <c r="CJ28" s="24">
        <v>0</v>
      </c>
      <c r="CK28" s="24">
        <v>0</v>
      </c>
      <c r="CL28" s="24">
        <v>0</v>
      </c>
      <c r="CM28" s="24">
        <v>0</v>
      </c>
      <c r="CN28" s="24">
        <v>0</v>
      </c>
      <c r="CO28" s="24">
        <v>0</v>
      </c>
      <c r="CP28" s="24">
        <v>0</v>
      </c>
      <c r="CQ28" s="24">
        <v>0</v>
      </c>
      <c r="CR28" s="24">
        <v>0</v>
      </c>
      <c r="CS28" s="24">
        <v>1840</v>
      </c>
      <c r="CT28" s="24">
        <v>0</v>
      </c>
      <c r="CU28" s="24">
        <v>0</v>
      </c>
      <c r="CV28" s="24">
        <v>0</v>
      </c>
      <c r="CW28" s="24">
        <v>0</v>
      </c>
      <c r="CX28" s="24">
        <v>0</v>
      </c>
      <c r="CY28" s="24">
        <v>0</v>
      </c>
      <c r="CZ28" s="24">
        <v>0</v>
      </c>
      <c r="DA28" s="24">
        <v>0</v>
      </c>
      <c r="DB28" s="24">
        <v>-8</v>
      </c>
      <c r="DC28" s="24">
        <v>0</v>
      </c>
      <c r="DD28" s="24">
        <v>0</v>
      </c>
      <c r="DE28" s="24">
        <v>0</v>
      </c>
      <c r="DF28" s="24">
        <v>0</v>
      </c>
      <c r="DG28" s="24">
        <v>0</v>
      </c>
      <c r="DH28" s="24">
        <v>0</v>
      </c>
      <c r="DI28" s="24">
        <v>0</v>
      </c>
      <c r="DJ28" s="24">
        <v>0</v>
      </c>
      <c r="DK28" s="24">
        <v>0</v>
      </c>
      <c r="DL28" s="24">
        <v>0</v>
      </c>
      <c r="DM28" s="24">
        <v>0</v>
      </c>
      <c r="DN28" s="24">
        <v>0</v>
      </c>
      <c r="DO28" s="24">
        <v>0</v>
      </c>
      <c r="DP28" s="24">
        <v>0</v>
      </c>
      <c r="DQ28" s="24">
        <v>0</v>
      </c>
      <c r="DR28" s="24">
        <v>0</v>
      </c>
      <c r="DS28" s="24">
        <v>0</v>
      </c>
      <c r="DT28" s="24">
        <v>0</v>
      </c>
      <c r="DU28" s="24">
        <v>950</v>
      </c>
      <c r="DV28" s="24">
        <v>0</v>
      </c>
      <c r="DW28" s="24">
        <v>0</v>
      </c>
      <c r="DX28" s="24">
        <v>0</v>
      </c>
      <c r="DY28" s="24">
        <v>0</v>
      </c>
      <c r="DZ28" s="24">
        <v>0</v>
      </c>
      <c r="EA28" s="24">
        <v>0</v>
      </c>
      <c r="EB28" s="24">
        <v>0</v>
      </c>
      <c r="EC28" s="24">
        <v>0</v>
      </c>
      <c r="ED28" s="24">
        <v>0</v>
      </c>
      <c r="EE28" s="24">
        <v>0</v>
      </c>
      <c r="EF28" s="24">
        <v>0</v>
      </c>
      <c r="EG28" s="24">
        <v>250</v>
      </c>
      <c r="EH28" s="24">
        <v>0</v>
      </c>
      <c r="EI28" s="24">
        <v>0</v>
      </c>
      <c r="EJ28" s="24">
        <v>0</v>
      </c>
      <c r="EK28" s="24">
        <v>0</v>
      </c>
      <c r="EL28" s="24">
        <v>0</v>
      </c>
      <c r="EM28" s="24">
        <v>0</v>
      </c>
      <c r="EN28" s="24">
        <v>0</v>
      </c>
      <c r="EO28" s="24">
        <v>0</v>
      </c>
      <c r="EP28" s="24">
        <v>0</v>
      </c>
      <c r="EQ28" s="24">
        <v>0</v>
      </c>
      <c r="ER28" s="24">
        <v>0</v>
      </c>
      <c r="ES28" s="24">
        <v>0</v>
      </c>
      <c r="ET28" s="24">
        <v>0</v>
      </c>
      <c r="EU28" s="24">
        <v>0</v>
      </c>
      <c r="EV28" s="24">
        <v>0</v>
      </c>
      <c r="EW28" s="24">
        <v>0</v>
      </c>
      <c r="EX28" s="24">
        <v>0</v>
      </c>
      <c r="EY28" s="24">
        <v>0</v>
      </c>
      <c r="EZ28" s="24">
        <v>0</v>
      </c>
      <c r="FA28" s="24">
        <v>0</v>
      </c>
      <c r="FB28" s="24">
        <v>14943</v>
      </c>
      <c r="FC28" s="24">
        <v>0</v>
      </c>
      <c r="FD28" s="24">
        <v>0</v>
      </c>
      <c r="FE28" s="24">
        <v>0</v>
      </c>
      <c r="FF28" s="24">
        <v>0</v>
      </c>
      <c r="FG28" s="24">
        <v>0</v>
      </c>
      <c r="FH28" s="24">
        <v>0</v>
      </c>
      <c r="FI28" s="24">
        <v>0</v>
      </c>
      <c r="FJ28" s="24">
        <v>0</v>
      </c>
      <c r="FK28" s="24">
        <v>0</v>
      </c>
      <c r="FL28" s="24">
        <v>0</v>
      </c>
      <c r="FM28" s="24">
        <v>0</v>
      </c>
      <c r="FN28" s="24">
        <v>0</v>
      </c>
      <c r="FO28" s="24">
        <v>0</v>
      </c>
      <c r="FP28" s="24">
        <v>0</v>
      </c>
      <c r="FQ28" s="24">
        <v>0</v>
      </c>
      <c r="FR28" s="24">
        <v>0</v>
      </c>
      <c r="FS28" s="24">
        <v>14466</v>
      </c>
      <c r="FT28" s="24">
        <v>0</v>
      </c>
      <c r="FU28" s="24">
        <v>0</v>
      </c>
      <c r="FV28" s="24">
        <v>13770</v>
      </c>
      <c r="FW28" s="24">
        <v>2362</v>
      </c>
      <c r="FX28" s="24">
        <v>0</v>
      </c>
      <c r="FY28" s="24">
        <v>0</v>
      </c>
      <c r="FZ28" s="24">
        <v>0</v>
      </c>
      <c r="GA28" s="24">
        <v>0</v>
      </c>
      <c r="GB28" s="24">
        <v>0</v>
      </c>
      <c r="GC28" s="24">
        <v>0</v>
      </c>
      <c r="GD28" s="24">
        <v>0</v>
      </c>
      <c r="GE28" s="24">
        <v>0</v>
      </c>
      <c r="GF28" s="24">
        <v>0</v>
      </c>
      <c r="GG28" s="24">
        <v>0</v>
      </c>
      <c r="GH28" s="24">
        <v>0</v>
      </c>
      <c r="GI28" s="24">
        <v>0</v>
      </c>
      <c r="GJ28" s="24">
        <v>0</v>
      </c>
      <c r="GK28" s="24">
        <v>0</v>
      </c>
      <c r="GL28" s="24">
        <v>0</v>
      </c>
      <c r="GM28" s="24">
        <v>0</v>
      </c>
      <c r="GN28" s="24">
        <v>0</v>
      </c>
      <c r="GO28" s="24">
        <v>0</v>
      </c>
      <c r="GP28" s="24">
        <v>0</v>
      </c>
      <c r="GQ28" s="24">
        <v>0</v>
      </c>
      <c r="GR28" s="24">
        <v>0</v>
      </c>
      <c r="GS28" s="24">
        <v>0</v>
      </c>
      <c r="GT28" s="24">
        <v>0</v>
      </c>
      <c r="GU28" s="24">
        <v>0</v>
      </c>
      <c r="GV28" s="24">
        <v>1800</v>
      </c>
      <c r="GW28" s="24">
        <v>0</v>
      </c>
      <c r="GX28" s="24">
        <v>0</v>
      </c>
      <c r="GY28" s="24">
        <v>0</v>
      </c>
      <c r="GZ28" s="24">
        <v>0</v>
      </c>
      <c r="HA28" s="24">
        <v>0</v>
      </c>
      <c r="HB28" s="24">
        <v>0</v>
      </c>
      <c r="HC28" s="24">
        <v>0</v>
      </c>
      <c r="HD28" s="24">
        <v>1370888</v>
      </c>
      <c r="HE28" s="24">
        <v>0</v>
      </c>
      <c r="HF28" s="24">
        <v>0</v>
      </c>
      <c r="HG28" s="24">
        <v>0</v>
      </c>
      <c r="HH28" s="24">
        <v>0</v>
      </c>
      <c r="HI28" s="24">
        <v>51496</v>
      </c>
      <c r="HJ28" s="24">
        <v>0</v>
      </c>
      <c r="HK28" s="24">
        <v>0</v>
      </c>
      <c r="HL28" s="24">
        <v>0</v>
      </c>
      <c r="HM28" s="24">
        <v>0</v>
      </c>
      <c r="HN28" s="24">
        <v>0</v>
      </c>
      <c r="HO28" s="24">
        <v>183282</v>
      </c>
      <c r="HP28" s="24">
        <v>122682</v>
      </c>
      <c r="HQ28" s="24">
        <v>0</v>
      </c>
      <c r="HR28" s="24">
        <v>0</v>
      </c>
      <c r="HS28" s="24">
        <v>0</v>
      </c>
      <c r="HT28" s="24">
        <v>0</v>
      </c>
      <c r="HU28" s="24">
        <v>0</v>
      </c>
      <c r="HV28" s="24">
        <v>0</v>
      </c>
      <c r="HW28" s="24">
        <v>0</v>
      </c>
      <c r="HX28" s="24">
        <v>0</v>
      </c>
      <c r="HY28" s="24">
        <v>0</v>
      </c>
      <c r="HZ28" s="24">
        <v>0</v>
      </c>
      <c r="IA28" s="24">
        <v>15015</v>
      </c>
      <c r="IB28" s="24">
        <v>5189</v>
      </c>
      <c r="IC28" s="24">
        <v>0</v>
      </c>
      <c r="ID28" s="24">
        <v>0</v>
      </c>
      <c r="IE28" s="24">
        <v>0</v>
      </c>
      <c r="IF28" s="24">
        <v>0</v>
      </c>
      <c r="IG28" s="24">
        <v>0</v>
      </c>
      <c r="IH28" s="24">
        <v>0</v>
      </c>
      <c r="II28" s="24">
        <v>0</v>
      </c>
      <c r="IJ28" s="24">
        <v>26481</v>
      </c>
      <c r="IK28" s="24">
        <v>0</v>
      </c>
      <c r="IL28" s="24">
        <v>800</v>
      </c>
      <c r="IM28" s="24">
        <v>0</v>
      </c>
      <c r="IN28" s="24">
        <v>0</v>
      </c>
      <c r="IO28" s="24">
        <v>2874</v>
      </c>
      <c r="IP28" s="24">
        <v>0</v>
      </c>
      <c r="IQ28" s="24">
        <v>0</v>
      </c>
      <c r="IR28" s="24">
        <v>26647</v>
      </c>
      <c r="IS28" s="24">
        <v>0</v>
      </c>
      <c r="IT28" s="24">
        <v>0</v>
      </c>
      <c r="IU28" s="24">
        <v>0</v>
      </c>
      <c r="IV28" s="24">
        <v>0</v>
      </c>
      <c r="IW28" s="24">
        <v>14908</v>
      </c>
      <c r="IX28" s="24">
        <v>0</v>
      </c>
      <c r="IY28" s="24">
        <v>0</v>
      </c>
      <c r="IZ28" s="24">
        <v>0</v>
      </c>
      <c r="JA28" s="24">
        <v>0</v>
      </c>
      <c r="JB28" s="24">
        <v>7897</v>
      </c>
      <c r="JC28" s="24">
        <v>0</v>
      </c>
      <c r="JD28" s="24">
        <v>0</v>
      </c>
      <c r="JE28" s="24">
        <v>0</v>
      </c>
      <c r="JF28" s="24">
        <v>0</v>
      </c>
      <c r="JG28" s="24">
        <v>0</v>
      </c>
      <c r="JH28" s="24">
        <v>0</v>
      </c>
      <c r="JI28" s="24">
        <v>0</v>
      </c>
      <c r="JJ28" s="24">
        <v>0</v>
      </c>
      <c r="JK28" s="24">
        <v>0</v>
      </c>
      <c r="JL28" s="24">
        <v>0</v>
      </c>
      <c r="JM28" s="24">
        <v>0</v>
      </c>
      <c r="JN28" s="24">
        <v>0</v>
      </c>
      <c r="JO28" s="24">
        <v>0</v>
      </c>
      <c r="JP28" s="24">
        <v>0</v>
      </c>
      <c r="JQ28" s="24">
        <v>0</v>
      </c>
      <c r="JR28" s="24">
        <v>0</v>
      </c>
      <c r="JS28" s="24">
        <v>0</v>
      </c>
      <c r="JT28" s="24">
        <v>0</v>
      </c>
      <c r="JU28" s="24">
        <v>0</v>
      </c>
      <c r="JV28" s="24">
        <v>0</v>
      </c>
      <c r="JW28" s="24">
        <v>0</v>
      </c>
      <c r="JX28" s="24">
        <v>0</v>
      </c>
      <c r="JY28" s="24">
        <v>0</v>
      </c>
      <c r="JZ28" s="24">
        <v>0</v>
      </c>
      <c r="KA28" s="24">
        <v>0</v>
      </c>
      <c r="KB28" s="24">
        <v>0</v>
      </c>
      <c r="KC28" s="24">
        <v>0</v>
      </c>
      <c r="KD28" s="24">
        <v>0</v>
      </c>
      <c r="KE28" s="24">
        <v>0</v>
      </c>
      <c r="KF28" s="24">
        <v>0</v>
      </c>
      <c r="KG28" s="24">
        <v>153186</v>
      </c>
      <c r="KH28" s="24">
        <v>0</v>
      </c>
      <c r="KI28" s="24">
        <v>0</v>
      </c>
      <c r="KJ28" s="24">
        <v>0</v>
      </c>
      <c r="KK28" s="24">
        <v>0</v>
      </c>
      <c r="KL28" s="24">
        <v>0</v>
      </c>
      <c r="KM28" s="24">
        <v>0</v>
      </c>
      <c r="KN28" s="24">
        <v>0</v>
      </c>
      <c r="KO28" s="24">
        <v>0</v>
      </c>
      <c r="KP28" s="24">
        <v>0</v>
      </c>
      <c r="KQ28" s="24">
        <v>0</v>
      </c>
      <c r="KR28" s="24">
        <v>0</v>
      </c>
      <c r="KS28" s="24">
        <v>0</v>
      </c>
      <c r="KT28" s="24">
        <v>0</v>
      </c>
      <c r="KU28" s="24">
        <v>0</v>
      </c>
      <c r="KV28" s="24">
        <v>0</v>
      </c>
      <c r="KW28" s="24">
        <v>0</v>
      </c>
      <c r="KX28" s="24">
        <v>0</v>
      </c>
      <c r="KY28" s="24">
        <v>0</v>
      </c>
      <c r="KZ28" s="24">
        <v>0</v>
      </c>
      <c r="LA28" s="24">
        <v>0</v>
      </c>
      <c r="LB28" s="24">
        <v>0</v>
      </c>
      <c r="LC28" s="24">
        <v>0</v>
      </c>
      <c r="LD28" s="24">
        <v>0</v>
      </c>
      <c r="LE28" s="24">
        <v>0</v>
      </c>
      <c r="LF28" s="24">
        <v>0</v>
      </c>
      <c r="LG28" s="24">
        <v>0</v>
      </c>
      <c r="LH28" s="24">
        <v>0</v>
      </c>
      <c r="LI28" s="24">
        <v>0</v>
      </c>
      <c r="LJ28" s="24">
        <v>0</v>
      </c>
      <c r="LK28" s="24">
        <v>0</v>
      </c>
      <c r="LL28" s="24">
        <v>0</v>
      </c>
      <c r="LM28" s="24">
        <v>0</v>
      </c>
      <c r="LN28" s="24">
        <v>0</v>
      </c>
      <c r="LO28" s="24">
        <v>0</v>
      </c>
      <c r="LP28" s="24">
        <v>0</v>
      </c>
      <c r="LQ28" s="24">
        <v>45001</v>
      </c>
      <c r="LR28" s="24">
        <v>0</v>
      </c>
      <c r="LS28" s="24">
        <v>0</v>
      </c>
      <c r="LT28" s="24">
        <v>0</v>
      </c>
      <c r="LU28" s="24">
        <v>0</v>
      </c>
      <c r="LV28" s="24">
        <v>0</v>
      </c>
      <c r="LW28" s="24">
        <v>0</v>
      </c>
      <c r="LX28" s="24">
        <v>0</v>
      </c>
      <c r="LY28" s="24">
        <v>0</v>
      </c>
      <c r="LZ28" s="24">
        <v>0</v>
      </c>
      <c r="MA28" s="24">
        <v>0</v>
      </c>
      <c r="MB28" s="24">
        <v>0</v>
      </c>
      <c r="MC28" s="24">
        <v>0</v>
      </c>
      <c r="MD28" s="24">
        <v>0</v>
      </c>
      <c r="ME28" s="24">
        <v>0</v>
      </c>
      <c r="MF28" s="24">
        <v>0</v>
      </c>
      <c r="MG28" s="24">
        <v>0</v>
      </c>
      <c r="MH28" s="24">
        <v>0</v>
      </c>
      <c r="MI28" s="24">
        <v>0</v>
      </c>
      <c r="MJ28" s="24">
        <v>0</v>
      </c>
      <c r="MK28" s="24">
        <v>0</v>
      </c>
      <c r="ML28" s="24">
        <v>0</v>
      </c>
      <c r="MM28" s="24">
        <v>0</v>
      </c>
      <c r="MN28" s="24">
        <v>0</v>
      </c>
      <c r="MO28" s="24">
        <v>2208</v>
      </c>
      <c r="MP28" s="24">
        <v>0</v>
      </c>
      <c r="MQ28" s="24">
        <v>0</v>
      </c>
      <c r="MR28" s="24">
        <v>82794</v>
      </c>
      <c r="MS28" s="24">
        <v>0</v>
      </c>
      <c r="MT28" s="24">
        <v>0</v>
      </c>
      <c r="MU28" s="24">
        <v>0</v>
      </c>
      <c r="MV28" s="24">
        <v>0</v>
      </c>
      <c r="MW28" s="24">
        <v>55693</v>
      </c>
      <c r="MX28" s="24">
        <v>939</v>
      </c>
      <c r="MY28" s="24">
        <v>0</v>
      </c>
      <c r="MZ28" s="24">
        <v>0</v>
      </c>
      <c r="NA28" s="24">
        <v>0</v>
      </c>
      <c r="NB28" s="24">
        <v>0</v>
      </c>
      <c r="NC28" s="24">
        <v>0</v>
      </c>
      <c r="ND28" s="24">
        <v>0</v>
      </c>
      <c r="NE28" s="24">
        <v>0</v>
      </c>
      <c r="NF28" s="24">
        <v>0</v>
      </c>
      <c r="NG28" s="24">
        <v>0</v>
      </c>
      <c r="NH28" s="24">
        <v>0</v>
      </c>
      <c r="NI28" s="24">
        <v>0</v>
      </c>
      <c r="NJ28" s="24">
        <v>0</v>
      </c>
      <c r="NK28" s="24">
        <v>0</v>
      </c>
      <c r="NL28" s="24">
        <v>0</v>
      </c>
      <c r="NM28" s="24">
        <v>0</v>
      </c>
      <c r="NN28" s="24">
        <v>0</v>
      </c>
      <c r="NO28" s="24">
        <v>0</v>
      </c>
      <c r="NP28" s="24">
        <v>0</v>
      </c>
      <c r="NQ28" s="24">
        <v>15626</v>
      </c>
      <c r="NR28" s="24">
        <v>0</v>
      </c>
      <c r="NS28" s="24">
        <v>0</v>
      </c>
      <c r="NT28" s="24">
        <v>0</v>
      </c>
      <c r="NU28" s="24">
        <v>0</v>
      </c>
      <c r="NV28" s="24">
        <v>16003</v>
      </c>
      <c r="NW28" s="24">
        <v>0</v>
      </c>
      <c r="NX28" s="24">
        <v>147006</v>
      </c>
      <c r="NY28" s="24">
        <v>0</v>
      </c>
      <c r="NZ28" s="24">
        <v>0</v>
      </c>
      <c r="OA28" s="24">
        <v>0</v>
      </c>
      <c r="OB28" s="24">
        <v>0</v>
      </c>
      <c r="OC28" s="24">
        <v>0</v>
      </c>
      <c r="OD28" s="24">
        <v>0</v>
      </c>
      <c r="OE28" s="24">
        <v>0</v>
      </c>
      <c r="OF28" s="24">
        <v>0</v>
      </c>
      <c r="OG28" s="24">
        <v>0</v>
      </c>
      <c r="OH28" s="24">
        <v>0</v>
      </c>
      <c r="OI28" s="24">
        <v>0</v>
      </c>
      <c r="OJ28" s="24">
        <v>0</v>
      </c>
      <c r="OK28" s="24">
        <v>0</v>
      </c>
      <c r="OL28" s="24">
        <v>0</v>
      </c>
      <c r="OM28" s="24">
        <v>0</v>
      </c>
      <c r="ON28" s="24">
        <v>0</v>
      </c>
      <c r="OO28" s="24">
        <v>0</v>
      </c>
      <c r="OP28" s="24">
        <v>0</v>
      </c>
      <c r="OQ28" s="24">
        <v>0</v>
      </c>
      <c r="OR28" s="24">
        <v>0</v>
      </c>
      <c r="OS28" s="24">
        <v>0</v>
      </c>
      <c r="OT28" s="24">
        <v>0</v>
      </c>
      <c r="OU28" s="24">
        <v>0</v>
      </c>
      <c r="OV28" s="24">
        <v>0</v>
      </c>
      <c r="OW28" s="24">
        <v>0</v>
      </c>
      <c r="OX28" s="24">
        <v>100</v>
      </c>
      <c r="OY28" s="24">
        <v>0</v>
      </c>
      <c r="OZ28" s="24">
        <v>0</v>
      </c>
      <c r="PA28" s="24">
        <v>0</v>
      </c>
      <c r="PB28" s="24">
        <v>0</v>
      </c>
      <c r="PC28" s="24">
        <v>0</v>
      </c>
      <c r="PD28" s="24">
        <v>0</v>
      </c>
      <c r="PE28" s="24">
        <v>0</v>
      </c>
      <c r="PF28" s="24">
        <v>0</v>
      </c>
      <c r="PG28" s="24">
        <v>0</v>
      </c>
      <c r="PH28" s="24">
        <v>112443</v>
      </c>
      <c r="PI28" s="24">
        <v>0</v>
      </c>
      <c r="PJ28" s="24">
        <v>0</v>
      </c>
      <c r="PK28" s="24">
        <v>0</v>
      </c>
      <c r="PL28" s="24">
        <v>0</v>
      </c>
      <c r="PM28" s="24">
        <v>2266</v>
      </c>
      <c r="PN28" s="24">
        <v>0</v>
      </c>
      <c r="PO28" s="24">
        <v>0</v>
      </c>
      <c r="PP28" s="24">
        <v>0</v>
      </c>
      <c r="PQ28" s="24">
        <v>0</v>
      </c>
      <c r="PR28" s="24">
        <v>0</v>
      </c>
      <c r="PS28" s="24">
        <v>0</v>
      </c>
      <c r="PT28" s="24">
        <v>0</v>
      </c>
      <c r="PU28" s="24">
        <v>0</v>
      </c>
      <c r="PV28" s="24">
        <v>0</v>
      </c>
      <c r="PW28" s="24">
        <v>0</v>
      </c>
      <c r="PX28" s="24">
        <v>0</v>
      </c>
      <c r="PY28" s="24">
        <v>0</v>
      </c>
      <c r="PZ28" s="24">
        <v>0</v>
      </c>
      <c r="QA28" s="24">
        <v>0</v>
      </c>
      <c r="QB28" s="24">
        <v>0</v>
      </c>
      <c r="QC28" s="24">
        <v>0</v>
      </c>
      <c r="QD28" s="24">
        <v>0</v>
      </c>
      <c r="QE28" s="24">
        <v>0</v>
      </c>
      <c r="QF28" s="24">
        <v>0</v>
      </c>
      <c r="QG28" s="24">
        <v>0</v>
      </c>
      <c r="QH28" s="24">
        <v>0</v>
      </c>
      <c r="QI28" s="24">
        <v>0</v>
      </c>
      <c r="QJ28" s="24">
        <v>0</v>
      </c>
      <c r="QK28" s="24">
        <v>0</v>
      </c>
      <c r="QL28" s="24">
        <v>0</v>
      </c>
      <c r="QM28" s="24">
        <v>0</v>
      </c>
      <c r="QN28" s="24">
        <v>0</v>
      </c>
      <c r="QO28" s="24">
        <v>0</v>
      </c>
      <c r="QP28" s="24">
        <v>0</v>
      </c>
      <c r="QQ28" s="24">
        <v>0</v>
      </c>
      <c r="QR28" s="24">
        <v>0</v>
      </c>
      <c r="QS28" s="24">
        <v>0</v>
      </c>
      <c r="QT28" s="24">
        <v>0</v>
      </c>
      <c r="QU28" s="24">
        <v>0</v>
      </c>
      <c r="QV28" s="24">
        <v>155791</v>
      </c>
      <c r="QW28" s="24">
        <v>85000</v>
      </c>
      <c r="QX28" s="24">
        <v>0</v>
      </c>
      <c r="QY28" s="24">
        <v>0</v>
      </c>
      <c r="QZ28" s="24">
        <v>0</v>
      </c>
      <c r="RA28" s="24">
        <v>0</v>
      </c>
      <c r="RB28" s="24">
        <v>0</v>
      </c>
      <c r="RG28" s="39">
        <f t="shared" si="48"/>
        <v>1370888</v>
      </c>
      <c r="RH28" s="39">
        <f t="shared" si="48"/>
        <v>51496</v>
      </c>
      <c r="RI28" s="39">
        <f t="shared" si="48"/>
        <v>0</v>
      </c>
      <c r="RJ28" s="39">
        <f t="shared" si="48"/>
        <v>0</v>
      </c>
      <c r="RK28" s="39">
        <f t="shared" si="48"/>
        <v>0</v>
      </c>
      <c r="RL28" s="39">
        <f t="shared" si="48"/>
        <v>183282</v>
      </c>
      <c r="RM28" s="39">
        <f t="shared" si="48"/>
        <v>170167</v>
      </c>
      <c r="RN28" s="39">
        <f t="shared" si="48"/>
        <v>2874</v>
      </c>
      <c r="RO28" s="39">
        <f t="shared" si="48"/>
        <v>26647</v>
      </c>
      <c r="RP28" s="39">
        <f t="shared" si="48"/>
        <v>14908</v>
      </c>
      <c r="RQ28" s="39">
        <f t="shared" si="48"/>
        <v>7897</v>
      </c>
      <c r="RR28" s="39">
        <f t="shared" si="48"/>
        <v>0</v>
      </c>
      <c r="RS28" s="39"/>
      <c r="RT28" s="182"/>
      <c r="RU28" s="39"/>
      <c r="RV28" s="39">
        <f t="shared" si="49"/>
        <v>518456</v>
      </c>
      <c r="RW28" s="39">
        <f t="shared" si="49"/>
        <v>1828159</v>
      </c>
      <c r="RX28" s="39">
        <f t="shared" si="49"/>
        <v>539333</v>
      </c>
      <c r="RY28" s="39">
        <f t="shared" si="49"/>
        <v>355600</v>
      </c>
      <c r="RZ28" s="39"/>
      <c r="SA28" s="182"/>
      <c r="SB28" s="39"/>
      <c r="SC28" s="25">
        <f t="shared" si="50"/>
        <v>2605.4734299516908</v>
      </c>
      <c r="SD28" s="39">
        <f>IFERROR(VLOOKUP(A28, 'Levy Data 15-16'!$B:$O, 3, FALSE), 0)</f>
        <v>105347881</v>
      </c>
      <c r="SE28" s="39">
        <f t="shared" si="9"/>
        <v>508926.961352657</v>
      </c>
      <c r="SF28" s="631">
        <f>IFERROR(VLOOKUP(A28, 'Levy Data 15-16'!$B:$O, 14, FALSE), 0)*1000</f>
        <v>4.2278020000000005</v>
      </c>
      <c r="SG28" s="39">
        <f t="shared" si="10"/>
        <v>0</v>
      </c>
      <c r="SH28" s="39">
        <f t="shared" si="11"/>
        <v>0</v>
      </c>
      <c r="SI28" s="39">
        <f t="shared" si="12"/>
        <v>539333</v>
      </c>
      <c r="SM28" s="39">
        <f t="shared" si="13"/>
        <v>1828159</v>
      </c>
      <c r="SN28" s="39">
        <f t="shared" si="14"/>
        <v>0</v>
      </c>
      <c r="SO28" s="39">
        <f t="shared" si="51"/>
        <v>1828159</v>
      </c>
      <c r="SP28" s="50">
        <f t="shared" si="52"/>
        <v>1</v>
      </c>
      <c r="ST28" s="124">
        <f>IFERROR(VLOOKUP(A28,'Grade Enroll 15-16'!B:AC,27,FALSE),"")</f>
        <v>207</v>
      </c>
      <c r="SU28" s="124">
        <f t="shared" si="53"/>
        <v>138.30941704035877</v>
      </c>
      <c r="SV28" s="131">
        <f>IFERROR(VLOOKUP($A28, 'Title I Enroll 16-17'!S:V, 4, FALSE), 0)</f>
        <v>0.66816143497757852</v>
      </c>
      <c r="SW28" s="729">
        <f>IFERROR(VLOOKUP(A28, 'ELL Enroll 15-16'!$N:$S, 6, FALSE), 0)</f>
        <v>5</v>
      </c>
      <c r="SX28" s="131">
        <f t="shared" si="54"/>
        <v>2.4154589371980676E-2</v>
      </c>
      <c r="SY28" s="124">
        <f>IFERROR(VLOOKUP(A28, 'SPED enroll 2015-16'!$M:$O, 3, FALSE), 0)</f>
        <v>28</v>
      </c>
      <c r="SZ28" s="131">
        <f t="shared" si="55"/>
        <v>0.13526570048309178</v>
      </c>
      <c r="TA28" s="142">
        <f t="shared" si="56"/>
        <v>19.599999999999998</v>
      </c>
      <c r="TB28" s="142">
        <f t="shared" si="56"/>
        <v>5.6000000000000005</v>
      </c>
      <c r="TC28" s="142">
        <f t="shared" si="56"/>
        <v>1.9600000000000002</v>
      </c>
      <c r="TD28" s="142">
        <f t="shared" si="56"/>
        <v>0.84</v>
      </c>
      <c r="TE28" s="124">
        <f>VLOOKUP($A28, 'Grade Enroll 15-16'!$B:$AB, 20, FALSE)</f>
        <v>13</v>
      </c>
      <c r="TF28" s="124">
        <f>VLOOKUP($A28, 'Grade Enroll 15-16'!$B:$AB, 21, FALSE)</f>
        <v>21</v>
      </c>
      <c r="TG28" s="124">
        <f>VLOOKUP($A28, 'Grade Enroll 15-16'!$B:$AB, 22, FALSE)</f>
        <v>41</v>
      </c>
      <c r="TH28" s="124">
        <f>VLOOKUP($A28, 'Grade Enroll 15-16'!$B:$AB, 23, FALSE)</f>
        <v>56</v>
      </c>
      <c r="TI28" s="124">
        <f>VLOOKUP($A28, 'Grade Enroll 15-16'!$B:$AB, 24, FALSE)</f>
        <v>36</v>
      </c>
      <c r="TJ28" s="124">
        <f>VLOOKUP($A28, 'Grade Enroll 15-16'!$B:$AB, 25, FALSE)</f>
        <v>74</v>
      </c>
      <c r="TK28" s="124">
        <f>VLOOKUP($A28, 'Grade Enroll 15-16'!$B:$AB, 26, FALSE)</f>
        <v>135</v>
      </c>
      <c r="TL28" s="131">
        <f>SUMIFS('Student Achievement 15-16'!N:N, 'Student Achievement 15-16'!B:B, 'Idaho Data'!A28, 'Student Achievement 15-16'!D:D, "math")/100</f>
        <v>0.26400000000000001</v>
      </c>
      <c r="TM28" s="134">
        <f t="shared" si="57"/>
        <v>54.648000000000003</v>
      </c>
      <c r="TN28" s="131">
        <f>SUMIFS('Student Achievement 15-16'!N:N, 'Student Achievement 15-16'!B:B, 'Idaho Data'!A28, 'Student Achievement 15-16'!D:D, "ela")/100</f>
        <v>0.254</v>
      </c>
      <c r="TO28" s="134">
        <f t="shared" si="58"/>
        <v>52.578000000000003</v>
      </c>
      <c r="TP28" s="688">
        <f>IFERROR(VLOOKUP(A28, 'G&amp;T 15-16'!B:G, 6, FALSE), 0)*1</f>
        <v>5</v>
      </c>
      <c r="TQ28" s="168">
        <f t="shared" si="59"/>
        <v>12.42</v>
      </c>
      <c r="TU28" s="168">
        <f t="shared" si="60"/>
        <v>52.578000000000003</v>
      </c>
      <c r="TV28" s="168">
        <f t="shared" si="61"/>
        <v>54.648000000000003</v>
      </c>
      <c r="TW28" s="205">
        <f t="shared" si="62"/>
        <v>54.648000000000003</v>
      </c>
      <c r="TX28" s="144"/>
      <c r="TY28" s="129"/>
      <c r="TZ28" s="127">
        <f t="shared" si="63"/>
        <v>5</v>
      </c>
      <c r="UA28" s="127">
        <f t="shared" si="64"/>
        <v>12.42</v>
      </c>
      <c r="UB28" s="205">
        <f t="shared" si="65"/>
        <v>12.42</v>
      </c>
      <c r="UE28" s="853" t="str">
        <f>IF(ST28&lt;='1. Simulator Input'!$E$104, "yes", "")</f>
        <v>yes</v>
      </c>
      <c r="UI28" s="199">
        <f t="shared" si="66"/>
        <v>0</v>
      </c>
      <c r="UJ28" s="200">
        <f>IF('Idaho Data'!SI28&gt;=0, ((1-'1. Simulator Input'!$E$39)*'Idaho Data'!SI28), 0)</f>
        <v>0</v>
      </c>
      <c r="UK28" s="200">
        <f t="shared" si="67"/>
        <v>1828159</v>
      </c>
      <c r="UL28" s="39"/>
      <c r="UM28" s="182"/>
      <c r="UN28" s="39"/>
      <c r="UO28" s="39">
        <f>IF(AND('1. Simulator Input'!$E$96="yes", '1. Simulator Input'!$E$98="yes", '1. Simulator Input'!$E$100="hold harmless"), 'Idaho Data'!WN28, IF(AND('1. Simulator Input'!$E$96="yes", '1. Simulator Input'!$E$98="no", '1. Simulator Input'!$E$100="hold harmless"), 'Idaho Data'!WM28, IF(AND('1. Simulator Input'!$E$96="yes", '1. Simulator Input'!$E$98="yes", '1. Simulator Input'!$E$100="small district grant"), WL28,IF(AND('1. Simulator Input'!$E$96="yes", '1. Simulator Input'!$E$98="no", '1. Simulator Input'!$E$100="small district grant"), WK28, ""))))</f>
        <v>0</v>
      </c>
      <c r="UP28" s="200">
        <f>'1. Simulator Input'!$D$56*('Idaho Data'!ST28)</f>
        <v>1143882</v>
      </c>
      <c r="UQ28" s="204">
        <f>'1. Simulator Input'!$D$65*'1. Simulator Input'!$D$56*'Idaho Data'!SU28</f>
        <v>0</v>
      </c>
      <c r="UR28" s="204">
        <f>'1. Simulator Input'!$D$66*'1. Simulator Input'!$D$56*'Idaho Data'!SW28</f>
        <v>0</v>
      </c>
      <c r="US28" s="200">
        <f>'1. Simulator Input'!$D$67*'1. Simulator Input'!$D$56*'Idaho Data'!TA28</f>
        <v>0</v>
      </c>
      <c r="UT28" s="200">
        <f>'1. Simulator Input'!$D$68*'1. Simulator Input'!$D$56*'Idaho Data'!TB28</f>
        <v>0</v>
      </c>
      <c r="UU28" s="200">
        <f>'1. Simulator Input'!$D$69*'1. Simulator Input'!$D$56*'Idaho Data'!TC28</f>
        <v>0</v>
      </c>
      <c r="UV28" s="200">
        <f>'1. Simulator Input'!$D$70*'1. Simulator Input'!$D$56*TD28</f>
        <v>0</v>
      </c>
      <c r="UW28" s="200">
        <f>'1. Simulator Input'!$D$80*'1. Simulator Input'!$D$56*TW28</f>
        <v>0</v>
      </c>
      <c r="UX28" s="200">
        <f>'1. Simulator Input'!$D$79*'1. Simulator Input'!$D$56*UB28</f>
        <v>0</v>
      </c>
      <c r="UY28" s="200">
        <f>'1. Simulator Input'!$D$87*'1. Simulator Input'!$D$56*TF28</f>
        <v>58023</v>
      </c>
      <c r="UZ28" s="200">
        <f>'1. Simulator Input'!$D$73*'1. Simulator Input'!$D$56*'Idaho Data'!TG28</f>
        <v>0</v>
      </c>
      <c r="VA28" s="200">
        <f>'1. Simulator Input'!$D$56*'1. Simulator Input'!$D$74*'Idaho Data'!TH28</f>
        <v>0</v>
      </c>
      <c r="VB28" s="200">
        <f>'1. Simulator Input'!$D$56*'1. Simulator Input'!$D$75*'Idaho Data'!TI23</f>
        <v>0</v>
      </c>
      <c r="VC28" s="200">
        <f>'1. Simulator Input'!$D$76*'1. Simulator Input'!$D$56*'Idaho Data'!TJ28</f>
        <v>0</v>
      </c>
      <c r="VD28" s="200">
        <f t="shared" si="68"/>
        <v>1201905</v>
      </c>
      <c r="VE28" s="200"/>
      <c r="VF28" s="182"/>
      <c r="VG28" s="200"/>
      <c r="VH28" s="200">
        <f t="shared" si="69"/>
        <v>0</v>
      </c>
      <c r="VI28" s="200">
        <f t="shared" si="70"/>
        <v>0</v>
      </c>
      <c r="VJ28" s="200">
        <f t="shared" si="16"/>
        <v>1201905</v>
      </c>
      <c r="VK28" s="200">
        <f t="shared" si="17"/>
        <v>1201905</v>
      </c>
      <c r="VL28" s="200"/>
      <c r="VM28" s="182"/>
      <c r="VN28" s="200"/>
      <c r="VO28" s="200">
        <f t="shared" si="71"/>
        <v>518456</v>
      </c>
      <c r="VP28" s="200">
        <f t="shared" si="72"/>
        <v>1828159</v>
      </c>
      <c r="VQ28" s="200">
        <f t="shared" si="73"/>
        <v>539333</v>
      </c>
      <c r="VR28" s="200">
        <f t="shared" si="74"/>
        <v>518456</v>
      </c>
      <c r="VS28" s="200">
        <f t="shared" si="18"/>
        <v>1201905</v>
      </c>
      <c r="VT28" s="200">
        <f t="shared" si="19"/>
        <v>539333</v>
      </c>
      <c r="VU28" s="200">
        <f t="shared" si="20"/>
        <v>0</v>
      </c>
      <c r="VV28" s="200"/>
      <c r="VW28" s="182"/>
      <c r="VX28" s="200"/>
      <c r="VZ28" s="199">
        <f t="shared" si="75"/>
        <v>-626254</v>
      </c>
      <c r="WA28" s="199">
        <f t="shared" si="76"/>
        <v>-3025.3816425120772</v>
      </c>
      <c r="WB28" s="131">
        <f t="shared" si="77"/>
        <v>-0.34255991956935911</v>
      </c>
      <c r="WC28" s="131"/>
      <c r="WD28" s="461"/>
      <c r="WE28" s="893"/>
      <c r="WF28" s="893">
        <f t="shared" si="78"/>
        <v>13941.777777777777</v>
      </c>
      <c r="WG28" s="893">
        <f t="shared" si="79"/>
        <v>10916.396135265701</v>
      </c>
      <c r="WH28" s="893"/>
      <c r="WI28" s="893">
        <f t="shared" si="80"/>
        <v>1828159</v>
      </c>
      <c r="WJ28" s="893">
        <f t="shared" si="21"/>
        <v>1201905</v>
      </c>
      <c r="WK28" s="39">
        <f t="shared" si="22"/>
        <v>0</v>
      </c>
      <c r="WL28" s="39">
        <f t="shared" si="23"/>
        <v>0</v>
      </c>
      <c r="WM28" s="200">
        <f t="shared" si="24"/>
        <v>626254</v>
      </c>
      <c r="WN28" s="39">
        <f t="shared" si="25"/>
        <v>626254</v>
      </c>
      <c r="WO28" s="39"/>
      <c r="WP28" s="182"/>
      <c r="WQ28" s="39"/>
      <c r="WR28" s="305">
        <f t="shared" si="26"/>
        <v>0.48199999999999998</v>
      </c>
      <c r="WT28" s="200">
        <f t="shared" si="27"/>
        <v>8831.6859903381646</v>
      </c>
      <c r="WU28" s="131">
        <f t="shared" si="81"/>
        <v>0.8</v>
      </c>
      <c r="WW28" s="199">
        <f t="shared" si="28"/>
        <v>518456</v>
      </c>
      <c r="WX28" s="199">
        <f t="shared" si="29"/>
        <v>1201905</v>
      </c>
      <c r="WY28" s="199">
        <f t="shared" si="30"/>
        <v>0</v>
      </c>
      <c r="WZ28" s="199">
        <f t="shared" si="82"/>
        <v>1201905</v>
      </c>
      <c r="XA28" s="199">
        <f t="shared" si="31"/>
        <v>0</v>
      </c>
      <c r="XB28" s="199">
        <f t="shared" si="32"/>
        <v>539333</v>
      </c>
      <c r="XC28" s="199">
        <f t="shared" si="33"/>
        <v>539333</v>
      </c>
      <c r="XD28" s="199" t="str">
        <f t="shared" si="34"/>
        <v/>
      </c>
      <c r="XE28" s="199"/>
      <c r="XF28" s="199"/>
      <c r="XG28" s="199"/>
      <c r="XH28" s="199"/>
      <c r="XI28" s="199"/>
      <c r="XJ28" s="199">
        <f t="shared" si="83"/>
        <v>1201905</v>
      </c>
      <c r="XP28" s="199">
        <f t="shared" si="35"/>
        <v>1201905</v>
      </c>
      <c r="XQ28" s="199">
        <f t="shared" si="36"/>
        <v>5806.304347826087</v>
      </c>
      <c r="XR28" s="199">
        <f t="shared" si="37"/>
        <v>1201905</v>
      </c>
      <c r="XS28" s="199">
        <f t="shared" si="38"/>
        <v>1201905</v>
      </c>
      <c r="XT28" s="199">
        <f t="shared" si="39"/>
        <v>5806.304347826087</v>
      </c>
      <c r="XU28" s="199">
        <f t="shared" si="40"/>
        <v>1828159</v>
      </c>
      <c r="XV28" s="199">
        <f t="shared" si="41"/>
        <v>8831.6859903381646</v>
      </c>
      <c r="XW28" s="199">
        <f t="shared" si="42"/>
        <v>1828159</v>
      </c>
      <c r="XX28" s="199">
        <f t="shared" si="43"/>
        <v>8831.6859903381646</v>
      </c>
      <c r="XY28" s="199">
        <f t="shared" si="84"/>
        <v>-626254</v>
      </c>
      <c r="XZ28" s="199">
        <f t="shared" si="85"/>
        <v>-3025.3816425120776</v>
      </c>
      <c r="YA28" s="131">
        <f t="shared" si="86"/>
        <v>-0.34255991956935916</v>
      </c>
      <c r="YB28" s="199"/>
      <c r="YC28" s="221"/>
      <c r="YD28" s="199"/>
      <c r="YE28" s="199">
        <f t="shared" si="44"/>
        <v>518456</v>
      </c>
      <c r="YF28" s="200">
        <f t="shared" si="45"/>
        <v>0</v>
      </c>
      <c r="YG28" s="199">
        <f t="shared" si="46"/>
        <v>539333</v>
      </c>
      <c r="YH28" s="199">
        <f t="shared" si="47"/>
        <v>355600</v>
      </c>
    </row>
    <row r="29" spans="1:658">
      <c r="A29" s="3">
        <v>83</v>
      </c>
      <c r="B29" s="2" t="s">
        <v>120</v>
      </c>
      <c r="C29" s="24">
        <v>0</v>
      </c>
      <c r="D29" s="24">
        <v>0</v>
      </c>
      <c r="E29" s="24">
        <v>0</v>
      </c>
      <c r="F29" s="24">
        <v>0</v>
      </c>
      <c r="G29" s="24">
        <v>3238713</v>
      </c>
      <c r="H29" s="24">
        <v>0</v>
      </c>
      <c r="I29" s="24">
        <v>0</v>
      </c>
      <c r="J29" s="24">
        <v>0</v>
      </c>
      <c r="K29" s="24">
        <v>0</v>
      </c>
      <c r="L29" s="24">
        <v>0</v>
      </c>
      <c r="M29" s="24">
        <v>0</v>
      </c>
      <c r="N29" s="24">
        <v>0</v>
      </c>
      <c r="O29" s="24">
        <v>0</v>
      </c>
      <c r="P29" s="24">
        <v>0</v>
      </c>
      <c r="Q29" s="24">
        <v>0</v>
      </c>
      <c r="R29" s="24">
        <v>0</v>
      </c>
      <c r="S29" s="24">
        <v>0</v>
      </c>
      <c r="T29" s="24">
        <v>0</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90</v>
      </c>
      <c r="AM29" s="24">
        <v>0</v>
      </c>
      <c r="AN29" s="24">
        <v>0</v>
      </c>
      <c r="AO29" s="24">
        <v>0</v>
      </c>
      <c r="AP29" s="24">
        <v>0</v>
      </c>
      <c r="AQ29" s="24">
        <v>0</v>
      </c>
      <c r="AR29" s="24">
        <v>0</v>
      </c>
      <c r="AS29" s="24">
        <v>0</v>
      </c>
      <c r="AT29" s="24">
        <v>0</v>
      </c>
      <c r="AU29" s="24">
        <v>0</v>
      </c>
      <c r="AV29" s="24">
        <v>0</v>
      </c>
      <c r="AW29" s="24">
        <v>0</v>
      </c>
      <c r="AX29" s="24">
        <v>0</v>
      </c>
      <c r="AY29" s="24">
        <v>0</v>
      </c>
      <c r="AZ29" s="24">
        <v>0</v>
      </c>
      <c r="BA29" s="24">
        <v>0</v>
      </c>
      <c r="BB29" s="24">
        <v>0</v>
      </c>
      <c r="BC29" s="24">
        <v>0</v>
      </c>
      <c r="BD29" s="24">
        <v>0</v>
      </c>
      <c r="BE29" s="24">
        <v>0</v>
      </c>
      <c r="BF29" s="24">
        <v>0</v>
      </c>
      <c r="BG29" s="24">
        <v>0</v>
      </c>
      <c r="BH29" s="24">
        <v>0</v>
      </c>
      <c r="BI29" s="24">
        <v>0</v>
      </c>
      <c r="BJ29" s="24">
        <v>0</v>
      </c>
      <c r="BK29" s="24">
        <v>0</v>
      </c>
      <c r="BL29" s="24">
        <v>0</v>
      </c>
      <c r="BM29" s="24">
        <v>0</v>
      </c>
      <c r="BN29" s="24">
        <v>0</v>
      </c>
      <c r="BO29" s="24">
        <v>0</v>
      </c>
      <c r="BP29" s="24">
        <v>0</v>
      </c>
      <c r="BQ29" s="24">
        <v>0</v>
      </c>
      <c r="BR29" s="24">
        <v>0</v>
      </c>
      <c r="BS29" s="24">
        <v>0</v>
      </c>
      <c r="BT29" s="24">
        <v>0</v>
      </c>
      <c r="BU29" s="24">
        <v>0</v>
      </c>
      <c r="BV29" s="24">
        <v>0</v>
      </c>
      <c r="BW29" s="24">
        <v>0</v>
      </c>
      <c r="BX29" s="24">
        <v>0</v>
      </c>
      <c r="BY29" s="24">
        <v>0</v>
      </c>
      <c r="BZ29" s="24">
        <v>0</v>
      </c>
      <c r="CA29" s="24">
        <v>0</v>
      </c>
      <c r="CB29" s="24">
        <v>0</v>
      </c>
      <c r="CC29" s="24">
        <v>0</v>
      </c>
      <c r="CD29" s="24">
        <v>34830</v>
      </c>
      <c r="CE29" s="24">
        <v>7046</v>
      </c>
      <c r="CF29" s="24">
        <v>0</v>
      </c>
      <c r="CG29" s="24">
        <v>0</v>
      </c>
      <c r="CH29" s="24">
        <v>0</v>
      </c>
      <c r="CI29" s="24">
        <v>0</v>
      </c>
      <c r="CJ29" s="24">
        <v>0</v>
      </c>
      <c r="CK29" s="24">
        <v>0</v>
      </c>
      <c r="CL29" s="24">
        <v>0</v>
      </c>
      <c r="CM29" s="24">
        <v>0</v>
      </c>
      <c r="CN29" s="24">
        <v>0</v>
      </c>
      <c r="CO29" s="24">
        <v>0</v>
      </c>
      <c r="CP29" s="24">
        <v>0</v>
      </c>
      <c r="CQ29" s="24">
        <v>0</v>
      </c>
      <c r="CR29" s="24">
        <v>0</v>
      </c>
      <c r="CS29" s="24">
        <v>0</v>
      </c>
      <c r="CT29" s="24">
        <v>0</v>
      </c>
      <c r="CU29" s="24">
        <v>0</v>
      </c>
      <c r="CV29" s="24">
        <v>0</v>
      </c>
      <c r="CW29" s="24">
        <v>0</v>
      </c>
      <c r="CX29" s="24">
        <v>0</v>
      </c>
      <c r="CY29" s="24">
        <v>0</v>
      </c>
      <c r="CZ29" s="24">
        <v>0</v>
      </c>
      <c r="DA29" s="24">
        <v>0</v>
      </c>
      <c r="DB29" s="24">
        <v>0</v>
      </c>
      <c r="DC29" s="24">
        <v>0</v>
      </c>
      <c r="DD29" s="24">
        <v>0</v>
      </c>
      <c r="DE29" s="24">
        <v>0</v>
      </c>
      <c r="DF29" s="24">
        <v>0</v>
      </c>
      <c r="DG29" s="24">
        <v>0</v>
      </c>
      <c r="DH29" s="24">
        <v>0</v>
      </c>
      <c r="DI29" s="24">
        <v>0</v>
      </c>
      <c r="DJ29" s="24">
        <v>0</v>
      </c>
      <c r="DK29" s="24">
        <v>0</v>
      </c>
      <c r="DL29" s="24">
        <v>0</v>
      </c>
      <c r="DM29" s="24">
        <v>0</v>
      </c>
      <c r="DN29" s="24">
        <v>0</v>
      </c>
      <c r="DO29" s="24">
        <v>0</v>
      </c>
      <c r="DP29" s="24">
        <v>0</v>
      </c>
      <c r="DQ29" s="24">
        <v>0</v>
      </c>
      <c r="DR29" s="24">
        <v>0</v>
      </c>
      <c r="DS29" s="24">
        <v>0</v>
      </c>
      <c r="DT29" s="24">
        <v>0</v>
      </c>
      <c r="DU29" s="24">
        <v>0</v>
      </c>
      <c r="DV29" s="24">
        <v>0</v>
      </c>
      <c r="DW29" s="24">
        <v>0</v>
      </c>
      <c r="DX29" s="24">
        <v>0</v>
      </c>
      <c r="DY29" s="24">
        <v>0</v>
      </c>
      <c r="DZ29" s="24">
        <v>0</v>
      </c>
      <c r="EA29" s="24">
        <v>0</v>
      </c>
      <c r="EB29" s="24">
        <v>0</v>
      </c>
      <c r="EC29" s="24">
        <v>0</v>
      </c>
      <c r="ED29" s="24">
        <v>0</v>
      </c>
      <c r="EE29" s="24">
        <v>0</v>
      </c>
      <c r="EF29" s="24">
        <v>0</v>
      </c>
      <c r="EG29" s="24">
        <v>0</v>
      </c>
      <c r="EH29" s="24">
        <v>0</v>
      </c>
      <c r="EI29" s="24">
        <v>0</v>
      </c>
      <c r="EJ29" s="24">
        <v>0</v>
      </c>
      <c r="EK29" s="24">
        <v>0</v>
      </c>
      <c r="EL29" s="24">
        <v>0</v>
      </c>
      <c r="EM29" s="24">
        <v>0</v>
      </c>
      <c r="EN29" s="24">
        <v>0</v>
      </c>
      <c r="EO29" s="24">
        <v>0</v>
      </c>
      <c r="EP29" s="24">
        <v>0</v>
      </c>
      <c r="EQ29" s="24">
        <v>0</v>
      </c>
      <c r="ER29" s="24">
        <v>0</v>
      </c>
      <c r="ES29" s="24">
        <v>0</v>
      </c>
      <c r="ET29" s="24">
        <v>0</v>
      </c>
      <c r="EU29" s="24">
        <v>0</v>
      </c>
      <c r="EV29" s="24">
        <v>0</v>
      </c>
      <c r="EW29" s="24">
        <v>0</v>
      </c>
      <c r="EX29" s="24">
        <v>0</v>
      </c>
      <c r="EY29" s="24">
        <v>0</v>
      </c>
      <c r="EZ29" s="24">
        <v>0</v>
      </c>
      <c r="FA29" s="24">
        <v>0</v>
      </c>
      <c r="FB29" s="24">
        <v>211</v>
      </c>
      <c r="FC29" s="24">
        <v>0</v>
      </c>
      <c r="FD29" s="24">
        <v>0</v>
      </c>
      <c r="FE29" s="24">
        <v>0</v>
      </c>
      <c r="FF29" s="24">
        <v>0</v>
      </c>
      <c r="FG29" s="24">
        <v>0</v>
      </c>
      <c r="FH29" s="24">
        <v>0</v>
      </c>
      <c r="FI29" s="24">
        <v>0</v>
      </c>
      <c r="FJ29" s="24">
        <v>0</v>
      </c>
      <c r="FK29" s="24">
        <v>0</v>
      </c>
      <c r="FL29" s="24">
        <v>0</v>
      </c>
      <c r="FM29" s="24">
        <v>0</v>
      </c>
      <c r="FN29" s="24">
        <v>0</v>
      </c>
      <c r="FO29" s="24">
        <v>0</v>
      </c>
      <c r="FP29" s="24">
        <v>0</v>
      </c>
      <c r="FQ29" s="24">
        <v>0</v>
      </c>
      <c r="FR29" s="24">
        <v>0</v>
      </c>
      <c r="FS29" s="24">
        <v>348351</v>
      </c>
      <c r="FT29" s="24">
        <v>0</v>
      </c>
      <c r="FU29" s="24">
        <v>0</v>
      </c>
      <c r="FV29" s="24">
        <v>0</v>
      </c>
      <c r="FW29" s="24">
        <v>0</v>
      </c>
      <c r="FX29" s="24">
        <v>0</v>
      </c>
      <c r="FY29" s="24">
        <v>0</v>
      </c>
      <c r="FZ29" s="24">
        <v>0</v>
      </c>
      <c r="GA29" s="24">
        <v>0</v>
      </c>
      <c r="GB29" s="24">
        <v>0</v>
      </c>
      <c r="GC29" s="24">
        <v>0</v>
      </c>
      <c r="GD29" s="24">
        <v>0</v>
      </c>
      <c r="GE29" s="24">
        <v>0</v>
      </c>
      <c r="GF29" s="24">
        <v>0</v>
      </c>
      <c r="GG29" s="24">
        <v>0</v>
      </c>
      <c r="GH29" s="24">
        <v>0</v>
      </c>
      <c r="GI29" s="24">
        <v>0</v>
      </c>
      <c r="GJ29" s="24">
        <v>0</v>
      </c>
      <c r="GK29" s="24">
        <v>0</v>
      </c>
      <c r="GL29" s="24">
        <v>0</v>
      </c>
      <c r="GM29" s="24">
        <v>0</v>
      </c>
      <c r="GN29" s="24">
        <v>0</v>
      </c>
      <c r="GO29" s="24">
        <v>0</v>
      </c>
      <c r="GP29" s="24">
        <v>0</v>
      </c>
      <c r="GQ29" s="24">
        <v>0</v>
      </c>
      <c r="GR29" s="24">
        <v>11044</v>
      </c>
      <c r="GS29" s="24">
        <v>0</v>
      </c>
      <c r="GT29" s="24">
        <v>0</v>
      </c>
      <c r="GU29" s="24">
        <v>0</v>
      </c>
      <c r="GV29" s="24">
        <v>0</v>
      </c>
      <c r="GW29" s="24">
        <v>0</v>
      </c>
      <c r="GX29" s="24">
        <v>0</v>
      </c>
      <c r="GY29" s="24">
        <v>0</v>
      </c>
      <c r="GZ29" s="24">
        <v>0</v>
      </c>
      <c r="HA29" s="24">
        <v>0</v>
      </c>
      <c r="HB29" s="24">
        <v>0</v>
      </c>
      <c r="HC29" s="24">
        <v>0</v>
      </c>
      <c r="HD29" s="24">
        <v>4744858</v>
      </c>
      <c r="HE29" s="24">
        <v>0</v>
      </c>
      <c r="HF29" s="24">
        <v>0</v>
      </c>
      <c r="HG29" s="24">
        <v>0</v>
      </c>
      <c r="HH29" s="24">
        <v>0</v>
      </c>
      <c r="HI29" s="24">
        <v>385062</v>
      </c>
      <c r="HJ29" s="24">
        <v>0</v>
      </c>
      <c r="HK29" s="24">
        <v>0</v>
      </c>
      <c r="HL29" s="24">
        <v>0</v>
      </c>
      <c r="HM29" s="24">
        <v>0</v>
      </c>
      <c r="HN29" s="24">
        <v>0</v>
      </c>
      <c r="HO29" s="24">
        <v>636720</v>
      </c>
      <c r="HP29" s="24">
        <v>262746</v>
      </c>
      <c r="HQ29" s="24">
        <v>0</v>
      </c>
      <c r="HR29" s="24">
        <v>0</v>
      </c>
      <c r="HS29" s="24">
        <v>0</v>
      </c>
      <c r="HT29" s="24">
        <v>0</v>
      </c>
      <c r="HU29" s="24">
        <v>0</v>
      </c>
      <c r="HV29" s="24">
        <v>0</v>
      </c>
      <c r="HW29" s="24">
        <v>0</v>
      </c>
      <c r="HX29" s="24">
        <v>0</v>
      </c>
      <c r="HY29" s="24">
        <v>0</v>
      </c>
      <c r="HZ29" s="24">
        <v>0</v>
      </c>
      <c r="IA29" s="24">
        <v>58289</v>
      </c>
      <c r="IB29" s="24">
        <v>0</v>
      </c>
      <c r="IC29" s="24">
        <v>0</v>
      </c>
      <c r="ID29" s="24">
        <v>0</v>
      </c>
      <c r="IE29" s="24">
        <v>0</v>
      </c>
      <c r="IF29" s="24">
        <v>0</v>
      </c>
      <c r="IG29" s="24">
        <v>0</v>
      </c>
      <c r="IH29" s="24">
        <v>0</v>
      </c>
      <c r="II29" s="24">
        <v>0</v>
      </c>
      <c r="IJ29" s="24">
        <v>0</v>
      </c>
      <c r="IK29" s="24">
        <v>0</v>
      </c>
      <c r="IL29" s="24">
        <v>0</v>
      </c>
      <c r="IM29" s="24">
        <v>0</v>
      </c>
      <c r="IN29" s="24">
        <v>0</v>
      </c>
      <c r="IO29" s="24">
        <v>7500</v>
      </c>
      <c r="IP29" s="24">
        <v>0</v>
      </c>
      <c r="IQ29" s="24">
        <v>0</v>
      </c>
      <c r="IR29" s="24">
        <v>26363</v>
      </c>
      <c r="IS29" s="24">
        <v>0</v>
      </c>
      <c r="IT29" s="24">
        <v>0</v>
      </c>
      <c r="IU29" s="24">
        <v>0</v>
      </c>
      <c r="IV29" s="24">
        <v>0</v>
      </c>
      <c r="IW29" s="24">
        <v>0</v>
      </c>
      <c r="IX29" s="24">
        <v>0</v>
      </c>
      <c r="IY29" s="24">
        <v>0</v>
      </c>
      <c r="IZ29" s="24">
        <v>0</v>
      </c>
      <c r="JA29" s="24">
        <v>0</v>
      </c>
      <c r="JB29" s="24">
        <v>1077</v>
      </c>
      <c r="JC29" s="24">
        <v>0</v>
      </c>
      <c r="JD29" s="24">
        <v>0</v>
      </c>
      <c r="JE29" s="24">
        <v>8074</v>
      </c>
      <c r="JF29" s="24">
        <v>0</v>
      </c>
      <c r="JG29" s="24">
        <v>0</v>
      </c>
      <c r="JH29" s="24">
        <v>0</v>
      </c>
      <c r="JI29" s="24">
        <v>0</v>
      </c>
      <c r="JJ29" s="24">
        <v>0</v>
      </c>
      <c r="JK29" s="24">
        <v>0</v>
      </c>
      <c r="JL29" s="24">
        <v>0</v>
      </c>
      <c r="JM29" s="24">
        <v>0</v>
      </c>
      <c r="JN29" s="24">
        <v>0</v>
      </c>
      <c r="JO29" s="24">
        <v>0</v>
      </c>
      <c r="JP29" s="24">
        <v>0</v>
      </c>
      <c r="JQ29" s="24">
        <v>0</v>
      </c>
      <c r="JR29" s="24">
        <v>0</v>
      </c>
      <c r="JS29" s="24">
        <v>0</v>
      </c>
      <c r="JT29" s="24">
        <v>0</v>
      </c>
      <c r="JU29" s="24">
        <v>1797</v>
      </c>
      <c r="JV29" s="24">
        <v>0</v>
      </c>
      <c r="JW29" s="24">
        <v>0</v>
      </c>
      <c r="JX29" s="24">
        <v>0</v>
      </c>
      <c r="JY29" s="24">
        <v>0</v>
      </c>
      <c r="JZ29" s="24">
        <v>0</v>
      </c>
      <c r="KA29" s="24">
        <v>0</v>
      </c>
      <c r="KB29" s="24">
        <v>0</v>
      </c>
      <c r="KC29" s="24">
        <v>0</v>
      </c>
      <c r="KD29" s="24">
        <v>0</v>
      </c>
      <c r="KE29" s="24">
        <v>0</v>
      </c>
      <c r="KF29" s="24">
        <v>0</v>
      </c>
      <c r="KG29" s="24">
        <v>53885</v>
      </c>
      <c r="KH29" s="24">
        <v>0</v>
      </c>
      <c r="KI29" s="24">
        <v>0</v>
      </c>
      <c r="KJ29" s="24">
        <v>0</v>
      </c>
      <c r="KK29" s="24">
        <v>0</v>
      </c>
      <c r="KL29" s="24">
        <v>0</v>
      </c>
      <c r="KM29" s="24">
        <v>0</v>
      </c>
      <c r="KN29" s="24">
        <v>0</v>
      </c>
      <c r="KO29" s="24">
        <v>0</v>
      </c>
      <c r="KP29" s="24">
        <v>0</v>
      </c>
      <c r="KQ29" s="24">
        <v>0</v>
      </c>
      <c r="KR29" s="24">
        <v>0</v>
      </c>
      <c r="KS29" s="24">
        <v>0</v>
      </c>
      <c r="KT29" s="24">
        <v>0</v>
      </c>
      <c r="KU29" s="24">
        <v>0</v>
      </c>
      <c r="KV29" s="24">
        <v>0</v>
      </c>
      <c r="KW29" s="24">
        <v>0</v>
      </c>
      <c r="KX29" s="24">
        <v>0</v>
      </c>
      <c r="KY29" s="24">
        <v>0</v>
      </c>
      <c r="KZ29" s="24">
        <v>0</v>
      </c>
      <c r="LA29" s="24">
        <v>0</v>
      </c>
      <c r="LB29" s="24">
        <v>0</v>
      </c>
      <c r="LC29" s="24">
        <v>0</v>
      </c>
      <c r="LD29" s="24">
        <v>0</v>
      </c>
      <c r="LE29" s="24">
        <v>0</v>
      </c>
      <c r="LF29" s="24">
        <v>0</v>
      </c>
      <c r="LG29" s="24">
        <v>0</v>
      </c>
      <c r="LH29" s="24">
        <v>0</v>
      </c>
      <c r="LI29" s="24">
        <v>0</v>
      </c>
      <c r="LJ29" s="24">
        <v>0</v>
      </c>
      <c r="LK29" s="24">
        <v>0</v>
      </c>
      <c r="LL29" s="24">
        <v>0</v>
      </c>
      <c r="LM29" s="24">
        <v>0</v>
      </c>
      <c r="LN29" s="24">
        <v>0</v>
      </c>
      <c r="LO29" s="24">
        <v>0</v>
      </c>
      <c r="LP29" s="24">
        <v>0</v>
      </c>
      <c r="LQ29" s="24">
        <v>545222</v>
      </c>
      <c r="LR29" s="24">
        <v>0</v>
      </c>
      <c r="LS29" s="24">
        <v>0</v>
      </c>
      <c r="LT29" s="24">
        <v>0</v>
      </c>
      <c r="LU29" s="24">
        <v>0</v>
      </c>
      <c r="LV29" s="24">
        <v>0</v>
      </c>
      <c r="LW29" s="24">
        <v>0</v>
      </c>
      <c r="LX29" s="24">
        <v>0</v>
      </c>
      <c r="LY29" s="24">
        <v>0</v>
      </c>
      <c r="LZ29" s="24">
        <v>0</v>
      </c>
      <c r="MA29" s="24">
        <v>0</v>
      </c>
      <c r="MB29" s="24">
        <v>0</v>
      </c>
      <c r="MC29" s="24">
        <v>0</v>
      </c>
      <c r="MD29" s="24">
        <v>0</v>
      </c>
      <c r="ME29" s="24">
        <v>0</v>
      </c>
      <c r="MF29" s="24">
        <v>0</v>
      </c>
      <c r="MG29" s="24">
        <v>0</v>
      </c>
      <c r="MH29" s="24">
        <v>0</v>
      </c>
      <c r="MI29" s="24">
        <v>0</v>
      </c>
      <c r="MJ29" s="24">
        <v>0</v>
      </c>
      <c r="MK29" s="24">
        <v>0</v>
      </c>
      <c r="ML29" s="24">
        <v>0</v>
      </c>
      <c r="MM29" s="24">
        <v>0</v>
      </c>
      <c r="MN29" s="24">
        <v>0</v>
      </c>
      <c r="MO29" s="24">
        <v>26962</v>
      </c>
      <c r="MP29" s="24">
        <v>0</v>
      </c>
      <c r="MQ29" s="24">
        <v>0</v>
      </c>
      <c r="MR29" s="24">
        <v>485263</v>
      </c>
      <c r="MS29" s="24">
        <v>0</v>
      </c>
      <c r="MT29" s="24">
        <v>0</v>
      </c>
      <c r="MU29" s="24">
        <v>0</v>
      </c>
      <c r="MV29" s="24">
        <v>0</v>
      </c>
      <c r="MW29" s="24">
        <v>273433</v>
      </c>
      <c r="MX29" s="24">
        <v>10465</v>
      </c>
      <c r="MY29" s="24">
        <v>0</v>
      </c>
      <c r="MZ29" s="24">
        <v>0</v>
      </c>
      <c r="NA29" s="24">
        <v>18800</v>
      </c>
      <c r="NB29" s="24">
        <v>0</v>
      </c>
      <c r="NC29" s="24">
        <v>0</v>
      </c>
      <c r="ND29" s="24">
        <v>0</v>
      </c>
      <c r="NE29" s="24">
        <v>0</v>
      </c>
      <c r="NF29" s="24">
        <v>0</v>
      </c>
      <c r="NG29" s="24">
        <v>0</v>
      </c>
      <c r="NH29" s="24">
        <v>0</v>
      </c>
      <c r="NI29" s="24">
        <v>0</v>
      </c>
      <c r="NJ29" s="24">
        <v>0</v>
      </c>
      <c r="NK29" s="24">
        <v>0</v>
      </c>
      <c r="NL29" s="24">
        <v>0</v>
      </c>
      <c r="NM29" s="24">
        <v>0</v>
      </c>
      <c r="NN29" s="24">
        <v>0</v>
      </c>
      <c r="NO29" s="24">
        <v>0</v>
      </c>
      <c r="NP29" s="24">
        <v>0</v>
      </c>
      <c r="NQ29" s="24">
        <v>20947</v>
      </c>
      <c r="NR29" s="24">
        <v>0</v>
      </c>
      <c r="NS29" s="24">
        <v>0</v>
      </c>
      <c r="NT29" s="24">
        <v>0</v>
      </c>
      <c r="NU29" s="24">
        <v>0</v>
      </c>
      <c r="NV29" s="24">
        <v>79640</v>
      </c>
      <c r="NW29" s="24">
        <v>0</v>
      </c>
      <c r="NX29" s="24">
        <v>132295</v>
      </c>
      <c r="NY29" s="24">
        <v>0</v>
      </c>
      <c r="NZ29" s="24">
        <v>0</v>
      </c>
      <c r="OA29" s="24">
        <v>0</v>
      </c>
      <c r="OB29" s="24">
        <v>0</v>
      </c>
      <c r="OC29" s="24">
        <v>0</v>
      </c>
      <c r="OD29" s="24">
        <v>0</v>
      </c>
      <c r="OE29" s="24">
        <v>0</v>
      </c>
      <c r="OF29" s="24">
        <v>0</v>
      </c>
      <c r="OG29" s="24">
        <v>0</v>
      </c>
      <c r="OH29" s="24">
        <v>0</v>
      </c>
      <c r="OI29" s="24">
        <v>0</v>
      </c>
      <c r="OJ29" s="24">
        <v>39905</v>
      </c>
      <c r="OK29" s="24">
        <v>0</v>
      </c>
      <c r="OL29" s="24">
        <v>0</v>
      </c>
      <c r="OM29" s="24">
        <v>0</v>
      </c>
      <c r="ON29" s="24">
        <v>0</v>
      </c>
      <c r="OO29" s="24">
        <v>0</v>
      </c>
      <c r="OP29" s="24">
        <v>0</v>
      </c>
      <c r="OQ29" s="24">
        <v>0</v>
      </c>
      <c r="OR29" s="24">
        <v>0</v>
      </c>
      <c r="OS29" s="24">
        <v>0</v>
      </c>
      <c r="OT29" s="24">
        <v>0</v>
      </c>
      <c r="OU29" s="24">
        <v>0</v>
      </c>
      <c r="OV29" s="24">
        <v>0</v>
      </c>
      <c r="OW29" s="24">
        <v>0</v>
      </c>
      <c r="OX29" s="24">
        <v>0</v>
      </c>
      <c r="OY29" s="24">
        <v>0</v>
      </c>
      <c r="OZ29" s="24">
        <v>0</v>
      </c>
      <c r="PA29" s="24">
        <v>0</v>
      </c>
      <c r="PB29" s="24">
        <v>0</v>
      </c>
      <c r="PC29" s="24">
        <v>0</v>
      </c>
      <c r="PD29" s="24">
        <v>4500</v>
      </c>
      <c r="PE29" s="24">
        <v>0</v>
      </c>
      <c r="PF29" s="24">
        <v>0</v>
      </c>
      <c r="PG29" s="24">
        <v>0</v>
      </c>
      <c r="PH29" s="24">
        <v>0</v>
      </c>
      <c r="PI29" s="24">
        <v>0</v>
      </c>
      <c r="PJ29" s="24">
        <v>0</v>
      </c>
      <c r="PK29" s="24">
        <v>0</v>
      </c>
      <c r="PL29" s="24">
        <v>0</v>
      </c>
      <c r="PM29" s="24">
        <v>0</v>
      </c>
      <c r="PN29" s="24">
        <v>0</v>
      </c>
      <c r="PO29" s="24">
        <v>0</v>
      </c>
      <c r="PP29" s="24">
        <v>0</v>
      </c>
      <c r="PQ29" s="24">
        <v>0</v>
      </c>
      <c r="PR29" s="24">
        <v>0</v>
      </c>
      <c r="PS29" s="24">
        <v>0</v>
      </c>
      <c r="PT29" s="24">
        <v>0</v>
      </c>
      <c r="PU29" s="24">
        <v>0</v>
      </c>
      <c r="PV29" s="24">
        <v>0</v>
      </c>
      <c r="PW29" s="24">
        <v>0</v>
      </c>
      <c r="PX29" s="24">
        <v>0</v>
      </c>
      <c r="PY29" s="24">
        <v>0</v>
      </c>
      <c r="PZ29" s="24">
        <v>0</v>
      </c>
      <c r="QA29" s="24">
        <v>0</v>
      </c>
      <c r="QB29" s="24">
        <v>0</v>
      </c>
      <c r="QC29" s="24">
        <v>0</v>
      </c>
      <c r="QD29" s="24">
        <v>0</v>
      </c>
      <c r="QE29" s="24">
        <v>0</v>
      </c>
      <c r="QF29" s="24">
        <v>0</v>
      </c>
      <c r="QG29" s="24">
        <v>0</v>
      </c>
      <c r="QH29" s="24">
        <v>0</v>
      </c>
      <c r="QI29" s="24">
        <v>0</v>
      </c>
      <c r="QJ29" s="24">
        <v>0</v>
      </c>
      <c r="QK29" s="24">
        <v>0</v>
      </c>
      <c r="QL29" s="24">
        <v>0</v>
      </c>
      <c r="QM29" s="24">
        <v>0</v>
      </c>
      <c r="QN29" s="24">
        <v>0</v>
      </c>
      <c r="QO29" s="24">
        <v>0</v>
      </c>
      <c r="QP29" s="24">
        <v>0</v>
      </c>
      <c r="QQ29" s="24">
        <v>0</v>
      </c>
      <c r="QR29" s="24">
        <v>0</v>
      </c>
      <c r="QS29" s="24">
        <v>45981</v>
      </c>
      <c r="QT29" s="24">
        <v>0</v>
      </c>
      <c r="QU29" s="24">
        <v>0</v>
      </c>
      <c r="QV29" s="24">
        <v>0</v>
      </c>
      <c r="QW29" s="24">
        <v>82338</v>
      </c>
      <c r="QX29" s="24">
        <v>0</v>
      </c>
      <c r="QY29" s="24">
        <v>0</v>
      </c>
      <c r="QZ29" s="24">
        <v>0</v>
      </c>
      <c r="RA29" s="24">
        <v>0</v>
      </c>
      <c r="RB29" s="24">
        <v>0</v>
      </c>
      <c r="RG29" s="39">
        <f t="shared" si="48"/>
        <v>4744858</v>
      </c>
      <c r="RH29" s="39">
        <f t="shared" si="48"/>
        <v>385062</v>
      </c>
      <c r="RI29" s="39">
        <f t="shared" si="48"/>
        <v>0</v>
      </c>
      <c r="RJ29" s="39">
        <f t="shared" si="48"/>
        <v>0</v>
      </c>
      <c r="RK29" s="39">
        <f t="shared" si="48"/>
        <v>0</v>
      </c>
      <c r="RL29" s="39">
        <f t="shared" si="48"/>
        <v>636720</v>
      </c>
      <c r="RM29" s="39">
        <f t="shared" si="48"/>
        <v>321035</v>
      </c>
      <c r="RN29" s="39">
        <f t="shared" si="48"/>
        <v>7500</v>
      </c>
      <c r="RO29" s="39">
        <f t="shared" si="48"/>
        <v>26363</v>
      </c>
      <c r="RP29" s="39">
        <f t="shared" si="48"/>
        <v>0</v>
      </c>
      <c r="RQ29" s="39">
        <f t="shared" si="48"/>
        <v>1077</v>
      </c>
      <c r="RR29" s="39">
        <f t="shared" si="48"/>
        <v>9871</v>
      </c>
      <c r="RS29" s="39"/>
      <c r="RT29" s="182"/>
      <c r="RU29" s="39"/>
      <c r="RV29" s="39">
        <f t="shared" si="49"/>
        <v>1686817</v>
      </c>
      <c r="RW29" s="39">
        <f t="shared" si="49"/>
        <v>6132486</v>
      </c>
      <c r="RX29" s="39">
        <f t="shared" si="49"/>
        <v>3640285</v>
      </c>
      <c r="RY29" s="39">
        <f t="shared" si="49"/>
        <v>132819</v>
      </c>
      <c r="RZ29" s="39"/>
      <c r="SA29" s="182"/>
      <c r="SB29" s="39"/>
      <c r="SC29" s="25">
        <f t="shared" si="50"/>
        <v>3618.5735586481114</v>
      </c>
      <c r="SD29" s="39">
        <f>IFERROR(VLOOKUP(A29, 'Levy Data 15-16'!$B:$O, 3, FALSE), 0)</f>
        <v>1639976783</v>
      </c>
      <c r="SE29" s="39">
        <f t="shared" si="9"/>
        <v>1630195.6093439364</v>
      </c>
      <c r="SF29" s="631">
        <f>IFERROR(VLOOKUP(A29, 'Levy Data 15-16'!$B:$O, 14, FALSE), 0)*1000</f>
        <v>1.8923699999999999</v>
      </c>
      <c r="SG29" s="39">
        <f t="shared" si="10"/>
        <v>0</v>
      </c>
      <c r="SH29" s="39">
        <f t="shared" si="11"/>
        <v>0</v>
      </c>
      <c r="SI29" s="39">
        <f t="shared" si="12"/>
        <v>3640285</v>
      </c>
      <c r="SM29" s="39">
        <f t="shared" si="13"/>
        <v>6132486</v>
      </c>
      <c r="SN29" s="39">
        <f t="shared" si="14"/>
        <v>0</v>
      </c>
      <c r="SO29" s="39">
        <f t="shared" si="51"/>
        <v>6132486</v>
      </c>
      <c r="SP29" s="50">
        <f t="shared" si="52"/>
        <v>1</v>
      </c>
      <c r="ST29" s="124">
        <f>IFERROR(VLOOKUP(A29,'Grade Enroll 15-16'!B:AC,27,FALSE),"")</f>
        <v>1006</v>
      </c>
      <c r="SU29" s="124">
        <f t="shared" si="53"/>
        <v>557.53084112149531</v>
      </c>
      <c r="SV29" s="131">
        <f>IFERROR(VLOOKUP($A29, 'Title I Enroll 16-17'!S:V, 4, FALSE), 0)</f>
        <v>0.5542056074766355</v>
      </c>
      <c r="SW29" s="729">
        <f>IFERROR(VLOOKUP(A29, 'ELL Enroll 15-16'!$N:$S, 6, FALSE), 0)</f>
        <v>5</v>
      </c>
      <c r="SX29" s="131">
        <f t="shared" si="54"/>
        <v>4.970178926441352E-3</v>
      </c>
      <c r="SY29" s="124">
        <f>IFERROR(VLOOKUP(A29, 'SPED enroll 2015-16'!$M:$O, 3, FALSE), 0)</f>
        <v>152</v>
      </c>
      <c r="SZ29" s="131">
        <f t="shared" si="55"/>
        <v>0.15109343936381708</v>
      </c>
      <c r="TA29" s="142">
        <f t="shared" si="56"/>
        <v>106.39999999999999</v>
      </c>
      <c r="TB29" s="142">
        <f t="shared" si="56"/>
        <v>30.400000000000002</v>
      </c>
      <c r="TC29" s="142">
        <f t="shared" si="56"/>
        <v>10.64</v>
      </c>
      <c r="TD29" s="142">
        <f t="shared" si="56"/>
        <v>4.5599999999999996</v>
      </c>
      <c r="TE29" s="124">
        <f>VLOOKUP($A29, 'Grade Enroll 15-16'!$B:$AB, 20, FALSE)</f>
        <v>21</v>
      </c>
      <c r="TF29" s="124">
        <f>VLOOKUP($A29, 'Grade Enroll 15-16'!$B:$AB, 21, FALSE)</f>
        <v>67</v>
      </c>
      <c r="TG29" s="124">
        <f>VLOOKUP($A29, 'Grade Enroll 15-16'!$B:$AB, 22, FALSE)</f>
        <v>236</v>
      </c>
      <c r="TH29" s="124">
        <f>VLOOKUP($A29, 'Grade Enroll 15-16'!$B:$AB, 23, FALSE)</f>
        <v>242</v>
      </c>
      <c r="TI29" s="124">
        <f>VLOOKUP($A29, 'Grade Enroll 15-16'!$B:$AB, 24, FALSE)</f>
        <v>163</v>
      </c>
      <c r="TJ29" s="124">
        <f>VLOOKUP($A29, 'Grade Enroll 15-16'!$B:$AB, 25, FALSE)</f>
        <v>365</v>
      </c>
      <c r="TK29" s="124">
        <f>VLOOKUP($A29, 'Grade Enroll 15-16'!$B:$AB, 26, FALSE)</f>
        <v>678</v>
      </c>
      <c r="TL29" s="131">
        <f>SUMIFS('Student Achievement 15-16'!N:N, 'Student Achievement 15-16'!B:B, 'Idaho Data'!A29, 'Student Achievement 15-16'!D:D, "math")/100</f>
        <v>0.38100000000000001</v>
      </c>
      <c r="TM29" s="134">
        <f t="shared" si="57"/>
        <v>383.286</v>
      </c>
      <c r="TN29" s="131">
        <f>SUMIFS('Student Achievement 15-16'!N:N, 'Student Achievement 15-16'!B:B, 'Idaho Data'!A29, 'Student Achievement 15-16'!D:D, "ela")/100</f>
        <v>0.32600000000000001</v>
      </c>
      <c r="TO29" s="134">
        <f t="shared" si="58"/>
        <v>327.95600000000002</v>
      </c>
      <c r="TP29" s="688">
        <f>IFERROR(VLOOKUP(A29, 'G&amp;T 15-16'!B:G, 6, FALSE), 0)*1</f>
        <v>0</v>
      </c>
      <c r="TQ29" s="168">
        <f t="shared" si="59"/>
        <v>60.36</v>
      </c>
      <c r="TU29" s="168">
        <f t="shared" si="60"/>
        <v>327.95600000000002</v>
      </c>
      <c r="TV29" s="168">
        <f t="shared" si="61"/>
        <v>383.286</v>
      </c>
      <c r="TW29" s="205">
        <f t="shared" si="62"/>
        <v>383.286</v>
      </c>
      <c r="TX29" s="144"/>
      <c r="TY29" s="129"/>
      <c r="TZ29" s="127">
        <f t="shared" si="63"/>
        <v>0</v>
      </c>
      <c r="UA29" s="127">
        <f t="shared" si="64"/>
        <v>60.36</v>
      </c>
      <c r="UB29" s="205">
        <f t="shared" si="65"/>
        <v>60.36</v>
      </c>
      <c r="UE29" s="853" t="str">
        <f>IF(ST29&lt;='1. Simulator Input'!$E$104, "yes", "")</f>
        <v/>
      </c>
      <c r="UI29" s="199">
        <f t="shared" si="66"/>
        <v>0</v>
      </c>
      <c r="UJ29" s="200">
        <f>IF('Idaho Data'!SI29&gt;=0, ((1-'1. Simulator Input'!$E$39)*'Idaho Data'!SI29), 0)</f>
        <v>0</v>
      </c>
      <c r="UK29" s="200">
        <f t="shared" si="67"/>
        <v>6132486</v>
      </c>
      <c r="UL29" s="39"/>
      <c r="UM29" s="182"/>
      <c r="UN29" s="39"/>
      <c r="UO29" s="39" t="str">
        <f>IF(AND('1. Simulator Input'!$E$96="yes", '1. Simulator Input'!$E$98="yes", '1. Simulator Input'!$E$100="hold harmless"), 'Idaho Data'!WN29, IF(AND('1. Simulator Input'!$E$96="yes", '1. Simulator Input'!$E$98="no", '1. Simulator Input'!$E$100="hold harmless"), 'Idaho Data'!WM29, IF(AND('1. Simulator Input'!$E$96="yes", '1. Simulator Input'!$E$98="yes", '1. Simulator Input'!$E$100="small district grant"), WL29,IF(AND('1. Simulator Input'!$E$96="yes", '1. Simulator Input'!$E$98="no", '1. Simulator Input'!$E$100="small district grant"), WK29, ""))))</f>
        <v/>
      </c>
      <c r="UP29" s="200">
        <f>'1. Simulator Input'!$D$56*('Idaho Data'!ST29)</f>
        <v>5559156</v>
      </c>
      <c r="UQ29" s="204">
        <f>'1. Simulator Input'!$D$65*'1. Simulator Input'!$D$56*'Idaho Data'!SU29</f>
        <v>0</v>
      </c>
      <c r="UR29" s="204">
        <f>'1. Simulator Input'!$D$66*'1. Simulator Input'!$D$56*'Idaho Data'!SW29</f>
        <v>0</v>
      </c>
      <c r="US29" s="200">
        <f>'1. Simulator Input'!$D$67*'1. Simulator Input'!$D$56*'Idaho Data'!TA29</f>
        <v>0</v>
      </c>
      <c r="UT29" s="200">
        <f>'1. Simulator Input'!$D$68*'1. Simulator Input'!$D$56*'Idaho Data'!TB29</f>
        <v>0</v>
      </c>
      <c r="UU29" s="200">
        <f>'1. Simulator Input'!$D$69*'1. Simulator Input'!$D$56*'Idaho Data'!TC29</f>
        <v>0</v>
      </c>
      <c r="UV29" s="200">
        <f>'1. Simulator Input'!$D$70*'1. Simulator Input'!$D$56*TD29</f>
        <v>0</v>
      </c>
      <c r="UW29" s="200">
        <f>'1. Simulator Input'!$D$80*'1. Simulator Input'!$D$56*TW29</f>
        <v>0</v>
      </c>
      <c r="UX29" s="200">
        <f>'1. Simulator Input'!$D$79*'1. Simulator Input'!$D$56*UB29</f>
        <v>0</v>
      </c>
      <c r="UY29" s="200">
        <f>'1. Simulator Input'!$D$87*'1. Simulator Input'!$D$56*TF29</f>
        <v>185121</v>
      </c>
      <c r="UZ29" s="200">
        <f>'1. Simulator Input'!$D$73*'1. Simulator Input'!$D$56*'Idaho Data'!TG29</f>
        <v>0</v>
      </c>
      <c r="VA29" s="200">
        <f>'1. Simulator Input'!$D$56*'1. Simulator Input'!$D$74*'Idaho Data'!TH29</f>
        <v>0</v>
      </c>
      <c r="VB29" s="200">
        <f>'1. Simulator Input'!$D$56*'1. Simulator Input'!$D$75*'Idaho Data'!TI24</f>
        <v>0</v>
      </c>
      <c r="VC29" s="200">
        <f>'1. Simulator Input'!$D$76*'1. Simulator Input'!$D$56*'Idaho Data'!TJ29</f>
        <v>0</v>
      </c>
      <c r="VD29" s="200">
        <f t="shared" si="68"/>
        <v>5744277</v>
      </c>
      <c r="VE29" s="200"/>
      <c r="VF29" s="182"/>
      <c r="VG29" s="200"/>
      <c r="VH29" s="200">
        <f t="shared" si="69"/>
        <v>0</v>
      </c>
      <c r="VI29" s="200">
        <f t="shared" si="70"/>
        <v>0</v>
      </c>
      <c r="VJ29" s="200">
        <f t="shared" si="16"/>
        <v>5744277</v>
      </c>
      <c r="VK29" s="200">
        <f t="shared" si="17"/>
        <v>5744277</v>
      </c>
      <c r="VL29" s="200"/>
      <c r="VM29" s="182"/>
      <c r="VN29" s="200"/>
      <c r="VO29" s="200">
        <f t="shared" si="71"/>
        <v>1686817</v>
      </c>
      <c r="VP29" s="200">
        <f t="shared" si="72"/>
        <v>6132486</v>
      </c>
      <c r="VQ29" s="200">
        <f t="shared" si="73"/>
        <v>3640285</v>
      </c>
      <c r="VR29" s="200">
        <f t="shared" si="74"/>
        <v>1686817</v>
      </c>
      <c r="VS29" s="200">
        <f t="shared" si="18"/>
        <v>5744277</v>
      </c>
      <c r="VT29" s="200">
        <f t="shared" si="19"/>
        <v>3640285</v>
      </c>
      <c r="VU29" s="200">
        <f t="shared" si="20"/>
        <v>0</v>
      </c>
      <c r="VV29" s="200"/>
      <c r="VW29" s="182"/>
      <c r="VX29" s="200"/>
      <c r="VZ29" s="199">
        <f t="shared" si="75"/>
        <v>-388209</v>
      </c>
      <c r="WA29" s="199">
        <f t="shared" si="76"/>
        <v>-385.89363817097416</v>
      </c>
      <c r="WB29" s="131">
        <f t="shared" si="77"/>
        <v>-6.3303691194729186E-2</v>
      </c>
      <c r="WC29" s="131"/>
      <c r="WD29" s="461"/>
      <c r="WE29" s="893"/>
      <c r="WF29" s="893">
        <f t="shared" si="78"/>
        <v>11391.240556660039</v>
      </c>
      <c r="WG29" s="893">
        <f t="shared" si="79"/>
        <v>11005.346918489066</v>
      </c>
      <c r="WH29" s="893"/>
      <c r="WI29" s="893">
        <f t="shared" si="80"/>
        <v>6132486</v>
      </c>
      <c r="WJ29" s="893">
        <f t="shared" si="21"/>
        <v>5744277</v>
      </c>
      <c r="WK29" s="39" t="str">
        <f t="shared" si="22"/>
        <v/>
      </c>
      <c r="WL29" s="39" t="str">
        <f t="shared" si="23"/>
        <v/>
      </c>
      <c r="WM29" s="200" t="str">
        <f t="shared" si="24"/>
        <v/>
      </c>
      <c r="WN29" s="39" t="str">
        <f t="shared" si="25"/>
        <v/>
      </c>
      <c r="WO29" s="39"/>
      <c r="WP29" s="182"/>
      <c r="WQ29" s="39"/>
      <c r="WR29" s="305">
        <f t="shared" si="26"/>
        <v>0.89400000000000002</v>
      </c>
      <c r="WT29" s="200">
        <f t="shared" si="27"/>
        <v>6095.9105367793245</v>
      </c>
      <c r="WU29" s="131">
        <f t="shared" si="81"/>
        <v>0.41</v>
      </c>
      <c r="WW29" s="199">
        <f t="shared" si="28"/>
        <v>1686817</v>
      </c>
      <c r="WX29" s="199">
        <f t="shared" si="29"/>
        <v>5744277</v>
      </c>
      <c r="WY29" s="199">
        <f t="shared" si="30"/>
        <v>0</v>
      </c>
      <c r="WZ29" s="199">
        <f t="shared" si="82"/>
        <v>5744277</v>
      </c>
      <c r="XA29" s="199">
        <f t="shared" si="31"/>
        <v>0</v>
      </c>
      <c r="XB29" s="199">
        <f t="shared" si="32"/>
        <v>3640285</v>
      </c>
      <c r="XC29" s="199">
        <f t="shared" si="33"/>
        <v>3640285</v>
      </c>
      <c r="XD29" s="199" t="str">
        <f t="shared" si="34"/>
        <v/>
      </c>
      <c r="XE29" s="199"/>
      <c r="XF29" s="199"/>
      <c r="XG29" s="199"/>
      <c r="XH29" s="199"/>
      <c r="XI29" s="199"/>
      <c r="XJ29" s="199">
        <f t="shared" si="83"/>
        <v>5744277</v>
      </c>
      <c r="XL29" s="199"/>
      <c r="XP29" s="199">
        <f t="shared" si="35"/>
        <v>5744277</v>
      </c>
      <c r="XQ29" s="199">
        <f t="shared" si="36"/>
        <v>5710.0168986083499</v>
      </c>
      <c r="XR29" s="199">
        <f t="shared" si="37"/>
        <v>5744277</v>
      </c>
      <c r="XS29" s="199">
        <f t="shared" si="38"/>
        <v>5744277</v>
      </c>
      <c r="XT29" s="199">
        <f t="shared" si="39"/>
        <v>5710.0168986083499</v>
      </c>
      <c r="XU29" s="199">
        <f t="shared" si="40"/>
        <v>6132486</v>
      </c>
      <c r="XV29" s="199">
        <f t="shared" si="41"/>
        <v>6095.9105367793245</v>
      </c>
      <c r="XW29" s="199">
        <f t="shared" si="42"/>
        <v>6132486</v>
      </c>
      <c r="XX29" s="199">
        <f t="shared" si="43"/>
        <v>6095.9105367793245</v>
      </c>
      <c r="XY29" s="199">
        <f t="shared" si="84"/>
        <v>-388209</v>
      </c>
      <c r="XZ29" s="199">
        <f t="shared" si="85"/>
        <v>-385.89363817097455</v>
      </c>
      <c r="YA29" s="131">
        <f t="shared" si="86"/>
        <v>-6.3303691194729242E-2</v>
      </c>
      <c r="YB29" s="199"/>
      <c r="YC29" s="221"/>
      <c r="YD29" s="199"/>
      <c r="YE29" s="199">
        <f t="shared" si="44"/>
        <v>1686817</v>
      </c>
      <c r="YF29" s="200">
        <f t="shared" si="45"/>
        <v>0</v>
      </c>
      <c r="YG29" s="199">
        <f t="shared" si="46"/>
        <v>3640285</v>
      </c>
      <c r="YH29" s="199">
        <f t="shared" si="47"/>
        <v>132819</v>
      </c>
    </row>
    <row r="30" spans="1:658">
      <c r="A30" s="3">
        <v>84</v>
      </c>
      <c r="B30" s="2" t="s">
        <v>121</v>
      </c>
      <c r="C30" s="24">
        <v>0</v>
      </c>
      <c r="D30" s="24">
        <v>0</v>
      </c>
      <c r="E30" s="24">
        <v>0</v>
      </c>
      <c r="F30" s="24">
        <v>0</v>
      </c>
      <c r="G30" s="24">
        <v>8034178</v>
      </c>
      <c r="H30" s="24">
        <v>0</v>
      </c>
      <c r="I30" s="24">
        <v>0</v>
      </c>
      <c r="J30" s="24">
        <v>186889</v>
      </c>
      <c r="K30" s="24">
        <v>0</v>
      </c>
      <c r="L30" s="24">
        <v>0</v>
      </c>
      <c r="M30" s="24">
        <v>0</v>
      </c>
      <c r="N30" s="24">
        <v>0</v>
      </c>
      <c r="O30" s="24">
        <v>0</v>
      </c>
      <c r="P30" s="24">
        <v>0</v>
      </c>
      <c r="Q30" s="24">
        <v>0</v>
      </c>
      <c r="R30" s="24">
        <v>0</v>
      </c>
      <c r="S30" s="24">
        <v>0</v>
      </c>
      <c r="T30" s="24">
        <v>0</v>
      </c>
      <c r="U30" s="24">
        <v>0</v>
      </c>
      <c r="V30" s="24">
        <v>-108</v>
      </c>
      <c r="W30" s="24">
        <v>0</v>
      </c>
      <c r="X30" s="24">
        <v>0</v>
      </c>
      <c r="Y30" s="24">
        <v>65312</v>
      </c>
      <c r="Z30" s="24">
        <v>0</v>
      </c>
      <c r="AA30" s="24">
        <v>0</v>
      </c>
      <c r="AB30" s="24">
        <v>0</v>
      </c>
      <c r="AC30" s="24">
        <v>0</v>
      </c>
      <c r="AD30" s="24">
        <v>8401</v>
      </c>
      <c r="AE30" s="24">
        <v>0</v>
      </c>
      <c r="AF30" s="24">
        <v>0</v>
      </c>
      <c r="AG30" s="24">
        <v>0</v>
      </c>
      <c r="AH30" s="24">
        <v>0</v>
      </c>
      <c r="AI30" s="24">
        <v>0</v>
      </c>
      <c r="AJ30" s="24">
        <v>7102</v>
      </c>
      <c r="AK30" s="24">
        <v>0</v>
      </c>
      <c r="AL30" s="24">
        <v>22037</v>
      </c>
      <c r="AM30" s="24">
        <v>0</v>
      </c>
      <c r="AN30" s="24">
        <v>0</v>
      </c>
      <c r="AO30" s="24">
        <v>0</v>
      </c>
      <c r="AP30" s="24">
        <v>0</v>
      </c>
      <c r="AQ30" s="24">
        <v>0</v>
      </c>
      <c r="AR30" s="24">
        <v>0</v>
      </c>
      <c r="AS30" s="24">
        <v>0</v>
      </c>
      <c r="AT30" s="24">
        <v>0</v>
      </c>
      <c r="AU30" s="24">
        <v>0</v>
      </c>
      <c r="AV30" s="24">
        <v>0</v>
      </c>
      <c r="AW30" s="24">
        <v>0</v>
      </c>
      <c r="AX30" s="24">
        <v>0</v>
      </c>
      <c r="AY30" s="24">
        <v>0</v>
      </c>
      <c r="AZ30" s="24">
        <v>0</v>
      </c>
      <c r="BA30" s="24">
        <v>0</v>
      </c>
      <c r="BB30" s="24">
        <v>0</v>
      </c>
      <c r="BC30" s="24">
        <v>0</v>
      </c>
      <c r="BD30" s="24">
        <v>0</v>
      </c>
      <c r="BE30" s="24">
        <v>0</v>
      </c>
      <c r="BF30" s="24">
        <v>0</v>
      </c>
      <c r="BG30" s="24">
        <v>0</v>
      </c>
      <c r="BH30" s="24">
        <v>0</v>
      </c>
      <c r="BI30" s="24">
        <v>0</v>
      </c>
      <c r="BJ30" s="24">
        <v>0</v>
      </c>
      <c r="BK30" s="24">
        <v>0</v>
      </c>
      <c r="BL30" s="24">
        <v>0</v>
      </c>
      <c r="BM30" s="24">
        <v>0</v>
      </c>
      <c r="BN30" s="24">
        <v>0</v>
      </c>
      <c r="BO30" s="24">
        <v>0</v>
      </c>
      <c r="BP30" s="24">
        <v>0</v>
      </c>
      <c r="BQ30" s="24">
        <v>0</v>
      </c>
      <c r="BR30" s="24">
        <v>0</v>
      </c>
      <c r="BS30" s="24">
        <v>2</v>
      </c>
      <c r="BT30" s="24">
        <v>0</v>
      </c>
      <c r="BU30" s="24">
        <v>0</v>
      </c>
      <c r="BV30" s="24">
        <v>0</v>
      </c>
      <c r="BW30" s="24">
        <v>0</v>
      </c>
      <c r="BX30" s="24">
        <v>0</v>
      </c>
      <c r="BY30" s="24">
        <v>0</v>
      </c>
      <c r="BZ30" s="24">
        <v>0</v>
      </c>
      <c r="CA30" s="24">
        <v>0</v>
      </c>
      <c r="CB30" s="24">
        <v>0</v>
      </c>
      <c r="CC30" s="24">
        <v>0</v>
      </c>
      <c r="CD30" s="24">
        <v>175242</v>
      </c>
      <c r="CE30" s="24">
        <v>18758</v>
      </c>
      <c r="CF30" s="24">
        <v>0</v>
      </c>
      <c r="CG30" s="24">
        <v>27404</v>
      </c>
      <c r="CH30" s="24">
        <v>0</v>
      </c>
      <c r="CI30" s="24">
        <v>0</v>
      </c>
      <c r="CJ30" s="24">
        <v>0</v>
      </c>
      <c r="CK30" s="24">
        <v>0</v>
      </c>
      <c r="CL30" s="24">
        <v>0</v>
      </c>
      <c r="CM30" s="24">
        <v>0</v>
      </c>
      <c r="CN30" s="24">
        <v>0</v>
      </c>
      <c r="CO30" s="24">
        <v>0</v>
      </c>
      <c r="CP30" s="24">
        <v>0</v>
      </c>
      <c r="CQ30" s="24">
        <v>0</v>
      </c>
      <c r="CR30" s="24">
        <v>0</v>
      </c>
      <c r="CS30" s="24">
        <v>0</v>
      </c>
      <c r="CT30" s="24">
        <v>0</v>
      </c>
      <c r="CU30" s="24">
        <v>0</v>
      </c>
      <c r="CV30" s="24">
        <v>0</v>
      </c>
      <c r="CW30" s="24">
        <v>0</v>
      </c>
      <c r="CX30" s="24">
        <v>0</v>
      </c>
      <c r="CY30" s="24">
        <v>0</v>
      </c>
      <c r="CZ30" s="24">
        <v>0</v>
      </c>
      <c r="DA30" s="24">
        <v>0</v>
      </c>
      <c r="DB30" s="24">
        <v>0</v>
      </c>
      <c r="DC30" s="24">
        <v>0</v>
      </c>
      <c r="DD30" s="24">
        <v>0</v>
      </c>
      <c r="DE30" s="24">
        <v>0</v>
      </c>
      <c r="DF30" s="24">
        <v>0</v>
      </c>
      <c r="DG30" s="24">
        <v>0</v>
      </c>
      <c r="DH30" s="24">
        <v>0</v>
      </c>
      <c r="DI30" s="24">
        <v>0</v>
      </c>
      <c r="DJ30" s="24">
        <v>0</v>
      </c>
      <c r="DK30" s="24">
        <v>0</v>
      </c>
      <c r="DL30" s="24">
        <v>0</v>
      </c>
      <c r="DM30" s="24">
        <v>0</v>
      </c>
      <c r="DN30" s="24">
        <v>0</v>
      </c>
      <c r="DO30" s="24">
        <v>0</v>
      </c>
      <c r="DP30" s="24">
        <v>0</v>
      </c>
      <c r="DQ30" s="24">
        <v>0</v>
      </c>
      <c r="DR30" s="24">
        <v>0</v>
      </c>
      <c r="DS30" s="24">
        <v>0</v>
      </c>
      <c r="DT30" s="24">
        <v>0</v>
      </c>
      <c r="DU30" s="24">
        <v>0</v>
      </c>
      <c r="DV30" s="24">
        <v>0</v>
      </c>
      <c r="DW30" s="24">
        <v>0</v>
      </c>
      <c r="DX30" s="24">
        <v>0</v>
      </c>
      <c r="DY30" s="24">
        <v>0</v>
      </c>
      <c r="DZ30" s="24">
        <v>0</v>
      </c>
      <c r="EA30" s="24">
        <v>0</v>
      </c>
      <c r="EB30" s="24">
        <v>0</v>
      </c>
      <c r="EC30" s="24">
        <v>0</v>
      </c>
      <c r="ED30" s="24">
        <v>0</v>
      </c>
      <c r="EE30" s="24">
        <v>0</v>
      </c>
      <c r="EF30" s="24">
        <v>0</v>
      </c>
      <c r="EG30" s="24">
        <v>5</v>
      </c>
      <c r="EH30" s="24">
        <v>0</v>
      </c>
      <c r="EI30" s="24">
        <v>0</v>
      </c>
      <c r="EJ30" s="24">
        <v>0</v>
      </c>
      <c r="EK30" s="24">
        <v>0</v>
      </c>
      <c r="EL30" s="24">
        <v>0</v>
      </c>
      <c r="EM30" s="24">
        <v>0</v>
      </c>
      <c r="EN30" s="24">
        <v>0</v>
      </c>
      <c r="EO30" s="24">
        <v>0</v>
      </c>
      <c r="EP30" s="24">
        <v>0</v>
      </c>
      <c r="EQ30" s="24">
        <v>0</v>
      </c>
      <c r="ER30" s="24">
        <v>0</v>
      </c>
      <c r="ES30" s="24">
        <v>0</v>
      </c>
      <c r="ET30" s="24">
        <v>0</v>
      </c>
      <c r="EU30" s="24">
        <v>0</v>
      </c>
      <c r="EV30" s="24">
        <v>0</v>
      </c>
      <c r="EW30" s="24">
        <v>0</v>
      </c>
      <c r="EX30" s="24">
        <v>0</v>
      </c>
      <c r="EY30" s="24">
        <v>0</v>
      </c>
      <c r="EZ30" s="24">
        <v>0</v>
      </c>
      <c r="FA30" s="24">
        <v>0</v>
      </c>
      <c r="FB30" s="24">
        <v>0</v>
      </c>
      <c r="FC30" s="24">
        <v>0</v>
      </c>
      <c r="FD30" s="24">
        <v>0</v>
      </c>
      <c r="FE30" s="24">
        <v>0</v>
      </c>
      <c r="FF30" s="24">
        <v>0</v>
      </c>
      <c r="FG30" s="24">
        <v>0</v>
      </c>
      <c r="FH30" s="24">
        <v>0</v>
      </c>
      <c r="FI30" s="24">
        <v>0</v>
      </c>
      <c r="FJ30" s="24">
        <v>0</v>
      </c>
      <c r="FK30" s="24">
        <v>0</v>
      </c>
      <c r="FL30" s="24">
        <v>49341</v>
      </c>
      <c r="FM30" s="24">
        <v>0</v>
      </c>
      <c r="FN30" s="24">
        <v>0</v>
      </c>
      <c r="FO30" s="24">
        <v>0</v>
      </c>
      <c r="FP30" s="24">
        <v>0</v>
      </c>
      <c r="FQ30" s="24">
        <v>0</v>
      </c>
      <c r="FR30" s="24">
        <v>1186</v>
      </c>
      <c r="FS30" s="24">
        <v>559043</v>
      </c>
      <c r="FT30" s="24">
        <v>0</v>
      </c>
      <c r="FU30" s="24">
        <v>37725</v>
      </c>
      <c r="FV30" s="24">
        <v>0</v>
      </c>
      <c r="FW30" s="24">
        <v>0</v>
      </c>
      <c r="FX30" s="24">
        <v>0</v>
      </c>
      <c r="FY30" s="24">
        <v>0</v>
      </c>
      <c r="FZ30" s="24">
        <v>0</v>
      </c>
      <c r="GA30" s="24">
        <v>0</v>
      </c>
      <c r="GB30" s="24">
        <v>0</v>
      </c>
      <c r="GC30" s="24">
        <v>0</v>
      </c>
      <c r="GD30" s="24">
        <v>0</v>
      </c>
      <c r="GE30" s="24">
        <v>0</v>
      </c>
      <c r="GF30" s="24">
        <v>0</v>
      </c>
      <c r="GG30" s="24">
        <v>0</v>
      </c>
      <c r="GH30" s="24">
        <v>0</v>
      </c>
      <c r="GI30" s="24">
        <v>0</v>
      </c>
      <c r="GJ30" s="24">
        <v>0</v>
      </c>
      <c r="GK30" s="24">
        <v>0</v>
      </c>
      <c r="GL30" s="24">
        <v>0</v>
      </c>
      <c r="GM30" s="24">
        <v>0</v>
      </c>
      <c r="GN30" s="24">
        <v>0</v>
      </c>
      <c r="GO30" s="24">
        <v>0</v>
      </c>
      <c r="GP30" s="24">
        <v>0</v>
      </c>
      <c r="GQ30" s="24">
        <v>0</v>
      </c>
      <c r="GR30" s="24">
        <v>32074</v>
      </c>
      <c r="GS30" s="24">
        <v>0</v>
      </c>
      <c r="GT30" s="24">
        <v>0</v>
      </c>
      <c r="GU30" s="24">
        <v>0</v>
      </c>
      <c r="GV30" s="24">
        <v>6093</v>
      </c>
      <c r="GW30" s="24">
        <v>0</v>
      </c>
      <c r="GX30" s="24">
        <v>0</v>
      </c>
      <c r="GY30" s="24">
        <v>0</v>
      </c>
      <c r="GZ30" s="24">
        <v>0</v>
      </c>
      <c r="HA30" s="24">
        <v>0</v>
      </c>
      <c r="HB30" s="24">
        <v>18000</v>
      </c>
      <c r="HC30" s="24">
        <v>0</v>
      </c>
      <c r="HD30" s="24">
        <v>15046920</v>
      </c>
      <c r="HE30" s="24">
        <v>0</v>
      </c>
      <c r="HF30" s="24">
        <v>0</v>
      </c>
      <c r="HG30" s="24">
        <v>0</v>
      </c>
      <c r="HH30" s="24">
        <v>0</v>
      </c>
      <c r="HI30" s="24">
        <v>1242276</v>
      </c>
      <c r="HJ30" s="24">
        <v>0</v>
      </c>
      <c r="HK30" s="24">
        <v>0</v>
      </c>
      <c r="HL30" s="24">
        <v>22264</v>
      </c>
      <c r="HM30" s="24">
        <v>0</v>
      </c>
      <c r="HN30" s="24">
        <v>0</v>
      </c>
      <c r="HO30" s="24">
        <v>1944257</v>
      </c>
      <c r="HP30" s="24">
        <v>0</v>
      </c>
      <c r="HQ30" s="24">
        <v>0</v>
      </c>
      <c r="HR30" s="24">
        <v>0</v>
      </c>
      <c r="HS30" s="24">
        <v>0</v>
      </c>
      <c r="HT30" s="24">
        <v>0</v>
      </c>
      <c r="HU30" s="24">
        <v>0</v>
      </c>
      <c r="HV30" s="24">
        <v>0</v>
      </c>
      <c r="HW30" s="24">
        <v>0</v>
      </c>
      <c r="HX30" s="24">
        <v>0</v>
      </c>
      <c r="HY30" s="24">
        <v>0</v>
      </c>
      <c r="HZ30" s="24">
        <v>0</v>
      </c>
      <c r="IA30" s="24">
        <v>0</v>
      </c>
      <c r="IB30" s="24">
        <v>46967</v>
      </c>
      <c r="IC30" s="24">
        <v>0</v>
      </c>
      <c r="ID30" s="24">
        <v>0</v>
      </c>
      <c r="IE30" s="24">
        <v>0</v>
      </c>
      <c r="IF30" s="24">
        <v>0</v>
      </c>
      <c r="IG30" s="24">
        <v>0</v>
      </c>
      <c r="IH30" s="24">
        <v>0</v>
      </c>
      <c r="II30" s="24">
        <v>0</v>
      </c>
      <c r="IJ30" s="24">
        <v>0</v>
      </c>
      <c r="IK30" s="24">
        <v>0</v>
      </c>
      <c r="IL30" s="24">
        <v>0</v>
      </c>
      <c r="IM30" s="24">
        <v>0</v>
      </c>
      <c r="IN30" s="24">
        <v>0</v>
      </c>
      <c r="IO30" s="24">
        <v>25500</v>
      </c>
      <c r="IP30" s="24">
        <v>0</v>
      </c>
      <c r="IQ30" s="24">
        <v>0</v>
      </c>
      <c r="IR30" s="24">
        <v>115736</v>
      </c>
      <c r="IS30" s="24">
        <v>0</v>
      </c>
      <c r="IT30" s="24">
        <v>0</v>
      </c>
      <c r="IU30" s="24">
        <v>0</v>
      </c>
      <c r="IV30" s="24">
        <v>0</v>
      </c>
      <c r="IW30" s="24">
        <v>209412</v>
      </c>
      <c r="IX30" s="24">
        <v>0</v>
      </c>
      <c r="IY30" s="24">
        <v>0</v>
      </c>
      <c r="IZ30" s="24">
        <v>0</v>
      </c>
      <c r="JA30" s="24">
        <v>0</v>
      </c>
      <c r="JB30" s="24">
        <v>93759</v>
      </c>
      <c r="JC30" s="24">
        <v>0</v>
      </c>
      <c r="JD30" s="24">
        <v>0</v>
      </c>
      <c r="JE30" s="24">
        <v>493689</v>
      </c>
      <c r="JF30" s="24">
        <v>0</v>
      </c>
      <c r="JG30" s="24">
        <v>0</v>
      </c>
      <c r="JH30" s="24">
        <v>0</v>
      </c>
      <c r="JI30" s="24">
        <v>0</v>
      </c>
      <c r="JJ30" s="24">
        <v>0</v>
      </c>
      <c r="JK30" s="24">
        <v>0</v>
      </c>
      <c r="JL30" s="24">
        <v>0</v>
      </c>
      <c r="JM30" s="24">
        <v>0</v>
      </c>
      <c r="JN30" s="24">
        <v>0</v>
      </c>
      <c r="JO30" s="24">
        <v>0</v>
      </c>
      <c r="JP30" s="24">
        <v>0</v>
      </c>
      <c r="JQ30" s="24">
        <v>0</v>
      </c>
      <c r="JR30" s="24">
        <v>0</v>
      </c>
      <c r="JS30" s="24">
        <v>0</v>
      </c>
      <c r="JT30" s="24">
        <v>0</v>
      </c>
      <c r="JU30" s="24">
        <v>0</v>
      </c>
      <c r="JV30" s="24">
        <v>0</v>
      </c>
      <c r="JW30" s="24">
        <v>0</v>
      </c>
      <c r="JX30" s="24">
        <v>0</v>
      </c>
      <c r="JY30" s="24">
        <v>0</v>
      </c>
      <c r="JZ30" s="24">
        <v>0</v>
      </c>
      <c r="KA30" s="24">
        <v>0</v>
      </c>
      <c r="KB30" s="24">
        <v>0</v>
      </c>
      <c r="KC30" s="24">
        <v>0</v>
      </c>
      <c r="KD30" s="24">
        <v>0</v>
      </c>
      <c r="KE30" s="24">
        <v>0</v>
      </c>
      <c r="KF30" s="24">
        <v>0</v>
      </c>
      <c r="KG30" s="24">
        <v>168019</v>
      </c>
      <c r="KH30" s="24">
        <v>0</v>
      </c>
      <c r="KI30" s="24">
        <v>0</v>
      </c>
      <c r="KJ30" s="24">
        <v>0</v>
      </c>
      <c r="KK30" s="24">
        <v>0</v>
      </c>
      <c r="KL30" s="24">
        <v>0</v>
      </c>
      <c r="KM30" s="24">
        <v>0</v>
      </c>
      <c r="KN30" s="24">
        <v>0</v>
      </c>
      <c r="KO30" s="24">
        <v>0</v>
      </c>
      <c r="KP30" s="24">
        <v>0</v>
      </c>
      <c r="KQ30" s="24">
        <v>0</v>
      </c>
      <c r="KR30" s="24">
        <v>0</v>
      </c>
      <c r="KS30" s="24">
        <v>0</v>
      </c>
      <c r="KT30" s="24">
        <v>0</v>
      </c>
      <c r="KU30" s="24">
        <v>0</v>
      </c>
      <c r="KV30" s="24">
        <v>0</v>
      </c>
      <c r="KW30" s="24">
        <v>0</v>
      </c>
      <c r="KX30" s="24">
        <v>0</v>
      </c>
      <c r="KY30" s="24">
        <v>0</v>
      </c>
      <c r="KZ30" s="24">
        <v>0</v>
      </c>
      <c r="LA30" s="24">
        <v>0</v>
      </c>
      <c r="LB30" s="24">
        <v>0</v>
      </c>
      <c r="LC30" s="24">
        <v>0</v>
      </c>
      <c r="LD30" s="24">
        <v>0</v>
      </c>
      <c r="LE30" s="24">
        <v>0</v>
      </c>
      <c r="LF30" s="24">
        <v>0</v>
      </c>
      <c r="LG30" s="24">
        <v>0</v>
      </c>
      <c r="LH30" s="24">
        <v>0</v>
      </c>
      <c r="LI30" s="24">
        <v>0</v>
      </c>
      <c r="LJ30" s="24">
        <v>0</v>
      </c>
      <c r="LK30" s="24">
        <v>0</v>
      </c>
      <c r="LL30" s="24">
        <v>0</v>
      </c>
      <c r="LM30" s="24">
        <v>0</v>
      </c>
      <c r="LN30" s="24">
        <v>0</v>
      </c>
      <c r="LO30" s="24">
        <v>0</v>
      </c>
      <c r="LP30" s="24">
        <v>0</v>
      </c>
      <c r="LQ30" s="24">
        <v>997803</v>
      </c>
      <c r="LR30" s="24">
        <v>0</v>
      </c>
      <c r="LS30" s="24">
        <v>0</v>
      </c>
      <c r="LT30" s="24">
        <v>0</v>
      </c>
      <c r="LU30" s="24">
        <v>0</v>
      </c>
      <c r="LV30" s="24">
        <v>0</v>
      </c>
      <c r="LW30" s="24">
        <v>0</v>
      </c>
      <c r="LX30" s="24">
        <v>0</v>
      </c>
      <c r="LY30" s="24">
        <v>0</v>
      </c>
      <c r="LZ30" s="24">
        <v>0</v>
      </c>
      <c r="MA30" s="24">
        <v>0</v>
      </c>
      <c r="MB30" s="24">
        <v>0</v>
      </c>
      <c r="MC30" s="24">
        <v>0</v>
      </c>
      <c r="MD30" s="24">
        <v>0</v>
      </c>
      <c r="ME30" s="24">
        <v>0</v>
      </c>
      <c r="MF30" s="24">
        <v>0</v>
      </c>
      <c r="MG30" s="24">
        <v>0</v>
      </c>
      <c r="MH30" s="24">
        <v>0</v>
      </c>
      <c r="MI30" s="24">
        <v>0</v>
      </c>
      <c r="MJ30" s="24">
        <v>0</v>
      </c>
      <c r="MK30" s="24">
        <v>0</v>
      </c>
      <c r="ML30" s="24">
        <v>0</v>
      </c>
      <c r="MM30" s="24">
        <v>0</v>
      </c>
      <c r="MN30" s="24">
        <v>0</v>
      </c>
      <c r="MO30" s="24">
        <v>50338</v>
      </c>
      <c r="MP30" s="24">
        <v>0</v>
      </c>
      <c r="MQ30" s="24">
        <v>0</v>
      </c>
      <c r="MR30" s="24">
        <v>821598</v>
      </c>
      <c r="MS30" s="24">
        <v>0</v>
      </c>
      <c r="MT30" s="24">
        <v>0</v>
      </c>
      <c r="MU30" s="24">
        <v>0</v>
      </c>
      <c r="MV30" s="24">
        <v>0</v>
      </c>
      <c r="MW30" s="24">
        <v>685730</v>
      </c>
      <c r="MX30" s="24">
        <v>23114</v>
      </c>
      <c r="MY30" s="24">
        <v>0</v>
      </c>
      <c r="MZ30" s="24">
        <v>0</v>
      </c>
      <c r="NA30" s="24">
        <v>48023</v>
      </c>
      <c r="NB30" s="24">
        <v>0</v>
      </c>
      <c r="NC30" s="24">
        <v>0</v>
      </c>
      <c r="ND30" s="24">
        <v>0</v>
      </c>
      <c r="NE30" s="24">
        <v>0</v>
      </c>
      <c r="NF30" s="24">
        <v>0</v>
      </c>
      <c r="NG30" s="24">
        <v>0</v>
      </c>
      <c r="NH30" s="24">
        <v>0</v>
      </c>
      <c r="NI30" s="24">
        <v>0</v>
      </c>
      <c r="NJ30" s="24">
        <v>0</v>
      </c>
      <c r="NK30" s="24">
        <v>0</v>
      </c>
      <c r="NL30" s="24">
        <v>0</v>
      </c>
      <c r="NM30" s="24">
        <v>0</v>
      </c>
      <c r="NN30" s="24">
        <v>21732</v>
      </c>
      <c r="NO30" s="24">
        <v>0</v>
      </c>
      <c r="NP30" s="24">
        <v>0</v>
      </c>
      <c r="NQ30" s="24">
        <v>25695</v>
      </c>
      <c r="NR30" s="24">
        <v>0</v>
      </c>
      <c r="NS30" s="24">
        <v>0</v>
      </c>
      <c r="NT30" s="24">
        <v>0</v>
      </c>
      <c r="NU30" s="24">
        <v>3811</v>
      </c>
      <c r="NV30" s="24">
        <v>197141</v>
      </c>
      <c r="NW30" s="24">
        <v>0</v>
      </c>
      <c r="NX30" s="24">
        <v>0</v>
      </c>
      <c r="NY30" s="24">
        <v>0</v>
      </c>
      <c r="NZ30" s="24">
        <v>0</v>
      </c>
      <c r="OA30" s="24">
        <v>0</v>
      </c>
      <c r="OB30" s="24">
        <v>0</v>
      </c>
      <c r="OC30" s="24">
        <v>0</v>
      </c>
      <c r="OD30" s="24">
        <v>0</v>
      </c>
      <c r="OE30" s="24">
        <v>0</v>
      </c>
      <c r="OF30" s="24">
        <v>0</v>
      </c>
      <c r="OG30" s="24">
        <v>0</v>
      </c>
      <c r="OH30" s="24">
        <v>0</v>
      </c>
      <c r="OI30" s="24">
        <v>0</v>
      </c>
      <c r="OJ30" s="24">
        <v>0</v>
      </c>
      <c r="OK30" s="24">
        <v>109888</v>
      </c>
      <c r="OL30" s="24">
        <v>0</v>
      </c>
      <c r="OM30" s="24">
        <v>0</v>
      </c>
      <c r="ON30" s="24">
        <v>0</v>
      </c>
      <c r="OO30" s="24">
        <v>0</v>
      </c>
      <c r="OP30" s="24">
        <v>0</v>
      </c>
      <c r="OQ30" s="24">
        <v>0</v>
      </c>
      <c r="OR30" s="24">
        <v>0</v>
      </c>
      <c r="OS30" s="24">
        <v>0</v>
      </c>
      <c r="OT30" s="24">
        <v>0</v>
      </c>
      <c r="OU30" s="24">
        <v>0</v>
      </c>
      <c r="OV30" s="24">
        <v>0</v>
      </c>
      <c r="OW30" s="24">
        <v>0</v>
      </c>
      <c r="OX30" s="24">
        <v>18592</v>
      </c>
      <c r="OY30" s="24">
        <v>0</v>
      </c>
      <c r="OZ30" s="24">
        <v>0</v>
      </c>
      <c r="PA30" s="24">
        <v>0</v>
      </c>
      <c r="PB30" s="24">
        <v>0</v>
      </c>
      <c r="PC30" s="24">
        <v>0</v>
      </c>
      <c r="PD30" s="24">
        <v>0</v>
      </c>
      <c r="PE30" s="24">
        <v>0</v>
      </c>
      <c r="PF30" s="24">
        <v>0</v>
      </c>
      <c r="PG30" s="24">
        <v>0</v>
      </c>
      <c r="PH30" s="24">
        <v>293598</v>
      </c>
      <c r="PI30" s="24">
        <v>0</v>
      </c>
      <c r="PJ30" s="24">
        <v>0</v>
      </c>
      <c r="PK30" s="24">
        <v>0</v>
      </c>
      <c r="PL30" s="24">
        <v>0</v>
      </c>
      <c r="PM30" s="24">
        <v>0</v>
      </c>
      <c r="PN30" s="24">
        <v>0</v>
      </c>
      <c r="PO30" s="24">
        <v>0</v>
      </c>
      <c r="PP30" s="24">
        <v>0</v>
      </c>
      <c r="PQ30" s="24">
        <v>0</v>
      </c>
      <c r="PR30" s="24">
        <v>0</v>
      </c>
      <c r="PS30" s="24">
        <v>0</v>
      </c>
      <c r="PT30" s="24">
        <v>0</v>
      </c>
      <c r="PU30" s="24">
        <v>0</v>
      </c>
      <c r="PV30" s="24">
        <v>0</v>
      </c>
      <c r="PW30" s="24">
        <v>0</v>
      </c>
      <c r="PX30" s="24">
        <v>0</v>
      </c>
      <c r="PY30" s="24">
        <v>0</v>
      </c>
      <c r="PZ30" s="24">
        <v>0</v>
      </c>
      <c r="QA30" s="24">
        <v>0</v>
      </c>
      <c r="QB30" s="24">
        <v>0</v>
      </c>
      <c r="QC30" s="24">
        <v>0</v>
      </c>
      <c r="QD30" s="24">
        <v>0</v>
      </c>
      <c r="QE30" s="24">
        <v>0</v>
      </c>
      <c r="QF30" s="24">
        <v>0</v>
      </c>
      <c r="QG30" s="24">
        <v>0</v>
      </c>
      <c r="QH30" s="24">
        <v>0</v>
      </c>
      <c r="QI30" s="24">
        <v>0</v>
      </c>
      <c r="QJ30" s="24">
        <v>0</v>
      </c>
      <c r="QK30" s="24">
        <v>0</v>
      </c>
      <c r="QL30" s="24">
        <v>0</v>
      </c>
      <c r="QM30" s="24">
        <v>0</v>
      </c>
      <c r="QN30" s="24">
        <v>0</v>
      </c>
      <c r="QO30" s="24">
        <v>0</v>
      </c>
      <c r="QP30" s="24">
        <v>0</v>
      </c>
      <c r="QQ30" s="24">
        <v>0</v>
      </c>
      <c r="QR30" s="24">
        <v>0</v>
      </c>
      <c r="QS30" s="24">
        <v>0</v>
      </c>
      <c r="QT30" s="24">
        <v>0</v>
      </c>
      <c r="QU30" s="24">
        <v>0</v>
      </c>
      <c r="QV30" s="24">
        <v>0</v>
      </c>
      <c r="QW30" s="24">
        <v>701145</v>
      </c>
      <c r="QX30" s="24">
        <v>0</v>
      </c>
      <c r="QY30" s="24">
        <v>51600</v>
      </c>
      <c r="QZ30" s="24">
        <v>0</v>
      </c>
      <c r="RA30" s="24">
        <v>0</v>
      </c>
      <c r="RB30" s="24">
        <v>0</v>
      </c>
      <c r="RG30" s="39">
        <f t="shared" si="48"/>
        <v>15046920</v>
      </c>
      <c r="RH30" s="39">
        <f t="shared" si="48"/>
        <v>1242276</v>
      </c>
      <c r="RI30" s="39">
        <f t="shared" si="48"/>
        <v>22264</v>
      </c>
      <c r="RJ30" s="39">
        <f t="shared" si="48"/>
        <v>0</v>
      </c>
      <c r="RK30" s="39">
        <f t="shared" si="48"/>
        <v>0</v>
      </c>
      <c r="RL30" s="39">
        <f t="shared" si="48"/>
        <v>1944257</v>
      </c>
      <c r="RM30" s="39">
        <f t="shared" si="48"/>
        <v>46967</v>
      </c>
      <c r="RN30" s="39">
        <f t="shared" si="48"/>
        <v>25500</v>
      </c>
      <c r="RO30" s="39">
        <f t="shared" si="48"/>
        <v>115736</v>
      </c>
      <c r="RP30" s="39">
        <f t="shared" si="48"/>
        <v>209412</v>
      </c>
      <c r="RQ30" s="39">
        <f t="shared" si="48"/>
        <v>93759</v>
      </c>
      <c r="RR30" s="39">
        <f t="shared" si="48"/>
        <v>493689</v>
      </c>
      <c r="RS30" s="39"/>
      <c r="RT30" s="182"/>
      <c r="RU30" s="39"/>
      <c r="RV30" s="39">
        <f t="shared" si="49"/>
        <v>3152892</v>
      </c>
      <c r="RW30" s="39">
        <f t="shared" si="49"/>
        <v>19240780</v>
      </c>
      <c r="RX30" s="39">
        <f t="shared" si="49"/>
        <v>9248684</v>
      </c>
      <c r="RY30" s="39">
        <f t="shared" si="49"/>
        <v>1064935</v>
      </c>
      <c r="RZ30" s="39"/>
      <c r="SA30" s="182"/>
      <c r="SB30" s="39"/>
      <c r="SC30" s="25">
        <f t="shared" si="50"/>
        <v>2758.3310468237401</v>
      </c>
      <c r="SD30" s="39">
        <f>IFERROR(VLOOKUP(A30, 'Levy Data 15-16'!$B:$O, 3, FALSE), 0)</f>
        <v>4201159756</v>
      </c>
      <c r="SE30" s="39">
        <f t="shared" si="9"/>
        <v>1252955.4894124665</v>
      </c>
      <c r="SF30" s="631">
        <f>IFERROR(VLOOKUP(A30, 'Levy Data 15-16'!$B:$O, 14, FALSE), 0)*1000</f>
        <v>1.8493190000000002</v>
      </c>
      <c r="SG30" s="39">
        <f t="shared" si="10"/>
        <v>0</v>
      </c>
      <c r="SH30" s="39">
        <f t="shared" si="11"/>
        <v>0</v>
      </c>
      <c r="SI30" s="39">
        <f t="shared" si="12"/>
        <v>9248684</v>
      </c>
      <c r="SM30" s="39">
        <f t="shared" si="13"/>
        <v>19240780</v>
      </c>
      <c r="SN30" s="39">
        <f t="shared" si="14"/>
        <v>0</v>
      </c>
      <c r="SO30" s="39">
        <f t="shared" si="51"/>
        <v>19240780</v>
      </c>
      <c r="SP30" s="50">
        <f t="shared" si="52"/>
        <v>1</v>
      </c>
      <c r="ST30" s="124">
        <f>IFERROR(VLOOKUP(A30,'Grade Enroll 15-16'!B:AC,27,FALSE),"")</f>
        <v>3353</v>
      </c>
      <c r="SU30" s="124">
        <f t="shared" si="53"/>
        <v>1511.5748502994011</v>
      </c>
      <c r="SV30" s="131">
        <f>IFERROR(VLOOKUP($A30, 'Title I Enroll 16-17'!S:V, 4, FALSE), 0)</f>
        <v>0.45081266039349871</v>
      </c>
      <c r="SW30" s="729">
        <f>IFERROR(VLOOKUP(A30, 'ELL Enroll 15-16'!$N:$S, 6, FALSE), 0)</f>
        <v>18</v>
      </c>
      <c r="SX30" s="131">
        <f t="shared" si="54"/>
        <v>5.3683268714583956E-3</v>
      </c>
      <c r="SY30" s="124">
        <f>IFERROR(VLOOKUP(A30, 'SPED enroll 2015-16'!$M:$O, 3, FALSE), 0)</f>
        <v>395</v>
      </c>
      <c r="SZ30" s="131">
        <f t="shared" si="55"/>
        <v>0.11780495079033701</v>
      </c>
      <c r="TA30" s="142">
        <f t="shared" si="56"/>
        <v>276.5</v>
      </c>
      <c r="TB30" s="142">
        <f t="shared" si="56"/>
        <v>79</v>
      </c>
      <c r="TC30" s="142">
        <f t="shared" si="56"/>
        <v>27.650000000000002</v>
      </c>
      <c r="TD30" s="142">
        <f t="shared" si="56"/>
        <v>11.85</v>
      </c>
      <c r="TE30" s="124">
        <f>VLOOKUP($A30, 'Grade Enroll 15-16'!$B:$AB, 20, FALSE)</f>
        <v>40</v>
      </c>
      <c r="TF30" s="124">
        <f>VLOOKUP($A30, 'Grade Enroll 15-16'!$B:$AB, 21, FALSE)</f>
        <v>226</v>
      </c>
      <c r="TG30" s="124">
        <f>VLOOKUP($A30, 'Grade Enroll 15-16'!$B:$AB, 22, FALSE)</f>
        <v>829</v>
      </c>
      <c r="TH30" s="124">
        <f>VLOOKUP($A30, 'Grade Enroll 15-16'!$B:$AB, 23, FALSE)</f>
        <v>802</v>
      </c>
      <c r="TI30" s="124">
        <f>VLOOKUP($A30, 'Grade Enroll 15-16'!$B:$AB, 24, FALSE)</f>
        <v>553</v>
      </c>
      <c r="TJ30" s="124">
        <f>VLOOKUP($A30, 'Grade Enroll 15-16'!$B:$AB, 25, FALSE)</f>
        <v>1169</v>
      </c>
      <c r="TK30" s="124">
        <f>VLOOKUP($A30, 'Grade Enroll 15-16'!$B:$AB, 26, FALSE)</f>
        <v>2223</v>
      </c>
      <c r="TL30" s="131">
        <f>SUMIFS('Student Achievement 15-16'!N:N, 'Student Achievement 15-16'!B:B, 'Idaho Data'!A30, 'Student Achievement 15-16'!D:D, "math")/100</f>
        <v>0.25800000000000001</v>
      </c>
      <c r="TM30" s="134">
        <f t="shared" si="57"/>
        <v>865.07400000000007</v>
      </c>
      <c r="TN30" s="131">
        <f>SUMIFS('Student Achievement 15-16'!N:N, 'Student Achievement 15-16'!B:B, 'Idaho Data'!A30, 'Student Achievement 15-16'!D:D, "ela")/100</f>
        <v>0.17300000000000001</v>
      </c>
      <c r="TO30" s="134">
        <f t="shared" si="58"/>
        <v>580.06900000000007</v>
      </c>
      <c r="TP30" s="688">
        <f>IFERROR(VLOOKUP(A30, 'G&amp;T 15-16'!B:G, 6, FALSE), 0)*1</f>
        <v>0</v>
      </c>
      <c r="TQ30" s="168">
        <f t="shared" si="59"/>
        <v>201.17999999999998</v>
      </c>
      <c r="TU30" s="168">
        <f t="shared" si="60"/>
        <v>580.06900000000007</v>
      </c>
      <c r="TV30" s="168">
        <f t="shared" si="61"/>
        <v>865.07400000000007</v>
      </c>
      <c r="TW30" s="205">
        <f t="shared" si="62"/>
        <v>865.07400000000007</v>
      </c>
      <c r="TX30" s="144"/>
      <c r="TY30" s="129"/>
      <c r="TZ30" s="127">
        <f t="shared" si="63"/>
        <v>0</v>
      </c>
      <c r="UA30" s="127">
        <f t="shared" si="64"/>
        <v>201.17999999999998</v>
      </c>
      <c r="UB30" s="205">
        <f t="shared" si="65"/>
        <v>201.17999999999998</v>
      </c>
      <c r="UE30" s="853" t="str">
        <f>IF(ST30&lt;='1. Simulator Input'!$E$104, "yes", "")</f>
        <v/>
      </c>
      <c r="UI30" s="199">
        <f t="shared" si="66"/>
        <v>0</v>
      </c>
      <c r="UJ30" s="200">
        <f>IF('Idaho Data'!SI30&gt;=0, ((1-'1. Simulator Input'!$E$39)*'Idaho Data'!SI30), 0)</f>
        <v>0</v>
      </c>
      <c r="UK30" s="200">
        <f t="shared" si="67"/>
        <v>19240780</v>
      </c>
      <c r="UL30" s="39"/>
      <c r="UM30" s="182"/>
      <c r="UN30" s="39"/>
      <c r="UO30" s="39" t="str">
        <f>IF(AND('1. Simulator Input'!$E$96="yes", '1. Simulator Input'!$E$98="yes", '1. Simulator Input'!$E$100="hold harmless"), 'Idaho Data'!WN30, IF(AND('1. Simulator Input'!$E$96="yes", '1. Simulator Input'!$E$98="no", '1. Simulator Input'!$E$100="hold harmless"), 'Idaho Data'!WM30, IF(AND('1. Simulator Input'!$E$96="yes", '1. Simulator Input'!$E$98="yes", '1. Simulator Input'!$E$100="small district grant"), WL30,IF(AND('1. Simulator Input'!$E$96="yes", '1. Simulator Input'!$E$98="no", '1. Simulator Input'!$E$100="small district grant"), WK30, ""))))</f>
        <v/>
      </c>
      <c r="UP30" s="200">
        <f>'1. Simulator Input'!$D$56*('Idaho Data'!ST30)</f>
        <v>18528678</v>
      </c>
      <c r="UQ30" s="204">
        <f>'1. Simulator Input'!$D$65*'1. Simulator Input'!$D$56*'Idaho Data'!SU30</f>
        <v>0</v>
      </c>
      <c r="UR30" s="204">
        <f>'1. Simulator Input'!$D$66*'1. Simulator Input'!$D$56*'Idaho Data'!SW30</f>
        <v>0</v>
      </c>
      <c r="US30" s="200">
        <f>'1. Simulator Input'!$D$67*'1. Simulator Input'!$D$56*'Idaho Data'!TA30</f>
        <v>0</v>
      </c>
      <c r="UT30" s="200">
        <f>'1. Simulator Input'!$D$68*'1. Simulator Input'!$D$56*'Idaho Data'!TB30</f>
        <v>0</v>
      </c>
      <c r="UU30" s="200">
        <f>'1. Simulator Input'!$D$69*'1. Simulator Input'!$D$56*'Idaho Data'!TC30</f>
        <v>0</v>
      </c>
      <c r="UV30" s="200">
        <f>'1. Simulator Input'!$D$70*'1. Simulator Input'!$D$56*TD30</f>
        <v>0</v>
      </c>
      <c r="UW30" s="200">
        <f>'1. Simulator Input'!$D$80*'1. Simulator Input'!$D$56*TW30</f>
        <v>0</v>
      </c>
      <c r="UX30" s="200">
        <f>'1. Simulator Input'!$D$79*'1. Simulator Input'!$D$56*UB30</f>
        <v>0</v>
      </c>
      <c r="UY30" s="200">
        <f>'1. Simulator Input'!$D$87*'1. Simulator Input'!$D$56*TF30</f>
        <v>624438</v>
      </c>
      <c r="UZ30" s="200">
        <f>'1. Simulator Input'!$D$73*'1. Simulator Input'!$D$56*'Idaho Data'!TG30</f>
        <v>0</v>
      </c>
      <c r="VA30" s="200">
        <f>'1. Simulator Input'!$D$56*'1. Simulator Input'!$D$74*'Idaho Data'!TH30</f>
        <v>0</v>
      </c>
      <c r="VB30" s="200">
        <f>'1. Simulator Input'!$D$56*'1. Simulator Input'!$D$75*'Idaho Data'!TI25</f>
        <v>0</v>
      </c>
      <c r="VC30" s="200">
        <f>'1. Simulator Input'!$D$76*'1. Simulator Input'!$D$56*'Idaho Data'!TJ30</f>
        <v>0</v>
      </c>
      <c r="VD30" s="200">
        <f t="shared" si="68"/>
        <v>19153116</v>
      </c>
      <c r="VE30" s="200"/>
      <c r="VF30" s="182"/>
      <c r="VG30" s="200"/>
      <c r="VH30" s="200">
        <f t="shared" si="69"/>
        <v>0</v>
      </c>
      <c r="VI30" s="200">
        <f t="shared" si="70"/>
        <v>0</v>
      </c>
      <c r="VJ30" s="200">
        <f t="shared" si="16"/>
        <v>19153116</v>
      </c>
      <c r="VK30" s="200">
        <f t="shared" si="17"/>
        <v>19153116</v>
      </c>
      <c r="VL30" s="200"/>
      <c r="VM30" s="182"/>
      <c r="VN30" s="200"/>
      <c r="VO30" s="200">
        <f t="shared" si="71"/>
        <v>3152892</v>
      </c>
      <c r="VP30" s="200">
        <f t="shared" si="72"/>
        <v>19240780</v>
      </c>
      <c r="VQ30" s="200">
        <f t="shared" si="73"/>
        <v>9248684</v>
      </c>
      <c r="VR30" s="200">
        <f t="shared" si="74"/>
        <v>3152892</v>
      </c>
      <c r="VS30" s="200">
        <f t="shared" si="18"/>
        <v>19153116</v>
      </c>
      <c r="VT30" s="200">
        <f t="shared" si="19"/>
        <v>9248684</v>
      </c>
      <c r="VU30" s="200">
        <f t="shared" si="20"/>
        <v>0</v>
      </c>
      <c r="VV30" s="200"/>
      <c r="VW30" s="182"/>
      <c r="VX30" s="200"/>
      <c r="VZ30" s="199">
        <f t="shared" si="75"/>
        <v>-87664</v>
      </c>
      <c r="WA30" s="199">
        <f t="shared" si="76"/>
        <v>-26.144944825529375</v>
      </c>
      <c r="WB30" s="131">
        <f t="shared" si="77"/>
        <v>-4.5561562473039035E-3</v>
      </c>
      <c r="WC30" s="131"/>
      <c r="WD30" s="461"/>
      <c r="WE30" s="893"/>
      <c r="WF30" s="893">
        <f t="shared" si="78"/>
        <v>9437.0283328362657</v>
      </c>
      <c r="WG30" s="893">
        <f t="shared" si="79"/>
        <v>9410.8833880107359</v>
      </c>
      <c r="WH30" s="893"/>
      <c r="WI30" s="893">
        <f t="shared" si="80"/>
        <v>19240780</v>
      </c>
      <c r="WJ30" s="893">
        <f t="shared" si="21"/>
        <v>19153116</v>
      </c>
      <c r="WK30" s="39" t="str">
        <f t="shared" si="22"/>
        <v/>
      </c>
      <c r="WL30" s="39" t="str">
        <f t="shared" si="23"/>
        <v/>
      </c>
      <c r="WM30" s="200" t="str">
        <f t="shared" si="24"/>
        <v/>
      </c>
      <c r="WN30" s="39" t="str">
        <f t="shared" si="25"/>
        <v/>
      </c>
      <c r="WO30" s="39"/>
      <c r="WP30" s="182"/>
      <c r="WQ30" s="39"/>
      <c r="WR30" s="305">
        <f t="shared" si="26"/>
        <v>0.85899999999999999</v>
      </c>
      <c r="WT30" s="200">
        <f t="shared" si="27"/>
        <v>5738.377572323293</v>
      </c>
      <c r="WU30" s="131">
        <f t="shared" si="81"/>
        <v>0.23</v>
      </c>
      <c r="WW30" s="199">
        <f t="shared" si="28"/>
        <v>3152892</v>
      </c>
      <c r="WX30" s="199">
        <f t="shared" si="29"/>
        <v>19153116</v>
      </c>
      <c r="WY30" s="199">
        <f t="shared" si="30"/>
        <v>0</v>
      </c>
      <c r="WZ30" s="199">
        <f t="shared" si="82"/>
        <v>19153116</v>
      </c>
      <c r="XA30" s="199">
        <f t="shared" si="31"/>
        <v>0</v>
      </c>
      <c r="XB30" s="199">
        <f t="shared" si="32"/>
        <v>9248684</v>
      </c>
      <c r="XC30" s="199">
        <f t="shared" si="33"/>
        <v>9248684</v>
      </c>
      <c r="XD30" s="199" t="str">
        <f t="shared" si="34"/>
        <v/>
      </c>
      <c r="XE30" s="199"/>
      <c r="XF30" s="199"/>
      <c r="XG30" s="199"/>
      <c r="XH30" s="199"/>
      <c r="XI30" s="199"/>
      <c r="XJ30" s="199">
        <f t="shared" si="83"/>
        <v>19153116</v>
      </c>
      <c r="XL30" s="199"/>
      <c r="XP30" s="199">
        <f t="shared" si="35"/>
        <v>19153116</v>
      </c>
      <c r="XQ30" s="199">
        <f t="shared" si="36"/>
        <v>5712.2326274977631</v>
      </c>
      <c r="XR30" s="199">
        <f t="shared" si="37"/>
        <v>19153116</v>
      </c>
      <c r="XS30" s="199">
        <f t="shared" si="38"/>
        <v>19153116</v>
      </c>
      <c r="XT30" s="199">
        <f t="shared" si="39"/>
        <v>5712.2326274977631</v>
      </c>
      <c r="XU30" s="199">
        <f t="shared" si="40"/>
        <v>19240780</v>
      </c>
      <c r="XV30" s="199">
        <f t="shared" si="41"/>
        <v>5738.377572323293</v>
      </c>
      <c r="XW30" s="199">
        <f t="shared" si="42"/>
        <v>19240780</v>
      </c>
      <c r="XX30" s="199">
        <f t="shared" si="43"/>
        <v>5738.377572323293</v>
      </c>
      <c r="XY30" s="199">
        <f t="shared" si="84"/>
        <v>-87664</v>
      </c>
      <c r="XZ30" s="199">
        <f t="shared" si="85"/>
        <v>-26.144944825529819</v>
      </c>
      <c r="YA30" s="131">
        <f t="shared" si="86"/>
        <v>-4.5561562473039807E-3</v>
      </c>
      <c r="YB30" s="199"/>
      <c r="YC30" s="221"/>
      <c r="YD30" s="199"/>
      <c r="YE30" s="199">
        <f t="shared" si="44"/>
        <v>3152892</v>
      </c>
      <c r="YF30" s="200">
        <f t="shared" si="45"/>
        <v>0</v>
      </c>
      <c r="YG30" s="199">
        <f t="shared" si="46"/>
        <v>9248684</v>
      </c>
      <c r="YH30" s="199">
        <f t="shared" si="47"/>
        <v>1064935</v>
      </c>
    </row>
    <row r="31" spans="1:658">
      <c r="A31" s="3">
        <v>91</v>
      </c>
      <c r="B31" s="2" t="s">
        <v>122</v>
      </c>
      <c r="C31" s="24">
        <v>0</v>
      </c>
      <c r="D31" s="24">
        <v>0</v>
      </c>
      <c r="E31" s="24">
        <v>0</v>
      </c>
      <c r="F31" s="24">
        <v>0</v>
      </c>
      <c r="G31" s="24">
        <v>6842914</v>
      </c>
      <c r="H31" s="24">
        <v>0</v>
      </c>
      <c r="I31" s="24">
        <v>5500</v>
      </c>
      <c r="J31" s="24">
        <v>6647</v>
      </c>
      <c r="K31" s="24">
        <v>0</v>
      </c>
      <c r="L31" s="24">
        <v>0</v>
      </c>
      <c r="M31" s="24">
        <v>0</v>
      </c>
      <c r="N31" s="24">
        <v>1253</v>
      </c>
      <c r="O31" s="24">
        <v>0</v>
      </c>
      <c r="P31" s="24">
        <v>0</v>
      </c>
      <c r="Q31" s="24">
        <v>0</v>
      </c>
      <c r="R31" s="24">
        <v>0</v>
      </c>
      <c r="S31" s="24">
        <v>0</v>
      </c>
      <c r="T31" s="24">
        <v>2455217</v>
      </c>
      <c r="U31" s="24">
        <v>0</v>
      </c>
      <c r="V31" s="24">
        <v>0</v>
      </c>
      <c r="W31" s="24">
        <v>0</v>
      </c>
      <c r="X31" s="24">
        <v>4055114</v>
      </c>
      <c r="Y31" s="24">
        <v>53632</v>
      </c>
      <c r="Z31" s="24">
        <v>0</v>
      </c>
      <c r="AA31" s="24">
        <v>26880</v>
      </c>
      <c r="AB31" s="24">
        <v>18753</v>
      </c>
      <c r="AC31" s="24">
        <v>0</v>
      </c>
      <c r="AD31" s="24">
        <v>2610</v>
      </c>
      <c r="AE31" s="24">
        <v>0</v>
      </c>
      <c r="AF31" s="24">
        <v>0</v>
      </c>
      <c r="AG31" s="24">
        <v>0</v>
      </c>
      <c r="AH31" s="24">
        <v>0</v>
      </c>
      <c r="AI31" s="24">
        <v>0</v>
      </c>
      <c r="AJ31" s="24">
        <v>3364</v>
      </c>
      <c r="AK31" s="24">
        <v>0</v>
      </c>
      <c r="AL31" s="24">
        <v>241566</v>
      </c>
      <c r="AM31" s="24">
        <v>0</v>
      </c>
      <c r="AN31" s="24">
        <v>0</v>
      </c>
      <c r="AO31" s="24">
        <v>0</v>
      </c>
      <c r="AP31" s="24">
        <v>0</v>
      </c>
      <c r="AQ31" s="24">
        <v>0</v>
      </c>
      <c r="AR31" s="24">
        <v>0</v>
      </c>
      <c r="AS31" s="24">
        <v>0</v>
      </c>
      <c r="AT31" s="24">
        <v>0</v>
      </c>
      <c r="AU31" s="24">
        <v>0</v>
      </c>
      <c r="AV31" s="24">
        <v>0</v>
      </c>
      <c r="AW31" s="24">
        <v>0</v>
      </c>
      <c r="AX31" s="24">
        <v>0</v>
      </c>
      <c r="AY31" s="24">
        <v>0</v>
      </c>
      <c r="AZ31" s="24">
        <v>0</v>
      </c>
      <c r="BA31" s="24">
        <v>0</v>
      </c>
      <c r="BB31" s="24">
        <v>0</v>
      </c>
      <c r="BC31" s="24">
        <v>284</v>
      </c>
      <c r="BD31" s="24">
        <v>0</v>
      </c>
      <c r="BE31" s="24">
        <v>2290</v>
      </c>
      <c r="BF31" s="24">
        <v>0</v>
      </c>
      <c r="BG31" s="24">
        <v>0</v>
      </c>
      <c r="BH31" s="24">
        <v>0</v>
      </c>
      <c r="BI31" s="24">
        <v>0</v>
      </c>
      <c r="BJ31" s="24">
        <v>0</v>
      </c>
      <c r="BK31" s="24">
        <v>0</v>
      </c>
      <c r="BL31" s="24">
        <v>0</v>
      </c>
      <c r="BM31" s="24">
        <v>0</v>
      </c>
      <c r="BN31" s="24">
        <v>0</v>
      </c>
      <c r="BO31" s="24">
        <v>0</v>
      </c>
      <c r="BP31" s="24">
        <v>0</v>
      </c>
      <c r="BQ31" s="24">
        <v>0</v>
      </c>
      <c r="BR31" s="24">
        <v>0</v>
      </c>
      <c r="BS31" s="24">
        <v>0</v>
      </c>
      <c r="BT31" s="24">
        <v>0</v>
      </c>
      <c r="BU31" s="24">
        <v>0</v>
      </c>
      <c r="BV31" s="24">
        <v>0</v>
      </c>
      <c r="BW31" s="24">
        <v>0</v>
      </c>
      <c r="BX31" s="24">
        <v>0</v>
      </c>
      <c r="BY31" s="24">
        <v>0</v>
      </c>
      <c r="BZ31" s="24">
        <v>0</v>
      </c>
      <c r="CA31" s="24">
        <v>0</v>
      </c>
      <c r="CB31" s="24">
        <v>0</v>
      </c>
      <c r="CC31" s="24">
        <v>0</v>
      </c>
      <c r="CD31" s="24">
        <v>525292</v>
      </c>
      <c r="CE31" s="24">
        <v>95696</v>
      </c>
      <c r="CF31" s="24">
        <v>0</v>
      </c>
      <c r="CG31" s="24">
        <v>19797</v>
      </c>
      <c r="CH31" s="24">
        <v>0</v>
      </c>
      <c r="CI31" s="24">
        <v>0</v>
      </c>
      <c r="CJ31" s="24">
        <v>0</v>
      </c>
      <c r="CK31" s="24">
        <v>0</v>
      </c>
      <c r="CL31" s="24">
        <v>0</v>
      </c>
      <c r="CM31" s="24">
        <v>0</v>
      </c>
      <c r="CN31" s="24">
        <v>0</v>
      </c>
      <c r="CO31" s="24">
        <v>0</v>
      </c>
      <c r="CP31" s="24">
        <v>0</v>
      </c>
      <c r="CQ31" s="24">
        <v>0</v>
      </c>
      <c r="CR31" s="24">
        <v>0</v>
      </c>
      <c r="CS31" s="24">
        <v>0</v>
      </c>
      <c r="CT31" s="24">
        <v>0</v>
      </c>
      <c r="CU31" s="24">
        <v>0</v>
      </c>
      <c r="CV31" s="24">
        <v>0</v>
      </c>
      <c r="CW31" s="24">
        <v>0</v>
      </c>
      <c r="CX31" s="24">
        <v>0</v>
      </c>
      <c r="CY31" s="24">
        <v>0</v>
      </c>
      <c r="CZ31" s="24">
        <v>0</v>
      </c>
      <c r="DA31" s="24">
        <v>0</v>
      </c>
      <c r="DB31" s="24">
        <v>0</v>
      </c>
      <c r="DC31" s="24">
        <v>0</v>
      </c>
      <c r="DD31" s="24">
        <v>0</v>
      </c>
      <c r="DE31" s="24">
        <v>0</v>
      </c>
      <c r="DF31" s="24">
        <v>0</v>
      </c>
      <c r="DG31" s="24">
        <v>0</v>
      </c>
      <c r="DH31" s="24">
        <v>0</v>
      </c>
      <c r="DI31" s="24">
        <v>0</v>
      </c>
      <c r="DJ31" s="24">
        <v>0</v>
      </c>
      <c r="DK31" s="24">
        <v>0</v>
      </c>
      <c r="DL31" s="24">
        <v>0</v>
      </c>
      <c r="DM31" s="24">
        <v>0</v>
      </c>
      <c r="DN31" s="24">
        <v>0</v>
      </c>
      <c r="DO31" s="24">
        <v>0</v>
      </c>
      <c r="DP31" s="24">
        <v>0</v>
      </c>
      <c r="DQ31" s="24">
        <v>0</v>
      </c>
      <c r="DR31" s="24">
        <v>0</v>
      </c>
      <c r="DS31" s="24">
        <v>0</v>
      </c>
      <c r="DT31" s="24">
        <v>0</v>
      </c>
      <c r="DU31" s="24">
        <v>54372</v>
      </c>
      <c r="DV31" s="24">
        <v>0</v>
      </c>
      <c r="DW31" s="24">
        <v>0</v>
      </c>
      <c r="DX31" s="24">
        <v>0</v>
      </c>
      <c r="DY31" s="24">
        <v>0</v>
      </c>
      <c r="DZ31" s="24">
        <v>0</v>
      </c>
      <c r="EA31" s="24">
        <v>0</v>
      </c>
      <c r="EB31" s="24">
        <v>0</v>
      </c>
      <c r="EC31" s="24">
        <v>0</v>
      </c>
      <c r="ED31" s="24">
        <v>0</v>
      </c>
      <c r="EE31" s="24">
        <v>0</v>
      </c>
      <c r="EF31" s="24">
        <v>0</v>
      </c>
      <c r="EG31" s="24">
        <v>134713</v>
      </c>
      <c r="EH31" s="24">
        <v>0</v>
      </c>
      <c r="EI31" s="24">
        <v>0</v>
      </c>
      <c r="EJ31" s="24">
        <v>0</v>
      </c>
      <c r="EK31" s="24">
        <v>0</v>
      </c>
      <c r="EL31" s="24">
        <v>0</v>
      </c>
      <c r="EM31" s="24">
        <v>0</v>
      </c>
      <c r="EN31" s="24">
        <v>0</v>
      </c>
      <c r="EO31" s="24">
        <v>0</v>
      </c>
      <c r="EP31" s="24">
        <v>0</v>
      </c>
      <c r="EQ31" s="24">
        <v>0</v>
      </c>
      <c r="ER31" s="24">
        <v>0</v>
      </c>
      <c r="ES31" s="24">
        <v>6000</v>
      </c>
      <c r="ET31" s="24">
        <v>0</v>
      </c>
      <c r="EU31" s="24">
        <v>0</v>
      </c>
      <c r="EV31" s="24">
        <v>0</v>
      </c>
      <c r="EW31" s="24">
        <v>0</v>
      </c>
      <c r="EX31" s="24">
        <v>0</v>
      </c>
      <c r="EY31" s="24">
        <v>0</v>
      </c>
      <c r="EZ31" s="24">
        <v>0</v>
      </c>
      <c r="FA31" s="24">
        <v>0</v>
      </c>
      <c r="FB31" s="24">
        <v>0</v>
      </c>
      <c r="FC31" s="24">
        <v>99690</v>
      </c>
      <c r="FD31" s="24">
        <v>0</v>
      </c>
      <c r="FE31" s="24">
        <v>0</v>
      </c>
      <c r="FF31" s="24">
        <v>0</v>
      </c>
      <c r="FG31" s="24">
        <v>0</v>
      </c>
      <c r="FH31" s="24">
        <v>0</v>
      </c>
      <c r="FI31" s="24">
        <v>0</v>
      </c>
      <c r="FJ31" s="24">
        <v>0</v>
      </c>
      <c r="FK31" s="24">
        <v>0</v>
      </c>
      <c r="FL31" s="24">
        <v>223268</v>
      </c>
      <c r="FM31" s="24">
        <v>0</v>
      </c>
      <c r="FN31" s="24">
        <v>0</v>
      </c>
      <c r="FO31" s="24">
        <v>0</v>
      </c>
      <c r="FP31" s="24">
        <v>0</v>
      </c>
      <c r="FQ31" s="24">
        <v>0</v>
      </c>
      <c r="FR31" s="24">
        <v>0</v>
      </c>
      <c r="FS31" s="24">
        <v>526869</v>
      </c>
      <c r="FT31" s="24">
        <v>0</v>
      </c>
      <c r="FU31" s="24">
        <v>0</v>
      </c>
      <c r="FV31" s="24">
        <v>0</v>
      </c>
      <c r="FW31" s="24">
        <v>0</v>
      </c>
      <c r="FX31" s="24">
        <v>0</v>
      </c>
      <c r="FY31" s="24">
        <v>0</v>
      </c>
      <c r="FZ31" s="24">
        <v>0</v>
      </c>
      <c r="GA31" s="24">
        <v>0</v>
      </c>
      <c r="GB31" s="24">
        <v>0</v>
      </c>
      <c r="GC31" s="24">
        <v>0</v>
      </c>
      <c r="GD31" s="24">
        <v>0</v>
      </c>
      <c r="GE31" s="24">
        <v>0</v>
      </c>
      <c r="GF31" s="24">
        <v>0</v>
      </c>
      <c r="GG31" s="24">
        <v>0</v>
      </c>
      <c r="GH31" s="24">
        <v>0</v>
      </c>
      <c r="GI31" s="24">
        <v>0</v>
      </c>
      <c r="GJ31" s="24">
        <v>0</v>
      </c>
      <c r="GK31" s="24">
        <v>0</v>
      </c>
      <c r="GL31" s="24">
        <v>0</v>
      </c>
      <c r="GM31" s="24">
        <v>0</v>
      </c>
      <c r="GN31" s="24">
        <v>0</v>
      </c>
      <c r="GO31" s="24">
        <v>0</v>
      </c>
      <c r="GP31" s="24">
        <v>0</v>
      </c>
      <c r="GQ31" s="24">
        <v>0</v>
      </c>
      <c r="GR31" s="24">
        <v>47</v>
      </c>
      <c r="GS31" s="24">
        <v>0</v>
      </c>
      <c r="GT31" s="24">
        <v>0</v>
      </c>
      <c r="GU31" s="24">
        <v>-300</v>
      </c>
      <c r="GV31" s="24">
        <v>0</v>
      </c>
      <c r="GW31" s="24">
        <v>0</v>
      </c>
      <c r="GX31" s="24">
        <v>0</v>
      </c>
      <c r="GY31" s="24">
        <v>0</v>
      </c>
      <c r="GZ31" s="24">
        <v>0</v>
      </c>
      <c r="HA31" s="24">
        <v>0</v>
      </c>
      <c r="HB31" s="24">
        <v>0</v>
      </c>
      <c r="HC31" s="24">
        <v>0</v>
      </c>
      <c r="HD31" s="24">
        <v>38791211</v>
      </c>
      <c r="HE31" s="24">
        <v>0</v>
      </c>
      <c r="HF31" s="24">
        <v>0</v>
      </c>
      <c r="HG31" s="24">
        <v>0</v>
      </c>
      <c r="HH31" s="24">
        <v>133086</v>
      </c>
      <c r="HI31" s="24">
        <v>1847405</v>
      </c>
      <c r="HJ31" s="24">
        <v>0</v>
      </c>
      <c r="HK31" s="24">
        <v>0</v>
      </c>
      <c r="HL31" s="24">
        <v>281384</v>
      </c>
      <c r="HM31" s="24">
        <v>0</v>
      </c>
      <c r="HN31" s="24">
        <v>0</v>
      </c>
      <c r="HO31" s="24">
        <v>5140589</v>
      </c>
      <c r="HP31" s="24">
        <v>0</v>
      </c>
      <c r="HQ31" s="24">
        <v>0</v>
      </c>
      <c r="HR31" s="24">
        <v>0</v>
      </c>
      <c r="HS31" s="24">
        <v>0</v>
      </c>
      <c r="HT31" s="24">
        <v>0</v>
      </c>
      <c r="HU31" s="24">
        <v>0</v>
      </c>
      <c r="HV31" s="24">
        <v>0</v>
      </c>
      <c r="HW31" s="24">
        <v>0</v>
      </c>
      <c r="HX31" s="24">
        <v>0</v>
      </c>
      <c r="HY31" s="24">
        <v>0</v>
      </c>
      <c r="HZ31" s="24">
        <v>0</v>
      </c>
      <c r="IA31" s="24">
        <v>672677</v>
      </c>
      <c r="IB31" s="24">
        <v>0</v>
      </c>
      <c r="IC31" s="24">
        <v>0</v>
      </c>
      <c r="ID31" s="24">
        <v>0</v>
      </c>
      <c r="IE31" s="24">
        <v>962352</v>
      </c>
      <c r="IF31" s="24">
        <v>0</v>
      </c>
      <c r="IG31" s="24">
        <v>0</v>
      </c>
      <c r="IH31" s="24">
        <v>0</v>
      </c>
      <c r="II31" s="24">
        <v>0</v>
      </c>
      <c r="IJ31" s="24">
        <v>386474</v>
      </c>
      <c r="IK31" s="24">
        <v>0</v>
      </c>
      <c r="IL31" s="24">
        <v>0</v>
      </c>
      <c r="IM31" s="24">
        <v>0</v>
      </c>
      <c r="IN31" s="24">
        <v>0</v>
      </c>
      <c r="IO31" s="24">
        <v>0</v>
      </c>
      <c r="IP31" s="24">
        <v>0</v>
      </c>
      <c r="IQ31" s="24">
        <v>191944</v>
      </c>
      <c r="IR31" s="24">
        <v>316012</v>
      </c>
      <c r="IS31" s="24">
        <v>0</v>
      </c>
      <c r="IT31" s="24">
        <v>0</v>
      </c>
      <c r="IU31" s="24">
        <v>0</v>
      </c>
      <c r="IV31" s="24">
        <v>0</v>
      </c>
      <c r="IW31" s="24">
        <v>608852</v>
      </c>
      <c r="IX31" s="24">
        <v>0</v>
      </c>
      <c r="IY31" s="24">
        <v>0</v>
      </c>
      <c r="IZ31" s="24">
        <v>0</v>
      </c>
      <c r="JA31" s="24">
        <v>0</v>
      </c>
      <c r="JB31" s="24">
        <v>210907</v>
      </c>
      <c r="JC31" s="24">
        <v>100196</v>
      </c>
      <c r="JD31" s="24">
        <v>0</v>
      </c>
      <c r="JE31" s="24">
        <v>1412858</v>
      </c>
      <c r="JF31" s="24">
        <v>0</v>
      </c>
      <c r="JG31" s="24">
        <v>0</v>
      </c>
      <c r="JH31" s="24">
        <v>0</v>
      </c>
      <c r="JI31" s="24">
        <v>0</v>
      </c>
      <c r="JJ31" s="24">
        <v>0</v>
      </c>
      <c r="JK31" s="24">
        <v>0</v>
      </c>
      <c r="JL31" s="24">
        <v>0</v>
      </c>
      <c r="JM31" s="24">
        <v>0</v>
      </c>
      <c r="JN31" s="24">
        <v>0</v>
      </c>
      <c r="JO31" s="24">
        <v>0</v>
      </c>
      <c r="JP31" s="24">
        <v>0</v>
      </c>
      <c r="JQ31" s="24">
        <v>0</v>
      </c>
      <c r="JR31" s="24">
        <v>0</v>
      </c>
      <c r="JS31" s="24">
        <v>0</v>
      </c>
      <c r="JT31" s="24">
        <v>0</v>
      </c>
      <c r="JU31" s="24">
        <v>0</v>
      </c>
      <c r="JV31" s="24">
        <v>0</v>
      </c>
      <c r="JW31" s="24">
        <v>0</v>
      </c>
      <c r="JX31" s="24">
        <v>0</v>
      </c>
      <c r="JY31" s="24">
        <v>0</v>
      </c>
      <c r="JZ31" s="24">
        <v>0</v>
      </c>
      <c r="KA31" s="24">
        <v>0</v>
      </c>
      <c r="KB31" s="24">
        <v>0</v>
      </c>
      <c r="KC31" s="24">
        <v>0</v>
      </c>
      <c r="KD31" s="24">
        <v>0</v>
      </c>
      <c r="KE31" s="24">
        <v>0</v>
      </c>
      <c r="KF31" s="24">
        <v>0</v>
      </c>
      <c r="KG31" s="24">
        <v>0</v>
      </c>
      <c r="KH31" s="24">
        <v>0</v>
      </c>
      <c r="KI31" s="24">
        <v>0</v>
      </c>
      <c r="KJ31" s="24">
        <v>0</v>
      </c>
      <c r="KK31" s="24">
        <v>0</v>
      </c>
      <c r="KL31" s="24">
        <v>0</v>
      </c>
      <c r="KM31" s="24">
        <v>0</v>
      </c>
      <c r="KN31" s="24">
        <v>0</v>
      </c>
      <c r="KO31" s="24">
        <v>0</v>
      </c>
      <c r="KP31" s="24">
        <v>0</v>
      </c>
      <c r="KQ31" s="24">
        <v>0</v>
      </c>
      <c r="KR31" s="24">
        <v>0</v>
      </c>
      <c r="KS31" s="24">
        <v>0</v>
      </c>
      <c r="KT31" s="24">
        <v>0</v>
      </c>
      <c r="KU31" s="24">
        <v>0</v>
      </c>
      <c r="KV31" s="24">
        <v>0</v>
      </c>
      <c r="KW31" s="24">
        <v>0</v>
      </c>
      <c r="KX31" s="24">
        <v>0</v>
      </c>
      <c r="KY31" s="24">
        <v>0</v>
      </c>
      <c r="KZ31" s="24">
        <v>0</v>
      </c>
      <c r="LA31" s="24">
        <v>0</v>
      </c>
      <c r="LB31" s="24">
        <v>0</v>
      </c>
      <c r="LC31" s="24">
        <v>0</v>
      </c>
      <c r="LD31" s="24">
        <v>0</v>
      </c>
      <c r="LE31" s="24">
        <v>0</v>
      </c>
      <c r="LF31" s="24">
        <v>0</v>
      </c>
      <c r="LG31" s="24">
        <v>0</v>
      </c>
      <c r="LH31" s="24">
        <v>0</v>
      </c>
      <c r="LI31" s="24">
        <v>0</v>
      </c>
      <c r="LJ31" s="24">
        <v>0</v>
      </c>
      <c r="LK31" s="24">
        <v>0</v>
      </c>
      <c r="LL31" s="24">
        <v>0</v>
      </c>
      <c r="LM31" s="24">
        <v>0</v>
      </c>
      <c r="LN31" s="24">
        <v>0</v>
      </c>
      <c r="LO31" s="24">
        <v>0</v>
      </c>
      <c r="LP31" s="24">
        <v>0</v>
      </c>
      <c r="LQ31" s="24">
        <v>1677852</v>
      </c>
      <c r="LR31" s="24">
        <v>62344</v>
      </c>
      <c r="LS31" s="24">
        <v>0</v>
      </c>
      <c r="LT31" s="24">
        <v>62293</v>
      </c>
      <c r="LU31" s="24">
        <v>0</v>
      </c>
      <c r="LV31" s="24">
        <v>0</v>
      </c>
      <c r="LW31" s="24">
        <v>0</v>
      </c>
      <c r="LX31" s="24">
        <v>0</v>
      </c>
      <c r="LY31" s="24">
        <v>0</v>
      </c>
      <c r="LZ31" s="24">
        <v>0</v>
      </c>
      <c r="MA31" s="24">
        <v>0</v>
      </c>
      <c r="MB31" s="24">
        <v>0</v>
      </c>
      <c r="MC31" s="24">
        <v>0</v>
      </c>
      <c r="MD31" s="24">
        <v>0</v>
      </c>
      <c r="ME31" s="24">
        <v>0</v>
      </c>
      <c r="MF31" s="24">
        <v>0</v>
      </c>
      <c r="MG31" s="24">
        <v>0</v>
      </c>
      <c r="MH31" s="24">
        <v>0</v>
      </c>
      <c r="MI31" s="24">
        <v>0</v>
      </c>
      <c r="MJ31" s="24">
        <v>0</v>
      </c>
      <c r="MK31" s="24">
        <v>0</v>
      </c>
      <c r="ML31" s="24">
        <v>0</v>
      </c>
      <c r="MM31" s="24">
        <v>0</v>
      </c>
      <c r="MN31" s="24">
        <v>0</v>
      </c>
      <c r="MO31" s="24">
        <v>132301</v>
      </c>
      <c r="MP31" s="24">
        <v>0</v>
      </c>
      <c r="MQ31" s="24">
        <v>0</v>
      </c>
      <c r="MR31" s="24">
        <v>2420253</v>
      </c>
      <c r="MS31" s="24">
        <v>0</v>
      </c>
      <c r="MT31" s="24">
        <v>0</v>
      </c>
      <c r="MU31" s="24">
        <v>0</v>
      </c>
      <c r="MV31" s="24">
        <v>0</v>
      </c>
      <c r="MW31" s="24">
        <v>1942694</v>
      </c>
      <c r="MX31" s="24">
        <v>85844</v>
      </c>
      <c r="MY31" s="24">
        <v>0</v>
      </c>
      <c r="MZ31" s="24">
        <v>0</v>
      </c>
      <c r="NA31" s="24">
        <v>0</v>
      </c>
      <c r="NB31" s="24">
        <v>46619</v>
      </c>
      <c r="NC31" s="24">
        <v>0</v>
      </c>
      <c r="ND31" s="24">
        <v>0</v>
      </c>
      <c r="NE31" s="24">
        <v>0</v>
      </c>
      <c r="NF31" s="24">
        <v>0</v>
      </c>
      <c r="NG31" s="24">
        <v>0</v>
      </c>
      <c r="NH31" s="24">
        <v>0</v>
      </c>
      <c r="NI31" s="24">
        <v>0</v>
      </c>
      <c r="NJ31" s="24">
        <v>0</v>
      </c>
      <c r="NK31" s="24">
        <v>0</v>
      </c>
      <c r="NL31" s="24">
        <v>0</v>
      </c>
      <c r="NM31" s="24">
        <v>0</v>
      </c>
      <c r="NN31" s="24">
        <v>0</v>
      </c>
      <c r="NO31" s="24">
        <v>0</v>
      </c>
      <c r="NP31" s="24">
        <v>0</v>
      </c>
      <c r="NQ31" s="24">
        <v>0</v>
      </c>
      <c r="NR31" s="24">
        <v>0</v>
      </c>
      <c r="NS31" s="24">
        <v>0</v>
      </c>
      <c r="NT31" s="24">
        <v>0</v>
      </c>
      <c r="NU31" s="24">
        <v>75107</v>
      </c>
      <c r="NV31" s="24">
        <v>387609</v>
      </c>
      <c r="NW31" s="24">
        <v>0</v>
      </c>
      <c r="NX31" s="24">
        <v>0</v>
      </c>
      <c r="NY31" s="24">
        <v>0</v>
      </c>
      <c r="NZ31" s="24">
        <v>0</v>
      </c>
      <c r="OA31" s="24">
        <v>0</v>
      </c>
      <c r="OB31" s="24">
        <v>0</v>
      </c>
      <c r="OC31" s="24">
        <v>0</v>
      </c>
      <c r="OD31" s="24">
        <v>0</v>
      </c>
      <c r="OE31" s="24">
        <v>0</v>
      </c>
      <c r="OF31" s="24">
        <v>0</v>
      </c>
      <c r="OG31" s="24">
        <v>0</v>
      </c>
      <c r="OH31" s="24">
        <v>0</v>
      </c>
      <c r="OI31" s="24">
        <v>0</v>
      </c>
      <c r="OJ31" s="24">
        <v>0</v>
      </c>
      <c r="OK31" s="24">
        <v>315792</v>
      </c>
      <c r="OL31" s="24">
        <v>0</v>
      </c>
      <c r="OM31" s="24">
        <v>0</v>
      </c>
      <c r="ON31" s="24">
        <v>0</v>
      </c>
      <c r="OO31" s="24">
        <v>0</v>
      </c>
      <c r="OP31" s="24">
        <v>0</v>
      </c>
      <c r="OQ31" s="24">
        <v>0</v>
      </c>
      <c r="OR31" s="24">
        <v>0</v>
      </c>
      <c r="OS31" s="24">
        <v>0</v>
      </c>
      <c r="OT31" s="24">
        <v>0</v>
      </c>
      <c r="OU31" s="24">
        <v>0</v>
      </c>
      <c r="OV31" s="24">
        <v>0</v>
      </c>
      <c r="OW31" s="24">
        <v>0</v>
      </c>
      <c r="OX31" s="24">
        <v>0</v>
      </c>
      <c r="OY31" s="24">
        <v>0</v>
      </c>
      <c r="OZ31" s="24">
        <v>0</v>
      </c>
      <c r="PA31" s="24">
        <v>0</v>
      </c>
      <c r="PB31" s="24">
        <v>0</v>
      </c>
      <c r="PC31" s="24">
        <v>154000</v>
      </c>
      <c r="PD31" s="24">
        <v>0</v>
      </c>
      <c r="PE31" s="24">
        <v>0</v>
      </c>
      <c r="PF31" s="24">
        <v>0</v>
      </c>
      <c r="PG31" s="24">
        <v>0</v>
      </c>
      <c r="PH31" s="24">
        <v>124082</v>
      </c>
      <c r="PI31" s="24">
        <v>0</v>
      </c>
      <c r="PJ31" s="24">
        <v>0</v>
      </c>
      <c r="PK31" s="24">
        <v>0</v>
      </c>
      <c r="PL31" s="24">
        <v>0</v>
      </c>
      <c r="PM31" s="24">
        <v>0</v>
      </c>
      <c r="PN31" s="24">
        <v>0</v>
      </c>
      <c r="PO31" s="24">
        <v>0</v>
      </c>
      <c r="PP31" s="24">
        <v>0</v>
      </c>
      <c r="PQ31" s="24">
        <v>0</v>
      </c>
      <c r="PR31" s="24">
        <v>0</v>
      </c>
      <c r="PS31" s="24">
        <v>0</v>
      </c>
      <c r="PT31" s="24">
        <v>0</v>
      </c>
      <c r="PU31" s="24">
        <v>0</v>
      </c>
      <c r="PV31" s="24">
        <v>0</v>
      </c>
      <c r="PW31" s="24">
        <v>0</v>
      </c>
      <c r="PX31" s="24">
        <v>0</v>
      </c>
      <c r="PY31" s="24">
        <v>0</v>
      </c>
      <c r="PZ31" s="24">
        <v>0</v>
      </c>
      <c r="QA31" s="24">
        <v>0</v>
      </c>
      <c r="QB31" s="24">
        <v>0</v>
      </c>
      <c r="QC31" s="24">
        <v>0</v>
      </c>
      <c r="QD31" s="24">
        <v>0</v>
      </c>
      <c r="QE31" s="24">
        <v>0</v>
      </c>
      <c r="QF31" s="24">
        <v>0</v>
      </c>
      <c r="QG31" s="24">
        <v>0</v>
      </c>
      <c r="QH31" s="24">
        <v>0</v>
      </c>
      <c r="QI31" s="24">
        <v>0</v>
      </c>
      <c r="QJ31" s="24">
        <v>0</v>
      </c>
      <c r="QK31" s="24">
        <v>0</v>
      </c>
      <c r="QL31" s="24">
        <v>0</v>
      </c>
      <c r="QM31" s="24">
        <v>0</v>
      </c>
      <c r="QN31" s="24">
        <v>0</v>
      </c>
      <c r="QO31" s="24">
        <v>0</v>
      </c>
      <c r="QP31" s="24">
        <v>0</v>
      </c>
      <c r="QQ31" s="24">
        <v>0</v>
      </c>
      <c r="QR31" s="24">
        <v>0</v>
      </c>
      <c r="QS31" s="24">
        <v>80609</v>
      </c>
      <c r="QT31" s="24">
        <v>0</v>
      </c>
      <c r="QU31" s="24">
        <v>0</v>
      </c>
      <c r="QV31" s="24">
        <v>193501</v>
      </c>
      <c r="QW31" s="24">
        <v>0</v>
      </c>
      <c r="QX31" s="24">
        <v>0</v>
      </c>
      <c r="QY31" s="24">
        <v>0</v>
      </c>
      <c r="QZ31" s="24">
        <v>0</v>
      </c>
      <c r="RA31" s="24">
        <v>0</v>
      </c>
      <c r="RB31" s="24">
        <v>0</v>
      </c>
      <c r="RG31" s="39">
        <f t="shared" si="48"/>
        <v>38924297</v>
      </c>
      <c r="RH31" s="39">
        <f t="shared" si="48"/>
        <v>1847405</v>
      </c>
      <c r="RI31" s="39">
        <f t="shared" si="48"/>
        <v>281384</v>
      </c>
      <c r="RJ31" s="39">
        <f t="shared" si="48"/>
        <v>0</v>
      </c>
      <c r="RK31" s="39">
        <f t="shared" si="48"/>
        <v>0</v>
      </c>
      <c r="RL31" s="39">
        <f t="shared" si="48"/>
        <v>5140589</v>
      </c>
      <c r="RM31" s="39">
        <f t="shared" si="48"/>
        <v>2021503</v>
      </c>
      <c r="RN31" s="39">
        <f t="shared" si="48"/>
        <v>0</v>
      </c>
      <c r="RO31" s="39">
        <f t="shared" si="48"/>
        <v>507956</v>
      </c>
      <c r="RP31" s="39">
        <f t="shared" si="48"/>
        <v>608852</v>
      </c>
      <c r="RQ31" s="39">
        <f t="shared" si="48"/>
        <v>311103</v>
      </c>
      <c r="RR31" s="39">
        <f t="shared" si="48"/>
        <v>1412858</v>
      </c>
      <c r="RS31" s="39"/>
      <c r="RT31" s="182"/>
      <c r="RU31" s="39"/>
      <c r="RV31" s="39">
        <f t="shared" si="49"/>
        <v>7208708</v>
      </c>
      <c r="RW31" s="39">
        <f t="shared" si="49"/>
        <v>51055947</v>
      </c>
      <c r="RX31" s="39">
        <f t="shared" si="49"/>
        <v>15401468</v>
      </c>
      <c r="RY31" s="39">
        <f t="shared" si="49"/>
        <v>552192</v>
      </c>
      <c r="RZ31" s="39"/>
      <c r="SA31" s="182"/>
      <c r="SB31" s="39"/>
      <c r="SC31" s="25">
        <f t="shared" si="50"/>
        <v>1622.9154899894627</v>
      </c>
      <c r="SD31" s="39">
        <f>IFERROR(VLOOKUP(A31, 'Levy Data 15-16'!$B:$O, 3, FALSE), 0)</f>
        <v>2930517147</v>
      </c>
      <c r="SE31" s="39">
        <f t="shared" si="9"/>
        <v>308800.54236037936</v>
      </c>
      <c r="SF31" s="631">
        <f>IFERROR(VLOOKUP(A31, 'Levy Data 15-16'!$B:$O, 14, FALSE), 0)*1000</f>
        <v>4.2431939999999999</v>
      </c>
      <c r="SG31" s="39">
        <f t="shared" si="10"/>
        <v>0</v>
      </c>
      <c r="SH31" s="39">
        <f t="shared" si="11"/>
        <v>0</v>
      </c>
      <c r="SI31" s="39">
        <f t="shared" si="12"/>
        <v>15401468</v>
      </c>
      <c r="SM31" s="39">
        <f t="shared" si="13"/>
        <v>51055947</v>
      </c>
      <c r="SN31" s="39">
        <f t="shared" si="14"/>
        <v>0</v>
      </c>
      <c r="SO31" s="39">
        <f t="shared" si="51"/>
        <v>51055947</v>
      </c>
      <c r="SP31" s="50">
        <f t="shared" si="52"/>
        <v>1</v>
      </c>
      <c r="ST31" s="124">
        <f>IFERROR(VLOOKUP(A31,'Grade Enroll 15-16'!B:AC,27,FALSE),"")</f>
        <v>9490</v>
      </c>
      <c r="SU31" s="124">
        <f t="shared" si="53"/>
        <v>4696.8800954464114</v>
      </c>
      <c r="SV31" s="131">
        <f>IFERROR(VLOOKUP($A31, 'Title I Enroll 16-17'!S:V, 4, FALSE), 0)</f>
        <v>0.49492940942533309</v>
      </c>
      <c r="SW31" s="729">
        <f>IFERROR(VLOOKUP(A31, 'ELL Enroll 15-16'!$N:$S, 6, FALSE), 0)</f>
        <v>1032</v>
      </c>
      <c r="SX31" s="131">
        <f t="shared" si="54"/>
        <v>0.10874604847207586</v>
      </c>
      <c r="SY31" s="124">
        <f>IFERROR(VLOOKUP(A31, 'SPED enroll 2015-16'!$M:$O, 3, FALSE), 0)</f>
        <v>1063</v>
      </c>
      <c r="SZ31" s="131">
        <f t="shared" si="55"/>
        <v>0.11201264488935722</v>
      </c>
      <c r="TA31" s="142">
        <f t="shared" si="56"/>
        <v>744.09999999999991</v>
      </c>
      <c r="TB31" s="142">
        <f t="shared" si="56"/>
        <v>212.60000000000002</v>
      </c>
      <c r="TC31" s="142">
        <f t="shared" si="56"/>
        <v>74.410000000000011</v>
      </c>
      <c r="TD31" s="142">
        <f t="shared" si="56"/>
        <v>31.89</v>
      </c>
      <c r="TE31" s="124">
        <f>VLOOKUP($A31, 'Grade Enroll 15-16'!$B:$AB, 20, FALSE)</f>
        <v>140</v>
      </c>
      <c r="TF31" s="124">
        <f>VLOOKUP($A31, 'Grade Enroll 15-16'!$B:$AB, 21, FALSE)</f>
        <v>780</v>
      </c>
      <c r="TG31" s="124">
        <f>VLOOKUP($A31, 'Grade Enroll 15-16'!$B:$AB, 22, FALSE)</f>
        <v>2491</v>
      </c>
      <c r="TH31" s="124">
        <f>VLOOKUP($A31, 'Grade Enroll 15-16'!$B:$AB, 23, FALSE)</f>
        <v>2312</v>
      </c>
      <c r="TI31" s="124">
        <f>VLOOKUP($A31, 'Grade Enroll 15-16'!$B:$AB, 24, FALSE)</f>
        <v>1624</v>
      </c>
      <c r="TJ31" s="124">
        <f>VLOOKUP($A31, 'Grade Enroll 15-16'!$B:$AB, 25, FALSE)</f>
        <v>3063</v>
      </c>
      <c r="TK31" s="124">
        <f>VLOOKUP($A31, 'Grade Enroll 15-16'!$B:$AB, 26, FALSE)</f>
        <v>6359</v>
      </c>
      <c r="TL31" s="131">
        <f>SUMIFS('Student Achievement 15-16'!N:N, 'Student Achievement 15-16'!B:B, 'Idaho Data'!A31, 'Student Achievement 15-16'!D:D, "math")/100</f>
        <v>0.32200000000000001</v>
      </c>
      <c r="TM31" s="134">
        <f t="shared" si="57"/>
        <v>3055.78</v>
      </c>
      <c r="TN31" s="131">
        <f>SUMIFS('Student Achievement 15-16'!N:N, 'Student Achievement 15-16'!B:B, 'Idaho Data'!A31, 'Student Achievement 15-16'!D:D, "ela")/100</f>
        <v>0.252</v>
      </c>
      <c r="TO31" s="134">
        <f t="shared" si="58"/>
        <v>2391.48</v>
      </c>
      <c r="TP31" s="688">
        <f>IFERROR(VLOOKUP(A31, 'G&amp;T 15-16'!B:G, 6, FALSE), 0)*1</f>
        <v>485</v>
      </c>
      <c r="TQ31" s="168">
        <f t="shared" si="59"/>
        <v>569.4</v>
      </c>
      <c r="TU31" s="168">
        <f t="shared" si="60"/>
        <v>2391.48</v>
      </c>
      <c r="TV31" s="168">
        <f t="shared" si="61"/>
        <v>3055.78</v>
      </c>
      <c r="TW31" s="205">
        <f t="shared" si="62"/>
        <v>3055.78</v>
      </c>
      <c r="TX31" s="144"/>
      <c r="TY31" s="129"/>
      <c r="TZ31" s="127">
        <f t="shared" si="63"/>
        <v>485</v>
      </c>
      <c r="UA31" s="127">
        <f t="shared" si="64"/>
        <v>569.4</v>
      </c>
      <c r="UB31" s="205">
        <f t="shared" si="65"/>
        <v>569.4</v>
      </c>
      <c r="UE31" s="853" t="str">
        <f>IF(ST31&lt;='1. Simulator Input'!$E$104, "yes", "")</f>
        <v/>
      </c>
      <c r="UI31" s="199">
        <f t="shared" si="66"/>
        <v>0</v>
      </c>
      <c r="UJ31" s="200">
        <f>IF('Idaho Data'!SI31&gt;=0, ((1-'1. Simulator Input'!$E$39)*'Idaho Data'!SI31), 0)</f>
        <v>0</v>
      </c>
      <c r="UK31" s="200">
        <f t="shared" si="67"/>
        <v>51055947</v>
      </c>
      <c r="UL31" s="39"/>
      <c r="UM31" s="182"/>
      <c r="UN31" s="39"/>
      <c r="UO31" s="39" t="str">
        <f>IF(AND('1. Simulator Input'!$E$96="yes", '1. Simulator Input'!$E$98="yes", '1. Simulator Input'!$E$100="hold harmless"), 'Idaho Data'!WN31, IF(AND('1. Simulator Input'!$E$96="yes", '1. Simulator Input'!$E$98="no", '1. Simulator Input'!$E$100="hold harmless"), 'Idaho Data'!WM31, IF(AND('1. Simulator Input'!$E$96="yes", '1. Simulator Input'!$E$98="yes", '1. Simulator Input'!$E$100="small district grant"), WL31,IF(AND('1. Simulator Input'!$E$96="yes", '1. Simulator Input'!$E$98="no", '1. Simulator Input'!$E$100="small district grant"), WK31, ""))))</f>
        <v/>
      </c>
      <c r="UP31" s="200">
        <f>'1. Simulator Input'!$D$56*('Idaho Data'!ST31)</f>
        <v>52441740</v>
      </c>
      <c r="UQ31" s="204">
        <f>'1. Simulator Input'!$D$65*'1. Simulator Input'!$D$56*'Idaho Data'!SU31</f>
        <v>0</v>
      </c>
      <c r="UR31" s="204">
        <f>'1. Simulator Input'!$D$66*'1. Simulator Input'!$D$56*'Idaho Data'!SW31</f>
        <v>0</v>
      </c>
      <c r="US31" s="200">
        <f>'1. Simulator Input'!$D$67*'1. Simulator Input'!$D$56*'Idaho Data'!TA31</f>
        <v>0</v>
      </c>
      <c r="UT31" s="200">
        <f>'1. Simulator Input'!$D$68*'1. Simulator Input'!$D$56*'Idaho Data'!TB31</f>
        <v>0</v>
      </c>
      <c r="UU31" s="200">
        <f>'1. Simulator Input'!$D$69*'1. Simulator Input'!$D$56*'Idaho Data'!TC31</f>
        <v>0</v>
      </c>
      <c r="UV31" s="200">
        <f>'1. Simulator Input'!$D$70*'1. Simulator Input'!$D$56*TD31</f>
        <v>0</v>
      </c>
      <c r="UW31" s="200">
        <f>'1. Simulator Input'!$D$80*'1. Simulator Input'!$D$56*TW31</f>
        <v>0</v>
      </c>
      <c r="UX31" s="200">
        <f>'1. Simulator Input'!$D$79*'1. Simulator Input'!$D$56*UB31</f>
        <v>0</v>
      </c>
      <c r="UY31" s="200">
        <f>'1. Simulator Input'!$D$87*'1. Simulator Input'!$D$56*TF31</f>
        <v>2155140</v>
      </c>
      <c r="UZ31" s="200">
        <f>'1. Simulator Input'!$D$73*'1. Simulator Input'!$D$56*'Idaho Data'!TG31</f>
        <v>0</v>
      </c>
      <c r="VA31" s="200">
        <f>'1. Simulator Input'!$D$56*'1. Simulator Input'!$D$74*'Idaho Data'!TH31</f>
        <v>0</v>
      </c>
      <c r="VB31" s="200">
        <f>'1. Simulator Input'!$D$56*'1. Simulator Input'!$D$75*'Idaho Data'!TI26</f>
        <v>0</v>
      </c>
      <c r="VC31" s="200">
        <f>'1. Simulator Input'!$D$76*'1. Simulator Input'!$D$56*'Idaho Data'!TJ31</f>
        <v>0</v>
      </c>
      <c r="VD31" s="200">
        <f t="shared" si="68"/>
        <v>54596880</v>
      </c>
      <c r="VE31" s="200"/>
      <c r="VF31" s="182"/>
      <c r="VG31" s="200"/>
      <c r="VH31" s="200">
        <f t="shared" si="69"/>
        <v>0</v>
      </c>
      <c r="VI31" s="200">
        <f t="shared" si="70"/>
        <v>0</v>
      </c>
      <c r="VJ31" s="200">
        <f t="shared" si="16"/>
        <v>54596880</v>
      </c>
      <c r="VK31" s="200">
        <f t="shared" si="17"/>
        <v>54596880</v>
      </c>
      <c r="VL31" s="200"/>
      <c r="VM31" s="182"/>
      <c r="VN31" s="200"/>
      <c r="VO31" s="200">
        <f t="shared" si="71"/>
        <v>7208708</v>
      </c>
      <c r="VP31" s="200">
        <f t="shared" si="72"/>
        <v>51055947</v>
      </c>
      <c r="VQ31" s="200">
        <f t="shared" si="73"/>
        <v>15401468</v>
      </c>
      <c r="VR31" s="200">
        <f t="shared" si="74"/>
        <v>7208708</v>
      </c>
      <c r="VS31" s="200">
        <f t="shared" si="18"/>
        <v>54596880</v>
      </c>
      <c r="VT31" s="200">
        <f t="shared" si="19"/>
        <v>15401468</v>
      </c>
      <c r="VU31" s="200">
        <f t="shared" si="20"/>
        <v>0</v>
      </c>
      <c r="VV31" s="200"/>
      <c r="VW31" s="182"/>
      <c r="VX31" s="200"/>
      <c r="VZ31" s="199">
        <f t="shared" si="75"/>
        <v>3540933</v>
      </c>
      <c r="WA31" s="199">
        <f t="shared" si="76"/>
        <v>373.12255005268702</v>
      </c>
      <c r="WB31" s="131">
        <f t="shared" si="77"/>
        <v>6.9353977510200726E-2</v>
      </c>
      <c r="WC31" s="131"/>
      <c r="WD31" s="461"/>
      <c r="WE31" s="893"/>
      <c r="WF31" s="893">
        <f t="shared" si="78"/>
        <v>7762.499789251844</v>
      </c>
      <c r="WG31" s="893">
        <f t="shared" si="79"/>
        <v>8135.6223393045311</v>
      </c>
      <c r="WH31" s="893"/>
      <c r="WI31" s="893">
        <f t="shared" si="80"/>
        <v>51055947</v>
      </c>
      <c r="WJ31" s="893">
        <f t="shared" si="21"/>
        <v>54596880</v>
      </c>
      <c r="WK31" s="39" t="str">
        <f t="shared" si="22"/>
        <v/>
      </c>
      <c r="WL31" s="39" t="str">
        <f t="shared" si="23"/>
        <v/>
      </c>
      <c r="WM31" s="200" t="str">
        <f t="shared" si="24"/>
        <v/>
      </c>
      <c r="WN31" s="39" t="str">
        <f t="shared" si="25"/>
        <v/>
      </c>
      <c r="WO31" s="39"/>
      <c r="WP31" s="182"/>
      <c r="WQ31" s="39"/>
      <c r="WR31" s="305">
        <f t="shared" si="26"/>
        <v>0.27100000000000002</v>
      </c>
      <c r="WT31" s="200">
        <f t="shared" si="27"/>
        <v>5379.9733403582723</v>
      </c>
      <c r="WU31" s="131">
        <f t="shared" si="81"/>
        <v>0.06</v>
      </c>
      <c r="WW31" s="199">
        <f t="shared" si="28"/>
        <v>7208708</v>
      </c>
      <c r="WX31" s="199">
        <f t="shared" si="29"/>
        <v>54596880</v>
      </c>
      <c r="WY31" s="199">
        <f t="shared" si="30"/>
        <v>0</v>
      </c>
      <c r="WZ31" s="199">
        <f t="shared" si="82"/>
        <v>54596880</v>
      </c>
      <c r="XA31" s="199">
        <f t="shared" si="31"/>
        <v>0</v>
      </c>
      <c r="XB31" s="199">
        <f t="shared" si="32"/>
        <v>15401468</v>
      </c>
      <c r="XC31" s="199">
        <f t="shared" si="33"/>
        <v>15401468</v>
      </c>
      <c r="XD31" s="199" t="str">
        <f t="shared" si="34"/>
        <v/>
      </c>
      <c r="XE31" s="199"/>
      <c r="XF31" s="199"/>
      <c r="XG31" s="199"/>
      <c r="XH31" s="199"/>
      <c r="XI31" s="199"/>
      <c r="XJ31" s="199">
        <f t="shared" si="83"/>
        <v>54596880</v>
      </c>
      <c r="XP31" s="199">
        <f t="shared" si="35"/>
        <v>54596880</v>
      </c>
      <c r="XQ31" s="199">
        <f t="shared" si="36"/>
        <v>5753.0958904109593</v>
      </c>
      <c r="XR31" s="199">
        <f t="shared" si="37"/>
        <v>54596880</v>
      </c>
      <c r="XS31" s="199">
        <f t="shared" si="38"/>
        <v>54596880</v>
      </c>
      <c r="XT31" s="199">
        <f t="shared" si="39"/>
        <v>5753.0958904109593</v>
      </c>
      <c r="XU31" s="199">
        <f t="shared" si="40"/>
        <v>51055947</v>
      </c>
      <c r="XV31" s="199">
        <f t="shared" si="41"/>
        <v>5379.9733403582723</v>
      </c>
      <c r="XW31" s="199">
        <f t="shared" si="42"/>
        <v>51055947</v>
      </c>
      <c r="XX31" s="199">
        <f t="shared" si="43"/>
        <v>5379.9733403582723</v>
      </c>
      <c r="XY31" s="199">
        <f t="shared" si="84"/>
        <v>3540933</v>
      </c>
      <c r="XZ31" s="199">
        <f t="shared" si="85"/>
        <v>373.12255005268707</v>
      </c>
      <c r="YA31" s="131">
        <f t="shared" si="86"/>
        <v>6.9353977510200726E-2</v>
      </c>
      <c r="YB31" s="199"/>
      <c r="YC31" s="221"/>
      <c r="YD31" s="199"/>
      <c r="YE31" s="199">
        <f t="shared" si="44"/>
        <v>7208708</v>
      </c>
      <c r="YF31" s="200">
        <f t="shared" si="45"/>
        <v>0</v>
      </c>
      <c r="YG31" s="199">
        <f t="shared" si="46"/>
        <v>15401468</v>
      </c>
      <c r="YH31" s="199">
        <f t="shared" si="47"/>
        <v>552192</v>
      </c>
    </row>
    <row r="32" spans="1:658">
      <c r="A32" s="3">
        <v>92</v>
      </c>
      <c r="B32" s="2" t="s">
        <v>123</v>
      </c>
      <c r="C32" s="24">
        <v>133324</v>
      </c>
      <c r="D32" s="24">
        <v>0</v>
      </c>
      <c r="E32" s="24">
        <v>0</v>
      </c>
      <c r="F32" s="24">
        <v>0</v>
      </c>
      <c r="G32" s="24">
        <v>0</v>
      </c>
      <c r="H32" s="24">
        <v>0</v>
      </c>
      <c r="I32" s="24">
        <v>0</v>
      </c>
      <c r="J32" s="24">
        <v>16154</v>
      </c>
      <c r="K32" s="24">
        <v>0</v>
      </c>
      <c r="L32" s="24">
        <v>124160</v>
      </c>
      <c r="M32" s="24">
        <v>0</v>
      </c>
      <c r="N32" s="24">
        <v>0</v>
      </c>
      <c r="O32" s="24">
        <v>0</v>
      </c>
      <c r="P32" s="24">
        <v>0</v>
      </c>
      <c r="Q32" s="24">
        <v>0</v>
      </c>
      <c r="R32" s="24">
        <v>0</v>
      </c>
      <c r="S32" s="24">
        <v>0</v>
      </c>
      <c r="T32" s="24">
        <v>40564</v>
      </c>
      <c r="U32" s="24">
        <v>0</v>
      </c>
      <c r="V32" s="24">
        <v>0</v>
      </c>
      <c r="W32" s="24">
        <v>0</v>
      </c>
      <c r="X32" s="24">
        <v>0</v>
      </c>
      <c r="Y32" s="24">
        <v>3769</v>
      </c>
      <c r="Z32" s="24">
        <v>0</v>
      </c>
      <c r="AA32" s="24">
        <v>0</v>
      </c>
      <c r="AB32" s="24">
        <v>0</v>
      </c>
      <c r="AC32" s="24">
        <v>0</v>
      </c>
      <c r="AD32" s="24">
        <v>0</v>
      </c>
      <c r="AE32" s="24">
        <v>0</v>
      </c>
      <c r="AF32" s="24">
        <v>0</v>
      </c>
      <c r="AG32" s="24">
        <v>0</v>
      </c>
      <c r="AH32" s="24">
        <v>0</v>
      </c>
      <c r="AI32" s="24">
        <v>0</v>
      </c>
      <c r="AJ32" s="24">
        <v>0</v>
      </c>
      <c r="AK32" s="24">
        <v>0</v>
      </c>
      <c r="AL32" s="24">
        <v>1052</v>
      </c>
      <c r="AM32" s="24">
        <v>0</v>
      </c>
      <c r="AN32" s="24">
        <v>0</v>
      </c>
      <c r="AO32" s="24">
        <v>0</v>
      </c>
      <c r="AP32" s="24">
        <v>0</v>
      </c>
      <c r="AQ32" s="24">
        <v>0</v>
      </c>
      <c r="AR32" s="24">
        <v>0</v>
      </c>
      <c r="AS32" s="24">
        <v>0</v>
      </c>
      <c r="AT32" s="24">
        <v>0</v>
      </c>
      <c r="AU32" s="24">
        <v>0</v>
      </c>
      <c r="AV32" s="24">
        <v>0</v>
      </c>
      <c r="AW32" s="24">
        <v>0</v>
      </c>
      <c r="AX32" s="24">
        <v>0</v>
      </c>
      <c r="AY32" s="24">
        <v>0</v>
      </c>
      <c r="AZ32" s="24">
        <v>0</v>
      </c>
      <c r="BA32" s="24">
        <v>0</v>
      </c>
      <c r="BB32" s="24">
        <v>0</v>
      </c>
      <c r="BC32" s="24">
        <v>0</v>
      </c>
      <c r="BD32" s="24">
        <v>0</v>
      </c>
      <c r="BE32" s="24">
        <v>0</v>
      </c>
      <c r="BF32" s="24">
        <v>102</v>
      </c>
      <c r="BG32" s="24">
        <v>0</v>
      </c>
      <c r="BH32" s="24">
        <v>0</v>
      </c>
      <c r="BI32" s="24">
        <v>0</v>
      </c>
      <c r="BJ32" s="24">
        <v>0</v>
      </c>
      <c r="BK32" s="24">
        <v>0</v>
      </c>
      <c r="BL32" s="24">
        <v>0</v>
      </c>
      <c r="BM32" s="24">
        <v>0</v>
      </c>
      <c r="BN32" s="24">
        <v>0</v>
      </c>
      <c r="BO32" s="24">
        <v>0</v>
      </c>
      <c r="BP32" s="24">
        <v>0</v>
      </c>
      <c r="BQ32" s="24">
        <v>0</v>
      </c>
      <c r="BR32" s="24">
        <v>0</v>
      </c>
      <c r="BS32" s="24">
        <v>0</v>
      </c>
      <c r="BT32" s="24">
        <v>0</v>
      </c>
      <c r="BU32" s="24">
        <v>0</v>
      </c>
      <c r="BV32" s="24">
        <v>0</v>
      </c>
      <c r="BW32" s="24">
        <v>0</v>
      </c>
      <c r="BX32" s="24">
        <v>0</v>
      </c>
      <c r="BY32" s="24">
        <v>0</v>
      </c>
      <c r="BZ32" s="24">
        <v>0</v>
      </c>
      <c r="CA32" s="24">
        <v>0</v>
      </c>
      <c r="CB32" s="24">
        <v>0</v>
      </c>
      <c r="CC32" s="24">
        <v>0</v>
      </c>
      <c r="CD32" s="24">
        <v>9555</v>
      </c>
      <c r="CE32" s="24">
        <v>0</v>
      </c>
      <c r="CF32" s="24">
        <v>0</v>
      </c>
      <c r="CG32" s="24">
        <v>0</v>
      </c>
      <c r="CH32" s="24">
        <v>0</v>
      </c>
      <c r="CI32" s="24">
        <v>0</v>
      </c>
      <c r="CJ32" s="24">
        <v>0</v>
      </c>
      <c r="CK32" s="24">
        <v>0</v>
      </c>
      <c r="CL32" s="24">
        <v>0</v>
      </c>
      <c r="CM32" s="24">
        <v>0</v>
      </c>
      <c r="CN32" s="24">
        <v>0</v>
      </c>
      <c r="CO32" s="24">
        <v>0</v>
      </c>
      <c r="CP32" s="24">
        <v>0</v>
      </c>
      <c r="CQ32" s="24">
        <v>0</v>
      </c>
      <c r="CR32" s="24">
        <v>0</v>
      </c>
      <c r="CS32" s="24">
        <v>0</v>
      </c>
      <c r="CT32" s="24">
        <v>0</v>
      </c>
      <c r="CU32" s="24">
        <v>0</v>
      </c>
      <c r="CV32" s="24">
        <v>0</v>
      </c>
      <c r="CW32" s="24">
        <v>0</v>
      </c>
      <c r="CX32" s="24">
        <v>0</v>
      </c>
      <c r="CY32" s="24">
        <v>0</v>
      </c>
      <c r="CZ32" s="24">
        <v>0</v>
      </c>
      <c r="DA32" s="24">
        <v>0</v>
      </c>
      <c r="DB32" s="24">
        <v>0</v>
      </c>
      <c r="DC32" s="24">
        <v>0</v>
      </c>
      <c r="DD32" s="24">
        <v>0</v>
      </c>
      <c r="DE32" s="24">
        <v>0</v>
      </c>
      <c r="DF32" s="24">
        <v>0</v>
      </c>
      <c r="DG32" s="24">
        <v>0</v>
      </c>
      <c r="DH32" s="24">
        <v>0</v>
      </c>
      <c r="DI32" s="24">
        <v>0</v>
      </c>
      <c r="DJ32" s="24">
        <v>0</v>
      </c>
      <c r="DK32" s="24">
        <v>0</v>
      </c>
      <c r="DL32" s="24">
        <v>0</v>
      </c>
      <c r="DM32" s="24">
        <v>0</v>
      </c>
      <c r="DN32" s="24">
        <v>0</v>
      </c>
      <c r="DO32" s="24">
        <v>0</v>
      </c>
      <c r="DP32" s="24">
        <v>0</v>
      </c>
      <c r="DQ32" s="24">
        <v>0</v>
      </c>
      <c r="DR32" s="24">
        <v>0</v>
      </c>
      <c r="DS32" s="24">
        <v>0</v>
      </c>
      <c r="DT32" s="24">
        <v>0</v>
      </c>
      <c r="DU32" s="24">
        <v>0</v>
      </c>
      <c r="DV32" s="24">
        <v>0</v>
      </c>
      <c r="DW32" s="24">
        <v>0</v>
      </c>
      <c r="DX32" s="24">
        <v>0</v>
      </c>
      <c r="DY32" s="24">
        <v>0</v>
      </c>
      <c r="DZ32" s="24">
        <v>0</v>
      </c>
      <c r="EA32" s="24">
        <v>0</v>
      </c>
      <c r="EB32" s="24">
        <v>0</v>
      </c>
      <c r="EC32" s="24">
        <v>0</v>
      </c>
      <c r="ED32" s="24">
        <v>0</v>
      </c>
      <c r="EE32" s="24">
        <v>0</v>
      </c>
      <c r="EF32" s="24">
        <v>0</v>
      </c>
      <c r="EG32" s="24">
        <v>0</v>
      </c>
      <c r="EH32" s="24">
        <v>0</v>
      </c>
      <c r="EI32" s="24">
        <v>0</v>
      </c>
      <c r="EJ32" s="24">
        <v>0</v>
      </c>
      <c r="EK32" s="24">
        <v>0</v>
      </c>
      <c r="EL32" s="24">
        <v>0</v>
      </c>
      <c r="EM32" s="24">
        <v>0</v>
      </c>
      <c r="EN32" s="24">
        <v>0</v>
      </c>
      <c r="EO32" s="24">
        <v>0</v>
      </c>
      <c r="EP32" s="24">
        <v>0</v>
      </c>
      <c r="EQ32" s="24">
        <v>0</v>
      </c>
      <c r="ER32" s="24">
        <v>0</v>
      </c>
      <c r="ES32" s="24">
        <v>0</v>
      </c>
      <c r="ET32" s="24">
        <v>0</v>
      </c>
      <c r="EU32" s="24">
        <v>0</v>
      </c>
      <c r="EV32" s="24">
        <v>0</v>
      </c>
      <c r="EW32" s="24">
        <v>0</v>
      </c>
      <c r="EX32" s="24">
        <v>0</v>
      </c>
      <c r="EY32" s="24">
        <v>0</v>
      </c>
      <c r="EZ32" s="24">
        <v>0</v>
      </c>
      <c r="FA32" s="24">
        <v>0</v>
      </c>
      <c r="FB32" s="24">
        <v>0</v>
      </c>
      <c r="FC32" s="24">
        <v>0</v>
      </c>
      <c r="FD32" s="24">
        <v>0</v>
      </c>
      <c r="FE32" s="24">
        <v>0</v>
      </c>
      <c r="FF32" s="24">
        <v>0</v>
      </c>
      <c r="FG32" s="24">
        <v>0</v>
      </c>
      <c r="FH32" s="24">
        <v>0</v>
      </c>
      <c r="FI32" s="24">
        <v>0</v>
      </c>
      <c r="FJ32" s="24">
        <v>0</v>
      </c>
      <c r="FK32" s="24">
        <v>0</v>
      </c>
      <c r="FL32" s="24">
        <v>0</v>
      </c>
      <c r="FM32" s="24">
        <v>0</v>
      </c>
      <c r="FN32" s="24">
        <v>0</v>
      </c>
      <c r="FO32" s="24">
        <v>0</v>
      </c>
      <c r="FP32" s="24">
        <v>0</v>
      </c>
      <c r="FQ32" s="24">
        <v>0</v>
      </c>
      <c r="FR32" s="24">
        <v>0</v>
      </c>
      <c r="FS32" s="24">
        <v>31848</v>
      </c>
      <c r="FT32" s="24">
        <v>0</v>
      </c>
      <c r="FU32" s="24">
        <v>0</v>
      </c>
      <c r="FV32" s="24">
        <v>0</v>
      </c>
      <c r="FW32" s="24">
        <v>0</v>
      </c>
      <c r="FX32" s="24">
        <v>0</v>
      </c>
      <c r="FY32" s="24">
        <v>0</v>
      </c>
      <c r="FZ32" s="24">
        <v>0</v>
      </c>
      <c r="GA32" s="24">
        <v>0</v>
      </c>
      <c r="GB32" s="24">
        <v>0</v>
      </c>
      <c r="GC32" s="24">
        <v>0</v>
      </c>
      <c r="GD32" s="24">
        <v>0</v>
      </c>
      <c r="GE32" s="24">
        <v>0</v>
      </c>
      <c r="GF32" s="24">
        <v>0</v>
      </c>
      <c r="GG32" s="24">
        <v>0</v>
      </c>
      <c r="GH32" s="24">
        <v>0</v>
      </c>
      <c r="GI32" s="24">
        <v>0</v>
      </c>
      <c r="GJ32" s="24">
        <v>0</v>
      </c>
      <c r="GK32" s="24">
        <v>0</v>
      </c>
      <c r="GL32" s="24">
        <v>0</v>
      </c>
      <c r="GM32" s="24">
        <v>0</v>
      </c>
      <c r="GN32" s="24">
        <v>0</v>
      </c>
      <c r="GO32" s="24">
        <v>0</v>
      </c>
      <c r="GP32" s="24">
        <v>0</v>
      </c>
      <c r="GQ32" s="24">
        <v>0</v>
      </c>
      <c r="GR32" s="24">
        <v>0</v>
      </c>
      <c r="GS32" s="24">
        <v>0</v>
      </c>
      <c r="GT32" s="24">
        <v>0</v>
      </c>
      <c r="GU32" s="24">
        <v>534</v>
      </c>
      <c r="GV32" s="24">
        <v>0</v>
      </c>
      <c r="GW32" s="24">
        <v>0</v>
      </c>
      <c r="GX32" s="24">
        <v>0</v>
      </c>
      <c r="GY32" s="24">
        <v>0</v>
      </c>
      <c r="GZ32" s="24">
        <v>0</v>
      </c>
      <c r="HA32" s="24">
        <v>0</v>
      </c>
      <c r="HB32" s="24">
        <v>0</v>
      </c>
      <c r="HC32" s="24">
        <v>0</v>
      </c>
      <c r="HD32" s="24">
        <v>351851</v>
      </c>
      <c r="HE32" s="24">
        <v>0</v>
      </c>
      <c r="HF32" s="24">
        <v>0</v>
      </c>
      <c r="HG32" s="24">
        <v>0</v>
      </c>
      <c r="HH32" s="24">
        <v>0</v>
      </c>
      <c r="HI32" s="24">
        <v>67601</v>
      </c>
      <c r="HJ32" s="24">
        <v>0</v>
      </c>
      <c r="HK32" s="24">
        <v>0</v>
      </c>
      <c r="HL32" s="24">
        <v>0</v>
      </c>
      <c r="HM32" s="24">
        <v>79726</v>
      </c>
      <c r="HN32" s="24">
        <v>0</v>
      </c>
      <c r="HO32" s="24">
        <v>45527</v>
      </c>
      <c r="HP32" s="24">
        <v>0</v>
      </c>
      <c r="HQ32" s="24">
        <v>0</v>
      </c>
      <c r="HR32" s="24">
        <v>0</v>
      </c>
      <c r="HS32" s="24">
        <v>0</v>
      </c>
      <c r="HT32" s="24">
        <v>0</v>
      </c>
      <c r="HU32" s="24">
        <v>0</v>
      </c>
      <c r="HV32" s="24">
        <v>0</v>
      </c>
      <c r="HW32" s="24">
        <v>0</v>
      </c>
      <c r="HX32" s="24">
        <v>0</v>
      </c>
      <c r="HY32" s="24">
        <v>0</v>
      </c>
      <c r="HZ32" s="24">
        <v>0</v>
      </c>
      <c r="IA32" s="24">
        <v>7213</v>
      </c>
      <c r="IB32" s="24">
        <v>2559</v>
      </c>
      <c r="IC32" s="24">
        <v>0</v>
      </c>
      <c r="ID32" s="24">
        <v>0</v>
      </c>
      <c r="IE32" s="24">
        <v>0</v>
      </c>
      <c r="IF32" s="24">
        <v>0</v>
      </c>
      <c r="IG32" s="24">
        <v>0</v>
      </c>
      <c r="IH32" s="24">
        <v>0</v>
      </c>
      <c r="II32" s="24">
        <v>0</v>
      </c>
      <c r="IJ32" s="24">
        <v>0</v>
      </c>
      <c r="IK32" s="24">
        <v>0</v>
      </c>
      <c r="IL32" s="24">
        <v>0</v>
      </c>
      <c r="IM32" s="24">
        <v>0</v>
      </c>
      <c r="IN32" s="24">
        <v>0</v>
      </c>
      <c r="IO32" s="24">
        <v>0</v>
      </c>
      <c r="IP32" s="24">
        <v>0</v>
      </c>
      <c r="IQ32" s="24">
        <v>0</v>
      </c>
      <c r="IR32" s="24">
        <v>0</v>
      </c>
      <c r="IS32" s="24">
        <v>0</v>
      </c>
      <c r="IT32" s="24">
        <v>0</v>
      </c>
      <c r="IU32" s="24">
        <v>0</v>
      </c>
      <c r="IV32" s="24">
        <v>0</v>
      </c>
      <c r="IW32" s="24">
        <v>0</v>
      </c>
      <c r="IX32" s="24">
        <v>0</v>
      </c>
      <c r="IY32" s="24">
        <v>0</v>
      </c>
      <c r="IZ32" s="24">
        <v>0</v>
      </c>
      <c r="JA32" s="24">
        <v>0</v>
      </c>
      <c r="JB32" s="24">
        <v>0</v>
      </c>
      <c r="JC32" s="24">
        <v>0</v>
      </c>
      <c r="JD32" s="24">
        <v>0</v>
      </c>
      <c r="JE32" s="24">
        <v>25016</v>
      </c>
      <c r="JF32" s="24">
        <v>0</v>
      </c>
      <c r="JG32" s="24">
        <v>0</v>
      </c>
      <c r="JH32" s="24">
        <v>0</v>
      </c>
      <c r="JI32" s="24">
        <v>0</v>
      </c>
      <c r="JJ32" s="24">
        <v>0</v>
      </c>
      <c r="JK32" s="24">
        <v>0</v>
      </c>
      <c r="JL32" s="24">
        <v>0</v>
      </c>
      <c r="JM32" s="24">
        <v>0</v>
      </c>
      <c r="JN32" s="24">
        <v>0</v>
      </c>
      <c r="JO32" s="24">
        <v>0</v>
      </c>
      <c r="JP32" s="24">
        <v>0</v>
      </c>
      <c r="JQ32" s="24">
        <v>0</v>
      </c>
      <c r="JR32" s="24">
        <v>0</v>
      </c>
      <c r="JS32" s="24">
        <v>0</v>
      </c>
      <c r="JT32" s="24">
        <v>0</v>
      </c>
      <c r="JU32" s="24">
        <v>0</v>
      </c>
      <c r="JV32" s="24">
        <v>0</v>
      </c>
      <c r="JW32" s="24">
        <v>0</v>
      </c>
      <c r="JX32" s="24">
        <v>0</v>
      </c>
      <c r="JY32" s="24">
        <v>0</v>
      </c>
      <c r="JZ32" s="24">
        <v>0</v>
      </c>
      <c r="KA32" s="24">
        <v>0</v>
      </c>
      <c r="KB32" s="24">
        <v>2652</v>
      </c>
      <c r="KC32" s="24">
        <v>0</v>
      </c>
      <c r="KD32" s="24">
        <v>0</v>
      </c>
      <c r="KE32" s="24">
        <v>0</v>
      </c>
      <c r="KF32" s="24">
        <v>0</v>
      </c>
      <c r="KG32" s="24">
        <v>205</v>
      </c>
      <c r="KH32" s="24">
        <v>0</v>
      </c>
      <c r="KI32" s="24">
        <v>0</v>
      </c>
      <c r="KJ32" s="24">
        <v>0</v>
      </c>
      <c r="KK32" s="24">
        <v>0</v>
      </c>
      <c r="KL32" s="24">
        <v>0</v>
      </c>
      <c r="KM32" s="24">
        <v>0</v>
      </c>
      <c r="KN32" s="24">
        <v>0</v>
      </c>
      <c r="KO32" s="24">
        <v>0</v>
      </c>
      <c r="KP32" s="24">
        <v>0</v>
      </c>
      <c r="KQ32" s="24">
        <v>0</v>
      </c>
      <c r="KR32" s="24">
        <v>0</v>
      </c>
      <c r="KS32" s="24">
        <v>0</v>
      </c>
      <c r="KT32" s="24">
        <v>0</v>
      </c>
      <c r="KU32" s="24">
        <v>0</v>
      </c>
      <c r="KV32" s="24">
        <v>0</v>
      </c>
      <c r="KW32" s="24">
        <v>12591</v>
      </c>
      <c r="KX32" s="24">
        <v>0</v>
      </c>
      <c r="KY32" s="24">
        <v>0</v>
      </c>
      <c r="KZ32" s="24">
        <v>0</v>
      </c>
      <c r="LA32" s="24">
        <v>0</v>
      </c>
      <c r="LB32" s="24">
        <v>0</v>
      </c>
      <c r="LC32" s="24">
        <v>0</v>
      </c>
      <c r="LD32" s="24">
        <v>0</v>
      </c>
      <c r="LE32" s="24">
        <v>0</v>
      </c>
      <c r="LF32" s="24">
        <v>0</v>
      </c>
      <c r="LG32" s="24">
        <v>0</v>
      </c>
      <c r="LH32" s="24">
        <v>0</v>
      </c>
      <c r="LI32" s="24">
        <v>0</v>
      </c>
      <c r="LJ32" s="24">
        <v>0</v>
      </c>
      <c r="LK32" s="24">
        <v>0</v>
      </c>
      <c r="LL32" s="24">
        <v>0</v>
      </c>
      <c r="LM32" s="24">
        <v>0</v>
      </c>
      <c r="LN32" s="24">
        <v>0</v>
      </c>
      <c r="LO32" s="24">
        <v>0</v>
      </c>
      <c r="LP32" s="24">
        <v>0</v>
      </c>
      <c r="LQ32" s="24">
        <v>5295</v>
      </c>
      <c r="LR32" s="24">
        <v>0</v>
      </c>
      <c r="LS32" s="24">
        <v>0</v>
      </c>
      <c r="LT32" s="24">
        <v>0</v>
      </c>
      <c r="LU32" s="24">
        <v>0</v>
      </c>
      <c r="LV32" s="24">
        <v>0</v>
      </c>
      <c r="LW32" s="24">
        <v>0</v>
      </c>
      <c r="LX32" s="24">
        <v>0</v>
      </c>
      <c r="LY32" s="24">
        <v>0</v>
      </c>
      <c r="LZ32" s="24">
        <v>0</v>
      </c>
      <c r="MA32" s="24">
        <v>0</v>
      </c>
      <c r="MB32" s="24">
        <v>0</v>
      </c>
      <c r="MC32" s="24">
        <v>0</v>
      </c>
      <c r="MD32" s="24">
        <v>0</v>
      </c>
      <c r="ME32" s="24">
        <v>0</v>
      </c>
      <c r="MF32" s="24">
        <v>0</v>
      </c>
      <c r="MG32" s="24">
        <v>0</v>
      </c>
      <c r="MH32" s="24">
        <v>0</v>
      </c>
      <c r="MI32" s="24">
        <v>0</v>
      </c>
      <c r="MJ32" s="24">
        <v>0</v>
      </c>
      <c r="MK32" s="24">
        <v>0</v>
      </c>
      <c r="ML32" s="24">
        <v>0</v>
      </c>
      <c r="MM32" s="24">
        <v>0</v>
      </c>
      <c r="MN32" s="24">
        <v>0</v>
      </c>
      <c r="MO32" s="24">
        <v>0</v>
      </c>
      <c r="MP32" s="24">
        <v>0</v>
      </c>
      <c r="MQ32" s="24">
        <v>0</v>
      </c>
      <c r="MR32" s="24">
        <v>19271</v>
      </c>
      <c r="MS32" s="24">
        <v>0</v>
      </c>
      <c r="MT32" s="24">
        <v>0</v>
      </c>
      <c r="MU32" s="24">
        <v>0</v>
      </c>
      <c r="MV32" s="24">
        <v>0</v>
      </c>
      <c r="MW32" s="24">
        <v>11364</v>
      </c>
      <c r="MX32" s="24">
        <v>0</v>
      </c>
      <c r="MY32" s="24">
        <v>0</v>
      </c>
      <c r="MZ32" s="24">
        <v>0</v>
      </c>
      <c r="NA32" s="24">
        <v>0</v>
      </c>
      <c r="NB32" s="24">
        <v>0</v>
      </c>
      <c r="NC32" s="24">
        <v>0</v>
      </c>
      <c r="ND32" s="24">
        <v>0</v>
      </c>
      <c r="NE32" s="24">
        <v>0</v>
      </c>
      <c r="NF32" s="24">
        <v>0</v>
      </c>
      <c r="NG32" s="24">
        <v>0</v>
      </c>
      <c r="NH32" s="24">
        <v>0</v>
      </c>
      <c r="NI32" s="24">
        <v>0</v>
      </c>
      <c r="NJ32" s="24">
        <v>0</v>
      </c>
      <c r="NK32" s="24">
        <v>0</v>
      </c>
      <c r="NL32" s="24">
        <v>0</v>
      </c>
      <c r="NM32" s="24">
        <v>0</v>
      </c>
      <c r="NN32" s="24">
        <v>0</v>
      </c>
      <c r="NO32" s="24">
        <v>0</v>
      </c>
      <c r="NP32" s="24">
        <v>0</v>
      </c>
      <c r="NQ32" s="24">
        <v>0</v>
      </c>
      <c r="NR32" s="24">
        <v>0</v>
      </c>
      <c r="NS32" s="24">
        <v>0</v>
      </c>
      <c r="NT32" s="24">
        <v>0</v>
      </c>
      <c r="NU32" s="24">
        <v>0</v>
      </c>
      <c r="NV32" s="24">
        <v>2611</v>
      </c>
      <c r="NW32" s="24">
        <v>0</v>
      </c>
      <c r="NX32" s="24">
        <v>0</v>
      </c>
      <c r="NY32" s="24">
        <v>0</v>
      </c>
      <c r="NZ32" s="24">
        <v>0</v>
      </c>
      <c r="OA32" s="24">
        <v>0</v>
      </c>
      <c r="OB32" s="24">
        <v>0</v>
      </c>
      <c r="OC32" s="24">
        <v>0</v>
      </c>
      <c r="OD32" s="24">
        <v>0</v>
      </c>
      <c r="OE32" s="24">
        <v>0</v>
      </c>
      <c r="OF32" s="24">
        <v>0</v>
      </c>
      <c r="OG32" s="24">
        <v>0</v>
      </c>
      <c r="OH32" s="24">
        <v>0</v>
      </c>
      <c r="OI32" s="24">
        <v>0</v>
      </c>
      <c r="OJ32" s="24">
        <v>0</v>
      </c>
      <c r="OK32" s="24">
        <v>0</v>
      </c>
      <c r="OL32" s="24">
        <v>0</v>
      </c>
      <c r="OM32" s="24">
        <v>0</v>
      </c>
      <c r="ON32" s="24">
        <v>0</v>
      </c>
      <c r="OO32" s="24">
        <v>0</v>
      </c>
      <c r="OP32" s="24">
        <v>0</v>
      </c>
      <c r="OQ32" s="24">
        <v>0</v>
      </c>
      <c r="OR32" s="24">
        <v>0</v>
      </c>
      <c r="OS32" s="24">
        <v>0</v>
      </c>
      <c r="OT32" s="24">
        <v>0</v>
      </c>
      <c r="OU32" s="24">
        <v>0</v>
      </c>
      <c r="OV32" s="24">
        <v>0</v>
      </c>
      <c r="OW32" s="24">
        <v>0</v>
      </c>
      <c r="OX32" s="24">
        <v>0</v>
      </c>
      <c r="OY32" s="24">
        <v>0</v>
      </c>
      <c r="OZ32" s="24">
        <v>0</v>
      </c>
      <c r="PA32" s="24">
        <v>0</v>
      </c>
      <c r="PB32" s="24">
        <v>0</v>
      </c>
      <c r="PC32" s="24">
        <v>0</v>
      </c>
      <c r="PD32" s="24">
        <v>0</v>
      </c>
      <c r="PE32" s="24">
        <v>0</v>
      </c>
      <c r="PF32" s="24">
        <v>0</v>
      </c>
      <c r="PG32" s="24">
        <v>0</v>
      </c>
      <c r="PH32" s="24">
        <v>0</v>
      </c>
      <c r="PI32" s="24">
        <v>0</v>
      </c>
      <c r="PJ32" s="24">
        <v>0</v>
      </c>
      <c r="PK32" s="24">
        <v>0</v>
      </c>
      <c r="PL32" s="24">
        <v>0</v>
      </c>
      <c r="PM32" s="24">
        <v>0</v>
      </c>
      <c r="PN32" s="24">
        <v>0</v>
      </c>
      <c r="PO32" s="24">
        <v>0</v>
      </c>
      <c r="PP32" s="24">
        <v>0</v>
      </c>
      <c r="PQ32" s="24">
        <v>0</v>
      </c>
      <c r="PR32" s="24">
        <v>0</v>
      </c>
      <c r="PS32" s="24">
        <v>0</v>
      </c>
      <c r="PT32" s="24">
        <v>0</v>
      </c>
      <c r="PU32" s="24">
        <v>0</v>
      </c>
      <c r="PV32" s="24">
        <v>0</v>
      </c>
      <c r="PW32" s="24">
        <v>21000</v>
      </c>
      <c r="PX32" s="24">
        <v>0</v>
      </c>
      <c r="PY32" s="24">
        <v>0</v>
      </c>
      <c r="PZ32" s="24">
        <v>0</v>
      </c>
      <c r="QA32" s="24">
        <v>0</v>
      </c>
      <c r="QB32" s="24">
        <v>0</v>
      </c>
      <c r="QC32" s="24">
        <v>0</v>
      </c>
      <c r="QD32" s="24">
        <v>0</v>
      </c>
      <c r="QE32" s="24">
        <v>0</v>
      </c>
      <c r="QF32" s="24">
        <v>0</v>
      </c>
      <c r="QG32" s="24">
        <v>0</v>
      </c>
      <c r="QH32" s="24">
        <v>0</v>
      </c>
      <c r="QI32" s="24">
        <v>0</v>
      </c>
      <c r="QJ32" s="24">
        <v>0</v>
      </c>
      <c r="QK32" s="24">
        <v>0</v>
      </c>
      <c r="QL32" s="24">
        <v>0</v>
      </c>
      <c r="QM32" s="24">
        <v>0</v>
      </c>
      <c r="QN32" s="24">
        <v>0</v>
      </c>
      <c r="QO32" s="24">
        <v>0</v>
      </c>
      <c r="QP32" s="24">
        <v>0</v>
      </c>
      <c r="QQ32" s="24">
        <v>0</v>
      </c>
      <c r="QR32" s="24">
        <v>0</v>
      </c>
      <c r="QS32" s="24">
        <v>10029</v>
      </c>
      <c r="QT32" s="24">
        <v>0</v>
      </c>
      <c r="QU32" s="24">
        <v>0</v>
      </c>
      <c r="QV32" s="24">
        <v>3131</v>
      </c>
      <c r="QW32" s="24">
        <v>0</v>
      </c>
      <c r="QX32" s="24">
        <v>0</v>
      </c>
      <c r="QY32" s="24">
        <v>0</v>
      </c>
      <c r="QZ32" s="24">
        <v>0</v>
      </c>
      <c r="RA32" s="24">
        <v>0</v>
      </c>
      <c r="RB32" s="24">
        <v>0</v>
      </c>
      <c r="RG32" s="39">
        <f t="shared" si="48"/>
        <v>351851</v>
      </c>
      <c r="RH32" s="39">
        <f t="shared" si="48"/>
        <v>67601</v>
      </c>
      <c r="RI32" s="39">
        <f t="shared" si="48"/>
        <v>0</v>
      </c>
      <c r="RJ32" s="39">
        <f t="shared" si="48"/>
        <v>79726</v>
      </c>
      <c r="RK32" s="39">
        <f t="shared" si="48"/>
        <v>0</v>
      </c>
      <c r="RL32" s="39">
        <f t="shared" si="48"/>
        <v>45527</v>
      </c>
      <c r="RM32" s="39">
        <f t="shared" si="48"/>
        <v>9772</v>
      </c>
      <c r="RN32" s="39">
        <f t="shared" si="48"/>
        <v>0</v>
      </c>
      <c r="RO32" s="39">
        <f t="shared" si="48"/>
        <v>0</v>
      </c>
      <c r="RP32" s="39">
        <f t="shared" si="48"/>
        <v>0</v>
      </c>
      <c r="RQ32" s="39">
        <f t="shared" si="48"/>
        <v>0</v>
      </c>
      <c r="RR32" s="39">
        <f t="shared" si="48"/>
        <v>27668</v>
      </c>
      <c r="RS32" s="39"/>
      <c r="RT32" s="182"/>
      <c r="RU32" s="39"/>
      <c r="RV32" s="39">
        <f t="shared" si="49"/>
        <v>51337</v>
      </c>
      <c r="RW32" s="39">
        <f t="shared" si="49"/>
        <v>582145</v>
      </c>
      <c r="RX32" s="39">
        <f t="shared" si="49"/>
        <v>361062</v>
      </c>
      <c r="RY32" s="39">
        <f t="shared" si="49"/>
        <v>34160</v>
      </c>
      <c r="RZ32" s="39"/>
      <c r="SA32" s="182"/>
      <c r="SB32" s="39"/>
      <c r="SC32" s="25">
        <f t="shared" si="50"/>
        <v>7368.6122448979595</v>
      </c>
      <c r="SD32" s="39">
        <f>IFERROR(VLOOKUP(A32, 'Levy Data 15-16'!$B:$O, 3, FALSE), 0)</f>
        <v>188636800</v>
      </c>
      <c r="SE32" s="39">
        <f t="shared" si="9"/>
        <v>3849730.612244898</v>
      </c>
      <c r="SF32" s="631">
        <f>IFERROR(VLOOKUP(A32, 'Levy Data 15-16'!$B:$O, 14, FALSE), 0)*1000</f>
        <v>1.6638900000000001</v>
      </c>
      <c r="SG32" s="39">
        <f t="shared" si="10"/>
        <v>0</v>
      </c>
      <c r="SH32" s="39">
        <f t="shared" si="11"/>
        <v>0</v>
      </c>
      <c r="SI32" s="39">
        <f t="shared" si="12"/>
        <v>361062</v>
      </c>
      <c r="SM32" s="39">
        <f t="shared" si="13"/>
        <v>582145</v>
      </c>
      <c r="SN32" s="39">
        <f t="shared" si="14"/>
        <v>0</v>
      </c>
      <c r="SO32" s="39">
        <f t="shared" si="51"/>
        <v>582145</v>
      </c>
      <c r="SP32" s="50">
        <f t="shared" si="52"/>
        <v>1</v>
      </c>
      <c r="ST32" s="124">
        <f>IFERROR(VLOOKUP(A32,'Grade Enroll 15-16'!B:AC,27,FALSE),"")</f>
        <v>49</v>
      </c>
      <c r="SU32" s="124">
        <f t="shared" si="53"/>
        <v>26.999999999999996</v>
      </c>
      <c r="SV32" s="131">
        <f>IFERROR(VLOOKUP($A32, 'Title I Enroll 16-17'!S:V, 4, FALSE), 0)</f>
        <v>0.55102040816326525</v>
      </c>
      <c r="SW32" s="729">
        <f>IFERROR(VLOOKUP(A32, 'ELL Enroll 15-16'!$N:$S, 6, FALSE), 0)</f>
        <v>5</v>
      </c>
      <c r="SX32" s="131">
        <f t="shared" si="54"/>
        <v>0.10204081632653061</v>
      </c>
      <c r="SY32" s="124">
        <f>IFERROR(VLOOKUP(A32, 'SPED enroll 2015-16'!$M:$O, 3, FALSE), 0)</f>
        <v>11</v>
      </c>
      <c r="SZ32" s="131">
        <f t="shared" si="55"/>
        <v>0.22448979591836735</v>
      </c>
      <c r="TA32" s="142">
        <f t="shared" si="56"/>
        <v>7.6999999999999993</v>
      </c>
      <c r="TB32" s="142">
        <f t="shared" si="56"/>
        <v>2.2000000000000002</v>
      </c>
      <c r="TC32" s="142">
        <f t="shared" si="56"/>
        <v>0.77</v>
      </c>
      <c r="TD32" s="142">
        <f t="shared" si="56"/>
        <v>0.32999999999999996</v>
      </c>
      <c r="TE32" s="124">
        <f>VLOOKUP($A32, 'Grade Enroll 15-16'!$B:$AB, 20, FALSE)</f>
        <v>0</v>
      </c>
      <c r="TF32" s="124">
        <f>VLOOKUP($A32, 'Grade Enroll 15-16'!$B:$AB, 21, FALSE)</f>
        <v>1</v>
      </c>
      <c r="TG32" s="124">
        <f>VLOOKUP($A32, 'Grade Enroll 15-16'!$B:$AB, 22, FALSE)</f>
        <v>16</v>
      </c>
      <c r="TH32" s="124">
        <f>VLOOKUP($A32, 'Grade Enroll 15-16'!$B:$AB, 23, FALSE)</f>
        <v>20</v>
      </c>
      <c r="TI32" s="124">
        <f>VLOOKUP($A32, 'Grade Enroll 15-16'!$B:$AB, 24, FALSE)</f>
        <v>13</v>
      </c>
      <c r="TJ32" s="124">
        <f>VLOOKUP($A32, 'Grade Enroll 15-16'!$B:$AB, 25, FALSE)</f>
        <v>0</v>
      </c>
      <c r="TK32" s="124">
        <f>VLOOKUP($A32, 'Grade Enroll 15-16'!$B:$AB, 26, FALSE)</f>
        <v>38</v>
      </c>
      <c r="TL32" s="131">
        <f>SUMIFS('Student Achievement 15-16'!N:N, 'Student Achievement 15-16'!B:B, 'Idaho Data'!A32, 'Student Achievement 15-16'!D:D, "math")/100</f>
        <v>0.66700000000000004</v>
      </c>
      <c r="TM32" s="134">
        <f t="shared" si="57"/>
        <v>32.683</v>
      </c>
      <c r="TN32" s="131">
        <f>SUMIFS('Student Achievement 15-16'!N:N, 'Student Achievement 15-16'!B:B, 'Idaho Data'!A32, 'Student Achievement 15-16'!D:D, "ela")/100</f>
        <v>0.48599999999999999</v>
      </c>
      <c r="TO32" s="134">
        <f t="shared" si="58"/>
        <v>23.814</v>
      </c>
      <c r="TP32" s="688">
        <f>IFERROR(VLOOKUP(A32, 'G&amp;T 15-16'!B:G, 6, FALSE), 0)*1</f>
        <v>0</v>
      </c>
      <c r="TQ32" s="168">
        <f t="shared" si="59"/>
        <v>2.94</v>
      </c>
      <c r="TU32" s="168">
        <f t="shared" si="60"/>
        <v>23.814</v>
      </c>
      <c r="TV32" s="168">
        <f t="shared" si="61"/>
        <v>32.683</v>
      </c>
      <c r="TW32" s="205">
        <f t="shared" si="62"/>
        <v>32.683</v>
      </c>
      <c r="TX32" s="144"/>
      <c r="TY32" s="129"/>
      <c r="TZ32" s="127">
        <f t="shared" si="63"/>
        <v>0</v>
      </c>
      <c r="UA32" s="127">
        <f t="shared" si="64"/>
        <v>2.94</v>
      </c>
      <c r="UB32" s="205">
        <f t="shared" si="65"/>
        <v>2.94</v>
      </c>
      <c r="UE32" s="853" t="str">
        <f>IF(ST32&lt;='1. Simulator Input'!$E$104, "yes", "")</f>
        <v>yes</v>
      </c>
      <c r="UI32" s="199">
        <f t="shared" si="66"/>
        <v>0</v>
      </c>
      <c r="UJ32" s="200">
        <f>IF('Idaho Data'!SI32&gt;=0, ((1-'1. Simulator Input'!$E$39)*'Idaho Data'!SI32), 0)</f>
        <v>0</v>
      </c>
      <c r="UK32" s="200">
        <f t="shared" si="67"/>
        <v>582145</v>
      </c>
      <c r="UL32" s="39"/>
      <c r="UM32" s="182"/>
      <c r="UN32" s="39"/>
      <c r="UO32" s="39">
        <f>IF(AND('1. Simulator Input'!$E$96="yes", '1. Simulator Input'!$E$98="yes", '1. Simulator Input'!$E$100="hold harmless"), 'Idaho Data'!WN32, IF(AND('1. Simulator Input'!$E$96="yes", '1. Simulator Input'!$E$98="no", '1. Simulator Input'!$E$100="hold harmless"), 'Idaho Data'!WM32, IF(AND('1. Simulator Input'!$E$96="yes", '1. Simulator Input'!$E$98="yes", '1. Simulator Input'!$E$100="small district grant"), WL32,IF(AND('1. Simulator Input'!$E$96="yes", '1. Simulator Input'!$E$98="no", '1. Simulator Input'!$E$100="small district grant"), WK32, ""))))</f>
        <v>0</v>
      </c>
      <c r="UP32" s="200">
        <f>'1. Simulator Input'!$D$56*('Idaho Data'!ST32)</f>
        <v>270774</v>
      </c>
      <c r="UQ32" s="204">
        <f>'1. Simulator Input'!$D$65*'1. Simulator Input'!$D$56*'Idaho Data'!SU32</f>
        <v>0</v>
      </c>
      <c r="UR32" s="204">
        <f>'1. Simulator Input'!$D$66*'1. Simulator Input'!$D$56*'Idaho Data'!SW32</f>
        <v>0</v>
      </c>
      <c r="US32" s="200">
        <f>'1. Simulator Input'!$D$67*'1. Simulator Input'!$D$56*'Idaho Data'!TA32</f>
        <v>0</v>
      </c>
      <c r="UT32" s="200">
        <f>'1. Simulator Input'!$D$68*'1. Simulator Input'!$D$56*'Idaho Data'!TB32</f>
        <v>0</v>
      </c>
      <c r="UU32" s="200">
        <f>'1. Simulator Input'!$D$69*'1. Simulator Input'!$D$56*'Idaho Data'!TC32</f>
        <v>0</v>
      </c>
      <c r="UV32" s="200">
        <f>'1. Simulator Input'!$D$70*'1. Simulator Input'!$D$56*TD32</f>
        <v>0</v>
      </c>
      <c r="UW32" s="200">
        <f>'1. Simulator Input'!$D$80*'1. Simulator Input'!$D$56*TW32</f>
        <v>0</v>
      </c>
      <c r="UX32" s="200">
        <f>'1. Simulator Input'!$D$79*'1. Simulator Input'!$D$56*UB32</f>
        <v>0</v>
      </c>
      <c r="UY32" s="200">
        <f>'1. Simulator Input'!$D$87*'1. Simulator Input'!$D$56*TF32</f>
        <v>2763</v>
      </c>
      <c r="UZ32" s="200">
        <f>'1. Simulator Input'!$D$73*'1. Simulator Input'!$D$56*'Idaho Data'!TG32</f>
        <v>0</v>
      </c>
      <c r="VA32" s="200">
        <f>'1. Simulator Input'!$D$56*'1. Simulator Input'!$D$74*'Idaho Data'!TH32</f>
        <v>0</v>
      </c>
      <c r="VB32" s="200">
        <f>'1. Simulator Input'!$D$56*'1. Simulator Input'!$D$75*'Idaho Data'!TI27</f>
        <v>0</v>
      </c>
      <c r="VC32" s="200">
        <f>'1. Simulator Input'!$D$76*'1. Simulator Input'!$D$56*'Idaho Data'!TJ32</f>
        <v>0</v>
      </c>
      <c r="VD32" s="200">
        <f t="shared" si="68"/>
        <v>273537</v>
      </c>
      <c r="VE32" s="200"/>
      <c r="VF32" s="182"/>
      <c r="VG32" s="200"/>
      <c r="VH32" s="200">
        <f t="shared" si="69"/>
        <v>0</v>
      </c>
      <c r="VI32" s="200">
        <f t="shared" si="70"/>
        <v>0</v>
      </c>
      <c r="VJ32" s="200">
        <f t="shared" si="16"/>
        <v>273537</v>
      </c>
      <c r="VK32" s="200">
        <f t="shared" si="17"/>
        <v>273537</v>
      </c>
      <c r="VL32" s="200"/>
      <c r="VM32" s="182"/>
      <c r="VN32" s="200"/>
      <c r="VO32" s="200">
        <f t="shared" si="71"/>
        <v>51337</v>
      </c>
      <c r="VP32" s="200">
        <f t="shared" si="72"/>
        <v>582145</v>
      </c>
      <c r="VQ32" s="200">
        <f t="shared" si="73"/>
        <v>361062</v>
      </c>
      <c r="VR32" s="200">
        <f t="shared" si="74"/>
        <v>51337</v>
      </c>
      <c r="VS32" s="200">
        <f t="shared" si="18"/>
        <v>273537</v>
      </c>
      <c r="VT32" s="200">
        <f t="shared" si="19"/>
        <v>361062</v>
      </c>
      <c r="VU32" s="200">
        <f t="shared" si="20"/>
        <v>0</v>
      </c>
      <c r="VV32" s="200"/>
      <c r="VW32" s="182"/>
      <c r="VX32" s="200"/>
      <c r="VZ32" s="199">
        <f t="shared" si="75"/>
        <v>-308608</v>
      </c>
      <c r="WA32" s="199">
        <f t="shared" si="76"/>
        <v>-6298.1224489795923</v>
      </c>
      <c r="WB32" s="131">
        <f t="shared" si="77"/>
        <v>-0.53012222040900459</v>
      </c>
      <c r="WC32" s="131"/>
      <c r="WD32" s="461"/>
      <c r="WE32" s="893"/>
      <c r="WF32" s="893">
        <f t="shared" si="78"/>
        <v>20296.816326530614</v>
      </c>
      <c r="WG32" s="893">
        <f t="shared" si="79"/>
        <v>13998.693877551021</v>
      </c>
      <c r="WH32" s="893"/>
      <c r="WI32" s="893">
        <f t="shared" si="80"/>
        <v>582145</v>
      </c>
      <c r="WJ32" s="893">
        <f t="shared" si="21"/>
        <v>273537</v>
      </c>
      <c r="WK32" s="39">
        <f t="shared" si="22"/>
        <v>0</v>
      </c>
      <c r="WL32" s="39">
        <f t="shared" si="23"/>
        <v>0</v>
      </c>
      <c r="WM32" s="200">
        <f t="shared" si="24"/>
        <v>308608</v>
      </c>
      <c r="WN32" s="39">
        <f t="shared" si="25"/>
        <v>308608</v>
      </c>
      <c r="WO32" s="39"/>
      <c r="WP32" s="182"/>
      <c r="WQ32" s="39"/>
      <c r="WR32" s="305">
        <f t="shared" si="26"/>
        <v>0.99099999999999999</v>
      </c>
      <c r="WT32" s="200">
        <f t="shared" si="27"/>
        <v>11880.510204081633</v>
      </c>
      <c r="WU32" s="131">
        <f t="shared" si="81"/>
        <v>0.9</v>
      </c>
      <c r="WW32" s="199">
        <f t="shared" si="28"/>
        <v>51337</v>
      </c>
      <c r="WX32" s="199">
        <f t="shared" si="29"/>
        <v>273537</v>
      </c>
      <c r="WY32" s="199">
        <f t="shared" si="30"/>
        <v>0</v>
      </c>
      <c r="WZ32" s="199">
        <f t="shared" si="82"/>
        <v>273537</v>
      </c>
      <c r="XA32" s="199">
        <f t="shared" si="31"/>
        <v>0</v>
      </c>
      <c r="XB32" s="199">
        <f t="shared" si="32"/>
        <v>361062</v>
      </c>
      <c r="XC32" s="199">
        <f t="shared" si="33"/>
        <v>361062</v>
      </c>
      <c r="XD32" s="199" t="str">
        <f t="shared" si="34"/>
        <v/>
      </c>
      <c r="XE32" s="199"/>
      <c r="XF32" s="199"/>
      <c r="XG32" s="199"/>
      <c r="XH32" s="199"/>
      <c r="XI32" s="199"/>
      <c r="XJ32" s="199">
        <f t="shared" si="83"/>
        <v>273537</v>
      </c>
      <c r="XP32" s="199">
        <f t="shared" si="35"/>
        <v>273537</v>
      </c>
      <c r="XQ32" s="199">
        <f t="shared" si="36"/>
        <v>5582.3877551020405</v>
      </c>
      <c r="XR32" s="199">
        <f t="shared" si="37"/>
        <v>273537</v>
      </c>
      <c r="XS32" s="199">
        <f t="shared" si="38"/>
        <v>273537</v>
      </c>
      <c r="XT32" s="199">
        <f t="shared" si="39"/>
        <v>5582.3877551020405</v>
      </c>
      <c r="XU32" s="199">
        <f t="shared" si="40"/>
        <v>582145</v>
      </c>
      <c r="XV32" s="199">
        <f t="shared" si="41"/>
        <v>11880.510204081633</v>
      </c>
      <c r="XW32" s="199">
        <f t="shared" si="42"/>
        <v>582145</v>
      </c>
      <c r="XX32" s="199">
        <f t="shared" si="43"/>
        <v>11880.510204081633</v>
      </c>
      <c r="XY32" s="199">
        <f t="shared" si="84"/>
        <v>-308608</v>
      </c>
      <c r="XZ32" s="199">
        <f t="shared" si="85"/>
        <v>-6298.1224489795923</v>
      </c>
      <c r="YA32" s="131">
        <f t="shared" si="86"/>
        <v>-0.5301222204090047</v>
      </c>
      <c r="YB32" s="199"/>
      <c r="YC32" s="221"/>
      <c r="YD32" s="199"/>
      <c r="YE32" s="199">
        <f t="shared" si="44"/>
        <v>51337</v>
      </c>
      <c r="YF32" s="200">
        <f t="shared" si="45"/>
        <v>0</v>
      </c>
      <c r="YG32" s="199">
        <f t="shared" si="46"/>
        <v>361062</v>
      </c>
      <c r="YH32" s="199">
        <f t="shared" si="47"/>
        <v>34160</v>
      </c>
    </row>
    <row r="33" spans="1:658">
      <c r="A33" s="3">
        <v>93</v>
      </c>
      <c r="B33" s="2" t="s">
        <v>124</v>
      </c>
      <c r="C33" s="24">
        <v>0</v>
      </c>
      <c r="D33" s="24">
        <v>0</v>
      </c>
      <c r="E33" s="24">
        <v>0</v>
      </c>
      <c r="F33" s="24">
        <v>0</v>
      </c>
      <c r="G33" s="24">
        <v>2922213</v>
      </c>
      <c r="H33" s="24">
        <v>0</v>
      </c>
      <c r="I33" s="24">
        <v>638934</v>
      </c>
      <c r="J33" s="24">
        <v>5648</v>
      </c>
      <c r="K33" s="24">
        <v>0</v>
      </c>
      <c r="L33" s="24">
        <v>0</v>
      </c>
      <c r="M33" s="24">
        <v>0</v>
      </c>
      <c r="N33" s="24">
        <v>0</v>
      </c>
      <c r="O33" s="24">
        <v>0</v>
      </c>
      <c r="P33" s="24">
        <v>0</v>
      </c>
      <c r="Q33" s="24">
        <v>0</v>
      </c>
      <c r="R33" s="24">
        <v>0</v>
      </c>
      <c r="S33" s="24">
        <v>0</v>
      </c>
      <c r="T33" s="24">
        <v>2844980</v>
      </c>
      <c r="U33" s="24">
        <v>0</v>
      </c>
      <c r="V33" s="24">
        <v>0</v>
      </c>
      <c r="W33" s="24">
        <v>0</v>
      </c>
      <c r="X33" s="24">
        <v>7056042</v>
      </c>
      <c r="Y33" s="24">
        <v>29001</v>
      </c>
      <c r="Z33" s="24">
        <v>0</v>
      </c>
      <c r="AA33" s="24">
        <v>36868</v>
      </c>
      <c r="AB33" s="24">
        <v>18812</v>
      </c>
      <c r="AC33" s="24">
        <v>0</v>
      </c>
      <c r="AD33" s="24">
        <v>46651</v>
      </c>
      <c r="AE33" s="24">
        <v>0</v>
      </c>
      <c r="AF33" s="24">
        <v>0</v>
      </c>
      <c r="AG33" s="24">
        <v>0</v>
      </c>
      <c r="AH33" s="24">
        <v>0</v>
      </c>
      <c r="AI33" s="24">
        <v>0</v>
      </c>
      <c r="AJ33" s="24">
        <v>0</v>
      </c>
      <c r="AK33" s="24">
        <v>0</v>
      </c>
      <c r="AL33" s="24">
        <v>36339</v>
      </c>
      <c r="AM33" s="24">
        <v>0</v>
      </c>
      <c r="AN33" s="24">
        <v>0</v>
      </c>
      <c r="AO33" s="24">
        <v>0</v>
      </c>
      <c r="AP33" s="24">
        <v>0</v>
      </c>
      <c r="AQ33" s="24">
        <v>0</v>
      </c>
      <c r="AR33" s="24">
        <v>0</v>
      </c>
      <c r="AS33" s="24">
        <v>0</v>
      </c>
      <c r="AT33" s="24">
        <v>0</v>
      </c>
      <c r="AU33" s="24">
        <v>0</v>
      </c>
      <c r="AV33" s="24">
        <v>0</v>
      </c>
      <c r="AW33" s="24">
        <v>0</v>
      </c>
      <c r="AX33" s="24">
        <v>0</v>
      </c>
      <c r="AY33" s="24">
        <v>0</v>
      </c>
      <c r="AZ33" s="24">
        <v>0</v>
      </c>
      <c r="BA33" s="24">
        <v>0</v>
      </c>
      <c r="BB33" s="24">
        <v>0</v>
      </c>
      <c r="BC33" s="24">
        <v>0</v>
      </c>
      <c r="BD33" s="24">
        <v>0</v>
      </c>
      <c r="BE33" s="24">
        <v>201481</v>
      </c>
      <c r="BF33" s="24">
        <v>0</v>
      </c>
      <c r="BG33" s="24">
        <v>0</v>
      </c>
      <c r="BH33" s="24">
        <v>0</v>
      </c>
      <c r="BI33" s="24">
        <v>0</v>
      </c>
      <c r="BJ33" s="24">
        <v>0</v>
      </c>
      <c r="BK33" s="24">
        <v>0</v>
      </c>
      <c r="BL33" s="24">
        <v>0</v>
      </c>
      <c r="BM33" s="24">
        <v>0</v>
      </c>
      <c r="BN33" s="24">
        <v>0</v>
      </c>
      <c r="BO33" s="24">
        <v>0</v>
      </c>
      <c r="BP33" s="24">
        <v>0</v>
      </c>
      <c r="BQ33" s="24">
        <v>0</v>
      </c>
      <c r="BR33" s="24">
        <v>0</v>
      </c>
      <c r="BS33" s="24">
        <v>0</v>
      </c>
      <c r="BT33" s="24">
        <v>0</v>
      </c>
      <c r="BU33" s="24">
        <v>0</v>
      </c>
      <c r="BV33" s="24">
        <v>0</v>
      </c>
      <c r="BW33" s="24">
        <v>0</v>
      </c>
      <c r="BX33" s="24">
        <v>0</v>
      </c>
      <c r="BY33" s="24">
        <v>0</v>
      </c>
      <c r="BZ33" s="24">
        <v>0</v>
      </c>
      <c r="CA33" s="24">
        <v>0</v>
      </c>
      <c r="CB33" s="24">
        <v>0</v>
      </c>
      <c r="CC33" s="24">
        <v>0</v>
      </c>
      <c r="CD33" s="24">
        <v>773850</v>
      </c>
      <c r="CE33" s="24">
        <v>34530</v>
      </c>
      <c r="CF33" s="24">
        <v>0</v>
      </c>
      <c r="CG33" s="24">
        <v>52019</v>
      </c>
      <c r="CH33" s="24">
        <v>0</v>
      </c>
      <c r="CI33" s="24">
        <v>0</v>
      </c>
      <c r="CJ33" s="24">
        <v>0</v>
      </c>
      <c r="CK33" s="24">
        <v>0</v>
      </c>
      <c r="CL33" s="24">
        <v>0</v>
      </c>
      <c r="CM33" s="24">
        <v>0</v>
      </c>
      <c r="CN33" s="24">
        <v>0</v>
      </c>
      <c r="CO33" s="24">
        <v>0</v>
      </c>
      <c r="CP33" s="24">
        <v>0</v>
      </c>
      <c r="CQ33" s="24">
        <v>0</v>
      </c>
      <c r="CR33" s="24">
        <v>0</v>
      </c>
      <c r="CS33" s="24">
        <v>85840</v>
      </c>
      <c r="CT33" s="24">
        <v>0</v>
      </c>
      <c r="CU33" s="24">
        <v>0</v>
      </c>
      <c r="CV33" s="24">
        <v>0</v>
      </c>
      <c r="CW33" s="24">
        <v>0</v>
      </c>
      <c r="CX33" s="24">
        <v>0</v>
      </c>
      <c r="CY33" s="24">
        <v>0</v>
      </c>
      <c r="CZ33" s="24">
        <v>0</v>
      </c>
      <c r="DA33" s="24">
        <v>0</v>
      </c>
      <c r="DB33" s="24">
        <v>0</v>
      </c>
      <c r="DC33" s="24">
        <v>0</v>
      </c>
      <c r="DD33" s="24">
        <v>0</v>
      </c>
      <c r="DE33" s="24">
        <v>0</v>
      </c>
      <c r="DF33" s="24">
        <v>0</v>
      </c>
      <c r="DG33" s="24">
        <v>0</v>
      </c>
      <c r="DH33" s="24">
        <v>0</v>
      </c>
      <c r="DI33" s="24">
        <v>0</v>
      </c>
      <c r="DJ33" s="24">
        <v>0</v>
      </c>
      <c r="DK33" s="24">
        <v>0</v>
      </c>
      <c r="DL33" s="24">
        <v>0</v>
      </c>
      <c r="DM33" s="24">
        <v>0</v>
      </c>
      <c r="DN33" s="24">
        <v>51965</v>
      </c>
      <c r="DO33" s="24">
        <v>0</v>
      </c>
      <c r="DP33" s="24">
        <v>0</v>
      </c>
      <c r="DQ33" s="24">
        <v>0</v>
      </c>
      <c r="DR33" s="24">
        <v>0</v>
      </c>
      <c r="DS33" s="24">
        <v>0</v>
      </c>
      <c r="DT33" s="24">
        <v>0</v>
      </c>
      <c r="DU33" s="24">
        <v>17514</v>
      </c>
      <c r="DV33" s="24">
        <v>0</v>
      </c>
      <c r="DW33" s="24">
        <v>0</v>
      </c>
      <c r="DX33" s="24">
        <v>0</v>
      </c>
      <c r="DY33" s="24">
        <v>0</v>
      </c>
      <c r="DZ33" s="24">
        <v>0</v>
      </c>
      <c r="EA33" s="24">
        <v>961</v>
      </c>
      <c r="EB33" s="24">
        <v>0</v>
      </c>
      <c r="EC33" s="24">
        <v>0</v>
      </c>
      <c r="ED33" s="24">
        <v>0</v>
      </c>
      <c r="EE33" s="24">
        <v>0</v>
      </c>
      <c r="EF33" s="24">
        <v>0</v>
      </c>
      <c r="EG33" s="24">
        <v>3839</v>
      </c>
      <c r="EH33" s="24">
        <v>0</v>
      </c>
      <c r="EI33" s="24">
        <v>0</v>
      </c>
      <c r="EJ33" s="24">
        <v>0</v>
      </c>
      <c r="EK33" s="24">
        <v>0</v>
      </c>
      <c r="EL33" s="24">
        <v>0</v>
      </c>
      <c r="EM33" s="24">
        <v>107729</v>
      </c>
      <c r="EN33" s="24">
        <v>0</v>
      </c>
      <c r="EO33" s="24">
        <v>0</v>
      </c>
      <c r="EP33" s="24">
        <v>0</v>
      </c>
      <c r="EQ33" s="24">
        <v>0</v>
      </c>
      <c r="ER33" s="24">
        <v>0</v>
      </c>
      <c r="ES33" s="24">
        <v>0</v>
      </c>
      <c r="ET33" s="24">
        <v>0</v>
      </c>
      <c r="EU33" s="24">
        <v>0</v>
      </c>
      <c r="EV33" s="24">
        <v>0</v>
      </c>
      <c r="EW33" s="24">
        <v>611</v>
      </c>
      <c r="EX33" s="24">
        <v>0</v>
      </c>
      <c r="EY33" s="24">
        <v>0</v>
      </c>
      <c r="EZ33" s="24">
        <v>0</v>
      </c>
      <c r="FA33" s="24">
        <v>0</v>
      </c>
      <c r="FB33" s="24">
        <v>0</v>
      </c>
      <c r="FC33" s="24">
        <v>0</v>
      </c>
      <c r="FD33" s="24">
        <v>0</v>
      </c>
      <c r="FE33" s="24">
        <v>0</v>
      </c>
      <c r="FF33" s="24">
        <v>0</v>
      </c>
      <c r="FG33" s="24">
        <v>0</v>
      </c>
      <c r="FH33" s="24">
        <v>0</v>
      </c>
      <c r="FI33" s="24">
        <v>0</v>
      </c>
      <c r="FJ33" s="24">
        <v>0</v>
      </c>
      <c r="FK33" s="24">
        <v>0</v>
      </c>
      <c r="FL33" s="24">
        <v>122407</v>
      </c>
      <c r="FM33" s="24">
        <v>0</v>
      </c>
      <c r="FN33" s="24">
        <v>0</v>
      </c>
      <c r="FO33" s="24">
        <v>0</v>
      </c>
      <c r="FP33" s="24">
        <v>0</v>
      </c>
      <c r="FQ33" s="24">
        <v>0</v>
      </c>
      <c r="FR33" s="24">
        <v>0</v>
      </c>
      <c r="FS33" s="24">
        <v>1159696</v>
      </c>
      <c r="FT33" s="24">
        <v>0</v>
      </c>
      <c r="FU33" s="24">
        <v>0</v>
      </c>
      <c r="FV33" s="24">
        <v>0</v>
      </c>
      <c r="FW33" s="24">
        <v>0</v>
      </c>
      <c r="FX33" s="24">
        <v>0</v>
      </c>
      <c r="FY33" s="24">
        <v>0</v>
      </c>
      <c r="FZ33" s="24">
        <v>81719</v>
      </c>
      <c r="GA33" s="24">
        <v>0</v>
      </c>
      <c r="GB33" s="24">
        <v>0</v>
      </c>
      <c r="GC33" s="24">
        <v>0</v>
      </c>
      <c r="GD33" s="24">
        <v>0</v>
      </c>
      <c r="GE33" s="24">
        <v>38645</v>
      </c>
      <c r="GF33" s="24">
        <v>0</v>
      </c>
      <c r="GG33" s="24">
        <v>107986</v>
      </c>
      <c r="GH33" s="24">
        <v>0</v>
      </c>
      <c r="GI33" s="24">
        <v>0</v>
      </c>
      <c r="GJ33" s="24">
        <v>0</v>
      </c>
      <c r="GK33" s="24">
        <v>0</v>
      </c>
      <c r="GL33" s="24">
        <v>0</v>
      </c>
      <c r="GM33" s="24">
        <v>0</v>
      </c>
      <c r="GN33" s="24">
        <v>0</v>
      </c>
      <c r="GO33" s="24">
        <v>0</v>
      </c>
      <c r="GP33" s="24">
        <v>0</v>
      </c>
      <c r="GQ33" s="24">
        <v>0</v>
      </c>
      <c r="GR33" s="24">
        <v>477</v>
      </c>
      <c r="GS33" s="24">
        <v>0</v>
      </c>
      <c r="GT33" s="24">
        <v>0</v>
      </c>
      <c r="GU33" s="24">
        <v>92808</v>
      </c>
      <c r="GV33" s="24">
        <v>0</v>
      </c>
      <c r="GW33" s="24">
        <v>0</v>
      </c>
      <c r="GX33" s="24">
        <v>0</v>
      </c>
      <c r="GY33" s="24">
        <v>0</v>
      </c>
      <c r="GZ33" s="24">
        <v>0</v>
      </c>
      <c r="HA33" s="24">
        <v>0</v>
      </c>
      <c r="HB33" s="24">
        <v>0</v>
      </c>
      <c r="HC33" s="24">
        <v>0</v>
      </c>
      <c r="HD33" s="24">
        <v>43974989</v>
      </c>
      <c r="HE33" s="24">
        <v>0</v>
      </c>
      <c r="HF33" s="24">
        <v>0</v>
      </c>
      <c r="HG33" s="24">
        <v>0</v>
      </c>
      <c r="HH33" s="24">
        <v>0</v>
      </c>
      <c r="HI33" s="24">
        <v>1941183</v>
      </c>
      <c r="HJ33" s="24">
        <v>0</v>
      </c>
      <c r="HK33" s="24">
        <v>0</v>
      </c>
      <c r="HL33" s="24">
        <v>72450</v>
      </c>
      <c r="HM33" s="24">
        <v>0</v>
      </c>
      <c r="HN33" s="24">
        <v>0</v>
      </c>
      <c r="HO33" s="24">
        <v>5776760</v>
      </c>
      <c r="HP33" s="24">
        <v>1581373</v>
      </c>
      <c r="HQ33" s="24">
        <v>0</v>
      </c>
      <c r="HR33" s="24">
        <v>0</v>
      </c>
      <c r="HS33" s="24">
        <v>0</v>
      </c>
      <c r="HT33" s="24">
        <v>0</v>
      </c>
      <c r="HU33" s="24">
        <v>0</v>
      </c>
      <c r="HV33" s="24">
        <v>0</v>
      </c>
      <c r="HW33" s="24">
        <v>0</v>
      </c>
      <c r="HX33" s="24">
        <v>0</v>
      </c>
      <c r="HY33" s="24">
        <v>0</v>
      </c>
      <c r="HZ33" s="24">
        <v>0</v>
      </c>
      <c r="IA33" s="24">
        <v>705501</v>
      </c>
      <c r="IB33" s="24">
        <v>154206</v>
      </c>
      <c r="IC33" s="24">
        <v>0</v>
      </c>
      <c r="ID33" s="24">
        <v>0</v>
      </c>
      <c r="IE33" s="24">
        <v>0</v>
      </c>
      <c r="IF33" s="24">
        <v>0</v>
      </c>
      <c r="IG33" s="24">
        <v>0</v>
      </c>
      <c r="IH33" s="24">
        <v>0</v>
      </c>
      <c r="II33" s="24">
        <v>0</v>
      </c>
      <c r="IJ33" s="24">
        <v>1031420</v>
      </c>
      <c r="IK33" s="24">
        <v>0</v>
      </c>
      <c r="IL33" s="24">
        <v>0</v>
      </c>
      <c r="IM33" s="24">
        <v>0</v>
      </c>
      <c r="IN33" s="24">
        <v>0</v>
      </c>
      <c r="IO33" s="24">
        <v>12666</v>
      </c>
      <c r="IP33" s="24">
        <v>0</v>
      </c>
      <c r="IQ33" s="24">
        <v>0</v>
      </c>
      <c r="IR33" s="24">
        <v>627646</v>
      </c>
      <c r="IS33" s="24">
        <v>0</v>
      </c>
      <c r="IT33" s="24">
        <v>0</v>
      </c>
      <c r="IU33" s="24">
        <v>0</v>
      </c>
      <c r="IV33" s="24">
        <v>0</v>
      </c>
      <c r="IW33" s="24">
        <v>786251</v>
      </c>
      <c r="IX33" s="24">
        <v>0</v>
      </c>
      <c r="IY33" s="24">
        <v>0</v>
      </c>
      <c r="IZ33" s="24">
        <v>0</v>
      </c>
      <c r="JA33" s="24">
        <v>0</v>
      </c>
      <c r="JB33" s="24">
        <v>249029</v>
      </c>
      <c r="JC33" s="24">
        <v>0</v>
      </c>
      <c r="JD33" s="24">
        <v>0</v>
      </c>
      <c r="JE33" s="24">
        <v>77211</v>
      </c>
      <c r="JF33" s="24">
        <v>0</v>
      </c>
      <c r="JG33" s="24">
        <v>0</v>
      </c>
      <c r="JH33" s="24">
        <v>0</v>
      </c>
      <c r="JI33" s="24">
        <v>0</v>
      </c>
      <c r="JJ33" s="24">
        <v>0</v>
      </c>
      <c r="JK33" s="24">
        <v>0</v>
      </c>
      <c r="JL33" s="24">
        <v>0</v>
      </c>
      <c r="JM33" s="24">
        <v>0</v>
      </c>
      <c r="JN33" s="24">
        <v>0</v>
      </c>
      <c r="JO33" s="24">
        <v>0</v>
      </c>
      <c r="JP33" s="24">
        <v>0</v>
      </c>
      <c r="JQ33" s="24">
        <v>0</v>
      </c>
      <c r="JR33" s="24">
        <v>0</v>
      </c>
      <c r="JS33" s="24">
        <v>0</v>
      </c>
      <c r="JT33" s="24">
        <v>0</v>
      </c>
      <c r="JU33" s="24">
        <v>0</v>
      </c>
      <c r="JV33" s="24">
        <v>0</v>
      </c>
      <c r="JW33" s="24">
        <v>2418141</v>
      </c>
      <c r="JX33" s="24">
        <v>0</v>
      </c>
      <c r="JY33" s="24">
        <v>0</v>
      </c>
      <c r="JZ33" s="24">
        <v>0</v>
      </c>
      <c r="KA33" s="24">
        <v>0</v>
      </c>
      <c r="KB33" s="24">
        <v>0</v>
      </c>
      <c r="KC33" s="24">
        <v>0</v>
      </c>
      <c r="KD33" s="24">
        <v>0</v>
      </c>
      <c r="KE33" s="24">
        <v>0</v>
      </c>
      <c r="KF33" s="24">
        <v>0</v>
      </c>
      <c r="KG33" s="24">
        <v>0</v>
      </c>
      <c r="KH33" s="24">
        <v>0</v>
      </c>
      <c r="KI33" s="24">
        <v>0</v>
      </c>
      <c r="KJ33" s="24">
        <v>0</v>
      </c>
      <c r="KK33" s="24">
        <v>0</v>
      </c>
      <c r="KL33" s="24">
        <v>0</v>
      </c>
      <c r="KM33" s="24">
        <v>0</v>
      </c>
      <c r="KN33" s="24">
        <v>0</v>
      </c>
      <c r="KO33" s="24">
        <v>0</v>
      </c>
      <c r="KP33" s="24">
        <v>0</v>
      </c>
      <c r="KQ33" s="24">
        <v>0</v>
      </c>
      <c r="KR33" s="24">
        <v>55087</v>
      </c>
      <c r="KS33" s="24">
        <v>0</v>
      </c>
      <c r="KT33" s="24">
        <v>0</v>
      </c>
      <c r="KU33" s="24">
        <v>0</v>
      </c>
      <c r="KV33" s="24">
        <v>0</v>
      </c>
      <c r="KW33" s="24">
        <v>0</v>
      </c>
      <c r="KX33" s="24">
        <v>0</v>
      </c>
      <c r="KY33" s="24">
        <v>0</v>
      </c>
      <c r="KZ33" s="24">
        <v>0</v>
      </c>
      <c r="LA33" s="24">
        <v>0</v>
      </c>
      <c r="LB33" s="24">
        <v>0</v>
      </c>
      <c r="LC33" s="24">
        <v>0</v>
      </c>
      <c r="LD33" s="24">
        <v>0</v>
      </c>
      <c r="LE33" s="24">
        <v>0</v>
      </c>
      <c r="LF33" s="24">
        <v>0</v>
      </c>
      <c r="LG33" s="24">
        <v>0</v>
      </c>
      <c r="LH33" s="24">
        <v>0</v>
      </c>
      <c r="LI33" s="24">
        <v>0</v>
      </c>
      <c r="LJ33" s="24">
        <v>0</v>
      </c>
      <c r="LK33" s="24">
        <v>0</v>
      </c>
      <c r="LL33" s="24">
        <v>0</v>
      </c>
      <c r="LM33" s="24">
        <v>0</v>
      </c>
      <c r="LN33" s="24">
        <v>0</v>
      </c>
      <c r="LO33" s="24">
        <v>0</v>
      </c>
      <c r="LP33" s="24">
        <v>0</v>
      </c>
      <c r="LQ33" s="24">
        <v>1543779</v>
      </c>
      <c r="LR33" s="24">
        <v>39625</v>
      </c>
      <c r="LS33" s="24">
        <v>0</v>
      </c>
      <c r="LT33" s="24">
        <v>0</v>
      </c>
      <c r="LU33" s="24">
        <v>0</v>
      </c>
      <c r="LV33" s="24">
        <v>0</v>
      </c>
      <c r="LW33" s="24">
        <v>0</v>
      </c>
      <c r="LX33" s="24">
        <v>0</v>
      </c>
      <c r="LY33" s="24">
        <v>0</v>
      </c>
      <c r="LZ33" s="24">
        <v>0</v>
      </c>
      <c r="MA33" s="24">
        <v>0</v>
      </c>
      <c r="MB33" s="24">
        <v>0</v>
      </c>
      <c r="MC33" s="24">
        <v>0</v>
      </c>
      <c r="MD33" s="24">
        <v>0</v>
      </c>
      <c r="ME33" s="24">
        <v>0</v>
      </c>
      <c r="MF33" s="24">
        <v>0</v>
      </c>
      <c r="MG33" s="24">
        <v>0</v>
      </c>
      <c r="MH33" s="24">
        <v>0</v>
      </c>
      <c r="MI33" s="24">
        <v>0</v>
      </c>
      <c r="MJ33" s="24">
        <v>0</v>
      </c>
      <c r="MK33" s="24">
        <v>0</v>
      </c>
      <c r="ML33" s="24">
        <v>0</v>
      </c>
      <c r="MM33" s="24">
        <v>0</v>
      </c>
      <c r="MN33" s="24">
        <v>0</v>
      </c>
      <c r="MO33" s="24">
        <v>95986</v>
      </c>
      <c r="MP33" s="24">
        <v>0</v>
      </c>
      <c r="MQ33" s="24">
        <v>0</v>
      </c>
      <c r="MR33" s="24">
        <v>2441685</v>
      </c>
      <c r="MS33" s="24">
        <v>0</v>
      </c>
      <c r="MT33" s="24">
        <v>0</v>
      </c>
      <c r="MU33" s="24">
        <v>0</v>
      </c>
      <c r="MV33" s="24">
        <v>0</v>
      </c>
      <c r="MW33" s="24">
        <v>1829781</v>
      </c>
      <c r="MX33" s="24">
        <v>61023</v>
      </c>
      <c r="MY33" s="24">
        <v>0</v>
      </c>
      <c r="MZ33" s="24">
        <v>0</v>
      </c>
      <c r="NA33" s="24">
        <v>0</v>
      </c>
      <c r="NB33" s="24">
        <v>0</v>
      </c>
      <c r="NC33" s="24">
        <v>28964</v>
      </c>
      <c r="ND33" s="24">
        <v>0</v>
      </c>
      <c r="NE33" s="24">
        <v>0</v>
      </c>
      <c r="NF33" s="24">
        <v>12199</v>
      </c>
      <c r="NG33" s="24">
        <v>0</v>
      </c>
      <c r="NH33" s="24">
        <v>0</v>
      </c>
      <c r="NI33" s="24">
        <v>0</v>
      </c>
      <c r="NJ33" s="24">
        <v>0</v>
      </c>
      <c r="NK33" s="24">
        <v>0</v>
      </c>
      <c r="NL33" s="24">
        <v>0</v>
      </c>
      <c r="NM33" s="24">
        <v>0</v>
      </c>
      <c r="NN33" s="24">
        <v>0</v>
      </c>
      <c r="NO33" s="24">
        <v>0</v>
      </c>
      <c r="NP33" s="24">
        <v>0</v>
      </c>
      <c r="NQ33" s="24">
        <v>0</v>
      </c>
      <c r="NR33" s="24">
        <v>0</v>
      </c>
      <c r="NS33" s="24">
        <v>0</v>
      </c>
      <c r="NT33" s="24">
        <v>0</v>
      </c>
      <c r="NU33" s="24">
        <v>56616</v>
      </c>
      <c r="NV33" s="24">
        <v>250849</v>
      </c>
      <c r="NW33" s="24">
        <v>0</v>
      </c>
      <c r="NX33" s="24">
        <v>0</v>
      </c>
      <c r="NY33" s="24">
        <v>0</v>
      </c>
      <c r="NZ33" s="24">
        <v>0</v>
      </c>
      <c r="OA33" s="24">
        <v>0</v>
      </c>
      <c r="OB33" s="24">
        <v>0</v>
      </c>
      <c r="OC33" s="24">
        <v>0</v>
      </c>
      <c r="OD33" s="24">
        <v>0</v>
      </c>
      <c r="OE33" s="24">
        <v>0</v>
      </c>
      <c r="OF33" s="24">
        <v>0</v>
      </c>
      <c r="OG33" s="24">
        <v>0</v>
      </c>
      <c r="OH33" s="24">
        <v>0</v>
      </c>
      <c r="OI33" s="24">
        <v>0</v>
      </c>
      <c r="OJ33" s="24">
        <v>0</v>
      </c>
      <c r="OK33" s="24">
        <v>314922</v>
      </c>
      <c r="OL33" s="24">
        <v>0</v>
      </c>
      <c r="OM33" s="24">
        <v>0</v>
      </c>
      <c r="ON33" s="24">
        <v>0</v>
      </c>
      <c r="OO33" s="24">
        <v>0</v>
      </c>
      <c r="OP33" s="24">
        <v>0</v>
      </c>
      <c r="OQ33" s="24">
        <v>0</v>
      </c>
      <c r="OR33" s="24">
        <v>0</v>
      </c>
      <c r="OS33" s="24">
        <v>0</v>
      </c>
      <c r="OT33" s="24">
        <v>51099</v>
      </c>
      <c r="OU33" s="24">
        <v>63616955</v>
      </c>
      <c r="OV33" s="24">
        <v>0</v>
      </c>
      <c r="OW33" s="24">
        <v>0</v>
      </c>
      <c r="OX33" s="24">
        <v>0</v>
      </c>
      <c r="OY33" s="24">
        <v>0</v>
      </c>
      <c r="OZ33" s="24">
        <v>0</v>
      </c>
      <c r="PA33" s="24">
        <v>0</v>
      </c>
      <c r="PB33" s="24">
        <v>0</v>
      </c>
      <c r="PC33" s="24">
        <v>0</v>
      </c>
      <c r="PD33" s="24">
        <v>0</v>
      </c>
      <c r="PE33" s="24">
        <v>0</v>
      </c>
      <c r="PF33" s="24">
        <v>0</v>
      </c>
      <c r="PG33" s="24">
        <v>0</v>
      </c>
      <c r="PH33" s="24">
        <v>157774</v>
      </c>
      <c r="PI33" s="24">
        <v>0</v>
      </c>
      <c r="PJ33" s="24">
        <v>0</v>
      </c>
      <c r="PK33" s="24">
        <v>0</v>
      </c>
      <c r="PL33" s="24">
        <v>0</v>
      </c>
      <c r="PM33" s="24">
        <v>0</v>
      </c>
      <c r="PN33" s="24">
        <v>0</v>
      </c>
      <c r="PO33" s="24">
        <v>0</v>
      </c>
      <c r="PP33" s="24">
        <v>0</v>
      </c>
      <c r="PQ33" s="24">
        <v>0</v>
      </c>
      <c r="PR33" s="24">
        <v>0</v>
      </c>
      <c r="PS33" s="24">
        <v>0</v>
      </c>
      <c r="PT33" s="24">
        <v>0</v>
      </c>
      <c r="PU33" s="24">
        <v>0</v>
      </c>
      <c r="PV33" s="24">
        <v>0</v>
      </c>
      <c r="PW33" s="24">
        <v>0</v>
      </c>
      <c r="PX33" s="24">
        <v>0</v>
      </c>
      <c r="PY33" s="24">
        <v>0</v>
      </c>
      <c r="PZ33" s="24">
        <v>0</v>
      </c>
      <c r="QA33" s="24">
        <v>0</v>
      </c>
      <c r="QB33" s="24">
        <v>0</v>
      </c>
      <c r="QC33" s="24">
        <v>0</v>
      </c>
      <c r="QD33" s="24">
        <v>0</v>
      </c>
      <c r="QE33" s="24">
        <v>0</v>
      </c>
      <c r="QF33" s="24">
        <v>0</v>
      </c>
      <c r="QG33" s="24">
        <v>0</v>
      </c>
      <c r="QH33" s="24">
        <v>0</v>
      </c>
      <c r="QI33" s="24">
        <v>0</v>
      </c>
      <c r="QJ33" s="24">
        <v>0</v>
      </c>
      <c r="QK33" s="24">
        <v>0</v>
      </c>
      <c r="QL33" s="24">
        <v>0</v>
      </c>
      <c r="QM33" s="24">
        <v>0</v>
      </c>
      <c r="QN33" s="24">
        <v>0</v>
      </c>
      <c r="QO33" s="24">
        <v>0</v>
      </c>
      <c r="QP33" s="24">
        <v>0</v>
      </c>
      <c r="QQ33" s="24">
        <v>0</v>
      </c>
      <c r="QR33" s="24">
        <v>0</v>
      </c>
      <c r="QS33" s="24">
        <v>77252</v>
      </c>
      <c r="QT33" s="24">
        <v>0</v>
      </c>
      <c r="QU33" s="24">
        <v>0</v>
      </c>
      <c r="QV33" s="24">
        <v>0</v>
      </c>
      <c r="QW33" s="24">
        <v>318571</v>
      </c>
      <c r="QX33" s="24">
        <v>0</v>
      </c>
      <c r="QY33" s="24">
        <v>0</v>
      </c>
      <c r="QZ33" s="24">
        <v>0</v>
      </c>
      <c r="RA33" s="24">
        <v>0</v>
      </c>
      <c r="RB33" s="24">
        <v>0</v>
      </c>
      <c r="RG33" s="39">
        <f t="shared" si="48"/>
        <v>43974989</v>
      </c>
      <c r="RH33" s="39">
        <f t="shared" si="48"/>
        <v>1941183</v>
      </c>
      <c r="RI33" s="39">
        <f t="shared" si="48"/>
        <v>72450</v>
      </c>
      <c r="RJ33" s="39">
        <f t="shared" si="48"/>
        <v>0</v>
      </c>
      <c r="RK33" s="39">
        <f t="shared" si="48"/>
        <v>0</v>
      </c>
      <c r="RL33" s="39">
        <f t="shared" si="48"/>
        <v>5776760</v>
      </c>
      <c r="RM33" s="39">
        <f t="shared" si="48"/>
        <v>3472500</v>
      </c>
      <c r="RN33" s="39">
        <f t="shared" si="48"/>
        <v>12666</v>
      </c>
      <c r="RO33" s="39">
        <f t="shared" si="48"/>
        <v>627646</v>
      </c>
      <c r="RP33" s="39">
        <f t="shared" si="48"/>
        <v>786251</v>
      </c>
      <c r="RQ33" s="39">
        <f t="shared" si="48"/>
        <v>249029</v>
      </c>
      <c r="RR33" s="39">
        <f t="shared" si="48"/>
        <v>2495352</v>
      </c>
      <c r="RS33" s="39"/>
      <c r="RT33" s="182"/>
      <c r="RU33" s="39"/>
      <c r="RV33" s="39">
        <f t="shared" si="49"/>
        <v>6730516</v>
      </c>
      <c r="RW33" s="39">
        <f t="shared" si="49"/>
        <v>59408826</v>
      </c>
      <c r="RX33" s="39">
        <f t="shared" si="49"/>
        <v>16569565</v>
      </c>
      <c r="RY33" s="39">
        <f t="shared" si="49"/>
        <v>64221651</v>
      </c>
      <c r="RZ33" s="39"/>
      <c r="SA33" s="182"/>
      <c r="SB33" s="39"/>
      <c r="SC33" s="25">
        <f t="shared" si="50"/>
        <v>1526.0236691840119</v>
      </c>
      <c r="SD33" s="39">
        <f>IFERROR(VLOOKUP(A33, 'Levy Data 15-16'!$B:$O, 3, FALSE), 0)</f>
        <v>2412315340</v>
      </c>
      <c r="SE33" s="39">
        <f t="shared" si="9"/>
        <v>222169.39952109044</v>
      </c>
      <c r="SF33" s="631">
        <f>IFERROR(VLOOKUP(A33, 'Levy Data 15-16'!$B:$O, 14, FALSE), 0)*1000</f>
        <v>5.4479990000000003</v>
      </c>
      <c r="SG33" s="39">
        <f t="shared" si="10"/>
        <v>0</v>
      </c>
      <c r="SH33" s="39">
        <f t="shared" si="11"/>
        <v>0</v>
      </c>
      <c r="SI33" s="39">
        <f t="shared" si="12"/>
        <v>16569565</v>
      </c>
      <c r="SM33" s="39">
        <f t="shared" si="13"/>
        <v>59408826</v>
      </c>
      <c r="SN33" s="39">
        <f t="shared" si="14"/>
        <v>0</v>
      </c>
      <c r="SO33" s="39">
        <f t="shared" si="51"/>
        <v>59408826</v>
      </c>
      <c r="SP33" s="50">
        <f t="shared" si="52"/>
        <v>1</v>
      </c>
      <c r="ST33" s="124">
        <f>IFERROR(VLOOKUP(A33,'Grade Enroll 15-16'!B:AC,27,FALSE),"")</f>
        <v>10858</v>
      </c>
      <c r="SU33" s="124">
        <f t="shared" si="53"/>
        <v>4664.8980112187655</v>
      </c>
      <c r="SV33" s="131">
        <f>IFERROR(VLOOKUP($A33, 'Title I Enroll 16-17'!S:V, 4, FALSE), 0)</f>
        <v>0.42962774094849565</v>
      </c>
      <c r="SW33" s="729">
        <f>IFERROR(VLOOKUP(A33, 'ELL Enroll 15-16'!$N:$S, 6, FALSE), 0)</f>
        <v>643</v>
      </c>
      <c r="SX33" s="131">
        <f t="shared" si="54"/>
        <v>5.9219009025603245E-2</v>
      </c>
      <c r="SY33" s="124">
        <f>IFERROR(VLOOKUP(A33, 'SPED enroll 2015-16'!$M:$O, 3, FALSE), 0)</f>
        <v>1176</v>
      </c>
      <c r="SZ33" s="131">
        <f t="shared" si="55"/>
        <v>0.10830723890219193</v>
      </c>
      <c r="TA33" s="142">
        <f t="shared" si="56"/>
        <v>823.19999999999993</v>
      </c>
      <c r="TB33" s="142">
        <f t="shared" si="56"/>
        <v>235.20000000000002</v>
      </c>
      <c r="TC33" s="142">
        <f t="shared" si="56"/>
        <v>82.320000000000007</v>
      </c>
      <c r="TD33" s="142">
        <f t="shared" si="56"/>
        <v>35.28</v>
      </c>
      <c r="TE33" s="124">
        <f>VLOOKUP($A33, 'Grade Enroll 15-16'!$B:$AB, 20, FALSE)</f>
        <v>127</v>
      </c>
      <c r="TF33" s="124">
        <f>VLOOKUP($A33, 'Grade Enroll 15-16'!$B:$AB, 21, FALSE)</f>
        <v>903</v>
      </c>
      <c r="TG33" s="124">
        <f>VLOOKUP($A33, 'Grade Enroll 15-16'!$B:$AB, 22, FALSE)</f>
        <v>2946</v>
      </c>
      <c r="TH33" s="124">
        <f>VLOOKUP($A33, 'Grade Enroll 15-16'!$B:$AB, 23, FALSE)</f>
        <v>2782</v>
      </c>
      <c r="TI33" s="124">
        <f>VLOOKUP($A33, 'Grade Enroll 15-16'!$B:$AB, 24, FALSE)</f>
        <v>1830</v>
      </c>
      <c r="TJ33" s="124">
        <f>VLOOKUP($A33, 'Grade Enroll 15-16'!$B:$AB, 25, FALSE)</f>
        <v>3300</v>
      </c>
      <c r="TK33" s="124">
        <f>VLOOKUP($A33, 'Grade Enroll 15-16'!$B:$AB, 26, FALSE)</f>
        <v>7297</v>
      </c>
      <c r="TL33" s="131">
        <f>SUMIFS('Student Achievement 15-16'!N:N, 'Student Achievement 15-16'!B:B, 'Idaho Data'!A33, 'Student Achievement 15-16'!D:D, "math")/100</f>
        <v>0.27500000000000002</v>
      </c>
      <c r="TM33" s="134">
        <f t="shared" si="57"/>
        <v>2985.9500000000003</v>
      </c>
      <c r="TN33" s="131">
        <f>SUMIFS('Student Achievement 15-16'!N:N, 'Student Achievement 15-16'!B:B, 'Idaho Data'!A33, 'Student Achievement 15-16'!D:D, "ela")/100</f>
        <v>0.19500000000000001</v>
      </c>
      <c r="TO33" s="134">
        <f t="shared" si="58"/>
        <v>2117.31</v>
      </c>
      <c r="TP33" s="688">
        <f>IFERROR(VLOOKUP(A33, 'G&amp;T 15-16'!B:G, 6, FALSE), 0)*1</f>
        <v>0</v>
      </c>
      <c r="TQ33" s="168">
        <f t="shared" si="59"/>
        <v>651.48</v>
      </c>
      <c r="TU33" s="168">
        <f t="shared" si="60"/>
        <v>2117.31</v>
      </c>
      <c r="TV33" s="168">
        <f t="shared" si="61"/>
        <v>2985.9500000000003</v>
      </c>
      <c r="TW33" s="205">
        <f t="shared" si="62"/>
        <v>2985.9500000000003</v>
      </c>
      <c r="TX33" s="144"/>
      <c r="TY33" s="129"/>
      <c r="TZ33" s="127">
        <f t="shared" si="63"/>
        <v>0</v>
      </c>
      <c r="UA33" s="127">
        <f t="shared" si="64"/>
        <v>651.48</v>
      </c>
      <c r="UB33" s="205">
        <f t="shared" si="65"/>
        <v>651.48</v>
      </c>
      <c r="UE33" s="853" t="str">
        <f>IF(ST33&lt;='1. Simulator Input'!$E$104, "yes", "")</f>
        <v/>
      </c>
      <c r="UI33" s="199">
        <f t="shared" si="66"/>
        <v>0</v>
      </c>
      <c r="UJ33" s="200">
        <f>IF('Idaho Data'!SI33&gt;=0, ((1-'1. Simulator Input'!$E$39)*'Idaho Data'!SI33), 0)</f>
        <v>0</v>
      </c>
      <c r="UK33" s="200">
        <f t="shared" si="67"/>
        <v>59408826</v>
      </c>
      <c r="UL33" s="39"/>
      <c r="UM33" s="182"/>
      <c r="UN33" s="39"/>
      <c r="UO33" s="39" t="str">
        <f>IF(AND('1. Simulator Input'!$E$96="yes", '1. Simulator Input'!$E$98="yes", '1. Simulator Input'!$E$100="hold harmless"), 'Idaho Data'!WN33, IF(AND('1. Simulator Input'!$E$96="yes", '1. Simulator Input'!$E$98="no", '1. Simulator Input'!$E$100="hold harmless"), 'Idaho Data'!WM33, IF(AND('1. Simulator Input'!$E$96="yes", '1. Simulator Input'!$E$98="yes", '1. Simulator Input'!$E$100="small district grant"), WL33,IF(AND('1. Simulator Input'!$E$96="yes", '1. Simulator Input'!$E$98="no", '1. Simulator Input'!$E$100="small district grant"), WK33, ""))))</f>
        <v/>
      </c>
      <c r="UP33" s="200">
        <f>'1. Simulator Input'!$D$56*('Idaho Data'!ST33)</f>
        <v>60001308</v>
      </c>
      <c r="UQ33" s="204">
        <f>'1. Simulator Input'!$D$65*'1. Simulator Input'!$D$56*'Idaho Data'!SU33</f>
        <v>0</v>
      </c>
      <c r="UR33" s="204">
        <f>'1. Simulator Input'!$D$66*'1. Simulator Input'!$D$56*'Idaho Data'!SW33</f>
        <v>0</v>
      </c>
      <c r="US33" s="200">
        <f>'1. Simulator Input'!$D$67*'1. Simulator Input'!$D$56*'Idaho Data'!TA33</f>
        <v>0</v>
      </c>
      <c r="UT33" s="200">
        <f>'1. Simulator Input'!$D$68*'1. Simulator Input'!$D$56*'Idaho Data'!TB33</f>
        <v>0</v>
      </c>
      <c r="UU33" s="200">
        <f>'1. Simulator Input'!$D$69*'1. Simulator Input'!$D$56*'Idaho Data'!TC33</f>
        <v>0</v>
      </c>
      <c r="UV33" s="200">
        <f>'1. Simulator Input'!$D$70*'1. Simulator Input'!$D$56*TD33</f>
        <v>0</v>
      </c>
      <c r="UW33" s="200">
        <f>'1. Simulator Input'!$D$80*'1. Simulator Input'!$D$56*TW33</f>
        <v>0</v>
      </c>
      <c r="UX33" s="200">
        <f>'1. Simulator Input'!$D$79*'1. Simulator Input'!$D$56*UB33</f>
        <v>0</v>
      </c>
      <c r="UY33" s="200">
        <f>'1. Simulator Input'!$D$87*'1. Simulator Input'!$D$56*TF33</f>
        <v>2494989</v>
      </c>
      <c r="UZ33" s="200">
        <f>'1. Simulator Input'!$D$73*'1. Simulator Input'!$D$56*'Idaho Data'!TG33</f>
        <v>0</v>
      </c>
      <c r="VA33" s="200">
        <f>'1. Simulator Input'!$D$56*'1. Simulator Input'!$D$74*'Idaho Data'!TH33</f>
        <v>0</v>
      </c>
      <c r="VB33" s="200">
        <f>'1. Simulator Input'!$D$56*'1. Simulator Input'!$D$75*'Idaho Data'!TI28</f>
        <v>0</v>
      </c>
      <c r="VC33" s="200">
        <f>'1. Simulator Input'!$D$76*'1. Simulator Input'!$D$56*'Idaho Data'!TJ33</f>
        <v>0</v>
      </c>
      <c r="VD33" s="200">
        <f t="shared" si="68"/>
        <v>62496297</v>
      </c>
      <c r="VE33" s="200"/>
      <c r="VF33" s="182"/>
      <c r="VG33" s="200"/>
      <c r="VH33" s="200">
        <f t="shared" si="69"/>
        <v>0</v>
      </c>
      <c r="VI33" s="200">
        <f t="shared" si="70"/>
        <v>0</v>
      </c>
      <c r="VJ33" s="200">
        <f t="shared" si="16"/>
        <v>62496297</v>
      </c>
      <c r="VK33" s="200">
        <f t="shared" si="17"/>
        <v>62496297</v>
      </c>
      <c r="VL33" s="200"/>
      <c r="VM33" s="182"/>
      <c r="VN33" s="200"/>
      <c r="VO33" s="200">
        <f t="shared" si="71"/>
        <v>6730516</v>
      </c>
      <c r="VP33" s="200">
        <f t="shared" si="72"/>
        <v>59408826</v>
      </c>
      <c r="VQ33" s="200">
        <f t="shared" si="73"/>
        <v>16569565</v>
      </c>
      <c r="VR33" s="200">
        <f t="shared" si="74"/>
        <v>6730516</v>
      </c>
      <c r="VS33" s="200">
        <f t="shared" si="18"/>
        <v>62496297</v>
      </c>
      <c r="VT33" s="200">
        <f t="shared" si="19"/>
        <v>16569565</v>
      </c>
      <c r="VU33" s="200">
        <f t="shared" si="20"/>
        <v>0</v>
      </c>
      <c r="VV33" s="200"/>
      <c r="VW33" s="182"/>
      <c r="VX33" s="200"/>
      <c r="VZ33" s="199">
        <f t="shared" si="75"/>
        <v>3087471</v>
      </c>
      <c r="WA33" s="199">
        <f t="shared" si="76"/>
        <v>284.34988027261005</v>
      </c>
      <c r="WB33" s="131">
        <f t="shared" si="77"/>
        <v>5.196990426977971E-2</v>
      </c>
      <c r="WC33" s="131"/>
      <c r="WD33" s="461"/>
      <c r="WE33" s="893"/>
      <c r="WF33" s="893">
        <f t="shared" si="78"/>
        <v>7617.3242770307606</v>
      </c>
      <c r="WG33" s="893">
        <f t="shared" si="79"/>
        <v>7901.6741573033705</v>
      </c>
      <c r="WH33" s="893"/>
      <c r="WI33" s="893">
        <f t="shared" si="80"/>
        <v>59408826</v>
      </c>
      <c r="WJ33" s="893">
        <f t="shared" si="21"/>
        <v>62496297</v>
      </c>
      <c r="WK33" s="39" t="str">
        <f t="shared" si="22"/>
        <v/>
      </c>
      <c r="WL33" s="39" t="str">
        <f t="shared" si="23"/>
        <v/>
      </c>
      <c r="WM33" s="200" t="str">
        <f t="shared" si="24"/>
        <v/>
      </c>
      <c r="WN33" s="39" t="str">
        <f t="shared" si="25"/>
        <v/>
      </c>
      <c r="WO33" s="39"/>
      <c r="WP33" s="182"/>
      <c r="WQ33" s="39"/>
      <c r="WR33" s="305">
        <f t="shared" si="26"/>
        <v>6.0999999999999999E-2</v>
      </c>
      <c r="WT33" s="200">
        <f t="shared" si="27"/>
        <v>5471.4335973475781</v>
      </c>
      <c r="WU33" s="131">
        <f t="shared" si="81"/>
        <v>0.12</v>
      </c>
      <c r="WW33" s="199">
        <f t="shared" si="28"/>
        <v>6730516</v>
      </c>
      <c r="WX33" s="199">
        <f t="shared" si="29"/>
        <v>62496297</v>
      </c>
      <c r="WY33" s="199">
        <f t="shared" si="30"/>
        <v>0</v>
      </c>
      <c r="WZ33" s="199">
        <f t="shared" si="82"/>
        <v>62496297</v>
      </c>
      <c r="XA33" s="199">
        <f t="shared" si="31"/>
        <v>0</v>
      </c>
      <c r="XB33" s="199">
        <f t="shared" si="32"/>
        <v>16569565</v>
      </c>
      <c r="XC33" s="199">
        <f t="shared" si="33"/>
        <v>16569565</v>
      </c>
      <c r="XD33" s="199" t="str">
        <f t="shared" si="34"/>
        <v/>
      </c>
      <c r="XE33" s="199"/>
      <c r="XF33" s="199"/>
      <c r="XG33" s="199"/>
      <c r="XH33" s="199"/>
      <c r="XI33" s="199"/>
      <c r="XJ33" s="199">
        <f t="shared" si="83"/>
        <v>62496297</v>
      </c>
      <c r="XP33" s="199">
        <f t="shared" si="35"/>
        <v>62496297</v>
      </c>
      <c r="XQ33" s="199">
        <f t="shared" si="36"/>
        <v>5755.783477620188</v>
      </c>
      <c r="XR33" s="199">
        <f t="shared" si="37"/>
        <v>62496297</v>
      </c>
      <c r="XS33" s="199">
        <f t="shared" si="38"/>
        <v>62496297</v>
      </c>
      <c r="XT33" s="199">
        <f t="shared" si="39"/>
        <v>5755.783477620188</v>
      </c>
      <c r="XU33" s="199">
        <f t="shared" si="40"/>
        <v>59408826</v>
      </c>
      <c r="XV33" s="199">
        <f t="shared" si="41"/>
        <v>5471.4335973475781</v>
      </c>
      <c r="XW33" s="199">
        <f t="shared" si="42"/>
        <v>59408826</v>
      </c>
      <c r="XX33" s="199">
        <f t="shared" si="43"/>
        <v>5471.4335973475781</v>
      </c>
      <c r="XY33" s="199">
        <f t="shared" si="84"/>
        <v>3087471</v>
      </c>
      <c r="XZ33" s="199">
        <f t="shared" si="85"/>
        <v>284.34988027260988</v>
      </c>
      <c r="YA33" s="131">
        <f t="shared" si="86"/>
        <v>5.1969904269779675E-2</v>
      </c>
      <c r="YB33" s="199"/>
      <c r="YC33" s="221"/>
      <c r="YD33" s="199"/>
      <c r="YE33" s="199">
        <f t="shared" si="44"/>
        <v>6730516</v>
      </c>
      <c r="YF33" s="200">
        <f t="shared" si="45"/>
        <v>0</v>
      </c>
      <c r="YG33" s="199">
        <f t="shared" si="46"/>
        <v>16569565</v>
      </c>
      <c r="YH33" s="199">
        <f t="shared" si="47"/>
        <v>64221651</v>
      </c>
    </row>
    <row r="34" spans="1:658">
      <c r="A34" s="3">
        <v>101</v>
      </c>
      <c r="B34" s="2" t="s">
        <v>125</v>
      </c>
      <c r="C34" s="24">
        <v>0</v>
      </c>
      <c r="D34" s="24">
        <v>0</v>
      </c>
      <c r="E34" s="24">
        <v>0</v>
      </c>
      <c r="F34" s="24">
        <v>0</v>
      </c>
      <c r="G34" s="24">
        <v>2338111</v>
      </c>
      <c r="H34" s="24">
        <v>0</v>
      </c>
      <c r="I34" s="24">
        <v>0</v>
      </c>
      <c r="J34" s="24">
        <v>42720</v>
      </c>
      <c r="K34" s="24">
        <v>0</v>
      </c>
      <c r="L34" s="24">
        <v>0</v>
      </c>
      <c r="M34" s="24">
        <v>0</v>
      </c>
      <c r="N34" s="24">
        <v>0</v>
      </c>
      <c r="O34" s="24">
        <v>0</v>
      </c>
      <c r="P34" s="24">
        <v>0</v>
      </c>
      <c r="Q34" s="24">
        <v>0</v>
      </c>
      <c r="R34" s="24">
        <v>0</v>
      </c>
      <c r="S34" s="24">
        <v>0</v>
      </c>
      <c r="T34" s="24">
        <v>0</v>
      </c>
      <c r="U34" s="24">
        <v>0</v>
      </c>
      <c r="V34" s="24">
        <v>0</v>
      </c>
      <c r="W34" s="24">
        <v>0</v>
      </c>
      <c r="X34" s="24">
        <v>859183</v>
      </c>
      <c r="Y34" s="24">
        <v>27711</v>
      </c>
      <c r="Z34" s="24">
        <v>0</v>
      </c>
      <c r="AA34" s="24">
        <v>0</v>
      </c>
      <c r="AB34" s="24">
        <v>0</v>
      </c>
      <c r="AC34" s="24">
        <v>0</v>
      </c>
      <c r="AD34" s="24">
        <v>0</v>
      </c>
      <c r="AE34" s="24">
        <v>0</v>
      </c>
      <c r="AF34" s="24">
        <v>0</v>
      </c>
      <c r="AG34" s="24">
        <v>0</v>
      </c>
      <c r="AH34" s="24">
        <v>0</v>
      </c>
      <c r="AI34" s="24">
        <v>0</v>
      </c>
      <c r="AJ34" s="24">
        <v>0</v>
      </c>
      <c r="AK34" s="24">
        <v>0</v>
      </c>
      <c r="AL34" s="24">
        <v>7740</v>
      </c>
      <c r="AM34" s="24">
        <v>0</v>
      </c>
      <c r="AN34" s="24">
        <v>0</v>
      </c>
      <c r="AO34" s="24">
        <v>0</v>
      </c>
      <c r="AP34" s="24">
        <v>0</v>
      </c>
      <c r="AQ34" s="24">
        <v>0</v>
      </c>
      <c r="AR34" s="24">
        <v>0</v>
      </c>
      <c r="AS34" s="24">
        <v>0</v>
      </c>
      <c r="AT34" s="24">
        <v>0</v>
      </c>
      <c r="AU34" s="24">
        <v>0</v>
      </c>
      <c r="AV34" s="24">
        <v>0</v>
      </c>
      <c r="AW34" s="24">
        <v>0</v>
      </c>
      <c r="AX34" s="24">
        <v>0</v>
      </c>
      <c r="AY34" s="24">
        <v>0</v>
      </c>
      <c r="AZ34" s="24">
        <v>0</v>
      </c>
      <c r="BA34" s="24">
        <v>0</v>
      </c>
      <c r="BB34" s="24">
        <v>0</v>
      </c>
      <c r="BC34" s="24">
        <v>0</v>
      </c>
      <c r="BD34" s="24">
        <v>0</v>
      </c>
      <c r="BE34" s="24">
        <v>0</v>
      </c>
      <c r="BF34" s="24">
        <v>0</v>
      </c>
      <c r="BG34" s="24">
        <v>0</v>
      </c>
      <c r="BH34" s="24">
        <v>0</v>
      </c>
      <c r="BI34" s="24">
        <v>0</v>
      </c>
      <c r="BJ34" s="24">
        <v>0</v>
      </c>
      <c r="BK34" s="24">
        <v>0</v>
      </c>
      <c r="BL34" s="24">
        <v>0</v>
      </c>
      <c r="BM34" s="24">
        <v>0</v>
      </c>
      <c r="BN34" s="24">
        <v>0</v>
      </c>
      <c r="BO34" s="24">
        <v>0</v>
      </c>
      <c r="BP34" s="24">
        <v>0</v>
      </c>
      <c r="BQ34" s="24">
        <v>0</v>
      </c>
      <c r="BR34" s="24">
        <v>0</v>
      </c>
      <c r="BS34" s="24">
        <v>698</v>
      </c>
      <c r="BT34" s="24">
        <v>0</v>
      </c>
      <c r="BU34" s="24">
        <v>0</v>
      </c>
      <c r="BV34" s="24">
        <v>0</v>
      </c>
      <c r="BW34" s="24">
        <v>0</v>
      </c>
      <c r="BX34" s="24">
        <v>0</v>
      </c>
      <c r="BY34" s="24">
        <v>0</v>
      </c>
      <c r="BZ34" s="24">
        <v>0</v>
      </c>
      <c r="CA34" s="24">
        <v>0</v>
      </c>
      <c r="CB34" s="24">
        <v>0</v>
      </c>
      <c r="CC34" s="24">
        <v>0</v>
      </c>
      <c r="CD34" s="24">
        <v>67258</v>
      </c>
      <c r="CE34" s="24">
        <v>3632</v>
      </c>
      <c r="CF34" s="24">
        <v>0</v>
      </c>
      <c r="CG34" s="24">
        <v>21176</v>
      </c>
      <c r="CH34" s="24">
        <v>0</v>
      </c>
      <c r="CI34" s="24">
        <v>0</v>
      </c>
      <c r="CJ34" s="24">
        <v>0</v>
      </c>
      <c r="CK34" s="24">
        <v>0</v>
      </c>
      <c r="CL34" s="24">
        <v>0</v>
      </c>
      <c r="CM34" s="24">
        <v>0</v>
      </c>
      <c r="CN34" s="24">
        <v>0</v>
      </c>
      <c r="CO34" s="24">
        <v>0</v>
      </c>
      <c r="CP34" s="24">
        <v>0</v>
      </c>
      <c r="CQ34" s="24">
        <v>0</v>
      </c>
      <c r="CR34" s="24">
        <v>0</v>
      </c>
      <c r="CS34" s="24">
        <v>0</v>
      </c>
      <c r="CT34" s="24">
        <v>0</v>
      </c>
      <c r="CU34" s="24">
        <v>0</v>
      </c>
      <c r="CV34" s="24">
        <v>0</v>
      </c>
      <c r="CW34" s="24">
        <v>0</v>
      </c>
      <c r="CX34" s="24">
        <v>0</v>
      </c>
      <c r="CY34" s="24">
        <v>0</v>
      </c>
      <c r="CZ34" s="24">
        <v>0</v>
      </c>
      <c r="DA34" s="24">
        <v>0</v>
      </c>
      <c r="DB34" s="24">
        <v>0</v>
      </c>
      <c r="DC34" s="24">
        <v>0</v>
      </c>
      <c r="DD34" s="24">
        <v>0</v>
      </c>
      <c r="DE34" s="24">
        <v>0</v>
      </c>
      <c r="DF34" s="24">
        <v>0</v>
      </c>
      <c r="DG34" s="24">
        <v>0</v>
      </c>
      <c r="DH34" s="24">
        <v>0</v>
      </c>
      <c r="DI34" s="24">
        <v>0</v>
      </c>
      <c r="DJ34" s="24">
        <v>0</v>
      </c>
      <c r="DK34" s="24">
        <v>0</v>
      </c>
      <c r="DL34" s="24">
        <v>0</v>
      </c>
      <c r="DM34" s="24">
        <v>0</v>
      </c>
      <c r="DN34" s="24">
        <v>0</v>
      </c>
      <c r="DO34" s="24">
        <v>0</v>
      </c>
      <c r="DP34" s="24">
        <v>0</v>
      </c>
      <c r="DQ34" s="24">
        <v>0</v>
      </c>
      <c r="DR34" s="24">
        <v>0</v>
      </c>
      <c r="DS34" s="24">
        <v>0</v>
      </c>
      <c r="DT34" s="24">
        <v>0</v>
      </c>
      <c r="DU34" s="24">
        <v>0</v>
      </c>
      <c r="DV34" s="24">
        <v>0</v>
      </c>
      <c r="DW34" s="24">
        <v>0</v>
      </c>
      <c r="DX34" s="24">
        <v>0</v>
      </c>
      <c r="DY34" s="24">
        <v>0</v>
      </c>
      <c r="DZ34" s="24">
        <v>0</v>
      </c>
      <c r="EA34" s="24">
        <v>0</v>
      </c>
      <c r="EB34" s="24">
        <v>0</v>
      </c>
      <c r="EC34" s="24">
        <v>0</v>
      </c>
      <c r="ED34" s="24">
        <v>0</v>
      </c>
      <c r="EE34" s="24">
        <v>0</v>
      </c>
      <c r="EF34" s="24">
        <v>0</v>
      </c>
      <c r="EG34" s="24">
        <v>113791</v>
      </c>
      <c r="EH34" s="24">
        <v>0</v>
      </c>
      <c r="EI34" s="24">
        <v>0</v>
      </c>
      <c r="EJ34" s="24">
        <v>0</v>
      </c>
      <c r="EK34" s="24">
        <v>0</v>
      </c>
      <c r="EL34" s="24">
        <v>0</v>
      </c>
      <c r="EM34" s="24">
        <v>0</v>
      </c>
      <c r="EN34" s="24">
        <v>0</v>
      </c>
      <c r="EO34" s="24">
        <v>0</v>
      </c>
      <c r="EP34" s="24">
        <v>0</v>
      </c>
      <c r="EQ34" s="24">
        <v>0</v>
      </c>
      <c r="ER34" s="24">
        <v>0</v>
      </c>
      <c r="ES34" s="24">
        <v>0</v>
      </c>
      <c r="ET34" s="24">
        <v>0</v>
      </c>
      <c r="EU34" s="24">
        <v>0</v>
      </c>
      <c r="EV34" s="24">
        <v>0</v>
      </c>
      <c r="EW34" s="24">
        <v>2872</v>
      </c>
      <c r="EX34" s="24">
        <v>0</v>
      </c>
      <c r="EY34" s="24">
        <v>0</v>
      </c>
      <c r="EZ34" s="24">
        <v>0</v>
      </c>
      <c r="FA34" s="24">
        <v>0</v>
      </c>
      <c r="FB34" s="24">
        <v>0</v>
      </c>
      <c r="FC34" s="24">
        <v>0</v>
      </c>
      <c r="FD34" s="24">
        <v>0</v>
      </c>
      <c r="FE34" s="24">
        <v>0</v>
      </c>
      <c r="FF34" s="24">
        <v>0</v>
      </c>
      <c r="FG34" s="24">
        <v>0</v>
      </c>
      <c r="FH34" s="24">
        <v>0</v>
      </c>
      <c r="FI34" s="24">
        <v>0</v>
      </c>
      <c r="FJ34" s="24">
        <v>0</v>
      </c>
      <c r="FK34" s="24">
        <v>0</v>
      </c>
      <c r="FL34" s="24">
        <v>6163</v>
      </c>
      <c r="FM34" s="24">
        <v>0</v>
      </c>
      <c r="FN34" s="24">
        <v>0</v>
      </c>
      <c r="FO34" s="24">
        <v>0</v>
      </c>
      <c r="FP34" s="24">
        <v>0</v>
      </c>
      <c r="FQ34" s="24">
        <v>0</v>
      </c>
      <c r="FR34" s="24">
        <v>0</v>
      </c>
      <c r="FS34" s="24">
        <v>75222</v>
      </c>
      <c r="FT34" s="24">
        <v>0</v>
      </c>
      <c r="FU34" s="24">
        <v>0</v>
      </c>
      <c r="FV34" s="24">
        <v>0</v>
      </c>
      <c r="FW34" s="24">
        <v>0</v>
      </c>
      <c r="FX34" s="24">
        <v>0</v>
      </c>
      <c r="FY34" s="24">
        <v>0</v>
      </c>
      <c r="FZ34" s="24">
        <v>0</v>
      </c>
      <c r="GA34" s="24">
        <v>0</v>
      </c>
      <c r="GB34" s="24">
        <v>0</v>
      </c>
      <c r="GC34" s="24">
        <v>0</v>
      </c>
      <c r="GD34" s="24">
        <v>0</v>
      </c>
      <c r="GE34" s="24">
        <v>0</v>
      </c>
      <c r="GF34" s="24">
        <v>0</v>
      </c>
      <c r="GG34" s="24">
        <v>0</v>
      </c>
      <c r="GH34" s="24">
        <v>0</v>
      </c>
      <c r="GI34" s="24">
        <v>0</v>
      </c>
      <c r="GJ34" s="24">
        <v>0</v>
      </c>
      <c r="GK34" s="24">
        <v>0</v>
      </c>
      <c r="GL34" s="24">
        <v>0</v>
      </c>
      <c r="GM34" s="24">
        <v>0</v>
      </c>
      <c r="GN34" s="24">
        <v>0</v>
      </c>
      <c r="GO34" s="24">
        <v>0</v>
      </c>
      <c r="GP34" s="24">
        <v>0</v>
      </c>
      <c r="GQ34" s="24">
        <v>0</v>
      </c>
      <c r="GR34" s="24">
        <v>0</v>
      </c>
      <c r="GS34" s="24">
        <v>0</v>
      </c>
      <c r="GT34" s="24">
        <v>0</v>
      </c>
      <c r="GU34" s="24">
        <v>0</v>
      </c>
      <c r="GV34" s="24">
        <v>0</v>
      </c>
      <c r="GW34" s="24">
        <v>0</v>
      </c>
      <c r="GX34" s="24">
        <v>0</v>
      </c>
      <c r="GY34" s="24">
        <v>0</v>
      </c>
      <c r="GZ34" s="24">
        <v>0</v>
      </c>
      <c r="HA34" s="24">
        <v>0</v>
      </c>
      <c r="HB34" s="24">
        <v>0</v>
      </c>
      <c r="HC34" s="24">
        <v>72010</v>
      </c>
      <c r="HD34" s="24">
        <v>5833063</v>
      </c>
      <c r="HE34" s="24">
        <v>0</v>
      </c>
      <c r="HF34" s="24">
        <v>0</v>
      </c>
      <c r="HG34" s="24">
        <v>0</v>
      </c>
      <c r="HH34" s="24">
        <v>0</v>
      </c>
      <c r="HI34" s="24">
        <v>452162</v>
      </c>
      <c r="HJ34" s="24">
        <v>0</v>
      </c>
      <c r="HK34" s="24">
        <v>0</v>
      </c>
      <c r="HL34" s="24">
        <v>0</v>
      </c>
      <c r="HM34" s="24">
        <v>0</v>
      </c>
      <c r="HN34" s="24">
        <v>0</v>
      </c>
      <c r="HO34" s="24">
        <v>771597</v>
      </c>
      <c r="HP34" s="24">
        <v>289900</v>
      </c>
      <c r="HQ34" s="24">
        <v>0</v>
      </c>
      <c r="HR34" s="24">
        <v>0</v>
      </c>
      <c r="HS34" s="24">
        <v>0</v>
      </c>
      <c r="HT34" s="24">
        <v>0</v>
      </c>
      <c r="HU34" s="24">
        <v>0</v>
      </c>
      <c r="HV34" s="24">
        <v>0</v>
      </c>
      <c r="HW34" s="24">
        <v>0</v>
      </c>
      <c r="HX34" s="24">
        <v>0</v>
      </c>
      <c r="HY34" s="24">
        <v>0</v>
      </c>
      <c r="HZ34" s="24">
        <v>0</v>
      </c>
      <c r="IA34" s="24">
        <v>93549</v>
      </c>
      <c r="IB34" s="24">
        <v>19308</v>
      </c>
      <c r="IC34" s="24">
        <v>0</v>
      </c>
      <c r="ID34" s="24">
        <v>0</v>
      </c>
      <c r="IE34" s="24">
        <v>0</v>
      </c>
      <c r="IF34" s="24">
        <v>0</v>
      </c>
      <c r="IG34" s="24">
        <v>0</v>
      </c>
      <c r="IH34" s="24">
        <v>0</v>
      </c>
      <c r="II34" s="24">
        <v>0</v>
      </c>
      <c r="IJ34" s="24">
        <v>0</v>
      </c>
      <c r="IK34" s="24">
        <v>0</v>
      </c>
      <c r="IL34" s="24">
        <v>0</v>
      </c>
      <c r="IM34" s="24">
        <v>0</v>
      </c>
      <c r="IN34" s="24">
        <v>0</v>
      </c>
      <c r="IO34" s="24">
        <v>15625</v>
      </c>
      <c r="IP34" s="24">
        <v>0</v>
      </c>
      <c r="IQ34" s="24">
        <v>0</v>
      </c>
      <c r="IR34" s="24">
        <v>40603</v>
      </c>
      <c r="IS34" s="24">
        <v>0</v>
      </c>
      <c r="IT34" s="24">
        <v>0</v>
      </c>
      <c r="IU34" s="24">
        <v>0</v>
      </c>
      <c r="IV34" s="24">
        <v>0</v>
      </c>
      <c r="IW34" s="24">
        <v>97846</v>
      </c>
      <c r="IX34" s="24">
        <v>0</v>
      </c>
      <c r="IY34" s="24">
        <v>0</v>
      </c>
      <c r="IZ34" s="24">
        <v>0</v>
      </c>
      <c r="JA34" s="24">
        <v>0</v>
      </c>
      <c r="JB34" s="24">
        <v>41934</v>
      </c>
      <c r="JC34" s="24">
        <v>0</v>
      </c>
      <c r="JD34" s="24">
        <v>0</v>
      </c>
      <c r="JE34" s="24">
        <v>0</v>
      </c>
      <c r="JF34" s="24">
        <v>0</v>
      </c>
      <c r="JG34" s="24">
        <v>0</v>
      </c>
      <c r="JH34" s="24">
        <v>0</v>
      </c>
      <c r="JI34" s="24">
        <v>0</v>
      </c>
      <c r="JJ34" s="24">
        <v>0</v>
      </c>
      <c r="JK34" s="24">
        <v>0</v>
      </c>
      <c r="JL34" s="24">
        <v>0</v>
      </c>
      <c r="JM34" s="24">
        <v>0</v>
      </c>
      <c r="JN34" s="24">
        <v>0</v>
      </c>
      <c r="JO34" s="24">
        <v>0</v>
      </c>
      <c r="JP34" s="24">
        <v>0</v>
      </c>
      <c r="JQ34" s="24">
        <v>0</v>
      </c>
      <c r="JR34" s="24">
        <v>0</v>
      </c>
      <c r="JS34" s="24">
        <v>0</v>
      </c>
      <c r="JT34" s="24">
        <v>0</v>
      </c>
      <c r="JU34" s="24">
        <v>0</v>
      </c>
      <c r="JV34" s="24">
        <v>0</v>
      </c>
      <c r="JW34" s="24">
        <v>0</v>
      </c>
      <c r="JX34" s="24">
        <v>0</v>
      </c>
      <c r="JY34" s="24">
        <v>0</v>
      </c>
      <c r="JZ34" s="24">
        <v>0</v>
      </c>
      <c r="KA34" s="24">
        <v>0</v>
      </c>
      <c r="KB34" s="24">
        <v>0</v>
      </c>
      <c r="KC34" s="24">
        <v>0</v>
      </c>
      <c r="KD34" s="24">
        <v>0</v>
      </c>
      <c r="KE34" s="24">
        <v>0</v>
      </c>
      <c r="KF34" s="24">
        <v>0</v>
      </c>
      <c r="KG34" s="24">
        <v>316533</v>
      </c>
      <c r="KH34" s="24">
        <v>0</v>
      </c>
      <c r="KI34" s="24">
        <v>0</v>
      </c>
      <c r="KJ34" s="24">
        <v>0</v>
      </c>
      <c r="KK34" s="24">
        <v>0</v>
      </c>
      <c r="KL34" s="24">
        <v>0</v>
      </c>
      <c r="KM34" s="24">
        <v>0</v>
      </c>
      <c r="KN34" s="24">
        <v>0</v>
      </c>
      <c r="KO34" s="24">
        <v>0</v>
      </c>
      <c r="KP34" s="24">
        <v>0</v>
      </c>
      <c r="KQ34" s="24">
        <v>0</v>
      </c>
      <c r="KR34" s="24">
        <v>0</v>
      </c>
      <c r="KS34" s="24">
        <v>0</v>
      </c>
      <c r="KT34" s="24">
        <v>0</v>
      </c>
      <c r="KU34" s="24">
        <v>0</v>
      </c>
      <c r="KV34" s="24">
        <v>0</v>
      </c>
      <c r="KW34" s="24">
        <v>0</v>
      </c>
      <c r="KX34" s="24">
        <v>0</v>
      </c>
      <c r="KY34" s="24">
        <v>0</v>
      </c>
      <c r="KZ34" s="24">
        <v>0</v>
      </c>
      <c r="LA34" s="24">
        <v>0</v>
      </c>
      <c r="LB34" s="24">
        <v>33435</v>
      </c>
      <c r="LC34" s="24">
        <v>0</v>
      </c>
      <c r="LD34" s="24">
        <v>0</v>
      </c>
      <c r="LE34" s="24">
        <v>0</v>
      </c>
      <c r="LF34" s="24">
        <v>0</v>
      </c>
      <c r="LG34" s="24">
        <v>0</v>
      </c>
      <c r="LH34" s="24">
        <v>0</v>
      </c>
      <c r="LI34" s="24">
        <v>0</v>
      </c>
      <c r="LJ34" s="24">
        <v>0</v>
      </c>
      <c r="LK34" s="24">
        <v>0</v>
      </c>
      <c r="LL34" s="24">
        <v>0</v>
      </c>
      <c r="LM34" s="24">
        <v>0</v>
      </c>
      <c r="LN34" s="24">
        <v>0</v>
      </c>
      <c r="LO34" s="24">
        <v>0</v>
      </c>
      <c r="LP34" s="24">
        <v>0</v>
      </c>
      <c r="LQ34" s="24">
        <v>405451</v>
      </c>
      <c r="LR34" s="24">
        <v>32854</v>
      </c>
      <c r="LS34" s="24">
        <v>0</v>
      </c>
      <c r="LT34" s="24">
        <v>0</v>
      </c>
      <c r="LU34" s="24">
        <v>0</v>
      </c>
      <c r="LV34" s="24">
        <v>0</v>
      </c>
      <c r="LW34" s="24">
        <v>0</v>
      </c>
      <c r="LX34" s="24">
        <v>0</v>
      </c>
      <c r="LY34" s="24">
        <v>0</v>
      </c>
      <c r="LZ34" s="24">
        <v>0</v>
      </c>
      <c r="MA34" s="24">
        <v>0</v>
      </c>
      <c r="MB34" s="24">
        <v>0</v>
      </c>
      <c r="MC34" s="24">
        <v>0</v>
      </c>
      <c r="MD34" s="24">
        <v>0</v>
      </c>
      <c r="ME34" s="24">
        <v>0</v>
      </c>
      <c r="MF34" s="24">
        <v>0</v>
      </c>
      <c r="MG34" s="24">
        <v>0</v>
      </c>
      <c r="MH34" s="24">
        <v>0</v>
      </c>
      <c r="MI34" s="24">
        <v>0</v>
      </c>
      <c r="MJ34" s="24">
        <v>0</v>
      </c>
      <c r="MK34" s="24">
        <v>0</v>
      </c>
      <c r="ML34" s="24">
        <v>0</v>
      </c>
      <c r="MM34" s="24">
        <v>0</v>
      </c>
      <c r="MN34" s="24">
        <v>0</v>
      </c>
      <c r="MO34" s="24">
        <v>22274</v>
      </c>
      <c r="MP34" s="24">
        <v>0</v>
      </c>
      <c r="MQ34" s="24">
        <v>0</v>
      </c>
      <c r="MR34" s="24">
        <v>474720</v>
      </c>
      <c r="MS34" s="24">
        <v>0</v>
      </c>
      <c r="MT34" s="24">
        <v>0</v>
      </c>
      <c r="MU34" s="24">
        <v>0</v>
      </c>
      <c r="MV34" s="24">
        <v>0</v>
      </c>
      <c r="MW34" s="24">
        <v>377967</v>
      </c>
      <c r="MX34" s="24">
        <v>11385</v>
      </c>
      <c r="MY34" s="24">
        <v>0</v>
      </c>
      <c r="MZ34" s="24">
        <v>0</v>
      </c>
      <c r="NA34" s="24">
        <v>10525</v>
      </c>
      <c r="NB34" s="24">
        <v>0</v>
      </c>
      <c r="NC34" s="24">
        <v>0</v>
      </c>
      <c r="ND34" s="24">
        <v>0</v>
      </c>
      <c r="NE34" s="24">
        <v>0</v>
      </c>
      <c r="NF34" s="24">
        <v>0</v>
      </c>
      <c r="NG34" s="24">
        <v>0</v>
      </c>
      <c r="NH34" s="24">
        <v>0</v>
      </c>
      <c r="NI34" s="24">
        <v>0</v>
      </c>
      <c r="NJ34" s="24">
        <v>0</v>
      </c>
      <c r="NK34" s="24">
        <v>0</v>
      </c>
      <c r="NL34" s="24">
        <v>0</v>
      </c>
      <c r="NM34" s="24">
        <v>0</v>
      </c>
      <c r="NN34" s="24">
        <v>0</v>
      </c>
      <c r="NO34" s="24">
        <v>0</v>
      </c>
      <c r="NP34" s="24">
        <v>0</v>
      </c>
      <c r="NQ34" s="24">
        <v>39713</v>
      </c>
      <c r="NR34" s="24">
        <v>0</v>
      </c>
      <c r="NS34" s="24">
        <v>0</v>
      </c>
      <c r="NT34" s="24">
        <v>0</v>
      </c>
      <c r="NU34" s="24">
        <v>0</v>
      </c>
      <c r="NV34" s="24">
        <v>117238</v>
      </c>
      <c r="NW34" s="24">
        <v>0</v>
      </c>
      <c r="NX34" s="24">
        <v>0</v>
      </c>
      <c r="NY34" s="24">
        <v>0</v>
      </c>
      <c r="NZ34" s="24">
        <v>0</v>
      </c>
      <c r="OA34" s="24">
        <v>0</v>
      </c>
      <c r="OB34" s="24">
        <v>0</v>
      </c>
      <c r="OC34" s="24">
        <v>0</v>
      </c>
      <c r="OD34" s="24">
        <v>0</v>
      </c>
      <c r="OE34" s="24">
        <v>0</v>
      </c>
      <c r="OF34" s="24">
        <v>0</v>
      </c>
      <c r="OG34" s="24">
        <v>0</v>
      </c>
      <c r="OH34" s="24">
        <v>0</v>
      </c>
      <c r="OI34" s="24">
        <v>0</v>
      </c>
      <c r="OJ34" s="24">
        <v>0</v>
      </c>
      <c r="OK34" s="24">
        <v>0</v>
      </c>
      <c r="OL34" s="24">
        <v>0</v>
      </c>
      <c r="OM34" s="24">
        <v>0</v>
      </c>
      <c r="ON34" s="24">
        <v>0</v>
      </c>
      <c r="OO34" s="24">
        <v>0</v>
      </c>
      <c r="OP34" s="24">
        <v>0</v>
      </c>
      <c r="OQ34" s="24">
        <v>0</v>
      </c>
      <c r="OR34" s="24">
        <v>0</v>
      </c>
      <c r="OS34" s="24">
        <v>0</v>
      </c>
      <c r="OT34" s="24">
        <v>0</v>
      </c>
      <c r="OU34" s="24">
        <v>0</v>
      </c>
      <c r="OV34" s="24">
        <v>0</v>
      </c>
      <c r="OW34" s="24">
        <v>0</v>
      </c>
      <c r="OX34" s="24">
        <v>286499</v>
      </c>
      <c r="OY34" s="24">
        <v>0</v>
      </c>
      <c r="OZ34" s="24">
        <v>0</v>
      </c>
      <c r="PA34" s="24">
        <v>0</v>
      </c>
      <c r="PB34" s="24">
        <v>0</v>
      </c>
      <c r="PC34" s="24">
        <v>0</v>
      </c>
      <c r="PD34" s="24">
        <v>0</v>
      </c>
      <c r="PE34" s="24">
        <v>0</v>
      </c>
      <c r="PF34" s="24">
        <v>0</v>
      </c>
      <c r="PG34" s="24">
        <v>0</v>
      </c>
      <c r="PH34" s="24">
        <v>0</v>
      </c>
      <c r="PI34" s="24">
        <v>0</v>
      </c>
      <c r="PJ34" s="24">
        <v>0</v>
      </c>
      <c r="PK34" s="24">
        <v>0</v>
      </c>
      <c r="PL34" s="24">
        <v>0</v>
      </c>
      <c r="PM34" s="24">
        <v>0</v>
      </c>
      <c r="PN34" s="24">
        <v>0</v>
      </c>
      <c r="PO34" s="24">
        <v>0</v>
      </c>
      <c r="PP34" s="24">
        <v>0</v>
      </c>
      <c r="PQ34" s="24">
        <v>0</v>
      </c>
      <c r="PR34" s="24">
        <v>0</v>
      </c>
      <c r="PS34" s="24">
        <v>0</v>
      </c>
      <c r="PT34" s="24">
        <v>0</v>
      </c>
      <c r="PU34" s="24">
        <v>0</v>
      </c>
      <c r="PV34" s="24">
        <v>0</v>
      </c>
      <c r="PW34" s="24">
        <v>77160</v>
      </c>
      <c r="PX34" s="24">
        <v>0</v>
      </c>
      <c r="PY34" s="24">
        <v>0</v>
      </c>
      <c r="PZ34" s="24">
        <v>0</v>
      </c>
      <c r="QA34" s="24">
        <v>0</v>
      </c>
      <c r="QB34" s="24">
        <v>34076</v>
      </c>
      <c r="QC34" s="24">
        <v>0</v>
      </c>
      <c r="QD34" s="24">
        <v>46589</v>
      </c>
      <c r="QE34" s="24">
        <v>141</v>
      </c>
      <c r="QF34" s="24">
        <v>0</v>
      </c>
      <c r="QG34" s="24">
        <v>1674</v>
      </c>
      <c r="QH34" s="24">
        <v>0</v>
      </c>
      <c r="QI34" s="24">
        <v>0</v>
      </c>
      <c r="QJ34" s="24">
        <v>0</v>
      </c>
      <c r="QK34" s="24">
        <v>6313</v>
      </c>
      <c r="QL34" s="24">
        <v>0</v>
      </c>
      <c r="QM34" s="24">
        <v>0</v>
      </c>
      <c r="QN34" s="24">
        <v>0</v>
      </c>
      <c r="QO34" s="24">
        <v>0</v>
      </c>
      <c r="QP34" s="24">
        <v>0</v>
      </c>
      <c r="QQ34" s="24">
        <v>0</v>
      </c>
      <c r="QR34" s="24">
        <v>0</v>
      </c>
      <c r="QS34" s="24">
        <v>73910</v>
      </c>
      <c r="QT34" s="24">
        <v>0</v>
      </c>
      <c r="QU34" s="24">
        <v>0</v>
      </c>
      <c r="QV34" s="24">
        <v>0</v>
      </c>
      <c r="QW34" s="24">
        <v>80605</v>
      </c>
      <c r="QX34" s="24">
        <v>0</v>
      </c>
      <c r="QY34" s="24">
        <v>0</v>
      </c>
      <c r="QZ34" s="24">
        <v>0</v>
      </c>
      <c r="RA34" s="24">
        <v>0</v>
      </c>
      <c r="RB34" s="24">
        <v>0</v>
      </c>
      <c r="RG34" s="39">
        <f t="shared" si="48"/>
        <v>5833063</v>
      </c>
      <c r="RH34" s="39">
        <f t="shared" si="48"/>
        <v>452162</v>
      </c>
      <c r="RI34" s="39">
        <f t="shared" si="48"/>
        <v>0</v>
      </c>
      <c r="RJ34" s="39">
        <f t="shared" si="48"/>
        <v>0</v>
      </c>
      <c r="RK34" s="39">
        <f t="shared" si="48"/>
        <v>0</v>
      </c>
      <c r="RL34" s="39">
        <f t="shared" si="48"/>
        <v>771597</v>
      </c>
      <c r="RM34" s="39">
        <f t="shared" si="48"/>
        <v>402757</v>
      </c>
      <c r="RN34" s="39">
        <f t="shared" si="48"/>
        <v>15625</v>
      </c>
      <c r="RO34" s="39">
        <f t="shared" si="48"/>
        <v>40603</v>
      </c>
      <c r="RP34" s="39">
        <f t="shared" si="48"/>
        <v>97846</v>
      </c>
      <c r="RQ34" s="39">
        <f t="shared" si="48"/>
        <v>41934</v>
      </c>
      <c r="RR34" s="39">
        <f t="shared" si="48"/>
        <v>0</v>
      </c>
      <c r="RS34" s="39"/>
      <c r="RT34" s="182"/>
      <c r="RU34" s="39"/>
      <c r="RV34" s="39">
        <f t="shared" si="49"/>
        <v>1842095</v>
      </c>
      <c r="RW34" s="39">
        <f t="shared" si="49"/>
        <v>7655587</v>
      </c>
      <c r="RX34" s="39">
        <f t="shared" si="49"/>
        <v>3566277</v>
      </c>
      <c r="RY34" s="39">
        <f t="shared" si="49"/>
        <v>606967</v>
      </c>
      <c r="RZ34" s="39"/>
      <c r="SA34" s="182"/>
      <c r="SB34" s="39"/>
      <c r="SC34" s="25">
        <f t="shared" si="50"/>
        <v>2726.5114678899081</v>
      </c>
      <c r="SD34" s="39">
        <f>IFERROR(VLOOKUP(A34, 'Levy Data 15-16'!$B:$O, 3, FALSE), 0)</f>
        <v>849852632</v>
      </c>
      <c r="SE34" s="39">
        <f t="shared" si="9"/>
        <v>649734.42813455663</v>
      </c>
      <c r="SF34" s="631">
        <f>IFERROR(VLOOKUP(A34, 'Levy Data 15-16'!$B:$O, 14, FALSE), 0)*1000</f>
        <v>3.8442050000000001</v>
      </c>
      <c r="SG34" s="39">
        <f t="shared" si="10"/>
        <v>0</v>
      </c>
      <c r="SH34" s="39">
        <f t="shared" si="11"/>
        <v>0</v>
      </c>
      <c r="SI34" s="39">
        <f t="shared" si="12"/>
        <v>3566277</v>
      </c>
      <c r="SM34" s="39">
        <f t="shared" si="13"/>
        <v>7655587</v>
      </c>
      <c r="SN34" s="39">
        <f t="shared" si="14"/>
        <v>0</v>
      </c>
      <c r="SO34" s="39">
        <f t="shared" si="51"/>
        <v>7655587</v>
      </c>
      <c r="SP34" s="50">
        <f t="shared" si="52"/>
        <v>1</v>
      </c>
      <c r="ST34" s="124">
        <f>IFERROR(VLOOKUP(A34,'Grade Enroll 15-16'!B:AC,27,FALSE),"")</f>
        <v>1308</v>
      </c>
      <c r="SU34" s="124">
        <f t="shared" si="53"/>
        <v>735.18620689655177</v>
      </c>
      <c r="SV34" s="131">
        <f>IFERROR(VLOOKUP($A34, 'Title I Enroll 16-17'!S:V, 4, FALSE), 0)</f>
        <v>0.56206896551724139</v>
      </c>
      <c r="SW34" s="729">
        <f>IFERROR(VLOOKUP(A34, 'ELL Enroll 15-16'!$N:$S, 6, FALSE), 0)</f>
        <v>10</v>
      </c>
      <c r="SX34" s="131">
        <f t="shared" si="54"/>
        <v>7.6452599388379203E-3</v>
      </c>
      <c r="SY34" s="124">
        <f>IFERROR(VLOOKUP(A34, 'SPED enroll 2015-16'!$M:$O, 3, FALSE), 0)</f>
        <v>186</v>
      </c>
      <c r="SZ34" s="131">
        <f t="shared" si="55"/>
        <v>0.14220183486238533</v>
      </c>
      <c r="TA34" s="142">
        <f t="shared" si="56"/>
        <v>130.19999999999999</v>
      </c>
      <c r="TB34" s="142">
        <f t="shared" si="56"/>
        <v>37.200000000000003</v>
      </c>
      <c r="TC34" s="142">
        <f t="shared" si="56"/>
        <v>13.020000000000001</v>
      </c>
      <c r="TD34" s="142">
        <f t="shared" si="56"/>
        <v>5.58</v>
      </c>
      <c r="TE34" s="124">
        <f>VLOOKUP($A34, 'Grade Enroll 15-16'!$B:$AB, 20, FALSE)</f>
        <v>33</v>
      </c>
      <c r="TF34" s="124">
        <f>VLOOKUP($A34, 'Grade Enroll 15-16'!$B:$AB, 21, FALSE)</f>
        <v>88</v>
      </c>
      <c r="TG34" s="124">
        <f>VLOOKUP($A34, 'Grade Enroll 15-16'!$B:$AB, 22, FALSE)</f>
        <v>316</v>
      </c>
      <c r="TH34" s="124">
        <f>VLOOKUP($A34, 'Grade Enroll 15-16'!$B:$AB, 23, FALSE)</f>
        <v>316</v>
      </c>
      <c r="TI34" s="124">
        <f>VLOOKUP($A34, 'Grade Enroll 15-16'!$B:$AB, 24, FALSE)</f>
        <v>223</v>
      </c>
      <c r="TJ34" s="124">
        <f>VLOOKUP($A34, 'Grade Enroll 15-16'!$B:$AB, 25, FALSE)</f>
        <v>453</v>
      </c>
      <c r="TK34" s="124">
        <f>VLOOKUP($A34, 'Grade Enroll 15-16'!$B:$AB, 26, FALSE)</f>
        <v>885</v>
      </c>
      <c r="TL34" s="131">
        <f>SUMIFS('Student Achievement 15-16'!N:N, 'Student Achievement 15-16'!B:B, 'Idaho Data'!A34, 'Student Achievement 15-16'!D:D, "math")/100</f>
        <v>0.31</v>
      </c>
      <c r="TM34" s="134">
        <f t="shared" si="57"/>
        <v>405.48</v>
      </c>
      <c r="TN34" s="131">
        <f>SUMIFS('Student Achievement 15-16'!N:N, 'Student Achievement 15-16'!B:B, 'Idaho Data'!A34, 'Student Achievement 15-16'!D:D, "ela")/100</f>
        <v>0.23800000000000002</v>
      </c>
      <c r="TO34" s="134">
        <f t="shared" si="58"/>
        <v>311.30400000000003</v>
      </c>
      <c r="TP34" s="688">
        <f>IFERROR(VLOOKUP(A34, 'G&amp;T 15-16'!B:G, 6, FALSE), 0)*1</f>
        <v>31</v>
      </c>
      <c r="TQ34" s="168">
        <f t="shared" si="59"/>
        <v>78.48</v>
      </c>
      <c r="TU34" s="168">
        <f t="shared" si="60"/>
        <v>311.30400000000003</v>
      </c>
      <c r="TV34" s="168">
        <f t="shared" si="61"/>
        <v>405.48</v>
      </c>
      <c r="TW34" s="205">
        <f t="shared" si="62"/>
        <v>405.48</v>
      </c>
      <c r="TX34" s="144"/>
      <c r="TY34" s="129"/>
      <c r="TZ34" s="127">
        <f t="shared" si="63"/>
        <v>31</v>
      </c>
      <c r="UA34" s="127">
        <f t="shared" si="64"/>
        <v>78.48</v>
      </c>
      <c r="UB34" s="205">
        <f t="shared" si="65"/>
        <v>78.48</v>
      </c>
      <c r="UE34" s="853" t="str">
        <f>IF(ST34&lt;='1. Simulator Input'!$E$104, "yes", "")</f>
        <v/>
      </c>
      <c r="UI34" s="199">
        <f t="shared" si="66"/>
        <v>0</v>
      </c>
      <c r="UJ34" s="200">
        <f>IF('Idaho Data'!SI34&gt;=0, ((1-'1. Simulator Input'!$E$39)*'Idaho Data'!SI34), 0)</f>
        <v>0</v>
      </c>
      <c r="UK34" s="200">
        <f t="shared" si="67"/>
        <v>7655587</v>
      </c>
      <c r="UL34" s="39"/>
      <c r="UM34" s="182"/>
      <c r="UN34" s="39"/>
      <c r="UO34" s="39" t="str">
        <f>IF(AND('1. Simulator Input'!$E$96="yes", '1. Simulator Input'!$E$98="yes", '1. Simulator Input'!$E$100="hold harmless"), 'Idaho Data'!WN34, IF(AND('1. Simulator Input'!$E$96="yes", '1. Simulator Input'!$E$98="no", '1. Simulator Input'!$E$100="hold harmless"), 'Idaho Data'!WM34, IF(AND('1. Simulator Input'!$E$96="yes", '1. Simulator Input'!$E$98="yes", '1. Simulator Input'!$E$100="small district grant"), WL34,IF(AND('1. Simulator Input'!$E$96="yes", '1. Simulator Input'!$E$98="no", '1. Simulator Input'!$E$100="small district grant"), WK34, ""))))</f>
        <v/>
      </c>
      <c r="UP34" s="200">
        <f>'1. Simulator Input'!$D$56*('Idaho Data'!ST34)</f>
        <v>7228008</v>
      </c>
      <c r="UQ34" s="204">
        <f>'1. Simulator Input'!$D$65*'1. Simulator Input'!$D$56*'Idaho Data'!SU34</f>
        <v>0</v>
      </c>
      <c r="UR34" s="204">
        <f>'1. Simulator Input'!$D$66*'1. Simulator Input'!$D$56*'Idaho Data'!SW34</f>
        <v>0</v>
      </c>
      <c r="US34" s="200">
        <f>'1. Simulator Input'!$D$67*'1. Simulator Input'!$D$56*'Idaho Data'!TA34</f>
        <v>0</v>
      </c>
      <c r="UT34" s="200">
        <f>'1. Simulator Input'!$D$68*'1. Simulator Input'!$D$56*'Idaho Data'!TB34</f>
        <v>0</v>
      </c>
      <c r="UU34" s="200">
        <f>'1. Simulator Input'!$D$69*'1. Simulator Input'!$D$56*'Idaho Data'!TC34</f>
        <v>0</v>
      </c>
      <c r="UV34" s="200">
        <f>'1. Simulator Input'!$D$70*'1. Simulator Input'!$D$56*TD34</f>
        <v>0</v>
      </c>
      <c r="UW34" s="200">
        <f>'1. Simulator Input'!$D$80*'1. Simulator Input'!$D$56*TW34</f>
        <v>0</v>
      </c>
      <c r="UX34" s="200">
        <f>'1. Simulator Input'!$D$79*'1. Simulator Input'!$D$56*UB34</f>
        <v>0</v>
      </c>
      <c r="UY34" s="200">
        <f>'1. Simulator Input'!$D$87*'1. Simulator Input'!$D$56*TF34</f>
        <v>243144</v>
      </c>
      <c r="UZ34" s="200">
        <f>'1. Simulator Input'!$D$73*'1. Simulator Input'!$D$56*'Idaho Data'!TG34</f>
        <v>0</v>
      </c>
      <c r="VA34" s="200">
        <f>'1. Simulator Input'!$D$56*'1. Simulator Input'!$D$74*'Idaho Data'!TH34</f>
        <v>0</v>
      </c>
      <c r="VB34" s="200">
        <f>'1. Simulator Input'!$D$56*'1. Simulator Input'!$D$75*'Idaho Data'!TI29</f>
        <v>0</v>
      </c>
      <c r="VC34" s="200">
        <f>'1. Simulator Input'!$D$76*'1. Simulator Input'!$D$56*'Idaho Data'!TJ34</f>
        <v>0</v>
      </c>
      <c r="VD34" s="200">
        <f t="shared" si="68"/>
        <v>7471152</v>
      </c>
      <c r="VE34" s="200"/>
      <c r="VF34" s="182"/>
      <c r="VG34" s="200"/>
      <c r="VH34" s="200">
        <f t="shared" si="69"/>
        <v>0</v>
      </c>
      <c r="VI34" s="200">
        <f t="shared" si="70"/>
        <v>0</v>
      </c>
      <c r="VJ34" s="200">
        <f t="shared" si="16"/>
        <v>7471152</v>
      </c>
      <c r="VK34" s="200">
        <f t="shared" si="17"/>
        <v>7471152</v>
      </c>
      <c r="VL34" s="200"/>
      <c r="VM34" s="182"/>
      <c r="VN34" s="200"/>
      <c r="VO34" s="200">
        <f t="shared" si="71"/>
        <v>1842095</v>
      </c>
      <c r="VP34" s="200">
        <f t="shared" si="72"/>
        <v>7655587</v>
      </c>
      <c r="VQ34" s="200">
        <f t="shared" si="73"/>
        <v>3566277</v>
      </c>
      <c r="VR34" s="200">
        <f t="shared" si="74"/>
        <v>1842095</v>
      </c>
      <c r="VS34" s="200">
        <f t="shared" si="18"/>
        <v>7471152</v>
      </c>
      <c r="VT34" s="200">
        <f t="shared" si="19"/>
        <v>3566277</v>
      </c>
      <c r="VU34" s="200">
        <f t="shared" si="20"/>
        <v>0</v>
      </c>
      <c r="VV34" s="200"/>
      <c r="VW34" s="182"/>
      <c r="VX34" s="200"/>
      <c r="VZ34" s="199">
        <f t="shared" si="75"/>
        <v>-184435</v>
      </c>
      <c r="WA34" s="199">
        <f t="shared" si="76"/>
        <v>-141.00535168195719</v>
      </c>
      <c r="WB34" s="131">
        <f t="shared" si="77"/>
        <v>-2.4091555618138753E-2</v>
      </c>
      <c r="WC34" s="131"/>
      <c r="WD34" s="461"/>
      <c r="WE34" s="893"/>
      <c r="WF34" s="893">
        <f t="shared" si="78"/>
        <v>9987.7362385321103</v>
      </c>
      <c r="WG34" s="893">
        <f t="shared" si="79"/>
        <v>9846.7308868501532</v>
      </c>
      <c r="WH34" s="893"/>
      <c r="WI34" s="893">
        <f t="shared" si="80"/>
        <v>7655587</v>
      </c>
      <c r="WJ34" s="893">
        <f t="shared" si="21"/>
        <v>7471152</v>
      </c>
      <c r="WK34" s="39" t="str">
        <f t="shared" si="22"/>
        <v/>
      </c>
      <c r="WL34" s="39" t="str">
        <f t="shared" si="23"/>
        <v/>
      </c>
      <c r="WM34" s="200" t="str">
        <f t="shared" si="24"/>
        <v/>
      </c>
      <c r="WN34" s="39" t="str">
        <f t="shared" si="25"/>
        <v/>
      </c>
      <c r="WO34" s="39"/>
      <c r="WP34" s="182"/>
      <c r="WQ34" s="39"/>
      <c r="WR34" s="305">
        <f t="shared" si="26"/>
        <v>0.64</v>
      </c>
      <c r="WT34" s="200">
        <f t="shared" si="27"/>
        <v>5852.8952599388376</v>
      </c>
      <c r="WU34" s="131">
        <f t="shared" si="81"/>
        <v>0.26</v>
      </c>
      <c r="WW34" s="199">
        <f t="shared" si="28"/>
        <v>1842095</v>
      </c>
      <c r="WX34" s="199">
        <f t="shared" si="29"/>
        <v>7471152</v>
      </c>
      <c r="WY34" s="199">
        <f t="shared" si="30"/>
        <v>0</v>
      </c>
      <c r="WZ34" s="199">
        <f t="shared" si="82"/>
        <v>7471152</v>
      </c>
      <c r="XA34" s="199">
        <f t="shared" si="31"/>
        <v>0</v>
      </c>
      <c r="XB34" s="199">
        <f t="shared" si="32"/>
        <v>3566277</v>
      </c>
      <c r="XC34" s="199">
        <f t="shared" si="33"/>
        <v>3566277</v>
      </c>
      <c r="XD34" s="199" t="str">
        <f t="shared" si="34"/>
        <v/>
      </c>
      <c r="XE34" s="199"/>
      <c r="XF34" s="199"/>
      <c r="XG34" s="199"/>
      <c r="XH34" s="199"/>
      <c r="XI34" s="199"/>
      <c r="XJ34" s="199">
        <f t="shared" si="83"/>
        <v>7471152</v>
      </c>
      <c r="XP34" s="199">
        <f t="shared" si="35"/>
        <v>7471152</v>
      </c>
      <c r="XQ34" s="199">
        <f t="shared" si="36"/>
        <v>5711.8899082568805</v>
      </c>
      <c r="XR34" s="199">
        <f t="shared" si="37"/>
        <v>7471152</v>
      </c>
      <c r="XS34" s="199">
        <f t="shared" si="38"/>
        <v>7471152</v>
      </c>
      <c r="XT34" s="199">
        <f t="shared" si="39"/>
        <v>5711.8899082568805</v>
      </c>
      <c r="XU34" s="199">
        <f t="shared" si="40"/>
        <v>7655587</v>
      </c>
      <c r="XV34" s="199">
        <f t="shared" si="41"/>
        <v>5852.8952599388376</v>
      </c>
      <c r="XW34" s="199">
        <f t="shared" si="42"/>
        <v>7655587</v>
      </c>
      <c r="XX34" s="199">
        <f t="shared" si="43"/>
        <v>5852.8952599388376</v>
      </c>
      <c r="XY34" s="199">
        <f t="shared" si="84"/>
        <v>-184435</v>
      </c>
      <c r="XZ34" s="199">
        <f t="shared" si="85"/>
        <v>-141.00535168195711</v>
      </c>
      <c r="YA34" s="131">
        <f t="shared" si="86"/>
        <v>-2.4091555618138742E-2</v>
      </c>
      <c r="YB34" s="199"/>
      <c r="YC34" s="221"/>
      <c r="YD34" s="199"/>
      <c r="YE34" s="199">
        <f t="shared" si="44"/>
        <v>1842095</v>
      </c>
      <c r="YF34" s="200">
        <f t="shared" si="45"/>
        <v>0</v>
      </c>
      <c r="YG34" s="199">
        <f t="shared" si="46"/>
        <v>3566277</v>
      </c>
      <c r="YH34" s="199">
        <f t="shared" si="47"/>
        <v>606967</v>
      </c>
    </row>
    <row r="35" spans="1:658">
      <c r="A35" s="3">
        <v>111</v>
      </c>
      <c r="B35" s="2" t="s">
        <v>126</v>
      </c>
      <c r="C35" s="24">
        <v>0</v>
      </c>
      <c r="D35" s="24">
        <v>0</v>
      </c>
      <c r="E35" s="24">
        <v>0</v>
      </c>
      <c r="F35" s="24">
        <v>0</v>
      </c>
      <c r="G35" s="24">
        <v>155171</v>
      </c>
      <c r="H35" s="24">
        <v>0</v>
      </c>
      <c r="I35" s="24">
        <v>0</v>
      </c>
      <c r="J35" s="24">
        <v>6906</v>
      </c>
      <c r="K35" s="24">
        <v>0</v>
      </c>
      <c r="L35" s="24">
        <v>0</v>
      </c>
      <c r="M35" s="24">
        <v>0</v>
      </c>
      <c r="N35" s="24">
        <v>11330</v>
      </c>
      <c r="O35" s="24">
        <v>0</v>
      </c>
      <c r="P35" s="24">
        <v>0</v>
      </c>
      <c r="Q35" s="24">
        <v>0</v>
      </c>
      <c r="R35" s="24">
        <v>0</v>
      </c>
      <c r="S35" s="24">
        <v>0</v>
      </c>
      <c r="T35" s="24">
        <v>64322</v>
      </c>
      <c r="U35" s="24">
        <v>0</v>
      </c>
      <c r="V35" s="24">
        <v>0</v>
      </c>
      <c r="W35" s="24">
        <v>0</v>
      </c>
      <c r="X35" s="24">
        <v>329756</v>
      </c>
      <c r="Y35" s="24">
        <v>2276</v>
      </c>
      <c r="Z35" s="24">
        <v>0</v>
      </c>
      <c r="AA35" s="24">
        <v>4280</v>
      </c>
      <c r="AB35" s="24">
        <v>822</v>
      </c>
      <c r="AC35" s="24">
        <v>0</v>
      </c>
      <c r="AD35" s="24">
        <v>0</v>
      </c>
      <c r="AE35" s="24">
        <v>0</v>
      </c>
      <c r="AF35" s="24">
        <v>0</v>
      </c>
      <c r="AG35" s="24">
        <v>0</v>
      </c>
      <c r="AH35" s="24">
        <v>0</v>
      </c>
      <c r="AI35" s="24">
        <v>0</v>
      </c>
      <c r="AJ35" s="24">
        <v>0</v>
      </c>
      <c r="AK35" s="24">
        <v>0</v>
      </c>
      <c r="AL35" s="24">
        <v>5714</v>
      </c>
      <c r="AM35" s="24">
        <v>0</v>
      </c>
      <c r="AN35" s="24">
        <v>0</v>
      </c>
      <c r="AO35" s="24">
        <v>0</v>
      </c>
      <c r="AP35" s="24">
        <v>0</v>
      </c>
      <c r="AQ35" s="24">
        <v>0</v>
      </c>
      <c r="AR35" s="24">
        <v>0</v>
      </c>
      <c r="AS35" s="24">
        <v>0</v>
      </c>
      <c r="AT35" s="24">
        <v>0</v>
      </c>
      <c r="AU35" s="24">
        <v>0</v>
      </c>
      <c r="AV35" s="24">
        <v>0</v>
      </c>
      <c r="AW35" s="24">
        <v>0</v>
      </c>
      <c r="AX35" s="24">
        <v>0</v>
      </c>
      <c r="AY35" s="24">
        <v>0</v>
      </c>
      <c r="AZ35" s="24">
        <v>0</v>
      </c>
      <c r="BA35" s="24">
        <v>0</v>
      </c>
      <c r="BB35" s="24">
        <v>0</v>
      </c>
      <c r="BC35" s="24">
        <v>0</v>
      </c>
      <c r="BD35" s="24">
        <v>0</v>
      </c>
      <c r="BE35" s="24">
        <v>0</v>
      </c>
      <c r="BF35" s="24">
        <v>0</v>
      </c>
      <c r="BG35" s="24">
        <v>112</v>
      </c>
      <c r="BH35" s="24">
        <v>0</v>
      </c>
      <c r="BI35" s="24">
        <v>0</v>
      </c>
      <c r="BJ35" s="24">
        <v>0</v>
      </c>
      <c r="BK35" s="24">
        <v>0</v>
      </c>
      <c r="BL35" s="24">
        <v>0</v>
      </c>
      <c r="BM35" s="24">
        <v>0</v>
      </c>
      <c r="BN35" s="24">
        <v>0</v>
      </c>
      <c r="BO35" s="24">
        <v>0</v>
      </c>
      <c r="BP35" s="24">
        <v>0</v>
      </c>
      <c r="BQ35" s="24">
        <v>0</v>
      </c>
      <c r="BR35" s="24">
        <v>0</v>
      </c>
      <c r="BS35" s="24">
        <v>0</v>
      </c>
      <c r="BT35" s="24">
        <v>0</v>
      </c>
      <c r="BU35" s="24">
        <v>0</v>
      </c>
      <c r="BV35" s="24">
        <v>0</v>
      </c>
      <c r="BW35" s="24">
        <v>0</v>
      </c>
      <c r="BX35" s="24">
        <v>0</v>
      </c>
      <c r="BY35" s="24">
        <v>0</v>
      </c>
      <c r="BZ35" s="24">
        <v>0</v>
      </c>
      <c r="CA35" s="24">
        <v>0</v>
      </c>
      <c r="CB35" s="24">
        <v>0</v>
      </c>
      <c r="CC35" s="24">
        <v>0</v>
      </c>
      <c r="CD35" s="24">
        <v>37263</v>
      </c>
      <c r="CE35" s="24">
        <v>4601</v>
      </c>
      <c r="CF35" s="24">
        <v>0</v>
      </c>
      <c r="CG35" s="24">
        <v>771</v>
      </c>
      <c r="CH35" s="24">
        <v>0</v>
      </c>
      <c r="CI35" s="24">
        <v>0</v>
      </c>
      <c r="CJ35" s="24">
        <v>0</v>
      </c>
      <c r="CK35" s="24">
        <v>0</v>
      </c>
      <c r="CL35" s="24">
        <v>0</v>
      </c>
      <c r="CM35" s="24">
        <v>0</v>
      </c>
      <c r="CN35" s="24">
        <v>0</v>
      </c>
      <c r="CO35" s="24">
        <v>0</v>
      </c>
      <c r="CP35" s="24">
        <v>0</v>
      </c>
      <c r="CQ35" s="24">
        <v>0</v>
      </c>
      <c r="CR35" s="24">
        <v>0</v>
      </c>
      <c r="CS35" s="24">
        <v>0</v>
      </c>
      <c r="CT35" s="24">
        <v>0</v>
      </c>
      <c r="CU35" s="24">
        <v>0</v>
      </c>
      <c r="CV35" s="24">
        <v>0</v>
      </c>
      <c r="CW35" s="24">
        <v>0</v>
      </c>
      <c r="CX35" s="24">
        <v>0</v>
      </c>
      <c r="CY35" s="24">
        <v>0</v>
      </c>
      <c r="CZ35" s="24">
        <v>0</v>
      </c>
      <c r="DA35" s="24">
        <v>0</v>
      </c>
      <c r="DB35" s="24">
        <v>4800</v>
      </c>
      <c r="DC35" s="24">
        <v>0</v>
      </c>
      <c r="DD35" s="24">
        <v>0</v>
      </c>
      <c r="DE35" s="24">
        <v>0</v>
      </c>
      <c r="DF35" s="24">
        <v>0</v>
      </c>
      <c r="DG35" s="24">
        <v>0</v>
      </c>
      <c r="DH35" s="24">
        <v>0</v>
      </c>
      <c r="DI35" s="24">
        <v>0</v>
      </c>
      <c r="DJ35" s="24">
        <v>0</v>
      </c>
      <c r="DK35" s="24">
        <v>0</v>
      </c>
      <c r="DL35" s="24">
        <v>0</v>
      </c>
      <c r="DM35" s="24">
        <v>0</v>
      </c>
      <c r="DN35" s="24">
        <v>0</v>
      </c>
      <c r="DO35" s="24">
        <v>0</v>
      </c>
      <c r="DP35" s="24">
        <v>0</v>
      </c>
      <c r="DQ35" s="24">
        <v>0</v>
      </c>
      <c r="DR35" s="24">
        <v>0</v>
      </c>
      <c r="DS35" s="24">
        <v>0</v>
      </c>
      <c r="DT35" s="24">
        <v>0</v>
      </c>
      <c r="DU35" s="24">
        <v>2400</v>
      </c>
      <c r="DV35" s="24">
        <v>0</v>
      </c>
      <c r="DW35" s="24">
        <v>0</v>
      </c>
      <c r="DX35" s="24">
        <v>0</v>
      </c>
      <c r="DY35" s="24">
        <v>0</v>
      </c>
      <c r="DZ35" s="24">
        <v>0</v>
      </c>
      <c r="EA35" s="24">
        <v>0</v>
      </c>
      <c r="EB35" s="24">
        <v>0</v>
      </c>
      <c r="EC35" s="24">
        <v>0</v>
      </c>
      <c r="ED35" s="24">
        <v>0</v>
      </c>
      <c r="EE35" s="24">
        <v>0</v>
      </c>
      <c r="EF35" s="24">
        <v>0</v>
      </c>
      <c r="EG35" s="24">
        <v>0</v>
      </c>
      <c r="EH35" s="24">
        <v>0</v>
      </c>
      <c r="EI35" s="24">
        <v>0</v>
      </c>
      <c r="EJ35" s="24">
        <v>0</v>
      </c>
      <c r="EK35" s="24">
        <v>0</v>
      </c>
      <c r="EL35" s="24">
        <v>0</v>
      </c>
      <c r="EM35" s="24">
        <v>0</v>
      </c>
      <c r="EN35" s="24">
        <v>0</v>
      </c>
      <c r="EO35" s="24">
        <v>0</v>
      </c>
      <c r="EP35" s="24">
        <v>0</v>
      </c>
      <c r="EQ35" s="24">
        <v>0</v>
      </c>
      <c r="ER35" s="24">
        <v>0</v>
      </c>
      <c r="ES35" s="24">
        <v>0</v>
      </c>
      <c r="ET35" s="24">
        <v>0</v>
      </c>
      <c r="EU35" s="24">
        <v>0</v>
      </c>
      <c r="EV35" s="24">
        <v>0</v>
      </c>
      <c r="EW35" s="24">
        <v>0</v>
      </c>
      <c r="EX35" s="24">
        <v>0</v>
      </c>
      <c r="EY35" s="24">
        <v>9681</v>
      </c>
      <c r="EZ35" s="24">
        <v>0</v>
      </c>
      <c r="FA35" s="24">
        <v>0</v>
      </c>
      <c r="FB35" s="24">
        <v>0</v>
      </c>
      <c r="FC35" s="24">
        <v>0</v>
      </c>
      <c r="FD35" s="24">
        <v>0</v>
      </c>
      <c r="FE35" s="24">
        <v>0</v>
      </c>
      <c r="FF35" s="24">
        <v>0</v>
      </c>
      <c r="FG35" s="24">
        <v>0</v>
      </c>
      <c r="FH35" s="24">
        <v>0</v>
      </c>
      <c r="FI35" s="24">
        <v>0</v>
      </c>
      <c r="FJ35" s="24">
        <v>0</v>
      </c>
      <c r="FK35" s="24">
        <v>0</v>
      </c>
      <c r="FL35" s="24">
        <v>33748</v>
      </c>
      <c r="FM35" s="24">
        <v>0</v>
      </c>
      <c r="FN35" s="24">
        <v>0</v>
      </c>
      <c r="FO35" s="24">
        <v>0</v>
      </c>
      <c r="FP35" s="24">
        <v>0</v>
      </c>
      <c r="FQ35" s="24">
        <v>0</v>
      </c>
      <c r="FR35" s="24">
        <v>0</v>
      </c>
      <c r="FS35" s="24">
        <v>131602</v>
      </c>
      <c r="FT35" s="24">
        <v>0</v>
      </c>
      <c r="FU35" s="24">
        <v>0</v>
      </c>
      <c r="FV35" s="24">
        <v>0</v>
      </c>
      <c r="FW35" s="24">
        <v>0</v>
      </c>
      <c r="FX35" s="24">
        <v>0</v>
      </c>
      <c r="FY35" s="24">
        <v>0</v>
      </c>
      <c r="FZ35" s="24">
        <v>0</v>
      </c>
      <c r="GA35" s="24">
        <v>0</v>
      </c>
      <c r="GB35" s="24">
        <v>0</v>
      </c>
      <c r="GC35" s="24">
        <v>0</v>
      </c>
      <c r="GD35" s="24">
        <v>0</v>
      </c>
      <c r="GE35" s="24">
        <v>0</v>
      </c>
      <c r="GF35" s="24">
        <v>0</v>
      </c>
      <c r="GG35" s="24">
        <v>0</v>
      </c>
      <c r="GH35" s="24">
        <v>1080</v>
      </c>
      <c r="GI35" s="24">
        <v>0</v>
      </c>
      <c r="GJ35" s="24">
        <v>0</v>
      </c>
      <c r="GK35" s="24">
        <v>0</v>
      </c>
      <c r="GL35" s="24">
        <v>0</v>
      </c>
      <c r="GM35" s="24">
        <v>0</v>
      </c>
      <c r="GN35" s="24">
        <v>0</v>
      </c>
      <c r="GO35" s="24">
        <v>0</v>
      </c>
      <c r="GP35" s="24">
        <v>0</v>
      </c>
      <c r="GQ35" s="24">
        <v>0</v>
      </c>
      <c r="GR35" s="24">
        <v>2046</v>
      </c>
      <c r="GS35" s="24">
        <v>0</v>
      </c>
      <c r="GT35" s="24">
        <v>0</v>
      </c>
      <c r="GU35" s="24">
        <v>0</v>
      </c>
      <c r="GV35" s="24">
        <v>0</v>
      </c>
      <c r="GW35" s="24">
        <v>0</v>
      </c>
      <c r="GX35" s="24">
        <v>0</v>
      </c>
      <c r="GY35" s="24">
        <v>0</v>
      </c>
      <c r="GZ35" s="24">
        <v>0</v>
      </c>
      <c r="HA35" s="24">
        <v>0</v>
      </c>
      <c r="HB35" s="24">
        <v>0</v>
      </c>
      <c r="HC35" s="24">
        <v>0</v>
      </c>
      <c r="HD35" s="24">
        <v>2226641</v>
      </c>
      <c r="HE35" s="24">
        <v>0</v>
      </c>
      <c r="HF35" s="24">
        <v>0</v>
      </c>
      <c r="HG35" s="24">
        <v>0</v>
      </c>
      <c r="HH35" s="24">
        <v>0</v>
      </c>
      <c r="HI35" s="24">
        <v>177661</v>
      </c>
      <c r="HJ35" s="24">
        <v>0</v>
      </c>
      <c r="HK35" s="24">
        <v>0</v>
      </c>
      <c r="HL35" s="24">
        <v>2000</v>
      </c>
      <c r="HM35" s="24">
        <v>0</v>
      </c>
      <c r="HN35" s="24">
        <v>0</v>
      </c>
      <c r="HO35" s="24">
        <v>296502</v>
      </c>
      <c r="HP35" s="24">
        <v>140875</v>
      </c>
      <c r="HQ35" s="24">
        <v>0</v>
      </c>
      <c r="HR35" s="24">
        <v>0</v>
      </c>
      <c r="HS35" s="24">
        <v>0</v>
      </c>
      <c r="HT35" s="24">
        <v>0</v>
      </c>
      <c r="HU35" s="24">
        <v>0</v>
      </c>
      <c r="HV35" s="24">
        <v>0</v>
      </c>
      <c r="HW35" s="24">
        <v>0</v>
      </c>
      <c r="HX35" s="24">
        <v>0</v>
      </c>
      <c r="HY35" s="24">
        <v>0</v>
      </c>
      <c r="HZ35" s="24">
        <v>0</v>
      </c>
      <c r="IA35" s="24">
        <v>34276</v>
      </c>
      <c r="IB35" s="24">
        <v>7372</v>
      </c>
      <c r="IC35" s="24">
        <v>0</v>
      </c>
      <c r="ID35" s="24">
        <v>0</v>
      </c>
      <c r="IE35" s="24">
        <v>0</v>
      </c>
      <c r="IF35" s="24">
        <v>0</v>
      </c>
      <c r="IG35" s="24">
        <v>0</v>
      </c>
      <c r="IH35" s="24">
        <v>0</v>
      </c>
      <c r="II35" s="24">
        <v>0</v>
      </c>
      <c r="IJ35" s="24">
        <v>0</v>
      </c>
      <c r="IK35" s="24">
        <v>0</v>
      </c>
      <c r="IL35" s="24">
        <v>0</v>
      </c>
      <c r="IM35" s="24">
        <v>0</v>
      </c>
      <c r="IN35" s="24">
        <v>0</v>
      </c>
      <c r="IO35" s="24">
        <v>2659</v>
      </c>
      <c r="IP35" s="24">
        <v>0</v>
      </c>
      <c r="IQ35" s="24">
        <v>0</v>
      </c>
      <c r="IR35" s="24">
        <v>20366</v>
      </c>
      <c r="IS35" s="24">
        <v>0</v>
      </c>
      <c r="IT35" s="24">
        <v>0</v>
      </c>
      <c r="IU35" s="24">
        <v>0</v>
      </c>
      <c r="IV35" s="24">
        <v>0</v>
      </c>
      <c r="IW35" s="24">
        <v>44193</v>
      </c>
      <c r="IX35" s="24">
        <v>0</v>
      </c>
      <c r="IY35" s="24">
        <v>0</v>
      </c>
      <c r="IZ35" s="24">
        <v>0</v>
      </c>
      <c r="JA35" s="24">
        <v>0</v>
      </c>
      <c r="JB35" s="24">
        <v>37664</v>
      </c>
      <c r="JC35" s="24">
        <v>0</v>
      </c>
      <c r="JD35" s="24">
        <v>0</v>
      </c>
      <c r="JE35" s="24">
        <v>0</v>
      </c>
      <c r="JF35" s="24">
        <v>0</v>
      </c>
      <c r="JG35" s="24">
        <v>0</v>
      </c>
      <c r="JH35" s="24">
        <v>0</v>
      </c>
      <c r="JI35" s="24">
        <v>0</v>
      </c>
      <c r="JJ35" s="24">
        <v>0</v>
      </c>
      <c r="JK35" s="24">
        <v>0</v>
      </c>
      <c r="JL35" s="24">
        <v>0</v>
      </c>
      <c r="JM35" s="24">
        <v>0</v>
      </c>
      <c r="JN35" s="24">
        <v>0</v>
      </c>
      <c r="JO35" s="24">
        <v>0</v>
      </c>
      <c r="JP35" s="24">
        <v>0</v>
      </c>
      <c r="JQ35" s="24">
        <v>0</v>
      </c>
      <c r="JR35" s="24">
        <v>0</v>
      </c>
      <c r="JS35" s="24">
        <v>0</v>
      </c>
      <c r="JT35" s="24">
        <v>0</v>
      </c>
      <c r="JU35" s="24">
        <v>0</v>
      </c>
      <c r="JV35" s="24">
        <v>0</v>
      </c>
      <c r="JW35" s="24">
        <v>0</v>
      </c>
      <c r="JX35" s="24">
        <v>0</v>
      </c>
      <c r="JY35" s="24">
        <v>0</v>
      </c>
      <c r="JZ35" s="24">
        <v>0</v>
      </c>
      <c r="KA35" s="24">
        <v>0</v>
      </c>
      <c r="KB35" s="24">
        <v>0</v>
      </c>
      <c r="KC35" s="24">
        <v>0</v>
      </c>
      <c r="KD35" s="24">
        <v>0</v>
      </c>
      <c r="KE35" s="24">
        <v>0</v>
      </c>
      <c r="KF35" s="24">
        <v>0</v>
      </c>
      <c r="KG35" s="24">
        <v>0</v>
      </c>
      <c r="KH35" s="24">
        <v>0</v>
      </c>
      <c r="KI35" s="24">
        <v>0</v>
      </c>
      <c r="KJ35" s="24">
        <v>0</v>
      </c>
      <c r="KK35" s="24">
        <v>0</v>
      </c>
      <c r="KL35" s="24">
        <v>0</v>
      </c>
      <c r="KM35" s="24">
        <v>0</v>
      </c>
      <c r="KN35" s="24">
        <v>0</v>
      </c>
      <c r="KO35" s="24">
        <v>0</v>
      </c>
      <c r="KP35" s="24">
        <v>0</v>
      </c>
      <c r="KQ35" s="24">
        <v>0</v>
      </c>
      <c r="KR35" s="24">
        <v>0</v>
      </c>
      <c r="KS35" s="24">
        <v>0</v>
      </c>
      <c r="KT35" s="24">
        <v>0</v>
      </c>
      <c r="KU35" s="24">
        <v>0</v>
      </c>
      <c r="KV35" s="24">
        <v>0</v>
      </c>
      <c r="KW35" s="24">
        <v>0</v>
      </c>
      <c r="KX35" s="24">
        <v>0</v>
      </c>
      <c r="KY35" s="24">
        <v>0</v>
      </c>
      <c r="KZ35" s="24">
        <v>0</v>
      </c>
      <c r="LA35" s="24">
        <v>0</v>
      </c>
      <c r="LB35" s="24">
        <v>0</v>
      </c>
      <c r="LC35" s="24">
        <v>0</v>
      </c>
      <c r="LD35" s="24">
        <v>0</v>
      </c>
      <c r="LE35" s="24">
        <v>0</v>
      </c>
      <c r="LF35" s="24">
        <v>0</v>
      </c>
      <c r="LG35" s="24">
        <v>0</v>
      </c>
      <c r="LH35" s="24">
        <v>0</v>
      </c>
      <c r="LI35" s="24">
        <v>0</v>
      </c>
      <c r="LJ35" s="24">
        <v>0</v>
      </c>
      <c r="LK35" s="24">
        <v>0</v>
      </c>
      <c r="LL35" s="24">
        <v>0</v>
      </c>
      <c r="LM35" s="24">
        <v>0</v>
      </c>
      <c r="LN35" s="24">
        <v>0</v>
      </c>
      <c r="LO35" s="24">
        <v>0</v>
      </c>
      <c r="LP35" s="24">
        <v>0</v>
      </c>
      <c r="LQ35" s="24">
        <v>81341</v>
      </c>
      <c r="LR35" s="24">
        <v>0</v>
      </c>
      <c r="LS35" s="24">
        <v>0</v>
      </c>
      <c r="LT35" s="24">
        <v>0</v>
      </c>
      <c r="LU35" s="24">
        <v>0</v>
      </c>
      <c r="LV35" s="24">
        <v>0</v>
      </c>
      <c r="LW35" s="24">
        <v>0</v>
      </c>
      <c r="LX35" s="24">
        <v>0</v>
      </c>
      <c r="LY35" s="24">
        <v>0</v>
      </c>
      <c r="LZ35" s="24">
        <v>0</v>
      </c>
      <c r="MA35" s="24">
        <v>0</v>
      </c>
      <c r="MB35" s="24">
        <v>0</v>
      </c>
      <c r="MC35" s="24">
        <v>0</v>
      </c>
      <c r="MD35" s="24">
        <v>0</v>
      </c>
      <c r="ME35" s="24">
        <v>0</v>
      </c>
      <c r="MF35" s="24">
        <v>0</v>
      </c>
      <c r="MG35" s="24">
        <v>0</v>
      </c>
      <c r="MH35" s="24">
        <v>0</v>
      </c>
      <c r="MI35" s="24">
        <v>0</v>
      </c>
      <c r="MJ35" s="24">
        <v>0</v>
      </c>
      <c r="MK35" s="24">
        <v>0</v>
      </c>
      <c r="ML35" s="24">
        <v>0</v>
      </c>
      <c r="MM35" s="24">
        <v>0</v>
      </c>
      <c r="MN35" s="24">
        <v>0</v>
      </c>
      <c r="MO35" s="24">
        <v>5118</v>
      </c>
      <c r="MP35" s="24">
        <v>0</v>
      </c>
      <c r="MQ35" s="24">
        <v>0</v>
      </c>
      <c r="MR35" s="24">
        <v>105198</v>
      </c>
      <c r="MS35" s="24">
        <v>0</v>
      </c>
      <c r="MT35" s="24">
        <v>0</v>
      </c>
      <c r="MU35" s="24">
        <v>0</v>
      </c>
      <c r="MV35" s="24">
        <v>0</v>
      </c>
      <c r="MW35" s="24">
        <v>70878</v>
      </c>
      <c r="MX35" s="24">
        <v>8088</v>
      </c>
      <c r="MY35" s="24">
        <v>0</v>
      </c>
      <c r="MZ35" s="24">
        <v>0</v>
      </c>
      <c r="NA35" s="24">
        <v>0</v>
      </c>
      <c r="NB35" s="24">
        <v>73101</v>
      </c>
      <c r="NC35" s="24">
        <v>0</v>
      </c>
      <c r="ND35" s="24">
        <v>0</v>
      </c>
      <c r="NE35" s="24">
        <v>0</v>
      </c>
      <c r="NF35" s="24">
        <v>0</v>
      </c>
      <c r="NG35" s="24">
        <v>0</v>
      </c>
      <c r="NH35" s="24">
        <v>0</v>
      </c>
      <c r="NI35" s="24">
        <v>0</v>
      </c>
      <c r="NJ35" s="24">
        <v>0</v>
      </c>
      <c r="NK35" s="24">
        <v>0</v>
      </c>
      <c r="NL35" s="24">
        <v>0</v>
      </c>
      <c r="NM35" s="24">
        <v>0</v>
      </c>
      <c r="NN35" s="24">
        <v>0</v>
      </c>
      <c r="NO35" s="24">
        <v>0</v>
      </c>
      <c r="NP35" s="24">
        <v>0</v>
      </c>
      <c r="NQ35" s="24">
        <v>0</v>
      </c>
      <c r="NR35" s="24">
        <v>0</v>
      </c>
      <c r="NS35" s="24">
        <v>0</v>
      </c>
      <c r="NT35" s="24">
        <v>0</v>
      </c>
      <c r="NU35" s="24">
        <v>0</v>
      </c>
      <c r="NV35" s="24">
        <v>31907</v>
      </c>
      <c r="NW35" s="24">
        <v>0</v>
      </c>
      <c r="NX35" s="24">
        <v>0</v>
      </c>
      <c r="NY35" s="24">
        <v>0</v>
      </c>
      <c r="NZ35" s="24">
        <v>0</v>
      </c>
      <c r="OA35" s="24">
        <v>0</v>
      </c>
      <c r="OB35" s="24">
        <v>0</v>
      </c>
      <c r="OC35" s="24">
        <v>0</v>
      </c>
      <c r="OD35" s="24">
        <v>0</v>
      </c>
      <c r="OE35" s="24">
        <v>0</v>
      </c>
      <c r="OF35" s="24">
        <v>0</v>
      </c>
      <c r="OG35" s="24">
        <v>0</v>
      </c>
      <c r="OH35" s="24">
        <v>0</v>
      </c>
      <c r="OI35" s="24">
        <v>0</v>
      </c>
      <c r="OJ35" s="24">
        <v>0</v>
      </c>
      <c r="OK35" s="24">
        <v>0</v>
      </c>
      <c r="OL35" s="24">
        <v>0</v>
      </c>
      <c r="OM35" s="24">
        <v>0</v>
      </c>
      <c r="ON35" s="24">
        <v>2660</v>
      </c>
      <c r="OO35" s="24">
        <v>0</v>
      </c>
      <c r="OP35" s="24">
        <v>0</v>
      </c>
      <c r="OQ35" s="24">
        <v>0</v>
      </c>
      <c r="OR35" s="24">
        <v>0</v>
      </c>
      <c r="OS35" s="24">
        <v>0</v>
      </c>
      <c r="OT35" s="24">
        <v>1250000</v>
      </c>
      <c r="OU35" s="24">
        <v>0</v>
      </c>
      <c r="OV35" s="24">
        <v>0</v>
      </c>
      <c r="OW35" s="24">
        <v>0</v>
      </c>
      <c r="OX35" s="24">
        <v>0</v>
      </c>
      <c r="OY35" s="24">
        <v>0</v>
      </c>
      <c r="OZ35" s="24">
        <v>0</v>
      </c>
      <c r="PA35" s="24">
        <v>0</v>
      </c>
      <c r="PB35" s="24">
        <v>0</v>
      </c>
      <c r="PC35" s="24">
        <v>0</v>
      </c>
      <c r="PD35" s="24">
        <v>0</v>
      </c>
      <c r="PE35" s="24">
        <v>0</v>
      </c>
      <c r="PF35" s="24">
        <v>0</v>
      </c>
      <c r="PG35" s="24">
        <v>0</v>
      </c>
      <c r="PH35" s="24">
        <v>0</v>
      </c>
      <c r="PI35" s="24">
        <v>0</v>
      </c>
      <c r="PJ35" s="24">
        <v>0</v>
      </c>
      <c r="PK35" s="24">
        <v>0</v>
      </c>
      <c r="PL35" s="24">
        <v>0</v>
      </c>
      <c r="PM35" s="24">
        <v>0</v>
      </c>
      <c r="PN35" s="24">
        <v>0</v>
      </c>
      <c r="PO35" s="24">
        <v>0</v>
      </c>
      <c r="PP35" s="24">
        <v>0</v>
      </c>
      <c r="PQ35" s="24">
        <v>0</v>
      </c>
      <c r="PR35" s="24">
        <v>0</v>
      </c>
      <c r="PS35" s="24">
        <v>0</v>
      </c>
      <c r="PT35" s="24">
        <v>0</v>
      </c>
      <c r="PU35" s="24">
        <v>0</v>
      </c>
      <c r="PV35" s="24">
        <v>0</v>
      </c>
      <c r="PW35" s="24">
        <v>0</v>
      </c>
      <c r="PX35" s="24">
        <v>0</v>
      </c>
      <c r="PY35" s="24">
        <v>0</v>
      </c>
      <c r="PZ35" s="24">
        <v>0</v>
      </c>
      <c r="QA35" s="24">
        <v>0</v>
      </c>
      <c r="QB35" s="24">
        <v>0</v>
      </c>
      <c r="QC35" s="24">
        <v>0</v>
      </c>
      <c r="QD35" s="24">
        <v>0</v>
      </c>
      <c r="QE35" s="24">
        <v>0</v>
      </c>
      <c r="QF35" s="24">
        <v>0</v>
      </c>
      <c r="QG35" s="24">
        <v>0</v>
      </c>
      <c r="QH35" s="24">
        <v>0</v>
      </c>
      <c r="QI35" s="24">
        <v>0</v>
      </c>
      <c r="QJ35" s="24">
        <v>0</v>
      </c>
      <c r="QK35" s="24">
        <v>0</v>
      </c>
      <c r="QL35" s="24">
        <v>0</v>
      </c>
      <c r="QM35" s="24">
        <v>0</v>
      </c>
      <c r="QN35" s="24">
        <v>0</v>
      </c>
      <c r="QO35" s="24">
        <v>0</v>
      </c>
      <c r="QP35" s="24">
        <v>0</v>
      </c>
      <c r="QQ35" s="24">
        <v>0</v>
      </c>
      <c r="QR35" s="24">
        <v>0</v>
      </c>
      <c r="QS35" s="24">
        <v>3614</v>
      </c>
      <c r="QT35" s="24">
        <v>0</v>
      </c>
      <c r="QU35" s="24">
        <v>300000</v>
      </c>
      <c r="QV35" s="24">
        <v>0</v>
      </c>
      <c r="QW35" s="24">
        <v>22973</v>
      </c>
      <c r="QX35" s="24">
        <v>0</v>
      </c>
      <c r="QY35" s="24">
        <v>0</v>
      </c>
      <c r="QZ35" s="24">
        <v>0</v>
      </c>
      <c r="RA35" s="24">
        <v>0</v>
      </c>
      <c r="RB35" s="24">
        <v>0</v>
      </c>
      <c r="RG35" s="39">
        <f t="shared" si="48"/>
        <v>2226641</v>
      </c>
      <c r="RH35" s="39">
        <f t="shared" si="48"/>
        <v>177661</v>
      </c>
      <c r="RI35" s="39">
        <f t="shared" si="48"/>
        <v>2000</v>
      </c>
      <c r="RJ35" s="39">
        <f t="shared" si="48"/>
        <v>0</v>
      </c>
      <c r="RK35" s="39">
        <f t="shared" si="48"/>
        <v>0</v>
      </c>
      <c r="RL35" s="39">
        <f t="shared" si="48"/>
        <v>296502</v>
      </c>
      <c r="RM35" s="39">
        <f t="shared" si="48"/>
        <v>182523</v>
      </c>
      <c r="RN35" s="39">
        <f t="shared" si="48"/>
        <v>2659</v>
      </c>
      <c r="RO35" s="39">
        <f t="shared" si="48"/>
        <v>20366</v>
      </c>
      <c r="RP35" s="39">
        <f t="shared" si="48"/>
        <v>44193</v>
      </c>
      <c r="RQ35" s="39">
        <f t="shared" si="48"/>
        <v>37664</v>
      </c>
      <c r="RR35" s="39">
        <f t="shared" si="48"/>
        <v>0</v>
      </c>
      <c r="RS35" s="39"/>
      <c r="RT35" s="182"/>
      <c r="RU35" s="39"/>
      <c r="RV35" s="39">
        <f t="shared" si="49"/>
        <v>378291</v>
      </c>
      <c r="RW35" s="39">
        <f t="shared" si="49"/>
        <v>2990209</v>
      </c>
      <c r="RX35" s="39">
        <f t="shared" si="49"/>
        <v>808681</v>
      </c>
      <c r="RY35" s="39">
        <f t="shared" si="49"/>
        <v>1576587</v>
      </c>
      <c r="RZ35" s="39"/>
      <c r="SA35" s="182"/>
      <c r="SB35" s="39"/>
      <c r="SC35" s="25">
        <f t="shared" si="50"/>
        <v>2062.9617346938776</v>
      </c>
      <c r="SD35" s="39">
        <f>IFERROR(VLOOKUP(A35, 'Levy Data 15-16'!$B:$O, 3, FALSE), 0)</f>
        <v>157220403</v>
      </c>
      <c r="SE35" s="39">
        <f t="shared" si="9"/>
        <v>401072.45663265308</v>
      </c>
      <c r="SF35" s="631">
        <f>IFERROR(VLOOKUP(A35, 'Levy Data 15-16'!$B:$O, 14, FALSE), 0)*1000</f>
        <v>3.5897510000000001</v>
      </c>
      <c r="SG35" s="39">
        <f t="shared" si="10"/>
        <v>0</v>
      </c>
      <c r="SH35" s="39">
        <f t="shared" si="11"/>
        <v>0</v>
      </c>
      <c r="SI35" s="39">
        <f t="shared" si="12"/>
        <v>808681</v>
      </c>
      <c r="SM35" s="39">
        <f t="shared" si="13"/>
        <v>2990209</v>
      </c>
      <c r="SN35" s="39">
        <f t="shared" si="14"/>
        <v>0</v>
      </c>
      <c r="SO35" s="39">
        <f t="shared" si="51"/>
        <v>2990209</v>
      </c>
      <c r="SP35" s="50">
        <f t="shared" si="52"/>
        <v>1</v>
      </c>
      <c r="ST35" s="124">
        <f>IFERROR(VLOOKUP(A35,'Grade Enroll 15-16'!B:AC,27,FALSE),"")</f>
        <v>392</v>
      </c>
      <c r="SU35" s="124">
        <f t="shared" si="53"/>
        <v>181.05084745762713</v>
      </c>
      <c r="SV35" s="131">
        <f>IFERROR(VLOOKUP($A35, 'Title I Enroll 16-17'!S:V, 4, FALSE), 0)</f>
        <v>0.46186440677966101</v>
      </c>
      <c r="SW35" s="729">
        <f>IFERROR(VLOOKUP(A35, 'ELL Enroll 15-16'!$N:$S, 6, FALSE), 0)</f>
        <v>17</v>
      </c>
      <c r="SX35" s="131">
        <f t="shared" si="54"/>
        <v>4.336734693877551E-2</v>
      </c>
      <c r="SY35" s="124">
        <f>IFERROR(VLOOKUP(A35, 'SPED enroll 2015-16'!$M:$O, 3, FALSE), 0)</f>
        <v>53</v>
      </c>
      <c r="SZ35" s="131">
        <f t="shared" si="55"/>
        <v>0.13520408163265307</v>
      </c>
      <c r="TA35" s="142">
        <f t="shared" si="56"/>
        <v>37.099999999999994</v>
      </c>
      <c r="TB35" s="142">
        <f t="shared" si="56"/>
        <v>10.600000000000001</v>
      </c>
      <c r="TC35" s="142">
        <f t="shared" si="56"/>
        <v>3.7100000000000004</v>
      </c>
      <c r="TD35" s="142">
        <f t="shared" si="56"/>
        <v>1.5899999999999999</v>
      </c>
      <c r="TE35" s="124">
        <f>VLOOKUP($A35, 'Grade Enroll 15-16'!$B:$AB, 20, FALSE)</f>
        <v>10</v>
      </c>
      <c r="TF35" s="124">
        <f>VLOOKUP($A35, 'Grade Enroll 15-16'!$B:$AB, 21, FALSE)</f>
        <v>36</v>
      </c>
      <c r="TG35" s="124">
        <f>VLOOKUP($A35, 'Grade Enroll 15-16'!$B:$AB, 22, FALSE)</f>
        <v>110</v>
      </c>
      <c r="TH35" s="124">
        <f>VLOOKUP($A35, 'Grade Enroll 15-16'!$B:$AB, 23, FALSE)</f>
        <v>112</v>
      </c>
      <c r="TI35" s="124">
        <f>VLOOKUP($A35, 'Grade Enroll 15-16'!$B:$AB, 24, FALSE)</f>
        <v>68</v>
      </c>
      <c r="TJ35" s="124">
        <f>VLOOKUP($A35, 'Grade Enroll 15-16'!$B:$AB, 25, FALSE)</f>
        <v>102</v>
      </c>
      <c r="TK35" s="124">
        <f>VLOOKUP($A35, 'Grade Enroll 15-16'!$B:$AB, 26, FALSE)</f>
        <v>254</v>
      </c>
      <c r="TL35" s="131">
        <f>SUMIFS('Student Achievement 15-16'!N:N, 'Student Achievement 15-16'!B:B, 'Idaho Data'!A35, 'Student Achievement 15-16'!D:D, "math")/100</f>
        <v>0.25700000000000001</v>
      </c>
      <c r="TM35" s="134">
        <f t="shared" si="57"/>
        <v>100.744</v>
      </c>
      <c r="TN35" s="131">
        <f>SUMIFS('Student Achievement 15-16'!N:N, 'Student Achievement 15-16'!B:B, 'Idaho Data'!A35, 'Student Achievement 15-16'!D:D, "ela")/100</f>
        <v>0.247</v>
      </c>
      <c r="TO35" s="134">
        <f t="shared" si="58"/>
        <v>96.823999999999998</v>
      </c>
      <c r="TP35" s="688">
        <f>IFERROR(VLOOKUP(A35, 'G&amp;T 15-16'!B:G, 6, FALSE), 0)*1</f>
        <v>0</v>
      </c>
      <c r="TQ35" s="168">
        <f t="shared" si="59"/>
        <v>23.52</v>
      </c>
      <c r="TU35" s="168">
        <f t="shared" si="60"/>
        <v>96.823999999999998</v>
      </c>
      <c r="TV35" s="168">
        <f t="shared" si="61"/>
        <v>100.744</v>
      </c>
      <c r="TW35" s="205">
        <f t="shared" si="62"/>
        <v>100.744</v>
      </c>
      <c r="TX35" s="144"/>
      <c r="TY35" s="129"/>
      <c r="TZ35" s="127">
        <f t="shared" si="63"/>
        <v>0</v>
      </c>
      <c r="UA35" s="127">
        <f t="shared" si="64"/>
        <v>23.52</v>
      </c>
      <c r="UB35" s="205">
        <f t="shared" si="65"/>
        <v>23.52</v>
      </c>
      <c r="UE35" s="853" t="str">
        <f>IF(ST35&lt;='1. Simulator Input'!$E$104, "yes", "")</f>
        <v/>
      </c>
      <c r="UI35" s="199">
        <f t="shared" si="66"/>
        <v>0</v>
      </c>
      <c r="UJ35" s="200">
        <f>IF('Idaho Data'!SI35&gt;=0, ((1-'1. Simulator Input'!$E$39)*'Idaho Data'!SI35), 0)</f>
        <v>0</v>
      </c>
      <c r="UK35" s="200">
        <f t="shared" si="67"/>
        <v>2990209</v>
      </c>
      <c r="UL35" s="39"/>
      <c r="UM35" s="182"/>
      <c r="UN35" s="39"/>
      <c r="UO35" s="39" t="str">
        <f>IF(AND('1. Simulator Input'!$E$96="yes", '1. Simulator Input'!$E$98="yes", '1. Simulator Input'!$E$100="hold harmless"), 'Idaho Data'!WN35, IF(AND('1. Simulator Input'!$E$96="yes", '1. Simulator Input'!$E$98="no", '1. Simulator Input'!$E$100="hold harmless"), 'Idaho Data'!WM35, IF(AND('1. Simulator Input'!$E$96="yes", '1. Simulator Input'!$E$98="yes", '1. Simulator Input'!$E$100="small district grant"), WL35,IF(AND('1. Simulator Input'!$E$96="yes", '1. Simulator Input'!$E$98="no", '1. Simulator Input'!$E$100="small district grant"), WK35, ""))))</f>
        <v/>
      </c>
      <c r="UP35" s="200">
        <f>'1. Simulator Input'!$D$56*('Idaho Data'!ST35)</f>
        <v>2166192</v>
      </c>
      <c r="UQ35" s="204">
        <f>'1. Simulator Input'!$D$65*'1. Simulator Input'!$D$56*'Idaho Data'!SU35</f>
        <v>0</v>
      </c>
      <c r="UR35" s="204">
        <f>'1. Simulator Input'!$D$66*'1. Simulator Input'!$D$56*'Idaho Data'!SW35</f>
        <v>0</v>
      </c>
      <c r="US35" s="200">
        <f>'1. Simulator Input'!$D$67*'1. Simulator Input'!$D$56*'Idaho Data'!TA35</f>
        <v>0</v>
      </c>
      <c r="UT35" s="200">
        <f>'1. Simulator Input'!$D$68*'1. Simulator Input'!$D$56*'Idaho Data'!TB35</f>
        <v>0</v>
      </c>
      <c r="UU35" s="200">
        <f>'1. Simulator Input'!$D$69*'1. Simulator Input'!$D$56*'Idaho Data'!TC35</f>
        <v>0</v>
      </c>
      <c r="UV35" s="200">
        <f>'1. Simulator Input'!$D$70*'1. Simulator Input'!$D$56*TD35</f>
        <v>0</v>
      </c>
      <c r="UW35" s="200">
        <f>'1. Simulator Input'!$D$80*'1. Simulator Input'!$D$56*TW35</f>
        <v>0</v>
      </c>
      <c r="UX35" s="200">
        <f>'1. Simulator Input'!$D$79*'1. Simulator Input'!$D$56*UB35</f>
        <v>0</v>
      </c>
      <c r="UY35" s="200">
        <f>'1. Simulator Input'!$D$87*'1. Simulator Input'!$D$56*TF35</f>
        <v>99468</v>
      </c>
      <c r="UZ35" s="200">
        <f>'1. Simulator Input'!$D$73*'1. Simulator Input'!$D$56*'Idaho Data'!TG35</f>
        <v>0</v>
      </c>
      <c r="VA35" s="200">
        <f>'1. Simulator Input'!$D$56*'1. Simulator Input'!$D$74*'Idaho Data'!TH35</f>
        <v>0</v>
      </c>
      <c r="VB35" s="200">
        <f>'1. Simulator Input'!$D$56*'1. Simulator Input'!$D$75*'Idaho Data'!TI30</f>
        <v>0</v>
      </c>
      <c r="VC35" s="200">
        <f>'1. Simulator Input'!$D$76*'1. Simulator Input'!$D$56*'Idaho Data'!TJ35</f>
        <v>0</v>
      </c>
      <c r="VD35" s="200">
        <f t="shared" si="68"/>
        <v>2265660</v>
      </c>
      <c r="VE35" s="200"/>
      <c r="VF35" s="182"/>
      <c r="VG35" s="200"/>
      <c r="VH35" s="200">
        <f t="shared" si="69"/>
        <v>0</v>
      </c>
      <c r="VI35" s="200">
        <f t="shared" si="70"/>
        <v>0</v>
      </c>
      <c r="VJ35" s="200">
        <f t="shared" si="16"/>
        <v>2265660</v>
      </c>
      <c r="VK35" s="200">
        <f t="shared" si="17"/>
        <v>2265660</v>
      </c>
      <c r="VL35" s="200"/>
      <c r="VM35" s="182"/>
      <c r="VN35" s="200"/>
      <c r="VO35" s="200">
        <f t="shared" si="71"/>
        <v>378291</v>
      </c>
      <c r="VP35" s="200">
        <f t="shared" si="72"/>
        <v>2990209</v>
      </c>
      <c r="VQ35" s="200">
        <f t="shared" si="73"/>
        <v>808681</v>
      </c>
      <c r="VR35" s="200">
        <f t="shared" si="74"/>
        <v>378291</v>
      </c>
      <c r="VS35" s="200">
        <f t="shared" si="18"/>
        <v>2265660</v>
      </c>
      <c r="VT35" s="200">
        <f t="shared" si="19"/>
        <v>808681</v>
      </c>
      <c r="VU35" s="200">
        <f t="shared" si="20"/>
        <v>0</v>
      </c>
      <c r="VV35" s="200"/>
      <c r="VW35" s="182"/>
      <c r="VX35" s="200"/>
      <c r="VZ35" s="199">
        <f t="shared" si="75"/>
        <v>-724549</v>
      </c>
      <c r="WA35" s="199">
        <f t="shared" si="76"/>
        <v>-1848.3392857142858</v>
      </c>
      <c r="WB35" s="131">
        <f t="shared" si="77"/>
        <v>-0.24230714307929646</v>
      </c>
      <c r="WC35" s="131"/>
      <c r="WD35" s="461"/>
      <c r="WE35" s="893"/>
      <c r="WF35" s="893">
        <f t="shared" si="78"/>
        <v>10656.073979591836</v>
      </c>
      <c r="WG35" s="893">
        <f t="shared" si="79"/>
        <v>8807.7346938775518</v>
      </c>
      <c r="WH35" s="893"/>
      <c r="WI35" s="893">
        <f t="shared" si="80"/>
        <v>2990209</v>
      </c>
      <c r="WJ35" s="893">
        <f t="shared" si="21"/>
        <v>2265660</v>
      </c>
      <c r="WK35" s="39" t="str">
        <f t="shared" si="22"/>
        <v/>
      </c>
      <c r="WL35" s="39" t="str">
        <f t="shared" si="23"/>
        <v/>
      </c>
      <c r="WM35" s="200" t="str">
        <f t="shared" si="24"/>
        <v/>
      </c>
      <c r="WN35" s="39" t="str">
        <f t="shared" si="25"/>
        <v/>
      </c>
      <c r="WO35" s="39"/>
      <c r="WP35" s="182"/>
      <c r="WQ35" s="39"/>
      <c r="WR35" s="305">
        <f t="shared" si="26"/>
        <v>0.40300000000000002</v>
      </c>
      <c r="WT35" s="200">
        <f t="shared" si="27"/>
        <v>7628.0841836734689</v>
      </c>
      <c r="WU35" s="131">
        <f t="shared" si="81"/>
        <v>0.7</v>
      </c>
      <c r="WW35" s="199">
        <f t="shared" si="28"/>
        <v>378291</v>
      </c>
      <c r="WX35" s="199">
        <f t="shared" si="29"/>
        <v>2265660</v>
      </c>
      <c r="WY35" s="199">
        <f t="shared" si="30"/>
        <v>0</v>
      </c>
      <c r="WZ35" s="199">
        <f t="shared" si="82"/>
        <v>2265660</v>
      </c>
      <c r="XA35" s="199">
        <f t="shared" si="31"/>
        <v>0</v>
      </c>
      <c r="XB35" s="199">
        <f t="shared" si="32"/>
        <v>808681</v>
      </c>
      <c r="XC35" s="199">
        <f t="shared" si="33"/>
        <v>808681</v>
      </c>
      <c r="XD35" s="199" t="str">
        <f t="shared" si="34"/>
        <v/>
      </c>
      <c r="XE35" s="199"/>
      <c r="XF35" s="199"/>
      <c r="XG35" s="199"/>
      <c r="XH35" s="199"/>
      <c r="XI35" s="199"/>
      <c r="XJ35" s="199">
        <f t="shared" si="83"/>
        <v>2265660</v>
      </c>
      <c r="XP35" s="199">
        <f t="shared" si="35"/>
        <v>2265660</v>
      </c>
      <c r="XQ35" s="199">
        <f t="shared" si="36"/>
        <v>5779.7448979591836</v>
      </c>
      <c r="XR35" s="199">
        <f t="shared" si="37"/>
        <v>2265660</v>
      </c>
      <c r="XS35" s="199">
        <f t="shared" si="38"/>
        <v>2265660</v>
      </c>
      <c r="XT35" s="199">
        <f t="shared" si="39"/>
        <v>5779.7448979591836</v>
      </c>
      <c r="XU35" s="199">
        <f t="shared" si="40"/>
        <v>2990209</v>
      </c>
      <c r="XV35" s="199">
        <f t="shared" si="41"/>
        <v>7628.0841836734689</v>
      </c>
      <c r="XW35" s="199">
        <f t="shared" si="42"/>
        <v>2990209</v>
      </c>
      <c r="XX35" s="199">
        <f t="shared" si="43"/>
        <v>7628.0841836734689</v>
      </c>
      <c r="XY35" s="199">
        <f t="shared" si="84"/>
        <v>-724549</v>
      </c>
      <c r="XZ35" s="199">
        <f t="shared" si="85"/>
        <v>-1848.3392857142853</v>
      </c>
      <c r="YA35" s="131">
        <f t="shared" si="86"/>
        <v>-0.24230714307929643</v>
      </c>
      <c r="YB35" s="199"/>
      <c r="YC35" s="221"/>
      <c r="YD35" s="199"/>
      <c r="YE35" s="199">
        <f t="shared" si="44"/>
        <v>378291</v>
      </c>
      <c r="YF35" s="200">
        <f t="shared" si="45"/>
        <v>0</v>
      </c>
      <c r="YG35" s="199">
        <f t="shared" si="46"/>
        <v>808681</v>
      </c>
      <c r="YH35" s="199">
        <f t="shared" si="47"/>
        <v>1576587</v>
      </c>
    </row>
    <row r="36" spans="1:658">
      <c r="A36" s="3">
        <v>121</v>
      </c>
      <c r="B36" s="2" t="s">
        <v>127</v>
      </c>
      <c r="C36" s="24">
        <v>279</v>
      </c>
      <c r="D36" s="24">
        <v>0</v>
      </c>
      <c r="E36" s="24">
        <v>0</v>
      </c>
      <c r="F36" s="24">
        <v>0</v>
      </c>
      <c r="G36" s="24">
        <v>206604</v>
      </c>
      <c r="H36" s="24">
        <v>0</v>
      </c>
      <c r="I36" s="24">
        <v>0</v>
      </c>
      <c r="J36" s="24">
        <v>5560</v>
      </c>
      <c r="K36" s="24">
        <v>0</v>
      </c>
      <c r="L36" s="24">
        <v>0</v>
      </c>
      <c r="M36" s="24">
        <v>0</v>
      </c>
      <c r="N36" s="24">
        <v>0</v>
      </c>
      <c r="O36" s="24">
        <v>0</v>
      </c>
      <c r="P36" s="24">
        <v>0</v>
      </c>
      <c r="Q36" s="24">
        <v>51017</v>
      </c>
      <c r="R36" s="24">
        <v>0</v>
      </c>
      <c r="S36" s="24">
        <v>0</v>
      </c>
      <c r="T36" s="24">
        <v>20140</v>
      </c>
      <c r="U36" s="24">
        <v>0</v>
      </c>
      <c r="V36" s="24">
        <v>0</v>
      </c>
      <c r="W36" s="24">
        <v>0</v>
      </c>
      <c r="X36" s="24">
        <v>275840</v>
      </c>
      <c r="Y36" s="24">
        <v>2864</v>
      </c>
      <c r="Z36" s="24">
        <v>0</v>
      </c>
      <c r="AA36" s="24">
        <v>2399</v>
      </c>
      <c r="AB36" s="24">
        <v>0</v>
      </c>
      <c r="AC36" s="24">
        <v>0</v>
      </c>
      <c r="AD36" s="24">
        <v>0</v>
      </c>
      <c r="AE36" s="24">
        <v>0</v>
      </c>
      <c r="AF36" s="24">
        <v>0</v>
      </c>
      <c r="AG36" s="24">
        <v>0</v>
      </c>
      <c r="AH36" s="24">
        <v>0</v>
      </c>
      <c r="AI36" s="24">
        <v>0</v>
      </c>
      <c r="AJ36" s="24">
        <v>0</v>
      </c>
      <c r="AK36" s="24">
        <v>0</v>
      </c>
      <c r="AL36" s="24">
        <v>1312</v>
      </c>
      <c r="AM36" s="24">
        <v>0</v>
      </c>
      <c r="AN36" s="24">
        <v>0</v>
      </c>
      <c r="AO36" s="24">
        <v>0</v>
      </c>
      <c r="AP36" s="24">
        <v>0</v>
      </c>
      <c r="AQ36" s="24">
        <v>0</v>
      </c>
      <c r="AR36" s="24">
        <v>0</v>
      </c>
      <c r="AS36" s="24">
        <v>0</v>
      </c>
      <c r="AT36" s="24">
        <v>0</v>
      </c>
      <c r="AU36" s="24">
        <v>0</v>
      </c>
      <c r="AV36" s="24">
        <v>0</v>
      </c>
      <c r="AW36" s="24">
        <v>0</v>
      </c>
      <c r="AX36" s="24">
        <v>0</v>
      </c>
      <c r="AY36" s="24">
        <v>0</v>
      </c>
      <c r="AZ36" s="24">
        <v>0</v>
      </c>
      <c r="BA36" s="24">
        <v>0</v>
      </c>
      <c r="BB36" s="24">
        <v>0</v>
      </c>
      <c r="BC36" s="24">
        <v>0</v>
      </c>
      <c r="BD36" s="24">
        <v>0</v>
      </c>
      <c r="BE36" s="24">
        <v>0</v>
      </c>
      <c r="BF36" s="24">
        <v>3</v>
      </c>
      <c r="BG36" s="24">
        <v>0</v>
      </c>
      <c r="BH36" s="24">
        <v>0</v>
      </c>
      <c r="BI36" s="24">
        <v>0</v>
      </c>
      <c r="BJ36" s="24">
        <v>0</v>
      </c>
      <c r="BK36" s="24">
        <v>0</v>
      </c>
      <c r="BL36" s="24">
        <v>0</v>
      </c>
      <c r="BM36" s="24">
        <v>0</v>
      </c>
      <c r="BN36" s="24">
        <v>0</v>
      </c>
      <c r="BO36" s="24">
        <v>0</v>
      </c>
      <c r="BP36" s="24">
        <v>0</v>
      </c>
      <c r="BQ36" s="24">
        <v>0</v>
      </c>
      <c r="BR36" s="24">
        <v>0</v>
      </c>
      <c r="BS36" s="24">
        <v>0</v>
      </c>
      <c r="BT36" s="24">
        <v>0</v>
      </c>
      <c r="BU36" s="24">
        <v>0</v>
      </c>
      <c r="BV36" s="24">
        <v>0</v>
      </c>
      <c r="BW36" s="24">
        <v>0</v>
      </c>
      <c r="BX36" s="24">
        <v>0</v>
      </c>
      <c r="BY36" s="24">
        <v>0</v>
      </c>
      <c r="BZ36" s="24">
        <v>0</v>
      </c>
      <c r="CA36" s="24">
        <v>0</v>
      </c>
      <c r="CB36" s="24">
        <v>0</v>
      </c>
      <c r="CC36" s="24">
        <v>0</v>
      </c>
      <c r="CD36" s="24">
        <v>19395</v>
      </c>
      <c r="CE36" s="24">
        <v>0</v>
      </c>
      <c r="CF36" s="24">
        <v>0</v>
      </c>
      <c r="CG36" s="24">
        <v>495</v>
      </c>
      <c r="CH36" s="24">
        <v>0</v>
      </c>
      <c r="CI36" s="24">
        <v>0</v>
      </c>
      <c r="CJ36" s="24">
        <v>0</v>
      </c>
      <c r="CK36" s="24">
        <v>0</v>
      </c>
      <c r="CL36" s="24">
        <v>0</v>
      </c>
      <c r="CM36" s="24">
        <v>0</v>
      </c>
      <c r="CN36" s="24">
        <v>0</v>
      </c>
      <c r="CO36" s="24">
        <v>0</v>
      </c>
      <c r="CP36" s="24">
        <v>0</v>
      </c>
      <c r="CQ36" s="24">
        <v>0</v>
      </c>
      <c r="CR36" s="24">
        <v>0</v>
      </c>
      <c r="CS36" s="24">
        <v>0</v>
      </c>
      <c r="CT36" s="24">
        <v>0</v>
      </c>
      <c r="CU36" s="24">
        <v>0</v>
      </c>
      <c r="CV36" s="24">
        <v>0</v>
      </c>
      <c r="CW36" s="24">
        <v>0</v>
      </c>
      <c r="CX36" s="24">
        <v>0</v>
      </c>
      <c r="CY36" s="24">
        <v>0</v>
      </c>
      <c r="CZ36" s="24">
        <v>0</v>
      </c>
      <c r="DA36" s="24">
        <v>0</v>
      </c>
      <c r="DB36" s="24">
        <v>1769</v>
      </c>
      <c r="DC36" s="24">
        <v>0</v>
      </c>
      <c r="DD36" s="24">
        <v>0</v>
      </c>
      <c r="DE36" s="24">
        <v>0</v>
      </c>
      <c r="DF36" s="24">
        <v>0</v>
      </c>
      <c r="DG36" s="24">
        <v>0</v>
      </c>
      <c r="DH36" s="24">
        <v>0</v>
      </c>
      <c r="DI36" s="24">
        <v>0</v>
      </c>
      <c r="DJ36" s="24">
        <v>0</v>
      </c>
      <c r="DK36" s="24">
        <v>0</v>
      </c>
      <c r="DL36" s="24">
        <v>0</v>
      </c>
      <c r="DM36" s="24">
        <v>0</v>
      </c>
      <c r="DN36" s="24">
        <v>0</v>
      </c>
      <c r="DO36" s="24">
        <v>0</v>
      </c>
      <c r="DP36" s="24">
        <v>0</v>
      </c>
      <c r="DQ36" s="24">
        <v>0</v>
      </c>
      <c r="DR36" s="24">
        <v>0</v>
      </c>
      <c r="DS36" s="24">
        <v>0</v>
      </c>
      <c r="DT36" s="24">
        <v>0</v>
      </c>
      <c r="DU36" s="24">
        <v>0</v>
      </c>
      <c r="DV36" s="24">
        <v>0</v>
      </c>
      <c r="DW36" s="24">
        <v>0</v>
      </c>
      <c r="DX36" s="24">
        <v>0</v>
      </c>
      <c r="DY36" s="24">
        <v>0</v>
      </c>
      <c r="DZ36" s="24">
        <v>0</v>
      </c>
      <c r="EA36" s="24">
        <v>0</v>
      </c>
      <c r="EB36" s="24">
        <v>1322</v>
      </c>
      <c r="EC36" s="24">
        <v>0</v>
      </c>
      <c r="ED36" s="24">
        <v>0</v>
      </c>
      <c r="EE36" s="24">
        <v>0</v>
      </c>
      <c r="EF36" s="24">
        <v>0</v>
      </c>
      <c r="EG36" s="24">
        <v>0</v>
      </c>
      <c r="EH36" s="24">
        <v>0</v>
      </c>
      <c r="EI36" s="24">
        <v>0</v>
      </c>
      <c r="EJ36" s="24">
        <v>0</v>
      </c>
      <c r="EK36" s="24">
        <v>0</v>
      </c>
      <c r="EL36" s="24">
        <v>0</v>
      </c>
      <c r="EM36" s="24">
        <v>0</v>
      </c>
      <c r="EN36" s="24">
        <v>0</v>
      </c>
      <c r="EO36" s="24">
        <v>0</v>
      </c>
      <c r="EP36" s="24">
        <v>0</v>
      </c>
      <c r="EQ36" s="24">
        <v>0</v>
      </c>
      <c r="ER36" s="24">
        <v>0</v>
      </c>
      <c r="ES36" s="24">
        <v>0</v>
      </c>
      <c r="ET36" s="24">
        <v>0</v>
      </c>
      <c r="EU36" s="24">
        <v>0</v>
      </c>
      <c r="EV36" s="24">
        <v>0</v>
      </c>
      <c r="EW36" s="24">
        <v>0</v>
      </c>
      <c r="EX36" s="24">
        <v>0</v>
      </c>
      <c r="EY36" s="24">
        <v>0</v>
      </c>
      <c r="EZ36" s="24">
        <v>9900</v>
      </c>
      <c r="FA36" s="24">
        <v>0</v>
      </c>
      <c r="FB36" s="24">
        <v>0</v>
      </c>
      <c r="FC36" s="24">
        <v>0</v>
      </c>
      <c r="FD36" s="24">
        <v>0</v>
      </c>
      <c r="FE36" s="24">
        <v>0</v>
      </c>
      <c r="FF36" s="24">
        <v>0</v>
      </c>
      <c r="FG36" s="24">
        <v>0</v>
      </c>
      <c r="FH36" s="24">
        <v>0</v>
      </c>
      <c r="FI36" s="24">
        <v>0</v>
      </c>
      <c r="FJ36" s="24">
        <v>0</v>
      </c>
      <c r="FK36" s="24">
        <v>0</v>
      </c>
      <c r="FL36" s="24">
        <v>0</v>
      </c>
      <c r="FM36" s="24">
        <v>0</v>
      </c>
      <c r="FN36" s="24">
        <v>0</v>
      </c>
      <c r="FO36" s="24">
        <v>0</v>
      </c>
      <c r="FP36" s="24">
        <v>0</v>
      </c>
      <c r="FQ36" s="24">
        <v>0</v>
      </c>
      <c r="FR36" s="24">
        <v>0</v>
      </c>
      <c r="FS36" s="24">
        <v>10784</v>
      </c>
      <c r="FT36" s="24">
        <v>0</v>
      </c>
      <c r="FU36" s="24">
        <v>0</v>
      </c>
      <c r="FV36" s="24">
        <v>0</v>
      </c>
      <c r="FW36" s="24">
        <v>0</v>
      </c>
      <c r="FX36" s="24">
        <v>0</v>
      </c>
      <c r="FY36" s="24">
        <v>0</v>
      </c>
      <c r="FZ36" s="24">
        <v>0</v>
      </c>
      <c r="GA36" s="24">
        <v>500</v>
      </c>
      <c r="GB36" s="24">
        <v>0</v>
      </c>
      <c r="GC36" s="24">
        <v>0</v>
      </c>
      <c r="GD36" s="24">
        <v>0</v>
      </c>
      <c r="GE36" s="24">
        <v>0</v>
      </c>
      <c r="GF36" s="24">
        <v>0</v>
      </c>
      <c r="GG36" s="24">
        <v>0</v>
      </c>
      <c r="GH36" s="24">
        <v>0</v>
      </c>
      <c r="GI36" s="24">
        <v>0</v>
      </c>
      <c r="GJ36" s="24">
        <v>0</v>
      </c>
      <c r="GK36" s="24">
        <v>0</v>
      </c>
      <c r="GL36" s="24">
        <v>0</v>
      </c>
      <c r="GM36" s="24">
        <v>0</v>
      </c>
      <c r="GN36" s="24">
        <v>0</v>
      </c>
      <c r="GO36" s="24">
        <v>0</v>
      </c>
      <c r="GP36" s="24">
        <v>0</v>
      </c>
      <c r="GQ36" s="24">
        <v>0</v>
      </c>
      <c r="GR36" s="24">
        <v>0</v>
      </c>
      <c r="GS36" s="24">
        <v>0</v>
      </c>
      <c r="GT36" s="24">
        <v>0</v>
      </c>
      <c r="GU36" s="24">
        <v>0</v>
      </c>
      <c r="GV36" s="24">
        <v>0</v>
      </c>
      <c r="GW36" s="24">
        <v>0</v>
      </c>
      <c r="GX36" s="24">
        <v>0</v>
      </c>
      <c r="GY36" s="24">
        <v>0</v>
      </c>
      <c r="GZ36" s="24">
        <v>0</v>
      </c>
      <c r="HA36" s="24">
        <v>0</v>
      </c>
      <c r="HB36" s="24">
        <v>0</v>
      </c>
      <c r="HC36" s="24">
        <v>0</v>
      </c>
      <c r="HD36" s="24">
        <v>1130980</v>
      </c>
      <c r="HE36" s="24">
        <v>0</v>
      </c>
      <c r="HF36" s="24">
        <v>0</v>
      </c>
      <c r="HG36" s="24">
        <v>0</v>
      </c>
      <c r="HH36" s="24">
        <v>0</v>
      </c>
      <c r="HI36" s="24">
        <v>72917</v>
      </c>
      <c r="HJ36" s="24">
        <v>0</v>
      </c>
      <c r="HK36" s="24">
        <v>0</v>
      </c>
      <c r="HL36" s="24">
        <v>0</v>
      </c>
      <c r="HM36" s="24">
        <v>0</v>
      </c>
      <c r="HN36" s="24">
        <v>0</v>
      </c>
      <c r="HO36" s="24">
        <v>152142</v>
      </c>
      <c r="HP36" s="24">
        <v>101604</v>
      </c>
      <c r="HQ36" s="24">
        <v>0</v>
      </c>
      <c r="HR36" s="24">
        <v>0</v>
      </c>
      <c r="HS36" s="24">
        <v>0</v>
      </c>
      <c r="HT36" s="24">
        <v>0</v>
      </c>
      <c r="HU36" s="24">
        <v>0</v>
      </c>
      <c r="HV36" s="24">
        <v>0</v>
      </c>
      <c r="HW36" s="24">
        <v>0</v>
      </c>
      <c r="HX36" s="24">
        <v>0</v>
      </c>
      <c r="HY36" s="24">
        <v>0</v>
      </c>
      <c r="HZ36" s="24">
        <v>0</v>
      </c>
      <c r="IA36" s="24">
        <v>27071</v>
      </c>
      <c r="IB36" s="24">
        <v>0</v>
      </c>
      <c r="IC36" s="24">
        <v>0</v>
      </c>
      <c r="ID36" s="24">
        <v>0</v>
      </c>
      <c r="IE36" s="24">
        <v>0</v>
      </c>
      <c r="IF36" s="24">
        <v>0</v>
      </c>
      <c r="IG36" s="24">
        <v>0</v>
      </c>
      <c r="IH36" s="24">
        <v>0</v>
      </c>
      <c r="II36" s="24">
        <v>0</v>
      </c>
      <c r="IJ36" s="24">
        <v>6141</v>
      </c>
      <c r="IK36" s="24">
        <v>0</v>
      </c>
      <c r="IL36" s="24">
        <v>0</v>
      </c>
      <c r="IM36" s="24">
        <v>0</v>
      </c>
      <c r="IN36" s="24">
        <v>0</v>
      </c>
      <c r="IO36" s="24">
        <v>1375</v>
      </c>
      <c r="IP36" s="24">
        <v>0</v>
      </c>
      <c r="IQ36" s="24">
        <v>0</v>
      </c>
      <c r="IR36" s="24">
        <v>7663</v>
      </c>
      <c r="IS36" s="24">
        <v>0</v>
      </c>
      <c r="IT36" s="24">
        <v>0</v>
      </c>
      <c r="IU36" s="24">
        <v>0</v>
      </c>
      <c r="IV36" s="24">
        <v>0</v>
      </c>
      <c r="IW36" s="24">
        <v>0</v>
      </c>
      <c r="IX36" s="24">
        <v>0</v>
      </c>
      <c r="IY36" s="24">
        <v>0</v>
      </c>
      <c r="IZ36" s="24">
        <v>0</v>
      </c>
      <c r="JA36" s="24">
        <v>0</v>
      </c>
      <c r="JB36" s="24">
        <v>5608</v>
      </c>
      <c r="JC36" s="24">
        <v>0</v>
      </c>
      <c r="JD36" s="24">
        <v>0</v>
      </c>
      <c r="JE36" s="24">
        <v>0</v>
      </c>
      <c r="JF36" s="24">
        <v>0</v>
      </c>
      <c r="JG36" s="24">
        <v>0</v>
      </c>
      <c r="JH36" s="24">
        <v>0</v>
      </c>
      <c r="JI36" s="24">
        <v>0</v>
      </c>
      <c r="JJ36" s="24">
        <v>0</v>
      </c>
      <c r="JK36" s="24">
        <v>0</v>
      </c>
      <c r="JL36" s="24">
        <v>0</v>
      </c>
      <c r="JM36" s="24">
        <v>0</v>
      </c>
      <c r="JN36" s="24">
        <v>0</v>
      </c>
      <c r="JO36" s="24">
        <v>0</v>
      </c>
      <c r="JP36" s="24">
        <v>0</v>
      </c>
      <c r="JQ36" s="24">
        <v>0</v>
      </c>
      <c r="JR36" s="24">
        <v>0</v>
      </c>
      <c r="JS36" s="24">
        <v>0</v>
      </c>
      <c r="JT36" s="24">
        <v>0</v>
      </c>
      <c r="JU36" s="24">
        <v>0</v>
      </c>
      <c r="JV36" s="24">
        <v>0</v>
      </c>
      <c r="JW36" s="24">
        <v>0</v>
      </c>
      <c r="JX36" s="24">
        <v>0</v>
      </c>
      <c r="JY36" s="24">
        <v>0</v>
      </c>
      <c r="JZ36" s="24">
        <v>0</v>
      </c>
      <c r="KA36" s="24">
        <v>0</v>
      </c>
      <c r="KB36" s="24">
        <v>0</v>
      </c>
      <c r="KC36" s="24">
        <v>0</v>
      </c>
      <c r="KD36" s="24">
        <v>0</v>
      </c>
      <c r="KE36" s="24">
        <v>0</v>
      </c>
      <c r="KF36" s="24">
        <v>0</v>
      </c>
      <c r="KG36" s="24">
        <v>97813</v>
      </c>
      <c r="KH36" s="24">
        <v>0</v>
      </c>
      <c r="KI36" s="24">
        <v>0</v>
      </c>
      <c r="KJ36" s="24">
        <v>0</v>
      </c>
      <c r="KK36" s="24">
        <v>0</v>
      </c>
      <c r="KL36" s="24">
        <v>0</v>
      </c>
      <c r="KM36" s="24">
        <v>0</v>
      </c>
      <c r="KN36" s="24">
        <v>0</v>
      </c>
      <c r="KO36" s="24">
        <v>0</v>
      </c>
      <c r="KP36" s="24">
        <v>0</v>
      </c>
      <c r="KQ36" s="24">
        <v>0</v>
      </c>
      <c r="KR36" s="24">
        <v>0</v>
      </c>
      <c r="KS36" s="24">
        <v>0</v>
      </c>
      <c r="KT36" s="24">
        <v>0</v>
      </c>
      <c r="KU36" s="24">
        <v>0</v>
      </c>
      <c r="KV36" s="24">
        <v>0</v>
      </c>
      <c r="KW36" s="24">
        <v>0</v>
      </c>
      <c r="KX36" s="24">
        <v>0</v>
      </c>
      <c r="KY36" s="24">
        <v>0</v>
      </c>
      <c r="KZ36" s="24">
        <v>0</v>
      </c>
      <c r="LA36" s="24">
        <v>0</v>
      </c>
      <c r="LB36" s="24">
        <v>0</v>
      </c>
      <c r="LC36" s="24">
        <v>0</v>
      </c>
      <c r="LD36" s="24">
        <v>0</v>
      </c>
      <c r="LE36" s="24">
        <v>0</v>
      </c>
      <c r="LF36" s="24">
        <v>0</v>
      </c>
      <c r="LG36" s="24">
        <v>0</v>
      </c>
      <c r="LH36" s="24">
        <v>0</v>
      </c>
      <c r="LI36" s="24">
        <v>0</v>
      </c>
      <c r="LJ36" s="24">
        <v>0</v>
      </c>
      <c r="LK36" s="24">
        <v>0</v>
      </c>
      <c r="LL36" s="24">
        <v>0</v>
      </c>
      <c r="LM36" s="24">
        <v>0</v>
      </c>
      <c r="LN36" s="24">
        <v>0</v>
      </c>
      <c r="LO36" s="24">
        <v>0</v>
      </c>
      <c r="LP36" s="24">
        <v>0</v>
      </c>
      <c r="LQ36" s="24">
        <v>23230</v>
      </c>
      <c r="LR36" s="24">
        <v>0</v>
      </c>
      <c r="LS36" s="24">
        <v>0</v>
      </c>
      <c r="LT36" s="24">
        <v>0</v>
      </c>
      <c r="LU36" s="24">
        <v>0</v>
      </c>
      <c r="LV36" s="24">
        <v>0</v>
      </c>
      <c r="LW36" s="24">
        <v>0</v>
      </c>
      <c r="LX36" s="24">
        <v>0</v>
      </c>
      <c r="LY36" s="24">
        <v>0</v>
      </c>
      <c r="LZ36" s="24">
        <v>0</v>
      </c>
      <c r="MA36" s="24">
        <v>0</v>
      </c>
      <c r="MB36" s="24">
        <v>0</v>
      </c>
      <c r="MC36" s="24">
        <v>0</v>
      </c>
      <c r="MD36" s="24">
        <v>0</v>
      </c>
      <c r="ME36" s="24">
        <v>0</v>
      </c>
      <c r="MF36" s="24">
        <v>0</v>
      </c>
      <c r="MG36" s="24">
        <v>0</v>
      </c>
      <c r="MH36" s="24">
        <v>0</v>
      </c>
      <c r="MI36" s="24">
        <v>0</v>
      </c>
      <c r="MJ36" s="24">
        <v>0</v>
      </c>
      <c r="MK36" s="24">
        <v>0</v>
      </c>
      <c r="ML36" s="24">
        <v>0</v>
      </c>
      <c r="MM36" s="24">
        <v>0</v>
      </c>
      <c r="MN36" s="24">
        <v>0</v>
      </c>
      <c r="MO36" s="24">
        <v>0</v>
      </c>
      <c r="MP36" s="24">
        <v>0</v>
      </c>
      <c r="MQ36" s="24">
        <v>0</v>
      </c>
      <c r="MR36" s="24">
        <v>44476</v>
      </c>
      <c r="MS36" s="24">
        <v>0</v>
      </c>
      <c r="MT36" s="24">
        <v>0</v>
      </c>
      <c r="MU36" s="24">
        <v>0</v>
      </c>
      <c r="MV36" s="24">
        <v>0</v>
      </c>
      <c r="MW36" s="24">
        <v>30031</v>
      </c>
      <c r="MX36" s="24">
        <v>260</v>
      </c>
      <c r="MY36" s="24">
        <v>0</v>
      </c>
      <c r="MZ36" s="24">
        <v>0</v>
      </c>
      <c r="NA36" s="24">
        <v>0</v>
      </c>
      <c r="NB36" s="24">
        <v>0</v>
      </c>
      <c r="NC36" s="24">
        <v>0</v>
      </c>
      <c r="ND36" s="24">
        <v>0</v>
      </c>
      <c r="NE36" s="24">
        <v>0</v>
      </c>
      <c r="NF36" s="24">
        <v>0</v>
      </c>
      <c r="NG36" s="24">
        <v>0</v>
      </c>
      <c r="NH36" s="24">
        <v>0</v>
      </c>
      <c r="NI36" s="24">
        <v>0</v>
      </c>
      <c r="NJ36" s="24">
        <v>0</v>
      </c>
      <c r="NK36" s="24">
        <v>0</v>
      </c>
      <c r="NL36" s="24">
        <v>0</v>
      </c>
      <c r="NM36" s="24">
        <v>0</v>
      </c>
      <c r="NN36" s="24">
        <v>0</v>
      </c>
      <c r="NO36" s="24">
        <v>0</v>
      </c>
      <c r="NP36" s="24">
        <v>0</v>
      </c>
      <c r="NQ36" s="24">
        <v>18114</v>
      </c>
      <c r="NR36" s="24">
        <v>0</v>
      </c>
      <c r="NS36" s="24">
        <v>0</v>
      </c>
      <c r="NT36" s="24">
        <v>0</v>
      </c>
      <c r="NU36" s="24">
        <v>0</v>
      </c>
      <c r="NV36" s="24">
        <v>4750</v>
      </c>
      <c r="NW36" s="24">
        <v>0</v>
      </c>
      <c r="NX36" s="24">
        <v>0</v>
      </c>
      <c r="NY36" s="24">
        <v>0</v>
      </c>
      <c r="NZ36" s="24">
        <v>0</v>
      </c>
      <c r="OA36" s="24">
        <v>0</v>
      </c>
      <c r="OB36" s="24">
        <v>0</v>
      </c>
      <c r="OC36" s="24">
        <v>0</v>
      </c>
      <c r="OD36" s="24">
        <v>0</v>
      </c>
      <c r="OE36" s="24">
        <v>0</v>
      </c>
      <c r="OF36" s="24">
        <v>0</v>
      </c>
      <c r="OG36" s="24">
        <v>0</v>
      </c>
      <c r="OH36" s="24">
        <v>0</v>
      </c>
      <c r="OI36" s="24">
        <v>0</v>
      </c>
      <c r="OJ36" s="24">
        <v>0</v>
      </c>
      <c r="OK36" s="24">
        <v>0</v>
      </c>
      <c r="OL36" s="24">
        <v>0</v>
      </c>
      <c r="OM36" s="24">
        <v>0</v>
      </c>
      <c r="ON36" s="24">
        <v>0</v>
      </c>
      <c r="OO36" s="24">
        <v>0</v>
      </c>
      <c r="OP36" s="24">
        <v>0</v>
      </c>
      <c r="OQ36" s="24">
        <v>0</v>
      </c>
      <c r="OR36" s="24">
        <v>0</v>
      </c>
      <c r="OS36" s="24">
        <v>0</v>
      </c>
      <c r="OT36" s="24">
        <v>0</v>
      </c>
      <c r="OU36" s="24">
        <v>0</v>
      </c>
      <c r="OV36" s="24">
        <v>0</v>
      </c>
      <c r="OW36" s="24">
        <v>0</v>
      </c>
      <c r="OX36" s="24">
        <v>0</v>
      </c>
      <c r="OY36" s="24">
        <v>0</v>
      </c>
      <c r="OZ36" s="24">
        <v>0</v>
      </c>
      <c r="PA36" s="24">
        <v>0</v>
      </c>
      <c r="PB36" s="24">
        <v>0</v>
      </c>
      <c r="PC36" s="24">
        <v>0</v>
      </c>
      <c r="PD36" s="24">
        <v>0</v>
      </c>
      <c r="PE36" s="24">
        <v>0</v>
      </c>
      <c r="PF36" s="24">
        <v>0</v>
      </c>
      <c r="PG36" s="24">
        <v>0</v>
      </c>
      <c r="PH36" s="24">
        <v>0</v>
      </c>
      <c r="PI36" s="24">
        <v>0</v>
      </c>
      <c r="PJ36" s="24">
        <v>0</v>
      </c>
      <c r="PK36" s="24">
        <v>0</v>
      </c>
      <c r="PL36" s="24">
        <v>0</v>
      </c>
      <c r="PM36" s="24">
        <v>0</v>
      </c>
      <c r="PN36" s="24">
        <v>0</v>
      </c>
      <c r="PO36" s="24">
        <v>0</v>
      </c>
      <c r="PP36" s="24">
        <v>0</v>
      </c>
      <c r="PQ36" s="24">
        <v>0</v>
      </c>
      <c r="PR36" s="24">
        <v>0</v>
      </c>
      <c r="PS36" s="24">
        <v>0</v>
      </c>
      <c r="PT36" s="24">
        <v>0</v>
      </c>
      <c r="PU36" s="24">
        <v>1360</v>
      </c>
      <c r="PV36" s="24">
        <v>0</v>
      </c>
      <c r="PW36" s="24">
        <v>20500</v>
      </c>
      <c r="PX36" s="24">
        <v>0</v>
      </c>
      <c r="PY36" s="24">
        <v>0</v>
      </c>
      <c r="PZ36" s="24">
        <v>0</v>
      </c>
      <c r="QA36" s="24">
        <v>0</v>
      </c>
      <c r="QB36" s="24">
        <v>0</v>
      </c>
      <c r="QC36" s="24">
        <v>0</v>
      </c>
      <c r="QD36" s="24">
        <v>13872</v>
      </c>
      <c r="QE36" s="24">
        <v>0</v>
      </c>
      <c r="QF36" s="24">
        <v>0</v>
      </c>
      <c r="QG36" s="24">
        <v>0</v>
      </c>
      <c r="QH36" s="24">
        <v>0</v>
      </c>
      <c r="QI36" s="24">
        <v>0</v>
      </c>
      <c r="QJ36" s="24">
        <v>0</v>
      </c>
      <c r="QK36" s="24">
        <v>0</v>
      </c>
      <c r="QL36" s="24">
        <v>0</v>
      </c>
      <c r="QM36" s="24">
        <v>0</v>
      </c>
      <c r="QN36" s="24">
        <v>0</v>
      </c>
      <c r="QO36" s="24">
        <v>0</v>
      </c>
      <c r="QP36" s="24">
        <v>0</v>
      </c>
      <c r="QQ36" s="24">
        <v>0</v>
      </c>
      <c r="QR36" s="24">
        <v>0</v>
      </c>
      <c r="QS36" s="24">
        <v>15000</v>
      </c>
      <c r="QT36" s="24">
        <v>0</v>
      </c>
      <c r="QU36" s="24">
        <v>0</v>
      </c>
      <c r="QV36" s="24">
        <v>0</v>
      </c>
      <c r="QW36" s="24">
        <v>16962</v>
      </c>
      <c r="QX36" s="24">
        <v>0</v>
      </c>
      <c r="QY36" s="24">
        <v>0</v>
      </c>
      <c r="QZ36" s="24">
        <v>0</v>
      </c>
      <c r="RA36" s="24">
        <v>0</v>
      </c>
      <c r="RB36" s="24">
        <v>0</v>
      </c>
      <c r="RG36" s="39">
        <f t="shared" si="48"/>
        <v>1130980</v>
      </c>
      <c r="RH36" s="39">
        <f t="shared" si="48"/>
        <v>72917</v>
      </c>
      <c r="RI36" s="39">
        <f t="shared" si="48"/>
        <v>0</v>
      </c>
      <c r="RJ36" s="39">
        <f t="shared" si="48"/>
        <v>0</v>
      </c>
      <c r="RK36" s="39">
        <f t="shared" si="48"/>
        <v>0</v>
      </c>
      <c r="RL36" s="39">
        <f t="shared" si="48"/>
        <v>152142</v>
      </c>
      <c r="RM36" s="39">
        <f t="shared" si="48"/>
        <v>134816</v>
      </c>
      <c r="RN36" s="39">
        <f t="shared" si="48"/>
        <v>1375</v>
      </c>
      <c r="RO36" s="39">
        <f t="shared" si="48"/>
        <v>7663</v>
      </c>
      <c r="RP36" s="39">
        <f t="shared" si="48"/>
        <v>0</v>
      </c>
      <c r="RQ36" s="39">
        <f t="shared" si="48"/>
        <v>5608</v>
      </c>
      <c r="RR36" s="39">
        <f t="shared" si="48"/>
        <v>0</v>
      </c>
      <c r="RS36" s="39"/>
      <c r="RT36" s="182"/>
      <c r="RU36" s="39"/>
      <c r="RV36" s="39">
        <f t="shared" si="49"/>
        <v>218674</v>
      </c>
      <c r="RW36" s="39">
        <f t="shared" si="49"/>
        <v>1505501</v>
      </c>
      <c r="RX36" s="39">
        <f t="shared" si="49"/>
        <v>610183</v>
      </c>
      <c r="RY36" s="39">
        <f t="shared" si="49"/>
        <v>67694</v>
      </c>
      <c r="RZ36" s="39"/>
      <c r="SA36" s="182"/>
      <c r="SB36" s="39"/>
      <c r="SC36" s="25">
        <f t="shared" si="50"/>
        <v>4730.1007751937987</v>
      </c>
      <c r="SD36" s="39">
        <f>IFERROR(VLOOKUP(A36, 'Levy Data 15-16'!$B:$O, 3, FALSE), 0)</f>
        <v>127954302</v>
      </c>
      <c r="SE36" s="39">
        <f t="shared" si="9"/>
        <v>991893.81395348837</v>
      </c>
      <c r="SF36" s="631">
        <f>IFERROR(VLOOKUP(A36, 'Levy Data 15-16'!$B:$O, 14, FALSE), 0)*1000</f>
        <v>4.2637330000000002</v>
      </c>
      <c r="SG36" s="39">
        <f t="shared" si="10"/>
        <v>0</v>
      </c>
      <c r="SH36" s="39">
        <f t="shared" si="11"/>
        <v>0</v>
      </c>
      <c r="SI36" s="39">
        <f t="shared" si="12"/>
        <v>610183</v>
      </c>
      <c r="SM36" s="39">
        <f t="shared" si="13"/>
        <v>1505501</v>
      </c>
      <c r="SN36" s="39">
        <f t="shared" si="14"/>
        <v>0</v>
      </c>
      <c r="SO36" s="39">
        <f t="shared" si="51"/>
        <v>1505501</v>
      </c>
      <c r="SP36" s="50">
        <f t="shared" si="52"/>
        <v>1</v>
      </c>
      <c r="ST36" s="124">
        <f>IFERROR(VLOOKUP(A36,'Grade Enroll 15-16'!B:AC,27,FALSE),"")</f>
        <v>129</v>
      </c>
      <c r="SU36" s="124">
        <f t="shared" si="53"/>
        <v>52.631999999999998</v>
      </c>
      <c r="SV36" s="131">
        <f>IFERROR(VLOOKUP($A36, 'Title I Enroll 16-17'!S:V, 4, FALSE), 0)</f>
        <v>0.40799999999999997</v>
      </c>
      <c r="SW36" s="729">
        <f>IFERROR(VLOOKUP(A36, 'ELL Enroll 15-16'!$N:$S, 6, FALSE), 0)</f>
        <v>5</v>
      </c>
      <c r="SX36" s="131">
        <f t="shared" si="54"/>
        <v>3.875968992248062E-2</v>
      </c>
      <c r="SY36" s="124">
        <f>IFERROR(VLOOKUP(A36, 'SPED enroll 2015-16'!$M:$O, 3, FALSE), 0)</f>
        <v>13</v>
      </c>
      <c r="SZ36" s="131">
        <f t="shared" si="55"/>
        <v>0.10077519379844961</v>
      </c>
      <c r="TA36" s="142">
        <f t="shared" si="56"/>
        <v>9.1</v>
      </c>
      <c r="TB36" s="142">
        <f t="shared" si="56"/>
        <v>2.6</v>
      </c>
      <c r="TC36" s="142">
        <f t="shared" si="56"/>
        <v>0.91000000000000014</v>
      </c>
      <c r="TD36" s="142">
        <f t="shared" si="56"/>
        <v>0.39</v>
      </c>
      <c r="TE36" s="124">
        <f>VLOOKUP($A36, 'Grade Enroll 15-16'!$B:$AB, 20, FALSE)</f>
        <v>2</v>
      </c>
      <c r="TF36" s="124">
        <f>VLOOKUP($A36, 'Grade Enroll 15-16'!$B:$AB, 21, FALSE)</f>
        <v>7</v>
      </c>
      <c r="TG36" s="124">
        <f>VLOOKUP($A36, 'Grade Enroll 15-16'!$B:$AB, 22, FALSE)</f>
        <v>38</v>
      </c>
      <c r="TH36" s="124">
        <f>VLOOKUP($A36, 'Grade Enroll 15-16'!$B:$AB, 23, FALSE)</f>
        <v>37</v>
      </c>
      <c r="TI36" s="124">
        <f>VLOOKUP($A36, 'Grade Enroll 15-16'!$B:$AB, 24, FALSE)</f>
        <v>20</v>
      </c>
      <c r="TJ36" s="124">
        <f>VLOOKUP($A36, 'Grade Enroll 15-16'!$B:$AB, 25, FALSE)</f>
        <v>34</v>
      </c>
      <c r="TK36" s="124">
        <f>VLOOKUP($A36, 'Grade Enroll 15-16'!$B:$AB, 26, FALSE)</f>
        <v>93</v>
      </c>
      <c r="TL36" s="131">
        <f>SUMIFS('Student Achievement 15-16'!N:N, 'Student Achievement 15-16'!B:B, 'Idaho Data'!A36, 'Student Achievement 15-16'!D:D, "math")/100</f>
        <v>0.05</v>
      </c>
      <c r="TM36" s="134">
        <f t="shared" si="57"/>
        <v>6.45</v>
      </c>
      <c r="TN36" s="131">
        <f>SUMIFS('Student Achievement 15-16'!N:N, 'Student Achievement 15-16'!B:B, 'Idaho Data'!A36, 'Student Achievement 15-16'!D:D, "ela")/100</f>
        <v>0.05</v>
      </c>
      <c r="TO36" s="134">
        <f t="shared" si="58"/>
        <v>6.45</v>
      </c>
      <c r="TP36" s="688">
        <f>IFERROR(VLOOKUP(A36, 'G&amp;T 15-16'!B:G, 6, FALSE), 0)*1</f>
        <v>0</v>
      </c>
      <c r="TQ36" s="168">
        <f t="shared" si="59"/>
        <v>7.7399999999999993</v>
      </c>
      <c r="TU36" s="168">
        <f t="shared" si="60"/>
        <v>6.45</v>
      </c>
      <c r="TV36" s="168">
        <f t="shared" si="61"/>
        <v>6.45</v>
      </c>
      <c r="TW36" s="205">
        <f t="shared" si="62"/>
        <v>6.45</v>
      </c>
      <c r="TX36" s="144"/>
      <c r="TY36" s="129"/>
      <c r="TZ36" s="127">
        <f t="shared" si="63"/>
        <v>0</v>
      </c>
      <c r="UA36" s="127">
        <f t="shared" si="64"/>
        <v>7.7399999999999993</v>
      </c>
      <c r="UB36" s="205">
        <f t="shared" si="65"/>
        <v>7.7399999999999993</v>
      </c>
      <c r="UE36" s="853" t="str">
        <f>IF(ST36&lt;='1. Simulator Input'!$E$104, "yes", "")</f>
        <v>yes</v>
      </c>
      <c r="UI36" s="199">
        <f t="shared" si="66"/>
        <v>0</v>
      </c>
      <c r="UJ36" s="200">
        <f>IF('Idaho Data'!SI36&gt;=0, ((1-'1. Simulator Input'!$E$39)*'Idaho Data'!SI36), 0)</f>
        <v>0</v>
      </c>
      <c r="UK36" s="200">
        <f t="shared" si="67"/>
        <v>1505501</v>
      </c>
      <c r="UL36" s="39"/>
      <c r="UM36" s="182"/>
      <c r="UN36" s="39"/>
      <c r="UO36" s="39">
        <f>IF(AND('1. Simulator Input'!$E$96="yes", '1. Simulator Input'!$E$98="yes", '1. Simulator Input'!$E$100="hold harmless"), 'Idaho Data'!WN36, IF(AND('1. Simulator Input'!$E$96="yes", '1. Simulator Input'!$E$98="no", '1. Simulator Input'!$E$100="hold harmless"), 'Idaho Data'!WM36, IF(AND('1. Simulator Input'!$E$96="yes", '1. Simulator Input'!$E$98="yes", '1. Simulator Input'!$E$100="small district grant"), WL36,IF(AND('1. Simulator Input'!$E$96="yes", '1. Simulator Input'!$E$98="no", '1. Simulator Input'!$E$100="small district grant"), WK36, ""))))</f>
        <v>0</v>
      </c>
      <c r="UP36" s="200">
        <f>'1. Simulator Input'!$D$56*('Idaho Data'!ST36)</f>
        <v>712854</v>
      </c>
      <c r="UQ36" s="204">
        <f>'1. Simulator Input'!$D$65*'1. Simulator Input'!$D$56*'Idaho Data'!SU36</f>
        <v>0</v>
      </c>
      <c r="UR36" s="204">
        <f>'1. Simulator Input'!$D$66*'1. Simulator Input'!$D$56*'Idaho Data'!SW36</f>
        <v>0</v>
      </c>
      <c r="US36" s="200">
        <f>'1. Simulator Input'!$D$67*'1. Simulator Input'!$D$56*'Idaho Data'!TA36</f>
        <v>0</v>
      </c>
      <c r="UT36" s="200">
        <f>'1. Simulator Input'!$D$68*'1. Simulator Input'!$D$56*'Idaho Data'!TB36</f>
        <v>0</v>
      </c>
      <c r="UU36" s="200">
        <f>'1. Simulator Input'!$D$69*'1. Simulator Input'!$D$56*'Idaho Data'!TC36</f>
        <v>0</v>
      </c>
      <c r="UV36" s="200">
        <f>'1. Simulator Input'!$D$70*'1. Simulator Input'!$D$56*TD36</f>
        <v>0</v>
      </c>
      <c r="UW36" s="200">
        <f>'1. Simulator Input'!$D$80*'1. Simulator Input'!$D$56*TW36</f>
        <v>0</v>
      </c>
      <c r="UX36" s="200">
        <f>'1. Simulator Input'!$D$79*'1. Simulator Input'!$D$56*UB36</f>
        <v>0</v>
      </c>
      <c r="UY36" s="200">
        <f>'1. Simulator Input'!$D$87*'1. Simulator Input'!$D$56*TF36</f>
        <v>19341</v>
      </c>
      <c r="UZ36" s="200">
        <f>'1. Simulator Input'!$D$73*'1. Simulator Input'!$D$56*'Idaho Data'!TG36</f>
        <v>0</v>
      </c>
      <c r="VA36" s="200">
        <f>'1. Simulator Input'!$D$56*'1. Simulator Input'!$D$74*'Idaho Data'!TH36</f>
        <v>0</v>
      </c>
      <c r="VB36" s="200">
        <f>'1. Simulator Input'!$D$56*'1. Simulator Input'!$D$75*'Idaho Data'!TI31</f>
        <v>0</v>
      </c>
      <c r="VC36" s="200">
        <f>'1. Simulator Input'!$D$76*'1. Simulator Input'!$D$56*'Idaho Data'!TJ36</f>
        <v>0</v>
      </c>
      <c r="VD36" s="200">
        <f t="shared" si="68"/>
        <v>732195</v>
      </c>
      <c r="VE36" s="200"/>
      <c r="VF36" s="182"/>
      <c r="VG36" s="200"/>
      <c r="VH36" s="200">
        <f t="shared" si="69"/>
        <v>0</v>
      </c>
      <c r="VI36" s="200">
        <f t="shared" si="70"/>
        <v>0</v>
      </c>
      <c r="VJ36" s="200">
        <f t="shared" si="16"/>
        <v>732195</v>
      </c>
      <c r="VK36" s="200">
        <f t="shared" si="17"/>
        <v>732195</v>
      </c>
      <c r="VL36" s="200"/>
      <c r="VM36" s="182"/>
      <c r="VN36" s="200"/>
      <c r="VO36" s="200">
        <f t="shared" si="71"/>
        <v>218674</v>
      </c>
      <c r="VP36" s="200">
        <f t="shared" si="72"/>
        <v>1505501</v>
      </c>
      <c r="VQ36" s="200">
        <f t="shared" si="73"/>
        <v>610183</v>
      </c>
      <c r="VR36" s="200">
        <f t="shared" si="74"/>
        <v>218674</v>
      </c>
      <c r="VS36" s="200">
        <f t="shared" si="18"/>
        <v>732195</v>
      </c>
      <c r="VT36" s="200">
        <f t="shared" si="19"/>
        <v>610183</v>
      </c>
      <c r="VU36" s="200">
        <f t="shared" si="20"/>
        <v>0</v>
      </c>
      <c r="VV36" s="200"/>
      <c r="VW36" s="182"/>
      <c r="VX36" s="200"/>
      <c r="VZ36" s="199">
        <f t="shared" si="75"/>
        <v>-773306</v>
      </c>
      <c r="WA36" s="199">
        <f t="shared" si="76"/>
        <v>-5994.6201550387595</v>
      </c>
      <c r="WB36" s="131">
        <f t="shared" si="77"/>
        <v>-0.51365359438485925</v>
      </c>
      <c r="WC36" s="131"/>
      <c r="WD36" s="461"/>
      <c r="WE36" s="893"/>
      <c r="WF36" s="893">
        <f t="shared" si="78"/>
        <v>18095.798449612405</v>
      </c>
      <c r="WG36" s="893">
        <f t="shared" si="79"/>
        <v>12101.178294573643</v>
      </c>
      <c r="WH36" s="893"/>
      <c r="WI36" s="893">
        <f t="shared" si="80"/>
        <v>1505501</v>
      </c>
      <c r="WJ36" s="893">
        <f t="shared" si="21"/>
        <v>732195</v>
      </c>
      <c r="WK36" s="39">
        <f t="shared" si="22"/>
        <v>0</v>
      </c>
      <c r="WL36" s="39">
        <f t="shared" si="23"/>
        <v>0</v>
      </c>
      <c r="WM36" s="200">
        <f t="shared" si="24"/>
        <v>773306</v>
      </c>
      <c r="WN36" s="39">
        <f t="shared" si="25"/>
        <v>773306</v>
      </c>
      <c r="WO36" s="39"/>
      <c r="WP36" s="182"/>
      <c r="WQ36" s="39"/>
      <c r="WR36" s="305">
        <f t="shared" si="26"/>
        <v>0.82399999999999995</v>
      </c>
      <c r="WT36" s="200">
        <f t="shared" si="27"/>
        <v>11670.550387596899</v>
      </c>
      <c r="WU36" s="131">
        <f t="shared" si="81"/>
        <v>0.9</v>
      </c>
      <c r="WW36" s="199">
        <f t="shared" si="28"/>
        <v>218674</v>
      </c>
      <c r="WX36" s="199">
        <f t="shared" si="29"/>
        <v>732195</v>
      </c>
      <c r="WY36" s="199">
        <f t="shared" si="30"/>
        <v>0</v>
      </c>
      <c r="WZ36" s="199">
        <f t="shared" si="82"/>
        <v>732195</v>
      </c>
      <c r="XA36" s="199">
        <f t="shared" si="31"/>
        <v>0</v>
      </c>
      <c r="XB36" s="199">
        <f t="shared" si="32"/>
        <v>610183</v>
      </c>
      <c r="XC36" s="199">
        <f t="shared" si="33"/>
        <v>610183</v>
      </c>
      <c r="XD36" s="199" t="str">
        <f t="shared" si="34"/>
        <v/>
      </c>
      <c r="XE36" s="199"/>
      <c r="XF36" s="199"/>
      <c r="XG36" s="199"/>
      <c r="XH36" s="199"/>
      <c r="XI36" s="199"/>
      <c r="XJ36" s="199">
        <f t="shared" si="83"/>
        <v>732195</v>
      </c>
      <c r="XP36" s="199">
        <f t="shared" si="35"/>
        <v>732195</v>
      </c>
      <c r="XQ36" s="199">
        <f t="shared" si="36"/>
        <v>5675.9302325581393</v>
      </c>
      <c r="XR36" s="199">
        <f t="shared" si="37"/>
        <v>732195</v>
      </c>
      <c r="XS36" s="199">
        <f t="shared" si="38"/>
        <v>732195</v>
      </c>
      <c r="XT36" s="199">
        <f t="shared" si="39"/>
        <v>5675.9302325581393</v>
      </c>
      <c r="XU36" s="199">
        <f t="shared" si="40"/>
        <v>1505501</v>
      </c>
      <c r="XV36" s="199">
        <f t="shared" si="41"/>
        <v>11670.550387596899</v>
      </c>
      <c r="XW36" s="199">
        <f t="shared" si="42"/>
        <v>1505501</v>
      </c>
      <c r="XX36" s="199">
        <f t="shared" si="43"/>
        <v>11670.550387596899</v>
      </c>
      <c r="XY36" s="199">
        <f t="shared" si="84"/>
        <v>-773306</v>
      </c>
      <c r="XZ36" s="199">
        <f t="shared" si="85"/>
        <v>-5994.6201550387595</v>
      </c>
      <c r="YA36" s="131">
        <f t="shared" si="86"/>
        <v>-0.51365359438485925</v>
      </c>
      <c r="YB36" s="199"/>
      <c r="YC36" s="221"/>
      <c r="YD36" s="199"/>
      <c r="YE36" s="199">
        <f t="shared" si="44"/>
        <v>218674</v>
      </c>
      <c r="YF36" s="200">
        <f t="shared" si="45"/>
        <v>0</v>
      </c>
      <c r="YG36" s="199">
        <f t="shared" si="46"/>
        <v>610183</v>
      </c>
      <c r="YH36" s="199">
        <f t="shared" si="47"/>
        <v>67694</v>
      </c>
    </row>
    <row r="37" spans="1:658">
      <c r="A37" s="3">
        <v>131</v>
      </c>
      <c r="B37" s="2" t="s">
        <v>128</v>
      </c>
      <c r="C37" s="400">
        <v>0</v>
      </c>
      <c r="D37" s="400">
        <v>0</v>
      </c>
      <c r="E37" s="400">
        <v>0</v>
      </c>
      <c r="F37" s="400">
        <v>0</v>
      </c>
      <c r="G37" s="400">
        <v>3418846</v>
      </c>
      <c r="H37" s="400">
        <v>0</v>
      </c>
      <c r="I37" s="400">
        <v>403719</v>
      </c>
      <c r="J37" s="400">
        <v>237914</v>
      </c>
      <c r="K37" s="400">
        <v>0</v>
      </c>
      <c r="L37" s="24">
        <v>0</v>
      </c>
      <c r="M37" s="400">
        <v>0</v>
      </c>
      <c r="N37" s="400">
        <v>0</v>
      </c>
      <c r="O37" s="400">
        <v>0</v>
      </c>
      <c r="P37" s="400">
        <v>0</v>
      </c>
      <c r="Q37" s="400">
        <v>0</v>
      </c>
      <c r="R37" s="400">
        <v>0</v>
      </c>
      <c r="S37" s="400">
        <v>0</v>
      </c>
      <c r="T37" s="400">
        <v>0</v>
      </c>
      <c r="U37" s="400">
        <v>0</v>
      </c>
      <c r="V37" s="400">
        <v>0</v>
      </c>
      <c r="W37" s="400">
        <v>0</v>
      </c>
      <c r="X37" s="400">
        <v>13036335</v>
      </c>
      <c r="Y37" s="400">
        <v>25784</v>
      </c>
      <c r="Z37" s="400">
        <v>0</v>
      </c>
      <c r="AA37" s="400">
        <v>66873</v>
      </c>
      <c r="AB37" s="400">
        <v>0</v>
      </c>
      <c r="AC37" s="400">
        <v>0</v>
      </c>
      <c r="AD37" s="400">
        <v>57914</v>
      </c>
      <c r="AE37" s="400">
        <v>0</v>
      </c>
      <c r="AF37" s="400">
        <v>0</v>
      </c>
      <c r="AG37" s="400">
        <v>0</v>
      </c>
      <c r="AH37" s="400">
        <v>0</v>
      </c>
      <c r="AI37" s="400">
        <v>0</v>
      </c>
      <c r="AJ37" s="400">
        <v>0</v>
      </c>
      <c r="AK37" s="400">
        <v>0</v>
      </c>
      <c r="AL37" s="400">
        <v>60542</v>
      </c>
      <c r="AM37" s="400">
        <v>0</v>
      </c>
      <c r="AN37" s="400">
        <v>0</v>
      </c>
      <c r="AO37" s="400">
        <v>0</v>
      </c>
      <c r="AP37" s="400">
        <v>0</v>
      </c>
      <c r="AQ37" s="400">
        <v>0</v>
      </c>
      <c r="AR37" s="400">
        <v>0</v>
      </c>
      <c r="AS37" s="400">
        <v>0</v>
      </c>
      <c r="AT37" s="400">
        <v>0</v>
      </c>
      <c r="AU37" s="400">
        <v>0</v>
      </c>
      <c r="AV37" s="400">
        <v>0</v>
      </c>
      <c r="AW37" s="400">
        <v>0</v>
      </c>
      <c r="AX37" s="400">
        <v>0</v>
      </c>
      <c r="AY37" s="400">
        <v>0</v>
      </c>
      <c r="AZ37" s="400">
        <v>0</v>
      </c>
      <c r="BA37" s="400">
        <v>0</v>
      </c>
      <c r="BB37" s="400">
        <v>0</v>
      </c>
      <c r="BC37" s="400">
        <v>3087</v>
      </c>
      <c r="BD37" s="400">
        <v>22111</v>
      </c>
      <c r="BE37" s="400">
        <v>49</v>
      </c>
      <c r="BF37" s="400">
        <v>0</v>
      </c>
      <c r="BG37" s="400">
        <v>0</v>
      </c>
      <c r="BH37" s="400">
        <v>0</v>
      </c>
      <c r="BI37" s="400">
        <v>0</v>
      </c>
      <c r="BJ37" s="400">
        <v>0</v>
      </c>
      <c r="BK37" s="400">
        <v>0</v>
      </c>
      <c r="BL37" s="400">
        <v>0</v>
      </c>
      <c r="BM37" s="400">
        <v>0</v>
      </c>
      <c r="BN37" s="400">
        <v>0</v>
      </c>
      <c r="BO37" s="400">
        <v>6092</v>
      </c>
      <c r="BP37" s="400">
        <v>501</v>
      </c>
      <c r="BQ37" s="400">
        <v>394</v>
      </c>
      <c r="BR37" s="400">
        <v>0</v>
      </c>
      <c r="BS37" s="400">
        <v>0</v>
      </c>
      <c r="BT37" s="400">
        <v>0</v>
      </c>
      <c r="BU37" s="400">
        <v>0</v>
      </c>
      <c r="BV37" s="400">
        <v>0</v>
      </c>
      <c r="BW37" s="400">
        <v>0</v>
      </c>
      <c r="BX37" s="400">
        <v>0</v>
      </c>
      <c r="BY37" s="400">
        <v>0</v>
      </c>
      <c r="BZ37" s="400">
        <v>0</v>
      </c>
      <c r="CA37" s="400">
        <v>0</v>
      </c>
      <c r="CB37" s="400">
        <v>0</v>
      </c>
      <c r="CC37" s="400">
        <v>0</v>
      </c>
      <c r="CD37" s="400">
        <v>732568</v>
      </c>
      <c r="CE37" s="400">
        <v>96129</v>
      </c>
      <c r="CF37" s="400">
        <v>0</v>
      </c>
      <c r="CG37" s="400">
        <v>33436</v>
      </c>
      <c r="CH37" s="400">
        <v>0</v>
      </c>
      <c r="CI37" s="400">
        <v>0</v>
      </c>
      <c r="CJ37" s="400">
        <v>0</v>
      </c>
      <c r="CK37" s="400">
        <v>0</v>
      </c>
      <c r="CL37" s="400">
        <v>0</v>
      </c>
      <c r="CM37" s="400">
        <v>0</v>
      </c>
      <c r="CN37" s="400">
        <v>0</v>
      </c>
      <c r="CO37" s="400">
        <v>0</v>
      </c>
      <c r="CP37" s="400">
        <v>0</v>
      </c>
      <c r="CQ37" s="400">
        <v>0</v>
      </c>
      <c r="CR37" s="400">
        <v>0</v>
      </c>
      <c r="CS37" s="400">
        <v>0</v>
      </c>
      <c r="CT37" s="400">
        <v>0</v>
      </c>
      <c r="CU37" s="400">
        <v>0</v>
      </c>
      <c r="CV37" s="400">
        <v>0</v>
      </c>
      <c r="CW37" s="400">
        <v>0</v>
      </c>
      <c r="CX37" s="400">
        <v>0</v>
      </c>
      <c r="CY37" s="400">
        <v>0</v>
      </c>
      <c r="CZ37" s="400">
        <v>0</v>
      </c>
      <c r="DA37" s="400">
        <v>0</v>
      </c>
      <c r="DB37" s="400">
        <v>0</v>
      </c>
      <c r="DC37" s="400">
        <v>0</v>
      </c>
      <c r="DD37" s="400">
        <v>0</v>
      </c>
      <c r="DE37" s="400">
        <v>0</v>
      </c>
      <c r="DF37" s="400">
        <v>0</v>
      </c>
      <c r="DG37" s="400">
        <v>0</v>
      </c>
      <c r="DH37" s="400">
        <v>0</v>
      </c>
      <c r="DI37" s="400">
        <v>0</v>
      </c>
      <c r="DJ37" s="400">
        <v>0</v>
      </c>
      <c r="DK37" s="400">
        <v>0</v>
      </c>
      <c r="DL37" s="400">
        <v>0</v>
      </c>
      <c r="DM37" s="400">
        <v>0</v>
      </c>
      <c r="DN37" s="400">
        <v>0</v>
      </c>
      <c r="DO37" s="400">
        <v>0</v>
      </c>
      <c r="DP37" s="400">
        <v>0</v>
      </c>
      <c r="DQ37" s="400">
        <v>0</v>
      </c>
      <c r="DR37" s="400">
        <v>0</v>
      </c>
      <c r="DS37" s="400">
        <v>0</v>
      </c>
      <c r="DT37" s="400">
        <v>0</v>
      </c>
      <c r="DU37" s="400">
        <v>59131</v>
      </c>
      <c r="DV37" s="400">
        <v>0</v>
      </c>
      <c r="DW37" s="400">
        <v>0</v>
      </c>
      <c r="DX37" s="400">
        <v>0</v>
      </c>
      <c r="DY37" s="400">
        <v>0</v>
      </c>
      <c r="DZ37" s="400">
        <v>0</v>
      </c>
      <c r="EA37" s="400">
        <v>0</v>
      </c>
      <c r="EB37" s="400">
        <v>0</v>
      </c>
      <c r="EC37" s="400">
        <v>0</v>
      </c>
      <c r="ED37" s="400">
        <v>0</v>
      </c>
      <c r="EE37" s="400">
        <v>0</v>
      </c>
      <c r="EF37" s="400">
        <v>0</v>
      </c>
      <c r="EG37" s="400">
        <v>535</v>
      </c>
      <c r="EH37" s="400">
        <v>0</v>
      </c>
      <c r="EI37" s="400">
        <v>90782</v>
      </c>
      <c r="EJ37" s="400">
        <v>0</v>
      </c>
      <c r="EK37" s="400">
        <v>0</v>
      </c>
      <c r="EL37" s="400">
        <v>199454</v>
      </c>
      <c r="EM37" s="400">
        <v>0</v>
      </c>
      <c r="EN37" s="400">
        <v>0</v>
      </c>
      <c r="EO37" s="400">
        <v>0</v>
      </c>
      <c r="EP37" s="400">
        <v>0</v>
      </c>
      <c r="EQ37" s="400">
        <v>0</v>
      </c>
      <c r="ER37" s="400">
        <v>0</v>
      </c>
      <c r="ES37" s="400">
        <v>0</v>
      </c>
      <c r="ET37" s="400">
        <v>0</v>
      </c>
      <c r="EU37" s="400">
        <v>0</v>
      </c>
      <c r="EV37" s="400">
        <v>0</v>
      </c>
      <c r="EW37" s="400">
        <v>0</v>
      </c>
      <c r="EX37" s="400">
        <v>0</v>
      </c>
      <c r="EY37" s="400">
        <v>0</v>
      </c>
      <c r="EZ37" s="400">
        <v>0</v>
      </c>
      <c r="FA37" s="400">
        <v>0</v>
      </c>
      <c r="FB37" s="400">
        <v>0</v>
      </c>
      <c r="FC37" s="400">
        <v>0</v>
      </c>
      <c r="FD37" s="400">
        <v>0</v>
      </c>
      <c r="FE37" s="400">
        <v>0</v>
      </c>
      <c r="FF37" s="400">
        <v>0</v>
      </c>
      <c r="FG37" s="400">
        <v>0</v>
      </c>
      <c r="FH37" s="400">
        <v>0</v>
      </c>
      <c r="FI37" s="400">
        <v>0</v>
      </c>
      <c r="FJ37" s="400">
        <v>0</v>
      </c>
      <c r="FK37" s="400">
        <v>0</v>
      </c>
      <c r="FL37" s="400">
        <v>0</v>
      </c>
      <c r="FM37" s="400">
        <v>0</v>
      </c>
      <c r="FN37" s="400">
        <v>0</v>
      </c>
      <c r="FO37" s="400">
        <v>0</v>
      </c>
      <c r="FP37" s="400">
        <v>0</v>
      </c>
      <c r="FQ37" s="400">
        <v>0</v>
      </c>
      <c r="FR37" s="400">
        <v>0</v>
      </c>
      <c r="FS37" s="400">
        <v>1723326</v>
      </c>
      <c r="FT37" s="400">
        <v>0</v>
      </c>
      <c r="FU37" s="400">
        <v>0</v>
      </c>
      <c r="FV37" s="400">
        <v>221161</v>
      </c>
      <c r="FW37" s="400">
        <v>0</v>
      </c>
      <c r="FX37" s="400">
        <v>0</v>
      </c>
      <c r="FY37" s="400">
        <v>0</v>
      </c>
      <c r="FZ37" s="400">
        <v>0</v>
      </c>
      <c r="GA37" s="400">
        <v>0</v>
      </c>
      <c r="GB37" s="400">
        <v>0</v>
      </c>
      <c r="GC37" s="400">
        <v>0</v>
      </c>
      <c r="GD37" s="400">
        <v>0</v>
      </c>
      <c r="GE37" s="400">
        <v>0</v>
      </c>
      <c r="GF37" s="400">
        <v>0</v>
      </c>
      <c r="GG37" s="400">
        <v>0</v>
      </c>
      <c r="GH37" s="400">
        <v>0</v>
      </c>
      <c r="GI37" s="400">
        <v>0</v>
      </c>
      <c r="GJ37" s="400">
        <v>0</v>
      </c>
      <c r="GK37" s="400">
        <v>0</v>
      </c>
      <c r="GL37" s="400">
        <v>0</v>
      </c>
      <c r="GM37" s="400">
        <v>0</v>
      </c>
      <c r="GN37" s="400">
        <v>0</v>
      </c>
      <c r="GO37" s="400">
        <v>0</v>
      </c>
      <c r="GP37" s="400">
        <v>0</v>
      </c>
      <c r="GQ37" s="400">
        <v>0</v>
      </c>
      <c r="GR37" s="400">
        <v>0</v>
      </c>
      <c r="GS37" s="400">
        <v>0</v>
      </c>
      <c r="GT37" s="400">
        <v>0</v>
      </c>
      <c r="GU37" s="400">
        <v>0</v>
      </c>
      <c r="GV37" s="400">
        <v>0</v>
      </c>
      <c r="GW37" s="400">
        <v>0</v>
      </c>
      <c r="GX37" s="400">
        <v>0</v>
      </c>
      <c r="GY37" s="400">
        <v>0</v>
      </c>
      <c r="GZ37" s="400">
        <v>0</v>
      </c>
      <c r="HA37" s="400">
        <v>0</v>
      </c>
      <c r="HB37" s="400">
        <v>0</v>
      </c>
      <c r="HC37" s="400">
        <v>0</v>
      </c>
      <c r="HD37" s="400">
        <v>59377516</v>
      </c>
      <c r="HE37" s="400">
        <v>0</v>
      </c>
      <c r="HF37" s="400">
        <v>0</v>
      </c>
      <c r="HG37" s="400">
        <v>0</v>
      </c>
      <c r="HH37" s="400">
        <v>0</v>
      </c>
      <c r="HI37" s="400">
        <v>4236429</v>
      </c>
      <c r="HJ37" s="400">
        <v>0</v>
      </c>
      <c r="HK37" s="400">
        <v>0</v>
      </c>
      <c r="HL37" s="400">
        <v>418412</v>
      </c>
      <c r="HM37" s="400">
        <v>0</v>
      </c>
      <c r="HN37" s="400">
        <v>0</v>
      </c>
      <c r="HO37" s="400">
        <v>7850632</v>
      </c>
      <c r="HP37" s="400">
        <v>2970967</v>
      </c>
      <c r="HQ37" s="400">
        <v>0</v>
      </c>
      <c r="HR37" s="400">
        <v>0</v>
      </c>
      <c r="HS37" s="400">
        <v>0</v>
      </c>
      <c r="HT37" s="400">
        <v>0</v>
      </c>
      <c r="HU37" s="400">
        <v>0</v>
      </c>
      <c r="HV37" s="400">
        <v>0</v>
      </c>
      <c r="HW37" s="400">
        <v>0</v>
      </c>
      <c r="HX37" s="400">
        <v>0</v>
      </c>
      <c r="HY37" s="400">
        <v>0</v>
      </c>
      <c r="HZ37" s="400">
        <v>0</v>
      </c>
      <c r="IA37" s="400">
        <v>752762</v>
      </c>
      <c r="IB37" s="400">
        <v>200676</v>
      </c>
      <c r="IC37" s="400">
        <v>0</v>
      </c>
      <c r="ID37" s="400">
        <v>0</v>
      </c>
      <c r="IE37" s="400">
        <v>0</v>
      </c>
      <c r="IF37" s="400">
        <v>0</v>
      </c>
      <c r="IG37" s="400">
        <v>0</v>
      </c>
      <c r="IH37" s="400">
        <v>0</v>
      </c>
      <c r="II37" s="400">
        <v>0</v>
      </c>
      <c r="IJ37" s="400">
        <v>0</v>
      </c>
      <c r="IK37" s="400">
        <v>0</v>
      </c>
      <c r="IL37" s="400">
        <v>0</v>
      </c>
      <c r="IM37" s="400">
        <v>0</v>
      </c>
      <c r="IN37" s="400">
        <v>0</v>
      </c>
      <c r="IO37" s="400">
        <v>65375</v>
      </c>
      <c r="IP37" s="400">
        <v>0</v>
      </c>
      <c r="IQ37" s="400">
        <v>0</v>
      </c>
      <c r="IR37" s="400">
        <v>341716</v>
      </c>
      <c r="IS37" s="400">
        <v>0</v>
      </c>
      <c r="IT37" s="400">
        <v>0</v>
      </c>
      <c r="IU37" s="400">
        <v>0</v>
      </c>
      <c r="IV37" s="400">
        <v>0</v>
      </c>
      <c r="IW37" s="400">
        <v>47116</v>
      </c>
      <c r="IX37" s="400">
        <v>0</v>
      </c>
      <c r="IY37" s="400">
        <v>0</v>
      </c>
      <c r="IZ37" s="400">
        <v>1342334</v>
      </c>
      <c r="JA37" s="400">
        <v>0</v>
      </c>
      <c r="JB37" s="400">
        <v>214586</v>
      </c>
      <c r="JC37" s="400">
        <v>0</v>
      </c>
      <c r="JD37" s="400">
        <v>0</v>
      </c>
      <c r="JE37" s="400">
        <v>560670</v>
      </c>
      <c r="JF37" s="400">
        <v>0</v>
      </c>
      <c r="JG37" s="400">
        <v>0</v>
      </c>
      <c r="JH37" s="400">
        <v>0</v>
      </c>
      <c r="JI37" s="400">
        <v>0</v>
      </c>
      <c r="JJ37" s="400">
        <v>0</v>
      </c>
      <c r="JK37" s="400">
        <v>0</v>
      </c>
      <c r="JL37" s="400">
        <v>0</v>
      </c>
      <c r="JM37" s="400">
        <v>0</v>
      </c>
      <c r="JN37" s="400">
        <v>0</v>
      </c>
      <c r="JO37" s="400">
        <v>0</v>
      </c>
      <c r="JP37" s="400">
        <v>0</v>
      </c>
      <c r="JQ37" s="400">
        <v>120571</v>
      </c>
      <c r="JR37" s="400">
        <v>0</v>
      </c>
      <c r="JS37" s="400">
        <v>0</v>
      </c>
      <c r="JT37" s="400">
        <v>0</v>
      </c>
      <c r="JU37" s="400">
        <v>0</v>
      </c>
      <c r="JV37" s="400">
        <v>0</v>
      </c>
      <c r="JW37" s="400">
        <v>0</v>
      </c>
      <c r="JX37" s="400">
        <v>0</v>
      </c>
      <c r="JY37" s="400">
        <v>0</v>
      </c>
      <c r="JZ37" s="400">
        <v>0</v>
      </c>
      <c r="KA37" s="400">
        <v>2937693</v>
      </c>
      <c r="KB37" s="400">
        <v>0</v>
      </c>
      <c r="KC37" s="400">
        <v>0</v>
      </c>
      <c r="KD37" s="400">
        <v>0</v>
      </c>
      <c r="KE37" s="400">
        <v>0</v>
      </c>
      <c r="KF37" s="400">
        <v>0</v>
      </c>
      <c r="KG37" s="400">
        <v>0</v>
      </c>
      <c r="KH37" s="400">
        <v>0</v>
      </c>
      <c r="KI37" s="400">
        <v>0</v>
      </c>
      <c r="KJ37" s="400">
        <v>0</v>
      </c>
      <c r="KK37" s="400">
        <v>0</v>
      </c>
      <c r="KL37" s="400">
        <v>0</v>
      </c>
      <c r="KM37" s="400">
        <v>0</v>
      </c>
      <c r="KN37" s="400">
        <v>0</v>
      </c>
      <c r="KO37" s="400">
        <v>0</v>
      </c>
      <c r="KP37" s="400">
        <v>0</v>
      </c>
      <c r="KQ37" s="400">
        <v>0</v>
      </c>
      <c r="KR37" s="400">
        <v>0</v>
      </c>
      <c r="KS37" s="400">
        <v>0</v>
      </c>
      <c r="KT37" s="400">
        <v>0</v>
      </c>
      <c r="KU37" s="400">
        <v>0</v>
      </c>
      <c r="KV37" s="400">
        <v>0</v>
      </c>
      <c r="KW37" s="400">
        <v>0</v>
      </c>
      <c r="KX37" s="400">
        <v>0</v>
      </c>
      <c r="KY37" s="400">
        <v>0</v>
      </c>
      <c r="KZ37" s="400">
        <v>96468</v>
      </c>
      <c r="LA37" s="400">
        <v>0</v>
      </c>
      <c r="LB37" s="400">
        <v>0</v>
      </c>
      <c r="LC37" s="400">
        <v>0</v>
      </c>
      <c r="LD37" s="400">
        <v>0</v>
      </c>
      <c r="LE37" s="400">
        <v>224438</v>
      </c>
      <c r="LF37" s="400">
        <v>0</v>
      </c>
      <c r="LG37" s="400">
        <v>0</v>
      </c>
      <c r="LH37" s="400">
        <v>0</v>
      </c>
      <c r="LI37" s="400">
        <v>0</v>
      </c>
      <c r="LJ37" s="400">
        <v>0</v>
      </c>
      <c r="LK37" s="400">
        <v>0</v>
      </c>
      <c r="LL37" s="400">
        <v>37967</v>
      </c>
      <c r="LM37" s="400">
        <v>0</v>
      </c>
      <c r="LN37" s="400">
        <v>0</v>
      </c>
      <c r="LO37" s="400">
        <v>0</v>
      </c>
      <c r="LP37" s="400">
        <v>0</v>
      </c>
      <c r="LQ37" s="400">
        <v>5108729</v>
      </c>
      <c r="LR37" s="400">
        <v>193255</v>
      </c>
      <c r="LS37" s="400">
        <v>0</v>
      </c>
      <c r="LT37" s="400">
        <v>56252</v>
      </c>
      <c r="LU37" s="400">
        <v>0</v>
      </c>
      <c r="LV37" s="400">
        <v>0</v>
      </c>
      <c r="LW37" s="400">
        <v>0</v>
      </c>
      <c r="LX37" s="400">
        <v>0</v>
      </c>
      <c r="LY37" s="400">
        <v>0</v>
      </c>
      <c r="LZ37" s="400">
        <v>0</v>
      </c>
      <c r="MA37" s="400">
        <v>0</v>
      </c>
      <c r="MB37" s="400">
        <v>0</v>
      </c>
      <c r="MC37" s="400">
        <v>0</v>
      </c>
      <c r="MD37" s="400">
        <v>0</v>
      </c>
      <c r="ME37" s="400">
        <v>0</v>
      </c>
      <c r="MF37" s="400">
        <v>0</v>
      </c>
      <c r="MG37" s="400">
        <v>0</v>
      </c>
      <c r="MH37" s="400">
        <v>0</v>
      </c>
      <c r="MI37" s="400">
        <v>0</v>
      </c>
      <c r="MJ37" s="400">
        <v>510280</v>
      </c>
      <c r="MK37" s="400">
        <v>0</v>
      </c>
      <c r="ML37" s="400">
        <v>0</v>
      </c>
      <c r="MM37" s="400">
        <v>0</v>
      </c>
      <c r="MN37" s="400">
        <v>0</v>
      </c>
      <c r="MO37" s="400">
        <v>260764</v>
      </c>
      <c r="MP37" s="400">
        <v>0</v>
      </c>
      <c r="MQ37" s="400">
        <v>0</v>
      </c>
      <c r="MR37" s="400">
        <v>6051435</v>
      </c>
      <c r="MS37" s="400">
        <v>0</v>
      </c>
      <c r="MT37" s="400">
        <v>0</v>
      </c>
      <c r="MU37" s="400">
        <v>0</v>
      </c>
      <c r="MV37" s="400">
        <v>0</v>
      </c>
      <c r="MW37" s="400">
        <v>2678493</v>
      </c>
      <c r="MX37" s="400">
        <v>92130</v>
      </c>
      <c r="MY37" s="400">
        <v>0</v>
      </c>
      <c r="MZ37" s="400">
        <v>0</v>
      </c>
      <c r="NA37" s="400">
        <v>0</v>
      </c>
      <c r="NB37" s="400">
        <v>0</v>
      </c>
      <c r="NC37" s="400">
        <v>0</v>
      </c>
      <c r="ND37" s="400">
        <v>0</v>
      </c>
      <c r="NE37" s="400">
        <v>0</v>
      </c>
      <c r="NF37" s="400">
        <v>0</v>
      </c>
      <c r="NG37" s="400">
        <v>0</v>
      </c>
      <c r="NH37" s="400">
        <v>0</v>
      </c>
      <c r="NI37" s="400">
        <v>0</v>
      </c>
      <c r="NJ37" s="400">
        <v>0</v>
      </c>
      <c r="NK37" s="400">
        <v>0</v>
      </c>
      <c r="NL37" s="400">
        <v>0</v>
      </c>
      <c r="NM37" s="400">
        <v>0</v>
      </c>
      <c r="NN37" s="400">
        <v>0</v>
      </c>
      <c r="NO37" s="400">
        <v>0</v>
      </c>
      <c r="NP37" s="400">
        <v>0</v>
      </c>
      <c r="NQ37" s="400">
        <v>0</v>
      </c>
      <c r="NR37" s="400">
        <v>0</v>
      </c>
      <c r="NS37" s="400">
        <v>0</v>
      </c>
      <c r="NT37" s="400">
        <v>0</v>
      </c>
      <c r="NU37" s="400">
        <v>0</v>
      </c>
      <c r="NV37" s="400">
        <v>16858</v>
      </c>
      <c r="NW37" s="400">
        <v>0</v>
      </c>
      <c r="NX37" s="400">
        <v>0</v>
      </c>
      <c r="NY37" s="400">
        <v>0</v>
      </c>
      <c r="NZ37" s="400">
        <v>0</v>
      </c>
      <c r="OA37" s="400">
        <v>0</v>
      </c>
      <c r="OB37" s="400">
        <v>0</v>
      </c>
      <c r="OC37" s="400">
        <v>0</v>
      </c>
      <c r="OD37" s="400">
        <v>0</v>
      </c>
      <c r="OE37" s="400">
        <v>0</v>
      </c>
      <c r="OF37" s="400">
        <v>0</v>
      </c>
      <c r="OG37" s="400">
        <v>0</v>
      </c>
      <c r="OH37" s="400">
        <v>0</v>
      </c>
      <c r="OI37" s="400">
        <v>0</v>
      </c>
      <c r="OJ37" s="400">
        <v>0</v>
      </c>
      <c r="OK37" s="400">
        <v>13879</v>
      </c>
      <c r="OL37" s="400">
        <v>0</v>
      </c>
      <c r="OM37" s="400">
        <v>0</v>
      </c>
      <c r="ON37" s="400">
        <v>0</v>
      </c>
      <c r="OO37" s="400">
        <v>0</v>
      </c>
      <c r="OP37" s="400">
        <v>0</v>
      </c>
      <c r="OQ37" s="400">
        <v>0</v>
      </c>
      <c r="OR37" s="400">
        <v>0</v>
      </c>
      <c r="OS37" s="400">
        <v>0</v>
      </c>
      <c r="OT37" s="400">
        <v>25805517</v>
      </c>
      <c r="OU37" s="400">
        <v>6026852</v>
      </c>
      <c r="OV37" s="400">
        <v>0</v>
      </c>
      <c r="OW37" s="400">
        <v>0</v>
      </c>
      <c r="OX37" s="400">
        <v>0</v>
      </c>
      <c r="OY37" s="400">
        <v>0</v>
      </c>
      <c r="OZ37" s="400">
        <v>0</v>
      </c>
      <c r="PA37" s="400">
        <v>0</v>
      </c>
      <c r="PB37" s="400">
        <v>0</v>
      </c>
      <c r="PC37" s="400">
        <v>0</v>
      </c>
      <c r="PD37" s="400">
        <v>0</v>
      </c>
      <c r="PE37" s="400">
        <v>0</v>
      </c>
      <c r="PF37" s="400">
        <v>0</v>
      </c>
      <c r="PG37" s="400">
        <v>0</v>
      </c>
      <c r="PH37" s="400">
        <v>407624</v>
      </c>
      <c r="PI37" s="400">
        <v>0</v>
      </c>
      <c r="PJ37" s="400">
        <v>0</v>
      </c>
      <c r="PK37" s="400">
        <v>1637</v>
      </c>
      <c r="PL37" s="400">
        <v>0</v>
      </c>
      <c r="PM37" s="400">
        <v>0</v>
      </c>
      <c r="PN37" s="400">
        <v>0</v>
      </c>
      <c r="PO37" s="400">
        <v>0</v>
      </c>
      <c r="PP37" s="400">
        <v>0</v>
      </c>
      <c r="PQ37" s="400">
        <v>0</v>
      </c>
      <c r="PR37" s="400">
        <v>0</v>
      </c>
      <c r="PS37" s="400">
        <v>0</v>
      </c>
      <c r="PT37" s="400">
        <v>0</v>
      </c>
      <c r="PU37" s="400">
        <v>0</v>
      </c>
      <c r="PV37" s="400">
        <v>0</v>
      </c>
      <c r="PW37" s="400">
        <v>0</v>
      </c>
      <c r="PX37" s="400">
        <v>0</v>
      </c>
      <c r="PY37" s="400">
        <v>0</v>
      </c>
      <c r="PZ37" s="400">
        <v>0</v>
      </c>
      <c r="QA37" s="400">
        <v>0</v>
      </c>
      <c r="QB37" s="400">
        <v>0</v>
      </c>
      <c r="QC37" s="400">
        <v>0</v>
      </c>
      <c r="QD37" s="400">
        <v>0</v>
      </c>
      <c r="QE37" s="400">
        <v>0</v>
      </c>
      <c r="QF37" s="400">
        <v>0</v>
      </c>
      <c r="QG37" s="400">
        <v>0</v>
      </c>
      <c r="QH37" s="400">
        <v>0</v>
      </c>
      <c r="QI37" s="400">
        <v>0</v>
      </c>
      <c r="QJ37" s="400">
        <v>0</v>
      </c>
      <c r="QK37" s="400">
        <v>0</v>
      </c>
      <c r="QL37" s="400">
        <v>0</v>
      </c>
      <c r="QM37" s="400">
        <v>0</v>
      </c>
      <c r="QN37" s="400">
        <v>0</v>
      </c>
      <c r="QO37" s="400">
        <v>0</v>
      </c>
      <c r="QP37" s="400">
        <v>0</v>
      </c>
      <c r="QQ37" s="400">
        <v>0</v>
      </c>
      <c r="QR37" s="400">
        <v>0</v>
      </c>
      <c r="QS37" s="400">
        <v>116474</v>
      </c>
      <c r="QT37" s="400">
        <v>1500926</v>
      </c>
      <c r="QU37" s="400">
        <v>0</v>
      </c>
      <c r="QV37" s="400">
        <v>0</v>
      </c>
      <c r="QW37" s="400">
        <v>0</v>
      </c>
      <c r="QX37" s="400">
        <v>0</v>
      </c>
      <c r="QY37" s="400">
        <v>0</v>
      </c>
      <c r="QZ37" s="400">
        <v>0</v>
      </c>
      <c r="RA37" s="400">
        <v>0</v>
      </c>
      <c r="RB37" s="400">
        <v>0</v>
      </c>
      <c r="RG37" s="39">
        <f t="shared" si="48"/>
        <v>59377516</v>
      </c>
      <c r="RH37" s="39">
        <f t="shared" si="48"/>
        <v>4236429</v>
      </c>
      <c r="RI37" s="39">
        <f t="shared" si="48"/>
        <v>418412</v>
      </c>
      <c r="RJ37" s="39">
        <f t="shared" si="48"/>
        <v>0</v>
      </c>
      <c r="RK37" s="39">
        <f t="shared" si="48"/>
        <v>0</v>
      </c>
      <c r="RL37" s="39">
        <f t="shared" si="48"/>
        <v>7850632</v>
      </c>
      <c r="RM37" s="39">
        <f t="shared" si="48"/>
        <v>3924405</v>
      </c>
      <c r="RN37" s="39">
        <f t="shared" si="48"/>
        <v>65375</v>
      </c>
      <c r="RO37" s="39">
        <f t="shared" si="48"/>
        <v>341716</v>
      </c>
      <c r="RP37" s="39">
        <f t="shared" si="48"/>
        <v>1389450</v>
      </c>
      <c r="RQ37" s="39">
        <f t="shared" si="48"/>
        <v>214586</v>
      </c>
      <c r="RR37" s="39">
        <f t="shared" si="48"/>
        <v>3618934</v>
      </c>
      <c r="RS37" s="39"/>
      <c r="RT37" s="182"/>
      <c r="RU37" s="39"/>
      <c r="RV37" s="39">
        <f t="shared" si="49"/>
        <v>15340948</v>
      </c>
      <c r="RW37" s="39">
        <f t="shared" si="49"/>
        <v>81437455</v>
      </c>
      <c r="RX37" s="39">
        <f t="shared" si="49"/>
        <v>20496683</v>
      </c>
      <c r="RY37" s="39">
        <f t="shared" si="49"/>
        <v>33859030</v>
      </c>
      <c r="RZ37" s="39"/>
      <c r="SA37" s="182"/>
      <c r="SB37" s="39"/>
      <c r="SC37" s="25">
        <f t="shared" si="50"/>
        <v>1422.0969263859017</v>
      </c>
      <c r="SD37" s="39">
        <f>IFERROR(VLOOKUP(A37, 'Levy Data 15-16'!$B:$O, 3, FALSE), 0)</f>
        <v>3913757865</v>
      </c>
      <c r="SE37" s="39">
        <f t="shared" si="9"/>
        <v>271543.59709984041</v>
      </c>
      <c r="SF37" s="631">
        <f>IFERROR(VLOOKUP(A37, 'Levy Data 15-16'!$B:$O, 14, FALSE), 0)*1000</f>
        <v>4.3491169999999997</v>
      </c>
      <c r="SG37" s="39">
        <f t="shared" si="10"/>
        <v>0</v>
      </c>
      <c r="SH37" s="39">
        <f t="shared" si="11"/>
        <v>0</v>
      </c>
      <c r="SI37" s="39">
        <f t="shared" si="12"/>
        <v>20496683</v>
      </c>
      <c r="SM37" s="39">
        <f t="shared" si="13"/>
        <v>81437455</v>
      </c>
      <c r="SN37" s="39">
        <f t="shared" si="14"/>
        <v>0</v>
      </c>
      <c r="SO37" s="39">
        <f t="shared" si="51"/>
        <v>81437455</v>
      </c>
      <c r="SP37" s="50">
        <f t="shared" si="52"/>
        <v>1</v>
      </c>
      <c r="ST37" s="124">
        <f>IFERROR(VLOOKUP(A37,'Grade Enroll 15-16'!B:AC,27,FALSE),"")</f>
        <v>14413</v>
      </c>
      <c r="SU37" s="124">
        <f t="shared" si="53"/>
        <v>8700.510889764364</v>
      </c>
      <c r="SV37" s="131">
        <f>IFERROR(VLOOKUP($A37, 'Title I Enroll 16-17'!S:V, 4, FALSE), 0)</f>
        <v>0.60365717683788001</v>
      </c>
      <c r="SW37" s="729">
        <f>IFERROR(VLOOKUP(A37, 'ELL Enroll 15-16'!$N:$S, 6, FALSE), 0)</f>
        <v>2283</v>
      </c>
      <c r="SX37" s="131">
        <f t="shared" si="54"/>
        <v>0.15839866786928467</v>
      </c>
      <c r="SY37" s="124">
        <f>IFERROR(VLOOKUP(A37, 'SPED enroll 2015-16'!$M:$O, 3, FALSE), 0)</f>
        <v>1536</v>
      </c>
      <c r="SZ37" s="131">
        <f t="shared" si="55"/>
        <v>0.10657045722611531</v>
      </c>
      <c r="TA37" s="142">
        <f t="shared" si="56"/>
        <v>1075.1999999999998</v>
      </c>
      <c r="TB37" s="142">
        <f t="shared" si="56"/>
        <v>307.20000000000005</v>
      </c>
      <c r="TC37" s="142">
        <f t="shared" si="56"/>
        <v>107.52000000000001</v>
      </c>
      <c r="TD37" s="142">
        <f t="shared" si="56"/>
        <v>46.08</v>
      </c>
      <c r="TE37" s="124">
        <f>VLOOKUP($A37, 'Grade Enroll 15-16'!$B:$AB, 20, FALSE)</f>
        <v>131</v>
      </c>
      <c r="TF37" s="124">
        <f>VLOOKUP($A37, 'Grade Enroll 15-16'!$B:$AB, 21, FALSE)</f>
        <v>1081</v>
      </c>
      <c r="TG37" s="124">
        <f>VLOOKUP($A37, 'Grade Enroll 15-16'!$B:$AB, 22, FALSE)</f>
        <v>3673</v>
      </c>
      <c r="TH37" s="124">
        <f>VLOOKUP($A37, 'Grade Enroll 15-16'!$B:$AB, 23, FALSE)</f>
        <v>3782</v>
      </c>
      <c r="TI37" s="124">
        <f>VLOOKUP($A37, 'Grade Enroll 15-16'!$B:$AB, 24, FALSE)</f>
        <v>2311</v>
      </c>
      <c r="TJ37" s="124">
        <f>VLOOKUP($A37, 'Grade Enroll 15-16'!$B:$AB, 25, FALSE)</f>
        <v>4647</v>
      </c>
      <c r="TK37" s="124">
        <f>VLOOKUP($A37, 'Grade Enroll 15-16'!$B:$AB, 26, FALSE)</f>
        <v>9715</v>
      </c>
      <c r="TL37" s="131">
        <f>SUMIFS('Student Achievement 15-16'!N:N, 'Student Achievement 15-16'!B:B, 'Idaho Data'!A37, 'Student Achievement 15-16'!D:D, "math")/100</f>
        <v>0.36700000000000005</v>
      </c>
      <c r="TM37" s="134">
        <f t="shared" si="57"/>
        <v>5289.5710000000008</v>
      </c>
      <c r="TN37" s="131">
        <f>SUMIFS('Student Achievement 15-16'!N:N, 'Student Achievement 15-16'!B:B, 'Idaho Data'!A37, 'Student Achievement 15-16'!D:D, "ela")/100</f>
        <v>0.27200000000000002</v>
      </c>
      <c r="TO37" s="134">
        <f t="shared" si="58"/>
        <v>3920.3360000000002</v>
      </c>
      <c r="TP37" s="688">
        <f>IFERROR(VLOOKUP(A37, 'G&amp;T 15-16'!B:G, 6, FALSE), 0)*1</f>
        <v>0</v>
      </c>
      <c r="TQ37" s="168">
        <f t="shared" si="59"/>
        <v>864.78</v>
      </c>
      <c r="TU37" s="168">
        <f t="shared" si="60"/>
        <v>3920.3360000000002</v>
      </c>
      <c r="TV37" s="168">
        <f t="shared" si="61"/>
        <v>5289.5710000000008</v>
      </c>
      <c r="TW37" s="205">
        <f t="shared" si="62"/>
        <v>5289.5710000000008</v>
      </c>
      <c r="TX37" s="144"/>
      <c r="TY37" s="129"/>
      <c r="TZ37" s="127">
        <f t="shared" si="63"/>
        <v>0</v>
      </c>
      <c r="UA37" s="127">
        <f t="shared" si="64"/>
        <v>864.78</v>
      </c>
      <c r="UB37" s="205">
        <f t="shared" si="65"/>
        <v>864.78</v>
      </c>
      <c r="UE37" s="853" t="str">
        <f>IF(ST37&lt;='1. Simulator Input'!$E$104, "yes", "")</f>
        <v/>
      </c>
      <c r="UI37" s="199">
        <f t="shared" si="66"/>
        <v>0</v>
      </c>
      <c r="UJ37" s="200">
        <f>IF('Idaho Data'!SI37&gt;=0, ((1-'1. Simulator Input'!$E$39)*'Idaho Data'!SI37), 0)</f>
        <v>0</v>
      </c>
      <c r="UK37" s="200">
        <f t="shared" si="67"/>
        <v>81437455</v>
      </c>
      <c r="UL37" s="39"/>
      <c r="UM37" s="182"/>
      <c r="UN37" s="39"/>
      <c r="UO37" s="39" t="str">
        <f>IF(AND('1. Simulator Input'!$E$96="yes", '1. Simulator Input'!$E$98="yes", '1. Simulator Input'!$E$100="hold harmless"), 'Idaho Data'!WN37, IF(AND('1. Simulator Input'!$E$96="yes", '1. Simulator Input'!$E$98="no", '1. Simulator Input'!$E$100="hold harmless"), 'Idaho Data'!WM37, IF(AND('1. Simulator Input'!$E$96="yes", '1. Simulator Input'!$E$98="yes", '1. Simulator Input'!$E$100="small district grant"), WL37,IF(AND('1. Simulator Input'!$E$96="yes", '1. Simulator Input'!$E$98="no", '1. Simulator Input'!$E$100="small district grant"), WK37, ""))))</f>
        <v/>
      </c>
      <c r="UP37" s="200">
        <f>'1. Simulator Input'!$D$56*('Idaho Data'!ST37)</f>
        <v>79646238</v>
      </c>
      <c r="UQ37" s="204">
        <f>'1. Simulator Input'!$D$65*'1. Simulator Input'!$D$56*'Idaho Data'!SU37</f>
        <v>0</v>
      </c>
      <c r="UR37" s="204">
        <f>'1. Simulator Input'!$D$66*'1. Simulator Input'!$D$56*'Idaho Data'!SW37</f>
        <v>0</v>
      </c>
      <c r="US37" s="200">
        <f>'1. Simulator Input'!$D$67*'1. Simulator Input'!$D$56*'Idaho Data'!TA37</f>
        <v>0</v>
      </c>
      <c r="UT37" s="200">
        <f>'1. Simulator Input'!$D$68*'1. Simulator Input'!$D$56*'Idaho Data'!TB37</f>
        <v>0</v>
      </c>
      <c r="UU37" s="200">
        <f>'1. Simulator Input'!$D$69*'1. Simulator Input'!$D$56*'Idaho Data'!TC37</f>
        <v>0</v>
      </c>
      <c r="UV37" s="200">
        <f>'1. Simulator Input'!$D$70*'1. Simulator Input'!$D$56*TD37</f>
        <v>0</v>
      </c>
      <c r="UW37" s="200">
        <f>'1. Simulator Input'!$D$80*'1. Simulator Input'!$D$56*TW37</f>
        <v>0</v>
      </c>
      <c r="UX37" s="200">
        <f>'1. Simulator Input'!$D$79*'1. Simulator Input'!$D$56*UB37</f>
        <v>0</v>
      </c>
      <c r="UY37" s="200">
        <f>'1. Simulator Input'!$D$87*'1. Simulator Input'!$D$56*TF37</f>
        <v>2986803</v>
      </c>
      <c r="UZ37" s="200">
        <f>'1. Simulator Input'!$D$73*'1. Simulator Input'!$D$56*'Idaho Data'!TG37</f>
        <v>0</v>
      </c>
      <c r="VA37" s="200">
        <f>'1. Simulator Input'!$D$56*'1. Simulator Input'!$D$74*'Idaho Data'!TH37</f>
        <v>0</v>
      </c>
      <c r="VB37" s="200">
        <f>'1. Simulator Input'!$D$56*'1. Simulator Input'!$D$75*'Idaho Data'!TI32</f>
        <v>0</v>
      </c>
      <c r="VC37" s="200">
        <f>'1. Simulator Input'!$D$76*'1. Simulator Input'!$D$56*'Idaho Data'!TJ37</f>
        <v>0</v>
      </c>
      <c r="VD37" s="200">
        <f t="shared" si="68"/>
        <v>82633041</v>
      </c>
      <c r="VE37" s="200"/>
      <c r="VF37" s="182"/>
      <c r="VG37" s="200"/>
      <c r="VH37" s="200">
        <f t="shared" si="69"/>
        <v>0</v>
      </c>
      <c r="VI37" s="200">
        <f t="shared" si="70"/>
        <v>0</v>
      </c>
      <c r="VJ37" s="200">
        <f t="shared" si="16"/>
        <v>82633041</v>
      </c>
      <c r="VK37" s="200">
        <f t="shared" si="17"/>
        <v>82633041</v>
      </c>
      <c r="VL37" s="200"/>
      <c r="VM37" s="182"/>
      <c r="VN37" s="200"/>
      <c r="VO37" s="200">
        <f t="shared" si="71"/>
        <v>15340948</v>
      </c>
      <c r="VP37" s="200">
        <f t="shared" si="72"/>
        <v>81437455</v>
      </c>
      <c r="VQ37" s="200">
        <f t="shared" si="73"/>
        <v>20496683</v>
      </c>
      <c r="VR37" s="200">
        <f t="shared" si="74"/>
        <v>15340948</v>
      </c>
      <c r="VS37" s="200">
        <f t="shared" si="18"/>
        <v>82633041</v>
      </c>
      <c r="VT37" s="200">
        <f t="shared" si="19"/>
        <v>20496683</v>
      </c>
      <c r="VU37" s="200">
        <f t="shared" si="20"/>
        <v>0</v>
      </c>
      <c r="VV37" s="200"/>
      <c r="VW37" s="182"/>
      <c r="VX37" s="200"/>
      <c r="VZ37" s="199">
        <f t="shared" si="75"/>
        <v>1195586</v>
      </c>
      <c r="WA37" s="199">
        <f t="shared" si="76"/>
        <v>82.951918406993684</v>
      </c>
      <c r="WB37" s="131">
        <f t="shared" si="77"/>
        <v>1.4681033438483558E-2</v>
      </c>
      <c r="WC37" s="131"/>
      <c r="WD37" s="461"/>
      <c r="WE37" s="893"/>
      <c r="WF37" s="893">
        <f t="shared" si="78"/>
        <v>8136.7575105807255</v>
      </c>
      <c r="WG37" s="893">
        <f t="shared" si="79"/>
        <v>8219.7094289877186</v>
      </c>
      <c r="WH37" s="893"/>
      <c r="WI37" s="893">
        <f t="shared" si="80"/>
        <v>81437455</v>
      </c>
      <c r="WJ37" s="893">
        <f t="shared" si="21"/>
        <v>82633041</v>
      </c>
      <c r="WK37" s="39" t="str">
        <f t="shared" si="22"/>
        <v/>
      </c>
      <c r="WL37" s="39" t="str">
        <f t="shared" si="23"/>
        <v/>
      </c>
      <c r="WM37" s="200" t="str">
        <f t="shared" si="24"/>
        <v/>
      </c>
      <c r="WN37" s="39" t="str">
        <f t="shared" si="25"/>
        <v/>
      </c>
      <c r="WO37" s="39"/>
      <c r="WP37" s="182"/>
      <c r="WQ37" s="39"/>
      <c r="WR37" s="305">
        <f t="shared" si="26"/>
        <v>0.184</v>
      </c>
      <c r="WT37" s="200">
        <f t="shared" si="27"/>
        <v>5650.2778741414004</v>
      </c>
      <c r="WU37" s="131">
        <f t="shared" si="81"/>
        <v>0.18</v>
      </c>
      <c r="WW37" s="199">
        <f t="shared" si="28"/>
        <v>15340948</v>
      </c>
      <c r="WX37" s="199">
        <f t="shared" si="29"/>
        <v>82633041</v>
      </c>
      <c r="WY37" s="199">
        <f t="shared" si="30"/>
        <v>0</v>
      </c>
      <c r="WZ37" s="199">
        <f t="shared" si="82"/>
        <v>82633041</v>
      </c>
      <c r="XA37" s="199">
        <f t="shared" si="31"/>
        <v>0</v>
      </c>
      <c r="XB37" s="199">
        <f t="shared" si="32"/>
        <v>20496683</v>
      </c>
      <c r="XC37" s="199">
        <f t="shared" si="33"/>
        <v>20496683</v>
      </c>
      <c r="XD37" s="199" t="str">
        <f t="shared" si="34"/>
        <v/>
      </c>
      <c r="XE37" s="199"/>
      <c r="XF37" s="199"/>
      <c r="XG37" s="199"/>
      <c r="XH37" s="199"/>
      <c r="XI37" s="199"/>
      <c r="XJ37" s="199">
        <f t="shared" si="83"/>
        <v>82633041</v>
      </c>
      <c r="XP37" s="199">
        <f t="shared" si="35"/>
        <v>82633041</v>
      </c>
      <c r="XQ37" s="199">
        <f t="shared" si="36"/>
        <v>5733.2297925483936</v>
      </c>
      <c r="XR37" s="199">
        <f t="shared" si="37"/>
        <v>82633041</v>
      </c>
      <c r="XS37" s="199">
        <f t="shared" si="38"/>
        <v>82633041</v>
      </c>
      <c r="XT37" s="199">
        <f t="shared" si="39"/>
        <v>5733.2297925483936</v>
      </c>
      <c r="XU37" s="199">
        <f t="shared" si="40"/>
        <v>81437455</v>
      </c>
      <c r="XV37" s="199">
        <f t="shared" si="41"/>
        <v>5650.2778741414004</v>
      </c>
      <c r="XW37" s="199">
        <f t="shared" si="42"/>
        <v>81437455</v>
      </c>
      <c r="XX37" s="199">
        <f t="shared" si="43"/>
        <v>5650.2778741414004</v>
      </c>
      <c r="XY37" s="199">
        <f t="shared" si="84"/>
        <v>1195586</v>
      </c>
      <c r="XZ37" s="199">
        <f t="shared" si="85"/>
        <v>82.951918406993173</v>
      </c>
      <c r="YA37" s="131">
        <f t="shared" si="86"/>
        <v>1.4681033438483466E-2</v>
      </c>
      <c r="YB37" s="199"/>
      <c r="YC37" s="221"/>
      <c r="YD37" s="199"/>
      <c r="YE37" s="199">
        <f t="shared" si="44"/>
        <v>15340948</v>
      </c>
      <c r="YF37" s="200">
        <f t="shared" si="45"/>
        <v>0</v>
      </c>
      <c r="YG37" s="199">
        <f t="shared" si="46"/>
        <v>20496683</v>
      </c>
      <c r="YH37" s="199">
        <f t="shared" si="47"/>
        <v>33859030</v>
      </c>
    </row>
    <row r="38" spans="1:658">
      <c r="A38" s="3">
        <v>132</v>
      </c>
      <c r="B38" s="2" t="s">
        <v>130</v>
      </c>
      <c r="C38" s="24">
        <v>0</v>
      </c>
      <c r="D38" s="24">
        <v>0</v>
      </c>
      <c r="E38" s="24">
        <v>0</v>
      </c>
      <c r="F38" s="24">
        <v>0</v>
      </c>
      <c r="G38" s="24">
        <v>2659515</v>
      </c>
      <c r="H38" s="24">
        <v>0</v>
      </c>
      <c r="I38" s="24">
        <v>73984</v>
      </c>
      <c r="J38" s="24">
        <v>95445</v>
      </c>
      <c r="K38" s="24">
        <v>0</v>
      </c>
      <c r="L38" s="24">
        <v>0</v>
      </c>
      <c r="M38" s="24">
        <v>0</v>
      </c>
      <c r="N38" s="24">
        <v>0</v>
      </c>
      <c r="O38" s="24">
        <v>0</v>
      </c>
      <c r="P38" s="24">
        <v>0</v>
      </c>
      <c r="Q38" s="24">
        <v>0</v>
      </c>
      <c r="R38" s="24">
        <v>0</v>
      </c>
      <c r="S38" s="24">
        <v>0</v>
      </c>
      <c r="T38" s="24">
        <v>625205</v>
      </c>
      <c r="U38" s="24">
        <v>0</v>
      </c>
      <c r="V38" s="24">
        <v>0</v>
      </c>
      <c r="W38" s="24">
        <v>0</v>
      </c>
      <c r="X38" s="24">
        <v>3540262</v>
      </c>
      <c r="Y38" s="24">
        <v>24465</v>
      </c>
      <c r="Z38" s="24">
        <v>0</v>
      </c>
      <c r="AA38" s="24">
        <v>22658</v>
      </c>
      <c r="AB38" s="24">
        <v>3159</v>
      </c>
      <c r="AC38" s="24">
        <v>0</v>
      </c>
      <c r="AD38" s="24">
        <v>0</v>
      </c>
      <c r="AE38" s="24">
        <v>0</v>
      </c>
      <c r="AF38" s="24">
        <v>0</v>
      </c>
      <c r="AG38" s="24">
        <v>0</v>
      </c>
      <c r="AH38" s="24">
        <v>0</v>
      </c>
      <c r="AI38" s="24">
        <v>0</v>
      </c>
      <c r="AJ38" s="24">
        <v>0</v>
      </c>
      <c r="AK38" s="24">
        <v>0</v>
      </c>
      <c r="AL38" s="24">
        <v>31769</v>
      </c>
      <c r="AM38" s="24">
        <v>0</v>
      </c>
      <c r="AN38" s="24">
        <v>0</v>
      </c>
      <c r="AO38" s="24">
        <v>0</v>
      </c>
      <c r="AP38" s="24">
        <v>0</v>
      </c>
      <c r="AQ38" s="24">
        <v>0</v>
      </c>
      <c r="AR38" s="24">
        <v>0</v>
      </c>
      <c r="AS38" s="24">
        <v>0</v>
      </c>
      <c r="AT38" s="24">
        <v>0</v>
      </c>
      <c r="AU38" s="24">
        <v>0</v>
      </c>
      <c r="AV38" s="24">
        <v>0</v>
      </c>
      <c r="AW38" s="24">
        <v>0</v>
      </c>
      <c r="AX38" s="24">
        <v>0</v>
      </c>
      <c r="AY38" s="24">
        <v>0</v>
      </c>
      <c r="AZ38" s="24">
        <v>0</v>
      </c>
      <c r="BA38" s="24">
        <v>0</v>
      </c>
      <c r="BB38" s="24">
        <v>0</v>
      </c>
      <c r="BC38" s="24">
        <v>114</v>
      </c>
      <c r="BD38" s="24">
        <v>1309</v>
      </c>
      <c r="BE38" s="24">
        <v>0</v>
      </c>
      <c r="BF38" s="24">
        <v>66</v>
      </c>
      <c r="BG38" s="24">
        <v>0</v>
      </c>
      <c r="BH38" s="24">
        <v>0</v>
      </c>
      <c r="BI38" s="24">
        <v>0</v>
      </c>
      <c r="BJ38" s="24">
        <v>0</v>
      </c>
      <c r="BK38" s="24">
        <v>0</v>
      </c>
      <c r="BL38" s="24">
        <v>0</v>
      </c>
      <c r="BM38" s="24">
        <v>0</v>
      </c>
      <c r="BN38" s="24">
        <v>0</v>
      </c>
      <c r="BO38" s="24">
        <v>0</v>
      </c>
      <c r="BP38" s="24">
        <v>0</v>
      </c>
      <c r="BQ38" s="24">
        <v>0</v>
      </c>
      <c r="BR38" s="24">
        <v>0</v>
      </c>
      <c r="BS38" s="24">
        <v>0</v>
      </c>
      <c r="BT38" s="24">
        <v>0</v>
      </c>
      <c r="BU38" s="24">
        <v>0</v>
      </c>
      <c r="BV38" s="24">
        <v>0</v>
      </c>
      <c r="BW38" s="24">
        <v>0</v>
      </c>
      <c r="BX38" s="24">
        <v>0</v>
      </c>
      <c r="BY38" s="24">
        <v>0</v>
      </c>
      <c r="BZ38" s="24">
        <v>0</v>
      </c>
      <c r="CA38" s="24">
        <v>0</v>
      </c>
      <c r="CB38" s="24">
        <v>0</v>
      </c>
      <c r="CC38" s="24">
        <v>0</v>
      </c>
      <c r="CD38" s="24">
        <v>8812</v>
      </c>
      <c r="CE38" s="24">
        <v>14688</v>
      </c>
      <c r="CF38" s="24">
        <v>0</v>
      </c>
      <c r="CG38" s="24">
        <v>0</v>
      </c>
      <c r="CH38" s="24">
        <v>0</v>
      </c>
      <c r="CI38" s="24">
        <v>0</v>
      </c>
      <c r="CJ38" s="24">
        <v>0</v>
      </c>
      <c r="CK38" s="24">
        <v>0</v>
      </c>
      <c r="CL38" s="24">
        <v>0</v>
      </c>
      <c r="CM38" s="24">
        <v>0</v>
      </c>
      <c r="CN38" s="24">
        <v>0</v>
      </c>
      <c r="CO38" s="24">
        <v>0</v>
      </c>
      <c r="CP38" s="24">
        <v>0</v>
      </c>
      <c r="CQ38" s="24">
        <v>0</v>
      </c>
      <c r="CR38" s="24">
        <v>0</v>
      </c>
      <c r="CS38" s="24">
        <v>0</v>
      </c>
      <c r="CT38" s="24">
        <v>0</v>
      </c>
      <c r="CU38" s="24">
        <v>0</v>
      </c>
      <c r="CV38" s="24">
        <v>0</v>
      </c>
      <c r="CW38" s="24">
        <v>0</v>
      </c>
      <c r="CX38" s="24">
        <v>0</v>
      </c>
      <c r="CY38" s="24">
        <v>0</v>
      </c>
      <c r="CZ38" s="24">
        <v>0</v>
      </c>
      <c r="DA38" s="24">
        <v>0</v>
      </c>
      <c r="DB38" s="24">
        <v>0</v>
      </c>
      <c r="DC38" s="24">
        <v>0</v>
      </c>
      <c r="DD38" s="24">
        <v>0</v>
      </c>
      <c r="DE38" s="24">
        <v>0</v>
      </c>
      <c r="DF38" s="24">
        <v>0</v>
      </c>
      <c r="DG38" s="24">
        <v>0</v>
      </c>
      <c r="DH38" s="24">
        <v>0</v>
      </c>
      <c r="DI38" s="24">
        <v>0</v>
      </c>
      <c r="DJ38" s="24">
        <v>0</v>
      </c>
      <c r="DK38" s="24">
        <v>0</v>
      </c>
      <c r="DL38" s="24">
        <v>0</v>
      </c>
      <c r="DM38" s="24">
        <v>0</v>
      </c>
      <c r="DN38" s="24">
        <v>0</v>
      </c>
      <c r="DO38" s="24">
        <v>0</v>
      </c>
      <c r="DP38" s="24">
        <v>0</v>
      </c>
      <c r="DQ38" s="24">
        <v>0</v>
      </c>
      <c r="DR38" s="24">
        <v>0</v>
      </c>
      <c r="DS38" s="24">
        <v>0</v>
      </c>
      <c r="DT38" s="24">
        <v>0</v>
      </c>
      <c r="DU38" s="24">
        <v>0</v>
      </c>
      <c r="DV38" s="24">
        <v>0</v>
      </c>
      <c r="DW38" s="24">
        <v>0</v>
      </c>
      <c r="DX38" s="24">
        <v>0</v>
      </c>
      <c r="DY38" s="24">
        <v>0</v>
      </c>
      <c r="DZ38" s="24">
        <v>0</v>
      </c>
      <c r="EA38" s="24">
        <v>0</v>
      </c>
      <c r="EB38" s="24">
        <v>0</v>
      </c>
      <c r="EC38" s="24">
        <v>0</v>
      </c>
      <c r="ED38" s="24">
        <v>0</v>
      </c>
      <c r="EE38" s="24">
        <v>0</v>
      </c>
      <c r="EF38" s="24">
        <v>0</v>
      </c>
      <c r="EG38" s="24">
        <v>0</v>
      </c>
      <c r="EH38" s="24">
        <v>0</v>
      </c>
      <c r="EI38" s="24">
        <v>0</v>
      </c>
      <c r="EJ38" s="24">
        <v>0</v>
      </c>
      <c r="EK38" s="24">
        <v>0</v>
      </c>
      <c r="EL38" s="24">
        <v>0</v>
      </c>
      <c r="EM38" s="24">
        <v>0</v>
      </c>
      <c r="EN38" s="24">
        <v>0</v>
      </c>
      <c r="EO38" s="24">
        <v>0</v>
      </c>
      <c r="EP38" s="24">
        <v>0</v>
      </c>
      <c r="EQ38" s="24">
        <v>0</v>
      </c>
      <c r="ER38" s="24">
        <v>0</v>
      </c>
      <c r="ES38" s="24">
        <v>0</v>
      </c>
      <c r="ET38" s="24">
        <v>0</v>
      </c>
      <c r="EU38" s="24">
        <v>0</v>
      </c>
      <c r="EV38" s="24">
        <v>0</v>
      </c>
      <c r="EW38" s="24">
        <v>0</v>
      </c>
      <c r="EX38" s="24">
        <v>0</v>
      </c>
      <c r="EY38" s="24">
        <v>0</v>
      </c>
      <c r="EZ38" s="24">
        <v>0</v>
      </c>
      <c r="FA38" s="24">
        <v>0</v>
      </c>
      <c r="FB38" s="24">
        <v>0</v>
      </c>
      <c r="FC38" s="24">
        <v>0</v>
      </c>
      <c r="FD38" s="24">
        <v>0</v>
      </c>
      <c r="FE38" s="24">
        <v>0</v>
      </c>
      <c r="FF38" s="24">
        <v>0</v>
      </c>
      <c r="FG38" s="24">
        <v>0</v>
      </c>
      <c r="FH38" s="24">
        <v>0</v>
      </c>
      <c r="FI38" s="24">
        <v>0</v>
      </c>
      <c r="FJ38" s="24">
        <v>0</v>
      </c>
      <c r="FK38" s="24">
        <v>0</v>
      </c>
      <c r="FL38" s="24">
        <v>0</v>
      </c>
      <c r="FM38" s="24">
        <v>0</v>
      </c>
      <c r="FN38" s="24">
        <v>0</v>
      </c>
      <c r="FO38" s="24">
        <v>0</v>
      </c>
      <c r="FP38" s="24">
        <v>0</v>
      </c>
      <c r="FQ38" s="24">
        <v>0</v>
      </c>
      <c r="FR38" s="24">
        <v>0</v>
      </c>
      <c r="FS38" s="24">
        <v>893628</v>
      </c>
      <c r="FT38" s="24">
        <v>0</v>
      </c>
      <c r="FU38" s="24">
        <v>0</v>
      </c>
      <c r="FV38" s="24">
        <v>0</v>
      </c>
      <c r="FW38" s="24">
        <v>0</v>
      </c>
      <c r="FX38" s="24">
        <v>0</v>
      </c>
      <c r="FY38" s="24">
        <v>0</v>
      </c>
      <c r="FZ38" s="24">
        <v>0</v>
      </c>
      <c r="GA38" s="24">
        <v>0</v>
      </c>
      <c r="GB38" s="24">
        <v>0</v>
      </c>
      <c r="GC38" s="24">
        <v>0</v>
      </c>
      <c r="GD38" s="24">
        <v>0</v>
      </c>
      <c r="GE38" s="24">
        <v>57018</v>
      </c>
      <c r="GF38" s="24">
        <v>0</v>
      </c>
      <c r="GG38" s="24">
        <v>0</v>
      </c>
      <c r="GH38" s="24">
        <v>0</v>
      </c>
      <c r="GI38" s="24">
        <v>0</v>
      </c>
      <c r="GJ38" s="24">
        <v>0</v>
      </c>
      <c r="GK38" s="24">
        <v>0</v>
      </c>
      <c r="GL38" s="24">
        <v>0</v>
      </c>
      <c r="GM38" s="24">
        <v>0</v>
      </c>
      <c r="GN38" s="24">
        <v>0</v>
      </c>
      <c r="GO38" s="24">
        <v>0</v>
      </c>
      <c r="GP38" s="24">
        <v>0</v>
      </c>
      <c r="GQ38" s="24">
        <v>0</v>
      </c>
      <c r="GR38" s="24">
        <v>43961</v>
      </c>
      <c r="GS38" s="24">
        <v>38275</v>
      </c>
      <c r="GT38" s="24">
        <v>0</v>
      </c>
      <c r="GU38" s="24">
        <v>30109</v>
      </c>
      <c r="GV38" s="24">
        <v>0</v>
      </c>
      <c r="GW38" s="24">
        <v>0</v>
      </c>
      <c r="GX38" s="24">
        <v>0</v>
      </c>
      <c r="GY38" s="24">
        <v>0</v>
      </c>
      <c r="GZ38" s="24">
        <v>0</v>
      </c>
      <c r="HA38" s="24">
        <v>0</v>
      </c>
      <c r="HB38" s="24">
        <v>0</v>
      </c>
      <c r="HC38" s="24">
        <v>0</v>
      </c>
      <c r="HD38" s="24">
        <v>23268603</v>
      </c>
      <c r="HE38" s="24">
        <v>0</v>
      </c>
      <c r="HF38" s="24">
        <v>0</v>
      </c>
      <c r="HG38" s="24">
        <v>0</v>
      </c>
      <c r="HH38" s="24">
        <v>0</v>
      </c>
      <c r="HI38" s="24">
        <v>2030429</v>
      </c>
      <c r="HJ38" s="24">
        <v>0</v>
      </c>
      <c r="HK38" s="24">
        <v>0</v>
      </c>
      <c r="HL38" s="24">
        <v>207359</v>
      </c>
      <c r="HM38" s="24">
        <v>0</v>
      </c>
      <c r="HN38" s="24">
        <v>0</v>
      </c>
      <c r="HO38" s="24">
        <v>3004671</v>
      </c>
      <c r="HP38" s="24">
        <v>1132602</v>
      </c>
      <c r="HQ38" s="24">
        <v>0</v>
      </c>
      <c r="HR38" s="24">
        <v>0</v>
      </c>
      <c r="HS38" s="24">
        <v>0</v>
      </c>
      <c r="HT38" s="24">
        <v>0</v>
      </c>
      <c r="HU38" s="24">
        <v>0</v>
      </c>
      <c r="HV38" s="24">
        <v>0</v>
      </c>
      <c r="HW38" s="24">
        <v>0</v>
      </c>
      <c r="HX38" s="24">
        <v>0</v>
      </c>
      <c r="HY38" s="24">
        <v>0</v>
      </c>
      <c r="HZ38" s="24">
        <v>0</v>
      </c>
      <c r="IA38" s="24">
        <v>278900</v>
      </c>
      <c r="IB38" s="24">
        <v>53395</v>
      </c>
      <c r="IC38" s="24">
        <v>0</v>
      </c>
      <c r="ID38" s="24">
        <v>0</v>
      </c>
      <c r="IE38" s="24">
        <v>0</v>
      </c>
      <c r="IF38" s="24">
        <v>0</v>
      </c>
      <c r="IG38" s="24">
        <v>0</v>
      </c>
      <c r="IH38" s="24">
        <v>0</v>
      </c>
      <c r="II38" s="24">
        <v>0</v>
      </c>
      <c r="IJ38" s="24">
        <v>0</v>
      </c>
      <c r="IK38" s="24">
        <v>0</v>
      </c>
      <c r="IL38" s="24">
        <v>0</v>
      </c>
      <c r="IM38" s="24">
        <v>0</v>
      </c>
      <c r="IN38" s="24">
        <v>0</v>
      </c>
      <c r="IO38" s="24">
        <v>38625</v>
      </c>
      <c r="IP38" s="24">
        <v>0</v>
      </c>
      <c r="IQ38" s="24">
        <v>0</v>
      </c>
      <c r="IR38" s="24">
        <v>99535</v>
      </c>
      <c r="IS38" s="24">
        <v>0</v>
      </c>
      <c r="IT38" s="24">
        <v>0</v>
      </c>
      <c r="IU38" s="24">
        <v>0</v>
      </c>
      <c r="IV38" s="24">
        <v>0</v>
      </c>
      <c r="IW38" s="24">
        <v>0</v>
      </c>
      <c r="IX38" s="24">
        <v>0</v>
      </c>
      <c r="IY38" s="24">
        <v>366756</v>
      </c>
      <c r="IZ38" s="24">
        <v>0</v>
      </c>
      <c r="JA38" s="24">
        <v>0</v>
      </c>
      <c r="JB38" s="24">
        <v>5017</v>
      </c>
      <c r="JC38" s="24">
        <v>0</v>
      </c>
      <c r="JD38" s="24">
        <v>0</v>
      </c>
      <c r="JE38" s="24">
        <v>40525</v>
      </c>
      <c r="JF38" s="24">
        <v>0</v>
      </c>
      <c r="JG38" s="24">
        <v>0</v>
      </c>
      <c r="JH38" s="24">
        <v>0</v>
      </c>
      <c r="JI38" s="24">
        <v>0</v>
      </c>
      <c r="JJ38" s="24">
        <v>0</v>
      </c>
      <c r="JK38" s="24">
        <v>0</v>
      </c>
      <c r="JL38" s="24">
        <v>0</v>
      </c>
      <c r="JM38" s="24">
        <v>0</v>
      </c>
      <c r="JN38" s="24">
        <v>0</v>
      </c>
      <c r="JO38" s="24">
        <v>0</v>
      </c>
      <c r="JP38" s="24">
        <v>0</v>
      </c>
      <c r="JQ38" s="24">
        <v>0</v>
      </c>
      <c r="JR38" s="24">
        <v>0</v>
      </c>
      <c r="JS38" s="24">
        <v>0</v>
      </c>
      <c r="JT38" s="24">
        <v>0</v>
      </c>
      <c r="JU38" s="24">
        <v>27507</v>
      </c>
      <c r="JV38" s="24">
        <v>0</v>
      </c>
      <c r="JW38" s="24">
        <v>0</v>
      </c>
      <c r="JX38" s="24">
        <v>0</v>
      </c>
      <c r="JY38" s="24">
        <v>0</v>
      </c>
      <c r="JZ38" s="24">
        <v>0</v>
      </c>
      <c r="KA38" s="24">
        <v>1089041</v>
      </c>
      <c r="KB38" s="24">
        <v>180048</v>
      </c>
      <c r="KC38" s="24">
        <v>0</v>
      </c>
      <c r="KD38" s="24">
        <v>0</v>
      </c>
      <c r="KE38" s="24">
        <v>0</v>
      </c>
      <c r="KF38" s="24">
        <v>0</v>
      </c>
      <c r="KG38" s="24">
        <v>0</v>
      </c>
      <c r="KH38" s="24">
        <v>0</v>
      </c>
      <c r="KI38" s="24">
        <v>0</v>
      </c>
      <c r="KJ38" s="24">
        <v>0</v>
      </c>
      <c r="KK38" s="24">
        <v>0</v>
      </c>
      <c r="KL38" s="24">
        <v>0</v>
      </c>
      <c r="KM38" s="24">
        <v>0</v>
      </c>
      <c r="KN38" s="24">
        <v>0</v>
      </c>
      <c r="KO38" s="24">
        <v>0</v>
      </c>
      <c r="KP38" s="24">
        <v>0</v>
      </c>
      <c r="KQ38" s="24">
        <v>0</v>
      </c>
      <c r="KR38" s="24">
        <v>0</v>
      </c>
      <c r="KS38" s="24">
        <v>0</v>
      </c>
      <c r="KT38" s="24">
        <v>0</v>
      </c>
      <c r="KU38" s="24">
        <v>0</v>
      </c>
      <c r="KV38" s="24">
        <v>0</v>
      </c>
      <c r="KW38" s="24">
        <v>0</v>
      </c>
      <c r="KX38" s="24">
        <v>0</v>
      </c>
      <c r="KY38" s="24">
        <v>0</v>
      </c>
      <c r="KZ38" s="24">
        <v>0</v>
      </c>
      <c r="LA38" s="24">
        <v>0</v>
      </c>
      <c r="LB38" s="24">
        <v>0</v>
      </c>
      <c r="LC38" s="24">
        <v>0</v>
      </c>
      <c r="LD38" s="24">
        <v>0</v>
      </c>
      <c r="LE38" s="24">
        <v>0</v>
      </c>
      <c r="LF38" s="24">
        <v>0</v>
      </c>
      <c r="LG38" s="24">
        <v>0</v>
      </c>
      <c r="LH38" s="24">
        <v>0</v>
      </c>
      <c r="LI38" s="24">
        <v>0</v>
      </c>
      <c r="LJ38" s="24">
        <v>0</v>
      </c>
      <c r="LK38" s="24">
        <v>0</v>
      </c>
      <c r="LL38" s="24">
        <v>0</v>
      </c>
      <c r="LM38" s="24">
        <v>0</v>
      </c>
      <c r="LN38" s="24">
        <v>0</v>
      </c>
      <c r="LO38" s="24">
        <v>0</v>
      </c>
      <c r="LP38" s="24">
        <v>0</v>
      </c>
      <c r="LQ38" s="24">
        <v>2811750</v>
      </c>
      <c r="LR38" s="24">
        <v>166531</v>
      </c>
      <c r="LS38" s="24">
        <v>0</v>
      </c>
      <c r="LT38" s="24">
        <v>0</v>
      </c>
      <c r="LU38" s="24">
        <v>0</v>
      </c>
      <c r="LV38" s="24">
        <v>0</v>
      </c>
      <c r="LW38" s="24">
        <v>0</v>
      </c>
      <c r="LX38" s="24">
        <v>0</v>
      </c>
      <c r="LY38" s="24">
        <v>0</v>
      </c>
      <c r="LZ38" s="24">
        <v>0</v>
      </c>
      <c r="MA38" s="24">
        <v>10546</v>
      </c>
      <c r="MB38" s="24">
        <v>0</v>
      </c>
      <c r="MC38" s="24">
        <v>0</v>
      </c>
      <c r="MD38" s="24">
        <v>0</v>
      </c>
      <c r="ME38" s="24">
        <v>0</v>
      </c>
      <c r="MF38" s="24">
        <v>0</v>
      </c>
      <c r="MG38" s="24">
        <v>0</v>
      </c>
      <c r="MH38" s="24">
        <v>0</v>
      </c>
      <c r="MI38" s="24">
        <v>0</v>
      </c>
      <c r="MJ38" s="24">
        <v>0</v>
      </c>
      <c r="MK38" s="24">
        <v>18988</v>
      </c>
      <c r="ML38" s="24">
        <v>0</v>
      </c>
      <c r="MM38" s="24">
        <v>0</v>
      </c>
      <c r="MN38" s="24">
        <v>0</v>
      </c>
      <c r="MO38" s="24">
        <v>117686</v>
      </c>
      <c r="MP38" s="24">
        <v>0</v>
      </c>
      <c r="MQ38" s="24">
        <v>0</v>
      </c>
      <c r="MR38" s="24">
        <v>3559035</v>
      </c>
      <c r="MS38" s="24">
        <v>0</v>
      </c>
      <c r="MT38" s="24">
        <v>0</v>
      </c>
      <c r="MU38" s="24">
        <v>0</v>
      </c>
      <c r="MV38" s="24">
        <v>0</v>
      </c>
      <c r="MW38" s="24">
        <v>1242711</v>
      </c>
      <c r="MX38" s="24">
        <v>90858</v>
      </c>
      <c r="MY38" s="24">
        <v>0</v>
      </c>
      <c r="MZ38" s="24">
        <v>0</v>
      </c>
      <c r="NA38" s="24">
        <v>0</v>
      </c>
      <c r="NB38" s="24">
        <v>0</v>
      </c>
      <c r="NC38" s="24">
        <v>0</v>
      </c>
      <c r="ND38" s="24">
        <v>0</v>
      </c>
      <c r="NE38" s="24">
        <v>0</v>
      </c>
      <c r="NF38" s="24">
        <v>0</v>
      </c>
      <c r="NG38" s="24">
        <v>0</v>
      </c>
      <c r="NH38" s="24">
        <v>0</v>
      </c>
      <c r="NI38" s="24">
        <v>0</v>
      </c>
      <c r="NJ38" s="24">
        <v>0</v>
      </c>
      <c r="NK38" s="24">
        <v>0</v>
      </c>
      <c r="NL38" s="24">
        <v>0</v>
      </c>
      <c r="NM38" s="24">
        <v>0</v>
      </c>
      <c r="NN38" s="24">
        <v>119808</v>
      </c>
      <c r="NO38" s="24">
        <v>0</v>
      </c>
      <c r="NP38" s="24">
        <v>0</v>
      </c>
      <c r="NQ38" s="24">
        <v>0</v>
      </c>
      <c r="NR38" s="24">
        <v>0</v>
      </c>
      <c r="NS38" s="24">
        <v>0</v>
      </c>
      <c r="NT38" s="24">
        <v>0</v>
      </c>
      <c r="NU38" s="24">
        <v>111702</v>
      </c>
      <c r="NV38" s="24">
        <v>247926</v>
      </c>
      <c r="NW38" s="24">
        <v>0</v>
      </c>
      <c r="NX38" s="24">
        <v>61294</v>
      </c>
      <c r="NY38" s="24">
        <v>0</v>
      </c>
      <c r="NZ38" s="24">
        <v>0</v>
      </c>
      <c r="OA38" s="24">
        <v>0</v>
      </c>
      <c r="OB38" s="24">
        <v>0</v>
      </c>
      <c r="OC38" s="24">
        <v>0</v>
      </c>
      <c r="OD38" s="24">
        <v>0</v>
      </c>
      <c r="OE38" s="24">
        <v>0</v>
      </c>
      <c r="OF38" s="24">
        <v>0</v>
      </c>
      <c r="OG38" s="24">
        <v>0</v>
      </c>
      <c r="OH38" s="24">
        <v>0</v>
      </c>
      <c r="OI38" s="24">
        <v>0</v>
      </c>
      <c r="OJ38" s="24">
        <v>0</v>
      </c>
      <c r="OK38" s="24">
        <v>0</v>
      </c>
      <c r="OL38" s="24">
        <v>0</v>
      </c>
      <c r="OM38" s="24">
        <v>0</v>
      </c>
      <c r="ON38" s="24">
        <v>0</v>
      </c>
      <c r="OO38" s="24">
        <v>0</v>
      </c>
      <c r="OP38" s="24">
        <v>0</v>
      </c>
      <c r="OQ38" s="24">
        <v>0</v>
      </c>
      <c r="OR38" s="24">
        <v>0</v>
      </c>
      <c r="OS38" s="24">
        <v>0</v>
      </c>
      <c r="OT38" s="24">
        <v>0</v>
      </c>
      <c r="OU38" s="24">
        <v>0</v>
      </c>
      <c r="OV38" s="24">
        <v>0</v>
      </c>
      <c r="OW38" s="24">
        <v>0</v>
      </c>
      <c r="OX38" s="24">
        <v>0</v>
      </c>
      <c r="OY38" s="24">
        <v>0</v>
      </c>
      <c r="OZ38" s="24">
        <v>0</v>
      </c>
      <c r="PA38" s="24">
        <v>0</v>
      </c>
      <c r="PB38" s="24">
        <v>0</v>
      </c>
      <c r="PC38" s="24">
        <v>0</v>
      </c>
      <c r="PD38" s="24">
        <v>0</v>
      </c>
      <c r="PE38" s="24">
        <v>0</v>
      </c>
      <c r="PF38" s="24">
        <v>0</v>
      </c>
      <c r="PG38" s="24">
        <v>0</v>
      </c>
      <c r="PH38" s="24">
        <v>142182</v>
      </c>
      <c r="PI38" s="24">
        <v>0</v>
      </c>
      <c r="PJ38" s="24">
        <v>0</v>
      </c>
      <c r="PK38" s="24">
        <v>0</v>
      </c>
      <c r="PL38" s="24">
        <v>0</v>
      </c>
      <c r="PM38" s="24">
        <v>0</v>
      </c>
      <c r="PN38" s="24">
        <v>0</v>
      </c>
      <c r="PO38" s="24">
        <v>0</v>
      </c>
      <c r="PP38" s="24">
        <v>0</v>
      </c>
      <c r="PQ38" s="24">
        <v>0</v>
      </c>
      <c r="PR38" s="24">
        <v>0</v>
      </c>
      <c r="PS38" s="24">
        <v>0</v>
      </c>
      <c r="PT38" s="24">
        <v>0</v>
      </c>
      <c r="PU38" s="24">
        <v>0</v>
      </c>
      <c r="PV38" s="24">
        <v>0</v>
      </c>
      <c r="PW38" s="24">
        <v>0</v>
      </c>
      <c r="PX38" s="24">
        <v>0</v>
      </c>
      <c r="PY38" s="24">
        <v>0</v>
      </c>
      <c r="PZ38" s="24">
        <v>0</v>
      </c>
      <c r="QA38" s="24">
        <v>0</v>
      </c>
      <c r="QB38" s="24">
        <v>0</v>
      </c>
      <c r="QC38" s="24">
        <v>0</v>
      </c>
      <c r="QD38" s="24">
        <v>0</v>
      </c>
      <c r="QE38" s="24">
        <v>0</v>
      </c>
      <c r="QF38" s="24">
        <v>0</v>
      </c>
      <c r="QG38" s="24">
        <v>0</v>
      </c>
      <c r="QH38" s="24">
        <v>0</v>
      </c>
      <c r="QI38" s="24">
        <v>0</v>
      </c>
      <c r="QJ38" s="24">
        <v>0</v>
      </c>
      <c r="QK38" s="24">
        <v>0</v>
      </c>
      <c r="QL38" s="24">
        <v>0</v>
      </c>
      <c r="QM38" s="24">
        <v>0</v>
      </c>
      <c r="QN38" s="24">
        <v>0</v>
      </c>
      <c r="QO38" s="24">
        <v>0</v>
      </c>
      <c r="QP38" s="24">
        <v>0</v>
      </c>
      <c r="QQ38" s="24">
        <v>0</v>
      </c>
      <c r="QR38" s="24">
        <v>0</v>
      </c>
      <c r="QS38" s="24">
        <v>68020</v>
      </c>
      <c r="QT38" s="24">
        <v>0</v>
      </c>
      <c r="QU38" s="24">
        <v>0</v>
      </c>
      <c r="QV38" s="24">
        <v>0</v>
      </c>
      <c r="QW38" s="24">
        <v>0</v>
      </c>
      <c r="QX38" s="24">
        <v>0</v>
      </c>
      <c r="QY38" s="24">
        <v>0</v>
      </c>
      <c r="QZ38" s="24">
        <v>0</v>
      </c>
      <c r="RA38" s="24">
        <v>0</v>
      </c>
      <c r="RB38" s="24">
        <v>0</v>
      </c>
      <c r="RG38" s="39">
        <f t="shared" si="48"/>
        <v>23268603</v>
      </c>
      <c r="RH38" s="39">
        <f t="shared" si="48"/>
        <v>2030429</v>
      </c>
      <c r="RI38" s="39">
        <f t="shared" si="48"/>
        <v>207359</v>
      </c>
      <c r="RJ38" s="39">
        <f t="shared" si="48"/>
        <v>0</v>
      </c>
      <c r="RK38" s="39">
        <f t="shared" si="48"/>
        <v>0</v>
      </c>
      <c r="RL38" s="39">
        <f t="shared" si="48"/>
        <v>3004671</v>
      </c>
      <c r="RM38" s="39">
        <f t="shared" si="48"/>
        <v>1464897</v>
      </c>
      <c r="RN38" s="39">
        <f t="shared" si="48"/>
        <v>38625</v>
      </c>
      <c r="RO38" s="39">
        <f t="shared" si="48"/>
        <v>99535</v>
      </c>
      <c r="RP38" s="39">
        <f t="shared" si="48"/>
        <v>366756</v>
      </c>
      <c r="RQ38" s="39">
        <f t="shared" si="48"/>
        <v>5017</v>
      </c>
      <c r="RR38" s="39">
        <f t="shared" si="48"/>
        <v>1337121</v>
      </c>
      <c r="RS38" s="39"/>
      <c r="RT38" s="182"/>
      <c r="RU38" s="39"/>
      <c r="RV38" s="39">
        <f t="shared" si="49"/>
        <v>8558835</v>
      </c>
      <c r="RW38" s="39">
        <f t="shared" si="49"/>
        <v>31823013</v>
      </c>
      <c r="RX38" s="39">
        <f t="shared" si="49"/>
        <v>8164442</v>
      </c>
      <c r="RY38" s="39">
        <f t="shared" si="49"/>
        <v>210202</v>
      </c>
      <c r="RZ38" s="39"/>
      <c r="SA38" s="182"/>
      <c r="SB38" s="39"/>
      <c r="SC38" s="25">
        <f t="shared" si="50"/>
        <v>1428.5987751531059</v>
      </c>
      <c r="SD38" s="39">
        <f>IFERROR(VLOOKUP(A38, 'Levy Data 15-16'!$B:$O, 3, FALSE), 0)</f>
        <v>1524802763</v>
      </c>
      <c r="SE38" s="39">
        <f t="shared" si="9"/>
        <v>266807.13263342081</v>
      </c>
      <c r="SF38" s="631">
        <f>IFERROR(VLOOKUP(A38, 'Levy Data 15-16'!$B:$O, 14, FALSE), 0)*1000</f>
        <v>4.1834310000000006</v>
      </c>
      <c r="SG38" s="39">
        <f t="shared" si="10"/>
        <v>0</v>
      </c>
      <c r="SH38" s="39">
        <f t="shared" si="11"/>
        <v>0</v>
      </c>
      <c r="SI38" s="39">
        <f t="shared" si="12"/>
        <v>8164442</v>
      </c>
      <c r="SM38" s="39">
        <f t="shared" si="13"/>
        <v>31823013</v>
      </c>
      <c r="SN38" s="39">
        <f t="shared" si="14"/>
        <v>0</v>
      </c>
      <c r="SO38" s="39">
        <f t="shared" si="51"/>
        <v>31823013</v>
      </c>
      <c r="SP38" s="50">
        <f t="shared" si="52"/>
        <v>1</v>
      </c>
      <c r="ST38" s="124">
        <f>IFERROR(VLOOKUP(A38,'Grade Enroll 15-16'!B:AC,27,FALSE),"")</f>
        <v>5715</v>
      </c>
      <c r="SU38" s="124">
        <f t="shared" si="53"/>
        <v>4696.8518811255144</v>
      </c>
      <c r="SV38" s="131">
        <f>IFERROR(VLOOKUP($A38, 'Title I Enroll 16-17'!S:V, 4, FALSE), 0)</f>
        <v>0.82184634840341453</v>
      </c>
      <c r="SW38" s="729">
        <f>IFERROR(VLOOKUP(A38, 'ELL Enroll 15-16'!$N:$S, 6, FALSE), 0)</f>
        <v>1711</v>
      </c>
      <c r="SX38" s="131">
        <f t="shared" si="54"/>
        <v>0.29938757655293086</v>
      </c>
      <c r="SY38" s="124">
        <f>IFERROR(VLOOKUP(A38, 'SPED enroll 2015-16'!$M:$O, 3, FALSE), 0)</f>
        <v>667</v>
      </c>
      <c r="SZ38" s="131">
        <f t="shared" si="55"/>
        <v>0.11671041119860018</v>
      </c>
      <c r="TA38" s="142">
        <f t="shared" ref="TA38:TD66" si="87">$SY38*TA$8</f>
        <v>466.9</v>
      </c>
      <c r="TB38" s="142">
        <f t="shared" si="87"/>
        <v>133.4</v>
      </c>
      <c r="TC38" s="142">
        <f t="shared" si="87"/>
        <v>46.690000000000005</v>
      </c>
      <c r="TD38" s="142">
        <f t="shared" si="87"/>
        <v>20.009999999999998</v>
      </c>
      <c r="TE38" s="124">
        <f>VLOOKUP($A38, 'Grade Enroll 15-16'!$B:$AB, 20, FALSE)</f>
        <v>50</v>
      </c>
      <c r="TF38" s="124">
        <f>VLOOKUP($A38, 'Grade Enroll 15-16'!$B:$AB, 21, FALSE)</f>
        <v>535</v>
      </c>
      <c r="TG38" s="124">
        <f>VLOOKUP($A38, 'Grade Enroll 15-16'!$B:$AB, 22, FALSE)</f>
        <v>1611</v>
      </c>
      <c r="TH38" s="124">
        <f>VLOOKUP($A38, 'Grade Enroll 15-16'!$B:$AB, 23, FALSE)</f>
        <v>1502</v>
      </c>
      <c r="TI38" s="124">
        <f>VLOOKUP($A38, 'Grade Enroll 15-16'!$B:$AB, 24, FALSE)</f>
        <v>925</v>
      </c>
      <c r="TJ38" s="124">
        <f>VLOOKUP($A38, 'Grade Enroll 15-16'!$B:$AB, 25, FALSE)</f>
        <v>1677</v>
      </c>
      <c r="TK38" s="124">
        <f>VLOOKUP($A38, 'Grade Enroll 15-16'!$B:$AB, 26, FALSE)</f>
        <v>3915</v>
      </c>
      <c r="TL38" s="131">
        <f>SUMIFS('Student Achievement 15-16'!N:N, 'Student Achievement 15-16'!B:B, 'Idaho Data'!A38, 'Student Achievement 15-16'!D:D, "math")/100</f>
        <v>0.434</v>
      </c>
      <c r="TM38" s="134">
        <f t="shared" si="57"/>
        <v>2480.31</v>
      </c>
      <c r="TN38" s="131">
        <f>SUMIFS('Student Achievement 15-16'!N:N, 'Student Achievement 15-16'!B:B, 'Idaho Data'!A38, 'Student Achievement 15-16'!D:D, "ela")/100</f>
        <v>0.36</v>
      </c>
      <c r="TO38" s="134">
        <f t="shared" si="58"/>
        <v>2057.4</v>
      </c>
      <c r="TP38" s="688">
        <f>IFERROR(VLOOKUP(A38, 'G&amp;T 15-16'!B:G, 6, FALSE), 0)*1</f>
        <v>225</v>
      </c>
      <c r="TQ38" s="168">
        <f t="shared" si="59"/>
        <v>342.9</v>
      </c>
      <c r="TU38" s="168">
        <f t="shared" si="60"/>
        <v>2057.4</v>
      </c>
      <c r="TV38" s="168">
        <f t="shared" si="61"/>
        <v>2480.31</v>
      </c>
      <c r="TW38" s="205">
        <f t="shared" si="62"/>
        <v>2480.31</v>
      </c>
      <c r="TX38" s="144"/>
      <c r="TY38" s="129"/>
      <c r="TZ38" s="127">
        <f t="shared" si="63"/>
        <v>225</v>
      </c>
      <c r="UA38" s="127">
        <f t="shared" si="64"/>
        <v>342.9</v>
      </c>
      <c r="UB38" s="205">
        <f t="shared" si="65"/>
        <v>342.9</v>
      </c>
      <c r="UE38" s="853" t="str">
        <f>IF(ST38&lt;='1. Simulator Input'!$E$104, "yes", "")</f>
        <v/>
      </c>
      <c r="UI38" s="199">
        <f t="shared" si="66"/>
        <v>0</v>
      </c>
      <c r="UJ38" s="200">
        <f>IF('Idaho Data'!SI38&gt;=0, ((1-'1. Simulator Input'!$E$39)*'Idaho Data'!SI38), 0)</f>
        <v>0</v>
      </c>
      <c r="UK38" s="200">
        <f t="shared" si="67"/>
        <v>31823013</v>
      </c>
      <c r="UL38" s="39"/>
      <c r="UM38" s="182"/>
      <c r="UN38" s="39"/>
      <c r="UO38" s="39" t="str">
        <f>IF(AND('1. Simulator Input'!$E$96="yes", '1. Simulator Input'!$E$98="yes", '1. Simulator Input'!$E$100="hold harmless"), 'Idaho Data'!WN38, IF(AND('1. Simulator Input'!$E$96="yes", '1. Simulator Input'!$E$98="no", '1. Simulator Input'!$E$100="hold harmless"), 'Idaho Data'!WM38, IF(AND('1. Simulator Input'!$E$96="yes", '1. Simulator Input'!$E$98="yes", '1. Simulator Input'!$E$100="small district grant"), WL38,IF(AND('1. Simulator Input'!$E$96="yes", '1. Simulator Input'!$E$98="no", '1. Simulator Input'!$E$100="small district grant"), WK38, ""))))</f>
        <v/>
      </c>
      <c r="UP38" s="200">
        <f>'1. Simulator Input'!$D$56*('Idaho Data'!ST38)</f>
        <v>31581090</v>
      </c>
      <c r="UQ38" s="204">
        <f>'1. Simulator Input'!$D$65*'1. Simulator Input'!$D$56*'Idaho Data'!SU38</f>
        <v>0</v>
      </c>
      <c r="UR38" s="204">
        <f>'1. Simulator Input'!$D$66*'1. Simulator Input'!$D$56*'Idaho Data'!SW38</f>
        <v>0</v>
      </c>
      <c r="US38" s="200">
        <f>'1. Simulator Input'!$D$67*'1. Simulator Input'!$D$56*'Idaho Data'!TA38</f>
        <v>0</v>
      </c>
      <c r="UT38" s="200">
        <f>'1. Simulator Input'!$D$68*'1. Simulator Input'!$D$56*'Idaho Data'!TB38</f>
        <v>0</v>
      </c>
      <c r="UU38" s="200">
        <f>'1. Simulator Input'!$D$69*'1. Simulator Input'!$D$56*'Idaho Data'!TC38</f>
        <v>0</v>
      </c>
      <c r="UV38" s="200">
        <f>'1. Simulator Input'!$D$70*'1. Simulator Input'!$D$56*TD38</f>
        <v>0</v>
      </c>
      <c r="UW38" s="200">
        <f>'1. Simulator Input'!$D$80*'1. Simulator Input'!$D$56*TW38</f>
        <v>0</v>
      </c>
      <c r="UX38" s="200">
        <f>'1. Simulator Input'!$D$79*'1. Simulator Input'!$D$56*UB38</f>
        <v>0</v>
      </c>
      <c r="UY38" s="200">
        <f>'1. Simulator Input'!$D$87*'1. Simulator Input'!$D$56*TF38</f>
        <v>1478205</v>
      </c>
      <c r="UZ38" s="200">
        <f>'1. Simulator Input'!$D$73*'1. Simulator Input'!$D$56*'Idaho Data'!TG38</f>
        <v>0</v>
      </c>
      <c r="VA38" s="200">
        <f>'1. Simulator Input'!$D$56*'1. Simulator Input'!$D$74*'Idaho Data'!TH38</f>
        <v>0</v>
      </c>
      <c r="VB38" s="200">
        <f>'1. Simulator Input'!$D$56*'1. Simulator Input'!$D$75*'Idaho Data'!TI33</f>
        <v>0</v>
      </c>
      <c r="VC38" s="200">
        <f>'1. Simulator Input'!$D$76*'1. Simulator Input'!$D$56*'Idaho Data'!TJ38</f>
        <v>0</v>
      </c>
      <c r="VD38" s="200">
        <f t="shared" si="68"/>
        <v>33059295</v>
      </c>
      <c r="VE38" s="200"/>
      <c r="VF38" s="182"/>
      <c r="VG38" s="200"/>
      <c r="VH38" s="200">
        <f t="shared" si="69"/>
        <v>0</v>
      </c>
      <c r="VI38" s="200">
        <f t="shared" si="70"/>
        <v>0</v>
      </c>
      <c r="VJ38" s="200">
        <f t="shared" si="16"/>
        <v>33059295</v>
      </c>
      <c r="VK38" s="200">
        <f t="shared" si="17"/>
        <v>33059295</v>
      </c>
      <c r="VL38" s="200"/>
      <c r="VM38" s="182"/>
      <c r="VN38" s="200"/>
      <c r="VO38" s="200">
        <f t="shared" si="71"/>
        <v>8558835</v>
      </c>
      <c r="VP38" s="200">
        <f t="shared" si="72"/>
        <v>31823013</v>
      </c>
      <c r="VQ38" s="200">
        <f t="shared" si="73"/>
        <v>8164442</v>
      </c>
      <c r="VR38" s="200">
        <f t="shared" si="74"/>
        <v>8558835</v>
      </c>
      <c r="VS38" s="200">
        <f t="shared" si="18"/>
        <v>33059295</v>
      </c>
      <c r="VT38" s="200">
        <f t="shared" si="19"/>
        <v>8164442</v>
      </c>
      <c r="VU38" s="200">
        <f t="shared" si="20"/>
        <v>0</v>
      </c>
      <c r="VV38" s="200"/>
      <c r="VW38" s="182"/>
      <c r="VX38" s="200"/>
      <c r="VZ38" s="199">
        <f t="shared" si="75"/>
        <v>1236282</v>
      </c>
      <c r="WA38" s="199">
        <f t="shared" si="76"/>
        <v>216.3223097112861</v>
      </c>
      <c r="WB38" s="131">
        <f t="shared" si="77"/>
        <v>3.8848678470514403E-2</v>
      </c>
      <c r="WC38" s="131"/>
      <c r="WD38" s="461"/>
      <c r="WE38" s="893"/>
      <c r="WF38" s="893">
        <f t="shared" si="78"/>
        <v>8494.5389326334207</v>
      </c>
      <c r="WG38" s="893">
        <f t="shared" si="79"/>
        <v>8710.8612423447066</v>
      </c>
      <c r="WH38" s="893"/>
      <c r="WI38" s="893">
        <f t="shared" si="80"/>
        <v>31823013</v>
      </c>
      <c r="WJ38" s="893">
        <f t="shared" si="21"/>
        <v>33059295</v>
      </c>
      <c r="WK38" s="39" t="str">
        <f t="shared" si="22"/>
        <v/>
      </c>
      <c r="WL38" s="39" t="str">
        <f t="shared" si="23"/>
        <v/>
      </c>
      <c r="WM38" s="200" t="str">
        <f t="shared" si="24"/>
        <v/>
      </c>
      <c r="WN38" s="39" t="str">
        <f t="shared" si="25"/>
        <v/>
      </c>
      <c r="WO38" s="39"/>
      <c r="WP38" s="182"/>
      <c r="WQ38" s="39"/>
      <c r="WR38" s="305">
        <f t="shared" si="26"/>
        <v>0.16600000000000001</v>
      </c>
      <c r="WT38" s="200">
        <f t="shared" si="27"/>
        <v>5568.3312335958008</v>
      </c>
      <c r="WU38" s="131">
        <f t="shared" si="81"/>
        <v>0.15</v>
      </c>
      <c r="WW38" s="199">
        <f t="shared" si="28"/>
        <v>8558835</v>
      </c>
      <c r="WX38" s="199">
        <f t="shared" si="29"/>
        <v>33059295</v>
      </c>
      <c r="WY38" s="199">
        <f t="shared" si="30"/>
        <v>0</v>
      </c>
      <c r="WZ38" s="199">
        <f t="shared" si="82"/>
        <v>33059295</v>
      </c>
      <c r="XA38" s="199">
        <f t="shared" si="31"/>
        <v>0</v>
      </c>
      <c r="XB38" s="199">
        <f t="shared" si="32"/>
        <v>8164442</v>
      </c>
      <c r="XC38" s="199">
        <f t="shared" si="33"/>
        <v>8164442</v>
      </c>
      <c r="XD38" s="199" t="str">
        <f t="shared" si="34"/>
        <v/>
      </c>
      <c r="XE38" s="199"/>
      <c r="XF38" s="199"/>
      <c r="XG38" s="199"/>
      <c r="XH38" s="199"/>
      <c r="XI38" s="199"/>
      <c r="XJ38" s="199">
        <f t="shared" si="83"/>
        <v>33059295</v>
      </c>
      <c r="XP38" s="199">
        <f t="shared" si="35"/>
        <v>33059295</v>
      </c>
      <c r="XQ38" s="199">
        <f t="shared" si="36"/>
        <v>5784.6535433070867</v>
      </c>
      <c r="XR38" s="199">
        <f t="shared" si="37"/>
        <v>33059295</v>
      </c>
      <c r="XS38" s="199">
        <f t="shared" si="38"/>
        <v>33059295</v>
      </c>
      <c r="XT38" s="199">
        <f t="shared" si="39"/>
        <v>5784.6535433070867</v>
      </c>
      <c r="XU38" s="199">
        <f t="shared" si="40"/>
        <v>31823013</v>
      </c>
      <c r="XV38" s="199">
        <f t="shared" si="41"/>
        <v>5568.3312335958008</v>
      </c>
      <c r="XW38" s="199">
        <f t="shared" si="42"/>
        <v>31823013</v>
      </c>
      <c r="XX38" s="199">
        <f t="shared" si="43"/>
        <v>5568.3312335958008</v>
      </c>
      <c r="XY38" s="199">
        <f t="shared" si="84"/>
        <v>1236282</v>
      </c>
      <c r="XZ38" s="199">
        <f t="shared" si="85"/>
        <v>216.32230971128593</v>
      </c>
      <c r="YA38" s="131">
        <f t="shared" si="86"/>
        <v>3.8848678470514375E-2</v>
      </c>
      <c r="YB38" s="199"/>
      <c r="YC38" s="221"/>
      <c r="YD38" s="199"/>
      <c r="YE38" s="199">
        <f t="shared" si="44"/>
        <v>8558835</v>
      </c>
      <c r="YF38" s="200">
        <f t="shared" si="45"/>
        <v>0</v>
      </c>
      <c r="YG38" s="199">
        <f t="shared" si="46"/>
        <v>8164442</v>
      </c>
      <c r="YH38" s="199">
        <f t="shared" si="47"/>
        <v>210202</v>
      </c>
    </row>
    <row r="39" spans="1:658">
      <c r="A39" s="3">
        <v>133</v>
      </c>
      <c r="B39" s="2" t="s">
        <v>131</v>
      </c>
      <c r="C39" s="24">
        <v>0</v>
      </c>
      <c r="D39" s="24">
        <v>0</v>
      </c>
      <c r="E39" s="24">
        <v>0</v>
      </c>
      <c r="F39" s="24">
        <v>0</v>
      </c>
      <c r="G39" s="24">
        <v>283030</v>
      </c>
      <c r="H39" s="24">
        <v>0</v>
      </c>
      <c r="I39" s="24">
        <v>0</v>
      </c>
      <c r="J39" s="24">
        <v>0</v>
      </c>
      <c r="K39" s="24">
        <v>191226</v>
      </c>
      <c r="L39" s="24">
        <v>0</v>
      </c>
      <c r="M39" s="24">
        <v>0</v>
      </c>
      <c r="N39" s="24">
        <v>0</v>
      </c>
      <c r="O39" s="24">
        <v>0</v>
      </c>
      <c r="P39" s="24">
        <v>0</v>
      </c>
      <c r="Q39" s="24">
        <v>0</v>
      </c>
      <c r="R39" s="24">
        <v>0</v>
      </c>
      <c r="S39" s="24">
        <v>0</v>
      </c>
      <c r="T39" s="24">
        <v>0</v>
      </c>
      <c r="U39" s="24">
        <v>0</v>
      </c>
      <c r="V39" s="24">
        <v>0</v>
      </c>
      <c r="W39" s="24">
        <v>0</v>
      </c>
      <c r="X39" s="24">
        <v>643668</v>
      </c>
      <c r="Y39" s="24">
        <v>5169</v>
      </c>
      <c r="Z39" s="24">
        <v>0</v>
      </c>
      <c r="AA39" s="24">
        <v>8231</v>
      </c>
      <c r="AB39" s="24">
        <v>0</v>
      </c>
      <c r="AC39" s="24">
        <v>0</v>
      </c>
      <c r="AD39" s="24">
        <v>0</v>
      </c>
      <c r="AE39" s="24">
        <v>0</v>
      </c>
      <c r="AF39" s="24">
        <v>0</v>
      </c>
      <c r="AG39" s="24">
        <v>0</v>
      </c>
      <c r="AH39" s="24">
        <v>0</v>
      </c>
      <c r="AI39" s="24">
        <v>0</v>
      </c>
      <c r="AJ39" s="24">
        <v>0</v>
      </c>
      <c r="AK39" s="24">
        <v>0</v>
      </c>
      <c r="AL39" s="24">
        <v>3849</v>
      </c>
      <c r="AM39" s="24">
        <v>0</v>
      </c>
      <c r="AN39" s="24">
        <v>0</v>
      </c>
      <c r="AO39" s="24">
        <v>0</v>
      </c>
      <c r="AP39" s="24">
        <v>0</v>
      </c>
      <c r="AQ39" s="24">
        <v>0</v>
      </c>
      <c r="AR39" s="24">
        <v>0</v>
      </c>
      <c r="AS39" s="24">
        <v>0</v>
      </c>
      <c r="AT39" s="24">
        <v>0</v>
      </c>
      <c r="AU39" s="24">
        <v>0</v>
      </c>
      <c r="AV39" s="24">
        <v>0</v>
      </c>
      <c r="AW39" s="24">
        <v>0</v>
      </c>
      <c r="AX39" s="24">
        <v>0</v>
      </c>
      <c r="AY39" s="24">
        <v>0</v>
      </c>
      <c r="AZ39" s="24">
        <v>0</v>
      </c>
      <c r="BA39" s="24">
        <v>0</v>
      </c>
      <c r="BB39" s="24">
        <v>0</v>
      </c>
      <c r="BC39" s="24">
        <v>0</v>
      </c>
      <c r="BD39" s="24">
        <v>2390</v>
      </c>
      <c r="BE39" s="24">
        <v>0</v>
      </c>
      <c r="BF39" s="24">
        <v>0</v>
      </c>
      <c r="BG39" s="24">
        <v>0</v>
      </c>
      <c r="BH39" s="24">
        <v>0</v>
      </c>
      <c r="BI39" s="24">
        <v>0</v>
      </c>
      <c r="BJ39" s="24">
        <v>0</v>
      </c>
      <c r="BK39" s="24">
        <v>0</v>
      </c>
      <c r="BL39" s="24">
        <v>0</v>
      </c>
      <c r="BM39" s="24">
        <v>0</v>
      </c>
      <c r="BN39" s="24">
        <v>0</v>
      </c>
      <c r="BO39" s="24">
        <v>0</v>
      </c>
      <c r="BP39" s="24">
        <v>0</v>
      </c>
      <c r="BQ39" s="24">
        <v>0</v>
      </c>
      <c r="BR39" s="24">
        <v>0</v>
      </c>
      <c r="BS39" s="24">
        <v>0</v>
      </c>
      <c r="BT39" s="24">
        <v>0</v>
      </c>
      <c r="BU39" s="24">
        <v>0</v>
      </c>
      <c r="BV39" s="24">
        <v>0</v>
      </c>
      <c r="BW39" s="24">
        <v>0</v>
      </c>
      <c r="BX39" s="24">
        <v>0</v>
      </c>
      <c r="BY39" s="24">
        <v>0</v>
      </c>
      <c r="BZ39" s="24">
        <v>0</v>
      </c>
      <c r="CA39" s="24">
        <v>0</v>
      </c>
      <c r="CB39" s="24">
        <v>0</v>
      </c>
      <c r="CC39" s="24">
        <v>0</v>
      </c>
      <c r="CD39" s="24">
        <v>0</v>
      </c>
      <c r="CE39" s="24">
        <v>932</v>
      </c>
      <c r="CF39" s="24">
        <v>0</v>
      </c>
      <c r="CG39" s="24">
        <v>126</v>
      </c>
      <c r="CH39" s="24">
        <v>0</v>
      </c>
      <c r="CI39" s="24">
        <v>0</v>
      </c>
      <c r="CJ39" s="24">
        <v>0</v>
      </c>
      <c r="CK39" s="24">
        <v>0</v>
      </c>
      <c r="CL39" s="24">
        <v>0</v>
      </c>
      <c r="CM39" s="24">
        <v>0</v>
      </c>
      <c r="CN39" s="24">
        <v>0</v>
      </c>
      <c r="CO39" s="24">
        <v>0</v>
      </c>
      <c r="CP39" s="24">
        <v>0</v>
      </c>
      <c r="CQ39" s="24">
        <v>0</v>
      </c>
      <c r="CR39" s="24">
        <v>0</v>
      </c>
      <c r="CS39" s="24">
        <v>0</v>
      </c>
      <c r="CT39" s="24">
        <v>0</v>
      </c>
      <c r="CU39" s="24">
        <v>0</v>
      </c>
      <c r="CV39" s="24">
        <v>0</v>
      </c>
      <c r="CW39" s="24">
        <v>0</v>
      </c>
      <c r="CX39" s="24">
        <v>0</v>
      </c>
      <c r="CY39" s="24">
        <v>0</v>
      </c>
      <c r="CZ39" s="24">
        <v>0</v>
      </c>
      <c r="DA39" s="24">
        <v>0</v>
      </c>
      <c r="DB39" s="24">
        <v>0</v>
      </c>
      <c r="DC39" s="24">
        <v>0</v>
      </c>
      <c r="DD39" s="24">
        <v>0</v>
      </c>
      <c r="DE39" s="24">
        <v>0</v>
      </c>
      <c r="DF39" s="24">
        <v>0</v>
      </c>
      <c r="DG39" s="24">
        <v>0</v>
      </c>
      <c r="DH39" s="24">
        <v>0</v>
      </c>
      <c r="DI39" s="24">
        <v>0</v>
      </c>
      <c r="DJ39" s="24">
        <v>0</v>
      </c>
      <c r="DK39" s="24">
        <v>0</v>
      </c>
      <c r="DL39" s="24">
        <v>0</v>
      </c>
      <c r="DM39" s="24">
        <v>0</v>
      </c>
      <c r="DN39" s="24">
        <v>0</v>
      </c>
      <c r="DO39" s="24">
        <v>0</v>
      </c>
      <c r="DP39" s="24">
        <v>0</v>
      </c>
      <c r="DQ39" s="24">
        <v>0</v>
      </c>
      <c r="DR39" s="24">
        <v>0</v>
      </c>
      <c r="DS39" s="24">
        <v>0</v>
      </c>
      <c r="DT39" s="24">
        <v>0</v>
      </c>
      <c r="DU39" s="24">
        <v>-50</v>
      </c>
      <c r="DV39" s="24">
        <v>0</v>
      </c>
      <c r="DW39" s="24">
        <v>0</v>
      </c>
      <c r="DX39" s="24">
        <v>0</v>
      </c>
      <c r="DY39" s="24">
        <v>0</v>
      </c>
      <c r="DZ39" s="24">
        <v>0</v>
      </c>
      <c r="EA39" s="24">
        <v>0</v>
      </c>
      <c r="EB39" s="24">
        <v>0</v>
      </c>
      <c r="EC39" s="24">
        <v>0</v>
      </c>
      <c r="ED39" s="24">
        <v>0</v>
      </c>
      <c r="EE39" s="24">
        <v>0</v>
      </c>
      <c r="EF39" s="24">
        <v>0</v>
      </c>
      <c r="EG39" s="24">
        <v>0</v>
      </c>
      <c r="EH39" s="24">
        <v>0</v>
      </c>
      <c r="EI39" s="24">
        <v>0</v>
      </c>
      <c r="EJ39" s="24">
        <v>0</v>
      </c>
      <c r="EK39" s="24">
        <v>0</v>
      </c>
      <c r="EL39" s="24">
        <v>0</v>
      </c>
      <c r="EM39" s="24">
        <v>0</v>
      </c>
      <c r="EN39" s="24">
        <v>0</v>
      </c>
      <c r="EO39" s="24">
        <v>0</v>
      </c>
      <c r="EP39" s="24">
        <v>0</v>
      </c>
      <c r="EQ39" s="24">
        <v>0</v>
      </c>
      <c r="ER39" s="24">
        <v>0</v>
      </c>
      <c r="ES39" s="24">
        <v>0</v>
      </c>
      <c r="ET39" s="24">
        <v>0</v>
      </c>
      <c r="EU39" s="24">
        <v>0</v>
      </c>
      <c r="EV39" s="24">
        <v>0</v>
      </c>
      <c r="EW39" s="24">
        <v>0</v>
      </c>
      <c r="EX39" s="24">
        <v>0</v>
      </c>
      <c r="EY39" s="24">
        <v>484440</v>
      </c>
      <c r="EZ39" s="24">
        <v>0</v>
      </c>
      <c r="FA39" s="24">
        <v>0</v>
      </c>
      <c r="FB39" s="24">
        <v>0</v>
      </c>
      <c r="FC39" s="24">
        <v>0</v>
      </c>
      <c r="FD39" s="24">
        <v>0</v>
      </c>
      <c r="FE39" s="24">
        <v>0</v>
      </c>
      <c r="FF39" s="24">
        <v>0</v>
      </c>
      <c r="FG39" s="24">
        <v>0</v>
      </c>
      <c r="FH39" s="24">
        <v>0</v>
      </c>
      <c r="FI39" s="24">
        <v>0</v>
      </c>
      <c r="FJ39" s="24">
        <v>0</v>
      </c>
      <c r="FK39" s="24">
        <v>0</v>
      </c>
      <c r="FL39" s="24">
        <v>0</v>
      </c>
      <c r="FM39" s="24">
        <v>0</v>
      </c>
      <c r="FN39" s="24">
        <v>0</v>
      </c>
      <c r="FO39" s="24">
        <v>0</v>
      </c>
      <c r="FP39" s="24">
        <v>0</v>
      </c>
      <c r="FQ39" s="24">
        <v>0</v>
      </c>
      <c r="FR39" s="24">
        <v>0</v>
      </c>
      <c r="FS39" s="24">
        <v>81881</v>
      </c>
      <c r="FT39" s="24">
        <v>0</v>
      </c>
      <c r="FU39" s="24">
        <v>0</v>
      </c>
      <c r="FV39" s="24">
        <v>0</v>
      </c>
      <c r="FW39" s="24">
        <v>0</v>
      </c>
      <c r="FX39" s="24">
        <v>0</v>
      </c>
      <c r="FY39" s="24">
        <v>0</v>
      </c>
      <c r="FZ39" s="24">
        <v>0</v>
      </c>
      <c r="GA39" s="24">
        <v>0</v>
      </c>
      <c r="GB39" s="24">
        <v>0</v>
      </c>
      <c r="GC39" s="24">
        <v>0</v>
      </c>
      <c r="GD39" s="24">
        <v>0</v>
      </c>
      <c r="GE39" s="24">
        <v>0</v>
      </c>
      <c r="GF39" s="24">
        <v>0</v>
      </c>
      <c r="GG39" s="24">
        <v>0</v>
      </c>
      <c r="GH39" s="24">
        <v>0</v>
      </c>
      <c r="GI39" s="24">
        <v>0</v>
      </c>
      <c r="GJ39" s="24">
        <v>0</v>
      </c>
      <c r="GK39" s="24">
        <v>0</v>
      </c>
      <c r="GL39" s="24">
        <v>0</v>
      </c>
      <c r="GM39" s="24">
        <v>0</v>
      </c>
      <c r="GN39" s="24">
        <v>0</v>
      </c>
      <c r="GO39" s="24">
        <v>0</v>
      </c>
      <c r="GP39" s="24">
        <v>0</v>
      </c>
      <c r="GQ39" s="24">
        <v>0</v>
      </c>
      <c r="GR39" s="24">
        <v>0</v>
      </c>
      <c r="GS39" s="24">
        <v>0</v>
      </c>
      <c r="GT39" s="24">
        <v>0</v>
      </c>
      <c r="GU39" s="24">
        <v>0</v>
      </c>
      <c r="GV39" s="24">
        <v>0</v>
      </c>
      <c r="GW39" s="24">
        <v>0</v>
      </c>
      <c r="GX39" s="24">
        <v>0</v>
      </c>
      <c r="GY39" s="24">
        <v>0</v>
      </c>
      <c r="GZ39" s="24">
        <v>0</v>
      </c>
      <c r="HA39" s="24">
        <v>0</v>
      </c>
      <c r="HB39" s="24">
        <v>0</v>
      </c>
      <c r="HC39" s="24">
        <v>0</v>
      </c>
      <c r="HD39" s="24">
        <v>2138138</v>
      </c>
      <c r="HE39" s="24">
        <v>0</v>
      </c>
      <c r="HF39" s="24">
        <v>0</v>
      </c>
      <c r="HG39" s="24">
        <v>0</v>
      </c>
      <c r="HH39" s="24">
        <v>0</v>
      </c>
      <c r="HI39" s="24">
        <v>109992</v>
      </c>
      <c r="HJ39" s="24">
        <v>0</v>
      </c>
      <c r="HK39" s="24">
        <v>0</v>
      </c>
      <c r="HL39" s="24">
        <v>0</v>
      </c>
      <c r="HM39" s="24">
        <v>0</v>
      </c>
      <c r="HN39" s="24">
        <v>0</v>
      </c>
      <c r="HO39" s="24">
        <v>270160</v>
      </c>
      <c r="HP39" s="24">
        <v>83345</v>
      </c>
      <c r="HQ39" s="24">
        <v>0</v>
      </c>
      <c r="HR39" s="24">
        <v>0</v>
      </c>
      <c r="HS39" s="24">
        <v>0</v>
      </c>
      <c r="HT39" s="24">
        <v>0</v>
      </c>
      <c r="HU39" s="24">
        <v>0</v>
      </c>
      <c r="HV39" s="24">
        <v>0</v>
      </c>
      <c r="HW39" s="24">
        <v>0</v>
      </c>
      <c r="HX39" s="24">
        <v>0</v>
      </c>
      <c r="HY39" s="24">
        <v>0</v>
      </c>
      <c r="HZ39" s="24">
        <v>0</v>
      </c>
      <c r="IA39" s="24">
        <v>19430</v>
      </c>
      <c r="IB39" s="24">
        <v>7633</v>
      </c>
      <c r="IC39" s="24">
        <v>0</v>
      </c>
      <c r="ID39" s="24">
        <v>0</v>
      </c>
      <c r="IE39" s="24">
        <v>0</v>
      </c>
      <c r="IF39" s="24">
        <v>0</v>
      </c>
      <c r="IG39" s="24">
        <v>0</v>
      </c>
      <c r="IH39" s="24">
        <v>0</v>
      </c>
      <c r="II39" s="24">
        <v>0</v>
      </c>
      <c r="IJ39" s="24">
        <v>99616</v>
      </c>
      <c r="IK39" s="24">
        <v>0</v>
      </c>
      <c r="IL39" s="24">
        <v>0</v>
      </c>
      <c r="IM39" s="24">
        <v>0</v>
      </c>
      <c r="IN39" s="24">
        <v>0</v>
      </c>
      <c r="IO39" s="24">
        <v>3765</v>
      </c>
      <c r="IP39" s="24">
        <v>0</v>
      </c>
      <c r="IQ39" s="24">
        <v>0</v>
      </c>
      <c r="IR39" s="24">
        <v>14648</v>
      </c>
      <c r="IS39" s="24">
        <v>0</v>
      </c>
      <c r="IT39" s="24">
        <v>0</v>
      </c>
      <c r="IU39" s="24">
        <v>0</v>
      </c>
      <c r="IV39" s="24">
        <v>0</v>
      </c>
      <c r="IW39" s="24">
        <v>53417</v>
      </c>
      <c r="IX39" s="24">
        <v>0</v>
      </c>
      <c r="IY39" s="24">
        <v>0</v>
      </c>
      <c r="IZ39" s="24">
        <v>0</v>
      </c>
      <c r="JA39" s="24">
        <v>0</v>
      </c>
      <c r="JB39" s="24">
        <v>25627</v>
      </c>
      <c r="JC39" s="24">
        <v>0</v>
      </c>
      <c r="JD39" s="24">
        <v>0</v>
      </c>
      <c r="JE39" s="24">
        <v>12173</v>
      </c>
      <c r="JF39" s="24">
        <v>0</v>
      </c>
      <c r="JG39" s="24">
        <v>0</v>
      </c>
      <c r="JH39" s="24">
        <v>0</v>
      </c>
      <c r="JI39" s="24">
        <v>0</v>
      </c>
      <c r="JJ39" s="24">
        <v>0</v>
      </c>
      <c r="JK39" s="24">
        <v>0</v>
      </c>
      <c r="JL39" s="24">
        <v>0</v>
      </c>
      <c r="JM39" s="24">
        <v>0</v>
      </c>
      <c r="JN39" s="24">
        <v>0</v>
      </c>
      <c r="JO39" s="24">
        <v>0</v>
      </c>
      <c r="JP39" s="24">
        <v>0</v>
      </c>
      <c r="JQ39" s="24">
        <v>0</v>
      </c>
      <c r="JR39" s="24">
        <v>0</v>
      </c>
      <c r="JS39" s="24">
        <v>0</v>
      </c>
      <c r="JT39" s="24">
        <v>16111</v>
      </c>
      <c r="JU39" s="24">
        <v>0</v>
      </c>
      <c r="JV39" s="24">
        <v>0</v>
      </c>
      <c r="JW39" s="24">
        <v>14994</v>
      </c>
      <c r="JX39" s="24">
        <v>0</v>
      </c>
      <c r="JY39" s="24">
        <v>0</v>
      </c>
      <c r="JZ39" s="24">
        <v>6742</v>
      </c>
      <c r="KA39" s="24">
        <v>0</v>
      </c>
      <c r="KB39" s="24">
        <v>0</v>
      </c>
      <c r="KC39" s="24">
        <v>0</v>
      </c>
      <c r="KD39" s="24">
        <v>0</v>
      </c>
      <c r="KE39" s="24">
        <v>0</v>
      </c>
      <c r="KF39" s="24">
        <v>0</v>
      </c>
      <c r="KG39" s="24">
        <v>0</v>
      </c>
      <c r="KH39" s="24">
        <v>0</v>
      </c>
      <c r="KI39" s="24">
        <v>0</v>
      </c>
      <c r="KJ39" s="24">
        <v>0</v>
      </c>
      <c r="KK39" s="24">
        <v>0</v>
      </c>
      <c r="KL39" s="24">
        <v>0</v>
      </c>
      <c r="KM39" s="24">
        <v>0</v>
      </c>
      <c r="KN39" s="24">
        <v>0</v>
      </c>
      <c r="KO39" s="24">
        <v>0</v>
      </c>
      <c r="KP39" s="24">
        <v>0</v>
      </c>
      <c r="KQ39" s="24">
        <v>0</v>
      </c>
      <c r="KR39" s="24">
        <v>0</v>
      </c>
      <c r="KS39" s="24">
        <v>0</v>
      </c>
      <c r="KT39" s="24">
        <v>0</v>
      </c>
      <c r="KU39" s="24">
        <v>0</v>
      </c>
      <c r="KV39" s="24">
        <v>0</v>
      </c>
      <c r="KW39" s="24">
        <v>0</v>
      </c>
      <c r="KX39" s="24">
        <v>0</v>
      </c>
      <c r="KY39" s="24">
        <v>0</v>
      </c>
      <c r="KZ39" s="24">
        <v>0</v>
      </c>
      <c r="LA39" s="24">
        <v>0</v>
      </c>
      <c r="LB39" s="24">
        <v>0</v>
      </c>
      <c r="LC39" s="24">
        <v>0</v>
      </c>
      <c r="LD39" s="24">
        <v>0</v>
      </c>
      <c r="LE39" s="24">
        <v>0</v>
      </c>
      <c r="LF39" s="24">
        <v>0</v>
      </c>
      <c r="LG39" s="24">
        <v>0</v>
      </c>
      <c r="LH39" s="24">
        <v>0</v>
      </c>
      <c r="LI39" s="24">
        <v>0</v>
      </c>
      <c r="LJ39" s="24">
        <v>0</v>
      </c>
      <c r="LK39" s="24">
        <v>0</v>
      </c>
      <c r="LL39" s="24">
        <v>0</v>
      </c>
      <c r="LM39" s="24">
        <v>0</v>
      </c>
      <c r="LN39" s="24">
        <v>0</v>
      </c>
      <c r="LO39" s="24">
        <v>0</v>
      </c>
      <c r="LP39" s="24">
        <v>0</v>
      </c>
      <c r="LQ39" s="24">
        <v>329266</v>
      </c>
      <c r="LR39" s="24">
        <v>35181</v>
      </c>
      <c r="LS39" s="24">
        <v>0</v>
      </c>
      <c r="LT39" s="24">
        <v>0</v>
      </c>
      <c r="LU39" s="24">
        <v>0</v>
      </c>
      <c r="LV39" s="24">
        <v>0</v>
      </c>
      <c r="LW39" s="24">
        <v>0</v>
      </c>
      <c r="LX39" s="24">
        <v>0</v>
      </c>
      <c r="LY39" s="24">
        <v>0</v>
      </c>
      <c r="LZ39" s="24">
        <v>0</v>
      </c>
      <c r="MA39" s="24">
        <v>0</v>
      </c>
      <c r="MB39" s="24">
        <v>0</v>
      </c>
      <c r="MC39" s="24">
        <v>0</v>
      </c>
      <c r="MD39" s="24">
        <v>0</v>
      </c>
      <c r="ME39" s="24">
        <v>0</v>
      </c>
      <c r="MF39" s="24">
        <v>0</v>
      </c>
      <c r="MG39" s="24">
        <v>0</v>
      </c>
      <c r="MH39" s="24">
        <v>0</v>
      </c>
      <c r="MI39" s="24">
        <v>0</v>
      </c>
      <c r="MJ39" s="24">
        <v>0</v>
      </c>
      <c r="MK39" s="24">
        <v>0</v>
      </c>
      <c r="ML39" s="24">
        <v>0</v>
      </c>
      <c r="MM39" s="24">
        <v>0</v>
      </c>
      <c r="MN39" s="24">
        <v>0</v>
      </c>
      <c r="MO39" s="24">
        <v>0</v>
      </c>
      <c r="MP39" s="24">
        <v>0</v>
      </c>
      <c r="MQ39" s="24">
        <v>0</v>
      </c>
      <c r="MR39" s="24">
        <v>265393</v>
      </c>
      <c r="MS39" s="24">
        <v>0</v>
      </c>
      <c r="MT39" s="24">
        <v>0</v>
      </c>
      <c r="MU39" s="24">
        <v>0</v>
      </c>
      <c r="MV39" s="24">
        <v>0</v>
      </c>
      <c r="MW39" s="24">
        <v>0</v>
      </c>
      <c r="MX39" s="24">
        <v>0</v>
      </c>
      <c r="MY39" s="24">
        <v>0</v>
      </c>
      <c r="MZ39" s="24">
        <v>0</v>
      </c>
      <c r="NA39" s="24">
        <v>0</v>
      </c>
      <c r="NB39" s="24">
        <v>0</v>
      </c>
      <c r="NC39" s="24">
        <v>0</v>
      </c>
      <c r="ND39" s="24">
        <v>0</v>
      </c>
      <c r="NE39" s="24">
        <v>0</v>
      </c>
      <c r="NF39" s="24">
        <v>0</v>
      </c>
      <c r="NG39" s="24">
        <v>0</v>
      </c>
      <c r="NH39" s="24">
        <v>0</v>
      </c>
      <c r="NI39" s="24">
        <v>0</v>
      </c>
      <c r="NJ39" s="24">
        <v>0</v>
      </c>
      <c r="NK39" s="24">
        <v>0</v>
      </c>
      <c r="NL39" s="24">
        <v>0</v>
      </c>
      <c r="NM39" s="24">
        <v>0</v>
      </c>
      <c r="NN39" s="24">
        <v>0</v>
      </c>
      <c r="NO39" s="24">
        <v>0</v>
      </c>
      <c r="NP39" s="24">
        <v>0</v>
      </c>
      <c r="NQ39" s="24">
        <v>0</v>
      </c>
      <c r="NR39" s="24">
        <v>0</v>
      </c>
      <c r="NS39" s="24">
        <v>0</v>
      </c>
      <c r="NT39" s="24">
        <v>0</v>
      </c>
      <c r="NU39" s="24">
        <v>0</v>
      </c>
      <c r="NV39" s="24">
        <v>56281</v>
      </c>
      <c r="NW39" s="24">
        <v>0</v>
      </c>
      <c r="NX39" s="24">
        <v>0</v>
      </c>
      <c r="NY39" s="24">
        <v>0</v>
      </c>
      <c r="NZ39" s="24">
        <v>0</v>
      </c>
      <c r="OA39" s="24">
        <v>0</v>
      </c>
      <c r="OB39" s="24">
        <v>0</v>
      </c>
      <c r="OC39" s="24">
        <v>0</v>
      </c>
      <c r="OD39" s="24">
        <v>0</v>
      </c>
      <c r="OE39" s="24">
        <v>0</v>
      </c>
      <c r="OF39" s="24">
        <v>0</v>
      </c>
      <c r="OG39" s="24">
        <v>0</v>
      </c>
      <c r="OH39" s="24">
        <v>0</v>
      </c>
      <c r="OI39" s="24">
        <v>0</v>
      </c>
      <c r="OJ39" s="24">
        <v>0</v>
      </c>
      <c r="OK39" s="24">
        <v>46833</v>
      </c>
      <c r="OL39" s="24">
        <v>0</v>
      </c>
      <c r="OM39" s="24">
        <v>0</v>
      </c>
      <c r="ON39" s="24">
        <v>20689</v>
      </c>
      <c r="OO39" s="24">
        <v>0</v>
      </c>
      <c r="OP39" s="24">
        <v>0</v>
      </c>
      <c r="OQ39" s="24">
        <v>0</v>
      </c>
      <c r="OR39" s="24">
        <v>0</v>
      </c>
      <c r="OS39" s="24">
        <v>0</v>
      </c>
      <c r="OT39" s="24">
        <v>0</v>
      </c>
      <c r="OU39" s="24">
        <v>0</v>
      </c>
      <c r="OV39" s="24">
        <v>0</v>
      </c>
      <c r="OW39" s="24">
        <v>0</v>
      </c>
      <c r="OX39" s="24">
        <v>0</v>
      </c>
      <c r="OY39" s="24">
        <v>0</v>
      </c>
      <c r="OZ39" s="24">
        <v>0</v>
      </c>
      <c r="PA39" s="24">
        <v>0</v>
      </c>
      <c r="PB39" s="24">
        <v>0</v>
      </c>
      <c r="PC39" s="24">
        <v>0</v>
      </c>
      <c r="PD39" s="24">
        <v>0</v>
      </c>
      <c r="PE39" s="24">
        <v>0</v>
      </c>
      <c r="PF39" s="24">
        <v>0</v>
      </c>
      <c r="PG39" s="24">
        <v>0</v>
      </c>
      <c r="PH39" s="24">
        <v>1189</v>
      </c>
      <c r="PI39" s="24">
        <v>0</v>
      </c>
      <c r="PJ39" s="24">
        <v>0</v>
      </c>
      <c r="PK39" s="24">
        <v>0</v>
      </c>
      <c r="PL39" s="24">
        <v>0</v>
      </c>
      <c r="PM39" s="24">
        <v>0</v>
      </c>
      <c r="PN39" s="24">
        <v>0</v>
      </c>
      <c r="PO39" s="24">
        <v>0</v>
      </c>
      <c r="PP39" s="24">
        <v>0</v>
      </c>
      <c r="PQ39" s="24">
        <v>0</v>
      </c>
      <c r="PR39" s="24">
        <v>0</v>
      </c>
      <c r="PS39" s="24">
        <v>0</v>
      </c>
      <c r="PT39" s="24">
        <v>0</v>
      </c>
      <c r="PU39" s="24">
        <v>0</v>
      </c>
      <c r="PV39" s="24">
        <v>0</v>
      </c>
      <c r="PW39" s="24">
        <v>0</v>
      </c>
      <c r="PX39" s="24">
        <v>74</v>
      </c>
      <c r="PY39" s="24">
        <v>0</v>
      </c>
      <c r="PZ39" s="24">
        <v>0</v>
      </c>
      <c r="QA39" s="24">
        <v>0</v>
      </c>
      <c r="QB39" s="24">
        <v>0</v>
      </c>
      <c r="QC39" s="24">
        <v>0</v>
      </c>
      <c r="QD39" s="24">
        <v>0</v>
      </c>
      <c r="QE39" s="24">
        <v>0</v>
      </c>
      <c r="QF39" s="24">
        <v>0</v>
      </c>
      <c r="QG39" s="24">
        <v>0</v>
      </c>
      <c r="QH39" s="24">
        <v>0</v>
      </c>
      <c r="QI39" s="24">
        <v>0</v>
      </c>
      <c r="QJ39" s="24">
        <v>132</v>
      </c>
      <c r="QK39" s="24">
        <v>0</v>
      </c>
      <c r="QL39" s="24">
        <v>0</v>
      </c>
      <c r="QM39" s="24">
        <v>0</v>
      </c>
      <c r="QN39" s="24">
        <v>0</v>
      </c>
      <c r="QO39" s="24">
        <v>0</v>
      </c>
      <c r="QP39" s="24">
        <v>0</v>
      </c>
      <c r="QQ39" s="24">
        <v>0</v>
      </c>
      <c r="QR39" s="24">
        <v>0</v>
      </c>
      <c r="QS39" s="24">
        <v>0</v>
      </c>
      <c r="QT39" s="24">
        <v>0</v>
      </c>
      <c r="QU39" s="24">
        <v>0</v>
      </c>
      <c r="QV39" s="24">
        <v>0</v>
      </c>
      <c r="QW39" s="24">
        <v>0</v>
      </c>
      <c r="QX39" s="24">
        <v>0</v>
      </c>
      <c r="QY39" s="24">
        <v>0</v>
      </c>
      <c r="QZ39" s="24">
        <v>0</v>
      </c>
      <c r="RA39" s="24">
        <v>0</v>
      </c>
      <c r="RB39" s="24">
        <v>0</v>
      </c>
      <c r="RG39" s="39">
        <f t="shared" si="48"/>
        <v>2138138</v>
      </c>
      <c r="RH39" s="39">
        <f t="shared" si="48"/>
        <v>109992</v>
      </c>
      <c r="RI39" s="39">
        <f t="shared" si="48"/>
        <v>0</v>
      </c>
      <c r="RJ39" s="39">
        <f t="shared" si="48"/>
        <v>0</v>
      </c>
      <c r="RK39" s="39">
        <f t="shared" si="48"/>
        <v>0</v>
      </c>
      <c r="RL39" s="39">
        <f t="shared" si="48"/>
        <v>270160</v>
      </c>
      <c r="RM39" s="39">
        <f t="shared" si="48"/>
        <v>210024</v>
      </c>
      <c r="RN39" s="39">
        <f t="shared" si="48"/>
        <v>3765</v>
      </c>
      <c r="RO39" s="39">
        <f t="shared" si="48"/>
        <v>14648</v>
      </c>
      <c r="RP39" s="39">
        <f t="shared" si="48"/>
        <v>53417</v>
      </c>
      <c r="RQ39" s="39">
        <f t="shared" si="48"/>
        <v>25627</v>
      </c>
      <c r="RR39" s="39">
        <f t="shared" si="48"/>
        <v>50020</v>
      </c>
      <c r="RS39" s="39"/>
      <c r="RT39" s="182"/>
      <c r="RU39" s="39"/>
      <c r="RV39" s="39">
        <f t="shared" si="49"/>
        <v>753643</v>
      </c>
      <c r="RW39" s="39">
        <f t="shared" si="49"/>
        <v>2875791</v>
      </c>
      <c r="RX39" s="39">
        <f t="shared" si="49"/>
        <v>1704892</v>
      </c>
      <c r="RY39" s="39">
        <f t="shared" si="49"/>
        <v>1395</v>
      </c>
      <c r="RZ39" s="39"/>
      <c r="SA39" s="182"/>
      <c r="SB39" s="39"/>
      <c r="SC39" s="25">
        <f t="shared" si="50"/>
        <v>4188.9238329238333</v>
      </c>
      <c r="SD39" s="39">
        <f>IFERROR(VLOOKUP(A39, 'Levy Data 15-16'!$B:$O, 3, FALSE), 0)</f>
        <v>190205853</v>
      </c>
      <c r="SE39" s="39">
        <f t="shared" si="9"/>
        <v>467336.24815724813</v>
      </c>
      <c r="SF39" s="631">
        <f>IFERROR(VLOOKUP(A39, 'Levy Data 15-16'!$B:$O, 14, FALSE), 0)*1000</f>
        <v>5.7300809999999993</v>
      </c>
      <c r="SG39" s="39">
        <f t="shared" si="10"/>
        <v>0</v>
      </c>
      <c r="SH39" s="39">
        <f t="shared" si="11"/>
        <v>0</v>
      </c>
      <c r="SI39" s="39">
        <f t="shared" si="12"/>
        <v>1704892</v>
      </c>
      <c r="SM39" s="39">
        <f t="shared" si="13"/>
        <v>2875791</v>
      </c>
      <c r="SN39" s="39">
        <f t="shared" si="14"/>
        <v>0</v>
      </c>
      <c r="SO39" s="39">
        <f t="shared" si="51"/>
        <v>2875791</v>
      </c>
      <c r="SP39" s="50">
        <f t="shared" si="52"/>
        <v>1</v>
      </c>
      <c r="ST39" s="124">
        <f>IFERROR(VLOOKUP(A39,'Grade Enroll 15-16'!B:AC,27,FALSE),"")</f>
        <v>407</v>
      </c>
      <c r="SU39" s="124">
        <f t="shared" si="53"/>
        <v>0</v>
      </c>
      <c r="SV39" s="131">
        <f>IFERROR(VLOOKUP($A39, 'Title I Enroll 16-17'!S:V, 4, FALSE), 0)</f>
        <v>0</v>
      </c>
      <c r="SW39" s="729">
        <f>IFERROR(VLOOKUP(A39, 'ELL Enroll 15-16'!$N:$S, 6, FALSE), 0)</f>
        <v>147</v>
      </c>
      <c r="SX39" s="131">
        <f t="shared" si="54"/>
        <v>0.36117936117936117</v>
      </c>
      <c r="SY39" s="124">
        <f>IFERROR(VLOOKUP(A39, 'SPED enroll 2015-16'!$M:$O, 3, FALSE), 0)</f>
        <v>75</v>
      </c>
      <c r="SZ39" s="131">
        <f t="shared" si="55"/>
        <v>0.18427518427518427</v>
      </c>
      <c r="TA39" s="142">
        <f t="shared" si="87"/>
        <v>52.5</v>
      </c>
      <c r="TB39" s="142">
        <f t="shared" si="87"/>
        <v>15</v>
      </c>
      <c r="TC39" s="142">
        <f t="shared" si="87"/>
        <v>5.2500000000000009</v>
      </c>
      <c r="TD39" s="142">
        <f t="shared" si="87"/>
        <v>2.25</v>
      </c>
      <c r="TE39" s="124">
        <f>VLOOKUP($A39, 'Grade Enroll 15-16'!$B:$AB, 20, FALSE)</f>
        <v>19</v>
      </c>
      <c r="TF39" s="124">
        <f>VLOOKUP($A39, 'Grade Enroll 15-16'!$B:$AB, 21, FALSE)</f>
        <v>43</v>
      </c>
      <c r="TG39" s="124">
        <f>VLOOKUP($A39, 'Grade Enroll 15-16'!$B:$AB, 22, FALSE)</f>
        <v>121</v>
      </c>
      <c r="TH39" s="124">
        <f>VLOOKUP($A39, 'Grade Enroll 15-16'!$B:$AB, 23, FALSE)</f>
        <v>128</v>
      </c>
      <c r="TI39" s="124">
        <f>VLOOKUP($A39, 'Grade Enroll 15-16'!$B:$AB, 24, FALSE)</f>
        <v>53</v>
      </c>
      <c r="TJ39" s="124">
        <f>VLOOKUP($A39, 'Grade Enroll 15-16'!$B:$AB, 25, FALSE)</f>
        <v>105</v>
      </c>
      <c r="TK39" s="124">
        <f>VLOOKUP($A39, 'Grade Enroll 15-16'!$B:$AB, 26, FALSE)</f>
        <v>273</v>
      </c>
      <c r="TL39" s="131">
        <f>SUMIFS('Student Achievement 15-16'!N:N, 'Student Achievement 15-16'!B:B, 'Idaho Data'!A39, 'Student Achievement 15-16'!D:D, "math")/100</f>
        <v>0.6</v>
      </c>
      <c r="TM39" s="134">
        <f t="shared" si="57"/>
        <v>244.2</v>
      </c>
      <c r="TN39" s="131">
        <f>SUMIFS('Student Achievement 15-16'!N:N, 'Student Achievement 15-16'!B:B, 'Idaho Data'!A39, 'Student Achievement 15-16'!D:D, "ela")/100</f>
        <v>0.40399999999999997</v>
      </c>
      <c r="TO39" s="134">
        <f t="shared" si="58"/>
        <v>164.428</v>
      </c>
      <c r="TP39" s="688">
        <f>IFERROR(VLOOKUP(A39, 'G&amp;T 15-16'!B:G, 6, FALSE), 0)*1</f>
        <v>5</v>
      </c>
      <c r="TQ39" s="168">
        <f t="shared" si="59"/>
        <v>24.419999999999998</v>
      </c>
      <c r="TU39" s="168">
        <f t="shared" si="60"/>
        <v>164.428</v>
      </c>
      <c r="TV39" s="168">
        <f t="shared" si="61"/>
        <v>244.2</v>
      </c>
      <c r="TW39" s="205">
        <f t="shared" si="62"/>
        <v>244.2</v>
      </c>
      <c r="TX39" s="144"/>
      <c r="TY39" s="129"/>
      <c r="TZ39" s="127">
        <f t="shared" si="63"/>
        <v>5</v>
      </c>
      <c r="UA39" s="127">
        <f t="shared" si="64"/>
        <v>24.419999999999998</v>
      </c>
      <c r="UB39" s="205">
        <f t="shared" si="65"/>
        <v>24.419999999999998</v>
      </c>
      <c r="UE39" s="853" t="str">
        <f>IF(ST39&lt;='1. Simulator Input'!$E$104, "yes", "")</f>
        <v/>
      </c>
      <c r="UI39" s="199">
        <f t="shared" si="66"/>
        <v>0</v>
      </c>
      <c r="UJ39" s="200">
        <f>IF('Idaho Data'!SI39&gt;=0, ((1-'1. Simulator Input'!$E$39)*'Idaho Data'!SI39), 0)</f>
        <v>0</v>
      </c>
      <c r="UK39" s="200">
        <f t="shared" si="67"/>
        <v>2875791</v>
      </c>
      <c r="UL39" s="39"/>
      <c r="UM39" s="182"/>
      <c r="UN39" s="39"/>
      <c r="UO39" s="39" t="str">
        <f>IF(AND('1. Simulator Input'!$E$96="yes", '1. Simulator Input'!$E$98="yes", '1. Simulator Input'!$E$100="hold harmless"), 'Idaho Data'!WN39, IF(AND('1. Simulator Input'!$E$96="yes", '1. Simulator Input'!$E$98="no", '1. Simulator Input'!$E$100="hold harmless"), 'Idaho Data'!WM39, IF(AND('1. Simulator Input'!$E$96="yes", '1. Simulator Input'!$E$98="yes", '1. Simulator Input'!$E$100="small district grant"), WL39,IF(AND('1. Simulator Input'!$E$96="yes", '1. Simulator Input'!$E$98="no", '1. Simulator Input'!$E$100="small district grant"), WK39, ""))))</f>
        <v/>
      </c>
      <c r="UP39" s="200">
        <f>'1. Simulator Input'!$D$56*('Idaho Data'!ST39)</f>
        <v>2249082</v>
      </c>
      <c r="UQ39" s="204">
        <f>'1. Simulator Input'!$D$65*'1. Simulator Input'!$D$56*'Idaho Data'!SU39</f>
        <v>0</v>
      </c>
      <c r="UR39" s="204">
        <f>'1. Simulator Input'!$D$66*'1. Simulator Input'!$D$56*'Idaho Data'!SW39</f>
        <v>0</v>
      </c>
      <c r="US39" s="200">
        <f>'1. Simulator Input'!$D$67*'1. Simulator Input'!$D$56*'Idaho Data'!TA39</f>
        <v>0</v>
      </c>
      <c r="UT39" s="200">
        <f>'1. Simulator Input'!$D$68*'1. Simulator Input'!$D$56*'Idaho Data'!TB39</f>
        <v>0</v>
      </c>
      <c r="UU39" s="200">
        <f>'1. Simulator Input'!$D$69*'1. Simulator Input'!$D$56*'Idaho Data'!TC39</f>
        <v>0</v>
      </c>
      <c r="UV39" s="200">
        <f>'1. Simulator Input'!$D$70*'1. Simulator Input'!$D$56*TD39</f>
        <v>0</v>
      </c>
      <c r="UW39" s="200">
        <f>'1. Simulator Input'!$D$80*'1. Simulator Input'!$D$56*TW39</f>
        <v>0</v>
      </c>
      <c r="UX39" s="200">
        <f>'1. Simulator Input'!$D$79*'1. Simulator Input'!$D$56*UB39</f>
        <v>0</v>
      </c>
      <c r="UY39" s="200">
        <f>'1. Simulator Input'!$D$87*'1. Simulator Input'!$D$56*TF39</f>
        <v>118809</v>
      </c>
      <c r="UZ39" s="200">
        <f>'1. Simulator Input'!$D$73*'1. Simulator Input'!$D$56*'Idaho Data'!TG39</f>
        <v>0</v>
      </c>
      <c r="VA39" s="200">
        <f>'1. Simulator Input'!$D$56*'1. Simulator Input'!$D$74*'Idaho Data'!TH39</f>
        <v>0</v>
      </c>
      <c r="VB39" s="200">
        <f>'1. Simulator Input'!$D$56*'1. Simulator Input'!$D$75*'Idaho Data'!TI34</f>
        <v>0</v>
      </c>
      <c r="VC39" s="200">
        <f>'1. Simulator Input'!$D$76*'1. Simulator Input'!$D$56*'Idaho Data'!TJ39</f>
        <v>0</v>
      </c>
      <c r="VD39" s="200">
        <f t="shared" si="68"/>
        <v>2367891</v>
      </c>
      <c r="VE39" s="200"/>
      <c r="VF39" s="182"/>
      <c r="VG39" s="200"/>
      <c r="VH39" s="200">
        <f t="shared" si="69"/>
        <v>0</v>
      </c>
      <c r="VI39" s="200">
        <f t="shared" si="70"/>
        <v>0</v>
      </c>
      <c r="VJ39" s="200">
        <f t="shared" si="16"/>
        <v>2367891</v>
      </c>
      <c r="VK39" s="200">
        <f t="shared" si="17"/>
        <v>2367891</v>
      </c>
      <c r="VL39" s="200"/>
      <c r="VM39" s="182"/>
      <c r="VN39" s="200"/>
      <c r="VO39" s="200">
        <f t="shared" si="71"/>
        <v>753643</v>
      </c>
      <c r="VP39" s="200">
        <f t="shared" si="72"/>
        <v>2875791</v>
      </c>
      <c r="VQ39" s="200">
        <f t="shared" si="73"/>
        <v>1704892</v>
      </c>
      <c r="VR39" s="200">
        <f t="shared" si="74"/>
        <v>753643</v>
      </c>
      <c r="VS39" s="200">
        <f t="shared" si="18"/>
        <v>2367891</v>
      </c>
      <c r="VT39" s="200">
        <f t="shared" si="19"/>
        <v>1704892</v>
      </c>
      <c r="VU39" s="200">
        <f t="shared" si="20"/>
        <v>0</v>
      </c>
      <c r="VV39" s="200"/>
      <c r="VW39" s="182"/>
      <c r="VX39" s="200"/>
      <c r="VZ39" s="199">
        <f t="shared" si="75"/>
        <v>-507900</v>
      </c>
      <c r="WA39" s="199">
        <f t="shared" si="76"/>
        <v>-1247.9115479115478</v>
      </c>
      <c r="WB39" s="131">
        <f t="shared" si="77"/>
        <v>-0.1766122781523414</v>
      </c>
      <c r="WC39" s="131"/>
      <c r="WD39" s="461"/>
      <c r="WE39" s="893"/>
      <c r="WF39" s="893">
        <f t="shared" si="78"/>
        <v>13106.452088452088</v>
      </c>
      <c r="WG39" s="893">
        <f t="shared" si="79"/>
        <v>11858.54054054054</v>
      </c>
      <c r="WH39" s="893"/>
      <c r="WI39" s="893">
        <f t="shared" si="80"/>
        <v>2875791</v>
      </c>
      <c r="WJ39" s="893">
        <f t="shared" si="21"/>
        <v>2367891</v>
      </c>
      <c r="WK39" s="39" t="str">
        <f t="shared" si="22"/>
        <v/>
      </c>
      <c r="WL39" s="39" t="str">
        <f t="shared" si="23"/>
        <v/>
      </c>
      <c r="WM39" s="200" t="str">
        <f t="shared" si="24"/>
        <v/>
      </c>
      <c r="WN39" s="39" t="str">
        <f t="shared" si="25"/>
        <v/>
      </c>
      <c r="WO39" s="39"/>
      <c r="WP39" s="182"/>
      <c r="WQ39" s="39"/>
      <c r="WR39" s="305">
        <f t="shared" si="26"/>
        <v>0.44700000000000001</v>
      </c>
      <c r="WT39" s="200">
        <f t="shared" si="27"/>
        <v>7065.8255528255531</v>
      </c>
      <c r="WU39" s="131">
        <f t="shared" si="81"/>
        <v>0.61</v>
      </c>
      <c r="WW39" s="199">
        <f t="shared" si="28"/>
        <v>753643</v>
      </c>
      <c r="WX39" s="199">
        <f t="shared" si="29"/>
        <v>2367891</v>
      </c>
      <c r="WY39" s="199">
        <f t="shared" si="30"/>
        <v>0</v>
      </c>
      <c r="WZ39" s="199">
        <f t="shared" si="82"/>
        <v>2367891</v>
      </c>
      <c r="XA39" s="199">
        <f t="shared" si="31"/>
        <v>0</v>
      </c>
      <c r="XB39" s="199">
        <f t="shared" si="32"/>
        <v>1704892</v>
      </c>
      <c r="XC39" s="199">
        <f t="shared" si="33"/>
        <v>1704892</v>
      </c>
      <c r="XD39" s="199" t="str">
        <f t="shared" si="34"/>
        <v/>
      </c>
      <c r="XE39" s="199"/>
      <c r="XF39" s="199"/>
      <c r="XG39" s="199"/>
      <c r="XH39" s="199"/>
      <c r="XI39" s="199"/>
      <c r="XJ39" s="199">
        <f t="shared" si="83"/>
        <v>2367891</v>
      </c>
      <c r="XP39" s="199">
        <f t="shared" si="35"/>
        <v>2367891</v>
      </c>
      <c r="XQ39" s="199">
        <f t="shared" si="36"/>
        <v>5817.9140049140051</v>
      </c>
      <c r="XR39" s="199">
        <f t="shared" si="37"/>
        <v>2367891</v>
      </c>
      <c r="XS39" s="199">
        <f t="shared" si="38"/>
        <v>2367891</v>
      </c>
      <c r="XT39" s="199">
        <f t="shared" si="39"/>
        <v>5817.9140049140051</v>
      </c>
      <c r="XU39" s="199">
        <f t="shared" si="40"/>
        <v>2875791</v>
      </c>
      <c r="XV39" s="199">
        <f t="shared" si="41"/>
        <v>7065.8255528255531</v>
      </c>
      <c r="XW39" s="199">
        <f t="shared" si="42"/>
        <v>2875791</v>
      </c>
      <c r="XX39" s="199">
        <f t="shared" si="43"/>
        <v>7065.8255528255531</v>
      </c>
      <c r="XY39" s="199">
        <f t="shared" si="84"/>
        <v>-507900</v>
      </c>
      <c r="XZ39" s="199">
        <f t="shared" si="85"/>
        <v>-1247.911547911548</v>
      </c>
      <c r="YA39" s="131">
        <f t="shared" si="86"/>
        <v>-0.1766122781523414</v>
      </c>
      <c r="YB39" s="199"/>
      <c r="YC39" s="221"/>
      <c r="YD39" s="199"/>
      <c r="YE39" s="199">
        <f t="shared" si="44"/>
        <v>753643</v>
      </c>
      <c r="YF39" s="200">
        <f t="shared" si="45"/>
        <v>0</v>
      </c>
      <c r="YG39" s="199">
        <f t="shared" si="46"/>
        <v>1704892</v>
      </c>
      <c r="YH39" s="199">
        <f t="shared" si="47"/>
        <v>1395</v>
      </c>
    </row>
    <row r="40" spans="1:658">
      <c r="A40" s="3">
        <v>134</v>
      </c>
      <c r="B40" s="2" t="s">
        <v>132</v>
      </c>
      <c r="C40" s="24">
        <v>0</v>
      </c>
      <c r="D40" s="24">
        <v>0</v>
      </c>
      <c r="E40" s="24">
        <v>0</v>
      </c>
      <c r="F40" s="24">
        <v>0</v>
      </c>
      <c r="G40" s="24">
        <v>1318484</v>
      </c>
      <c r="H40" s="24">
        <v>0</v>
      </c>
      <c r="I40" s="24">
        <v>197477</v>
      </c>
      <c r="J40" s="24">
        <v>18094</v>
      </c>
      <c r="K40" s="24">
        <v>0</v>
      </c>
      <c r="L40" s="24">
        <v>0</v>
      </c>
      <c r="M40" s="24">
        <v>0</v>
      </c>
      <c r="N40" s="24">
        <v>0</v>
      </c>
      <c r="O40" s="24">
        <v>0</v>
      </c>
      <c r="P40" s="24">
        <v>0</v>
      </c>
      <c r="Q40" s="24">
        <v>0</v>
      </c>
      <c r="R40" s="24">
        <v>0</v>
      </c>
      <c r="S40" s="24">
        <v>0</v>
      </c>
      <c r="T40" s="24">
        <v>3361</v>
      </c>
      <c r="U40" s="24">
        <v>0</v>
      </c>
      <c r="V40" s="24">
        <v>0</v>
      </c>
      <c r="W40" s="24">
        <v>0</v>
      </c>
      <c r="X40" s="24">
        <v>2936933</v>
      </c>
      <c r="Y40" s="24">
        <v>10101</v>
      </c>
      <c r="Z40" s="24">
        <v>0</v>
      </c>
      <c r="AA40" s="24">
        <v>17116</v>
      </c>
      <c r="AB40" s="24">
        <v>0</v>
      </c>
      <c r="AC40" s="24">
        <v>0</v>
      </c>
      <c r="AD40" s="24">
        <v>46166</v>
      </c>
      <c r="AE40" s="24">
        <v>0</v>
      </c>
      <c r="AF40" s="24">
        <v>0</v>
      </c>
      <c r="AG40" s="24">
        <v>0</v>
      </c>
      <c r="AH40" s="24">
        <v>0</v>
      </c>
      <c r="AI40" s="24">
        <v>0</v>
      </c>
      <c r="AJ40" s="24">
        <v>0</v>
      </c>
      <c r="AK40" s="24">
        <v>0</v>
      </c>
      <c r="AL40" s="24">
        <v>32040</v>
      </c>
      <c r="AM40" s="24">
        <v>0</v>
      </c>
      <c r="AN40" s="24">
        <v>0</v>
      </c>
      <c r="AO40" s="24">
        <v>0</v>
      </c>
      <c r="AP40" s="24">
        <v>0</v>
      </c>
      <c r="AQ40" s="24">
        <v>0</v>
      </c>
      <c r="AR40" s="24">
        <v>0</v>
      </c>
      <c r="AS40" s="24">
        <v>0</v>
      </c>
      <c r="AT40" s="24">
        <v>0</v>
      </c>
      <c r="AU40" s="24">
        <v>0</v>
      </c>
      <c r="AV40" s="24">
        <v>0</v>
      </c>
      <c r="AW40" s="24">
        <v>0</v>
      </c>
      <c r="AX40" s="24">
        <v>0</v>
      </c>
      <c r="AY40" s="24">
        <v>0</v>
      </c>
      <c r="AZ40" s="24">
        <v>0</v>
      </c>
      <c r="BA40" s="24">
        <v>0</v>
      </c>
      <c r="BB40" s="24">
        <v>0</v>
      </c>
      <c r="BC40" s="24">
        <v>723</v>
      </c>
      <c r="BD40" s="24">
        <v>3392</v>
      </c>
      <c r="BE40" s="24">
        <v>0</v>
      </c>
      <c r="BF40" s="24">
        <v>0</v>
      </c>
      <c r="BG40" s="24">
        <v>0</v>
      </c>
      <c r="BH40" s="24">
        <v>0</v>
      </c>
      <c r="BI40" s="24">
        <v>0</v>
      </c>
      <c r="BJ40" s="24">
        <v>0</v>
      </c>
      <c r="BK40" s="24">
        <v>0</v>
      </c>
      <c r="BL40" s="24">
        <v>0</v>
      </c>
      <c r="BM40" s="24">
        <v>0</v>
      </c>
      <c r="BN40" s="24">
        <v>0</v>
      </c>
      <c r="BO40" s="24">
        <v>0</v>
      </c>
      <c r="BP40" s="24">
        <v>0</v>
      </c>
      <c r="BQ40" s="24">
        <v>0</v>
      </c>
      <c r="BR40" s="24">
        <v>0</v>
      </c>
      <c r="BS40" s="24">
        <v>0</v>
      </c>
      <c r="BT40" s="24">
        <v>0</v>
      </c>
      <c r="BU40" s="24">
        <v>0</v>
      </c>
      <c r="BV40" s="24">
        <v>0</v>
      </c>
      <c r="BW40" s="24">
        <v>0</v>
      </c>
      <c r="BX40" s="24">
        <v>0</v>
      </c>
      <c r="BY40" s="24">
        <v>0</v>
      </c>
      <c r="BZ40" s="24">
        <v>0</v>
      </c>
      <c r="CA40" s="24">
        <v>0</v>
      </c>
      <c r="CB40" s="24">
        <v>0</v>
      </c>
      <c r="CC40" s="24">
        <v>0</v>
      </c>
      <c r="CD40" s="24">
        <v>329664</v>
      </c>
      <c r="CE40" s="24">
        <v>6852</v>
      </c>
      <c r="CF40" s="24">
        <v>0</v>
      </c>
      <c r="CG40" s="24">
        <v>24527</v>
      </c>
      <c r="CH40" s="24">
        <v>0</v>
      </c>
      <c r="CI40" s="24">
        <v>0</v>
      </c>
      <c r="CJ40" s="24">
        <v>0</v>
      </c>
      <c r="CK40" s="24">
        <v>0</v>
      </c>
      <c r="CL40" s="24">
        <v>0</v>
      </c>
      <c r="CM40" s="24">
        <v>0</v>
      </c>
      <c r="CN40" s="24">
        <v>0</v>
      </c>
      <c r="CO40" s="24">
        <v>0</v>
      </c>
      <c r="CP40" s="24">
        <v>0</v>
      </c>
      <c r="CQ40" s="24">
        <v>0</v>
      </c>
      <c r="CR40" s="24">
        <v>0</v>
      </c>
      <c r="CS40" s="24">
        <v>0</v>
      </c>
      <c r="CT40" s="24">
        <v>0</v>
      </c>
      <c r="CU40" s="24">
        <v>0</v>
      </c>
      <c r="CV40" s="24">
        <v>0</v>
      </c>
      <c r="CW40" s="24">
        <v>0</v>
      </c>
      <c r="CX40" s="24">
        <v>0</v>
      </c>
      <c r="CY40" s="24">
        <v>0</v>
      </c>
      <c r="CZ40" s="24">
        <v>0</v>
      </c>
      <c r="DA40" s="24">
        <v>0</v>
      </c>
      <c r="DB40" s="24">
        <v>9075</v>
      </c>
      <c r="DC40" s="24">
        <v>0</v>
      </c>
      <c r="DD40" s="24">
        <v>0</v>
      </c>
      <c r="DE40" s="24">
        <v>0</v>
      </c>
      <c r="DF40" s="24">
        <v>0</v>
      </c>
      <c r="DG40" s="24">
        <v>0</v>
      </c>
      <c r="DH40" s="24">
        <v>0</v>
      </c>
      <c r="DI40" s="24">
        <v>0</v>
      </c>
      <c r="DJ40" s="24">
        <v>0</v>
      </c>
      <c r="DK40" s="24">
        <v>0</v>
      </c>
      <c r="DL40" s="24">
        <v>0</v>
      </c>
      <c r="DM40" s="24">
        <v>0</v>
      </c>
      <c r="DN40" s="24">
        <v>0</v>
      </c>
      <c r="DO40" s="24">
        <v>0</v>
      </c>
      <c r="DP40" s="24">
        <v>0</v>
      </c>
      <c r="DQ40" s="24">
        <v>0</v>
      </c>
      <c r="DR40" s="24">
        <v>0</v>
      </c>
      <c r="DS40" s="24">
        <v>0</v>
      </c>
      <c r="DT40" s="24">
        <v>0</v>
      </c>
      <c r="DU40" s="24">
        <v>20865</v>
      </c>
      <c r="DV40" s="24">
        <v>0</v>
      </c>
      <c r="DW40" s="24">
        <v>0</v>
      </c>
      <c r="DX40" s="24">
        <v>0</v>
      </c>
      <c r="DY40" s="24">
        <v>0</v>
      </c>
      <c r="DZ40" s="24">
        <v>0</v>
      </c>
      <c r="EA40" s="24">
        <v>0</v>
      </c>
      <c r="EB40" s="24">
        <v>0</v>
      </c>
      <c r="EC40" s="24">
        <v>0</v>
      </c>
      <c r="ED40" s="24">
        <v>0</v>
      </c>
      <c r="EE40" s="24">
        <v>0</v>
      </c>
      <c r="EF40" s="24">
        <v>0</v>
      </c>
      <c r="EG40" s="24">
        <v>0</v>
      </c>
      <c r="EH40" s="24">
        <v>0</v>
      </c>
      <c r="EI40" s="24">
        <v>0</v>
      </c>
      <c r="EJ40" s="24">
        <v>0</v>
      </c>
      <c r="EK40" s="24">
        <v>0</v>
      </c>
      <c r="EL40" s="24">
        <v>0</v>
      </c>
      <c r="EM40" s="24">
        <v>0</v>
      </c>
      <c r="EN40" s="24">
        <v>0</v>
      </c>
      <c r="EO40" s="24">
        <v>0</v>
      </c>
      <c r="EP40" s="24">
        <v>0</v>
      </c>
      <c r="EQ40" s="24">
        <v>0</v>
      </c>
      <c r="ER40" s="24">
        <v>0</v>
      </c>
      <c r="ES40" s="24">
        <v>0</v>
      </c>
      <c r="ET40" s="24">
        <v>0</v>
      </c>
      <c r="EU40" s="24">
        <v>0</v>
      </c>
      <c r="EV40" s="24">
        <v>0</v>
      </c>
      <c r="EW40" s="24">
        <v>0</v>
      </c>
      <c r="EX40" s="24">
        <v>0</v>
      </c>
      <c r="EY40" s="24">
        <v>0</v>
      </c>
      <c r="EZ40" s="24">
        <v>0</v>
      </c>
      <c r="FA40" s="24">
        <v>0</v>
      </c>
      <c r="FB40" s="24">
        <v>0</v>
      </c>
      <c r="FC40" s="24">
        <v>0</v>
      </c>
      <c r="FD40" s="24">
        <v>0</v>
      </c>
      <c r="FE40" s="24">
        <v>0</v>
      </c>
      <c r="FF40" s="24">
        <v>0</v>
      </c>
      <c r="FG40" s="24">
        <v>0</v>
      </c>
      <c r="FH40" s="24">
        <v>0</v>
      </c>
      <c r="FI40" s="24">
        <v>0</v>
      </c>
      <c r="FJ40" s="24">
        <v>0</v>
      </c>
      <c r="FK40" s="24">
        <v>0</v>
      </c>
      <c r="FL40" s="24">
        <v>0</v>
      </c>
      <c r="FM40" s="24">
        <v>0</v>
      </c>
      <c r="FN40" s="24">
        <v>0</v>
      </c>
      <c r="FO40" s="24">
        <v>0</v>
      </c>
      <c r="FP40" s="24">
        <v>0</v>
      </c>
      <c r="FQ40" s="24">
        <v>0</v>
      </c>
      <c r="FR40" s="24">
        <v>0</v>
      </c>
      <c r="FS40" s="24">
        <v>84267</v>
      </c>
      <c r="FT40" s="24">
        <v>0</v>
      </c>
      <c r="FU40" s="24">
        <v>0</v>
      </c>
      <c r="FV40" s="24">
        <v>0</v>
      </c>
      <c r="FW40" s="24">
        <v>0</v>
      </c>
      <c r="FX40" s="24">
        <v>50000</v>
      </c>
      <c r="FY40" s="24">
        <v>0</v>
      </c>
      <c r="FZ40" s="24">
        <v>0</v>
      </c>
      <c r="GA40" s="24">
        <v>0</v>
      </c>
      <c r="GB40" s="24">
        <v>0</v>
      </c>
      <c r="GC40" s="24">
        <v>0</v>
      </c>
      <c r="GD40" s="24">
        <v>0</v>
      </c>
      <c r="GE40" s="24">
        <v>0</v>
      </c>
      <c r="GF40" s="24">
        <v>0</v>
      </c>
      <c r="GG40" s="24">
        <v>0</v>
      </c>
      <c r="GH40" s="24">
        <v>0</v>
      </c>
      <c r="GI40" s="24">
        <v>0</v>
      </c>
      <c r="GJ40" s="24">
        <v>0</v>
      </c>
      <c r="GK40" s="24">
        <v>0</v>
      </c>
      <c r="GL40" s="24">
        <v>0</v>
      </c>
      <c r="GM40" s="24">
        <v>0</v>
      </c>
      <c r="GN40" s="24">
        <v>0</v>
      </c>
      <c r="GO40" s="24">
        <v>0</v>
      </c>
      <c r="GP40" s="24">
        <v>0</v>
      </c>
      <c r="GQ40" s="24">
        <v>0</v>
      </c>
      <c r="GR40" s="24">
        <v>0</v>
      </c>
      <c r="GS40" s="24">
        <v>0</v>
      </c>
      <c r="GT40" s="24">
        <v>0</v>
      </c>
      <c r="GU40" s="24">
        <v>0</v>
      </c>
      <c r="GV40" s="24">
        <v>0</v>
      </c>
      <c r="GW40" s="24">
        <v>0</v>
      </c>
      <c r="GX40" s="24">
        <v>0</v>
      </c>
      <c r="GY40" s="24">
        <v>0</v>
      </c>
      <c r="GZ40" s="24">
        <v>0</v>
      </c>
      <c r="HA40" s="24">
        <v>0</v>
      </c>
      <c r="HB40" s="24">
        <v>0</v>
      </c>
      <c r="HC40" s="24">
        <v>0</v>
      </c>
      <c r="HD40" s="24">
        <v>14922932</v>
      </c>
      <c r="HE40" s="24">
        <v>0</v>
      </c>
      <c r="HF40" s="24">
        <v>0</v>
      </c>
      <c r="HG40" s="24">
        <v>0</v>
      </c>
      <c r="HH40" s="24">
        <v>0</v>
      </c>
      <c r="HI40" s="24">
        <v>975904</v>
      </c>
      <c r="HJ40" s="24">
        <v>0</v>
      </c>
      <c r="HK40" s="24">
        <v>0</v>
      </c>
      <c r="HL40" s="24">
        <v>72602</v>
      </c>
      <c r="HM40" s="24">
        <v>0</v>
      </c>
      <c r="HN40" s="24">
        <v>0</v>
      </c>
      <c r="HO40" s="24">
        <v>1975722</v>
      </c>
      <c r="HP40" s="24">
        <v>565771</v>
      </c>
      <c r="HQ40" s="24">
        <v>0</v>
      </c>
      <c r="HR40" s="24">
        <v>0</v>
      </c>
      <c r="HS40" s="24">
        <v>0</v>
      </c>
      <c r="HT40" s="24">
        <v>0</v>
      </c>
      <c r="HU40" s="24">
        <v>0</v>
      </c>
      <c r="HV40" s="24">
        <v>0</v>
      </c>
      <c r="HW40" s="24">
        <v>0</v>
      </c>
      <c r="HX40" s="24">
        <v>0</v>
      </c>
      <c r="HY40" s="24">
        <v>0</v>
      </c>
      <c r="HZ40" s="24">
        <v>0</v>
      </c>
      <c r="IA40" s="24">
        <v>171649</v>
      </c>
      <c r="IB40" s="24">
        <v>50477</v>
      </c>
      <c r="IC40" s="24">
        <v>0</v>
      </c>
      <c r="ID40" s="24">
        <v>0</v>
      </c>
      <c r="IE40" s="24">
        <v>0</v>
      </c>
      <c r="IF40" s="24">
        <v>0</v>
      </c>
      <c r="IG40" s="24">
        <v>0</v>
      </c>
      <c r="IH40" s="24">
        <v>0</v>
      </c>
      <c r="II40" s="24">
        <v>0</v>
      </c>
      <c r="IJ40" s="24">
        <v>0</v>
      </c>
      <c r="IK40" s="24">
        <v>0</v>
      </c>
      <c r="IL40" s="24">
        <v>0</v>
      </c>
      <c r="IM40" s="24">
        <v>0</v>
      </c>
      <c r="IN40" s="24">
        <v>0</v>
      </c>
      <c r="IO40" s="24">
        <v>8780</v>
      </c>
      <c r="IP40" s="24">
        <v>0</v>
      </c>
      <c r="IQ40" s="24">
        <v>0</v>
      </c>
      <c r="IR40" s="24">
        <v>54902</v>
      </c>
      <c r="IS40" s="24">
        <v>0</v>
      </c>
      <c r="IT40" s="24">
        <v>0</v>
      </c>
      <c r="IU40" s="24">
        <v>0</v>
      </c>
      <c r="IV40" s="24">
        <v>0</v>
      </c>
      <c r="IW40" s="24">
        <v>393025</v>
      </c>
      <c r="IX40" s="24">
        <v>0</v>
      </c>
      <c r="IY40" s="24">
        <v>0</v>
      </c>
      <c r="IZ40" s="24">
        <v>0</v>
      </c>
      <c r="JA40" s="24">
        <v>0</v>
      </c>
      <c r="JB40" s="24">
        <v>38200</v>
      </c>
      <c r="JC40" s="24">
        <v>0</v>
      </c>
      <c r="JD40" s="24">
        <v>0</v>
      </c>
      <c r="JE40" s="24">
        <v>0</v>
      </c>
      <c r="JF40" s="24">
        <v>0</v>
      </c>
      <c r="JG40" s="24">
        <v>0</v>
      </c>
      <c r="JH40" s="24">
        <v>0</v>
      </c>
      <c r="JI40" s="24">
        <v>559217</v>
      </c>
      <c r="JJ40" s="24">
        <v>0</v>
      </c>
      <c r="JK40" s="24">
        <v>0</v>
      </c>
      <c r="JL40" s="24">
        <v>0</v>
      </c>
      <c r="JM40" s="24">
        <v>0</v>
      </c>
      <c r="JN40" s="24">
        <v>0</v>
      </c>
      <c r="JO40" s="24">
        <v>0</v>
      </c>
      <c r="JP40" s="24">
        <v>0</v>
      </c>
      <c r="JQ40" s="24">
        <v>0</v>
      </c>
      <c r="JR40" s="24">
        <v>0</v>
      </c>
      <c r="JS40" s="24">
        <v>0</v>
      </c>
      <c r="JT40" s="24">
        <v>0</v>
      </c>
      <c r="JU40" s="24">
        <v>0</v>
      </c>
      <c r="JV40" s="24">
        <v>0</v>
      </c>
      <c r="JW40" s="24">
        <v>0</v>
      </c>
      <c r="JX40" s="24">
        <v>0</v>
      </c>
      <c r="JY40" s="24">
        <v>0</v>
      </c>
      <c r="JZ40" s="24">
        <v>0</v>
      </c>
      <c r="KA40" s="24">
        <v>1352130</v>
      </c>
      <c r="KB40" s="24">
        <v>0</v>
      </c>
      <c r="KC40" s="24">
        <v>0</v>
      </c>
      <c r="KD40" s="24">
        <v>0</v>
      </c>
      <c r="KE40" s="24">
        <v>0</v>
      </c>
      <c r="KF40" s="24">
        <v>0</v>
      </c>
      <c r="KG40" s="24">
        <v>0</v>
      </c>
      <c r="KH40" s="24">
        <v>0</v>
      </c>
      <c r="KI40" s="24">
        <v>0</v>
      </c>
      <c r="KJ40" s="24">
        <v>0</v>
      </c>
      <c r="KK40" s="24">
        <v>0</v>
      </c>
      <c r="KL40" s="24">
        <v>0</v>
      </c>
      <c r="KM40" s="24">
        <v>0</v>
      </c>
      <c r="KN40" s="24">
        <v>0</v>
      </c>
      <c r="KO40" s="24">
        <v>0</v>
      </c>
      <c r="KP40" s="24">
        <v>0</v>
      </c>
      <c r="KQ40" s="24">
        <v>0</v>
      </c>
      <c r="KR40" s="24">
        <v>0</v>
      </c>
      <c r="KS40" s="24">
        <v>0</v>
      </c>
      <c r="KT40" s="24">
        <v>0</v>
      </c>
      <c r="KU40" s="24">
        <v>0</v>
      </c>
      <c r="KV40" s="24">
        <v>0</v>
      </c>
      <c r="KW40" s="24">
        <v>0</v>
      </c>
      <c r="KX40" s="24">
        <v>0</v>
      </c>
      <c r="KY40" s="24">
        <v>0</v>
      </c>
      <c r="KZ40" s="24">
        <v>0</v>
      </c>
      <c r="LA40" s="24">
        <v>0</v>
      </c>
      <c r="LB40" s="24">
        <v>0</v>
      </c>
      <c r="LC40" s="24">
        <v>0</v>
      </c>
      <c r="LD40" s="24">
        <v>0</v>
      </c>
      <c r="LE40" s="24">
        <v>0</v>
      </c>
      <c r="LF40" s="24">
        <v>0</v>
      </c>
      <c r="LG40" s="24">
        <v>0</v>
      </c>
      <c r="LH40" s="24">
        <v>0</v>
      </c>
      <c r="LI40" s="24">
        <v>180648</v>
      </c>
      <c r="LJ40" s="24">
        <v>0</v>
      </c>
      <c r="LK40" s="24">
        <v>0</v>
      </c>
      <c r="LL40" s="24">
        <v>0</v>
      </c>
      <c r="LM40" s="24">
        <v>0</v>
      </c>
      <c r="LN40" s="24">
        <v>0</v>
      </c>
      <c r="LO40" s="24">
        <v>0</v>
      </c>
      <c r="LP40" s="24">
        <v>0</v>
      </c>
      <c r="LQ40" s="24">
        <v>434383</v>
      </c>
      <c r="LR40" s="24">
        <v>18842</v>
      </c>
      <c r="LS40" s="24">
        <v>0</v>
      </c>
      <c r="LT40" s="24">
        <v>0</v>
      </c>
      <c r="LU40" s="24">
        <v>0</v>
      </c>
      <c r="LV40" s="24">
        <v>0</v>
      </c>
      <c r="LW40" s="24">
        <v>0</v>
      </c>
      <c r="LX40" s="24">
        <v>0</v>
      </c>
      <c r="LY40" s="24">
        <v>0</v>
      </c>
      <c r="LZ40" s="24">
        <v>0</v>
      </c>
      <c r="MA40" s="24">
        <v>0</v>
      </c>
      <c r="MB40" s="24">
        <v>0</v>
      </c>
      <c r="MC40" s="24">
        <v>0</v>
      </c>
      <c r="MD40" s="24">
        <v>0</v>
      </c>
      <c r="ME40" s="24">
        <v>0</v>
      </c>
      <c r="MF40" s="24">
        <v>0</v>
      </c>
      <c r="MG40" s="24">
        <v>0</v>
      </c>
      <c r="MH40" s="24">
        <v>0</v>
      </c>
      <c r="MI40" s="24">
        <v>0</v>
      </c>
      <c r="MJ40" s="24">
        <v>0</v>
      </c>
      <c r="MK40" s="24">
        <v>0</v>
      </c>
      <c r="ML40" s="24">
        <v>0</v>
      </c>
      <c r="MM40" s="24">
        <v>0</v>
      </c>
      <c r="MN40" s="24">
        <v>0</v>
      </c>
      <c r="MO40" s="24">
        <v>35419</v>
      </c>
      <c r="MP40" s="24">
        <v>0</v>
      </c>
      <c r="MQ40" s="24">
        <v>0</v>
      </c>
      <c r="MR40" s="24">
        <v>995588</v>
      </c>
      <c r="MS40" s="24">
        <v>0</v>
      </c>
      <c r="MT40" s="24">
        <v>0</v>
      </c>
      <c r="MU40" s="24">
        <v>0</v>
      </c>
      <c r="MV40" s="24">
        <v>0</v>
      </c>
      <c r="MW40" s="24">
        <v>578938</v>
      </c>
      <c r="MX40" s="24">
        <v>23517</v>
      </c>
      <c r="MY40" s="24">
        <v>0</v>
      </c>
      <c r="MZ40" s="24">
        <v>0</v>
      </c>
      <c r="NA40" s="24">
        <v>0</v>
      </c>
      <c r="NB40" s="24">
        <v>0</v>
      </c>
      <c r="NC40" s="24">
        <v>0</v>
      </c>
      <c r="ND40" s="24">
        <v>0</v>
      </c>
      <c r="NE40" s="24">
        <v>0</v>
      </c>
      <c r="NF40" s="24">
        <v>0</v>
      </c>
      <c r="NG40" s="24">
        <v>0</v>
      </c>
      <c r="NH40" s="24">
        <v>0</v>
      </c>
      <c r="NI40" s="24">
        <v>0</v>
      </c>
      <c r="NJ40" s="24">
        <v>0</v>
      </c>
      <c r="NK40" s="24">
        <v>0</v>
      </c>
      <c r="NL40" s="24">
        <v>0</v>
      </c>
      <c r="NM40" s="24">
        <v>0</v>
      </c>
      <c r="NN40" s="24">
        <v>0</v>
      </c>
      <c r="NO40" s="24">
        <v>0</v>
      </c>
      <c r="NP40" s="24">
        <v>0</v>
      </c>
      <c r="NQ40" s="24">
        <v>0</v>
      </c>
      <c r="NR40" s="24">
        <v>0</v>
      </c>
      <c r="NS40" s="24">
        <v>0</v>
      </c>
      <c r="NT40" s="24">
        <v>0</v>
      </c>
      <c r="NU40" s="24">
        <v>0</v>
      </c>
      <c r="NV40" s="24">
        <v>115871</v>
      </c>
      <c r="NW40" s="24">
        <v>0</v>
      </c>
      <c r="NX40" s="24">
        <v>115542</v>
      </c>
      <c r="NY40" s="24">
        <v>0</v>
      </c>
      <c r="NZ40" s="24">
        <v>0</v>
      </c>
      <c r="OA40" s="24">
        <v>0</v>
      </c>
      <c r="OB40" s="24">
        <v>0</v>
      </c>
      <c r="OC40" s="24">
        <v>0</v>
      </c>
      <c r="OD40" s="24">
        <v>0</v>
      </c>
      <c r="OE40" s="24">
        <v>0</v>
      </c>
      <c r="OF40" s="24">
        <v>0</v>
      </c>
      <c r="OG40" s="24">
        <v>0</v>
      </c>
      <c r="OH40" s="24">
        <v>0</v>
      </c>
      <c r="OI40" s="24">
        <v>0</v>
      </c>
      <c r="OJ40" s="24">
        <v>0</v>
      </c>
      <c r="OK40" s="24">
        <v>105297</v>
      </c>
      <c r="OL40" s="24">
        <v>0</v>
      </c>
      <c r="OM40" s="24">
        <v>0</v>
      </c>
      <c r="ON40" s="24">
        <v>0</v>
      </c>
      <c r="OO40" s="24">
        <v>0</v>
      </c>
      <c r="OP40" s="24">
        <v>0</v>
      </c>
      <c r="OQ40" s="24">
        <v>0</v>
      </c>
      <c r="OR40" s="24">
        <v>0</v>
      </c>
      <c r="OS40" s="24">
        <v>0</v>
      </c>
      <c r="OT40" s="24">
        <v>0</v>
      </c>
      <c r="OU40" s="24">
        <v>0</v>
      </c>
      <c r="OV40" s="24">
        <v>0</v>
      </c>
      <c r="OW40" s="24">
        <v>0</v>
      </c>
      <c r="OX40" s="24">
        <v>0</v>
      </c>
      <c r="OY40" s="24">
        <v>0</v>
      </c>
      <c r="OZ40" s="24">
        <v>0</v>
      </c>
      <c r="PA40" s="24">
        <v>0</v>
      </c>
      <c r="PB40" s="24">
        <v>0</v>
      </c>
      <c r="PC40" s="24">
        <v>0</v>
      </c>
      <c r="PD40" s="24">
        <v>0</v>
      </c>
      <c r="PE40" s="24">
        <v>0</v>
      </c>
      <c r="PF40" s="24">
        <v>0</v>
      </c>
      <c r="PG40" s="24">
        <v>0</v>
      </c>
      <c r="PH40" s="24">
        <v>79726</v>
      </c>
      <c r="PI40" s="24">
        <v>0</v>
      </c>
      <c r="PJ40" s="24">
        <v>0</v>
      </c>
      <c r="PK40" s="24">
        <v>0</v>
      </c>
      <c r="PL40" s="24">
        <v>0</v>
      </c>
      <c r="PM40" s="24">
        <v>0</v>
      </c>
      <c r="PN40" s="24">
        <v>0</v>
      </c>
      <c r="PO40" s="24">
        <v>0</v>
      </c>
      <c r="PP40" s="24">
        <v>0</v>
      </c>
      <c r="PQ40" s="24">
        <v>0</v>
      </c>
      <c r="PR40" s="24">
        <v>0</v>
      </c>
      <c r="PS40" s="24">
        <v>0</v>
      </c>
      <c r="PT40" s="24">
        <v>0</v>
      </c>
      <c r="PU40" s="24">
        <v>0</v>
      </c>
      <c r="PV40" s="24">
        <v>0</v>
      </c>
      <c r="PW40" s="24">
        <v>0</v>
      </c>
      <c r="PX40" s="24">
        <v>0</v>
      </c>
      <c r="PY40" s="24">
        <v>0</v>
      </c>
      <c r="PZ40" s="24">
        <v>0</v>
      </c>
      <c r="QA40" s="24">
        <v>0</v>
      </c>
      <c r="QB40" s="24">
        <v>0</v>
      </c>
      <c r="QC40" s="24">
        <v>0</v>
      </c>
      <c r="QD40" s="24">
        <v>0</v>
      </c>
      <c r="QE40" s="24">
        <v>0</v>
      </c>
      <c r="QF40" s="24">
        <v>0</v>
      </c>
      <c r="QG40" s="24">
        <v>0</v>
      </c>
      <c r="QH40" s="24">
        <v>0</v>
      </c>
      <c r="QI40" s="24">
        <v>0</v>
      </c>
      <c r="QJ40" s="24">
        <v>0</v>
      </c>
      <c r="QK40" s="24">
        <v>0</v>
      </c>
      <c r="QL40" s="24">
        <v>0</v>
      </c>
      <c r="QM40" s="24">
        <v>0</v>
      </c>
      <c r="QN40" s="24">
        <v>0</v>
      </c>
      <c r="QO40" s="24">
        <v>0</v>
      </c>
      <c r="QP40" s="24">
        <v>0</v>
      </c>
      <c r="QQ40" s="24">
        <v>0</v>
      </c>
      <c r="QR40" s="24">
        <v>0</v>
      </c>
      <c r="QS40" s="24">
        <v>0</v>
      </c>
      <c r="QT40" s="24">
        <v>0</v>
      </c>
      <c r="QU40" s="24">
        <v>0</v>
      </c>
      <c r="QV40" s="24">
        <v>0</v>
      </c>
      <c r="QW40" s="24">
        <v>0</v>
      </c>
      <c r="QX40" s="24">
        <v>0</v>
      </c>
      <c r="QY40" s="24">
        <v>0</v>
      </c>
      <c r="QZ40" s="24">
        <v>0</v>
      </c>
      <c r="RA40" s="24">
        <v>0</v>
      </c>
      <c r="RB40" s="24">
        <v>0</v>
      </c>
      <c r="RG40" s="39">
        <f t="shared" si="48"/>
        <v>14922932</v>
      </c>
      <c r="RH40" s="39">
        <f t="shared" si="48"/>
        <v>975904</v>
      </c>
      <c r="RI40" s="39">
        <f t="shared" si="48"/>
        <v>72602</v>
      </c>
      <c r="RJ40" s="39">
        <f t="shared" si="48"/>
        <v>0</v>
      </c>
      <c r="RK40" s="39">
        <f t="shared" si="48"/>
        <v>0</v>
      </c>
      <c r="RL40" s="39">
        <f t="shared" si="48"/>
        <v>1975722</v>
      </c>
      <c r="RM40" s="39">
        <f t="shared" si="48"/>
        <v>787897</v>
      </c>
      <c r="RN40" s="39">
        <f t="shared" si="48"/>
        <v>8780</v>
      </c>
      <c r="RO40" s="39">
        <f t="shared" si="48"/>
        <v>54902</v>
      </c>
      <c r="RP40" s="39">
        <f t="shared" si="48"/>
        <v>393025</v>
      </c>
      <c r="RQ40" s="39">
        <f t="shared" si="48"/>
        <v>38200</v>
      </c>
      <c r="RR40" s="39">
        <f t="shared" si="48"/>
        <v>1911347</v>
      </c>
      <c r="RS40" s="39"/>
      <c r="RT40" s="182"/>
      <c r="RU40" s="39"/>
      <c r="RV40" s="39">
        <f t="shared" si="49"/>
        <v>2604045</v>
      </c>
      <c r="RW40" s="39">
        <f t="shared" si="49"/>
        <v>21141311</v>
      </c>
      <c r="RX40" s="39">
        <f t="shared" si="49"/>
        <v>5109137</v>
      </c>
      <c r="RY40" s="39">
        <f t="shared" si="49"/>
        <v>79726</v>
      </c>
      <c r="RZ40" s="39"/>
      <c r="SA40" s="182"/>
      <c r="SB40" s="39"/>
      <c r="SC40" s="25">
        <f t="shared" si="50"/>
        <v>1414.4897563676634</v>
      </c>
      <c r="SD40" s="39">
        <f>IFERROR(VLOOKUP(A40, 'Levy Data 15-16'!$B:$O, 3, FALSE), 0)</f>
        <v>841659903</v>
      </c>
      <c r="SE40" s="39">
        <f t="shared" si="9"/>
        <v>233017.69186046513</v>
      </c>
      <c r="SF40" s="631">
        <f>IFERROR(VLOOKUP(A40, 'Levy Data 15-16'!$B:$O, 14, FALSE), 0)*1000</f>
        <v>5.2503479999999998</v>
      </c>
      <c r="SG40" s="39">
        <f t="shared" si="10"/>
        <v>0</v>
      </c>
      <c r="SH40" s="39">
        <f t="shared" si="11"/>
        <v>0</v>
      </c>
      <c r="SI40" s="39">
        <f t="shared" si="12"/>
        <v>5109137</v>
      </c>
      <c r="SM40" s="39">
        <f t="shared" si="13"/>
        <v>21141311</v>
      </c>
      <c r="SN40" s="39">
        <f t="shared" si="14"/>
        <v>0</v>
      </c>
      <c r="SO40" s="39">
        <f t="shared" si="51"/>
        <v>21141311</v>
      </c>
      <c r="SP40" s="50">
        <f t="shared" si="52"/>
        <v>1</v>
      </c>
      <c r="ST40" s="124">
        <f>IFERROR(VLOOKUP(A40,'Grade Enroll 15-16'!B:AC,27,FALSE),"")</f>
        <v>3612</v>
      </c>
      <c r="SU40" s="124">
        <f t="shared" si="53"/>
        <v>1635.4098360655737</v>
      </c>
      <c r="SV40" s="131">
        <f>IFERROR(VLOOKUP($A40, 'Title I Enroll 16-17'!S:V, 4, FALSE), 0)</f>
        <v>0.45277127244340359</v>
      </c>
      <c r="SW40" s="729">
        <f>IFERROR(VLOOKUP(A40, 'ELL Enroll 15-16'!$N:$S, 6, FALSE), 0)</f>
        <v>140</v>
      </c>
      <c r="SX40" s="131">
        <f t="shared" si="54"/>
        <v>3.875968992248062E-2</v>
      </c>
      <c r="SY40" s="124">
        <f>IFERROR(VLOOKUP(A40, 'SPED enroll 2015-16'!$M:$O, 3, FALSE), 0)</f>
        <v>355</v>
      </c>
      <c r="SZ40" s="131">
        <f t="shared" si="55"/>
        <v>9.828349944629014E-2</v>
      </c>
      <c r="TA40" s="142">
        <f t="shared" si="87"/>
        <v>248.49999999999997</v>
      </c>
      <c r="TB40" s="142">
        <f t="shared" si="87"/>
        <v>71</v>
      </c>
      <c r="TC40" s="142">
        <f t="shared" si="87"/>
        <v>24.85</v>
      </c>
      <c r="TD40" s="142">
        <f t="shared" si="87"/>
        <v>10.65</v>
      </c>
      <c r="TE40" s="124">
        <f>VLOOKUP($A40, 'Grade Enroll 15-16'!$B:$AB, 20, FALSE)</f>
        <v>25</v>
      </c>
      <c r="TF40" s="124">
        <f>VLOOKUP($A40, 'Grade Enroll 15-16'!$B:$AB, 21, FALSE)</f>
        <v>237</v>
      </c>
      <c r="TG40" s="124">
        <f>VLOOKUP($A40, 'Grade Enroll 15-16'!$B:$AB, 22, FALSE)</f>
        <v>873</v>
      </c>
      <c r="TH40" s="124">
        <f>VLOOKUP($A40, 'Grade Enroll 15-16'!$B:$AB, 23, FALSE)</f>
        <v>847</v>
      </c>
      <c r="TI40" s="124">
        <f>VLOOKUP($A40, 'Grade Enroll 15-16'!$B:$AB, 24, FALSE)</f>
        <v>637</v>
      </c>
      <c r="TJ40" s="124">
        <f>VLOOKUP($A40, 'Grade Enroll 15-16'!$B:$AB, 25, FALSE)</f>
        <v>1255</v>
      </c>
      <c r="TK40" s="124">
        <f>VLOOKUP($A40, 'Grade Enroll 15-16'!$B:$AB, 26, FALSE)</f>
        <v>2460</v>
      </c>
      <c r="TL40" s="131">
        <f>SUMIFS('Student Achievement 15-16'!N:N, 'Student Achievement 15-16'!B:B, 'Idaho Data'!A40, 'Student Achievement 15-16'!D:D, "math")/100</f>
        <v>0.32899999999999996</v>
      </c>
      <c r="TM40" s="134">
        <f t="shared" si="57"/>
        <v>1188.348</v>
      </c>
      <c r="TN40" s="131">
        <f>SUMIFS('Student Achievement 15-16'!N:N, 'Student Achievement 15-16'!B:B, 'Idaho Data'!A40, 'Student Achievement 15-16'!D:D, "ela")/100</f>
        <v>0.24</v>
      </c>
      <c r="TO40" s="134">
        <f t="shared" si="58"/>
        <v>866.88</v>
      </c>
      <c r="TP40" s="688">
        <f>IFERROR(VLOOKUP(A40, 'G&amp;T 15-16'!B:G, 6, FALSE), 0)*1</f>
        <v>232</v>
      </c>
      <c r="TQ40" s="168">
        <f t="shared" si="59"/>
        <v>216.72</v>
      </c>
      <c r="TU40" s="168">
        <f t="shared" si="60"/>
        <v>866.88</v>
      </c>
      <c r="TV40" s="168">
        <f t="shared" si="61"/>
        <v>1188.348</v>
      </c>
      <c r="TW40" s="205">
        <f t="shared" si="62"/>
        <v>1188.348</v>
      </c>
      <c r="TX40" s="144"/>
      <c r="TY40" s="129"/>
      <c r="TZ40" s="127">
        <f t="shared" si="63"/>
        <v>216.72</v>
      </c>
      <c r="UA40" s="127">
        <f t="shared" si="64"/>
        <v>232</v>
      </c>
      <c r="UB40" s="205">
        <f t="shared" si="65"/>
        <v>232</v>
      </c>
      <c r="UE40" s="853" t="str">
        <f>IF(ST40&lt;='1. Simulator Input'!$E$104, "yes", "")</f>
        <v/>
      </c>
      <c r="UI40" s="199">
        <f t="shared" si="66"/>
        <v>0</v>
      </c>
      <c r="UJ40" s="200">
        <f>IF('Idaho Data'!SI40&gt;=0, ((1-'1. Simulator Input'!$E$39)*'Idaho Data'!SI40), 0)</f>
        <v>0</v>
      </c>
      <c r="UK40" s="200">
        <f t="shared" si="67"/>
        <v>21141311</v>
      </c>
      <c r="UL40" s="39"/>
      <c r="UM40" s="182"/>
      <c r="UN40" s="39"/>
      <c r="UO40" s="39" t="str">
        <f>IF(AND('1. Simulator Input'!$E$96="yes", '1. Simulator Input'!$E$98="yes", '1. Simulator Input'!$E$100="hold harmless"), 'Idaho Data'!WN40, IF(AND('1. Simulator Input'!$E$96="yes", '1. Simulator Input'!$E$98="no", '1. Simulator Input'!$E$100="hold harmless"), 'Idaho Data'!WM40, IF(AND('1. Simulator Input'!$E$96="yes", '1. Simulator Input'!$E$98="yes", '1. Simulator Input'!$E$100="small district grant"), WL40,IF(AND('1. Simulator Input'!$E$96="yes", '1. Simulator Input'!$E$98="no", '1. Simulator Input'!$E$100="small district grant"), WK40, ""))))</f>
        <v/>
      </c>
      <c r="UP40" s="200">
        <f>'1. Simulator Input'!$D$56*('Idaho Data'!ST40)</f>
        <v>19959912</v>
      </c>
      <c r="UQ40" s="204">
        <f>'1. Simulator Input'!$D$65*'1. Simulator Input'!$D$56*'Idaho Data'!SU40</f>
        <v>0</v>
      </c>
      <c r="UR40" s="204">
        <f>'1. Simulator Input'!$D$66*'1. Simulator Input'!$D$56*'Idaho Data'!SW40</f>
        <v>0</v>
      </c>
      <c r="US40" s="200">
        <f>'1. Simulator Input'!$D$67*'1. Simulator Input'!$D$56*'Idaho Data'!TA40</f>
        <v>0</v>
      </c>
      <c r="UT40" s="200">
        <f>'1. Simulator Input'!$D$68*'1. Simulator Input'!$D$56*'Idaho Data'!TB40</f>
        <v>0</v>
      </c>
      <c r="UU40" s="200">
        <f>'1. Simulator Input'!$D$69*'1. Simulator Input'!$D$56*'Idaho Data'!TC40</f>
        <v>0</v>
      </c>
      <c r="UV40" s="200">
        <f>'1. Simulator Input'!$D$70*'1. Simulator Input'!$D$56*TD40</f>
        <v>0</v>
      </c>
      <c r="UW40" s="200">
        <f>'1. Simulator Input'!$D$80*'1. Simulator Input'!$D$56*TW40</f>
        <v>0</v>
      </c>
      <c r="UX40" s="200">
        <f>'1. Simulator Input'!$D$79*'1. Simulator Input'!$D$56*UB40</f>
        <v>0</v>
      </c>
      <c r="UY40" s="200">
        <f>'1. Simulator Input'!$D$87*'1. Simulator Input'!$D$56*TF40</f>
        <v>654831</v>
      </c>
      <c r="UZ40" s="200">
        <f>'1. Simulator Input'!$D$73*'1. Simulator Input'!$D$56*'Idaho Data'!TG40</f>
        <v>0</v>
      </c>
      <c r="VA40" s="200">
        <f>'1. Simulator Input'!$D$56*'1. Simulator Input'!$D$74*'Idaho Data'!TH40</f>
        <v>0</v>
      </c>
      <c r="VB40" s="200">
        <f>'1. Simulator Input'!$D$56*'1. Simulator Input'!$D$75*'Idaho Data'!TI35</f>
        <v>0</v>
      </c>
      <c r="VC40" s="200">
        <f>'1. Simulator Input'!$D$76*'1. Simulator Input'!$D$56*'Idaho Data'!TJ40</f>
        <v>0</v>
      </c>
      <c r="VD40" s="200">
        <f t="shared" si="68"/>
        <v>20614743</v>
      </c>
      <c r="VE40" s="200"/>
      <c r="VF40" s="182"/>
      <c r="VG40" s="200"/>
      <c r="VH40" s="200">
        <f t="shared" si="69"/>
        <v>0</v>
      </c>
      <c r="VI40" s="200">
        <f t="shared" si="70"/>
        <v>0</v>
      </c>
      <c r="VJ40" s="200">
        <f t="shared" si="16"/>
        <v>20614743</v>
      </c>
      <c r="VK40" s="200">
        <f t="shared" si="17"/>
        <v>20614743</v>
      </c>
      <c r="VL40" s="200"/>
      <c r="VM40" s="182"/>
      <c r="VN40" s="200"/>
      <c r="VO40" s="200">
        <f t="shared" si="71"/>
        <v>2604045</v>
      </c>
      <c r="VP40" s="200">
        <f t="shared" si="72"/>
        <v>21141311</v>
      </c>
      <c r="VQ40" s="200">
        <f t="shared" si="73"/>
        <v>5109137</v>
      </c>
      <c r="VR40" s="200">
        <f t="shared" si="74"/>
        <v>2604045</v>
      </c>
      <c r="VS40" s="200">
        <f t="shared" si="18"/>
        <v>20614743</v>
      </c>
      <c r="VT40" s="200">
        <f t="shared" si="19"/>
        <v>5109137</v>
      </c>
      <c r="VU40" s="200">
        <f t="shared" si="20"/>
        <v>0</v>
      </c>
      <c r="VV40" s="200"/>
      <c r="VW40" s="182"/>
      <c r="VX40" s="200"/>
      <c r="VZ40" s="199">
        <f t="shared" si="75"/>
        <v>-526568</v>
      </c>
      <c r="WA40" s="199">
        <f t="shared" si="76"/>
        <v>-145.7829457364341</v>
      </c>
      <c r="WB40" s="131">
        <f t="shared" si="77"/>
        <v>-2.4907064656491739E-2</v>
      </c>
      <c r="WC40" s="131"/>
      <c r="WD40" s="461"/>
      <c r="WE40" s="893"/>
      <c r="WF40" s="893">
        <f t="shared" si="78"/>
        <v>7988.5085825027681</v>
      </c>
      <c r="WG40" s="893">
        <f t="shared" si="79"/>
        <v>7842.725636766334</v>
      </c>
      <c r="WH40" s="893"/>
      <c r="WI40" s="893">
        <f t="shared" si="80"/>
        <v>21141311</v>
      </c>
      <c r="WJ40" s="893">
        <f t="shared" si="21"/>
        <v>20614743</v>
      </c>
      <c r="WK40" s="39" t="str">
        <f t="shared" si="22"/>
        <v/>
      </c>
      <c r="WL40" s="39" t="str">
        <f t="shared" si="23"/>
        <v/>
      </c>
      <c r="WM40" s="200" t="str">
        <f t="shared" si="24"/>
        <v/>
      </c>
      <c r="WN40" s="39" t="str">
        <f t="shared" si="25"/>
        <v/>
      </c>
      <c r="WO40" s="39"/>
      <c r="WP40" s="182"/>
      <c r="WQ40" s="39"/>
      <c r="WR40" s="305">
        <f t="shared" si="26"/>
        <v>7.8E-2</v>
      </c>
      <c r="WT40" s="200">
        <f t="shared" si="27"/>
        <v>5853.0761351052051</v>
      </c>
      <c r="WU40" s="131">
        <f t="shared" si="81"/>
        <v>0.27</v>
      </c>
      <c r="WW40" s="199">
        <f t="shared" si="28"/>
        <v>2604045</v>
      </c>
      <c r="WX40" s="199">
        <f t="shared" si="29"/>
        <v>20614743</v>
      </c>
      <c r="WY40" s="199">
        <f t="shared" si="30"/>
        <v>0</v>
      </c>
      <c r="WZ40" s="199">
        <f t="shared" si="82"/>
        <v>20614743</v>
      </c>
      <c r="XA40" s="199">
        <f t="shared" si="31"/>
        <v>0</v>
      </c>
      <c r="XB40" s="199">
        <f t="shared" si="32"/>
        <v>5109137</v>
      </c>
      <c r="XC40" s="199">
        <f t="shared" si="33"/>
        <v>5109137</v>
      </c>
      <c r="XD40" s="199" t="str">
        <f t="shared" si="34"/>
        <v/>
      </c>
      <c r="XE40" s="199"/>
      <c r="XF40" s="199"/>
      <c r="XG40" s="199"/>
      <c r="XH40" s="199"/>
      <c r="XI40" s="199"/>
      <c r="XJ40" s="199">
        <f t="shared" si="83"/>
        <v>20614743</v>
      </c>
      <c r="XP40" s="199">
        <f t="shared" si="35"/>
        <v>20614743</v>
      </c>
      <c r="XQ40" s="199">
        <f t="shared" si="36"/>
        <v>5707.293189368771</v>
      </c>
      <c r="XR40" s="199">
        <f t="shared" si="37"/>
        <v>20614743</v>
      </c>
      <c r="XS40" s="199">
        <f t="shared" si="38"/>
        <v>20614743</v>
      </c>
      <c r="XT40" s="199">
        <f t="shared" si="39"/>
        <v>5707.293189368771</v>
      </c>
      <c r="XU40" s="199">
        <f t="shared" si="40"/>
        <v>21141311</v>
      </c>
      <c r="XV40" s="199">
        <f t="shared" si="41"/>
        <v>5853.0761351052051</v>
      </c>
      <c r="XW40" s="199">
        <f t="shared" si="42"/>
        <v>21141311</v>
      </c>
      <c r="XX40" s="199">
        <f t="shared" si="43"/>
        <v>5853.0761351052051</v>
      </c>
      <c r="XY40" s="199">
        <f t="shared" si="84"/>
        <v>-526568</v>
      </c>
      <c r="XZ40" s="199">
        <f t="shared" si="85"/>
        <v>-145.78294573643416</v>
      </c>
      <c r="YA40" s="131">
        <f t="shared" si="86"/>
        <v>-2.4907064656491746E-2</v>
      </c>
      <c r="YB40" s="199"/>
      <c r="YC40" s="221"/>
      <c r="YD40" s="199"/>
      <c r="YE40" s="199">
        <f t="shared" si="44"/>
        <v>2604045</v>
      </c>
      <c r="YF40" s="200">
        <f t="shared" si="45"/>
        <v>0</v>
      </c>
      <c r="YG40" s="199">
        <f t="shared" si="46"/>
        <v>5109137</v>
      </c>
      <c r="YH40" s="199">
        <f t="shared" si="47"/>
        <v>79726</v>
      </c>
    </row>
    <row r="41" spans="1:658">
      <c r="A41" s="3">
        <v>135</v>
      </c>
      <c r="B41" s="2" t="s">
        <v>133</v>
      </c>
      <c r="C41" s="24">
        <v>0</v>
      </c>
      <c r="D41" s="24">
        <v>231021</v>
      </c>
      <c r="E41" s="24">
        <v>0</v>
      </c>
      <c r="F41" s="24">
        <v>0</v>
      </c>
      <c r="G41" s="24">
        <v>0</v>
      </c>
      <c r="H41" s="24">
        <v>0</v>
      </c>
      <c r="I41" s="24">
        <v>0</v>
      </c>
      <c r="J41" s="24">
        <v>54</v>
      </c>
      <c r="K41" s="24">
        <v>89554</v>
      </c>
      <c r="L41" s="24">
        <v>0</v>
      </c>
      <c r="M41" s="24">
        <v>0</v>
      </c>
      <c r="N41" s="24">
        <v>5469</v>
      </c>
      <c r="O41" s="24">
        <v>0</v>
      </c>
      <c r="P41" s="24">
        <v>0</v>
      </c>
      <c r="Q41" s="24">
        <v>0</v>
      </c>
      <c r="R41" s="24">
        <v>0</v>
      </c>
      <c r="S41" s="24">
        <v>0</v>
      </c>
      <c r="T41" s="24">
        <v>132374</v>
      </c>
      <c r="U41" s="24">
        <v>0</v>
      </c>
      <c r="V41" s="24">
        <v>0</v>
      </c>
      <c r="W41" s="24">
        <v>0</v>
      </c>
      <c r="X41" s="24">
        <v>0</v>
      </c>
      <c r="Y41" s="24">
        <v>521</v>
      </c>
      <c r="Z41" s="24">
        <v>0</v>
      </c>
      <c r="AA41" s="24">
        <v>1648</v>
      </c>
      <c r="AB41" s="24">
        <v>1156</v>
      </c>
      <c r="AC41" s="24">
        <v>0</v>
      </c>
      <c r="AD41" s="24">
        <v>0</v>
      </c>
      <c r="AE41" s="24">
        <v>0</v>
      </c>
      <c r="AF41" s="24">
        <v>0</v>
      </c>
      <c r="AG41" s="24">
        <v>0</v>
      </c>
      <c r="AH41" s="24">
        <v>3450</v>
      </c>
      <c r="AI41" s="24">
        <v>0</v>
      </c>
      <c r="AJ41" s="24">
        <v>0</v>
      </c>
      <c r="AK41" s="24">
        <v>0</v>
      </c>
      <c r="AL41" s="24">
        <v>3506</v>
      </c>
      <c r="AM41" s="24">
        <v>0</v>
      </c>
      <c r="AN41" s="24">
        <v>0</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c r="BE41" s="24">
        <v>20331</v>
      </c>
      <c r="BF41" s="24">
        <v>0</v>
      </c>
      <c r="BG41" s="24">
        <v>0</v>
      </c>
      <c r="BH41" s="24">
        <v>0</v>
      </c>
      <c r="BI41" s="24">
        <v>0</v>
      </c>
      <c r="BJ41" s="24">
        <v>0</v>
      </c>
      <c r="BK41" s="24">
        <v>0</v>
      </c>
      <c r="BL41" s="24">
        <v>0</v>
      </c>
      <c r="BM41" s="24">
        <v>0</v>
      </c>
      <c r="BN41" s="24">
        <v>0</v>
      </c>
      <c r="BO41" s="24">
        <v>0</v>
      </c>
      <c r="BP41" s="24">
        <v>0</v>
      </c>
      <c r="BQ41" s="24">
        <v>0</v>
      </c>
      <c r="BR41" s="24">
        <v>0</v>
      </c>
      <c r="BS41" s="24">
        <v>0</v>
      </c>
      <c r="BT41" s="24">
        <v>0</v>
      </c>
      <c r="BU41" s="24">
        <v>0</v>
      </c>
      <c r="BV41" s="24">
        <v>0</v>
      </c>
      <c r="BW41" s="24">
        <v>0</v>
      </c>
      <c r="BX41" s="24">
        <v>0</v>
      </c>
      <c r="BY41" s="24">
        <v>0</v>
      </c>
      <c r="BZ41" s="24">
        <v>0</v>
      </c>
      <c r="CA41" s="24">
        <v>0</v>
      </c>
      <c r="CB41" s="24">
        <v>0</v>
      </c>
      <c r="CC41" s="24">
        <v>0</v>
      </c>
      <c r="CD41" s="24">
        <v>0</v>
      </c>
      <c r="CE41" s="24">
        <v>38116</v>
      </c>
      <c r="CF41" s="24">
        <v>0</v>
      </c>
      <c r="CG41" s="24">
        <v>0</v>
      </c>
      <c r="CH41" s="24">
        <v>0</v>
      </c>
      <c r="CI41" s="24">
        <v>0</v>
      </c>
      <c r="CJ41" s="24">
        <v>0</v>
      </c>
      <c r="CK41" s="24">
        <v>0</v>
      </c>
      <c r="CL41" s="24">
        <v>0</v>
      </c>
      <c r="CM41" s="24">
        <v>0</v>
      </c>
      <c r="CN41" s="24">
        <v>0</v>
      </c>
      <c r="CO41" s="24">
        <v>0</v>
      </c>
      <c r="CP41" s="24">
        <v>0</v>
      </c>
      <c r="CQ41" s="24">
        <v>0</v>
      </c>
      <c r="CR41" s="24">
        <v>0</v>
      </c>
      <c r="CS41" s="24">
        <v>0</v>
      </c>
      <c r="CT41" s="24">
        <v>0</v>
      </c>
      <c r="CU41" s="24">
        <v>0</v>
      </c>
      <c r="CV41" s="24">
        <v>0</v>
      </c>
      <c r="CW41" s="24">
        <v>0</v>
      </c>
      <c r="CX41" s="24">
        <v>0</v>
      </c>
      <c r="CY41" s="24">
        <v>0</v>
      </c>
      <c r="CZ41" s="24">
        <v>0</v>
      </c>
      <c r="DA41" s="24">
        <v>0</v>
      </c>
      <c r="DB41" s="24">
        <v>0</v>
      </c>
      <c r="DC41" s="24">
        <v>0</v>
      </c>
      <c r="DD41" s="24">
        <v>0</v>
      </c>
      <c r="DE41" s="24">
        <v>0</v>
      </c>
      <c r="DF41" s="24">
        <v>0</v>
      </c>
      <c r="DG41" s="24">
        <v>0</v>
      </c>
      <c r="DH41" s="24">
        <v>0</v>
      </c>
      <c r="DI41" s="24">
        <v>0</v>
      </c>
      <c r="DJ41" s="24">
        <v>0</v>
      </c>
      <c r="DK41" s="24">
        <v>0</v>
      </c>
      <c r="DL41" s="24">
        <v>0</v>
      </c>
      <c r="DM41" s="24">
        <v>0</v>
      </c>
      <c r="DN41" s="24">
        <v>0</v>
      </c>
      <c r="DO41" s="24">
        <v>0</v>
      </c>
      <c r="DP41" s="24">
        <v>0</v>
      </c>
      <c r="DQ41" s="24">
        <v>0</v>
      </c>
      <c r="DR41" s="24">
        <v>0</v>
      </c>
      <c r="DS41" s="24">
        <v>0</v>
      </c>
      <c r="DT41" s="24">
        <v>0</v>
      </c>
      <c r="DU41" s="24">
        <v>0</v>
      </c>
      <c r="DV41" s="24">
        <v>0</v>
      </c>
      <c r="DW41" s="24">
        <v>0</v>
      </c>
      <c r="DX41" s="24">
        <v>0</v>
      </c>
      <c r="DY41" s="24">
        <v>0</v>
      </c>
      <c r="DZ41" s="24">
        <v>0</v>
      </c>
      <c r="EA41" s="24">
        <v>0</v>
      </c>
      <c r="EB41" s="24">
        <v>0</v>
      </c>
      <c r="EC41" s="24">
        <v>0</v>
      </c>
      <c r="ED41" s="24">
        <v>0</v>
      </c>
      <c r="EE41" s="24">
        <v>0</v>
      </c>
      <c r="EF41" s="24">
        <v>0</v>
      </c>
      <c r="EG41" s="24">
        <v>0</v>
      </c>
      <c r="EH41" s="24">
        <v>0</v>
      </c>
      <c r="EI41" s="24">
        <v>0</v>
      </c>
      <c r="EJ41" s="24">
        <v>0</v>
      </c>
      <c r="EK41" s="24">
        <v>0</v>
      </c>
      <c r="EL41" s="24">
        <v>0</v>
      </c>
      <c r="EM41" s="24">
        <v>0</v>
      </c>
      <c r="EN41" s="24">
        <v>0</v>
      </c>
      <c r="EO41" s="24">
        <v>0</v>
      </c>
      <c r="EP41" s="24">
        <v>0</v>
      </c>
      <c r="EQ41" s="24">
        <v>0</v>
      </c>
      <c r="ER41" s="24">
        <v>0</v>
      </c>
      <c r="ES41" s="24">
        <v>0</v>
      </c>
      <c r="ET41" s="24">
        <v>0</v>
      </c>
      <c r="EU41" s="24">
        <v>0</v>
      </c>
      <c r="EV41" s="24">
        <v>0</v>
      </c>
      <c r="EW41" s="24">
        <v>0</v>
      </c>
      <c r="EX41" s="24">
        <v>0</v>
      </c>
      <c r="EY41" s="24">
        <v>0</v>
      </c>
      <c r="EZ41" s="24">
        <v>0</v>
      </c>
      <c r="FA41" s="24">
        <v>0</v>
      </c>
      <c r="FB41" s="24">
        <v>0</v>
      </c>
      <c r="FC41" s="24">
        <v>0</v>
      </c>
      <c r="FD41" s="24">
        <v>0</v>
      </c>
      <c r="FE41" s="24">
        <v>0</v>
      </c>
      <c r="FF41" s="24">
        <v>0</v>
      </c>
      <c r="FG41" s="24">
        <v>0</v>
      </c>
      <c r="FH41" s="24">
        <v>0</v>
      </c>
      <c r="FI41" s="24">
        <v>0</v>
      </c>
      <c r="FJ41" s="24">
        <v>0</v>
      </c>
      <c r="FK41" s="24">
        <v>0</v>
      </c>
      <c r="FL41" s="24">
        <v>0</v>
      </c>
      <c r="FM41" s="24">
        <v>0</v>
      </c>
      <c r="FN41" s="24">
        <v>0</v>
      </c>
      <c r="FO41" s="24">
        <v>0</v>
      </c>
      <c r="FP41" s="24">
        <v>0</v>
      </c>
      <c r="FQ41" s="24">
        <v>0</v>
      </c>
      <c r="FR41" s="24">
        <v>0</v>
      </c>
      <c r="FS41" s="24">
        <v>3407</v>
      </c>
      <c r="FT41" s="24">
        <v>0</v>
      </c>
      <c r="FU41" s="24">
        <v>0</v>
      </c>
      <c r="FV41" s="24">
        <v>0</v>
      </c>
      <c r="FW41" s="24">
        <v>0</v>
      </c>
      <c r="FX41" s="24">
        <v>0</v>
      </c>
      <c r="FY41" s="24">
        <v>0</v>
      </c>
      <c r="FZ41" s="24">
        <v>0</v>
      </c>
      <c r="GA41" s="24">
        <v>0</v>
      </c>
      <c r="GB41" s="24">
        <v>0</v>
      </c>
      <c r="GC41" s="24">
        <v>0</v>
      </c>
      <c r="GD41" s="24">
        <v>0</v>
      </c>
      <c r="GE41" s="24">
        <v>0</v>
      </c>
      <c r="GF41" s="24">
        <v>0</v>
      </c>
      <c r="GG41" s="24">
        <v>0</v>
      </c>
      <c r="GH41" s="24">
        <v>0</v>
      </c>
      <c r="GI41" s="24">
        <v>0</v>
      </c>
      <c r="GJ41" s="24">
        <v>0</v>
      </c>
      <c r="GK41" s="24">
        <v>0</v>
      </c>
      <c r="GL41" s="24">
        <v>0</v>
      </c>
      <c r="GM41" s="24">
        <v>0</v>
      </c>
      <c r="GN41" s="24">
        <v>0</v>
      </c>
      <c r="GO41" s="24">
        <v>0</v>
      </c>
      <c r="GP41" s="24">
        <v>0</v>
      </c>
      <c r="GQ41" s="24">
        <v>0</v>
      </c>
      <c r="GR41" s="24">
        <v>0</v>
      </c>
      <c r="GS41" s="24">
        <v>0</v>
      </c>
      <c r="GT41" s="24">
        <v>0</v>
      </c>
      <c r="GU41" s="24">
        <v>14575</v>
      </c>
      <c r="GV41" s="24">
        <v>0</v>
      </c>
      <c r="GW41" s="24">
        <v>0</v>
      </c>
      <c r="GX41" s="24">
        <v>0</v>
      </c>
      <c r="GY41" s="24">
        <v>0</v>
      </c>
      <c r="GZ41" s="24">
        <v>0</v>
      </c>
      <c r="HA41" s="24">
        <v>0</v>
      </c>
      <c r="HB41" s="24">
        <v>0</v>
      </c>
      <c r="HC41" s="24">
        <v>0</v>
      </c>
      <c r="HD41" s="24">
        <v>2175867</v>
      </c>
      <c r="HE41" s="24">
        <v>0</v>
      </c>
      <c r="HF41" s="24">
        <v>0</v>
      </c>
      <c r="HG41" s="24">
        <v>0</v>
      </c>
      <c r="HH41" s="24">
        <v>0</v>
      </c>
      <c r="HI41" s="24">
        <v>98793</v>
      </c>
      <c r="HJ41" s="24">
        <v>0</v>
      </c>
      <c r="HK41" s="24">
        <v>0</v>
      </c>
      <c r="HL41" s="24">
        <v>0</v>
      </c>
      <c r="HM41" s="24">
        <v>0</v>
      </c>
      <c r="HN41" s="24">
        <v>0</v>
      </c>
      <c r="HO41" s="24">
        <v>292621</v>
      </c>
      <c r="HP41" s="24">
        <v>75211</v>
      </c>
      <c r="HQ41" s="24">
        <v>0</v>
      </c>
      <c r="HR41" s="24">
        <v>0</v>
      </c>
      <c r="HS41" s="24">
        <v>0</v>
      </c>
      <c r="HT41" s="24">
        <v>0</v>
      </c>
      <c r="HU41" s="24">
        <v>0</v>
      </c>
      <c r="HV41" s="24">
        <v>0</v>
      </c>
      <c r="HW41" s="24">
        <v>0</v>
      </c>
      <c r="HX41" s="24">
        <v>0</v>
      </c>
      <c r="HY41" s="24">
        <v>0</v>
      </c>
      <c r="HZ41" s="24">
        <v>0</v>
      </c>
      <c r="IA41" s="24">
        <v>37333</v>
      </c>
      <c r="IB41" s="24">
        <v>6984</v>
      </c>
      <c r="IC41" s="24">
        <v>0</v>
      </c>
      <c r="ID41" s="24">
        <v>0</v>
      </c>
      <c r="IE41" s="24">
        <v>0</v>
      </c>
      <c r="IF41" s="24">
        <v>0</v>
      </c>
      <c r="IG41" s="24">
        <v>0</v>
      </c>
      <c r="IH41" s="24">
        <v>0</v>
      </c>
      <c r="II41" s="24">
        <v>0</v>
      </c>
      <c r="IJ41" s="24">
        <v>0</v>
      </c>
      <c r="IK41" s="24">
        <v>0</v>
      </c>
      <c r="IL41" s="24">
        <v>0</v>
      </c>
      <c r="IM41" s="24">
        <v>0</v>
      </c>
      <c r="IN41" s="24">
        <v>0</v>
      </c>
      <c r="IO41" s="24">
        <v>2750</v>
      </c>
      <c r="IP41" s="24">
        <v>0</v>
      </c>
      <c r="IQ41" s="24">
        <v>0</v>
      </c>
      <c r="IR41" s="24">
        <v>24876</v>
      </c>
      <c r="IS41" s="24">
        <v>0</v>
      </c>
      <c r="IT41" s="24">
        <v>0</v>
      </c>
      <c r="IU41" s="24">
        <v>0</v>
      </c>
      <c r="IV41" s="24">
        <v>0</v>
      </c>
      <c r="IW41" s="24">
        <v>0</v>
      </c>
      <c r="IX41" s="24">
        <v>0</v>
      </c>
      <c r="IY41" s="24">
        <v>0</v>
      </c>
      <c r="IZ41" s="24">
        <v>0</v>
      </c>
      <c r="JA41" s="24">
        <v>0</v>
      </c>
      <c r="JB41" s="24">
        <v>20207</v>
      </c>
      <c r="JC41" s="24">
        <v>0</v>
      </c>
      <c r="JD41" s="24">
        <v>0</v>
      </c>
      <c r="JE41" s="24">
        <v>0</v>
      </c>
      <c r="JF41" s="24">
        <v>0</v>
      </c>
      <c r="JG41" s="24">
        <v>0</v>
      </c>
      <c r="JH41" s="24">
        <v>0</v>
      </c>
      <c r="JI41" s="24">
        <v>0</v>
      </c>
      <c r="JJ41" s="24">
        <v>0</v>
      </c>
      <c r="JK41" s="24">
        <v>0</v>
      </c>
      <c r="JL41" s="24">
        <v>0</v>
      </c>
      <c r="JM41" s="24">
        <v>0</v>
      </c>
      <c r="JN41" s="24">
        <v>0</v>
      </c>
      <c r="JO41" s="24">
        <v>0</v>
      </c>
      <c r="JP41" s="24">
        <v>0</v>
      </c>
      <c r="JQ41" s="24">
        <v>0</v>
      </c>
      <c r="JR41" s="24">
        <v>0</v>
      </c>
      <c r="JS41" s="24">
        <v>0</v>
      </c>
      <c r="JT41" s="24">
        <v>0</v>
      </c>
      <c r="JU41" s="24">
        <v>0</v>
      </c>
      <c r="JV41" s="24">
        <v>0</v>
      </c>
      <c r="JW41" s="24">
        <v>0</v>
      </c>
      <c r="JX41" s="24">
        <v>0</v>
      </c>
      <c r="JY41" s="24">
        <v>0</v>
      </c>
      <c r="JZ41" s="24">
        <v>0</v>
      </c>
      <c r="KA41" s="24">
        <v>0</v>
      </c>
      <c r="KB41" s="24">
        <v>46910</v>
      </c>
      <c r="KC41" s="24">
        <v>0</v>
      </c>
      <c r="KD41" s="24">
        <v>0</v>
      </c>
      <c r="KE41" s="24">
        <v>0</v>
      </c>
      <c r="KF41" s="24">
        <v>0</v>
      </c>
      <c r="KG41" s="24">
        <v>0</v>
      </c>
      <c r="KH41" s="24">
        <v>0</v>
      </c>
      <c r="KI41" s="24">
        <v>0</v>
      </c>
      <c r="KJ41" s="24">
        <v>0</v>
      </c>
      <c r="KK41" s="24">
        <v>0</v>
      </c>
      <c r="KL41" s="24">
        <v>0</v>
      </c>
      <c r="KM41" s="24">
        <v>0</v>
      </c>
      <c r="KN41" s="24">
        <v>0</v>
      </c>
      <c r="KO41" s="24">
        <v>0</v>
      </c>
      <c r="KP41" s="24">
        <v>0</v>
      </c>
      <c r="KQ41" s="24">
        <v>0</v>
      </c>
      <c r="KR41" s="24">
        <v>0</v>
      </c>
      <c r="KS41" s="24">
        <v>0</v>
      </c>
      <c r="KT41" s="24">
        <v>0</v>
      </c>
      <c r="KU41" s="24">
        <v>0</v>
      </c>
      <c r="KV41" s="24">
        <v>0</v>
      </c>
      <c r="KW41" s="24">
        <v>0</v>
      </c>
      <c r="KX41" s="24">
        <v>0</v>
      </c>
      <c r="KY41" s="24">
        <v>0</v>
      </c>
      <c r="KZ41" s="24">
        <v>0</v>
      </c>
      <c r="LA41" s="24">
        <v>0</v>
      </c>
      <c r="LB41" s="24">
        <v>0</v>
      </c>
      <c r="LC41" s="24">
        <v>0</v>
      </c>
      <c r="LD41" s="24">
        <v>0</v>
      </c>
      <c r="LE41" s="24">
        <v>0</v>
      </c>
      <c r="LF41" s="24">
        <v>0</v>
      </c>
      <c r="LG41" s="24">
        <v>0</v>
      </c>
      <c r="LH41" s="24">
        <v>0</v>
      </c>
      <c r="LI41" s="24">
        <v>0</v>
      </c>
      <c r="LJ41" s="24">
        <v>0</v>
      </c>
      <c r="LK41" s="24">
        <v>0</v>
      </c>
      <c r="LL41" s="24">
        <v>0</v>
      </c>
      <c r="LM41" s="24">
        <v>0</v>
      </c>
      <c r="LN41" s="24">
        <v>0</v>
      </c>
      <c r="LO41" s="24">
        <v>0</v>
      </c>
      <c r="LP41" s="24">
        <v>0</v>
      </c>
      <c r="LQ41" s="24">
        <v>168645</v>
      </c>
      <c r="LR41" s="24">
        <v>0</v>
      </c>
      <c r="LS41" s="24">
        <v>0</v>
      </c>
      <c r="LT41" s="24">
        <v>0</v>
      </c>
      <c r="LU41" s="24">
        <v>0</v>
      </c>
      <c r="LV41" s="24">
        <v>0</v>
      </c>
      <c r="LW41" s="24">
        <v>0</v>
      </c>
      <c r="LX41" s="24">
        <v>0</v>
      </c>
      <c r="LY41" s="24">
        <v>0</v>
      </c>
      <c r="LZ41" s="24">
        <v>0</v>
      </c>
      <c r="MA41" s="24">
        <v>0</v>
      </c>
      <c r="MB41" s="24">
        <v>0</v>
      </c>
      <c r="MC41" s="24">
        <v>0</v>
      </c>
      <c r="MD41" s="24">
        <v>0</v>
      </c>
      <c r="ME41" s="24">
        <v>0</v>
      </c>
      <c r="MF41" s="24">
        <v>0</v>
      </c>
      <c r="MG41" s="24">
        <v>0</v>
      </c>
      <c r="MH41" s="24">
        <v>0</v>
      </c>
      <c r="MI41" s="24">
        <v>0</v>
      </c>
      <c r="MJ41" s="24">
        <v>0</v>
      </c>
      <c r="MK41" s="24">
        <v>0</v>
      </c>
      <c r="ML41" s="24">
        <v>0</v>
      </c>
      <c r="MM41" s="24">
        <v>0</v>
      </c>
      <c r="MN41" s="24">
        <v>0</v>
      </c>
      <c r="MO41" s="24">
        <v>0</v>
      </c>
      <c r="MP41" s="24">
        <v>0</v>
      </c>
      <c r="MQ41" s="24">
        <v>0</v>
      </c>
      <c r="MR41" s="24">
        <v>156923</v>
      </c>
      <c r="MS41" s="24">
        <v>0</v>
      </c>
      <c r="MT41" s="24">
        <v>0</v>
      </c>
      <c r="MU41" s="24">
        <v>0</v>
      </c>
      <c r="MV41" s="24">
        <v>0</v>
      </c>
      <c r="MW41" s="24">
        <v>0</v>
      </c>
      <c r="MX41" s="24">
        <v>0</v>
      </c>
      <c r="MY41" s="24">
        <v>0</v>
      </c>
      <c r="MZ41" s="24">
        <v>0</v>
      </c>
      <c r="NA41" s="24">
        <v>0</v>
      </c>
      <c r="NB41" s="24">
        <v>0</v>
      </c>
      <c r="NC41" s="24">
        <v>0</v>
      </c>
      <c r="ND41" s="24">
        <v>0</v>
      </c>
      <c r="NE41" s="24">
        <v>0</v>
      </c>
      <c r="NF41" s="24">
        <v>0</v>
      </c>
      <c r="NG41" s="24">
        <v>0</v>
      </c>
      <c r="NH41" s="24">
        <v>0</v>
      </c>
      <c r="NI41" s="24">
        <v>0</v>
      </c>
      <c r="NJ41" s="24">
        <v>0</v>
      </c>
      <c r="NK41" s="24">
        <v>0</v>
      </c>
      <c r="NL41" s="24">
        <v>0</v>
      </c>
      <c r="NM41" s="24">
        <v>0</v>
      </c>
      <c r="NN41" s="24">
        <v>0</v>
      </c>
      <c r="NO41" s="24">
        <v>0</v>
      </c>
      <c r="NP41" s="24">
        <v>0</v>
      </c>
      <c r="NQ41" s="24">
        <v>21337</v>
      </c>
      <c r="NR41" s="24">
        <v>0</v>
      </c>
      <c r="NS41" s="24">
        <v>0</v>
      </c>
      <c r="NT41" s="24">
        <v>0</v>
      </c>
      <c r="NU41" s="24">
        <v>0</v>
      </c>
      <c r="NV41" s="24">
        <v>26645</v>
      </c>
      <c r="NW41" s="24">
        <v>32381</v>
      </c>
      <c r="NX41" s="24">
        <v>0</v>
      </c>
      <c r="NY41" s="24">
        <v>0</v>
      </c>
      <c r="NZ41" s="24">
        <v>0</v>
      </c>
      <c r="OA41" s="24">
        <v>0</v>
      </c>
      <c r="OB41" s="24">
        <v>0</v>
      </c>
      <c r="OC41" s="24">
        <v>0</v>
      </c>
      <c r="OD41" s="24">
        <v>0</v>
      </c>
      <c r="OE41" s="24">
        <v>0</v>
      </c>
      <c r="OF41" s="24">
        <v>0</v>
      </c>
      <c r="OG41" s="24">
        <v>0</v>
      </c>
      <c r="OH41" s="24">
        <v>0</v>
      </c>
      <c r="OI41" s="24">
        <v>0</v>
      </c>
      <c r="OJ41" s="24">
        <v>0</v>
      </c>
      <c r="OK41" s="24">
        <v>29939</v>
      </c>
      <c r="OL41" s="24">
        <v>0</v>
      </c>
      <c r="OM41" s="24">
        <v>0</v>
      </c>
      <c r="ON41" s="24">
        <v>0</v>
      </c>
      <c r="OO41" s="24">
        <v>0</v>
      </c>
      <c r="OP41" s="24">
        <v>0</v>
      </c>
      <c r="OQ41" s="24">
        <v>0</v>
      </c>
      <c r="OR41" s="24">
        <v>0</v>
      </c>
      <c r="OS41" s="24">
        <v>0</v>
      </c>
      <c r="OT41" s="24">
        <v>0</v>
      </c>
      <c r="OU41" s="24">
        <v>4896467</v>
      </c>
      <c r="OV41" s="24">
        <v>0</v>
      </c>
      <c r="OW41" s="24">
        <v>0</v>
      </c>
      <c r="OX41" s="24">
        <v>0</v>
      </c>
      <c r="OY41" s="24">
        <v>0</v>
      </c>
      <c r="OZ41" s="24">
        <v>0</v>
      </c>
      <c r="PA41" s="24">
        <v>0</v>
      </c>
      <c r="PB41" s="24">
        <v>0</v>
      </c>
      <c r="PC41" s="24">
        <v>0</v>
      </c>
      <c r="PD41" s="24">
        <v>0</v>
      </c>
      <c r="PE41" s="24">
        <v>0</v>
      </c>
      <c r="PF41" s="24">
        <v>0</v>
      </c>
      <c r="PG41" s="24">
        <v>0</v>
      </c>
      <c r="PH41" s="24">
        <v>0</v>
      </c>
      <c r="PI41" s="24">
        <v>0</v>
      </c>
      <c r="PJ41" s="24">
        <v>0</v>
      </c>
      <c r="PK41" s="24">
        <v>0</v>
      </c>
      <c r="PL41" s="24">
        <v>0</v>
      </c>
      <c r="PM41" s="24">
        <v>0</v>
      </c>
      <c r="PN41" s="24">
        <v>0</v>
      </c>
      <c r="PO41" s="24">
        <v>0</v>
      </c>
      <c r="PP41" s="24">
        <v>0</v>
      </c>
      <c r="PQ41" s="24">
        <v>0</v>
      </c>
      <c r="PR41" s="24">
        <v>0</v>
      </c>
      <c r="PS41" s="24">
        <v>0</v>
      </c>
      <c r="PT41" s="24">
        <v>0</v>
      </c>
      <c r="PU41" s="24">
        <v>0</v>
      </c>
      <c r="PV41" s="24">
        <v>0</v>
      </c>
      <c r="PW41" s="24">
        <v>15048</v>
      </c>
      <c r="PX41" s="24">
        <v>0</v>
      </c>
      <c r="PY41" s="24">
        <v>0</v>
      </c>
      <c r="PZ41" s="24">
        <v>0</v>
      </c>
      <c r="QA41" s="24">
        <v>0</v>
      </c>
      <c r="QB41" s="24">
        <v>0</v>
      </c>
      <c r="QC41" s="24">
        <v>0</v>
      </c>
      <c r="QD41" s="24">
        <v>0</v>
      </c>
      <c r="QE41" s="24">
        <v>0</v>
      </c>
      <c r="QF41" s="24">
        <v>0</v>
      </c>
      <c r="QG41" s="24">
        <v>0</v>
      </c>
      <c r="QH41" s="24">
        <v>0</v>
      </c>
      <c r="QI41" s="24">
        <v>0</v>
      </c>
      <c r="QJ41" s="24">
        <v>0</v>
      </c>
      <c r="QK41" s="24">
        <v>0</v>
      </c>
      <c r="QL41" s="24">
        <v>0</v>
      </c>
      <c r="QM41" s="24">
        <v>0</v>
      </c>
      <c r="QN41" s="24">
        <v>0</v>
      </c>
      <c r="QO41" s="24">
        <v>0</v>
      </c>
      <c r="QP41" s="24">
        <v>0</v>
      </c>
      <c r="QQ41" s="24">
        <v>0</v>
      </c>
      <c r="QR41" s="24">
        <v>0</v>
      </c>
      <c r="QS41" s="24">
        <v>0</v>
      </c>
      <c r="QT41" s="24">
        <v>0</v>
      </c>
      <c r="QU41" s="24">
        <v>0</v>
      </c>
      <c r="QV41" s="24">
        <v>0</v>
      </c>
      <c r="QW41" s="24">
        <v>17189</v>
      </c>
      <c r="QX41" s="24">
        <v>0</v>
      </c>
      <c r="QY41" s="24">
        <v>0</v>
      </c>
      <c r="QZ41" s="24">
        <v>0</v>
      </c>
      <c r="RA41" s="24">
        <v>0</v>
      </c>
      <c r="RB41" s="24">
        <v>0</v>
      </c>
      <c r="RG41" s="39">
        <f t="shared" si="48"/>
        <v>2175867</v>
      </c>
      <c r="RH41" s="39">
        <f t="shared" si="48"/>
        <v>98793</v>
      </c>
      <c r="RI41" s="39">
        <f t="shared" si="48"/>
        <v>0</v>
      </c>
      <c r="RJ41" s="39">
        <f t="shared" si="48"/>
        <v>0</v>
      </c>
      <c r="RK41" s="39">
        <f t="shared" si="48"/>
        <v>0</v>
      </c>
      <c r="RL41" s="39">
        <f t="shared" si="48"/>
        <v>292621</v>
      </c>
      <c r="RM41" s="39">
        <f t="shared" si="48"/>
        <v>119528</v>
      </c>
      <c r="RN41" s="39">
        <f t="shared" si="48"/>
        <v>2750</v>
      </c>
      <c r="RO41" s="39">
        <f t="shared" si="48"/>
        <v>24876</v>
      </c>
      <c r="RP41" s="39">
        <f t="shared" si="48"/>
        <v>0</v>
      </c>
      <c r="RQ41" s="39">
        <f t="shared" si="48"/>
        <v>20207</v>
      </c>
      <c r="RR41" s="39">
        <f t="shared" si="48"/>
        <v>46910</v>
      </c>
      <c r="RS41" s="39"/>
      <c r="RT41" s="182"/>
      <c r="RU41" s="39"/>
      <c r="RV41" s="39">
        <f t="shared" si="49"/>
        <v>435870</v>
      </c>
      <c r="RW41" s="39">
        <f t="shared" si="49"/>
        <v>2781552</v>
      </c>
      <c r="RX41" s="39">
        <f t="shared" si="49"/>
        <v>545182</v>
      </c>
      <c r="RY41" s="39">
        <f t="shared" si="49"/>
        <v>4928704</v>
      </c>
      <c r="RZ41" s="39"/>
      <c r="SA41" s="182"/>
      <c r="SB41" s="39"/>
      <c r="SC41" s="25">
        <f t="shared" si="50"/>
        <v>1453.8186666666666</v>
      </c>
      <c r="SD41" s="39">
        <f>IFERROR(VLOOKUP(A41, 'Levy Data 15-16'!$B:$O, 3, FALSE), 0)</f>
        <v>91842931</v>
      </c>
      <c r="SE41" s="39">
        <f t="shared" si="9"/>
        <v>244914.48266666668</v>
      </c>
      <c r="SF41" s="631">
        <f>IFERROR(VLOOKUP(A41, 'Levy Data 15-16'!$B:$O, 14, FALSE), 0)*1000</f>
        <v>4.9784129999999998</v>
      </c>
      <c r="SG41" s="39">
        <f t="shared" si="10"/>
        <v>0</v>
      </c>
      <c r="SH41" s="39">
        <f t="shared" si="11"/>
        <v>0</v>
      </c>
      <c r="SI41" s="39">
        <f t="shared" si="12"/>
        <v>545182</v>
      </c>
      <c r="SM41" s="39">
        <f t="shared" si="13"/>
        <v>2781552</v>
      </c>
      <c r="SN41" s="39">
        <f t="shared" si="14"/>
        <v>0</v>
      </c>
      <c r="SO41" s="39">
        <f t="shared" si="51"/>
        <v>2781552</v>
      </c>
      <c r="SP41" s="50">
        <f t="shared" si="52"/>
        <v>1</v>
      </c>
      <c r="ST41" s="124">
        <f>IFERROR(VLOOKUP(A41,'Grade Enroll 15-16'!B:AC,27,FALSE),"")</f>
        <v>375</v>
      </c>
      <c r="SU41" s="124">
        <f t="shared" si="53"/>
        <v>251.27877237851661</v>
      </c>
      <c r="SV41" s="131">
        <f>IFERROR(VLOOKUP($A41, 'Title I Enroll 16-17'!S:V, 4, FALSE), 0)</f>
        <v>0.67007672634271098</v>
      </c>
      <c r="SW41" s="729">
        <f>IFERROR(VLOOKUP(A41, 'ELL Enroll 15-16'!$N:$S, 6, FALSE), 0)</f>
        <v>55</v>
      </c>
      <c r="SX41" s="131">
        <f t="shared" si="54"/>
        <v>0.14666666666666667</v>
      </c>
      <c r="SY41" s="124">
        <f>IFERROR(VLOOKUP(A41, 'SPED enroll 2015-16'!$M:$O, 3, FALSE), 0)</f>
        <v>44</v>
      </c>
      <c r="SZ41" s="131">
        <f t="shared" si="55"/>
        <v>0.11733333333333333</v>
      </c>
      <c r="TA41" s="142">
        <f t="shared" si="87"/>
        <v>30.799999999999997</v>
      </c>
      <c r="TB41" s="142">
        <f t="shared" si="87"/>
        <v>8.8000000000000007</v>
      </c>
      <c r="TC41" s="142">
        <f t="shared" si="87"/>
        <v>3.08</v>
      </c>
      <c r="TD41" s="142">
        <f t="shared" si="87"/>
        <v>1.3199999999999998</v>
      </c>
      <c r="TE41" s="124">
        <f>VLOOKUP($A41, 'Grade Enroll 15-16'!$B:$AB, 20, FALSE)</f>
        <v>0</v>
      </c>
      <c r="TF41" s="124">
        <f>VLOOKUP($A41, 'Grade Enroll 15-16'!$B:$AB, 21, FALSE)</f>
        <v>27</v>
      </c>
      <c r="TG41" s="124">
        <f>VLOOKUP($A41, 'Grade Enroll 15-16'!$B:$AB, 22, FALSE)</f>
        <v>80</v>
      </c>
      <c r="TH41" s="124">
        <f>VLOOKUP($A41, 'Grade Enroll 15-16'!$B:$AB, 23, FALSE)</f>
        <v>94</v>
      </c>
      <c r="TI41" s="124">
        <f>VLOOKUP($A41, 'Grade Enroll 15-16'!$B:$AB, 24, FALSE)</f>
        <v>70</v>
      </c>
      <c r="TJ41" s="124">
        <f>VLOOKUP($A41, 'Grade Enroll 15-16'!$B:$AB, 25, FALSE)</f>
        <v>131</v>
      </c>
      <c r="TK41" s="124">
        <f>VLOOKUP($A41, 'Grade Enroll 15-16'!$B:$AB, 26, FALSE)</f>
        <v>262</v>
      </c>
      <c r="TL41" s="131">
        <f>SUMIFS('Student Achievement 15-16'!N:N, 'Student Achievement 15-16'!B:B, 'Idaho Data'!A41, 'Student Achievement 15-16'!D:D, "math")/100</f>
        <v>0.40200000000000002</v>
      </c>
      <c r="TM41" s="134">
        <f t="shared" si="57"/>
        <v>150.75</v>
      </c>
      <c r="TN41" s="131">
        <f>SUMIFS('Student Achievement 15-16'!N:N, 'Student Achievement 15-16'!B:B, 'Idaho Data'!A41, 'Student Achievement 15-16'!D:D, "ela")/100</f>
        <v>0.379</v>
      </c>
      <c r="TO41" s="134">
        <f t="shared" si="58"/>
        <v>142.125</v>
      </c>
      <c r="TP41" s="688">
        <f>IFERROR(VLOOKUP(A41, 'G&amp;T 15-16'!B:G, 6, FALSE), 0)*1</f>
        <v>19</v>
      </c>
      <c r="TQ41" s="168">
        <f t="shared" si="59"/>
        <v>22.5</v>
      </c>
      <c r="TU41" s="168">
        <f t="shared" si="60"/>
        <v>142.125</v>
      </c>
      <c r="TV41" s="168">
        <f t="shared" si="61"/>
        <v>150.75</v>
      </c>
      <c r="TW41" s="205">
        <f t="shared" si="62"/>
        <v>150.75</v>
      </c>
      <c r="TX41" s="144"/>
      <c r="TY41" s="129"/>
      <c r="TZ41" s="127">
        <f t="shared" si="63"/>
        <v>19</v>
      </c>
      <c r="UA41" s="127">
        <f t="shared" si="64"/>
        <v>22.5</v>
      </c>
      <c r="UB41" s="205">
        <f t="shared" si="65"/>
        <v>22.5</v>
      </c>
      <c r="UE41" s="853" t="str">
        <f>IF(ST41&lt;='1. Simulator Input'!$E$104, "yes", "")</f>
        <v/>
      </c>
      <c r="UI41" s="199">
        <f t="shared" si="66"/>
        <v>0</v>
      </c>
      <c r="UJ41" s="200">
        <f>IF('Idaho Data'!SI41&gt;=0, ((1-'1. Simulator Input'!$E$39)*'Idaho Data'!SI41), 0)</f>
        <v>0</v>
      </c>
      <c r="UK41" s="200">
        <f t="shared" si="67"/>
        <v>2781552</v>
      </c>
      <c r="UL41" s="39"/>
      <c r="UM41" s="182"/>
      <c r="UN41" s="39"/>
      <c r="UO41" s="39" t="str">
        <f>IF(AND('1. Simulator Input'!$E$96="yes", '1. Simulator Input'!$E$98="yes", '1. Simulator Input'!$E$100="hold harmless"), 'Idaho Data'!WN41, IF(AND('1. Simulator Input'!$E$96="yes", '1. Simulator Input'!$E$98="no", '1. Simulator Input'!$E$100="hold harmless"), 'Idaho Data'!WM41, IF(AND('1. Simulator Input'!$E$96="yes", '1. Simulator Input'!$E$98="yes", '1. Simulator Input'!$E$100="small district grant"), WL41,IF(AND('1. Simulator Input'!$E$96="yes", '1. Simulator Input'!$E$98="no", '1. Simulator Input'!$E$100="small district grant"), WK41, ""))))</f>
        <v/>
      </c>
      <c r="UP41" s="200">
        <f>'1. Simulator Input'!$D$56*('Idaho Data'!ST41)</f>
        <v>2072250</v>
      </c>
      <c r="UQ41" s="204">
        <f>'1. Simulator Input'!$D$65*'1. Simulator Input'!$D$56*'Idaho Data'!SU41</f>
        <v>0</v>
      </c>
      <c r="UR41" s="204">
        <f>'1. Simulator Input'!$D$66*'1. Simulator Input'!$D$56*'Idaho Data'!SW41</f>
        <v>0</v>
      </c>
      <c r="US41" s="200">
        <f>'1. Simulator Input'!$D$67*'1. Simulator Input'!$D$56*'Idaho Data'!TA41</f>
        <v>0</v>
      </c>
      <c r="UT41" s="200">
        <f>'1. Simulator Input'!$D$68*'1. Simulator Input'!$D$56*'Idaho Data'!TB41</f>
        <v>0</v>
      </c>
      <c r="UU41" s="200">
        <f>'1. Simulator Input'!$D$69*'1. Simulator Input'!$D$56*'Idaho Data'!TC41</f>
        <v>0</v>
      </c>
      <c r="UV41" s="200">
        <f>'1. Simulator Input'!$D$70*'1. Simulator Input'!$D$56*TD41</f>
        <v>0</v>
      </c>
      <c r="UW41" s="200">
        <f>'1. Simulator Input'!$D$80*'1. Simulator Input'!$D$56*TW41</f>
        <v>0</v>
      </c>
      <c r="UX41" s="200">
        <f>'1. Simulator Input'!$D$79*'1. Simulator Input'!$D$56*UB41</f>
        <v>0</v>
      </c>
      <c r="UY41" s="200">
        <f>'1. Simulator Input'!$D$87*'1. Simulator Input'!$D$56*TF41</f>
        <v>74601</v>
      </c>
      <c r="UZ41" s="200">
        <f>'1. Simulator Input'!$D$73*'1. Simulator Input'!$D$56*'Idaho Data'!TG41</f>
        <v>0</v>
      </c>
      <c r="VA41" s="200">
        <f>'1. Simulator Input'!$D$56*'1. Simulator Input'!$D$74*'Idaho Data'!TH41</f>
        <v>0</v>
      </c>
      <c r="VB41" s="200">
        <f>'1. Simulator Input'!$D$56*'1. Simulator Input'!$D$75*'Idaho Data'!TI36</f>
        <v>0</v>
      </c>
      <c r="VC41" s="200">
        <f>'1. Simulator Input'!$D$76*'1. Simulator Input'!$D$56*'Idaho Data'!TJ41</f>
        <v>0</v>
      </c>
      <c r="VD41" s="200">
        <f t="shared" si="68"/>
        <v>2146851</v>
      </c>
      <c r="VE41" s="200"/>
      <c r="VF41" s="182"/>
      <c r="VG41" s="200"/>
      <c r="VH41" s="200">
        <f t="shared" si="69"/>
        <v>0</v>
      </c>
      <c r="VI41" s="200">
        <f t="shared" si="70"/>
        <v>0</v>
      </c>
      <c r="VJ41" s="200">
        <f t="shared" si="16"/>
        <v>2146851</v>
      </c>
      <c r="VK41" s="200">
        <f t="shared" si="17"/>
        <v>2146851</v>
      </c>
      <c r="VL41" s="200"/>
      <c r="VM41" s="182"/>
      <c r="VN41" s="200"/>
      <c r="VO41" s="200">
        <f t="shared" si="71"/>
        <v>435870</v>
      </c>
      <c r="VP41" s="200">
        <f t="shared" si="72"/>
        <v>2781552</v>
      </c>
      <c r="VQ41" s="200">
        <f t="shared" si="73"/>
        <v>545182</v>
      </c>
      <c r="VR41" s="200">
        <f t="shared" si="74"/>
        <v>435870</v>
      </c>
      <c r="VS41" s="200">
        <f t="shared" si="18"/>
        <v>2146851</v>
      </c>
      <c r="VT41" s="200">
        <f t="shared" si="19"/>
        <v>545182</v>
      </c>
      <c r="VU41" s="200">
        <f t="shared" si="20"/>
        <v>0</v>
      </c>
      <c r="VV41" s="200"/>
      <c r="VW41" s="182"/>
      <c r="VX41" s="200"/>
      <c r="VZ41" s="199">
        <f t="shared" si="75"/>
        <v>-634701</v>
      </c>
      <c r="WA41" s="199">
        <f t="shared" si="76"/>
        <v>-1692.5360000000001</v>
      </c>
      <c r="WB41" s="131">
        <f t="shared" si="77"/>
        <v>-0.22818232411258174</v>
      </c>
      <c r="WC41" s="131"/>
      <c r="WD41" s="461"/>
      <c r="WE41" s="893"/>
      <c r="WF41" s="893">
        <f t="shared" si="78"/>
        <v>10033.610666666667</v>
      </c>
      <c r="WG41" s="893">
        <f t="shared" si="79"/>
        <v>8341.0746666666673</v>
      </c>
      <c r="WH41" s="893"/>
      <c r="WI41" s="893">
        <f t="shared" si="80"/>
        <v>2781552</v>
      </c>
      <c r="WJ41" s="893">
        <f t="shared" si="21"/>
        <v>2146851</v>
      </c>
      <c r="WK41" s="39" t="str">
        <f t="shared" si="22"/>
        <v/>
      </c>
      <c r="WL41" s="39" t="str">
        <f t="shared" si="23"/>
        <v/>
      </c>
      <c r="WM41" s="200" t="str">
        <f t="shared" si="24"/>
        <v/>
      </c>
      <c r="WN41" s="39" t="str">
        <f t="shared" si="25"/>
        <v/>
      </c>
      <c r="WO41" s="39"/>
      <c r="WP41" s="182"/>
      <c r="WQ41" s="39"/>
      <c r="WR41" s="305">
        <f t="shared" si="26"/>
        <v>0.122</v>
      </c>
      <c r="WT41" s="200">
        <f t="shared" si="27"/>
        <v>7417.4719999999998</v>
      </c>
      <c r="WU41" s="131">
        <f t="shared" si="81"/>
        <v>0.69</v>
      </c>
      <c r="WW41" s="199">
        <f t="shared" si="28"/>
        <v>435870</v>
      </c>
      <c r="WX41" s="199">
        <f t="shared" si="29"/>
        <v>2146851</v>
      </c>
      <c r="WY41" s="199">
        <f t="shared" si="30"/>
        <v>0</v>
      </c>
      <c r="WZ41" s="199">
        <f t="shared" si="82"/>
        <v>2146851</v>
      </c>
      <c r="XA41" s="199">
        <f t="shared" si="31"/>
        <v>0</v>
      </c>
      <c r="XB41" s="199">
        <f t="shared" si="32"/>
        <v>545182</v>
      </c>
      <c r="XC41" s="199">
        <f t="shared" si="33"/>
        <v>545182</v>
      </c>
      <c r="XD41" s="199" t="str">
        <f t="shared" si="34"/>
        <v/>
      </c>
      <c r="XE41" s="199"/>
      <c r="XF41" s="199"/>
      <c r="XG41" s="199"/>
      <c r="XH41" s="199"/>
      <c r="XI41" s="199"/>
      <c r="XJ41" s="199">
        <f t="shared" si="83"/>
        <v>2146851</v>
      </c>
      <c r="XP41" s="199">
        <f t="shared" si="35"/>
        <v>2146851</v>
      </c>
      <c r="XQ41" s="199">
        <f t="shared" si="36"/>
        <v>5724.9359999999997</v>
      </c>
      <c r="XR41" s="199">
        <f t="shared" si="37"/>
        <v>2146851</v>
      </c>
      <c r="XS41" s="199">
        <f t="shared" si="38"/>
        <v>2146851</v>
      </c>
      <c r="XT41" s="199">
        <f t="shared" si="39"/>
        <v>5724.9359999999997</v>
      </c>
      <c r="XU41" s="199">
        <f t="shared" si="40"/>
        <v>2781552</v>
      </c>
      <c r="XV41" s="199">
        <f t="shared" si="41"/>
        <v>7417.4719999999998</v>
      </c>
      <c r="XW41" s="199">
        <f t="shared" si="42"/>
        <v>2781552</v>
      </c>
      <c r="XX41" s="199">
        <f t="shared" si="43"/>
        <v>7417.4719999999998</v>
      </c>
      <c r="XY41" s="199">
        <f t="shared" si="84"/>
        <v>-634701</v>
      </c>
      <c r="XZ41" s="199">
        <f t="shared" si="85"/>
        <v>-1692.5360000000001</v>
      </c>
      <c r="YA41" s="131">
        <f t="shared" si="86"/>
        <v>-0.22818232411258177</v>
      </c>
      <c r="YB41" s="199"/>
      <c r="YC41" s="221"/>
      <c r="YD41" s="199"/>
      <c r="YE41" s="199">
        <f t="shared" si="44"/>
        <v>435870</v>
      </c>
      <c r="YF41" s="200">
        <f t="shared" si="45"/>
        <v>0</v>
      </c>
      <c r="YG41" s="199">
        <f t="shared" si="46"/>
        <v>545182</v>
      </c>
      <c r="YH41" s="199">
        <f t="shared" si="47"/>
        <v>4928704</v>
      </c>
    </row>
    <row r="42" spans="1:658">
      <c r="A42" s="3">
        <v>136</v>
      </c>
      <c r="B42" s="2" t="s">
        <v>134</v>
      </c>
      <c r="C42" s="24">
        <v>0</v>
      </c>
      <c r="D42" s="24">
        <v>0</v>
      </c>
      <c r="E42" s="24">
        <v>0</v>
      </c>
      <c r="F42" s="24">
        <v>0</v>
      </c>
      <c r="G42" s="24">
        <v>0</v>
      </c>
      <c r="H42" s="24">
        <v>0</v>
      </c>
      <c r="I42" s="24">
        <v>0</v>
      </c>
      <c r="J42" s="24">
        <v>0</v>
      </c>
      <c r="K42" s="24">
        <v>0</v>
      </c>
      <c r="L42" s="24">
        <v>0</v>
      </c>
      <c r="M42" s="24">
        <v>0</v>
      </c>
      <c r="N42" s="24">
        <v>0</v>
      </c>
      <c r="O42" s="24">
        <v>0</v>
      </c>
      <c r="P42" s="24">
        <v>0</v>
      </c>
      <c r="Q42" s="24">
        <v>0</v>
      </c>
      <c r="R42" s="24">
        <v>0</v>
      </c>
      <c r="S42" s="24">
        <v>0</v>
      </c>
      <c r="T42" s="24">
        <v>0</v>
      </c>
      <c r="U42" s="24">
        <v>0</v>
      </c>
      <c r="V42" s="24">
        <v>0</v>
      </c>
      <c r="W42" s="24">
        <v>0</v>
      </c>
      <c r="X42" s="24">
        <v>680854</v>
      </c>
      <c r="Y42" s="24">
        <v>0</v>
      </c>
      <c r="Z42" s="24">
        <v>0</v>
      </c>
      <c r="AA42" s="24">
        <v>0</v>
      </c>
      <c r="AB42" s="24">
        <v>0</v>
      </c>
      <c r="AC42" s="24">
        <v>0</v>
      </c>
      <c r="AD42" s="24">
        <v>0</v>
      </c>
      <c r="AE42" s="24">
        <v>0</v>
      </c>
      <c r="AF42" s="24">
        <v>0</v>
      </c>
      <c r="AG42" s="24">
        <v>0</v>
      </c>
      <c r="AH42" s="24">
        <v>0</v>
      </c>
      <c r="AI42" s="24">
        <v>0</v>
      </c>
      <c r="AJ42" s="24">
        <v>0</v>
      </c>
      <c r="AK42" s="24">
        <v>0</v>
      </c>
      <c r="AL42" s="24">
        <v>5232</v>
      </c>
      <c r="AM42" s="24">
        <v>0</v>
      </c>
      <c r="AN42" s="24">
        <v>0</v>
      </c>
      <c r="AO42" s="24">
        <v>0</v>
      </c>
      <c r="AP42" s="24">
        <v>0</v>
      </c>
      <c r="AQ42" s="24">
        <v>0</v>
      </c>
      <c r="AR42" s="24">
        <v>0</v>
      </c>
      <c r="AS42" s="24">
        <v>0</v>
      </c>
      <c r="AT42" s="24">
        <v>0</v>
      </c>
      <c r="AU42" s="24">
        <v>0</v>
      </c>
      <c r="AV42" s="24">
        <v>0</v>
      </c>
      <c r="AW42" s="24">
        <v>0</v>
      </c>
      <c r="AX42" s="24">
        <v>142</v>
      </c>
      <c r="AY42" s="24">
        <v>0</v>
      </c>
      <c r="AZ42" s="24">
        <v>0</v>
      </c>
      <c r="BA42" s="24">
        <v>0</v>
      </c>
      <c r="BB42" s="24">
        <v>0</v>
      </c>
      <c r="BC42" s="24">
        <v>173</v>
      </c>
      <c r="BD42" s="24">
        <v>645</v>
      </c>
      <c r="BE42" s="24">
        <v>18554</v>
      </c>
      <c r="BF42" s="24">
        <v>6924</v>
      </c>
      <c r="BG42" s="24">
        <v>0</v>
      </c>
      <c r="BH42" s="24">
        <v>0</v>
      </c>
      <c r="BI42" s="24">
        <v>0</v>
      </c>
      <c r="BJ42" s="24">
        <v>0</v>
      </c>
      <c r="BK42" s="24">
        <v>0</v>
      </c>
      <c r="BL42" s="24">
        <v>0</v>
      </c>
      <c r="BM42" s="24">
        <v>0</v>
      </c>
      <c r="BN42" s="24">
        <v>0</v>
      </c>
      <c r="BO42" s="24">
        <v>0</v>
      </c>
      <c r="BP42" s="24">
        <v>0</v>
      </c>
      <c r="BQ42" s="24">
        <v>0</v>
      </c>
      <c r="BR42" s="24">
        <v>0</v>
      </c>
      <c r="BS42" s="24">
        <v>163</v>
      </c>
      <c r="BT42" s="24">
        <v>0</v>
      </c>
      <c r="BU42" s="24">
        <v>0</v>
      </c>
      <c r="BV42" s="24">
        <v>0</v>
      </c>
      <c r="BW42" s="24">
        <v>0</v>
      </c>
      <c r="BX42" s="24">
        <v>0</v>
      </c>
      <c r="BY42" s="24">
        <v>0</v>
      </c>
      <c r="BZ42" s="24">
        <v>0</v>
      </c>
      <c r="CA42" s="24">
        <v>0</v>
      </c>
      <c r="CB42" s="24">
        <v>0</v>
      </c>
      <c r="CC42" s="24">
        <v>0</v>
      </c>
      <c r="CD42" s="24">
        <v>58409</v>
      </c>
      <c r="CE42" s="24">
        <v>6874</v>
      </c>
      <c r="CF42" s="24">
        <v>0</v>
      </c>
      <c r="CG42" s="24">
        <v>3254</v>
      </c>
      <c r="CH42" s="24">
        <v>0</v>
      </c>
      <c r="CI42" s="24">
        <v>0</v>
      </c>
      <c r="CJ42" s="24">
        <v>0</v>
      </c>
      <c r="CK42" s="24">
        <v>0</v>
      </c>
      <c r="CL42" s="24">
        <v>0</v>
      </c>
      <c r="CM42" s="24">
        <v>0</v>
      </c>
      <c r="CN42" s="24">
        <v>0</v>
      </c>
      <c r="CO42" s="24">
        <v>0</v>
      </c>
      <c r="CP42" s="24">
        <v>0</v>
      </c>
      <c r="CQ42" s="24">
        <v>0</v>
      </c>
      <c r="CR42" s="24">
        <v>0</v>
      </c>
      <c r="CS42" s="24">
        <v>0</v>
      </c>
      <c r="CT42" s="24">
        <v>0</v>
      </c>
      <c r="CU42" s="24">
        <v>0</v>
      </c>
      <c r="CV42" s="24">
        <v>0</v>
      </c>
      <c r="CW42" s="24">
        <v>0</v>
      </c>
      <c r="CX42" s="24">
        <v>0</v>
      </c>
      <c r="CY42" s="24">
        <v>0</v>
      </c>
      <c r="CZ42" s="24">
        <v>0</v>
      </c>
      <c r="DA42" s="24">
        <v>0</v>
      </c>
      <c r="DB42" s="24">
        <v>11578</v>
      </c>
      <c r="DC42" s="24">
        <v>0</v>
      </c>
      <c r="DD42" s="24">
        <v>0</v>
      </c>
      <c r="DE42" s="24">
        <v>0</v>
      </c>
      <c r="DF42" s="24">
        <v>0</v>
      </c>
      <c r="DG42" s="24">
        <v>0</v>
      </c>
      <c r="DH42" s="24">
        <v>0</v>
      </c>
      <c r="DI42" s="24">
        <v>0</v>
      </c>
      <c r="DJ42" s="24">
        <v>0</v>
      </c>
      <c r="DK42" s="24">
        <v>0</v>
      </c>
      <c r="DL42" s="24">
        <v>0</v>
      </c>
      <c r="DM42" s="24">
        <v>0</v>
      </c>
      <c r="DN42" s="24">
        <v>0</v>
      </c>
      <c r="DO42" s="24">
        <v>0</v>
      </c>
      <c r="DP42" s="24">
        <v>0</v>
      </c>
      <c r="DQ42" s="24">
        <v>0</v>
      </c>
      <c r="DR42" s="24">
        <v>0</v>
      </c>
      <c r="DS42" s="24">
        <v>0</v>
      </c>
      <c r="DT42" s="24">
        <v>0</v>
      </c>
      <c r="DU42" s="24">
        <v>0</v>
      </c>
      <c r="DV42" s="24">
        <v>0</v>
      </c>
      <c r="DW42" s="24">
        <v>0</v>
      </c>
      <c r="DX42" s="24">
        <v>0</v>
      </c>
      <c r="DY42" s="24">
        <v>0</v>
      </c>
      <c r="DZ42" s="24">
        <v>0</v>
      </c>
      <c r="EA42" s="24">
        <v>0</v>
      </c>
      <c r="EB42" s="24">
        <v>0</v>
      </c>
      <c r="EC42" s="24">
        <v>0</v>
      </c>
      <c r="ED42" s="24">
        <v>0</v>
      </c>
      <c r="EE42" s="24">
        <v>0</v>
      </c>
      <c r="EF42" s="24">
        <v>0</v>
      </c>
      <c r="EG42" s="24">
        <v>13355</v>
      </c>
      <c r="EH42" s="24">
        <v>0</v>
      </c>
      <c r="EI42" s="24">
        <v>0</v>
      </c>
      <c r="EJ42" s="24">
        <v>0</v>
      </c>
      <c r="EK42" s="24">
        <v>0</v>
      </c>
      <c r="EL42" s="24">
        <v>0</v>
      </c>
      <c r="EM42" s="24">
        <v>0</v>
      </c>
      <c r="EN42" s="24">
        <v>0</v>
      </c>
      <c r="EO42" s="24">
        <v>0</v>
      </c>
      <c r="EP42" s="24">
        <v>0</v>
      </c>
      <c r="EQ42" s="24">
        <v>0</v>
      </c>
      <c r="ER42" s="24">
        <v>0</v>
      </c>
      <c r="ES42" s="24">
        <v>0</v>
      </c>
      <c r="ET42" s="24">
        <v>0</v>
      </c>
      <c r="EU42" s="24">
        <v>0</v>
      </c>
      <c r="EV42" s="24">
        <v>0</v>
      </c>
      <c r="EW42" s="24">
        <v>0</v>
      </c>
      <c r="EX42" s="24">
        <v>0</v>
      </c>
      <c r="EY42" s="24">
        <v>27842</v>
      </c>
      <c r="EZ42" s="24">
        <v>0</v>
      </c>
      <c r="FA42" s="24">
        <v>0</v>
      </c>
      <c r="FB42" s="24">
        <v>0</v>
      </c>
      <c r="FC42" s="24">
        <v>0</v>
      </c>
      <c r="FD42" s="24">
        <v>0</v>
      </c>
      <c r="FE42" s="24">
        <v>0</v>
      </c>
      <c r="FF42" s="24">
        <v>0</v>
      </c>
      <c r="FG42" s="24">
        <v>0</v>
      </c>
      <c r="FH42" s="24">
        <v>0</v>
      </c>
      <c r="FI42" s="24">
        <v>0</v>
      </c>
      <c r="FJ42" s="24">
        <v>0</v>
      </c>
      <c r="FK42" s="24">
        <v>0</v>
      </c>
      <c r="FL42" s="24">
        <v>18268</v>
      </c>
      <c r="FM42" s="24">
        <v>0</v>
      </c>
      <c r="FN42" s="24">
        <v>0</v>
      </c>
      <c r="FO42" s="24">
        <v>0</v>
      </c>
      <c r="FP42" s="24">
        <v>0</v>
      </c>
      <c r="FQ42" s="24">
        <v>0</v>
      </c>
      <c r="FR42" s="24">
        <v>0</v>
      </c>
      <c r="FS42" s="24">
        <v>3875</v>
      </c>
      <c r="FT42" s="24">
        <v>0</v>
      </c>
      <c r="FU42" s="24">
        <v>0</v>
      </c>
      <c r="FV42" s="24">
        <v>0</v>
      </c>
      <c r="FW42" s="24">
        <v>0</v>
      </c>
      <c r="FX42" s="24">
        <v>0</v>
      </c>
      <c r="FY42" s="24">
        <v>0</v>
      </c>
      <c r="FZ42" s="24">
        <v>0</v>
      </c>
      <c r="GA42" s="24">
        <v>0</v>
      </c>
      <c r="GB42" s="24">
        <v>0</v>
      </c>
      <c r="GC42" s="24">
        <v>0</v>
      </c>
      <c r="GD42" s="24">
        <v>0</v>
      </c>
      <c r="GE42" s="24">
        <v>0</v>
      </c>
      <c r="GF42" s="24">
        <v>0</v>
      </c>
      <c r="GG42" s="24">
        <v>0</v>
      </c>
      <c r="GH42" s="24">
        <v>0</v>
      </c>
      <c r="GI42" s="24">
        <v>0</v>
      </c>
      <c r="GJ42" s="24">
        <v>0</v>
      </c>
      <c r="GK42" s="24">
        <v>0</v>
      </c>
      <c r="GL42" s="24">
        <v>0</v>
      </c>
      <c r="GM42" s="24">
        <v>0</v>
      </c>
      <c r="GN42" s="24">
        <v>0</v>
      </c>
      <c r="GO42" s="24">
        <v>0</v>
      </c>
      <c r="GP42" s="24">
        <v>0</v>
      </c>
      <c r="GQ42" s="24">
        <v>0</v>
      </c>
      <c r="GR42" s="24">
        <v>0</v>
      </c>
      <c r="GS42" s="24">
        <v>0</v>
      </c>
      <c r="GT42" s="24">
        <v>0</v>
      </c>
      <c r="GU42" s="24">
        <v>0</v>
      </c>
      <c r="GV42" s="24">
        <v>0</v>
      </c>
      <c r="GW42" s="24">
        <v>0</v>
      </c>
      <c r="GX42" s="24">
        <v>0</v>
      </c>
      <c r="GY42" s="24">
        <v>0</v>
      </c>
      <c r="GZ42" s="24">
        <v>0</v>
      </c>
      <c r="HA42" s="24">
        <v>0</v>
      </c>
      <c r="HB42" s="24">
        <v>0</v>
      </c>
      <c r="HC42" s="24">
        <v>0</v>
      </c>
      <c r="HD42" s="24">
        <v>3422614</v>
      </c>
      <c r="HE42" s="24">
        <v>0</v>
      </c>
      <c r="HF42" s="24">
        <v>0</v>
      </c>
      <c r="HG42" s="24">
        <v>0</v>
      </c>
      <c r="HH42" s="24">
        <v>0</v>
      </c>
      <c r="HI42" s="24">
        <v>213860</v>
      </c>
      <c r="HJ42" s="24">
        <v>0</v>
      </c>
      <c r="HK42" s="24">
        <v>0</v>
      </c>
      <c r="HL42" s="24">
        <v>0</v>
      </c>
      <c r="HM42" s="24">
        <v>0</v>
      </c>
      <c r="HN42" s="24">
        <v>0</v>
      </c>
      <c r="HO42" s="24">
        <v>450592</v>
      </c>
      <c r="HP42" s="24">
        <v>227168</v>
      </c>
      <c r="HQ42" s="24">
        <v>0</v>
      </c>
      <c r="HR42" s="24">
        <v>0</v>
      </c>
      <c r="HS42" s="24">
        <v>0</v>
      </c>
      <c r="HT42" s="24">
        <v>0</v>
      </c>
      <c r="HU42" s="24">
        <v>0</v>
      </c>
      <c r="HV42" s="24">
        <v>0</v>
      </c>
      <c r="HW42" s="24">
        <v>0</v>
      </c>
      <c r="HX42" s="24">
        <v>0</v>
      </c>
      <c r="HY42" s="24">
        <v>0</v>
      </c>
      <c r="HZ42" s="24">
        <v>0</v>
      </c>
      <c r="IA42" s="24">
        <v>0</v>
      </c>
      <c r="IB42" s="24">
        <v>0</v>
      </c>
      <c r="IC42" s="24">
        <v>0</v>
      </c>
      <c r="ID42" s="24">
        <v>0</v>
      </c>
      <c r="IE42" s="24">
        <v>0</v>
      </c>
      <c r="IF42" s="24">
        <v>0</v>
      </c>
      <c r="IG42" s="24">
        <v>0</v>
      </c>
      <c r="IH42" s="24">
        <v>0</v>
      </c>
      <c r="II42" s="24">
        <v>0</v>
      </c>
      <c r="IJ42" s="24">
        <v>224590</v>
      </c>
      <c r="IK42" s="24">
        <v>0</v>
      </c>
      <c r="IL42" s="24">
        <v>0</v>
      </c>
      <c r="IM42" s="24">
        <v>0</v>
      </c>
      <c r="IN42" s="24">
        <v>0</v>
      </c>
      <c r="IO42" s="24">
        <v>5875</v>
      </c>
      <c r="IP42" s="24">
        <v>0</v>
      </c>
      <c r="IQ42" s="24">
        <v>0</v>
      </c>
      <c r="IR42" s="24">
        <v>41603</v>
      </c>
      <c r="IS42" s="24">
        <v>0</v>
      </c>
      <c r="IT42" s="24">
        <v>0</v>
      </c>
      <c r="IU42" s="24">
        <v>0</v>
      </c>
      <c r="IV42" s="24">
        <v>0</v>
      </c>
      <c r="IW42" s="24">
        <v>72373</v>
      </c>
      <c r="IX42" s="24">
        <v>0</v>
      </c>
      <c r="IY42" s="24">
        <v>0</v>
      </c>
      <c r="IZ42" s="24">
        <v>0</v>
      </c>
      <c r="JA42" s="24">
        <v>0</v>
      </c>
      <c r="JB42" s="24">
        <v>43095</v>
      </c>
      <c r="JC42" s="24">
        <v>0</v>
      </c>
      <c r="JD42" s="24">
        <v>0</v>
      </c>
      <c r="JE42" s="24">
        <v>0</v>
      </c>
      <c r="JF42" s="24">
        <v>0</v>
      </c>
      <c r="JG42" s="24">
        <v>71819</v>
      </c>
      <c r="JH42" s="24">
        <v>0</v>
      </c>
      <c r="JI42" s="24">
        <v>0</v>
      </c>
      <c r="JJ42" s="24">
        <v>0</v>
      </c>
      <c r="JK42" s="24">
        <v>0</v>
      </c>
      <c r="JL42" s="24">
        <v>0</v>
      </c>
      <c r="JM42" s="24">
        <v>0</v>
      </c>
      <c r="JN42" s="24">
        <v>0</v>
      </c>
      <c r="JO42" s="24">
        <v>0</v>
      </c>
      <c r="JP42" s="24">
        <v>0</v>
      </c>
      <c r="JQ42" s="24">
        <v>0</v>
      </c>
      <c r="JR42" s="24">
        <v>0</v>
      </c>
      <c r="JS42" s="24">
        <v>0</v>
      </c>
      <c r="JT42" s="24">
        <v>0</v>
      </c>
      <c r="JU42" s="24">
        <v>0</v>
      </c>
      <c r="JV42" s="24">
        <v>0</v>
      </c>
      <c r="JW42" s="24">
        <v>0</v>
      </c>
      <c r="JX42" s="24">
        <v>0</v>
      </c>
      <c r="JY42" s="24">
        <v>0</v>
      </c>
      <c r="JZ42" s="24">
        <v>0</v>
      </c>
      <c r="KA42" s="24">
        <v>0</v>
      </c>
      <c r="KB42" s="24">
        <v>0</v>
      </c>
      <c r="KC42" s="24">
        <v>0</v>
      </c>
      <c r="KD42" s="24">
        <v>0</v>
      </c>
      <c r="KE42" s="24">
        <v>6686</v>
      </c>
      <c r="KF42" s="24">
        <v>0</v>
      </c>
      <c r="KG42" s="24">
        <v>0</v>
      </c>
      <c r="KH42" s="24">
        <v>0</v>
      </c>
      <c r="KI42" s="24">
        <v>0</v>
      </c>
      <c r="KJ42" s="24">
        <v>0</v>
      </c>
      <c r="KK42" s="24">
        <v>0</v>
      </c>
      <c r="KL42" s="24">
        <v>0</v>
      </c>
      <c r="KM42" s="24">
        <v>0</v>
      </c>
      <c r="KN42" s="24">
        <v>0</v>
      </c>
      <c r="KO42" s="24">
        <v>0</v>
      </c>
      <c r="KP42" s="24">
        <v>0</v>
      </c>
      <c r="KQ42" s="24">
        <v>0</v>
      </c>
      <c r="KR42" s="24">
        <v>0</v>
      </c>
      <c r="KS42" s="24">
        <v>0</v>
      </c>
      <c r="KT42" s="24">
        <v>0</v>
      </c>
      <c r="KU42" s="24">
        <v>0</v>
      </c>
      <c r="KV42" s="24">
        <v>0</v>
      </c>
      <c r="KW42" s="24">
        <v>0</v>
      </c>
      <c r="KX42" s="24">
        <v>0</v>
      </c>
      <c r="KY42" s="24">
        <v>0</v>
      </c>
      <c r="KZ42" s="24">
        <v>0</v>
      </c>
      <c r="LA42" s="24">
        <v>0</v>
      </c>
      <c r="LB42" s="24">
        <v>0</v>
      </c>
      <c r="LC42" s="24">
        <v>0</v>
      </c>
      <c r="LD42" s="24">
        <v>0</v>
      </c>
      <c r="LE42" s="24">
        <v>0</v>
      </c>
      <c r="LF42" s="24">
        <v>0</v>
      </c>
      <c r="LG42" s="24">
        <v>0</v>
      </c>
      <c r="LH42" s="24">
        <v>0</v>
      </c>
      <c r="LI42" s="24">
        <v>0</v>
      </c>
      <c r="LJ42" s="24">
        <v>0</v>
      </c>
      <c r="LK42" s="24">
        <v>0</v>
      </c>
      <c r="LL42" s="24">
        <v>0</v>
      </c>
      <c r="LM42" s="24">
        <v>0</v>
      </c>
      <c r="LN42" s="24">
        <v>0</v>
      </c>
      <c r="LO42" s="24">
        <v>0</v>
      </c>
      <c r="LP42" s="24">
        <v>0</v>
      </c>
      <c r="LQ42" s="24">
        <v>144567</v>
      </c>
      <c r="LR42" s="24">
        <v>24727</v>
      </c>
      <c r="LS42" s="24">
        <v>0</v>
      </c>
      <c r="LT42" s="24">
        <v>0</v>
      </c>
      <c r="LU42" s="24">
        <v>0</v>
      </c>
      <c r="LV42" s="24">
        <v>0</v>
      </c>
      <c r="LW42" s="24">
        <v>0</v>
      </c>
      <c r="LX42" s="24">
        <v>0</v>
      </c>
      <c r="LY42" s="24">
        <v>0</v>
      </c>
      <c r="LZ42" s="24">
        <v>0</v>
      </c>
      <c r="MA42" s="24">
        <v>0</v>
      </c>
      <c r="MB42" s="24">
        <v>0</v>
      </c>
      <c r="MC42" s="24">
        <v>0</v>
      </c>
      <c r="MD42" s="24">
        <v>0</v>
      </c>
      <c r="ME42" s="24">
        <v>0</v>
      </c>
      <c r="MF42" s="24">
        <v>0</v>
      </c>
      <c r="MG42" s="24">
        <v>21500</v>
      </c>
      <c r="MH42" s="24">
        <v>0</v>
      </c>
      <c r="MI42" s="24">
        <v>0</v>
      </c>
      <c r="MJ42" s="24">
        <v>21800</v>
      </c>
      <c r="MK42" s="24">
        <v>0</v>
      </c>
      <c r="ML42" s="24">
        <v>0</v>
      </c>
      <c r="MM42" s="24">
        <v>0</v>
      </c>
      <c r="MN42" s="24">
        <v>0</v>
      </c>
      <c r="MO42" s="24">
        <v>18710</v>
      </c>
      <c r="MP42" s="24">
        <v>0</v>
      </c>
      <c r="MQ42" s="24">
        <v>0</v>
      </c>
      <c r="MR42" s="24">
        <v>172924</v>
      </c>
      <c r="MS42" s="24">
        <v>0</v>
      </c>
      <c r="MT42" s="24">
        <v>0</v>
      </c>
      <c r="MU42" s="24">
        <v>0</v>
      </c>
      <c r="MV42" s="24">
        <v>0</v>
      </c>
      <c r="MW42" s="24">
        <v>105182</v>
      </c>
      <c r="MX42" s="24">
        <v>6802</v>
      </c>
      <c r="MY42" s="24">
        <v>0</v>
      </c>
      <c r="MZ42" s="24">
        <v>0</v>
      </c>
      <c r="NA42" s="24">
        <v>0</v>
      </c>
      <c r="NB42" s="24">
        <v>0</v>
      </c>
      <c r="NC42" s="24">
        <v>0</v>
      </c>
      <c r="ND42" s="24">
        <v>0</v>
      </c>
      <c r="NE42" s="24">
        <v>0</v>
      </c>
      <c r="NF42" s="24">
        <v>0</v>
      </c>
      <c r="NG42" s="24">
        <v>0</v>
      </c>
      <c r="NH42" s="24">
        <v>0</v>
      </c>
      <c r="NI42" s="24">
        <v>0</v>
      </c>
      <c r="NJ42" s="24">
        <v>0</v>
      </c>
      <c r="NK42" s="24">
        <v>0</v>
      </c>
      <c r="NL42" s="24">
        <v>0</v>
      </c>
      <c r="NM42" s="24">
        <v>0</v>
      </c>
      <c r="NN42" s="24">
        <v>0</v>
      </c>
      <c r="NO42" s="24">
        <v>0</v>
      </c>
      <c r="NP42" s="24">
        <v>0</v>
      </c>
      <c r="NQ42" s="24">
        <v>0</v>
      </c>
      <c r="NR42" s="24">
        <v>0</v>
      </c>
      <c r="NS42" s="24">
        <v>0</v>
      </c>
      <c r="NT42" s="24">
        <v>0</v>
      </c>
      <c r="NU42" s="24">
        <v>0</v>
      </c>
      <c r="NV42" s="24">
        <v>0</v>
      </c>
      <c r="NW42" s="24">
        <v>0</v>
      </c>
      <c r="NX42" s="24">
        <v>0</v>
      </c>
      <c r="NY42" s="24">
        <v>0</v>
      </c>
      <c r="NZ42" s="24">
        <v>0</v>
      </c>
      <c r="OA42" s="24">
        <v>0</v>
      </c>
      <c r="OB42" s="24">
        <v>0</v>
      </c>
      <c r="OC42" s="24">
        <v>0</v>
      </c>
      <c r="OD42" s="24">
        <v>0</v>
      </c>
      <c r="OE42" s="24">
        <v>0</v>
      </c>
      <c r="OF42" s="24">
        <v>0</v>
      </c>
      <c r="OG42" s="24">
        <v>0</v>
      </c>
      <c r="OH42" s="24">
        <v>0</v>
      </c>
      <c r="OI42" s="24">
        <v>0</v>
      </c>
      <c r="OJ42" s="24">
        <v>0</v>
      </c>
      <c r="OK42" s="24">
        <v>17250</v>
      </c>
      <c r="OL42" s="24">
        <v>0</v>
      </c>
      <c r="OM42" s="24">
        <v>0</v>
      </c>
      <c r="ON42" s="24">
        <v>0</v>
      </c>
      <c r="OO42" s="24">
        <v>0</v>
      </c>
      <c r="OP42" s="24">
        <v>0</v>
      </c>
      <c r="OQ42" s="24">
        <v>0</v>
      </c>
      <c r="OR42" s="24">
        <v>0</v>
      </c>
      <c r="OS42" s="24">
        <v>0</v>
      </c>
      <c r="OT42" s="24">
        <v>0</v>
      </c>
      <c r="OU42" s="24">
        <v>0</v>
      </c>
      <c r="OV42" s="24">
        <v>0</v>
      </c>
      <c r="OW42" s="24">
        <v>0</v>
      </c>
      <c r="OX42" s="24">
        <v>17700</v>
      </c>
      <c r="OY42" s="24">
        <v>0</v>
      </c>
      <c r="OZ42" s="24">
        <v>0</v>
      </c>
      <c r="PA42" s="24">
        <v>0</v>
      </c>
      <c r="PB42" s="24">
        <v>0</v>
      </c>
      <c r="PC42" s="24">
        <v>0</v>
      </c>
      <c r="PD42" s="24">
        <v>0</v>
      </c>
      <c r="PE42" s="24">
        <v>0</v>
      </c>
      <c r="PF42" s="24">
        <v>0</v>
      </c>
      <c r="PG42" s="24">
        <v>0</v>
      </c>
      <c r="PH42" s="24">
        <v>5358</v>
      </c>
      <c r="PI42" s="24">
        <v>0</v>
      </c>
      <c r="PJ42" s="24">
        <v>0</v>
      </c>
      <c r="PK42" s="24">
        <v>0</v>
      </c>
      <c r="PL42" s="24">
        <v>0</v>
      </c>
      <c r="PM42" s="24">
        <v>0</v>
      </c>
      <c r="PN42" s="24">
        <v>0</v>
      </c>
      <c r="PO42" s="24">
        <v>0</v>
      </c>
      <c r="PP42" s="24">
        <v>0</v>
      </c>
      <c r="PQ42" s="24">
        <v>0</v>
      </c>
      <c r="PR42" s="24">
        <v>0</v>
      </c>
      <c r="PS42" s="24">
        <v>0</v>
      </c>
      <c r="PT42" s="24">
        <v>0</v>
      </c>
      <c r="PU42" s="24">
        <v>0</v>
      </c>
      <c r="PV42" s="24">
        <v>0</v>
      </c>
      <c r="PW42" s="24">
        <v>0</v>
      </c>
      <c r="PX42" s="24">
        <v>0</v>
      </c>
      <c r="PY42" s="24">
        <v>0</v>
      </c>
      <c r="PZ42" s="24">
        <v>0</v>
      </c>
      <c r="QA42" s="24">
        <v>0</v>
      </c>
      <c r="QB42" s="24">
        <v>0</v>
      </c>
      <c r="QC42" s="24">
        <v>0</v>
      </c>
      <c r="QD42" s="24">
        <v>0</v>
      </c>
      <c r="QE42" s="24">
        <v>0</v>
      </c>
      <c r="QF42" s="24">
        <v>0</v>
      </c>
      <c r="QG42" s="24">
        <v>0</v>
      </c>
      <c r="QH42" s="24">
        <v>0</v>
      </c>
      <c r="QI42" s="24">
        <v>0</v>
      </c>
      <c r="QJ42" s="24">
        <v>0</v>
      </c>
      <c r="QK42" s="24">
        <v>0</v>
      </c>
      <c r="QL42" s="24">
        <v>0</v>
      </c>
      <c r="QM42" s="24">
        <v>0</v>
      </c>
      <c r="QN42" s="24">
        <v>0</v>
      </c>
      <c r="QO42" s="24">
        <v>0</v>
      </c>
      <c r="QP42" s="24">
        <v>0</v>
      </c>
      <c r="QQ42" s="24">
        <v>0</v>
      </c>
      <c r="QR42" s="24">
        <v>0</v>
      </c>
      <c r="QS42" s="24">
        <v>155</v>
      </c>
      <c r="QT42" s="24">
        <v>0</v>
      </c>
      <c r="QU42" s="24">
        <v>0</v>
      </c>
      <c r="QV42" s="24">
        <v>330685</v>
      </c>
      <c r="QW42" s="24">
        <v>25048</v>
      </c>
      <c r="QX42" s="24">
        <v>0</v>
      </c>
      <c r="QY42" s="24">
        <v>0</v>
      </c>
      <c r="QZ42" s="24">
        <v>0</v>
      </c>
      <c r="RA42" s="24">
        <v>0</v>
      </c>
      <c r="RB42" s="24">
        <v>0</v>
      </c>
      <c r="RG42" s="39">
        <f t="shared" si="48"/>
        <v>3422614</v>
      </c>
      <c r="RH42" s="39">
        <f t="shared" si="48"/>
        <v>213860</v>
      </c>
      <c r="RI42" s="39">
        <f t="shared" si="48"/>
        <v>0</v>
      </c>
      <c r="RJ42" s="39">
        <f t="shared" si="48"/>
        <v>0</v>
      </c>
      <c r="RK42" s="39">
        <f t="shared" si="48"/>
        <v>0</v>
      </c>
      <c r="RL42" s="39">
        <f t="shared" si="48"/>
        <v>450592</v>
      </c>
      <c r="RM42" s="39">
        <f t="shared" si="48"/>
        <v>451758</v>
      </c>
      <c r="RN42" s="39">
        <f t="shared" si="48"/>
        <v>5875</v>
      </c>
      <c r="RO42" s="39">
        <f t="shared" si="48"/>
        <v>41603</v>
      </c>
      <c r="RP42" s="39">
        <f t="shared" si="48"/>
        <v>72373</v>
      </c>
      <c r="RQ42" s="39">
        <f t="shared" si="48"/>
        <v>43095</v>
      </c>
      <c r="RR42" s="39">
        <f t="shared" si="48"/>
        <v>78505</v>
      </c>
      <c r="RS42" s="39"/>
      <c r="RT42" s="182"/>
      <c r="RU42" s="39"/>
      <c r="RV42" s="39">
        <f t="shared" si="49"/>
        <v>533462</v>
      </c>
      <c r="RW42" s="39">
        <f t="shared" si="49"/>
        <v>4780275</v>
      </c>
      <c r="RX42" s="39">
        <f t="shared" si="49"/>
        <v>856142</v>
      </c>
      <c r="RY42" s="39">
        <f t="shared" si="49"/>
        <v>378946</v>
      </c>
      <c r="RZ42" s="39"/>
      <c r="SA42" s="182"/>
      <c r="SB42" s="39"/>
      <c r="SC42" s="25">
        <f t="shared" si="50"/>
        <v>1146.1070950468541</v>
      </c>
      <c r="SD42" s="39">
        <f>IFERROR(VLOOKUP(A42, 'Levy Data 15-16'!$B:$O, 3, FALSE), 0)</f>
        <v>226392264</v>
      </c>
      <c r="SE42" s="39">
        <f t="shared" ref="SE42:SE73" si="88">SD42/ST42</f>
        <v>303068.6265060241</v>
      </c>
      <c r="SF42" s="631">
        <f>IFERROR(VLOOKUP(A42, 'Levy Data 15-16'!$B:$O, 14, FALSE), 0)*1000</f>
        <v>3.0175940000000003</v>
      </c>
      <c r="SG42" s="39">
        <f t="shared" ref="SG42:SG73" si="89">$SG$6*SD42/1000</f>
        <v>0</v>
      </c>
      <c r="SH42" s="39">
        <f t="shared" ref="SH42:SH73" si="90">MIN(RX42,SG42)</f>
        <v>0</v>
      </c>
      <c r="SI42" s="39">
        <f t="shared" ref="SI42:SI73" si="91">(RX42-SH42)*1</f>
        <v>856142</v>
      </c>
      <c r="SM42" s="39">
        <f t="shared" ref="SM42:SM73" si="92">SUM(RG42:RR42)</f>
        <v>4780275</v>
      </c>
      <c r="SN42" s="39">
        <f t="shared" ref="SN42:SN73" si="93">SM42-SUMIFS(RG42:RR42,RG$4:RR$4,"X")</f>
        <v>0</v>
      </c>
      <c r="SO42" s="39">
        <f t="shared" si="51"/>
        <v>4780275</v>
      </c>
      <c r="SP42" s="50">
        <f t="shared" si="52"/>
        <v>1</v>
      </c>
      <c r="ST42" s="124">
        <f>IFERROR(VLOOKUP(A42,'Grade Enroll 15-16'!B:AC,27,FALSE),"")</f>
        <v>747</v>
      </c>
      <c r="SU42" s="124">
        <f t="shared" si="53"/>
        <v>378.62921348314609</v>
      </c>
      <c r="SV42" s="131">
        <f>IFERROR(VLOOKUP($A42, 'Title I Enroll 16-17'!S:V, 4, FALSE), 0)</f>
        <v>0.50686641697877655</v>
      </c>
      <c r="SW42" s="729">
        <f>IFERROR(VLOOKUP(A42, 'ELL Enroll 15-16'!$N:$S, 6, FALSE), 0)</f>
        <v>121</v>
      </c>
      <c r="SX42" s="131">
        <f t="shared" si="54"/>
        <v>0.16198125836680052</v>
      </c>
      <c r="SY42" s="124">
        <f>IFERROR(VLOOKUP(A42, 'SPED enroll 2015-16'!$M:$O, 3, FALSE), 0)</f>
        <v>79</v>
      </c>
      <c r="SZ42" s="131">
        <f t="shared" si="55"/>
        <v>0.10575635876840696</v>
      </c>
      <c r="TA42" s="142">
        <f t="shared" si="87"/>
        <v>55.3</v>
      </c>
      <c r="TB42" s="142">
        <f t="shared" si="87"/>
        <v>15.8</v>
      </c>
      <c r="TC42" s="142">
        <f t="shared" si="87"/>
        <v>5.53</v>
      </c>
      <c r="TD42" s="142">
        <f t="shared" si="87"/>
        <v>2.37</v>
      </c>
      <c r="TE42" s="124">
        <f>VLOOKUP($A42, 'Grade Enroll 15-16'!$B:$AB, 20, FALSE)</f>
        <v>7</v>
      </c>
      <c r="TF42" s="124">
        <f>VLOOKUP($A42, 'Grade Enroll 15-16'!$B:$AB, 21, FALSE)</f>
        <v>50</v>
      </c>
      <c r="TG42" s="124">
        <f>VLOOKUP($A42, 'Grade Enroll 15-16'!$B:$AB, 22, FALSE)</f>
        <v>178</v>
      </c>
      <c r="TH42" s="124">
        <f>VLOOKUP($A42, 'Grade Enroll 15-16'!$B:$AB, 23, FALSE)</f>
        <v>176</v>
      </c>
      <c r="TI42" s="124">
        <f>VLOOKUP($A42, 'Grade Enroll 15-16'!$B:$AB, 24, FALSE)</f>
        <v>117</v>
      </c>
      <c r="TJ42" s="124">
        <f>VLOOKUP($A42, 'Grade Enroll 15-16'!$B:$AB, 25, FALSE)</f>
        <v>276</v>
      </c>
      <c r="TK42" s="124">
        <f>VLOOKUP($A42, 'Grade Enroll 15-16'!$B:$AB, 26, FALSE)</f>
        <v>500</v>
      </c>
      <c r="TL42" s="131">
        <f>SUMIFS('Student Achievement 15-16'!N:N, 'Student Achievement 15-16'!B:B, 'Idaho Data'!A42, 'Student Achievement 15-16'!D:D, "math")/100</f>
        <v>0.33299999999999996</v>
      </c>
      <c r="TM42" s="134">
        <f t="shared" si="57"/>
        <v>248.75099999999998</v>
      </c>
      <c r="TN42" s="131">
        <f>SUMIFS('Student Achievement 15-16'!N:N, 'Student Achievement 15-16'!B:B, 'Idaho Data'!A42, 'Student Achievement 15-16'!D:D, "ela")/100</f>
        <v>0.23800000000000002</v>
      </c>
      <c r="TO42" s="134">
        <f t="shared" si="58"/>
        <v>177.786</v>
      </c>
      <c r="TP42" s="688">
        <f>IFERROR(VLOOKUP(A42, 'G&amp;T 15-16'!B:G, 6, FALSE), 0)*1</f>
        <v>0</v>
      </c>
      <c r="TQ42" s="168">
        <f t="shared" si="59"/>
        <v>44.82</v>
      </c>
      <c r="TU42" s="168">
        <f t="shared" si="60"/>
        <v>177.786</v>
      </c>
      <c r="TV42" s="168">
        <f t="shared" si="61"/>
        <v>248.75099999999998</v>
      </c>
      <c r="TW42" s="205">
        <f t="shared" si="62"/>
        <v>248.75099999999998</v>
      </c>
      <c r="TX42" s="144"/>
      <c r="TY42" s="129"/>
      <c r="TZ42" s="127">
        <f t="shared" si="63"/>
        <v>0</v>
      </c>
      <c r="UA42" s="127">
        <f t="shared" si="64"/>
        <v>44.82</v>
      </c>
      <c r="UB42" s="205">
        <f t="shared" si="65"/>
        <v>44.82</v>
      </c>
      <c r="UE42" s="853" t="str">
        <f>IF(ST42&lt;='1. Simulator Input'!$E$104, "yes", "")</f>
        <v/>
      </c>
      <c r="UI42" s="199">
        <f t="shared" si="66"/>
        <v>0</v>
      </c>
      <c r="UJ42" s="200">
        <f>IF('Idaho Data'!SI42&gt;=0, ((1-'1. Simulator Input'!$E$39)*'Idaho Data'!SI42), 0)</f>
        <v>0</v>
      </c>
      <c r="UK42" s="200">
        <f t="shared" si="67"/>
        <v>4780275</v>
      </c>
      <c r="UL42" s="39"/>
      <c r="UM42" s="182"/>
      <c r="UN42" s="39"/>
      <c r="UO42" s="39" t="str">
        <f>IF(AND('1. Simulator Input'!$E$96="yes", '1. Simulator Input'!$E$98="yes", '1. Simulator Input'!$E$100="hold harmless"), 'Idaho Data'!WN42, IF(AND('1. Simulator Input'!$E$96="yes", '1. Simulator Input'!$E$98="no", '1. Simulator Input'!$E$100="hold harmless"), 'Idaho Data'!WM42, IF(AND('1. Simulator Input'!$E$96="yes", '1. Simulator Input'!$E$98="yes", '1. Simulator Input'!$E$100="small district grant"), WL42,IF(AND('1. Simulator Input'!$E$96="yes", '1. Simulator Input'!$E$98="no", '1. Simulator Input'!$E$100="small district grant"), WK42, ""))))</f>
        <v/>
      </c>
      <c r="UP42" s="200">
        <f>'1. Simulator Input'!$D$56*('Idaho Data'!ST42)</f>
        <v>4127922</v>
      </c>
      <c r="UQ42" s="204">
        <f>'1. Simulator Input'!$D$65*'1. Simulator Input'!$D$56*'Idaho Data'!SU42</f>
        <v>0</v>
      </c>
      <c r="UR42" s="204">
        <f>'1. Simulator Input'!$D$66*'1. Simulator Input'!$D$56*'Idaho Data'!SW42</f>
        <v>0</v>
      </c>
      <c r="US42" s="200">
        <f>'1. Simulator Input'!$D$67*'1. Simulator Input'!$D$56*'Idaho Data'!TA42</f>
        <v>0</v>
      </c>
      <c r="UT42" s="200">
        <f>'1. Simulator Input'!$D$68*'1. Simulator Input'!$D$56*'Idaho Data'!TB42</f>
        <v>0</v>
      </c>
      <c r="UU42" s="200">
        <f>'1. Simulator Input'!$D$69*'1. Simulator Input'!$D$56*'Idaho Data'!TC42</f>
        <v>0</v>
      </c>
      <c r="UV42" s="200">
        <f>'1. Simulator Input'!$D$70*'1. Simulator Input'!$D$56*TD42</f>
        <v>0</v>
      </c>
      <c r="UW42" s="200">
        <f>'1. Simulator Input'!$D$80*'1. Simulator Input'!$D$56*TW42</f>
        <v>0</v>
      </c>
      <c r="UX42" s="200">
        <f>'1. Simulator Input'!$D$79*'1. Simulator Input'!$D$56*UB42</f>
        <v>0</v>
      </c>
      <c r="UY42" s="200">
        <f>'1. Simulator Input'!$D$87*'1. Simulator Input'!$D$56*TF42</f>
        <v>138150</v>
      </c>
      <c r="UZ42" s="200">
        <f>'1. Simulator Input'!$D$73*'1. Simulator Input'!$D$56*'Idaho Data'!TG42</f>
        <v>0</v>
      </c>
      <c r="VA42" s="200">
        <f>'1. Simulator Input'!$D$56*'1. Simulator Input'!$D$74*'Idaho Data'!TH42</f>
        <v>0</v>
      </c>
      <c r="VB42" s="200">
        <f>'1. Simulator Input'!$D$56*'1. Simulator Input'!$D$75*'Idaho Data'!TI37</f>
        <v>0</v>
      </c>
      <c r="VC42" s="200">
        <f>'1. Simulator Input'!$D$76*'1. Simulator Input'!$D$56*'Idaho Data'!TJ42</f>
        <v>0</v>
      </c>
      <c r="VD42" s="200">
        <f t="shared" si="68"/>
        <v>4266072</v>
      </c>
      <c r="VE42" s="200"/>
      <c r="VF42" s="182"/>
      <c r="VG42" s="200"/>
      <c r="VH42" s="200">
        <f t="shared" si="69"/>
        <v>0</v>
      </c>
      <c r="VI42" s="200">
        <f t="shared" si="70"/>
        <v>0</v>
      </c>
      <c r="VJ42" s="200">
        <f t="shared" ref="VJ42:VJ73" si="94">SUM($UO42:$VC42)-VH42</f>
        <v>4266072</v>
      </c>
      <c r="VK42" s="200">
        <f t="shared" ref="VK42:VK73" si="95">IF(AND($UE$5&gt;0, UE42="yes"), VJ42, IF(VJ42&lt;0, 0, VJ42-($VK$2*ST42)))</f>
        <v>4266072</v>
      </c>
      <c r="VL42" s="200"/>
      <c r="VM42" s="182"/>
      <c r="VN42" s="200"/>
      <c r="VO42" s="200">
        <f t="shared" si="71"/>
        <v>533462</v>
      </c>
      <c r="VP42" s="200">
        <f t="shared" si="72"/>
        <v>4780275</v>
      </c>
      <c r="VQ42" s="200">
        <f t="shared" si="73"/>
        <v>856142</v>
      </c>
      <c r="VR42" s="200">
        <f t="shared" si="74"/>
        <v>533462</v>
      </c>
      <c r="VS42" s="200">
        <f t="shared" ref="VS42:VS73" si="96">VK42+SN42</f>
        <v>4266072</v>
      </c>
      <c r="VT42" s="200">
        <f t="shared" ref="VT42:VT73" si="97">VI42+SI42</f>
        <v>856142</v>
      </c>
      <c r="VU42" s="200">
        <f t="shared" ref="VU42:VU73" si="98">IF(SH42&gt;SG42,0, SG42-SH42)</f>
        <v>0</v>
      </c>
      <c r="VV42" s="200"/>
      <c r="VW42" s="182"/>
      <c r="VX42" s="200"/>
      <c r="VZ42" s="199">
        <f t="shared" si="75"/>
        <v>-514203</v>
      </c>
      <c r="WA42" s="199">
        <f t="shared" si="76"/>
        <v>-688.35742971887555</v>
      </c>
      <c r="WB42" s="131">
        <f t="shared" si="77"/>
        <v>-0.10756766085633149</v>
      </c>
      <c r="WC42" s="131"/>
      <c r="WD42" s="461"/>
      <c r="WE42" s="893"/>
      <c r="WF42" s="893">
        <f t="shared" si="78"/>
        <v>8259.543507362785</v>
      </c>
      <c r="WG42" s="893">
        <f t="shared" si="79"/>
        <v>7571.1860776439089</v>
      </c>
      <c r="WH42" s="893"/>
      <c r="WI42" s="893">
        <f t="shared" si="80"/>
        <v>4780275</v>
      </c>
      <c r="WJ42" s="893">
        <f t="shared" ref="WJ42:WJ73" si="99">SUM(UP42:VC42)-UI42</f>
        <v>4266072</v>
      </c>
      <c r="WK42" s="39" t="str">
        <f t="shared" ref="WK42:WK73" si="100">IF(UE42="","",IF($UE$5="","",IF(AND(UE42="yes", WJ42&gt;WI42),0,IF((WI42-WJ42)&gt;$UE$5,$UE$5,WI42-WJ42))))</f>
        <v/>
      </c>
      <c r="WL42" s="39" t="str">
        <f t="shared" ref="WL42:WL73" si="101">IF(WK42="", "", IF((WJ42+(SG42-SH42)-WI42)&gt;0, 0, IF((WI42-WJ42+(SG42-SH42))&gt;=$UE$5, $UE$5, (WI42-WJ42-(SG42-SH42)))))</f>
        <v/>
      </c>
      <c r="WM42" s="200" t="str">
        <f t="shared" ref="WM42:WM73" si="102">IF(UE42="","",IF(WJ42&gt;WI42,0,WI42-WJ42))</f>
        <v/>
      </c>
      <c r="WN42" s="39" t="str">
        <f t="shared" ref="WN42:WN73" si="103">IF(ISNUMBER(WM42), WM42-(SG42-SH42), "")</f>
        <v/>
      </c>
      <c r="WO42" s="39"/>
      <c r="WP42" s="182"/>
      <c r="WQ42" s="39"/>
      <c r="WR42" s="305">
        <f t="shared" ref="WR42:WR73" si="104">_xlfn.PERCENTRANK.INC($SE$10:$SE$124, SE42, 3)</f>
        <v>0.26300000000000001</v>
      </c>
      <c r="WT42" s="200">
        <f t="shared" ref="WT42:WT73" si="105">RW42/ST42</f>
        <v>6399.2971887550202</v>
      </c>
      <c r="WU42" s="131">
        <f t="shared" si="81"/>
        <v>0.5</v>
      </c>
      <c r="WW42" s="199">
        <f t="shared" ref="WW42:WW73" si="106">RV42</f>
        <v>533462</v>
      </c>
      <c r="WX42" s="199">
        <f t="shared" ref="WX42:WX73" si="107">IF((XP42-UI42)&lt;0, 0, (XP42-UI42))</f>
        <v>4266072</v>
      </c>
      <c r="WY42" s="199">
        <f t="shared" ref="WY42:WY73" si="108">YF42</f>
        <v>0</v>
      </c>
      <c r="WZ42" s="199">
        <f t="shared" si="82"/>
        <v>4266072</v>
      </c>
      <c r="XA42" s="199">
        <f t="shared" ref="XA42:XA73" si="109">SH42</f>
        <v>0</v>
      </c>
      <c r="XB42" s="199">
        <f t="shared" ref="XB42:XB73" si="110">SI42</f>
        <v>856142</v>
      </c>
      <c r="XC42" s="199">
        <f t="shared" ref="XC42:XC73" si="111">RX42</f>
        <v>856142</v>
      </c>
      <c r="XD42" s="199" t="str">
        <f t="shared" ref="XD42:XD73" si="112">IF(XP42-UI42&lt;0, -(XP42-UI42), "")</f>
        <v/>
      </c>
      <c r="XE42" s="199"/>
      <c r="XF42" s="199"/>
      <c r="XG42" s="199"/>
      <c r="XH42" s="199"/>
      <c r="XI42" s="199"/>
      <c r="XJ42" s="199">
        <f t="shared" si="83"/>
        <v>4266072</v>
      </c>
      <c r="XP42" s="199">
        <f t="shared" ref="XP42:XP73" si="113">SUM(UO42:VC42)</f>
        <v>4266072</v>
      </c>
      <c r="XQ42" s="199">
        <f t="shared" ref="XQ42:XQ73" si="114">XP42/ST42</f>
        <v>5710.939759036145</v>
      </c>
      <c r="XR42" s="199">
        <f t="shared" ref="XR42:XR73" si="115">IF(UI42&gt;0,XP42-UI42+SH42,XP42)</f>
        <v>4266072</v>
      </c>
      <c r="XS42" s="199">
        <f t="shared" ref="XS42:XS73" si="116">IF(XR42&lt;0, 0, XR42-$XR$171*ST42)</f>
        <v>4266072</v>
      </c>
      <c r="XT42" s="199">
        <f t="shared" ref="XT42:XT73" si="117">XS42/ST42</f>
        <v>5710.939759036145</v>
      </c>
      <c r="XU42" s="199">
        <f t="shared" ref="XU42:XU73" si="118">SUM(UI42:UK42)</f>
        <v>4780275</v>
      </c>
      <c r="XV42" s="199">
        <f t="shared" ref="XV42:XV73" si="119">XU42/ST42</f>
        <v>6399.2971887550202</v>
      </c>
      <c r="XW42" s="199">
        <f t="shared" ref="XW42:XW73" si="120">UK42+SH42</f>
        <v>4780275</v>
      </c>
      <c r="XX42" s="199">
        <f t="shared" ref="XX42:XX73" si="121">XW42/ST42</f>
        <v>6399.2971887550202</v>
      </c>
      <c r="XY42" s="199">
        <f t="shared" si="84"/>
        <v>-514203</v>
      </c>
      <c r="XZ42" s="199">
        <f t="shared" si="85"/>
        <v>-688.35742971887521</v>
      </c>
      <c r="YA42" s="131">
        <f t="shared" si="86"/>
        <v>-0.10756766085633145</v>
      </c>
      <c r="YB42" s="199"/>
      <c r="YC42" s="221"/>
      <c r="YD42" s="199"/>
      <c r="YE42" s="199">
        <f t="shared" ref="YE42:YE73" si="122">RV42</f>
        <v>533462</v>
      </c>
      <c r="YF42" s="200">
        <f t="shared" ref="YF42:YF73" si="123">SUMIF($RG$4:$RR$4, "0", RG42:RR42)</f>
        <v>0</v>
      </c>
      <c r="YG42" s="199">
        <f t="shared" ref="YG42:YG73" si="124">SI42</f>
        <v>856142</v>
      </c>
      <c r="YH42" s="199">
        <f t="shared" ref="YH42:YH73" si="125">RY42</f>
        <v>378946</v>
      </c>
    </row>
    <row r="43" spans="1:658">
      <c r="A43" s="3">
        <v>137</v>
      </c>
      <c r="B43" s="2" t="s">
        <v>135</v>
      </c>
      <c r="C43" s="24">
        <v>0</v>
      </c>
      <c r="D43" s="24">
        <v>0</v>
      </c>
      <c r="E43" s="24">
        <v>0</v>
      </c>
      <c r="F43" s="24">
        <v>0</v>
      </c>
      <c r="G43" s="24">
        <v>341574</v>
      </c>
      <c r="H43" s="24">
        <v>0</v>
      </c>
      <c r="I43" s="24">
        <v>0</v>
      </c>
      <c r="J43" s="24">
        <v>26498</v>
      </c>
      <c r="K43" s="24">
        <v>270959</v>
      </c>
      <c r="L43" s="24">
        <v>0</v>
      </c>
      <c r="M43" s="24">
        <v>0</v>
      </c>
      <c r="N43" s="24">
        <v>22323</v>
      </c>
      <c r="O43" s="24">
        <v>0</v>
      </c>
      <c r="P43" s="24">
        <v>0</v>
      </c>
      <c r="Q43" s="24">
        <v>0</v>
      </c>
      <c r="R43" s="24">
        <v>0</v>
      </c>
      <c r="S43" s="24">
        <v>0</v>
      </c>
      <c r="T43" s="24">
        <v>146157</v>
      </c>
      <c r="U43" s="24">
        <v>0</v>
      </c>
      <c r="V43" s="24">
        <v>100000</v>
      </c>
      <c r="W43" s="24">
        <v>0</v>
      </c>
      <c r="X43" s="24">
        <v>707634</v>
      </c>
      <c r="Y43" s="24">
        <v>7249</v>
      </c>
      <c r="Z43" s="24">
        <v>0</v>
      </c>
      <c r="AA43" s="24">
        <v>0</v>
      </c>
      <c r="AB43" s="24">
        <v>3570</v>
      </c>
      <c r="AC43" s="24">
        <v>0</v>
      </c>
      <c r="AD43" s="24">
        <v>0</v>
      </c>
      <c r="AE43" s="24">
        <v>0</v>
      </c>
      <c r="AF43" s="24">
        <v>0</v>
      </c>
      <c r="AG43" s="24">
        <v>0</v>
      </c>
      <c r="AH43" s="24">
        <v>10960</v>
      </c>
      <c r="AI43" s="24">
        <v>0</v>
      </c>
      <c r="AJ43" s="24">
        <v>0</v>
      </c>
      <c r="AK43" s="24">
        <v>0</v>
      </c>
      <c r="AL43" s="24">
        <v>5039</v>
      </c>
      <c r="AM43" s="24">
        <v>0</v>
      </c>
      <c r="AN43" s="24">
        <v>0</v>
      </c>
      <c r="AO43" s="24">
        <v>0</v>
      </c>
      <c r="AP43" s="24">
        <v>0</v>
      </c>
      <c r="AQ43" s="24">
        <v>0</v>
      </c>
      <c r="AR43" s="24">
        <v>0</v>
      </c>
      <c r="AS43" s="24">
        <v>0</v>
      </c>
      <c r="AT43" s="24">
        <v>0</v>
      </c>
      <c r="AU43" s="24">
        <v>0</v>
      </c>
      <c r="AV43" s="24">
        <v>0</v>
      </c>
      <c r="AW43" s="24">
        <v>0</v>
      </c>
      <c r="AX43" s="24">
        <v>0</v>
      </c>
      <c r="AY43" s="24">
        <v>0</v>
      </c>
      <c r="AZ43" s="24">
        <v>0</v>
      </c>
      <c r="BA43" s="24">
        <v>0</v>
      </c>
      <c r="BB43" s="24">
        <v>0</v>
      </c>
      <c r="BC43" s="24">
        <v>0</v>
      </c>
      <c r="BD43" s="24">
        <v>0</v>
      </c>
      <c r="BE43" s="24">
        <v>0</v>
      </c>
      <c r="BF43" s="24">
        <v>0</v>
      </c>
      <c r="BG43" s="24">
        <v>0</v>
      </c>
      <c r="BH43" s="24">
        <v>0</v>
      </c>
      <c r="BI43" s="24">
        <v>0</v>
      </c>
      <c r="BJ43" s="24">
        <v>0</v>
      </c>
      <c r="BK43" s="24">
        <v>0</v>
      </c>
      <c r="BL43" s="24">
        <v>0</v>
      </c>
      <c r="BM43" s="24">
        <v>-1962</v>
      </c>
      <c r="BN43" s="24">
        <v>0</v>
      </c>
      <c r="BO43" s="24">
        <v>0</v>
      </c>
      <c r="BP43" s="24">
        <v>0</v>
      </c>
      <c r="BQ43" s="24">
        <v>0</v>
      </c>
      <c r="BR43" s="24">
        <v>0</v>
      </c>
      <c r="BS43" s="24">
        <v>0</v>
      </c>
      <c r="BT43" s="24">
        <v>0</v>
      </c>
      <c r="BU43" s="24">
        <v>0</v>
      </c>
      <c r="BV43" s="24">
        <v>0</v>
      </c>
      <c r="BW43" s="24">
        <v>0</v>
      </c>
      <c r="BX43" s="24">
        <v>0</v>
      </c>
      <c r="BY43" s="24">
        <v>0</v>
      </c>
      <c r="BZ43" s="24">
        <v>0</v>
      </c>
      <c r="CA43" s="24">
        <v>0</v>
      </c>
      <c r="CB43" s="24">
        <v>0</v>
      </c>
      <c r="CC43" s="24">
        <v>0</v>
      </c>
      <c r="CD43" s="24">
        <v>65646</v>
      </c>
      <c r="CE43" s="24">
        <v>620</v>
      </c>
      <c r="CF43" s="24">
        <v>0</v>
      </c>
      <c r="CG43" s="24">
        <v>10826</v>
      </c>
      <c r="CH43" s="24">
        <v>0</v>
      </c>
      <c r="CI43" s="24">
        <v>0</v>
      </c>
      <c r="CJ43" s="24">
        <v>0</v>
      </c>
      <c r="CK43" s="24">
        <v>0</v>
      </c>
      <c r="CL43" s="24">
        <v>0</v>
      </c>
      <c r="CM43" s="24">
        <v>0</v>
      </c>
      <c r="CN43" s="24">
        <v>0</v>
      </c>
      <c r="CO43" s="24">
        <v>0</v>
      </c>
      <c r="CP43" s="24">
        <v>0</v>
      </c>
      <c r="CQ43" s="24">
        <v>0</v>
      </c>
      <c r="CR43" s="24">
        <v>0</v>
      </c>
      <c r="CS43" s="24">
        <v>0</v>
      </c>
      <c r="CT43" s="24">
        <v>0</v>
      </c>
      <c r="CU43" s="24">
        <v>0</v>
      </c>
      <c r="CV43" s="24">
        <v>0</v>
      </c>
      <c r="CW43" s="24">
        <v>0</v>
      </c>
      <c r="CX43" s="24">
        <v>0</v>
      </c>
      <c r="CY43" s="24">
        <v>0</v>
      </c>
      <c r="CZ43" s="24">
        <v>0</v>
      </c>
      <c r="DA43" s="24">
        <v>0</v>
      </c>
      <c r="DB43" s="24">
        <v>0</v>
      </c>
      <c r="DC43" s="24">
        <v>0</v>
      </c>
      <c r="DD43" s="24">
        <v>0</v>
      </c>
      <c r="DE43" s="24">
        <v>0</v>
      </c>
      <c r="DF43" s="24">
        <v>0</v>
      </c>
      <c r="DG43" s="24">
        <v>0</v>
      </c>
      <c r="DH43" s="24">
        <v>0</v>
      </c>
      <c r="DI43" s="24">
        <v>0</v>
      </c>
      <c r="DJ43" s="24">
        <v>0</v>
      </c>
      <c r="DK43" s="24">
        <v>0</v>
      </c>
      <c r="DL43" s="24">
        <v>0</v>
      </c>
      <c r="DM43" s="24">
        <v>0</v>
      </c>
      <c r="DN43" s="24">
        <v>0</v>
      </c>
      <c r="DO43" s="24">
        <v>0</v>
      </c>
      <c r="DP43" s="24">
        <v>0</v>
      </c>
      <c r="DQ43" s="24">
        <v>0</v>
      </c>
      <c r="DR43" s="24">
        <v>0</v>
      </c>
      <c r="DS43" s="24">
        <v>0</v>
      </c>
      <c r="DT43" s="24">
        <v>0</v>
      </c>
      <c r="DU43" s="24">
        <v>0</v>
      </c>
      <c r="DV43" s="24">
        <v>0</v>
      </c>
      <c r="DW43" s="24">
        <v>0</v>
      </c>
      <c r="DX43" s="24">
        <v>0</v>
      </c>
      <c r="DY43" s="24">
        <v>0</v>
      </c>
      <c r="DZ43" s="24">
        <v>0</v>
      </c>
      <c r="EA43" s="24">
        <v>0</v>
      </c>
      <c r="EB43" s="24">
        <v>0</v>
      </c>
      <c r="EC43" s="24">
        <v>0</v>
      </c>
      <c r="ED43" s="24">
        <v>0</v>
      </c>
      <c r="EE43" s="24">
        <v>0</v>
      </c>
      <c r="EF43" s="24">
        <v>0</v>
      </c>
      <c r="EG43" s="24">
        <v>0</v>
      </c>
      <c r="EH43" s="24">
        <v>0</v>
      </c>
      <c r="EI43" s="24">
        <v>0</v>
      </c>
      <c r="EJ43" s="24">
        <v>0</v>
      </c>
      <c r="EK43" s="24">
        <v>0</v>
      </c>
      <c r="EL43" s="24">
        <v>0</v>
      </c>
      <c r="EM43" s="24">
        <v>0</v>
      </c>
      <c r="EN43" s="24">
        <v>0</v>
      </c>
      <c r="EO43" s="24">
        <v>0</v>
      </c>
      <c r="EP43" s="24">
        <v>0</v>
      </c>
      <c r="EQ43" s="24">
        <v>0</v>
      </c>
      <c r="ER43" s="24">
        <v>0</v>
      </c>
      <c r="ES43" s="24">
        <v>0</v>
      </c>
      <c r="ET43" s="24">
        <v>0</v>
      </c>
      <c r="EU43" s="24">
        <v>0</v>
      </c>
      <c r="EV43" s="24">
        <v>0</v>
      </c>
      <c r="EW43" s="24">
        <v>0</v>
      </c>
      <c r="EX43" s="24">
        <v>0</v>
      </c>
      <c r="EY43" s="24">
        <v>0</v>
      </c>
      <c r="EZ43" s="24">
        <v>0</v>
      </c>
      <c r="FA43" s="24">
        <v>0</v>
      </c>
      <c r="FB43" s="24">
        <v>1276</v>
      </c>
      <c r="FC43" s="24">
        <v>0</v>
      </c>
      <c r="FD43" s="24">
        <v>0</v>
      </c>
      <c r="FE43" s="24">
        <v>0</v>
      </c>
      <c r="FF43" s="24">
        <v>0</v>
      </c>
      <c r="FG43" s="24">
        <v>0</v>
      </c>
      <c r="FH43" s="24">
        <v>0</v>
      </c>
      <c r="FI43" s="24">
        <v>0</v>
      </c>
      <c r="FJ43" s="24">
        <v>0</v>
      </c>
      <c r="FK43" s="24">
        <v>0</v>
      </c>
      <c r="FL43" s="24">
        <v>0</v>
      </c>
      <c r="FM43" s="24">
        <v>0</v>
      </c>
      <c r="FN43" s="24">
        <v>0</v>
      </c>
      <c r="FO43" s="24">
        <v>0</v>
      </c>
      <c r="FP43" s="24">
        <v>0</v>
      </c>
      <c r="FQ43" s="24">
        <v>0</v>
      </c>
      <c r="FR43" s="24">
        <v>0</v>
      </c>
      <c r="FS43" s="24">
        <v>53498</v>
      </c>
      <c r="FT43" s="24">
        <v>0</v>
      </c>
      <c r="FU43" s="24">
        <v>0</v>
      </c>
      <c r="FV43" s="24">
        <v>0</v>
      </c>
      <c r="FW43" s="24">
        <v>0</v>
      </c>
      <c r="FX43" s="24">
        <v>0</v>
      </c>
      <c r="FY43" s="24">
        <v>0</v>
      </c>
      <c r="FZ43" s="24">
        <v>0</v>
      </c>
      <c r="GA43" s="24">
        <v>0</v>
      </c>
      <c r="GB43" s="24">
        <v>0</v>
      </c>
      <c r="GC43" s="24">
        <v>0</v>
      </c>
      <c r="GD43" s="24">
        <v>0</v>
      </c>
      <c r="GE43" s="24">
        <v>0</v>
      </c>
      <c r="GF43" s="24">
        <v>0</v>
      </c>
      <c r="GG43" s="24">
        <v>0</v>
      </c>
      <c r="GH43" s="24">
        <v>0</v>
      </c>
      <c r="GI43" s="24">
        <v>0</v>
      </c>
      <c r="GJ43" s="24">
        <v>0</v>
      </c>
      <c r="GK43" s="24">
        <v>0</v>
      </c>
      <c r="GL43" s="24">
        <v>0</v>
      </c>
      <c r="GM43" s="24">
        <v>0</v>
      </c>
      <c r="GN43" s="24">
        <v>0</v>
      </c>
      <c r="GO43" s="24">
        <v>0</v>
      </c>
      <c r="GP43" s="24">
        <v>0</v>
      </c>
      <c r="GQ43" s="24">
        <v>0</v>
      </c>
      <c r="GR43" s="24">
        <v>0</v>
      </c>
      <c r="GS43" s="24">
        <v>0</v>
      </c>
      <c r="GT43" s="24">
        <v>0</v>
      </c>
      <c r="GU43" s="24">
        <v>0</v>
      </c>
      <c r="GV43" s="24">
        <v>0</v>
      </c>
      <c r="GW43" s="24">
        <v>0</v>
      </c>
      <c r="GX43" s="24">
        <v>0</v>
      </c>
      <c r="GY43" s="24">
        <v>0</v>
      </c>
      <c r="GZ43" s="24">
        <v>0</v>
      </c>
      <c r="HA43" s="24">
        <v>0</v>
      </c>
      <c r="HB43" s="24">
        <v>0</v>
      </c>
      <c r="HC43" s="24">
        <v>0</v>
      </c>
      <c r="HD43" s="24">
        <v>4179461</v>
      </c>
      <c r="HE43" s="24">
        <v>0</v>
      </c>
      <c r="HF43" s="24">
        <v>0</v>
      </c>
      <c r="HG43" s="24">
        <v>0</v>
      </c>
      <c r="HH43" s="24">
        <v>0</v>
      </c>
      <c r="HI43" s="24">
        <v>369425</v>
      </c>
      <c r="HJ43" s="24">
        <v>0</v>
      </c>
      <c r="HK43" s="24">
        <v>0</v>
      </c>
      <c r="HL43" s="24">
        <v>0</v>
      </c>
      <c r="HM43" s="24">
        <v>0</v>
      </c>
      <c r="HN43" s="24">
        <v>0</v>
      </c>
      <c r="HO43" s="24">
        <v>550563</v>
      </c>
      <c r="HP43" s="24">
        <v>176081</v>
      </c>
      <c r="HQ43" s="24">
        <v>0</v>
      </c>
      <c r="HR43" s="24">
        <v>0</v>
      </c>
      <c r="HS43" s="24">
        <v>0</v>
      </c>
      <c r="HT43" s="24">
        <v>0</v>
      </c>
      <c r="HU43" s="24">
        <v>0</v>
      </c>
      <c r="HV43" s="24">
        <v>0</v>
      </c>
      <c r="HW43" s="24">
        <v>0</v>
      </c>
      <c r="HX43" s="24">
        <v>0</v>
      </c>
      <c r="HY43" s="24">
        <v>0</v>
      </c>
      <c r="HZ43" s="24">
        <v>0</v>
      </c>
      <c r="IA43" s="24">
        <v>65511</v>
      </c>
      <c r="IB43" s="24">
        <v>0</v>
      </c>
      <c r="IC43" s="24">
        <v>0</v>
      </c>
      <c r="ID43" s="24">
        <v>0</v>
      </c>
      <c r="IE43" s="24">
        <v>0</v>
      </c>
      <c r="IF43" s="24">
        <v>0</v>
      </c>
      <c r="IG43" s="24">
        <v>0</v>
      </c>
      <c r="IH43" s="24">
        <v>0</v>
      </c>
      <c r="II43" s="24">
        <v>0</v>
      </c>
      <c r="IJ43" s="24">
        <v>275963</v>
      </c>
      <c r="IK43" s="24">
        <v>0</v>
      </c>
      <c r="IL43" s="24">
        <v>0</v>
      </c>
      <c r="IM43" s="24">
        <v>76168</v>
      </c>
      <c r="IN43" s="24">
        <v>0</v>
      </c>
      <c r="IO43" s="24">
        <v>9563</v>
      </c>
      <c r="IP43" s="24">
        <v>0</v>
      </c>
      <c r="IQ43" s="24">
        <v>0</v>
      </c>
      <c r="IR43" s="24">
        <v>25638</v>
      </c>
      <c r="IS43" s="24">
        <v>0</v>
      </c>
      <c r="IT43" s="24">
        <v>0</v>
      </c>
      <c r="IU43" s="24">
        <v>0</v>
      </c>
      <c r="IV43" s="24">
        <v>0</v>
      </c>
      <c r="IW43" s="24">
        <v>0</v>
      </c>
      <c r="IX43" s="24">
        <v>0</v>
      </c>
      <c r="IY43" s="24">
        <v>0</v>
      </c>
      <c r="IZ43" s="24">
        <v>0</v>
      </c>
      <c r="JA43" s="24">
        <v>0</v>
      </c>
      <c r="JB43" s="24">
        <v>71390</v>
      </c>
      <c r="JC43" s="24">
        <v>0</v>
      </c>
      <c r="JD43" s="24">
        <v>0</v>
      </c>
      <c r="JE43" s="24">
        <v>3429</v>
      </c>
      <c r="JF43" s="24">
        <v>0</v>
      </c>
      <c r="JG43" s="24">
        <v>0</v>
      </c>
      <c r="JH43" s="24">
        <v>0</v>
      </c>
      <c r="JI43" s="24">
        <v>0</v>
      </c>
      <c r="JJ43" s="24">
        <v>0</v>
      </c>
      <c r="JK43" s="24">
        <v>0</v>
      </c>
      <c r="JL43" s="24">
        <v>0</v>
      </c>
      <c r="JM43" s="24">
        <v>0</v>
      </c>
      <c r="JN43" s="24">
        <v>0</v>
      </c>
      <c r="JO43" s="24">
        <v>0</v>
      </c>
      <c r="JP43" s="24">
        <v>0</v>
      </c>
      <c r="JQ43" s="24">
        <v>0</v>
      </c>
      <c r="JR43" s="24">
        <v>0</v>
      </c>
      <c r="JS43" s="24">
        <v>0</v>
      </c>
      <c r="JT43" s="24">
        <v>0</v>
      </c>
      <c r="JU43" s="24">
        <v>15488</v>
      </c>
      <c r="JV43" s="24">
        <v>0</v>
      </c>
      <c r="JW43" s="24">
        <v>0</v>
      </c>
      <c r="JX43" s="24">
        <v>0</v>
      </c>
      <c r="JY43" s="24">
        <v>0</v>
      </c>
      <c r="JZ43" s="24">
        <v>0</v>
      </c>
      <c r="KA43" s="24">
        <v>0</v>
      </c>
      <c r="KB43" s="24">
        <v>0</v>
      </c>
      <c r="KC43" s="24">
        <v>0</v>
      </c>
      <c r="KD43" s="24">
        <v>62652</v>
      </c>
      <c r="KE43" s="24">
        <v>0</v>
      </c>
      <c r="KF43" s="24">
        <v>0</v>
      </c>
      <c r="KG43" s="24">
        <v>0</v>
      </c>
      <c r="KH43" s="24">
        <v>0</v>
      </c>
      <c r="KI43" s="24">
        <v>0</v>
      </c>
      <c r="KJ43" s="24">
        <v>0</v>
      </c>
      <c r="KK43" s="24">
        <v>0</v>
      </c>
      <c r="KL43" s="24">
        <v>0</v>
      </c>
      <c r="KM43" s="24">
        <v>0</v>
      </c>
      <c r="KN43" s="24">
        <v>0</v>
      </c>
      <c r="KO43" s="24">
        <v>0</v>
      </c>
      <c r="KP43" s="24">
        <v>0</v>
      </c>
      <c r="KQ43" s="24">
        <v>0</v>
      </c>
      <c r="KR43" s="24">
        <v>0</v>
      </c>
      <c r="KS43" s="24">
        <v>0</v>
      </c>
      <c r="KT43" s="24">
        <v>0</v>
      </c>
      <c r="KU43" s="24">
        <v>0</v>
      </c>
      <c r="KV43" s="24">
        <v>0</v>
      </c>
      <c r="KW43" s="24">
        <v>0</v>
      </c>
      <c r="KX43" s="24">
        <v>0</v>
      </c>
      <c r="KY43" s="24">
        <v>0</v>
      </c>
      <c r="KZ43" s="24">
        <v>0</v>
      </c>
      <c r="LA43" s="24">
        <v>0</v>
      </c>
      <c r="LB43" s="24">
        <v>0</v>
      </c>
      <c r="LC43" s="24">
        <v>125550</v>
      </c>
      <c r="LD43" s="24">
        <v>0</v>
      </c>
      <c r="LE43" s="24">
        <v>0</v>
      </c>
      <c r="LF43" s="24">
        <v>0</v>
      </c>
      <c r="LG43" s="24">
        <v>0</v>
      </c>
      <c r="LH43" s="24">
        <v>0</v>
      </c>
      <c r="LI43" s="24">
        <v>0</v>
      </c>
      <c r="LJ43" s="24">
        <v>0</v>
      </c>
      <c r="LK43" s="24">
        <v>0</v>
      </c>
      <c r="LL43" s="24">
        <v>0</v>
      </c>
      <c r="LM43" s="24">
        <v>0</v>
      </c>
      <c r="LN43" s="24">
        <v>0</v>
      </c>
      <c r="LO43" s="24">
        <v>0</v>
      </c>
      <c r="LP43" s="24">
        <v>0</v>
      </c>
      <c r="LQ43" s="24">
        <v>235852</v>
      </c>
      <c r="LR43" s="24">
        <v>58318</v>
      </c>
      <c r="LS43" s="24">
        <v>0</v>
      </c>
      <c r="LT43" s="24">
        <v>0</v>
      </c>
      <c r="LU43" s="24">
        <v>0</v>
      </c>
      <c r="LV43" s="24">
        <v>0</v>
      </c>
      <c r="LW43" s="24">
        <v>0</v>
      </c>
      <c r="LX43" s="24">
        <v>0</v>
      </c>
      <c r="LY43" s="24">
        <v>0</v>
      </c>
      <c r="LZ43" s="24">
        <v>0</v>
      </c>
      <c r="MA43" s="24">
        <v>0</v>
      </c>
      <c r="MB43" s="24">
        <v>0</v>
      </c>
      <c r="MC43" s="24">
        <v>0</v>
      </c>
      <c r="MD43" s="24">
        <v>0</v>
      </c>
      <c r="ME43" s="24">
        <v>0</v>
      </c>
      <c r="MF43" s="24">
        <v>0</v>
      </c>
      <c r="MG43" s="24">
        <v>0</v>
      </c>
      <c r="MH43" s="24">
        <v>0</v>
      </c>
      <c r="MI43" s="24">
        <v>0</v>
      </c>
      <c r="MJ43" s="24">
        <v>0</v>
      </c>
      <c r="MK43" s="24">
        <v>0</v>
      </c>
      <c r="ML43" s="24">
        <v>0</v>
      </c>
      <c r="MM43" s="24">
        <v>0</v>
      </c>
      <c r="MN43" s="24">
        <v>0</v>
      </c>
      <c r="MO43" s="24">
        <v>0</v>
      </c>
      <c r="MP43" s="24">
        <v>0</v>
      </c>
      <c r="MQ43" s="24">
        <v>0</v>
      </c>
      <c r="MR43" s="24">
        <v>429189</v>
      </c>
      <c r="MS43" s="24">
        <v>0</v>
      </c>
      <c r="MT43" s="24">
        <v>0</v>
      </c>
      <c r="MU43" s="24">
        <v>0</v>
      </c>
      <c r="MV43" s="24">
        <v>0</v>
      </c>
      <c r="MW43" s="24">
        <v>0</v>
      </c>
      <c r="MX43" s="24">
        <v>0</v>
      </c>
      <c r="MY43" s="24">
        <v>0</v>
      </c>
      <c r="MZ43" s="24">
        <v>0</v>
      </c>
      <c r="NA43" s="24">
        <v>0</v>
      </c>
      <c r="NB43" s="24">
        <v>0</v>
      </c>
      <c r="NC43" s="24">
        <v>0</v>
      </c>
      <c r="ND43" s="24">
        <v>0</v>
      </c>
      <c r="NE43" s="24">
        <v>0</v>
      </c>
      <c r="NF43" s="24">
        <v>0</v>
      </c>
      <c r="NG43" s="24">
        <v>0</v>
      </c>
      <c r="NH43" s="24">
        <v>0</v>
      </c>
      <c r="NI43" s="24">
        <v>0</v>
      </c>
      <c r="NJ43" s="24">
        <v>0</v>
      </c>
      <c r="NK43" s="24">
        <v>0</v>
      </c>
      <c r="NL43" s="24">
        <v>0</v>
      </c>
      <c r="NM43" s="24">
        <v>0</v>
      </c>
      <c r="NN43" s="24">
        <v>0</v>
      </c>
      <c r="NO43" s="24">
        <v>0</v>
      </c>
      <c r="NP43" s="24">
        <v>0</v>
      </c>
      <c r="NQ43" s="24">
        <v>9983</v>
      </c>
      <c r="NR43" s="24">
        <v>0</v>
      </c>
      <c r="NS43" s="24">
        <v>0</v>
      </c>
      <c r="NT43" s="24">
        <v>0</v>
      </c>
      <c r="NU43" s="24">
        <v>137016</v>
      </c>
      <c r="NV43" s="24">
        <v>50205</v>
      </c>
      <c r="NW43" s="24">
        <v>0</v>
      </c>
      <c r="NX43" s="24">
        <v>0</v>
      </c>
      <c r="NY43" s="24">
        <v>0</v>
      </c>
      <c r="NZ43" s="24">
        <v>0</v>
      </c>
      <c r="OA43" s="24">
        <v>0</v>
      </c>
      <c r="OB43" s="24">
        <v>0</v>
      </c>
      <c r="OC43" s="24">
        <v>0</v>
      </c>
      <c r="OD43" s="24">
        <v>0</v>
      </c>
      <c r="OE43" s="24">
        <v>0</v>
      </c>
      <c r="OF43" s="24">
        <v>0</v>
      </c>
      <c r="OG43" s="24">
        <v>0</v>
      </c>
      <c r="OH43" s="24">
        <v>0</v>
      </c>
      <c r="OI43" s="24">
        <v>0</v>
      </c>
      <c r="OJ43" s="24">
        <v>0</v>
      </c>
      <c r="OK43" s="24">
        <v>63468</v>
      </c>
      <c r="OL43" s="24">
        <v>0</v>
      </c>
      <c r="OM43" s="24">
        <v>0</v>
      </c>
      <c r="ON43" s="24">
        <v>0</v>
      </c>
      <c r="OO43" s="24">
        <v>0</v>
      </c>
      <c r="OP43" s="24">
        <v>0</v>
      </c>
      <c r="OQ43" s="24">
        <v>0</v>
      </c>
      <c r="OR43" s="24">
        <v>0</v>
      </c>
      <c r="OS43" s="24">
        <v>0</v>
      </c>
      <c r="OT43" s="24">
        <v>0</v>
      </c>
      <c r="OU43" s="24">
        <v>0</v>
      </c>
      <c r="OV43" s="24">
        <v>0</v>
      </c>
      <c r="OW43" s="24">
        <v>0</v>
      </c>
      <c r="OX43" s="24">
        <v>200</v>
      </c>
      <c r="OY43" s="24">
        <v>0</v>
      </c>
      <c r="OZ43" s="24">
        <v>0</v>
      </c>
      <c r="PA43" s="24">
        <v>0</v>
      </c>
      <c r="PB43" s="24">
        <v>0</v>
      </c>
      <c r="PC43" s="24">
        <v>0</v>
      </c>
      <c r="PD43" s="24">
        <v>0</v>
      </c>
      <c r="PE43" s="24">
        <v>0</v>
      </c>
      <c r="PF43" s="24">
        <v>0</v>
      </c>
      <c r="PG43" s="24">
        <v>0</v>
      </c>
      <c r="PH43" s="24">
        <v>12683</v>
      </c>
      <c r="PI43" s="24">
        <v>0</v>
      </c>
      <c r="PJ43" s="24">
        <v>0</v>
      </c>
      <c r="PK43" s="24">
        <v>0</v>
      </c>
      <c r="PL43" s="24">
        <v>0</v>
      </c>
      <c r="PM43" s="24">
        <v>0</v>
      </c>
      <c r="PN43" s="24">
        <v>0</v>
      </c>
      <c r="PO43" s="24">
        <v>0</v>
      </c>
      <c r="PP43" s="24">
        <v>0</v>
      </c>
      <c r="PQ43" s="24">
        <v>0</v>
      </c>
      <c r="PR43" s="24">
        <v>0</v>
      </c>
      <c r="PS43" s="24">
        <v>0</v>
      </c>
      <c r="PT43" s="24">
        <v>0</v>
      </c>
      <c r="PU43" s="24">
        <v>0</v>
      </c>
      <c r="PV43" s="24">
        <v>0</v>
      </c>
      <c r="PW43" s="24">
        <v>98000</v>
      </c>
      <c r="PX43" s="24">
        <v>0</v>
      </c>
      <c r="PY43" s="24">
        <v>0</v>
      </c>
      <c r="PZ43" s="24">
        <v>0</v>
      </c>
      <c r="QA43" s="24">
        <v>0</v>
      </c>
      <c r="QB43" s="24">
        <v>0</v>
      </c>
      <c r="QC43" s="24">
        <v>0</v>
      </c>
      <c r="QD43" s="24">
        <v>0</v>
      </c>
      <c r="QE43" s="24">
        <v>0</v>
      </c>
      <c r="QF43" s="24">
        <v>0</v>
      </c>
      <c r="QG43" s="24">
        <v>0</v>
      </c>
      <c r="QH43" s="24">
        <v>0</v>
      </c>
      <c r="QI43" s="24">
        <v>0</v>
      </c>
      <c r="QJ43" s="24">
        <v>0</v>
      </c>
      <c r="QK43" s="24">
        <v>0</v>
      </c>
      <c r="QL43" s="24">
        <v>0</v>
      </c>
      <c r="QM43" s="24">
        <v>0</v>
      </c>
      <c r="QN43" s="24">
        <v>0</v>
      </c>
      <c r="QO43" s="24">
        <v>0</v>
      </c>
      <c r="QP43" s="24">
        <v>0</v>
      </c>
      <c r="QQ43" s="24">
        <v>0</v>
      </c>
      <c r="QR43" s="24">
        <v>0</v>
      </c>
      <c r="QS43" s="24">
        <v>31110</v>
      </c>
      <c r="QT43" s="24">
        <v>0</v>
      </c>
      <c r="QU43" s="24">
        <v>0</v>
      </c>
      <c r="QV43" s="24">
        <v>0</v>
      </c>
      <c r="QW43" s="24">
        <v>49279</v>
      </c>
      <c r="QX43" s="24">
        <v>0</v>
      </c>
      <c r="QY43" s="24">
        <v>0</v>
      </c>
      <c r="QZ43" s="24">
        <v>0</v>
      </c>
      <c r="RA43" s="24">
        <v>0</v>
      </c>
      <c r="RB43" s="24">
        <v>0</v>
      </c>
      <c r="RG43" s="39">
        <f t="shared" ref="RG43:RR64" si="126">SUMIFS($C43:$RB43,$C$7:$RB$7,RG$3)</f>
        <v>4179461</v>
      </c>
      <c r="RH43" s="39">
        <f t="shared" si="126"/>
        <v>369425</v>
      </c>
      <c r="RI43" s="39">
        <f t="shared" si="126"/>
        <v>0</v>
      </c>
      <c r="RJ43" s="39">
        <f t="shared" si="126"/>
        <v>0</v>
      </c>
      <c r="RK43" s="39">
        <f t="shared" si="126"/>
        <v>0</v>
      </c>
      <c r="RL43" s="39">
        <f t="shared" si="126"/>
        <v>550563</v>
      </c>
      <c r="RM43" s="39">
        <f t="shared" si="126"/>
        <v>593723</v>
      </c>
      <c r="RN43" s="39">
        <f t="shared" si="126"/>
        <v>9563</v>
      </c>
      <c r="RO43" s="39">
        <f t="shared" si="126"/>
        <v>25638</v>
      </c>
      <c r="RP43" s="39">
        <f t="shared" si="126"/>
        <v>0</v>
      </c>
      <c r="RQ43" s="39">
        <f t="shared" si="126"/>
        <v>71390</v>
      </c>
      <c r="RR43" s="39">
        <f t="shared" si="126"/>
        <v>81569</v>
      </c>
      <c r="RS43" s="39"/>
      <c r="RT43" s="182"/>
      <c r="RU43" s="39"/>
      <c r="RV43" s="39">
        <f t="shared" ref="RV43:RY74" si="127">SUMIF($C$6:$RB$6, RV$4, $C43:$RB43)</f>
        <v>1109581</v>
      </c>
      <c r="RW43" s="39">
        <f t="shared" si="127"/>
        <v>5881332</v>
      </c>
      <c r="RX43" s="39">
        <f t="shared" si="127"/>
        <v>1771867</v>
      </c>
      <c r="RY43" s="39">
        <f t="shared" si="127"/>
        <v>191272</v>
      </c>
      <c r="RZ43" s="39"/>
      <c r="SA43" s="182"/>
      <c r="SB43" s="39"/>
      <c r="SC43" s="25">
        <f t="shared" si="50"/>
        <v>1880.9628450106156</v>
      </c>
      <c r="SD43" s="39">
        <f>IFERROR(VLOOKUP(A43, 'Levy Data 15-16'!$B:$O, 3, FALSE), 0)</f>
        <v>275256434</v>
      </c>
      <c r="SE43" s="39">
        <f t="shared" si="88"/>
        <v>292204.2823779193</v>
      </c>
      <c r="SF43" s="631">
        <f>IFERROR(VLOOKUP(A43, 'Levy Data 15-16'!$B:$O, 14, FALSE), 0)*1000</f>
        <v>5.9094029999999993</v>
      </c>
      <c r="SG43" s="39">
        <f t="shared" si="89"/>
        <v>0</v>
      </c>
      <c r="SH43" s="39">
        <f t="shared" si="90"/>
        <v>0</v>
      </c>
      <c r="SI43" s="39">
        <f t="shared" si="91"/>
        <v>1771867</v>
      </c>
      <c r="SM43" s="39">
        <f t="shared" si="92"/>
        <v>5881332</v>
      </c>
      <c r="SN43" s="39">
        <f t="shared" si="93"/>
        <v>0</v>
      </c>
      <c r="SO43" s="39">
        <f t="shared" si="51"/>
        <v>5881332</v>
      </c>
      <c r="SP43" s="50">
        <f t="shared" si="52"/>
        <v>1</v>
      </c>
      <c r="ST43" s="124">
        <f>IFERROR(VLOOKUP(A43,'Grade Enroll 15-16'!B:AC,27,FALSE),"")</f>
        <v>942</v>
      </c>
      <c r="SU43" s="124">
        <f t="shared" si="53"/>
        <v>650.71489361702129</v>
      </c>
      <c r="SV43" s="131">
        <f>IFERROR(VLOOKUP($A43, 'Title I Enroll 16-17'!S:V, 4, FALSE), 0)</f>
        <v>0.69078014184397163</v>
      </c>
      <c r="SW43" s="729">
        <f>IFERROR(VLOOKUP(A43, 'ELL Enroll 15-16'!$N:$S, 6, FALSE), 0)</f>
        <v>148</v>
      </c>
      <c r="SX43" s="131">
        <f t="shared" si="54"/>
        <v>0.15711252653927812</v>
      </c>
      <c r="SY43" s="124">
        <f>IFERROR(VLOOKUP(A43, 'SPED enroll 2015-16'!$M:$O, 3, FALSE), 0)</f>
        <v>118</v>
      </c>
      <c r="SZ43" s="131">
        <f t="shared" si="55"/>
        <v>0.12526539278131635</v>
      </c>
      <c r="TA43" s="142">
        <f t="shared" si="87"/>
        <v>82.6</v>
      </c>
      <c r="TB43" s="142">
        <f t="shared" si="87"/>
        <v>23.6</v>
      </c>
      <c r="TC43" s="142">
        <f t="shared" si="87"/>
        <v>8.2600000000000016</v>
      </c>
      <c r="TD43" s="142">
        <f t="shared" si="87"/>
        <v>3.54</v>
      </c>
      <c r="TE43" s="124">
        <f>VLOOKUP($A43, 'Grade Enroll 15-16'!$B:$AB, 20, FALSE)</f>
        <v>3</v>
      </c>
      <c r="TF43" s="124">
        <f>VLOOKUP($A43, 'Grade Enroll 15-16'!$B:$AB, 21, FALSE)</f>
        <v>82</v>
      </c>
      <c r="TG43" s="124">
        <f>VLOOKUP($A43, 'Grade Enroll 15-16'!$B:$AB, 22, FALSE)</f>
        <v>232</v>
      </c>
      <c r="TH43" s="124">
        <f>VLOOKUP($A43, 'Grade Enroll 15-16'!$B:$AB, 23, FALSE)</f>
        <v>227</v>
      </c>
      <c r="TI43" s="124">
        <f>VLOOKUP($A43, 'Grade Enroll 15-16'!$B:$AB, 24, FALSE)</f>
        <v>164</v>
      </c>
      <c r="TJ43" s="124">
        <f>VLOOKUP($A43, 'Grade Enroll 15-16'!$B:$AB, 25, FALSE)</f>
        <v>319</v>
      </c>
      <c r="TK43" s="124">
        <f>VLOOKUP($A43, 'Grade Enroll 15-16'!$B:$AB, 26, FALSE)</f>
        <v>632</v>
      </c>
      <c r="TL43" s="131">
        <f>SUMIFS('Student Achievement 15-16'!N:N, 'Student Achievement 15-16'!B:B, 'Idaho Data'!A43, 'Student Achievement 15-16'!D:D, "math")/100</f>
        <v>0.27600000000000002</v>
      </c>
      <c r="TM43" s="134">
        <f t="shared" si="57"/>
        <v>259.99200000000002</v>
      </c>
      <c r="TN43" s="131">
        <f>SUMIFS('Student Achievement 15-16'!N:N, 'Student Achievement 15-16'!B:B, 'Idaho Data'!A43, 'Student Achievement 15-16'!D:D, "ela")/100</f>
        <v>0.23</v>
      </c>
      <c r="TO43" s="134">
        <f t="shared" si="58"/>
        <v>216.66</v>
      </c>
      <c r="TP43" s="688">
        <f>IFERROR(VLOOKUP(A43, 'G&amp;T 15-16'!B:G, 6, FALSE), 0)*1</f>
        <v>45</v>
      </c>
      <c r="TQ43" s="168">
        <f t="shared" si="59"/>
        <v>56.519999999999996</v>
      </c>
      <c r="TU43" s="168">
        <f t="shared" si="60"/>
        <v>216.66</v>
      </c>
      <c r="TV43" s="168">
        <f t="shared" si="61"/>
        <v>259.99200000000002</v>
      </c>
      <c r="TW43" s="205">
        <f t="shared" si="62"/>
        <v>259.99200000000002</v>
      </c>
      <c r="TX43" s="144"/>
      <c r="TY43" s="129"/>
      <c r="TZ43" s="127">
        <f t="shared" si="63"/>
        <v>45</v>
      </c>
      <c r="UA43" s="127">
        <f t="shared" si="64"/>
        <v>56.519999999999996</v>
      </c>
      <c r="UB43" s="205">
        <f t="shared" si="65"/>
        <v>56.519999999999996</v>
      </c>
      <c r="UE43" s="853" t="str">
        <f>IF(ST43&lt;='1. Simulator Input'!$E$104, "yes", "")</f>
        <v/>
      </c>
      <c r="UI43" s="199">
        <f t="shared" si="66"/>
        <v>0</v>
      </c>
      <c r="UJ43" s="200">
        <f>IF('Idaho Data'!SI43&gt;=0, ((1-'1. Simulator Input'!$E$39)*'Idaho Data'!SI43), 0)</f>
        <v>0</v>
      </c>
      <c r="UK43" s="200">
        <f t="shared" si="67"/>
        <v>5881332</v>
      </c>
      <c r="UL43" s="39"/>
      <c r="UM43" s="182"/>
      <c r="UN43" s="39"/>
      <c r="UO43" s="39" t="str">
        <f>IF(AND('1. Simulator Input'!$E$96="yes", '1. Simulator Input'!$E$98="yes", '1. Simulator Input'!$E$100="hold harmless"), 'Idaho Data'!WN43, IF(AND('1. Simulator Input'!$E$96="yes", '1. Simulator Input'!$E$98="no", '1. Simulator Input'!$E$100="hold harmless"), 'Idaho Data'!WM43, IF(AND('1. Simulator Input'!$E$96="yes", '1. Simulator Input'!$E$98="yes", '1. Simulator Input'!$E$100="small district grant"), WL43,IF(AND('1. Simulator Input'!$E$96="yes", '1. Simulator Input'!$E$98="no", '1. Simulator Input'!$E$100="small district grant"), WK43, ""))))</f>
        <v/>
      </c>
      <c r="UP43" s="200">
        <f>'1. Simulator Input'!$D$56*('Idaho Data'!ST43)</f>
        <v>5205492</v>
      </c>
      <c r="UQ43" s="204">
        <f>'1. Simulator Input'!$D$65*'1. Simulator Input'!$D$56*'Idaho Data'!SU43</f>
        <v>0</v>
      </c>
      <c r="UR43" s="204">
        <f>'1. Simulator Input'!$D$66*'1. Simulator Input'!$D$56*'Idaho Data'!SW43</f>
        <v>0</v>
      </c>
      <c r="US43" s="200">
        <f>'1. Simulator Input'!$D$67*'1. Simulator Input'!$D$56*'Idaho Data'!TA43</f>
        <v>0</v>
      </c>
      <c r="UT43" s="200">
        <f>'1. Simulator Input'!$D$68*'1. Simulator Input'!$D$56*'Idaho Data'!TB43</f>
        <v>0</v>
      </c>
      <c r="UU43" s="200">
        <f>'1. Simulator Input'!$D$69*'1. Simulator Input'!$D$56*'Idaho Data'!TC43</f>
        <v>0</v>
      </c>
      <c r="UV43" s="200">
        <f>'1. Simulator Input'!$D$70*'1. Simulator Input'!$D$56*TD43</f>
        <v>0</v>
      </c>
      <c r="UW43" s="200">
        <f>'1. Simulator Input'!$D$80*'1. Simulator Input'!$D$56*TW43</f>
        <v>0</v>
      </c>
      <c r="UX43" s="200">
        <f>'1. Simulator Input'!$D$79*'1. Simulator Input'!$D$56*UB43</f>
        <v>0</v>
      </c>
      <c r="UY43" s="200">
        <f>'1. Simulator Input'!$D$87*'1. Simulator Input'!$D$56*TF43</f>
        <v>226566</v>
      </c>
      <c r="UZ43" s="200">
        <f>'1. Simulator Input'!$D$73*'1. Simulator Input'!$D$56*'Idaho Data'!TG43</f>
        <v>0</v>
      </c>
      <c r="VA43" s="200">
        <f>'1. Simulator Input'!$D$56*'1. Simulator Input'!$D$74*'Idaho Data'!TH43</f>
        <v>0</v>
      </c>
      <c r="VB43" s="200">
        <f>'1. Simulator Input'!$D$56*'1. Simulator Input'!$D$75*'Idaho Data'!TI38</f>
        <v>0</v>
      </c>
      <c r="VC43" s="200">
        <f>'1. Simulator Input'!$D$76*'1. Simulator Input'!$D$56*'Idaho Data'!TJ43</f>
        <v>0</v>
      </c>
      <c r="VD43" s="200">
        <f t="shared" si="68"/>
        <v>5432058</v>
      </c>
      <c r="VE43" s="200"/>
      <c r="VF43" s="182"/>
      <c r="VG43" s="200"/>
      <c r="VH43" s="200">
        <f t="shared" si="69"/>
        <v>0</v>
      </c>
      <c r="VI43" s="200">
        <f t="shared" si="70"/>
        <v>0</v>
      </c>
      <c r="VJ43" s="200">
        <f t="shared" si="94"/>
        <v>5432058</v>
      </c>
      <c r="VK43" s="200">
        <f t="shared" si="95"/>
        <v>5432058</v>
      </c>
      <c r="VL43" s="200"/>
      <c r="VM43" s="182"/>
      <c r="VN43" s="200"/>
      <c r="VO43" s="200">
        <f t="shared" si="71"/>
        <v>1109581</v>
      </c>
      <c r="VP43" s="200">
        <f t="shared" si="72"/>
        <v>5881332</v>
      </c>
      <c r="VQ43" s="200">
        <f t="shared" si="73"/>
        <v>1771867</v>
      </c>
      <c r="VR43" s="200">
        <f t="shared" si="74"/>
        <v>1109581</v>
      </c>
      <c r="VS43" s="200">
        <f t="shared" si="96"/>
        <v>5432058</v>
      </c>
      <c r="VT43" s="200">
        <f t="shared" si="97"/>
        <v>1771867</v>
      </c>
      <c r="VU43" s="200">
        <f t="shared" si="98"/>
        <v>0</v>
      </c>
      <c r="VV43" s="200"/>
      <c r="VW43" s="182"/>
      <c r="VX43" s="200"/>
      <c r="VZ43" s="199">
        <f t="shared" si="75"/>
        <v>-449274</v>
      </c>
      <c r="WA43" s="199">
        <f t="shared" si="76"/>
        <v>-476.93630573248407</v>
      </c>
      <c r="WB43" s="131">
        <f t="shared" si="77"/>
        <v>-7.6389838220321513E-2</v>
      </c>
      <c r="WC43" s="131"/>
      <c r="WD43" s="461"/>
      <c r="WE43" s="893"/>
      <c r="WF43" s="893">
        <f t="shared" si="78"/>
        <v>9302.3142250530782</v>
      </c>
      <c r="WG43" s="893">
        <f t="shared" si="79"/>
        <v>8825.3779193205937</v>
      </c>
      <c r="WH43" s="893"/>
      <c r="WI43" s="893">
        <f t="shared" si="80"/>
        <v>5881332</v>
      </c>
      <c r="WJ43" s="893">
        <f t="shared" si="99"/>
        <v>5432058</v>
      </c>
      <c r="WK43" s="39" t="str">
        <f t="shared" si="100"/>
        <v/>
      </c>
      <c r="WL43" s="39" t="str">
        <f t="shared" si="101"/>
        <v/>
      </c>
      <c r="WM43" s="200" t="str">
        <f t="shared" si="102"/>
        <v/>
      </c>
      <c r="WN43" s="39" t="str">
        <f t="shared" si="103"/>
        <v/>
      </c>
      <c r="WO43" s="39"/>
      <c r="WP43" s="182"/>
      <c r="WQ43" s="39"/>
      <c r="WR43" s="305">
        <f t="shared" si="104"/>
        <v>0.22800000000000001</v>
      </c>
      <c r="WT43" s="200">
        <f t="shared" si="105"/>
        <v>6243.4522292993634</v>
      </c>
      <c r="WU43" s="131">
        <f t="shared" si="81"/>
        <v>0.45</v>
      </c>
      <c r="WW43" s="199">
        <f t="shared" si="106"/>
        <v>1109581</v>
      </c>
      <c r="WX43" s="199">
        <f t="shared" si="107"/>
        <v>5432058</v>
      </c>
      <c r="WY43" s="199">
        <f t="shared" si="108"/>
        <v>0</v>
      </c>
      <c r="WZ43" s="199">
        <f t="shared" si="82"/>
        <v>5432058</v>
      </c>
      <c r="XA43" s="199">
        <f t="shared" si="109"/>
        <v>0</v>
      </c>
      <c r="XB43" s="199">
        <f t="shared" si="110"/>
        <v>1771867</v>
      </c>
      <c r="XC43" s="199">
        <f t="shared" si="111"/>
        <v>1771867</v>
      </c>
      <c r="XD43" s="199" t="str">
        <f t="shared" si="112"/>
        <v/>
      </c>
      <c r="XE43" s="199"/>
      <c r="XF43" s="199"/>
      <c r="XG43" s="199"/>
      <c r="XH43" s="199"/>
      <c r="XI43" s="199"/>
      <c r="XJ43" s="199">
        <f t="shared" si="83"/>
        <v>5432058</v>
      </c>
      <c r="XP43" s="199">
        <f t="shared" si="113"/>
        <v>5432058</v>
      </c>
      <c r="XQ43" s="199">
        <f t="shared" si="114"/>
        <v>5766.5159235668789</v>
      </c>
      <c r="XR43" s="199">
        <f t="shared" si="115"/>
        <v>5432058</v>
      </c>
      <c r="XS43" s="199">
        <f t="shared" si="116"/>
        <v>5432058</v>
      </c>
      <c r="XT43" s="199">
        <f t="shared" si="117"/>
        <v>5766.5159235668789</v>
      </c>
      <c r="XU43" s="199">
        <f t="shared" si="118"/>
        <v>5881332</v>
      </c>
      <c r="XV43" s="199">
        <f t="shared" si="119"/>
        <v>6243.4522292993634</v>
      </c>
      <c r="XW43" s="199">
        <f t="shared" si="120"/>
        <v>5881332</v>
      </c>
      <c r="XX43" s="199">
        <f t="shared" si="121"/>
        <v>6243.4522292993634</v>
      </c>
      <c r="XY43" s="199">
        <f t="shared" si="84"/>
        <v>-449274</v>
      </c>
      <c r="XZ43" s="199">
        <f t="shared" si="85"/>
        <v>-476.93630573248447</v>
      </c>
      <c r="YA43" s="131">
        <f t="shared" si="86"/>
        <v>-7.6389838220321582E-2</v>
      </c>
      <c r="YB43" s="199"/>
      <c r="YC43" s="221"/>
      <c r="YD43" s="199"/>
      <c r="YE43" s="199">
        <f t="shared" si="122"/>
        <v>1109581</v>
      </c>
      <c r="YF43" s="200">
        <f t="shared" si="123"/>
        <v>0</v>
      </c>
      <c r="YG43" s="199">
        <f t="shared" si="124"/>
        <v>1771867</v>
      </c>
      <c r="YH43" s="199">
        <f t="shared" si="125"/>
        <v>191272</v>
      </c>
    </row>
    <row r="44" spans="1:658">
      <c r="A44" s="3">
        <v>139</v>
      </c>
      <c r="B44" s="2" t="s">
        <v>136</v>
      </c>
      <c r="C44" s="400">
        <v>0</v>
      </c>
      <c r="D44" s="400">
        <v>0</v>
      </c>
      <c r="E44" s="400">
        <v>0</v>
      </c>
      <c r="F44" s="400">
        <v>0</v>
      </c>
      <c r="G44" s="400">
        <v>4566549</v>
      </c>
      <c r="H44" s="400">
        <v>0</v>
      </c>
      <c r="I44" s="400">
        <v>17</v>
      </c>
      <c r="J44" s="400">
        <v>777</v>
      </c>
      <c r="K44" s="400">
        <v>0</v>
      </c>
      <c r="L44" s="24">
        <v>0</v>
      </c>
      <c r="M44" s="400">
        <v>0</v>
      </c>
      <c r="N44" s="400">
        <v>0</v>
      </c>
      <c r="O44" s="400">
        <v>0</v>
      </c>
      <c r="P44" s="400">
        <v>0</v>
      </c>
      <c r="Q44" s="400">
        <v>0</v>
      </c>
      <c r="R44" s="400">
        <v>0</v>
      </c>
      <c r="S44" s="400">
        <v>0</v>
      </c>
      <c r="T44" s="400">
        <v>1014846</v>
      </c>
      <c r="U44" s="400">
        <v>0</v>
      </c>
      <c r="V44" s="400">
        <v>0</v>
      </c>
      <c r="W44" s="400">
        <v>0</v>
      </c>
      <c r="X44" s="400">
        <v>6671078</v>
      </c>
      <c r="Y44" s="400">
        <v>25050</v>
      </c>
      <c r="Z44" s="400">
        <v>0</v>
      </c>
      <c r="AA44" s="400">
        <v>33815</v>
      </c>
      <c r="AB44" s="400">
        <v>5561</v>
      </c>
      <c r="AC44" s="400">
        <v>0</v>
      </c>
      <c r="AD44" s="400">
        <v>-5782</v>
      </c>
      <c r="AE44" s="400">
        <v>0</v>
      </c>
      <c r="AF44" s="400">
        <v>0</v>
      </c>
      <c r="AG44" s="400">
        <v>0</v>
      </c>
      <c r="AH44" s="400">
        <v>0</v>
      </c>
      <c r="AI44" s="400">
        <v>0</v>
      </c>
      <c r="AJ44" s="400">
        <v>0</v>
      </c>
      <c r="AK44" s="400">
        <v>0</v>
      </c>
      <c r="AL44" s="400">
        <v>54388</v>
      </c>
      <c r="AM44" s="400">
        <v>0</v>
      </c>
      <c r="AN44" s="400">
        <v>0</v>
      </c>
      <c r="AO44" s="400">
        <v>0</v>
      </c>
      <c r="AP44" s="400">
        <v>0</v>
      </c>
      <c r="AQ44" s="400">
        <v>0</v>
      </c>
      <c r="AR44" s="400">
        <v>0</v>
      </c>
      <c r="AS44" s="400">
        <v>0</v>
      </c>
      <c r="AT44" s="400">
        <v>0</v>
      </c>
      <c r="AU44" s="400">
        <v>0</v>
      </c>
      <c r="AV44" s="400">
        <v>0</v>
      </c>
      <c r="AW44" s="400">
        <v>0</v>
      </c>
      <c r="AX44" s="400">
        <v>0</v>
      </c>
      <c r="AY44" s="400">
        <v>0</v>
      </c>
      <c r="AZ44" s="400">
        <v>0</v>
      </c>
      <c r="BA44" s="400">
        <v>0</v>
      </c>
      <c r="BB44" s="400">
        <v>0</v>
      </c>
      <c r="BC44" s="400">
        <v>2</v>
      </c>
      <c r="BD44" s="400">
        <v>17803</v>
      </c>
      <c r="BE44" s="400">
        <v>107285</v>
      </c>
      <c r="BF44" s="400">
        <v>2382</v>
      </c>
      <c r="BG44" s="400">
        <v>0</v>
      </c>
      <c r="BH44" s="400">
        <v>0</v>
      </c>
      <c r="BI44" s="400">
        <v>0</v>
      </c>
      <c r="BJ44" s="400">
        <v>0</v>
      </c>
      <c r="BK44" s="400">
        <v>0</v>
      </c>
      <c r="BL44" s="400">
        <v>0</v>
      </c>
      <c r="BM44" s="400">
        <v>5</v>
      </c>
      <c r="BN44" s="400">
        <v>0</v>
      </c>
      <c r="BO44" s="400">
        <v>0</v>
      </c>
      <c r="BP44" s="400">
        <v>0</v>
      </c>
      <c r="BQ44" s="400">
        <v>0</v>
      </c>
      <c r="BR44" s="400">
        <v>0</v>
      </c>
      <c r="BS44" s="400">
        <v>0</v>
      </c>
      <c r="BT44" s="400">
        <v>0</v>
      </c>
      <c r="BU44" s="400">
        <v>0</v>
      </c>
      <c r="BV44" s="400">
        <v>0</v>
      </c>
      <c r="BW44" s="400">
        <v>0</v>
      </c>
      <c r="BX44" s="400">
        <v>0</v>
      </c>
      <c r="BY44" s="400">
        <v>0</v>
      </c>
      <c r="BZ44" s="400">
        <v>0</v>
      </c>
      <c r="CA44" s="400">
        <v>0</v>
      </c>
      <c r="CB44" s="400">
        <v>0</v>
      </c>
      <c r="CC44" s="400">
        <v>0</v>
      </c>
      <c r="CD44" s="400">
        <v>575927</v>
      </c>
      <c r="CE44" s="400">
        <v>41906</v>
      </c>
      <c r="CF44" s="400">
        <v>0</v>
      </c>
      <c r="CG44" s="400">
        <v>119063</v>
      </c>
      <c r="CH44" s="400">
        <v>0</v>
      </c>
      <c r="CI44" s="400">
        <v>0</v>
      </c>
      <c r="CJ44" s="400">
        <v>0</v>
      </c>
      <c r="CK44" s="400">
        <v>0</v>
      </c>
      <c r="CL44" s="400">
        <v>0</v>
      </c>
      <c r="CM44" s="400">
        <v>0</v>
      </c>
      <c r="CN44" s="400">
        <v>0</v>
      </c>
      <c r="CO44" s="400">
        <v>0</v>
      </c>
      <c r="CP44" s="400">
        <v>0</v>
      </c>
      <c r="CQ44" s="400">
        <v>0</v>
      </c>
      <c r="CR44" s="400">
        <v>0</v>
      </c>
      <c r="CS44" s="400">
        <v>0</v>
      </c>
      <c r="CT44" s="400">
        <v>0</v>
      </c>
      <c r="CU44" s="400">
        <v>0</v>
      </c>
      <c r="CV44" s="400">
        <v>0</v>
      </c>
      <c r="CW44" s="400">
        <v>0</v>
      </c>
      <c r="CX44" s="400">
        <v>0</v>
      </c>
      <c r="CY44" s="400">
        <v>0</v>
      </c>
      <c r="CZ44" s="400">
        <v>0</v>
      </c>
      <c r="DA44" s="400">
        <v>0</v>
      </c>
      <c r="DB44" s="400">
        <v>0</v>
      </c>
      <c r="DC44" s="400">
        <v>0</v>
      </c>
      <c r="DD44" s="400">
        <v>0</v>
      </c>
      <c r="DE44" s="400">
        <v>0</v>
      </c>
      <c r="DF44" s="400">
        <v>0</v>
      </c>
      <c r="DG44" s="400">
        <v>0</v>
      </c>
      <c r="DH44" s="400">
        <v>0</v>
      </c>
      <c r="DI44" s="400">
        <v>0</v>
      </c>
      <c r="DJ44" s="400">
        <v>0</v>
      </c>
      <c r="DK44" s="400">
        <v>0</v>
      </c>
      <c r="DL44" s="400">
        <v>0</v>
      </c>
      <c r="DM44" s="400">
        <v>0</v>
      </c>
      <c r="DN44" s="400">
        <v>0</v>
      </c>
      <c r="DO44" s="400">
        <v>0</v>
      </c>
      <c r="DP44" s="400">
        <v>0</v>
      </c>
      <c r="DQ44" s="400">
        <v>0</v>
      </c>
      <c r="DR44" s="400">
        <v>0</v>
      </c>
      <c r="DS44" s="400">
        <v>0</v>
      </c>
      <c r="DT44" s="400">
        <v>0</v>
      </c>
      <c r="DU44" s="400">
        <v>56599</v>
      </c>
      <c r="DV44" s="400">
        <v>0</v>
      </c>
      <c r="DW44" s="400">
        <v>0</v>
      </c>
      <c r="DX44" s="400">
        <v>0</v>
      </c>
      <c r="DY44" s="400">
        <v>0</v>
      </c>
      <c r="DZ44" s="400">
        <v>0</v>
      </c>
      <c r="EA44" s="400">
        <v>0</v>
      </c>
      <c r="EB44" s="400">
        <v>0</v>
      </c>
      <c r="EC44" s="400">
        <v>0</v>
      </c>
      <c r="ED44" s="400">
        <v>0</v>
      </c>
      <c r="EE44" s="400">
        <v>0</v>
      </c>
      <c r="EF44" s="400">
        <v>0</v>
      </c>
      <c r="EG44" s="400">
        <v>475</v>
      </c>
      <c r="EH44" s="400">
        <v>0</v>
      </c>
      <c r="EI44" s="400">
        <v>0</v>
      </c>
      <c r="EJ44" s="400">
        <v>0</v>
      </c>
      <c r="EK44" s="400">
        <v>0</v>
      </c>
      <c r="EL44" s="400">
        <v>0</v>
      </c>
      <c r="EM44" s="400">
        <v>0</v>
      </c>
      <c r="EN44" s="400">
        <v>0</v>
      </c>
      <c r="EO44" s="400">
        <v>0</v>
      </c>
      <c r="EP44" s="400">
        <v>0</v>
      </c>
      <c r="EQ44" s="400">
        <v>0</v>
      </c>
      <c r="ER44" s="400">
        <v>0</v>
      </c>
      <c r="ES44" s="400">
        <v>0</v>
      </c>
      <c r="ET44" s="400">
        <v>0</v>
      </c>
      <c r="EU44" s="400">
        <v>0</v>
      </c>
      <c r="EV44" s="400">
        <v>0</v>
      </c>
      <c r="EW44" s="400">
        <v>0</v>
      </c>
      <c r="EX44" s="400">
        <v>0</v>
      </c>
      <c r="EY44" s="400">
        <v>0</v>
      </c>
      <c r="EZ44" s="400">
        <v>0</v>
      </c>
      <c r="FA44" s="400">
        <v>0</v>
      </c>
      <c r="FB44" s="400">
        <v>0</v>
      </c>
      <c r="FC44" s="400">
        <v>0</v>
      </c>
      <c r="FD44" s="400">
        <v>0</v>
      </c>
      <c r="FE44" s="400">
        <v>0</v>
      </c>
      <c r="FF44" s="400">
        <v>0</v>
      </c>
      <c r="FG44" s="400">
        <v>0</v>
      </c>
      <c r="FH44" s="400">
        <v>0</v>
      </c>
      <c r="FI44" s="400">
        <v>0</v>
      </c>
      <c r="FJ44" s="400">
        <v>0</v>
      </c>
      <c r="FK44" s="400">
        <v>0</v>
      </c>
      <c r="FL44" s="400">
        <v>0</v>
      </c>
      <c r="FM44" s="400">
        <v>0</v>
      </c>
      <c r="FN44" s="400">
        <v>0</v>
      </c>
      <c r="FO44" s="400">
        <v>0</v>
      </c>
      <c r="FP44" s="400">
        <v>0</v>
      </c>
      <c r="FQ44" s="400">
        <v>0</v>
      </c>
      <c r="FR44" s="400">
        <v>0</v>
      </c>
      <c r="FS44" s="400">
        <v>147130</v>
      </c>
      <c r="FT44" s="400">
        <v>0</v>
      </c>
      <c r="FU44" s="400">
        <v>0</v>
      </c>
      <c r="FV44" s="400">
        <v>0</v>
      </c>
      <c r="FW44" s="400">
        <v>0</v>
      </c>
      <c r="FX44" s="400">
        <v>0</v>
      </c>
      <c r="FY44" s="400">
        <v>0</v>
      </c>
      <c r="FZ44" s="400">
        <v>0</v>
      </c>
      <c r="GA44" s="400">
        <v>0</v>
      </c>
      <c r="GB44" s="400">
        <v>0</v>
      </c>
      <c r="GC44" s="400">
        <v>0</v>
      </c>
      <c r="GD44" s="400">
        <v>0</v>
      </c>
      <c r="GE44" s="400">
        <v>0</v>
      </c>
      <c r="GF44" s="400">
        <v>0</v>
      </c>
      <c r="GG44" s="400">
        <v>62620</v>
      </c>
      <c r="GH44" s="400">
        <v>0</v>
      </c>
      <c r="GI44" s="400">
        <v>0</v>
      </c>
      <c r="GJ44" s="400">
        <v>0</v>
      </c>
      <c r="GK44" s="400">
        <v>3484</v>
      </c>
      <c r="GL44" s="400">
        <v>0</v>
      </c>
      <c r="GM44" s="400">
        <v>0</v>
      </c>
      <c r="GN44" s="400">
        <v>0</v>
      </c>
      <c r="GO44" s="400">
        <v>0</v>
      </c>
      <c r="GP44" s="400">
        <v>0</v>
      </c>
      <c r="GQ44" s="400">
        <v>0</v>
      </c>
      <c r="GR44" s="400">
        <v>0</v>
      </c>
      <c r="GS44" s="400">
        <v>0</v>
      </c>
      <c r="GT44" s="400">
        <v>81898</v>
      </c>
      <c r="GU44" s="400">
        <v>0</v>
      </c>
      <c r="GV44" s="400">
        <v>0</v>
      </c>
      <c r="GW44" s="400">
        <v>0</v>
      </c>
      <c r="GX44" s="400">
        <v>0</v>
      </c>
      <c r="GY44" s="400">
        <v>0</v>
      </c>
      <c r="GZ44" s="400">
        <v>0</v>
      </c>
      <c r="HA44" s="400">
        <v>0</v>
      </c>
      <c r="HB44" s="400">
        <v>0</v>
      </c>
      <c r="HC44" s="400">
        <v>0</v>
      </c>
      <c r="HD44" s="400">
        <v>32999654</v>
      </c>
      <c r="HE44" s="400">
        <v>0</v>
      </c>
      <c r="HF44" s="400">
        <v>0</v>
      </c>
      <c r="HG44" s="400">
        <v>0</v>
      </c>
      <c r="HH44" s="400">
        <v>0</v>
      </c>
      <c r="HI44" s="400">
        <v>2799975</v>
      </c>
      <c r="HJ44" s="400">
        <v>0</v>
      </c>
      <c r="HK44" s="400">
        <v>0</v>
      </c>
      <c r="HL44" s="400">
        <v>0</v>
      </c>
      <c r="HM44" s="400">
        <v>0</v>
      </c>
      <c r="HN44" s="400">
        <v>139174</v>
      </c>
      <c r="HO44" s="400">
        <v>4360418</v>
      </c>
      <c r="HP44" s="400">
        <v>1373377</v>
      </c>
      <c r="HQ44" s="400">
        <v>0</v>
      </c>
      <c r="HR44" s="400">
        <v>0</v>
      </c>
      <c r="HS44" s="400">
        <v>0</v>
      </c>
      <c r="HT44" s="400">
        <v>0</v>
      </c>
      <c r="HU44" s="400">
        <v>0</v>
      </c>
      <c r="HV44" s="400">
        <v>0</v>
      </c>
      <c r="HW44" s="400">
        <v>0</v>
      </c>
      <c r="HX44" s="400">
        <v>0</v>
      </c>
      <c r="HY44" s="400">
        <v>0</v>
      </c>
      <c r="HZ44" s="400">
        <v>0</v>
      </c>
      <c r="IA44" s="400">
        <v>464349</v>
      </c>
      <c r="IB44" s="400">
        <v>109567</v>
      </c>
      <c r="IC44" s="400">
        <v>0</v>
      </c>
      <c r="ID44" s="400">
        <v>0</v>
      </c>
      <c r="IE44" s="400">
        <v>0</v>
      </c>
      <c r="IF44" s="400">
        <v>0</v>
      </c>
      <c r="IG44" s="400">
        <v>0</v>
      </c>
      <c r="IH44" s="400">
        <v>0</v>
      </c>
      <c r="II44" s="400">
        <v>0</v>
      </c>
      <c r="IJ44" s="400">
        <v>0</v>
      </c>
      <c r="IK44" s="400">
        <v>0</v>
      </c>
      <c r="IL44" s="400">
        <v>0</v>
      </c>
      <c r="IM44" s="400">
        <v>0</v>
      </c>
      <c r="IN44" s="400">
        <v>56513</v>
      </c>
      <c r="IO44" s="400">
        <v>0</v>
      </c>
      <c r="IP44" s="400">
        <v>0</v>
      </c>
      <c r="IQ44" s="400">
        <v>0</v>
      </c>
      <c r="IR44" s="400">
        <v>113015</v>
      </c>
      <c r="IS44" s="400">
        <v>0</v>
      </c>
      <c r="IT44" s="400">
        <v>0</v>
      </c>
      <c r="IU44" s="400">
        <v>0</v>
      </c>
      <c r="IV44" s="400">
        <v>0</v>
      </c>
      <c r="IW44" s="400">
        <v>0</v>
      </c>
      <c r="IX44" s="400">
        <v>24358</v>
      </c>
      <c r="IY44" s="400">
        <v>621989</v>
      </c>
      <c r="IZ44" s="400">
        <v>0</v>
      </c>
      <c r="JA44" s="400">
        <v>0</v>
      </c>
      <c r="JB44" s="400">
        <v>219265</v>
      </c>
      <c r="JC44" s="400">
        <v>0</v>
      </c>
      <c r="JD44" s="400">
        <v>0</v>
      </c>
      <c r="JE44" s="400">
        <v>843221</v>
      </c>
      <c r="JF44" s="400">
        <v>0</v>
      </c>
      <c r="JG44" s="400">
        <v>0</v>
      </c>
      <c r="JH44" s="400">
        <v>0</v>
      </c>
      <c r="JI44" s="400">
        <v>0</v>
      </c>
      <c r="JJ44" s="400">
        <v>0</v>
      </c>
      <c r="JK44" s="400">
        <v>0</v>
      </c>
      <c r="JL44" s="400">
        <v>0</v>
      </c>
      <c r="JM44" s="400">
        <v>0</v>
      </c>
      <c r="JN44" s="400">
        <v>0</v>
      </c>
      <c r="JO44" s="400">
        <v>0</v>
      </c>
      <c r="JP44" s="400">
        <v>0</v>
      </c>
      <c r="JQ44" s="400">
        <v>0</v>
      </c>
      <c r="JR44" s="400">
        <v>0</v>
      </c>
      <c r="JS44" s="400">
        <v>0</v>
      </c>
      <c r="JT44" s="400">
        <v>0</v>
      </c>
      <c r="JU44" s="400">
        <v>0</v>
      </c>
      <c r="JV44" s="400">
        <v>0</v>
      </c>
      <c r="JW44" s="400">
        <v>0</v>
      </c>
      <c r="JX44" s="400">
        <v>0</v>
      </c>
      <c r="JY44" s="400">
        <v>0</v>
      </c>
      <c r="JZ44" s="400">
        <v>0</v>
      </c>
      <c r="KA44" s="400">
        <v>0</v>
      </c>
      <c r="KB44" s="400">
        <v>0</v>
      </c>
      <c r="KC44" s="400">
        <v>0</v>
      </c>
      <c r="KD44" s="400">
        <v>0</v>
      </c>
      <c r="KE44" s="400">
        <v>0</v>
      </c>
      <c r="KF44" s="400">
        <v>0</v>
      </c>
      <c r="KG44" s="400">
        <v>0</v>
      </c>
      <c r="KH44" s="400">
        <v>0</v>
      </c>
      <c r="KI44" s="400">
        <v>0</v>
      </c>
      <c r="KJ44" s="400">
        <v>0</v>
      </c>
      <c r="KK44" s="400">
        <v>0</v>
      </c>
      <c r="KL44" s="400">
        <v>0</v>
      </c>
      <c r="KM44" s="400">
        <v>0</v>
      </c>
      <c r="KN44" s="400">
        <v>0</v>
      </c>
      <c r="KO44" s="400">
        <v>0</v>
      </c>
      <c r="KP44" s="400">
        <v>0</v>
      </c>
      <c r="KQ44" s="400">
        <v>0</v>
      </c>
      <c r="KR44" s="400">
        <v>0</v>
      </c>
      <c r="KS44" s="400">
        <v>0</v>
      </c>
      <c r="KT44" s="400">
        <v>0</v>
      </c>
      <c r="KU44" s="400">
        <v>0</v>
      </c>
      <c r="KV44" s="400">
        <v>0</v>
      </c>
      <c r="KW44" s="400">
        <v>0</v>
      </c>
      <c r="KX44" s="400">
        <v>0</v>
      </c>
      <c r="KY44" s="400">
        <v>0</v>
      </c>
      <c r="KZ44" s="400">
        <v>0</v>
      </c>
      <c r="LA44" s="400">
        <v>0</v>
      </c>
      <c r="LB44" s="400">
        <v>0</v>
      </c>
      <c r="LC44" s="400">
        <v>0</v>
      </c>
      <c r="LD44" s="400">
        <v>0</v>
      </c>
      <c r="LE44" s="400">
        <v>0</v>
      </c>
      <c r="LF44" s="400">
        <v>0</v>
      </c>
      <c r="LG44" s="400">
        <v>0</v>
      </c>
      <c r="LH44" s="400">
        <v>0</v>
      </c>
      <c r="LI44" s="400">
        <v>0</v>
      </c>
      <c r="LJ44" s="400">
        <v>0</v>
      </c>
      <c r="LK44" s="400">
        <v>0</v>
      </c>
      <c r="LL44" s="400">
        <v>0</v>
      </c>
      <c r="LM44" s="400">
        <v>0</v>
      </c>
      <c r="LN44" s="400">
        <v>0</v>
      </c>
      <c r="LO44" s="400">
        <v>0</v>
      </c>
      <c r="LP44" s="400">
        <v>0</v>
      </c>
      <c r="LQ44" s="400">
        <v>1464554</v>
      </c>
      <c r="LR44" s="400">
        <v>418696</v>
      </c>
      <c r="LS44" s="400">
        <v>0</v>
      </c>
      <c r="LT44" s="400">
        <v>0</v>
      </c>
      <c r="LU44" s="400">
        <v>0</v>
      </c>
      <c r="LV44" s="400">
        <v>0</v>
      </c>
      <c r="LW44" s="400">
        <v>0</v>
      </c>
      <c r="LX44" s="400">
        <v>0</v>
      </c>
      <c r="LY44" s="400">
        <v>0</v>
      </c>
      <c r="LZ44" s="400">
        <v>0</v>
      </c>
      <c r="MA44" s="400">
        <v>0</v>
      </c>
      <c r="MB44" s="400">
        <v>0</v>
      </c>
      <c r="MC44" s="400">
        <v>0</v>
      </c>
      <c r="MD44" s="400">
        <v>0</v>
      </c>
      <c r="ME44" s="400">
        <v>0</v>
      </c>
      <c r="MF44" s="400">
        <v>0</v>
      </c>
      <c r="MG44" s="400">
        <v>0</v>
      </c>
      <c r="MH44" s="400">
        <v>0</v>
      </c>
      <c r="MI44" s="400">
        <v>0</v>
      </c>
      <c r="MJ44" s="400">
        <v>0</v>
      </c>
      <c r="MK44" s="400">
        <v>0</v>
      </c>
      <c r="ML44" s="400">
        <v>0</v>
      </c>
      <c r="MM44" s="400">
        <v>0</v>
      </c>
      <c r="MN44" s="400">
        <v>0</v>
      </c>
      <c r="MO44" s="400">
        <v>100480</v>
      </c>
      <c r="MP44" s="400">
        <v>0</v>
      </c>
      <c r="MQ44" s="400">
        <v>0</v>
      </c>
      <c r="MR44" s="400">
        <v>3364100</v>
      </c>
      <c r="MS44" s="400">
        <v>0</v>
      </c>
      <c r="MT44" s="400">
        <v>0</v>
      </c>
      <c r="MU44" s="400">
        <v>0</v>
      </c>
      <c r="MV44" s="400">
        <v>0</v>
      </c>
      <c r="MW44" s="400">
        <v>1451137</v>
      </c>
      <c r="MX44" s="400">
        <v>52544</v>
      </c>
      <c r="MY44" s="400">
        <v>0</v>
      </c>
      <c r="MZ44" s="400">
        <v>0</v>
      </c>
      <c r="NA44" s="400">
        <v>0</v>
      </c>
      <c r="NB44" s="400">
        <v>0</v>
      </c>
      <c r="NC44" s="400">
        <v>0</v>
      </c>
      <c r="ND44" s="400">
        <v>0</v>
      </c>
      <c r="NE44" s="400">
        <v>0</v>
      </c>
      <c r="NF44" s="400">
        <v>0</v>
      </c>
      <c r="NG44" s="400">
        <v>0</v>
      </c>
      <c r="NH44" s="400">
        <v>0</v>
      </c>
      <c r="NI44" s="400">
        <v>0</v>
      </c>
      <c r="NJ44" s="400">
        <v>0</v>
      </c>
      <c r="NK44" s="400">
        <v>0</v>
      </c>
      <c r="NL44" s="400">
        <v>0</v>
      </c>
      <c r="NM44" s="400">
        <v>0</v>
      </c>
      <c r="NN44" s="400">
        <v>0</v>
      </c>
      <c r="NO44" s="400">
        <v>0</v>
      </c>
      <c r="NP44" s="400">
        <v>0</v>
      </c>
      <c r="NQ44" s="400">
        <v>0</v>
      </c>
      <c r="NR44" s="400">
        <v>0</v>
      </c>
      <c r="NS44" s="400">
        <v>0</v>
      </c>
      <c r="NT44" s="400">
        <v>0</v>
      </c>
      <c r="NU44" s="400">
        <v>79946</v>
      </c>
      <c r="NV44" s="400">
        <v>140911</v>
      </c>
      <c r="NW44" s="400">
        <v>0</v>
      </c>
      <c r="NX44" s="400">
        <v>0</v>
      </c>
      <c r="NY44" s="400">
        <v>112527</v>
      </c>
      <c r="NZ44" s="400">
        <v>0</v>
      </c>
      <c r="OA44" s="400">
        <v>0</v>
      </c>
      <c r="OB44" s="400">
        <v>0</v>
      </c>
      <c r="OC44" s="400">
        <v>0</v>
      </c>
      <c r="OD44" s="400">
        <v>0</v>
      </c>
      <c r="OE44" s="400">
        <v>0</v>
      </c>
      <c r="OF44" s="400">
        <v>0</v>
      </c>
      <c r="OG44" s="400">
        <v>0</v>
      </c>
      <c r="OH44" s="400">
        <v>0</v>
      </c>
      <c r="OI44" s="400">
        <v>0</v>
      </c>
      <c r="OJ44" s="400">
        <v>0</v>
      </c>
      <c r="OK44" s="400">
        <v>202800</v>
      </c>
      <c r="OL44" s="400">
        <v>0</v>
      </c>
      <c r="OM44" s="400">
        <v>0</v>
      </c>
      <c r="ON44" s="400">
        <v>0</v>
      </c>
      <c r="OO44" s="400">
        <v>0</v>
      </c>
      <c r="OP44" s="400">
        <v>0</v>
      </c>
      <c r="OQ44" s="400">
        <v>0</v>
      </c>
      <c r="OR44" s="400">
        <v>0</v>
      </c>
      <c r="OS44" s="400">
        <v>0</v>
      </c>
      <c r="OT44" s="400">
        <v>6857925</v>
      </c>
      <c r="OU44" s="400">
        <v>28070332</v>
      </c>
      <c r="OV44" s="400">
        <v>0</v>
      </c>
      <c r="OW44" s="400">
        <v>0</v>
      </c>
      <c r="OX44" s="400">
        <v>0</v>
      </c>
      <c r="OY44" s="400">
        <v>0</v>
      </c>
      <c r="OZ44" s="400">
        <v>0</v>
      </c>
      <c r="PA44" s="400">
        <v>0</v>
      </c>
      <c r="PB44" s="400">
        <v>0</v>
      </c>
      <c r="PC44" s="400">
        <v>0</v>
      </c>
      <c r="PD44" s="400">
        <v>0</v>
      </c>
      <c r="PE44" s="400">
        <v>0</v>
      </c>
      <c r="PF44" s="400">
        <v>0</v>
      </c>
      <c r="PG44" s="400">
        <v>0</v>
      </c>
      <c r="PH44" s="400">
        <v>19557</v>
      </c>
      <c r="PI44" s="400">
        <v>0</v>
      </c>
      <c r="PJ44" s="400">
        <v>0</v>
      </c>
      <c r="PK44" s="400">
        <v>0</v>
      </c>
      <c r="PL44" s="400">
        <v>0</v>
      </c>
      <c r="PM44" s="400">
        <v>0</v>
      </c>
      <c r="PN44" s="400">
        <v>0</v>
      </c>
      <c r="PO44" s="400">
        <v>0</v>
      </c>
      <c r="PP44" s="400">
        <v>0</v>
      </c>
      <c r="PQ44" s="400">
        <v>0</v>
      </c>
      <c r="PR44" s="400">
        <v>0</v>
      </c>
      <c r="PS44" s="400">
        <v>0</v>
      </c>
      <c r="PT44" s="400">
        <v>10433</v>
      </c>
      <c r="PU44" s="400">
        <v>0</v>
      </c>
      <c r="PV44" s="400">
        <v>0</v>
      </c>
      <c r="PW44" s="400">
        <v>0</v>
      </c>
      <c r="PX44" s="400">
        <v>0</v>
      </c>
      <c r="PY44" s="400">
        <v>0</v>
      </c>
      <c r="PZ44" s="400">
        <v>0</v>
      </c>
      <c r="QA44" s="400">
        <v>0</v>
      </c>
      <c r="QB44" s="400">
        <v>0</v>
      </c>
      <c r="QC44" s="400">
        <v>0</v>
      </c>
      <c r="QD44" s="400">
        <v>0</v>
      </c>
      <c r="QE44" s="400">
        <v>0</v>
      </c>
      <c r="QF44" s="400">
        <v>0</v>
      </c>
      <c r="QG44" s="400">
        <v>0</v>
      </c>
      <c r="QH44" s="400">
        <v>0</v>
      </c>
      <c r="QI44" s="400">
        <v>0</v>
      </c>
      <c r="QJ44" s="400">
        <v>0</v>
      </c>
      <c r="QK44" s="400">
        <v>0</v>
      </c>
      <c r="QL44" s="400">
        <v>0</v>
      </c>
      <c r="QM44" s="400">
        <v>0</v>
      </c>
      <c r="QN44" s="400">
        <v>0</v>
      </c>
      <c r="QO44" s="400">
        <v>0</v>
      </c>
      <c r="QP44" s="400">
        <v>0</v>
      </c>
      <c r="QQ44" s="400">
        <v>0</v>
      </c>
      <c r="QR44" s="400">
        <v>0</v>
      </c>
      <c r="QS44" s="400">
        <v>5912</v>
      </c>
      <c r="QT44" s="400">
        <v>0</v>
      </c>
      <c r="QU44" s="400">
        <v>0</v>
      </c>
      <c r="QV44" s="400">
        <v>0</v>
      </c>
      <c r="QW44" s="400">
        <v>0</v>
      </c>
      <c r="QX44" s="400">
        <v>0</v>
      </c>
      <c r="QY44" s="400">
        <v>0</v>
      </c>
      <c r="QZ44" s="400">
        <v>0</v>
      </c>
      <c r="RA44" s="400">
        <v>0</v>
      </c>
      <c r="RB44" s="400">
        <v>0</v>
      </c>
      <c r="RG44" s="39">
        <f t="shared" si="126"/>
        <v>32999654</v>
      </c>
      <c r="RH44" s="39">
        <f t="shared" si="126"/>
        <v>2799975</v>
      </c>
      <c r="RI44" s="39">
        <f t="shared" si="126"/>
        <v>0</v>
      </c>
      <c r="RJ44" s="39">
        <f t="shared" si="126"/>
        <v>0</v>
      </c>
      <c r="RK44" s="39">
        <f t="shared" si="126"/>
        <v>139174</v>
      </c>
      <c r="RL44" s="39">
        <f t="shared" si="126"/>
        <v>4360418</v>
      </c>
      <c r="RM44" s="39">
        <f t="shared" si="126"/>
        <v>1947293</v>
      </c>
      <c r="RN44" s="39">
        <f t="shared" si="126"/>
        <v>56513</v>
      </c>
      <c r="RO44" s="39">
        <f t="shared" si="126"/>
        <v>113015</v>
      </c>
      <c r="RP44" s="39">
        <f t="shared" si="126"/>
        <v>646347</v>
      </c>
      <c r="RQ44" s="39">
        <f t="shared" si="126"/>
        <v>219265</v>
      </c>
      <c r="RR44" s="39">
        <f t="shared" si="126"/>
        <v>843221</v>
      </c>
      <c r="RS44" s="39"/>
      <c r="RT44" s="182"/>
      <c r="RU44" s="39"/>
      <c r="RV44" s="39">
        <f t="shared" si="127"/>
        <v>7387695</v>
      </c>
      <c r="RW44" s="39">
        <f t="shared" si="127"/>
        <v>44124875</v>
      </c>
      <c r="RX44" s="39">
        <f t="shared" si="127"/>
        <v>13582878</v>
      </c>
      <c r="RY44" s="39">
        <f t="shared" si="127"/>
        <v>34964159</v>
      </c>
      <c r="RZ44" s="39"/>
      <c r="SA44" s="182"/>
      <c r="SB44" s="39"/>
      <c r="SC44" s="25">
        <f t="shared" si="50"/>
        <v>1732.7309605817068</v>
      </c>
      <c r="SD44" s="39">
        <f>IFERROR(VLOOKUP(A44, 'Levy Data 15-16'!$B:$O, 3, FALSE), 0)</f>
        <v>1894945719</v>
      </c>
      <c r="SE44" s="39">
        <f t="shared" si="88"/>
        <v>241733.09337925757</v>
      </c>
      <c r="SF44" s="631">
        <f>IFERROR(VLOOKUP(A44, 'Levy Data 15-16'!$B:$O, 14, FALSE), 0)*1000</f>
        <v>5.8200010000000004</v>
      </c>
      <c r="SG44" s="39">
        <f t="shared" si="89"/>
        <v>0</v>
      </c>
      <c r="SH44" s="39">
        <f t="shared" si="90"/>
        <v>0</v>
      </c>
      <c r="SI44" s="39">
        <f t="shared" si="91"/>
        <v>13582878</v>
      </c>
      <c r="SM44" s="39">
        <f t="shared" si="92"/>
        <v>44124875</v>
      </c>
      <c r="SN44" s="39">
        <f t="shared" si="93"/>
        <v>0</v>
      </c>
      <c r="SO44" s="39">
        <f t="shared" si="51"/>
        <v>44124875</v>
      </c>
      <c r="SP44" s="50">
        <f t="shared" si="52"/>
        <v>1</v>
      </c>
      <c r="ST44" s="124">
        <f>IFERROR(VLOOKUP(A44,'Grade Enroll 15-16'!B:AC,27,FALSE),"")</f>
        <v>7839</v>
      </c>
      <c r="SU44" s="124">
        <f t="shared" si="53"/>
        <v>5239.2168147641833</v>
      </c>
      <c r="SV44" s="131">
        <f>IFERROR(VLOOKUP($A44, 'Title I Enroll 16-17'!S:V, 4, FALSE), 0)</f>
        <v>0.66835269993164725</v>
      </c>
      <c r="SW44" s="729">
        <f>IFERROR(VLOOKUP(A44, 'ELL Enroll 15-16'!$N:$S, 6, FALSE), 0)</f>
        <v>1608</v>
      </c>
      <c r="SX44" s="131">
        <f t="shared" si="54"/>
        <v>0.20512820512820512</v>
      </c>
      <c r="SY44" s="124">
        <f>IFERROR(VLOOKUP(A44, 'SPED enroll 2015-16'!$M:$O, 3, FALSE), 0)</f>
        <v>785</v>
      </c>
      <c r="SZ44" s="131">
        <f t="shared" si="55"/>
        <v>0.10014032402092103</v>
      </c>
      <c r="TA44" s="142">
        <f t="shared" si="87"/>
        <v>549.5</v>
      </c>
      <c r="TB44" s="142">
        <f t="shared" si="87"/>
        <v>157</v>
      </c>
      <c r="TC44" s="142">
        <f t="shared" si="87"/>
        <v>54.95</v>
      </c>
      <c r="TD44" s="142">
        <f t="shared" si="87"/>
        <v>23.55</v>
      </c>
      <c r="TE44" s="124">
        <f>VLOOKUP($A44, 'Grade Enroll 15-16'!$B:$AB, 20, FALSE)</f>
        <v>50</v>
      </c>
      <c r="TF44" s="124">
        <f>VLOOKUP($A44, 'Grade Enroll 15-16'!$B:$AB, 21, FALSE)</f>
        <v>672</v>
      </c>
      <c r="TG44" s="124">
        <f>VLOOKUP($A44, 'Grade Enroll 15-16'!$B:$AB, 22, FALSE)</f>
        <v>2176</v>
      </c>
      <c r="TH44" s="124">
        <f>VLOOKUP($A44, 'Grade Enroll 15-16'!$B:$AB, 23, FALSE)</f>
        <v>2097</v>
      </c>
      <c r="TI44" s="124">
        <f>VLOOKUP($A44, 'Grade Enroll 15-16'!$B:$AB, 24, FALSE)</f>
        <v>1323</v>
      </c>
      <c r="TJ44" s="124">
        <f>VLOOKUP($A44, 'Grade Enroll 15-16'!$B:$AB, 25, FALSE)</f>
        <v>2243</v>
      </c>
      <c r="TK44" s="124">
        <f>VLOOKUP($A44, 'Grade Enroll 15-16'!$B:$AB, 26, FALSE)</f>
        <v>5407</v>
      </c>
      <c r="TL44" s="131">
        <f>SUMIFS('Student Achievement 15-16'!N:N, 'Student Achievement 15-16'!B:B, 'Idaho Data'!A44, 'Student Achievement 15-16'!D:D, "math")/100</f>
        <v>0.307</v>
      </c>
      <c r="TM44" s="134">
        <f t="shared" si="57"/>
        <v>2406.5729999999999</v>
      </c>
      <c r="TN44" s="131">
        <f>SUMIFS('Student Achievement 15-16'!N:N, 'Student Achievement 15-16'!B:B, 'Idaho Data'!A44, 'Student Achievement 15-16'!D:D, "ela")/100</f>
        <v>0.20800000000000002</v>
      </c>
      <c r="TO44" s="134">
        <f t="shared" si="58"/>
        <v>1630.5120000000002</v>
      </c>
      <c r="TP44" s="688">
        <f>IFERROR(VLOOKUP(A44, 'G&amp;T 15-16'!B:G, 6, FALSE), 0)*1</f>
        <v>53</v>
      </c>
      <c r="TQ44" s="168">
        <f t="shared" si="59"/>
        <v>470.34</v>
      </c>
      <c r="TU44" s="168">
        <f t="shared" si="60"/>
        <v>1630.5120000000002</v>
      </c>
      <c r="TV44" s="168">
        <f t="shared" si="61"/>
        <v>2406.5729999999999</v>
      </c>
      <c r="TW44" s="205">
        <f t="shared" si="62"/>
        <v>2406.5729999999999</v>
      </c>
      <c r="TX44" s="144"/>
      <c r="TY44" s="129"/>
      <c r="TZ44" s="127">
        <f t="shared" si="63"/>
        <v>53</v>
      </c>
      <c r="UA44" s="127">
        <f t="shared" si="64"/>
        <v>470.34</v>
      </c>
      <c r="UB44" s="205">
        <f t="shared" si="65"/>
        <v>470.34</v>
      </c>
      <c r="UE44" s="853" t="str">
        <f>IF(ST44&lt;='1. Simulator Input'!$E$104, "yes", "")</f>
        <v/>
      </c>
      <c r="UI44" s="199">
        <f t="shared" si="66"/>
        <v>0</v>
      </c>
      <c r="UJ44" s="200">
        <f>IF('Idaho Data'!SI44&gt;=0, ((1-'1. Simulator Input'!$E$39)*'Idaho Data'!SI44), 0)</f>
        <v>0</v>
      </c>
      <c r="UK44" s="200">
        <f t="shared" si="67"/>
        <v>44124875</v>
      </c>
      <c r="UL44" s="39"/>
      <c r="UM44" s="182"/>
      <c r="UN44" s="39"/>
      <c r="UO44" s="39" t="str">
        <f>IF(AND('1. Simulator Input'!$E$96="yes", '1. Simulator Input'!$E$98="yes", '1. Simulator Input'!$E$100="hold harmless"), 'Idaho Data'!WN44, IF(AND('1. Simulator Input'!$E$96="yes", '1. Simulator Input'!$E$98="no", '1. Simulator Input'!$E$100="hold harmless"), 'Idaho Data'!WM44, IF(AND('1. Simulator Input'!$E$96="yes", '1. Simulator Input'!$E$98="yes", '1. Simulator Input'!$E$100="small district grant"), WL44,IF(AND('1. Simulator Input'!$E$96="yes", '1. Simulator Input'!$E$98="no", '1. Simulator Input'!$E$100="small district grant"), WK44, ""))))</f>
        <v/>
      </c>
      <c r="UP44" s="200">
        <f>'1. Simulator Input'!$D$56*('Idaho Data'!ST44)</f>
        <v>43318314</v>
      </c>
      <c r="UQ44" s="204">
        <f>'1. Simulator Input'!$D$65*'1. Simulator Input'!$D$56*'Idaho Data'!SU44</f>
        <v>0</v>
      </c>
      <c r="UR44" s="204">
        <f>'1. Simulator Input'!$D$66*'1. Simulator Input'!$D$56*'Idaho Data'!SW44</f>
        <v>0</v>
      </c>
      <c r="US44" s="200">
        <f>'1. Simulator Input'!$D$67*'1. Simulator Input'!$D$56*'Idaho Data'!TA44</f>
        <v>0</v>
      </c>
      <c r="UT44" s="200">
        <f>'1. Simulator Input'!$D$68*'1. Simulator Input'!$D$56*'Idaho Data'!TB44</f>
        <v>0</v>
      </c>
      <c r="UU44" s="200">
        <f>'1. Simulator Input'!$D$69*'1. Simulator Input'!$D$56*'Idaho Data'!TC44</f>
        <v>0</v>
      </c>
      <c r="UV44" s="200">
        <f>'1. Simulator Input'!$D$70*'1. Simulator Input'!$D$56*TD44</f>
        <v>0</v>
      </c>
      <c r="UW44" s="200">
        <f>'1. Simulator Input'!$D$80*'1. Simulator Input'!$D$56*TW44</f>
        <v>0</v>
      </c>
      <c r="UX44" s="200">
        <f>'1. Simulator Input'!$D$79*'1. Simulator Input'!$D$56*UB44</f>
        <v>0</v>
      </c>
      <c r="UY44" s="200">
        <f>'1. Simulator Input'!$D$87*'1. Simulator Input'!$D$56*TF44</f>
        <v>1856736</v>
      </c>
      <c r="UZ44" s="200">
        <f>'1. Simulator Input'!$D$73*'1. Simulator Input'!$D$56*'Idaho Data'!TG44</f>
        <v>0</v>
      </c>
      <c r="VA44" s="200">
        <f>'1. Simulator Input'!$D$56*'1. Simulator Input'!$D$74*'Idaho Data'!TH44</f>
        <v>0</v>
      </c>
      <c r="VB44" s="200">
        <f>'1. Simulator Input'!$D$56*'1. Simulator Input'!$D$75*'Idaho Data'!TI39</f>
        <v>0</v>
      </c>
      <c r="VC44" s="200">
        <f>'1. Simulator Input'!$D$76*'1. Simulator Input'!$D$56*'Idaho Data'!TJ44</f>
        <v>0</v>
      </c>
      <c r="VD44" s="200">
        <f t="shared" si="68"/>
        <v>45175050</v>
      </c>
      <c r="VE44" s="200"/>
      <c r="VF44" s="182"/>
      <c r="VG44" s="200"/>
      <c r="VH44" s="200">
        <f t="shared" si="69"/>
        <v>0</v>
      </c>
      <c r="VI44" s="200">
        <f t="shared" si="70"/>
        <v>0</v>
      </c>
      <c r="VJ44" s="200">
        <f t="shared" si="94"/>
        <v>45175050</v>
      </c>
      <c r="VK44" s="200">
        <f t="shared" si="95"/>
        <v>45175050</v>
      </c>
      <c r="VL44" s="200"/>
      <c r="VM44" s="182"/>
      <c r="VN44" s="200"/>
      <c r="VO44" s="200">
        <f t="shared" si="71"/>
        <v>7387695</v>
      </c>
      <c r="VP44" s="200">
        <f t="shared" si="72"/>
        <v>44124875</v>
      </c>
      <c r="VQ44" s="200">
        <f t="shared" si="73"/>
        <v>13582878</v>
      </c>
      <c r="VR44" s="200">
        <f t="shared" si="74"/>
        <v>7387695</v>
      </c>
      <c r="VS44" s="200">
        <f t="shared" si="96"/>
        <v>45175050</v>
      </c>
      <c r="VT44" s="200">
        <f t="shared" si="97"/>
        <v>13582878</v>
      </c>
      <c r="VU44" s="200">
        <f t="shared" si="98"/>
        <v>0</v>
      </c>
      <c r="VV44" s="200"/>
      <c r="VW44" s="182"/>
      <c r="VX44" s="200"/>
      <c r="VZ44" s="199">
        <f t="shared" si="75"/>
        <v>1050175</v>
      </c>
      <c r="WA44" s="199">
        <f t="shared" si="76"/>
        <v>133.96798060977164</v>
      </c>
      <c r="WB44" s="131">
        <f t="shared" si="77"/>
        <v>2.3800067422287314E-2</v>
      </c>
      <c r="WC44" s="131"/>
      <c r="WD44" s="461"/>
      <c r="WE44" s="893"/>
      <c r="WF44" s="893">
        <f t="shared" si="78"/>
        <v>8304.0500063783638</v>
      </c>
      <c r="WG44" s="893">
        <f t="shared" si="79"/>
        <v>8438.0179869881358</v>
      </c>
      <c r="WH44" s="893"/>
      <c r="WI44" s="893">
        <f t="shared" si="80"/>
        <v>44124875</v>
      </c>
      <c r="WJ44" s="893">
        <f t="shared" si="99"/>
        <v>45175050</v>
      </c>
      <c r="WK44" s="39" t="str">
        <f t="shared" si="100"/>
        <v/>
      </c>
      <c r="WL44" s="39" t="str">
        <f t="shared" si="101"/>
        <v/>
      </c>
      <c r="WM44" s="200" t="str">
        <f t="shared" si="102"/>
        <v/>
      </c>
      <c r="WN44" s="39" t="str">
        <f t="shared" si="103"/>
        <v/>
      </c>
      <c r="WO44" s="39"/>
      <c r="WP44" s="182"/>
      <c r="WQ44" s="39"/>
      <c r="WR44" s="305">
        <f t="shared" si="104"/>
        <v>0.105</v>
      </c>
      <c r="WT44" s="200">
        <f t="shared" si="105"/>
        <v>5628.8908023982649</v>
      </c>
      <c r="WU44" s="131">
        <f t="shared" si="81"/>
        <v>0.16</v>
      </c>
      <c r="WW44" s="199">
        <f t="shared" si="106"/>
        <v>7387695</v>
      </c>
      <c r="WX44" s="199">
        <f t="shared" si="107"/>
        <v>45175050</v>
      </c>
      <c r="WY44" s="199">
        <f t="shared" si="108"/>
        <v>0</v>
      </c>
      <c r="WZ44" s="199">
        <f t="shared" si="82"/>
        <v>45175050</v>
      </c>
      <c r="XA44" s="199">
        <f t="shared" si="109"/>
        <v>0</v>
      </c>
      <c r="XB44" s="199">
        <f t="shared" si="110"/>
        <v>13582878</v>
      </c>
      <c r="XC44" s="199">
        <f t="shared" si="111"/>
        <v>13582878</v>
      </c>
      <c r="XD44" s="199" t="str">
        <f t="shared" si="112"/>
        <v/>
      </c>
      <c r="XE44" s="199"/>
      <c r="XF44" s="199"/>
      <c r="XG44" s="199"/>
      <c r="XH44" s="199"/>
      <c r="XI44" s="199"/>
      <c r="XJ44" s="199">
        <f t="shared" si="83"/>
        <v>45175050</v>
      </c>
      <c r="XP44" s="199">
        <f t="shared" si="113"/>
        <v>45175050</v>
      </c>
      <c r="XQ44" s="199">
        <f t="shared" si="114"/>
        <v>5762.8587830080369</v>
      </c>
      <c r="XR44" s="199">
        <f t="shared" si="115"/>
        <v>45175050</v>
      </c>
      <c r="XS44" s="199">
        <f t="shared" si="116"/>
        <v>45175050</v>
      </c>
      <c r="XT44" s="199">
        <f t="shared" si="117"/>
        <v>5762.8587830080369</v>
      </c>
      <c r="XU44" s="199">
        <f t="shared" si="118"/>
        <v>44124875</v>
      </c>
      <c r="XV44" s="199">
        <f t="shared" si="119"/>
        <v>5628.8908023982649</v>
      </c>
      <c r="XW44" s="199">
        <f t="shared" si="120"/>
        <v>44124875</v>
      </c>
      <c r="XX44" s="199">
        <f t="shared" si="121"/>
        <v>5628.8908023982649</v>
      </c>
      <c r="XY44" s="199">
        <f t="shared" si="84"/>
        <v>1050175</v>
      </c>
      <c r="XZ44" s="199">
        <f t="shared" si="85"/>
        <v>133.96798060977198</v>
      </c>
      <c r="YA44" s="131">
        <f t="shared" si="86"/>
        <v>2.3800067422287376E-2</v>
      </c>
      <c r="YB44" s="199"/>
      <c r="YC44" s="221"/>
      <c r="YD44" s="199"/>
      <c r="YE44" s="199">
        <f t="shared" si="122"/>
        <v>7387695</v>
      </c>
      <c r="YF44" s="200">
        <f t="shared" si="123"/>
        <v>0</v>
      </c>
      <c r="YG44" s="199">
        <f t="shared" si="124"/>
        <v>13582878</v>
      </c>
      <c r="YH44" s="199">
        <f t="shared" si="125"/>
        <v>34964159</v>
      </c>
    </row>
    <row r="45" spans="1:658">
      <c r="A45" s="3">
        <v>148</v>
      </c>
      <c r="B45" s="2" t="s">
        <v>138</v>
      </c>
      <c r="C45" s="24">
        <v>0</v>
      </c>
      <c r="D45" s="24">
        <v>0</v>
      </c>
      <c r="E45" s="24">
        <v>0</v>
      </c>
      <c r="F45" s="24">
        <v>0</v>
      </c>
      <c r="G45" s="24">
        <v>288592</v>
      </c>
      <c r="H45" s="24">
        <v>0</v>
      </c>
      <c r="I45" s="24">
        <v>0</v>
      </c>
      <c r="J45" s="24">
        <v>9811</v>
      </c>
      <c r="K45" s="24">
        <v>0</v>
      </c>
      <c r="L45" s="24">
        <v>0</v>
      </c>
      <c r="M45" s="24">
        <v>0</v>
      </c>
      <c r="N45" s="24">
        <v>1730</v>
      </c>
      <c r="O45" s="24">
        <v>0</v>
      </c>
      <c r="P45" s="24">
        <v>0</v>
      </c>
      <c r="Q45" s="24">
        <v>0</v>
      </c>
      <c r="R45" s="24">
        <v>0</v>
      </c>
      <c r="S45" s="24">
        <v>0</v>
      </c>
      <c r="T45" s="24">
        <v>145704</v>
      </c>
      <c r="U45" s="24">
        <v>0</v>
      </c>
      <c r="V45" s="24">
        <v>0</v>
      </c>
      <c r="W45" s="24">
        <v>0</v>
      </c>
      <c r="X45" s="24">
        <v>0</v>
      </c>
      <c r="Y45" s="24">
        <v>2208</v>
      </c>
      <c r="Z45" s="24">
        <v>0</v>
      </c>
      <c r="AA45" s="24">
        <v>0</v>
      </c>
      <c r="AB45" s="24">
        <v>0</v>
      </c>
      <c r="AC45" s="24">
        <v>0</v>
      </c>
      <c r="AD45" s="24">
        <v>0</v>
      </c>
      <c r="AE45" s="24">
        <v>0</v>
      </c>
      <c r="AF45" s="24">
        <v>0</v>
      </c>
      <c r="AG45" s="24">
        <v>0</v>
      </c>
      <c r="AH45" s="24">
        <v>2675</v>
      </c>
      <c r="AI45" s="24">
        <v>0</v>
      </c>
      <c r="AJ45" s="24">
        <v>0</v>
      </c>
      <c r="AK45" s="24">
        <v>0</v>
      </c>
      <c r="AL45" s="24">
        <v>-39</v>
      </c>
      <c r="AM45" s="24">
        <v>0</v>
      </c>
      <c r="AN45" s="24">
        <v>0</v>
      </c>
      <c r="AO45" s="24">
        <v>0</v>
      </c>
      <c r="AP45" s="24">
        <v>0</v>
      </c>
      <c r="AQ45" s="24">
        <v>0</v>
      </c>
      <c r="AR45" s="24">
        <v>0</v>
      </c>
      <c r="AS45" s="24">
        <v>0</v>
      </c>
      <c r="AT45" s="24">
        <v>0</v>
      </c>
      <c r="AU45" s="24">
        <v>0</v>
      </c>
      <c r="AV45" s="24">
        <v>0</v>
      </c>
      <c r="AW45" s="24">
        <v>0</v>
      </c>
      <c r="AX45" s="24">
        <v>0</v>
      </c>
      <c r="AY45" s="24">
        <v>0</v>
      </c>
      <c r="AZ45" s="24">
        <v>0</v>
      </c>
      <c r="BA45" s="24">
        <v>0</v>
      </c>
      <c r="BB45" s="24">
        <v>0</v>
      </c>
      <c r="BC45" s="24">
        <v>8</v>
      </c>
      <c r="BD45" s="24">
        <v>0</v>
      </c>
      <c r="BE45" s="24">
        <v>0</v>
      </c>
      <c r="BF45" s="24">
        <v>0</v>
      </c>
      <c r="BG45" s="24">
        <v>0</v>
      </c>
      <c r="BH45" s="24">
        <v>0</v>
      </c>
      <c r="BI45" s="24">
        <v>0</v>
      </c>
      <c r="BJ45" s="24">
        <v>0</v>
      </c>
      <c r="BK45" s="24">
        <v>0</v>
      </c>
      <c r="BL45" s="24">
        <v>0</v>
      </c>
      <c r="BM45" s="24">
        <v>0</v>
      </c>
      <c r="BN45" s="24">
        <v>0</v>
      </c>
      <c r="BO45" s="24">
        <v>0</v>
      </c>
      <c r="BP45" s="24">
        <v>0</v>
      </c>
      <c r="BQ45" s="24">
        <v>0</v>
      </c>
      <c r="BR45" s="24">
        <v>0</v>
      </c>
      <c r="BS45" s="24">
        <v>300</v>
      </c>
      <c r="BT45" s="24">
        <v>0</v>
      </c>
      <c r="BU45" s="24">
        <v>0</v>
      </c>
      <c r="BV45" s="24">
        <v>0</v>
      </c>
      <c r="BW45" s="24">
        <v>0</v>
      </c>
      <c r="BX45" s="24">
        <v>0</v>
      </c>
      <c r="BY45" s="24">
        <v>0</v>
      </c>
      <c r="BZ45" s="24">
        <v>0</v>
      </c>
      <c r="CA45" s="24">
        <v>0</v>
      </c>
      <c r="CB45" s="24">
        <v>0</v>
      </c>
      <c r="CC45" s="24">
        <v>0</v>
      </c>
      <c r="CD45" s="24">
        <v>58989</v>
      </c>
      <c r="CE45" s="24">
        <v>0</v>
      </c>
      <c r="CF45" s="24">
        <v>0</v>
      </c>
      <c r="CG45" s="24">
        <v>0</v>
      </c>
      <c r="CH45" s="24">
        <v>0</v>
      </c>
      <c r="CI45" s="24">
        <v>0</v>
      </c>
      <c r="CJ45" s="24">
        <v>0</v>
      </c>
      <c r="CK45" s="24">
        <v>0</v>
      </c>
      <c r="CL45" s="24">
        <v>0</v>
      </c>
      <c r="CM45" s="24">
        <v>0</v>
      </c>
      <c r="CN45" s="24">
        <v>0</v>
      </c>
      <c r="CO45" s="24">
        <v>0</v>
      </c>
      <c r="CP45" s="24">
        <v>0</v>
      </c>
      <c r="CQ45" s="24">
        <v>0</v>
      </c>
      <c r="CR45" s="24">
        <v>0</v>
      </c>
      <c r="CS45" s="24">
        <v>0</v>
      </c>
      <c r="CT45" s="24">
        <v>0</v>
      </c>
      <c r="CU45" s="24">
        <v>0</v>
      </c>
      <c r="CV45" s="24">
        <v>0</v>
      </c>
      <c r="CW45" s="24">
        <v>0</v>
      </c>
      <c r="CX45" s="24">
        <v>0</v>
      </c>
      <c r="CY45" s="24">
        <v>0</v>
      </c>
      <c r="CZ45" s="24">
        <v>0</v>
      </c>
      <c r="DA45" s="24">
        <v>0</v>
      </c>
      <c r="DB45" s="24">
        <v>0</v>
      </c>
      <c r="DC45" s="24">
        <v>0</v>
      </c>
      <c r="DD45" s="24">
        <v>0</v>
      </c>
      <c r="DE45" s="24">
        <v>0</v>
      </c>
      <c r="DF45" s="24">
        <v>0</v>
      </c>
      <c r="DG45" s="24">
        <v>0</v>
      </c>
      <c r="DH45" s="24">
        <v>0</v>
      </c>
      <c r="DI45" s="24">
        <v>0</v>
      </c>
      <c r="DJ45" s="24">
        <v>0</v>
      </c>
      <c r="DK45" s="24">
        <v>0</v>
      </c>
      <c r="DL45" s="24">
        <v>0</v>
      </c>
      <c r="DM45" s="24">
        <v>0</v>
      </c>
      <c r="DN45" s="24">
        <v>0</v>
      </c>
      <c r="DO45" s="24">
        <v>0</v>
      </c>
      <c r="DP45" s="24">
        <v>0</v>
      </c>
      <c r="DQ45" s="24">
        <v>0</v>
      </c>
      <c r="DR45" s="24">
        <v>0</v>
      </c>
      <c r="DS45" s="24">
        <v>0</v>
      </c>
      <c r="DT45" s="24">
        <v>0</v>
      </c>
      <c r="DU45" s="24">
        <v>0</v>
      </c>
      <c r="DV45" s="24">
        <v>0</v>
      </c>
      <c r="DW45" s="24">
        <v>0</v>
      </c>
      <c r="DX45" s="24">
        <v>0</v>
      </c>
      <c r="DY45" s="24">
        <v>0</v>
      </c>
      <c r="DZ45" s="24">
        <v>0</v>
      </c>
      <c r="EA45" s="24">
        <v>0</v>
      </c>
      <c r="EB45" s="24">
        <v>0</v>
      </c>
      <c r="EC45" s="24">
        <v>0</v>
      </c>
      <c r="ED45" s="24">
        <v>0</v>
      </c>
      <c r="EE45" s="24">
        <v>0</v>
      </c>
      <c r="EF45" s="24">
        <v>0</v>
      </c>
      <c r="EG45" s="24">
        <v>0</v>
      </c>
      <c r="EH45" s="24">
        <v>0</v>
      </c>
      <c r="EI45" s="24">
        <v>0</v>
      </c>
      <c r="EJ45" s="24">
        <v>0</v>
      </c>
      <c r="EK45" s="24">
        <v>0</v>
      </c>
      <c r="EL45" s="24">
        <v>0</v>
      </c>
      <c r="EM45" s="24">
        <v>0</v>
      </c>
      <c r="EN45" s="24">
        <v>0</v>
      </c>
      <c r="EO45" s="24">
        <v>0</v>
      </c>
      <c r="EP45" s="24">
        <v>0</v>
      </c>
      <c r="EQ45" s="24">
        <v>0</v>
      </c>
      <c r="ER45" s="24">
        <v>0</v>
      </c>
      <c r="ES45" s="24">
        <v>0</v>
      </c>
      <c r="ET45" s="24">
        <v>0</v>
      </c>
      <c r="EU45" s="24">
        <v>0</v>
      </c>
      <c r="EV45" s="24">
        <v>0</v>
      </c>
      <c r="EW45" s="24">
        <v>0</v>
      </c>
      <c r="EX45" s="24">
        <v>0</v>
      </c>
      <c r="EY45" s="24">
        <v>0</v>
      </c>
      <c r="EZ45" s="24">
        <v>0</v>
      </c>
      <c r="FA45" s="24">
        <v>0</v>
      </c>
      <c r="FB45" s="24">
        <v>0</v>
      </c>
      <c r="FC45" s="24">
        <v>0</v>
      </c>
      <c r="FD45" s="24">
        <v>0</v>
      </c>
      <c r="FE45" s="24">
        <v>0</v>
      </c>
      <c r="FF45" s="24">
        <v>0</v>
      </c>
      <c r="FG45" s="24">
        <v>0</v>
      </c>
      <c r="FH45" s="24">
        <v>0</v>
      </c>
      <c r="FI45" s="24">
        <v>0</v>
      </c>
      <c r="FJ45" s="24">
        <v>0</v>
      </c>
      <c r="FK45" s="24">
        <v>0</v>
      </c>
      <c r="FL45" s="24">
        <v>0</v>
      </c>
      <c r="FM45" s="24">
        <v>0</v>
      </c>
      <c r="FN45" s="24">
        <v>0</v>
      </c>
      <c r="FO45" s="24">
        <v>0</v>
      </c>
      <c r="FP45" s="24">
        <v>0</v>
      </c>
      <c r="FQ45" s="24">
        <v>0</v>
      </c>
      <c r="FR45" s="24">
        <v>0</v>
      </c>
      <c r="FS45" s="24">
        <v>39804</v>
      </c>
      <c r="FT45" s="24">
        <v>0</v>
      </c>
      <c r="FU45" s="24">
        <v>0</v>
      </c>
      <c r="FV45" s="24">
        <v>0</v>
      </c>
      <c r="FW45" s="24">
        <v>0</v>
      </c>
      <c r="FX45" s="24">
        <v>0</v>
      </c>
      <c r="FY45" s="24">
        <v>0</v>
      </c>
      <c r="FZ45" s="24">
        <v>0</v>
      </c>
      <c r="GA45" s="24">
        <v>0</v>
      </c>
      <c r="GB45" s="24">
        <v>0</v>
      </c>
      <c r="GC45" s="24">
        <v>0</v>
      </c>
      <c r="GD45" s="24">
        <v>0</v>
      </c>
      <c r="GE45" s="24">
        <v>0</v>
      </c>
      <c r="GF45" s="24">
        <v>0</v>
      </c>
      <c r="GG45" s="24">
        <v>0</v>
      </c>
      <c r="GH45" s="24">
        <v>0</v>
      </c>
      <c r="GI45" s="24">
        <v>0</v>
      </c>
      <c r="GJ45" s="24">
        <v>0</v>
      </c>
      <c r="GK45" s="24">
        <v>0</v>
      </c>
      <c r="GL45" s="24">
        <v>0</v>
      </c>
      <c r="GM45" s="24">
        <v>0</v>
      </c>
      <c r="GN45" s="24">
        <v>0</v>
      </c>
      <c r="GO45" s="24">
        <v>0</v>
      </c>
      <c r="GP45" s="24">
        <v>0</v>
      </c>
      <c r="GQ45" s="24">
        <v>0</v>
      </c>
      <c r="GR45" s="24">
        <v>0</v>
      </c>
      <c r="GS45" s="24">
        <v>0</v>
      </c>
      <c r="GT45" s="24">
        <v>0</v>
      </c>
      <c r="GU45" s="24">
        <v>0</v>
      </c>
      <c r="GV45" s="24">
        <v>0</v>
      </c>
      <c r="GW45" s="24">
        <v>0</v>
      </c>
      <c r="GX45" s="24">
        <v>0</v>
      </c>
      <c r="GY45" s="24">
        <v>0</v>
      </c>
      <c r="GZ45" s="24">
        <v>0</v>
      </c>
      <c r="HA45" s="24">
        <v>0</v>
      </c>
      <c r="HB45" s="24">
        <v>0</v>
      </c>
      <c r="HC45" s="24">
        <v>0</v>
      </c>
      <c r="HD45" s="24">
        <v>2651167</v>
      </c>
      <c r="HE45" s="24">
        <v>0</v>
      </c>
      <c r="HF45" s="24">
        <v>0</v>
      </c>
      <c r="HG45" s="24">
        <v>0</v>
      </c>
      <c r="HH45" s="24">
        <v>0</v>
      </c>
      <c r="HI45" s="24">
        <v>196130</v>
      </c>
      <c r="HJ45" s="24">
        <v>0</v>
      </c>
      <c r="HK45" s="24">
        <v>0</v>
      </c>
      <c r="HL45" s="24">
        <v>0</v>
      </c>
      <c r="HM45" s="24">
        <v>0</v>
      </c>
      <c r="HN45" s="24">
        <v>0</v>
      </c>
      <c r="HO45" s="24">
        <v>351473</v>
      </c>
      <c r="HP45" s="24">
        <v>82083</v>
      </c>
      <c r="HQ45" s="24">
        <v>0</v>
      </c>
      <c r="HR45" s="24">
        <v>0</v>
      </c>
      <c r="HS45" s="24">
        <v>0</v>
      </c>
      <c r="HT45" s="24">
        <v>0</v>
      </c>
      <c r="HU45" s="24">
        <v>0</v>
      </c>
      <c r="HV45" s="24">
        <v>0</v>
      </c>
      <c r="HW45" s="24">
        <v>0</v>
      </c>
      <c r="HX45" s="24">
        <v>0</v>
      </c>
      <c r="HY45" s="24">
        <v>0</v>
      </c>
      <c r="HZ45" s="24">
        <v>0</v>
      </c>
      <c r="IA45" s="24">
        <v>0</v>
      </c>
      <c r="IB45" s="24">
        <v>8008</v>
      </c>
      <c r="IC45" s="24">
        <v>0</v>
      </c>
      <c r="ID45" s="24">
        <v>0</v>
      </c>
      <c r="IE45" s="24">
        <v>0</v>
      </c>
      <c r="IF45" s="24">
        <v>0</v>
      </c>
      <c r="IG45" s="24">
        <v>0</v>
      </c>
      <c r="IH45" s="24">
        <v>0</v>
      </c>
      <c r="II45" s="24">
        <v>0</v>
      </c>
      <c r="IJ45" s="24">
        <v>0</v>
      </c>
      <c r="IK45" s="24">
        <v>0</v>
      </c>
      <c r="IL45" s="24">
        <v>0</v>
      </c>
      <c r="IM45" s="24">
        <v>0</v>
      </c>
      <c r="IN45" s="24">
        <v>0</v>
      </c>
      <c r="IO45" s="24">
        <v>2625</v>
      </c>
      <c r="IP45" s="24">
        <v>0</v>
      </c>
      <c r="IQ45" s="24">
        <v>0</v>
      </c>
      <c r="IR45" s="24">
        <v>26850</v>
      </c>
      <c r="IS45" s="24">
        <v>0</v>
      </c>
      <c r="IT45" s="24">
        <v>0</v>
      </c>
      <c r="IU45" s="24">
        <v>0</v>
      </c>
      <c r="IV45" s="24">
        <v>0</v>
      </c>
      <c r="IW45" s="24">
        <v>28150</v>
      </c>
      <c r="IX45" s="24">
        <v>0</v>
      </c>
      <c r="IY45" s="24">
        <v>35304</v>
      </c>
      <c r="IZ45" s="24">
        <v>0</v>
      </c>
      <c r="JA45" s="24">
        <v>0</v>
      </c>
      <c r="JB45" s="24">
        <v>12754</v>
      </c>
      <c r="JC45" s="24">
        <v>0</v>
      </c>
      <c r="JD45" s="24">
        <v>0</v>
      </c>
      <c r="JE45" s="24">
        <v>0</v>
      </c>
      <c r="JF45" s="24">
        <v>0</v>
      </c>
      <c r="JG45" s="24">
        <v>0</v>
      </c>
      <c r="JH45" s="24">
        <v>0</v>
      </c>
      <c r="JI45" s="24">
        <v>0</v>
      </c>
      <c r="JJ45" s="24">
        <v>0</v>
      </c>
      <c r="JK45" s="24">
        <v>0</v>
      </c>
      <c r="JL45" s="24">
        <v>0</v>
      </c>
      <c r="JM45" s="24">
        <v>0</v>
      </c>
      <c r="JN45" s="24">
        <v>0</v>
      </c>
      <c r="JO45" s="24">
        <v>0</v>
      </c>
      <c r="JP45" s="24">
        <v>0</v>
      </c>
      <c r="JQ45" s="24">
        <v>0</v>
      </c>
      <c r="JR45" s="24">
        <v>0</v>
      </c>
      <c r="JS45" s="24">
        <v>0</v>
      </c>
      <c r="JT45" s="24">
        <v>35337</v>
      </c>
      <c r="JU45" s="24">
        <v>0</v>
      </c>
      <c r="JV45" s="24">
        <v>0</v>
      </c>
      <c r="JW45" s="24">
        <v>0</v>
      </c>
      <c r="JX45" s="24">
        <v>0</v>
      </c>
      <c r="JY45" s="24">
        <v>0</v>
      </c>
      <c r="JZ45" s="24">
        <v>0</v>
      </c>
      <c r="KA45" s="24">
        <v>0</v>
      </c>
      <c r="KB45" s="24">
        <v>0</v>
      </c>
      <c r="KC45" s="24">
        <v>0</v>
      </c>
      <c r="KD45" s="24">
        <v>0</v>
      </c>
      <c r="KE45" s="24">
        <v>0</v>
      </c>
      <c r="KF45" s="24">
        <v>0</v>
      </c>
      <c r="KG45" s="24">
        <v>25457</v>
      </c>
      <c r="KH45" s="24">
        <v>0</v>
      </c>
      <c r="KI45" s="24">
        <v>0</v>
      </c>
      <c r="KJ45" s="24">
        <v>0</v>
      </c>
      <c r="KK45" s="24">
        <v>0</v>
      </c>
      <c r="KL45" s="24">
        <v>0</v>
      </c>
      <c r="KM45" s="24">
        <v>0</v>
      </c>
      <c r="KN45" s="24">
        <v>0</v>
      </c>
      <c r="KO45" s="24">
        <v>0</v>
      </c>
      <c r="KP45" s="24">
        <v>0</v>
      </c>
      <c r="KQ45" s="24">
        <v>0</v>
      </c>
      <c r="KR45" s="24">
        <v>0</v>
      </c>
      <c r="KS45" s="24">
        <v>0</v>
      </c>
      <c r="KT45" s="24">
        <v>0</v>
      </c>
      <c r="KU45" s="24">
        <v>0</v>
      </c>
      <c r="KV45" s="24">
        <v>0</v>
      </c>
      <c r="KW45" s="24">
        <v>0</v>
      </c>
      <c r="KX45" s="24">
        <v>0</v>
      </c>
      <c r="KY45" s="24">
        <v>0</v>
      </c>
      <c r="KZ45" s="24">
        <v>0</v>
      </c>
      <c r="LA45" s="24">
        <v>0</v>
      </c>
      <c r="LB45" s="24">
        <v>0</v>
      </c>
      <c r="LC45" s="24">
        <v>0</v>
      </c>
      <c r="LD45" s="24">
        <v>0</v>
      </c>
      <c r="LE45" s="24">
        <v>0</v>
      </c>
      <c r="LF45" s="24">
        <v>0</v>
      </c>
      <c r="LG45" s="24">
        <v>0</v>
      </c>
      <c r="LH45" s="24">
        <v>0</v>
      </c>
      <c r="LI45" s="24">
        <v>0</v>
      </c>
      <c r="LJ45" s="24">
        <v>0</v>
      </c>
      <c r="LK45" s="24">
        <v>0</v>
      </c>
      <c r="LL45" s="24">
        <v>0</v>
      </c>
      <c r="LM45" s="24">
        <v>0</v>
      </c>
      <c r="LN45" s="24">
        <v>0</v>
      </c>
      <c r="LO45" s="24">
        <v>0</v>
      </c>
      <c r="LP45" s="24">
        <v>0</v>
      </c>
      <c r="LQ45" s="24">
        <v>67907</v>
      </c>
      <c r="LR45" s="24">
        <v>0</v>
      </c>
      <c r="LS45" s="24">
        <v>0</v>
      </c>
      <c r="LT45" s="24">
        <v>0</v>
      </c>
      <c r="LU45" s="24">
        <v>0</v>
      </c>
      <c r="LV45" s="24">
        <v>0</v>
      </c>
      <c r="LW45" s="24">
        <v>0</v>
      </c>
      <c r="LX45" s="24">
        <v>0</v>
      </c>
      <c r="LY45" s="24">
        <v>0</v>
      </c>
      <c r="LZ45" s="24">
        <v>0</v>
      </c>
      <c r="MA45" s="24">
        <v>0</v>
      </c>
      <c r="MB45" s="24">
        <v>0</v>
      </c>
      <c r="MC45" s="24">
        <v>0</v>
      </c>
      <c r="MD45" s="24">
        <v>0</v>
      </c>
      <c r="ME45" s="24">
        <v>0</v>
      </c>
      <c r="MF45" s="24">
        <v>0</v>
      </c>
      <c r="MG45" s="24">
        <v>0</v>
      </c>
      <c r="MH45" s="24">
        <v>0</v>
      </c>
      <c r="MI45" s="24">
        <v>0</v>
      </c>
      <c r="MJ45" s="24">
        <v>0</v>
      </c>
      <c r="MK45" s="24">
        <v>0</v>
      </c>
      <c r="ML45" s="24">
        <v>0</v>
      </c>
      <c r="MM45" s="24">
        <v>0</v>
      </c>
      <c r="MN45" s="24">
        <v>0</v>
      </c>
      <c r="MO45" s="24">
        <v>4905</v>
      </c>
      <c r="MP45" s="24">
        <v>0</v>
      </c>
      <c r="MQ45" s="24">
        <v>0</v>
      </c>
      <c r="MR45" s="24">
        <v>154380</v>
      </c>
      <c r="MS45" s="24">
        <v>0</v>
      </c>
      <c r="MT45" s="24">
        <v>0</v>
      </c>
      <c r="MU45" s="24">
        <v>0</v>
      </c>
      <c r="MV45" s="24">
        <v>0</v>
      </c>
      <c r="MW45" s="24">
        <v>100114</v>
      </c>
      <c r="MX45" s="24">
        <v>8119</v>
      </c>
      <c r="MY45" s="24">
        <v>0</v>
      </c>
      <c r="MZ45" s="24">
        <v>0</v>
      </c>
      <c r="NA45" s="24">
        <v>5096</v>
      </c>
      <c r="NB45" s="24">
        <v>0</v>
      </c>
      <c r="NC45" s="24">
        <v>0</v>
      </c>
      <c r="ND45" s="24">
        <v>0</v>
      </c>
      <c r="NE45" s="24">
        <v>0</v>
      </c>
      <c r="NF45" s="24">
        <v>0</v>
      </c>
      <c r="NG45" s="24">
        <v>0</v>
      </c>
      <c r="NH45" s="24">
        <v>0</v>
      </c>
      <c r="NI45" s="24">
        <v>0</v>
      </c>
      <c r="NJ45" s="24">
        <v>8596</v>
      </c>
      <c r="NK45" s="24">
        <v>0</v>
      </c>
      <c r="NL45" s="24">
        <v>0</v>
      </c>
      <c r="NM45" s="24">
        <v>0</v>
      </c>
      <c r="NN45" s="24">
        <v>0</v>
      </c>
      <c r="NO45" s="24">
        <v>0</v>
      </c>
      <c r="NP45" s="24">
        <v>0</v>
      </c>
      <c r="NQ45" s="24">
        <v>14402</v>
      </c>
      <c r="NR45" s="24">
        <v>0</v>
      </c>
      <c r="NS45" s="24">
        <v>0</v>
      </c>
      <c r="NT45" s="24">
        <v>0</v>
      </c>
      <c r="NU45" s="24">
        <v>0</v>
      </c>
      <c r="NV45" s="24">
        <v>30237</v>
      </c>
      <c r="NW45" s="24">
        <v>0</v>
      </c>
      <c r="NX45" s="24">
        <v>0</v>
      </c>
      <c r="NY45" s="24">
        <v>0</v>
      </c>
      <c r="NZ45" s="24">
        <v>0</v>
      </c>
      <c r="OA45" s="24">
        <v>0</v>
      </c>
      <c r="OB45" s="24">
        <v>0</v>
      </c>
      <c r="OC45" s="24">
        <v>0</v>
      </c>
      <c r="OD45" s="24">
        <v>0</v>
      </c>
      <c r="OE45" s="24">
        <v>0</v>
      </c>
      <c r="OF45" s="24">
        <v>0</v>
      </c>
      <c r="OG45" s="24">
        <v>0</v>
      </c>
      <c r="OH45" s="24">
        <v>0</v>
      </c>
      <c r="OI45" s="24">
        <v>0</v>
      </c>
      <c r="OJ45" s="24">
        <v>0</v>
      </c>
      <c r="OK45" s="24">
        <v>0</v>
      </c>
      <c r="OL45" s="24">
        <v>0</v>
      </c>
      <c r="OM45" s="24">
        <v>0</v>
      </c>
      <c r="ON45" s="24">
        <v>0</v>
      </c>
      <c r="OO45" s="24">
        <v>0</v>
      </c>
      <c r="OP45" s="24">
        <v>0</v>
      </c>
      <c r="OQ45" s="24">
        <v>0</v>
      </c>
      <c r="OR45" s="24">
        <v>0</v>
      </c>
      <c r="OS45" s="24">
        <v>0</v>
      </c>
      <c r="OT45" s="24">
        <v>0</v>
      </c>
      <c r="OU45" s="24">
        <v>0</v>
      </c>
      <c r="OV45" s="24">
        <v>0</v>
      </c>
      <c r="OW45" s="24">
        <v>0</v>
      </c>
      <c r="OX45" s="24">
        <v>0</v>
      </c>
      <c r="OY45" s="24">
        <v>0</v>
      </c>
      <c r="OZ45" s="24">
        <v>0</v>
      </c>
      <c r="PA45" s="24">
        <v>0</v>
      </c>
      <c r="PB45" s="24">
        <v>0</v>
      </c>
      <c r="PC45" s="24">
        <v>0</v>
      </c>
      <c r="PD45" s="24">
        <v>0</v>
      </c>
      <c r="PE45" s="24">
        <v>0</v>
      </c>
      <c r="PF45" s="24">
        <v>0</v>
      </c>
      <c r="PG45" s="24">
        <v>0</v>
      </c>
      <c r="PH45" s="24">
        <v>0</v>
      </c>
      <c r="PI45" s="24">
        <v>0</v>
      </c>
      <c r="PJ45" s="24">
        <v>0</v>
      </c>
      <c r="PK45" s="24">
        <v>0</v>
      </c>
      <c r="PL45" s="24">
        <v>0</v>
      </c>
      <c r="PM45" s="24">
        <v>0</v>
      </c>
      <c r="PN45" s="24">
        <v>0</v>
      </c>
      <c r="PO45" s="24">
        <v>0</v>
      </c>
      <c r="PP45" s="24">
        <v>0</v>
      </c>
      <c r="PQ45" s="24">
        <v>0</v>
      </c>
      <c r="PR45" s="24">
        <v>0</v>
      </c>
      <c r="PS45" s="24">
        <v>0</v>
      </c>
      <c r="PT45" s="24">
        <v>0</v>
      </c>
      <c r="PU45" s="24">
        <v>0</v>
      </c>
      <c r="PV45" s="24">
        <v>0</v>
      </c>
      <c r="PW45" s="24">
        <v>0</v>
      </c>
      <c r="PX45" s="24">
        <v>0</v>
      </c>
      <c r="PY45" s="24">
        <v>0</v>
      </c>
      <c r="PZ45" s="24">
        <v>0</v>
      </c>
      <c r="QA45" s="24">
        <v>0</v>
      </c>
      <c r="QB45" s="24">
        <v>0</v>
      </c>
      <c r="QC45" s="24">
        <v>0</v>
      </c>
      <c r="QD45" s="24">
        <v>0</v>
      </c>
      <c r="QE45" s="24">
        <v>0</v>
      </c>
      <c r="QF45" s="24">
        <v>0</v>
      </c>
      <c r="QG45" s="24">
        <v>0</v>
      </c>
      <c r="QH45" s="24">
        <v>0</v>
      </c>
      <c r="QI45" s="24">
        <v>0</v>
      </c>
      <c r="QJ45" s="24">
        <v>0</v>
      </c>
      <c r="QK45" s="24">
        <v>0</v>
      </c>
      <c r="QL45" s="24">
        <v>0</v>
      </c>
      <c r="QM45" s="24">
        <v>0</v>
      </c>
      <c r="QN45" s="24">
        <v>0</v>
      </c>
      <c r="QO45" s="24">
        <v>0</v>
      </c>
      <c r="QP45" s="24">
        <v>0</v>
      </c>
      <c r="QQ45" s="24">
        <v>0</v>
      </c>
      <c r="QR45" s="24">
        <v>0</v>
      </c>
      <c r="QS45" s="24">
        <v>0</v>
      </c>
      <c r="QT45" s="24">
        <v>0</v>
      </c>
      <c r="QU45" s="24">
        <v>0</v>
      </c>
      <c r="QV45" s="24">
        <v>0</v>
      </c>
      <c r="QW45" s="24">
        <v>75408</v>
      </c>
      <c r="QX45" s="24">
        <v>0</v>
      </c>
      <c r="QY45" s="24">
        <v>0</v>
      </c>
      <c r="QZ45" s="24">
        <v>0</v>
      </c>
      <c r="RA45" s="24">
        <v>0</v>
      </c>
      <c r="RB45" s="24">
        <v>0</v>
      </c>
      <c r="RG45" s="39">
        <f t="shared" si="126"/>
        <v>2651167</v>
      </c>
      <c r="RH45" s="39">
        <f t="shared" si="126"/>
        <v>196130</v>
      </c>
      <c r="RI45" s="39">
        <f t="shared" si="126"/>
        <v>0</v>
      </c>
      <c r="RJ45" s="39">
        <f t="shared" si="126"/>
        <v>0</v>
      </c>
      <c r="RK45" s="39">
        <f t="shared" si="126"/>
        <v>0</v>
      </c>
      <c r="RL45" s="39">
        <f t="shared" si="126"/>
        <v>351473</v>
      </c>
      <c r="RM45" s="39">
        <f t="shared" si="126"/>
        <v>90091</v>
      </c>
      <c r="RN45" s="39">
        <f t="shared" si="126"/>
        <v>2625</v>
      </c>
      <c r="RO45" s="39">
        <f t="shared" si="126"/>
        <v>26850</v>
      </c>
      <c r="RP45" s="39">
        <f t="shared" si="126"/>
        <v>63454</v>
      </c>
      <c r="RQ45" s="39">
        <f t="shared" si="126"/>
        <v>12754</v>
      </c>
      <c r="RR45" s="39">
        <f t="shared" si="126"/>
        <v>35337</v>
      </c>
      <c r="RS45" s="39"/>
      <c r="RT45" s="182"/>
      <c r="RU45" s="39"/>
      <c r="RV45" s="39">
        <f t="shared" si="127"/>
        <v>419213</v>
      </c>
      <c r="RW45" s="39">
        <f t="shared" si="127"/>
        <v>3429881</v>
      </c>
      <c r="RX45" s="39">
        <f t="shared" si="127"/>
        <v>549782</v>
      </c>
      <c r="RY45" s="39">
        <f t="shared" si="127"/>
        <v>75408</v>
      </c>
      <c r="RZ45" s="39"/>
      <c r="SA45" s="182"/>
      <c r="SB45" s="39"/>
      <c r="SC45" s="25">
        <f t="shared" si="50"/>
        <v>1182.32688172043</v>
      </c>
      <c r="SD45" s="39">
        <f>IFERROR(VLOOKUP(A45, 'Levy Data 15-16'!$B:$O, 3, FALSE), 0)</f>
        <v>137786146</v>
      </c>
      <c r="SE45" s="39">
        <f t="shared" si="88"/>
        <v>296314.29247311829</v>
      </c>
      <c r="SF45" s="631">
        <f>IFERROR(VLOOKUP(A45, 'Levy Data 15-16'!$B:$O, 14, FALSE), 0)*1000</f>
        <v>3.3386450000000005</v>
      </c>
      <c r="SG45" s="39">
        <f t="shared" si="89"/>
        <v>0</v>
      </c>
      <c r="SH45" s="39">
        <f t="shared" si="90"/>
        <v>0</v>
      </c>
      <c r="SI45" s="39">
        <f t="shared" si="91"/>
        <v>549782</v>
      </c>
      <c r="SM45" s="39">
        <f t="shared" si="92"/>
        <v>3429881</v>
      </c>
      <c r="SN45" s="39">
        <f t="shared" si="93"/>
        <v>0</v>
      </c>
      <c r="SO45" s="39">
        <f t="shared" si="51"/>
        <v>3429881</v>
      </c>
      <c r="SP45" s="50">
        <f t="shared" si="52"/>
        <v>1</v>
      </c>
      <c r="ST45" s="124">
        <f>IFERROR(VLOOKUP(A45,'Grade Enroll 15-16'!B:AC,27,FALSE),"")</f>
        <v>465</v>
      </c>
      <c r="SU45" s="124">
        <f t="shared" si="53"/>
        <v>221.08055009823184</v>
      </c>
      <c r="SV45" s="131">
        <f>IFERROR(VLOOKUP($A45, 'Title I Enroll 16-17'!S:V, 4, FALSE), 0)</f>
        <v>0.47544204322200395</v>
      </c>
      <c r="SW45" s="729">
        <f>IFERROR(VLOOKUP(A45, 'ELL Enroll 15-16'!$N:$S, 6, FALSE), 0)</f>
        <v>5</v>
      </c>
      <c r="SX45" s="131">
        <f t="shared" si="54"/>
        <v>1.0752688172043012E-2</v>
      </c>
      <c r="SY45" s="124">
        <f>IFERROR(VLOOKUP(A45, 'SPED enroll 2015-16'!$M:$O, 3, FALSE), 0)</f>
        <v>50</v>
      </c>
      <c r="SZ45" s="131">
        <f t="shared" si="55"/>
        <v>0.10752688172043011</v>
      </c>
      <c r="TA45" s="142">
        <f t="shared" si="87"/>
        <v>35</v>
      </c>
      <c r="TB45" s="142">
        <f t="shared" si="87"/>
        <v>10</v>
      </c>
      <c r="TC45" s="142">
        <f t="shared" si="87"/>
        <v>3.5000000000000004</v>
      </c>
      <c r="TD45" s="142">
        <f t="shared" si="87"/>
        <v>1.5</v>
      </c>
      <c r="TE45" s="124">
        <f>VLOOKUP($A45, 'Grade Enroll 15-16'!$B:$AB, 20, FALSE)</f>
        <v>7</v>
      </c>
      <c r="TF45" s="124">
        <f>VLOOKUP($A45, 'Grade Enroll 15-16'!$B:$AB, 21, FALSE)</f>
        <v>50</v>
      </c>
      <c r="TG45" s="124">
        <f>VLOOKUP($A45, 'Grade Enroll 15-16'!$B:$AB, 22, FALSE)</f>
        <v>121</v>
      </c>
      <c r="TH45" s="124">
        <f>VLOOKUP($A45, 'Grade Enroll 15-16'!$B:$AB, 23, FALSE)</f>
        <v>116</v>
      </c>
      <c r="TI45" s="124">
        <f>VLOOKUP($A45, 'Grade Enroll 15-16'!$B:$AB, 24, FALSE)</f>
        <v>86</v>
      </c>
      <c r="TJ45" s="124">
        <f>VLOOKUP($A45, 'Grade Enroll 15-16'!$B:$AB, 25, FALSE)</f>
        <v>142</v>
      </c>
      <c r="TK45" s="124">
        <f>VLOOKUP($A45, 'Grade Enroll 15-16'!$B:$AB, 26, FALSE)</f>
        <v>310</v>
      </c>
      <c r="TL45" s="131">
        <f>SUMIFS('Student Achievement 15-16'!N:N, 'Student Achievement 15-16'!B:B, 'Idaho Data'!A45, 'Student Achievement 15-16'!D:D, "math")/100</f>
        <v>0.159</v>
      </c>
      <c r="TM45" s="134">
        <f t="shared" si="57"/>
        <v>73.935000000000002</v>
      </c>
      <c r="TN45" s="131">
        <f>SUMIFS('Student Achievement 15-16'!N:N, 'Student Achievement 15-16'!B:B, 'Idaho Data'!A45, 'Student Achievement 15-16'!D:D, "ela")/100</f>
        <v>0.156</v>
      </c>
      <c r="TO45" s="134">
        <f t="shared" si="58"/>
        <v>72.540000000000006</v>
      </c>
      <c r="TP45" s="688">
        <f>IFERROR(VLOOKUP(A45, 'G&amp;T 15-16'!B:G, 6, FALSE), 0)*1</f>
        <v>0</v>
      </c>
      <c r="TQ45" s="168">
        <f t="shared" si="59"/>
        <v>27.9</v>
      </c>
      <c r="TU45" s="168">
        <f t="shared" si="60"/>
        <v>72.540000000000006</v>
      </c>
      <c r="TV45" s="168">
        <f t="shared" si="61"/>
        <v>73.935000000000002</v>
      </c>
      <c r="TW45" s="205">
        <f t="shared" si="62"/>
        <v>73.935000000000002</v>
      </c>
      <c r="TX45" s="144"/>
      <c r="TY45" s="129"/>
      <c r="TZ45" s="127">
        <f t="shared" si="63"/>
        <v>0</v>
      </c>
      <c r="UA45" s="127">
        <f t="shared" si="64"/>
        <v>27.9</v>
      </c>
      <c r="UB45" s="205">
        <f t="shared" si="65"/>
        <v>27.9</v>
      </c>
      <c r="UE45" s="853" t="str">
        <f>IF(ST45&lt;='1. Simulator Input'!$E$104, "yes", "")</f>
        <v/>
      </c>
      <c r="UI45" s="199">
        <f t="shared" si="66"/>
        <v>0</v>
      </c>
      <c r="UJ45" s="200">
        <f>IF('Idaho Data'!SI45&gt;=0, ((1-'1. Simulator Input'!$E$39)*'Idaho Data'!SI45), 0)</f>
        <v>0</v>
      </c>
      <c r="UK45" s="200">
        <f t="shared" si="67"/>
        <v>3429881</v>
      </c>
      <c r="UL45" s="39"/>
      <c r="UM45" s="182"/>
      <c r="UN45" s="39"/>
      <c r="UO45" s="39" t="str">
        <f>IF(AND('1. Simulator Input'!$E$96="yes", '1. Simulator Input'!$E$98="yes", '1. Simulator Input'!$E$100="hold harmless"), 'Idaho Data'!WN45, IF(AND('1. Simulator Input'!$E$96="yes", '1. Simulator Input'!$E$98="no", '1. Simulator Input'!$E$100="hold harmless"), 'Idaho Data'!WM45, IF(AND('1. Simulator Input'!$E$96="yes", '1. Simulator Input'!$E$98="yes", '1. Simulator Input'!$E$100="small district grant"), WL45,IF(AND('1. Simulator Input'!$E$96="yes", '1. Simulator Input'!$E$98="no", '1. Simulator Input'!$E$100="small district grant"), WK45, ""))))</f>
        <v/>
      </c>
      <c r="UP45" s="200">
        <f>'1. Simulator Input'!$D$56*('Idaho Data'!ST45)</f>
        <v>2569590</v>
      </c>
      <c r="UQ45" s="204">
        <f>'1. Simulator Input'!$D$65*'1. Simulator Input'!$D$56*'Idaho Data'!SU45</f>
        <v>0</v>
      </c>
      <c r="UR45" s="204">
        <f>'1. Simulator Input'!$D$66*'1. Simulator Input'!$D$56*'Idaho Data'!SW45</f>
        <v>0</v>
      </c>
      <c r="US45" s="200">
        <f>'1. Simulator Input'!$D$67*'1. Simulator Input'!$D$56*'Idaho Data'!TA45</f>
        <v>0</v>
      </c>
      <c r="UT45" s="200">
        <f>'1. Simulator Input'!$D$68*'1. Simulator Input'!$D$56*'Idaho Data'!TB45</f>
        <v>0</v>
      </c>
      <c r="UU45" s="200">
        <f>'1. Simulator Input'!$D$69*'1. Simulator Input'!$D$56*'Idaho Data'!TC45</f>
        <v>0</v>
      </c>
      <c r="UV45" s="200">
        <f>'1. Simulator Input'!$D$70*'1. Simulator Input'!$D$56*TD45</f>
        <v>0</v>
      </c>
      <c r="UW45" s="200">
        <f>'1. Simulator Input'!$D$80*'1. Simulator Input'!$D$56*TW45</f>
        <v>0</v>
      </c>
      <c r="UX45" s="200">
        <f>'1. Simulator Input'!$D$79*'1. Simulator Input'!$D$56*UB45</f>
        <v>0</v>
      </c>
      <c r="UY45" s="200">
        <f>'1. Simulator Input'!$D$87*'1. Simulator Input'!$D$56*TF45</f>
        <v>138150</v>
      </c>
      <c r="UZ45" s="200">
        <f>'1. Simulator Input'!$D$73*'1. Simulator Input'!$D$56*'Idaho Data'!TG45</f>
        <v>0</v>
      </c>
      <c r="VA45" s="200">
        <f>'1. Simulator Input'!$D$56*'1. Simulator Input'!$D$74*'Idaho Data'!TH45</f>
        <v>0</v>
      </c>
      <c r="VB45" s="200">
        <f>'1. Simulator Input'!$D$56*'1. Simulator Input'!$D$75*'Idaho Data'!TI40</f>
        <v>0</v>
      </c>
      <c r="VC45" s="200">
        <f>'1. Simulator Input'!$D$76*'1. Simulator Input'!$D$56*'Idaho Data'!TJ45</f>
        <v>0</v>
      </c>
      <c r="VD45" s="200">
        <f t="shared" si="68"/>
        <v>2707740</v>
      </c>
      <c r="VE45" s="200"/>
      <c r="VF45" s="182"/>
      <c r="VG45" s="200"/>
      <c r="VH45" s="200">
        <f t="shared" si="69"/>
        <v>0</v>
      </c>
      <c r="VI45" s="200">
        <f t="shared" si="70"/>
        <v>0</v>
      </c>
      <c r="VJ45" s="200">
        <f t="shared" si="94"/>
        <v>2707740</v>
      </c>
      <c r="VK45" s="200">
        <f t="shared" si="95"/>
        <v>2707740</v>
      </c>
      <c r="VL45" s="200"/>
      <c r="VM45" s="182"/>
      <c r="VN45" s="200"/>
      <c r="VO45" s="200">
        <f t="shared" si="71"/>
        <v>419213</v>
      </c>
      <c r="VP45" s="200">
        <f t="shared" si="72"/>
        <v>3429881</v>
      </c>
      <c r="VQ45" s="200">
        <f t="shared" si="73"/>
        <v>549782</v>
      </c>
      <c r="VR45" s="200">
        <f t="shared" si="74"/>
        <v>419213</v>
      </c>
      <c r="VS45" s="200">
        <f t="shared" si="96"/>
        <v>2707740</v>
      </c>
      <c r="VT45" s="200">
        <f t="shared" si="97"/>
        <v>549782</v>
      </c>
      <c r="VU45" s="200">
        <f t="shared" si="98"/>
        <v>0</v>
      </c>
      <c r="VV45" s="200"/>
      <c r="VW45" s="182"/>
      <c r="VX45" s="200"/>
      <c r="VZ45" s="199">
        <f t="shared" si="75"/>
        <v>-722141</v>
      </c>
      <c r="WA45" s="199">
        <f t="shared" si="76"/>
        <v>-1552.9913978494624</v>
      </c>
      <c r="WB45" s="131">
        <f t="shared" si="77"/>
        <v>-0.21054403928299553</v>
      </c>
      <c r="WC45" s="131"/>
      <c r="WD45" s="461"/>
      <c r="WE45" s="893"/>
      <c r="WF45" s="893">
        <f t="shared" si="78"/>
        <v>9459.9483870967742</v>
      </c>
      <c r="WG45" s="893">
        <f t="shared" si="79"/>
        <v>7906.9569892473119</v>
      </c>
      <c r="WH45" s="893"/>
      <c r="WI45" s="893">
        <f t="shared" si="80"/>
        <v>3429881</v>
      </c>
      <c r="WJ45" s="893">
        <f t="shared" si="99"/>
        <v>2707740</v>
      </c>
      <c r="WK45" s="39" t="str">
        <f t="shared" si="100"/>
        <v/>
      </c>
      <c r="WL45" s="39" t="str">
        <f t="shared" si="101"/>
        <v/>
      </c>
      <c r="WM45" s="200" t="str">
        <f t="shared" si="102"/>
        <v/>
      </c>
      <c r="WN45" s="39" t="str">
        <f t="shared" si="103"/>
        <v/>
      </c>
      <c r="WO45" s="39"/>
      <c r="WP45" s="182"/>
      <c r="WQ45" s="39"/>
      <c r="WR45" s="305">
        <f t="shared" si="104"/>
        <v>0.245</v>
      </c>
      <c r="WT45" s="200">
        <f t="shared" si="105"/>
        <v>7376.0881720430107</v>
      </c>
      <c r="WU45" s="131">
        <f t="shared" si="81"/>
        <v>0.67</v>
      </c>
      <c r="WW45" s="199">
        <f t="shared" si="106"/>
        <v>419213</v>
      </c>
      <c r="WX45" s="199">
        <f t="shared" si="107"/>
        <v>2707740</v>
      </c>
      <c r="WY45" s="199">
        <f t="shared" si="108"/>
        <v>0</v>
      </c>
      <c r="WZ45" s="199">
        <f t="shared" si="82"/>
        <v>2707740</v>
      </c>
      <c r="XA45" s="199">
        <f t="shared" si="109"/>
        <v>0</v>
      </c>
      <c r="XB45" s="199">
        <f t="shared" si="110"/>
        <v>549782</v>
      </c>
      <c r="XC45" s="199">
        <f t="shared" si="111"/>
        <v>549782</v>
      </c>
      <c r="XD45" s="199" t="str">
        <f t="shared" si="112"/>
        <v/>
      </c>
      <c r="XE45" s="199"/>
      <c r="XF45" s="199"/>
      <c r="XG45" s="199"/>
      <c r="XH45" s="199"/>
      <c r="XI45" s="199"/>
      <c r="XJ45" s="199">
        <f t="shared" si="83"/>
        <v>2707740</v>
      </c>
      <c r="XP45" s="199">
        <f t="shared" si="113"/>
        <v>2707740</v>
      </c>
      <c r="XQ45" s="199">
        <f t="shared" si="114"/>
        <v>5823.0967741935483</v>
      </c>
      <c r="XR45" s="199">
        <f t="shared" si="115"/>
        <v>2707740</v>
      </c>
      <c r="XS45" s="199">
        <f t="shared" si="116"/>
        <v>2707740</v>
      </c>
      <c r="XT45" s="199">
        <f t="shared" si="117"/>
        <v>5823.0967741935483</v>
      </c>
      <c r="XU45" s="199">
        <f t="shared" si="118"/>
        <v>3429881</v>
      </c>
      <c r="XV45" s="199">
        <f t="shared" si="119"/>
        <v>7376.0881720430107</v>
      </c>
      <c r="XW45" s="199">
        <f t="shared" si="120"/>
        <v>3429881</v>
      </c>
      <c r="XX45" s="199">
        <f t="shared" si="121"/>
        <v>7376.0881720430107</v>
      </c>
      <c r="XY45" s="199">
        <f t="shared" si="84"/>
        <v>-722141</v>
      </c>
      <c r="XZ45" s="199">
        <f t="shared" si="85"/>
        <v>-1552.9913978494624</v>
      </c>
      <c r="YA45" s="131">
        <f t="shared" si="86"/>
        <v>-0.21054403928299553</v>
      </c>
      <c r="YB45" s="199"/>
      <c r="YC45" s="221"/>
      <c r="YD45" s="199"/>
      <c r="YE45" s="199">
        <f t="shared" si="122"/>
        <v>419213</v>
      </c>
      <c r="YF45" s="200">
        <f t="shared" si="123"/>
        <v>0</v>
      </c>
      <c r="YG45" s="199">
        <f t="shared" si="124"/>
        <v>549782</v>
      </c>
      <c r="YH45" s="199">
        <f t="shared" si="125"/>
        <v>75408</v>
      </c>
    </row>
    <row r="46" spans="1:658">
      <c r="A46" s="3">
        <v>149</v>
      </c>
      <c r="B46" s="2" t="s">
        <v>139</v>
      </c>
      <c r="C46" s="24">
        <v>0</v>
      </c>
      <c r="D46" s="24">
        <v>0</v>
      </c>
      <c r="E46" s="24">
        <v>0</v>
      </c>
      <c r="F46" s="24">
        <v>0</v>
      </c>
      <c r="G46" s="24">
        <v>195464</v>
      </c>
      <c r="H46" s="24">
        <v>0</v>
      </c>
      <c r="I46" s="24">
        <v>0</v>
      </c>
      <c r="J46" s="24">
        <v>35</v>
      </c>
      <c r="K46" s="24">
        <v>0</v>
      </c>
      <c r="L46" s="24">
        <v>0</v>
      </c>
      <c r="M46" s="24">
        <v>0</v>
      </c>
      <c r="N46" s="24">
        <v>271</v>
      </c>
      <c r="O46" s="24">
        <v>0</v>
      </c>
      <c r="P46" s="24">
        <v>0</v>
      </c>
      <c r="Q46" s="24">
        <v>0</v>
      </c>
      <c r="R46" s="24">
        <v>0</v>
      </c>
      <c r="S46" s="24">
        <v>0</v>
      </c>
      <c r="T46" s="24">
        <v>98016</v>
      </c>
      <c r="U46" s="24">
        <v>0</v>
      </c>
      <c r="V46" s="24">
        <v>0</v>
      </c>
      <c r="W46" s="24">
        <v>0</v>
      </c>
      <c r="X46" s="24">
        <v>0</v>
      </c>
      <c r="Y46" s="24">
        <v>915</v>
      </c>
      <c r="Z46" s="24">
        <v>0</v>
      </c>
      <c r="AA46" s="24">
        <v>0</v>
      </c>
      <c r="AB46" s="24">
        <v>0</v>
      </c>
      <c r="AC46" s="24">
        <v>0</v>
      </c>
      <c r="AD46" s="24">
        <v>0</v>
      </c>
      <c r="AE46" s="24">
        <v>0</v>
      </c>
      <c r="AF46" s="24">
        <v>0</v>
      </c>
      <c r="AG46" s="24">
        <v>0</v>
      </c>
      <c r="AH46" s="24">
        <v>0</v>
      </c>
      <c r="AI46" s="24">
        <v>0</v>
      </c>
      <c r="AJ46" s="24">
        <v>0</v>
      </c>
      <c r="AK46" s="24">
        <v>0</v>
      </c>
      <c r="AL46" s="24">
        <v>1105</v>
      </c>
      <c r="AM46" s="24">
        <v>0</v>
      </c>
      <c r="AN46" s="24">
        <v>0</v>
      </c>
      <c r="AO46" s="24">
        <v>0</v>
      </c>
      <c r="AP46" s="24">
        <v>0</v>
      </c>
      <c r="AQ46" s="24">
        <v>0</v>
      </c>
      <c r="AR46" s="24">
        <v>0</v>
      </c>
      <c r="AS46" s="24">
        <v>0</v>
      </c>
      <c r="AT46" s="24">
        <v>0</v>
      </c>
      <c r="AU46" s="24">
        <v>0</v>
      </c>
      <c r="AV46" s="24">
        <v>0</v>
      </c>
      <c r="AW46" s="24">
        <v>0</v>
      </c>
      <c r="AX46" s="24">
        <v>0</v>
      </c>
      <c r="AY46" s="24">
        <v>0</v>
      </c>
      <c r="AZ46" s="24">
        <v>0</v>
      </c>
      <c r="BA46" s="24">
        <v>0</v>
      </c>
      <c r="BB46" s="24">
        <v>0</v>
      </c>
      <c r="BC46" s="24">
        <v>0</v>
      </c>
      <c r="BD46" s="24">
        <v>0</v>
      </c>
      <c r="BE46" s="24">
        <v>0</v>
      </c>
      <c r="BF46" s="24">
        <v>0</v>
      </c>
      <c r="BG46" s="24">
        <v>0</v>
      </c>
      <c r="BH46" s="24">
        <v>0</v>
      </c>
      <c r="BI46" s="24">
        <v>0</v>
      </c>
      <c r="BJ46" s="24">
        <v>0</v>
      </c>
      <c r="BK46" s="24">
        <v>0</v>
      </c>
      <c r="BL46" s="24">
        <v>0</v>
      </c>
      <c r="BM46" s="24">
        <v>0</v>
      </c>
      <c r="BN46" s="24">
        <v>0</v>
      </c>
      <c r="BO46" s="24">
        <v>0</v>
      </c>
      <c r="BP46" s="24">
        <v>0</v>
      </c>
      <c r="BQ46" s="24">
        <v>0</v>
      </c>
      <c r="BR46" s="24">
        <v>0</v>
      </c>
      <c r="BS46" s="24">
        <v>0</v>
      </c>
      <c r="BT46" s="24">
        <v>0</v>
      </c>
      <c r="BU46" s="24">
        <v>0</v>
      </c>
      <c r="BV46" s="24">
        <v>0</v>
      </c>
      <c r="BW46" s="24">
        <v>0</v>
      </c>
      <c r="BX46" s="24">
        <v>0</v>
      </c>
      <c r="BY46" s="24">
        <v>0</v>
      </c>
      <c r="BZ46" s="24">
        <v>0</v>
      </c>
      <c r="CA46" s="24">
        <v>0</v>
      </c>
      <c r="CB46" s="24">
        <v>0</v>
      </c>
      <c r="CC46" s="24">
        <v>0</v>
      </c>
      <c r="CD46" s="24">
        <v>22013</v>
      </c>
      <c r="CE46" s="24">
        <v>3824</v>
      </c>
      <c r="CF46" s="24">
        <v>0</v>
      </c>
      <c r="CG46" s="24">
        <v>0</v>
      </c>
      <c r="CH46" s="24">
        <v>0</v>
      </c>
      <c r="CI46" s="24">
        <v>0</v>
      </c>
      <c r="CJ46" s="24">
        <v>0</v>
      </c>
      <c r="CK46" s="24">
        <v>0</v>
      </c>
      <c r="CL46" s="24">
        <v>0</v>
      </c>
      <c r="CM46" s="24">
        <v>0</v>
      </c>
      <c r="CN46" s="24">
        <v>0</v>
      </c>
      <c r="CO46" s="24">
        <v>0</v>
      </c>
      <c r="CP46" s="24">
        <v>0</v>
      </c>
      <c r="CQ46" s="24">
        <v>0</v>
      </c>
      <c r="CR46" s="24">
        <v>0</v>
      </c>
      <c r="CS46" s="24">
        <v>0</v>
      </c>
      <c r="CT46" s="24">
        <v>0</v>
      </c>
      <c r="CU46" s="24">
        <v>0</v>
      </c>
      <c r="CV46" s="24">
        <v>0</v>
      </c>
      <c r="CW46" s="24">
        <v>0</v>
      </c>
      <c r="CX46" s="24">
        <v>0</v>
      </c>
      <c r="CY46" s="24">
        <v>0</v>
      </c>
      <c r="CZ46" s="24">
        <v>0</v>
      </c>
      <c r="DA46" s="24">
        <v>0</v>
      </c>
      <c r="DB46" s="24">
        <v>1600</v>
      </c>
      <c r="DC46" s="24">
        <v>0</v>
      </c>
      <c r="DD46" s="24">
        <v>0</v>
      </c>
      <c r="DE46" s="24">
        <v>0</v>
      </c>
      <c r="DF46" s="24">
        <v>0</v>
      </c>
      <c r="DG46" s="24">
        <v>0</v>
      </c>
      <c r="DH46" s="24">
        <v>0</v>
      </c>
      <c r="DI46" s="24">
        <v>0</v>
      </c>
      <c r="DJ46" s="24">
        <v>0</v>
      </c>
      <c r="DK46" s="24">
        <v>0</v>
      </c>
      <c r="DL46" s="24">
        <v>0</v>
      </c>
      <c r="DM46" s="24">
        <v>0</v>
      </c>
      <c r="DN46" s="24">
        <v>0</v>
      </c>
      <c r="DO46" s="24">
        <v>0</v>
      </c>
      <c r="DP46" s="24">
        <v>0</v>
      </c>
      <c r="DQ46" s="24">
        <v>0</v>
      </c>
      <c r="DR46" s="24">
        <v>0</v>
      </c>
      <c r="DS46" s="24">
        <v>0</v>
      </c>
      <c r="DT46" s="24">
        <v>0</v>
      </c>
      <c r="DU46" s="24">
        <v>0</v>
      </c>
      <c r="DV46" s="24">
        <v>0</v>
      </c>
      <c r="DW46" s="24">
        <v>0</v>
      </c>
      <c r="DX46" s="24">
        <v>0</v>
      </c>
      <c r="DY46" s="24">
        <v>0</v>
      </c>
      <c r="DZ46" s="24">
        <v>0</v>
      </c>
      <c r="EA46" s="24">
        <v>0</v>
      </c>
      <c r="EB46" s="24">
        <v>0</v>
      </c>
      <c r="EC46" s="24">
        <v>0</v>
      </c>
      <c r="ED46" s="24">
        <v>0</v>
      </c>
      <c r="EE46" s="24">
        <v>0</v>
      </c>
      <c r="EF46" s="24">
        <v>0</v>
      </c>
      <c r="EG46" s="24">
        <v>572</v>
      </c>
      <c r="EH46" s="24">
        <v>0</v>
      </c>
      <c r="EI46" s="24">
        <v>0</v>
      </c>
      <c r="EJ46" s="24">
        <v>0</v>
      </c>
      <c r="EK46" s="24">
        <v>0</v>
      </c>
      <c r="EL46" s="24">
        <v>0</v>
      </c>
      <c r="EM46" s="24">
        <v>0</v>
      </c>
      <c r="EN46" s="24">
        <v>0</v>
      </c>
      <c r="EO46" s="24">
        <v>0</v>
      </c>
      <c r="EP46" s="24">
        <v>0</v>
      </c>
      <c r="EQ46" s="24">
        <v>0</v>
      </c>
      <c r="ER46" s="24">
        <v>0</v>
      </c>
      <c r="ES46" s="24">
        <v>0</v>
      </c>
      <c r="ET46" s="24">
        <v>0</v>
      </c>
      <c r="EU46" s="24">
        <v>0</v>
      </c>
      <c r="EV46" s="24">
        <v>0</v>
      </c>
      <c r="EW46" s="24">
        <v>0</v>
      </c>
      <c r="EX46" s="24">
        <v>0</v>
      </c>
      <c r="EY46" s="24">
        <v>0</v>
      </c>
      <c r="EZ46" s="24">
        <v>0</v>
      </c>
      <c r="FA46" s="24">
        <v>0</v>
      </c>
      <c r="FB46" s="24">
        <v>0</v>
      </c>
      <c r="FC46" s="24">
        <v>0</v>
      </c>
      <c r="FD46" s="24">
        <v>0</v>
      </c>
      <c r="FE46" s="24">
        <v>0</v>
      </c>
      <c r="FF46" s="24">
        <v>0</v>
      </c>
      <c r="FG46" s="24">
        <v>0</v>
      </c>
      <c r="FH46" s="24">
        <v>0</v>
      </c>
      <c r="FI46" s="24">
        <v>0</v>
      </c>
      <c r="FJ46" s="24">
        <v>0</v>
      </c>
      <c r="FK46" s="24">
        <v>0</v>
      </c>
      <c r="FL46" s="24">
        <v>0</v>
      </c>
      <c r="FM46" s="24">
        <v>0</v>
      </c>
      <c r="FN46" s="24">
        <v>0</v>
      </c>
      <c r="FO46" s="24">
        <v>0</v>
      </c>
      <c r="FP46" s="24">
        <v>0</v>
      </c>
      <c r="FQ46" s="24">
        <v>0</v>
      </c>
      <c r="FR46" s="24">
        <v>0</v>
      </c>
      <c r="FS46" s="24">
        <v>9705</v>
      </c>
      <c r="FT46" s="24">
        <v>0</v>
      </c>
      <c r="FU46" s="24">
        <v>7000</v>
      </c>
      <c r="FV46" s="24">
        <v>0</v>
      </c>
      <c r="FW46" s="24">
        <v>0</v>
      </c>
      <c r="FX46" s="24">
        <v>0</v>
      </c>
      <c r="FY46" s="24">
        <v>0</v>
      </c>
      <c r="FZ46" s="24">
        <v>0</v>
      </c>
      <c r="GA46" s="24">
        <v>0</v>
      </c>
      <c r="GB46" s="24">
        <v>0</v>
      </c>
      <c r="GC46" s="24">
        <v>0</v>
      </c>
      <c r="GD46" s="24">
        <v>0</v>
      </c>
      <c r="GE46" s="24">
        <v>0</v>
      </c>
      <c r="GF46" s="24">
        <v>0</v>
      </c>
      <c r="GG46" s="24">
        <v>1800</v>
      </c>
      <c r="GH46" s="24">
        <v>0</v>
      </c>
      <c r="GI46" s="24">
        <v>0</v>
      </c>
      <c r="GJ46" s="24">
        <v>0</v>
      </c>
      <c r="GK46" s="24">
        <v>0</v>
      </c>
      <c r="GL46" s="24">
        <v>0</v>
      </c>
      <c r="GM46" s="24">
        <v>0</v>
      </c>
      <c r="GN46" s="24">
        <v>0</v>
      </c>
      <c r="GO46" s="24">
        <v>0</v>
      </c>
      <c r="GP46" s="24">
        <v>0</v>
      </c>
      <c r="GQ46" s="24">
        <v>0</v>
      </c>
      <c r="GR46" s="24">
        <v>0</v>
      </c>
      <c r="GS46" s="24">
        <v>0</v>
      </c>
      <c r="GT46" s="24">
        <v>0</v>
      </c>
      <c r="GU46" s="24">
        <v>0</v>
      </c>
      <c r="GV46" s="24">
        <v>0</v>
      </c>
      <c r="GW46" s="24">
        <v>0</v>
      </c>
      <c r="GX46" s="24">
        <v>0</v>
      </c>
      <c r="GY46" s="24">
        <v>0</v>
      </c>
      <c r="GZ46" s="24">
        <v>0</v>
      </c>
      <c r="HA46" s="24">
        <v>0</v>
      </c>
      <c r="HB46" s="24">
        <v>0</v>
      </c>
      <c r="HC46" s="24">
        <v>0</v>
      </c>
      <c r="HD46" s="24">
        <v>1186843</v>
      </c>
      <c r="HE46" s="24">
        <v>0</v>
      </c>
      <c r="HF46" s="24">
        <v>0</v>
      </c>
      <c r="HG46" s="24">
        <v>0</v>
      </c>
      <c r="HH46" s="24">
        <v>0</v>
      </c>
      <c r="HI46" s="24">
        <v>68521</v>
      </c>
      <c r="HJ46" s="24">
        <v>0</v>
      </c>
      <c r="HK46" s="24">
        <v>0</v>
      </c>
      <c r="HL46" s="24">
        <v>3338</v>
      </c>
      <c r="HM46" s="24">
        <v>0</v>
      </c>
      <c r="HN46" s="24">
        <v>0</v>
      </c>
      <c r="HO46" s="24">
        <v>163566</v>
      </c>
      <c r="HP46" s="24">
        <v>0</v>
      </c>
      <c r="HQ46" s="24">
        <v>0</v>
      </c>
      <c r="HR46" s="24">
        <v>0</v>
      </c>
      <c r="HS46" s="24">
        <v>0</v>
      </c>
      <c r="HT46" s="24">
        <v>0</v>
      </c>
      <c r="HU46" s="24">
        <v>0</v>
      </c>
      <c r="HV46" s="24">
        <v>0</v>
      </c>
      <c r="HW46" s="24">
        <v>0</v>
      </c>
      <c r="HX46" s="24">
        <v>0</v>
      </c>
      <c r="HY46" s="24">
        <v>0</v>
      </c>
      <c r="HZ46" s="24">
        <v>0</v>
      </c>
      <c r="IA46" s="24">
        <v>18267</v>
      </c>
      <c r="IB46" s="24">
        <v>4371</v>
      </c>
      <c r="IC46" s="24">
        <v>0</v>
      </c>
      <c r="ID46" s="24">
        <v>0</v>
      </c>
      <c r="IE46" s="24">
        <v>0</v>
      </c>
      <c r="IF46" s="24">
        <v>0</v>
      </c>
      <c r="IG46" s="24">
        <v>0</v>
      </c>
      <c r="IH46" s="24">
        <v>0</v>
      </c>
      <c r="II46" s="24">
        <v>0</v>
      </c>
      <c r="IJ46" s="24">
        <v>0</v>
      </c>
      <c r="IK46" s="24">
        <v>0</v>
      </c>
      <c r="IL46" s="24">
        <v>0</v>
      </c>
      <c r="IM46" s="24">
        <v>0</v>
      </c>
      <c r="IN46" s="24">
        <v>0</v>
      </c>
      <c r="IO46" s="24">
        <v>1562</v>
      </c>
      <c r="IP46" s="24">
        <v>0</v>
      </c>
      <c r="IQ46" s="24">
        <v>0</v>
      </c>
      <c r="IR46" s="24">
        <v>15000</v>
      </c>
      <c r="IS46" s="24">
        <v>0</v>
      </c>
      <c r="IT46" s="24">
        <v>0</v>
      </c>
      <c r="IU46" s="24">
        <v>0</v>
      </c>
      <c r="IV46" s="24">
        <v>0</v>
      </c>
      <c r="IW46" s="24">
        <v>23294</v>
      </c>
      <c r="IX46" s="24">
        <v>0</v>
      </c>
      <c r="IY46" s="24">
        <v>0</v>
      </c>
      <c r="IZ46" s="24">
        <v>0</v>
      </c>
      <c r="JA46" s="24">
        <v>0</v>
      </c>
      <c r="JB46" s="24">
        <v>13417</v>
      </c>
      <c r="JC46" s="24">
        <v>0</v>
      </c>
      <c r="JD46" s="24">
        <v>0</v>
      </c>
      <c r="JE46" s="24">
        <v>78864</v>
      </c>
      <c r="JF46" s="24">
        <v>0</v>
      </c>
      <c r="JG46" s="24">
        <v>0</v>
      </c>
      <c r="JH46" s="24">
        <v>0</v>
      </c>
      <c r="JI46" s="24">
        <v>0</v>
      </c>
      <c r="JJ46" s="24">
        <v>0</v>
      </c>
      <c r="JK46" s="24">
        <v>0</v>
      </c>
      <c r="JL46" s="24">
        <v>0</v>
      </c>
      <c r="JM46" s="24">
        <v>0</v>
      </c>
      <c r="JN46" s="24">
        <v>0</v>
      </c>
      <c r="JO46" s="24">
        <v>0</v>
      </c>
      <c r="JP46" s="24">
        <v>0</v>
      </c>
      <c r="JQ46" s="24">
        <v>0</v>
      </c>
      <c r="JR46" s="24">
        <v>0</v>
      </c>
      <c r="JS46" s="24">
        <v>0</v>
      </c>
      <c r="JT46" s="24">
        <v>0</v>
      </c>
      <c r="JU46" s="24">
        <v>0</v>
      </c>
      <c r="JV46" s="24">
        <v>0</v>
      </c>
      <c r="JW46" s="24">
        <v>0</v>
      </c>
      <c r="JX46" s="24">
        <v>0</v>
      </c>
      <c r="JY46" s="24">
        <v>0</v>
      </c>
      <c r="JZ46" s="24">
        <v>0</v>
      </c>
      <c r="KA46" s="24">
        <v>0</v>
      </c>
      <c r="KB46" s="24">
        <v>0</v>
      </c>
      <c r="KC46" s="24">
        <v>0</v>
      </c>
      <c r="KD46" s="24">
        <v>0</v>
      </c>
      <c r="KE46" s="24">
        <v>0</v>
      </c>
      <c r="KF46" s="24">
        <v>0</v>
      </c>
      <c r="KG46" s="24">
        <v>10563</v>
      </c>
      <c r="KH46" s="24">
        <v>0</v>
      </c>
      <c r="KI46" s="24">
        <v>0</v>
      </c>
      <c r="KJ46" s="24">
        <v>0</v>
      </c>
      <c r="KK46" s="24">
        <v>0</v>
      </c>
      <c r="KL46" s="24">
        <v>0</v>
      </c>
      <c r="KM46" s="24">
        <v>0</v>
      </c>
      <c r="KN46" s="24">
        <v>0</v>
      </c>
      <c r="KO46" s="24">
        <v>0</v>
      </c>
      <c r="KP46" s="24">
        <v>0</v>
      </c>
      <c r="KQ46" s="24">
        <v>0</v>
      </c>
      <c r="KR46" s="24">
        <v>0</v>
      </c>
      <c r="KS46" s="24">
        <v>0</v>
      </c>
      <c r="KT46" s="24">
        <v>0</v>
      </c>
      <c r="KU46" s="24">
        <v>0</v>
      </c>
      <c r="KV46" s="24">
        <v>0</v>
      </c>
      <c r="KW46" s="24">
        <v>18073</v>
      </c>
      <c r="KX46" s="24">
        <v>0</v>
      </c>
      <c r="KY46" s="24">
        <v>0</v>
      </c>
      <c r="KZ46" s="24">
        <v>0</v>
      </c>
      <c r="LA46" s="24">
        <v>0</v>
      </c>
      <c r="LB46" s="24">
        <v>0</v>
      </c>
      <c r="LC46" s="24">
        <v>0</v>
      </c>
      <c r="LD46" s="24">
        <v>0</v>
      </c>
      <c r="LE46" s="24">
        <v>0</v>
      </c>
      <c r="LF46" s="24">
        <v>0</v>
      </c>
      <c r="LG46" s="24">
        <v>0</v>
      </c>
      <c r="LH46" s="24">
        <v>0</v>
      </c>
      <c r="LI46" s="24">
        <v>0</v>
      </c>
      <c r="LJ46" s="24">
        <v>0</v>
      </c>
      <c r="LK46" s="24">
        <v>0</v>
      </c>
      <c r="LL46" s="24">
        <v>0</v>
      </c>
      <c r="LM46" s="24">
        <v>0</v>
      </c>
      <c r="LN46" s="24">
        <v>0</v>
      </c>
      <c r="LO46" s="24">
        <v>0</v>
      </c>
      <c r="LP46" s="24">
        <v>0</v>
      </c>
      <c r="LQ46" s="24">
        <v>27008</v>
      </c>
      <c r="LR46" s="24">
        <v>0</v>
      </c>
      <c r="LS46" s="24">
        <v>0</v>
      </c>
      <c r="LT46" s="24">
        <v>0</v>
      </c>
      <c r="LU46" s="24">
        <v>0</v>
      </c>
      <c r="LV46" s="24">
        <v>0</v>
      </c>
      <c r="LW46" s="24">
        <v>0</v>
      </c>
      <c r="LX46" s="24">
        <v>0</v>
      </c>
      <c r="LY46" s="24">
        <v>0</v>
      </c>
      <c r="LZ46" s="24">
        <v>0</v>
      </c>
      <c r="MA46" s="24">
        <v>0</v>
      </c>
      <c r="MB46" s="24">
        <v>0</v>
      </c>
      <c r="MC46" s="24">
        <v>0</v>
      </c>
      <c r="MD46" s="24">
        <v>0</v>
      </c>
      <c r="ME46" s="24">
        <v>0</v>
      </c>
      <c r="MF46" s="24">
        <v>0</v>
      </c>
      <c r="MG46" s="24">
        <v>0</v>
      </c>
      <c r="MH46" s="24">
        <v>0</v>
      </c>
      <c r="MI46" s="24">
        <v>0</v>
      </c>
      <c r="MJ46" s="24">
        <v>0</v>
      </c>
      <c r="MK46" s="24">
        <v>0</v>
      </c>
      <c r="ML46" s="24">
        <v>0</v>
      </c>
      <c r="MM46" s="24">
        <v>0</v>
      </c>
      <c r="MN46" s="24">
        <v>0</v>
      </c>
      <c r="MO46" s="24">
        <v>0</v>
      </c>
      <c r="MP46" s="24">
        <v>0</v>
      </c>
      <c r="MQ46" s="24">
        <v>0</v>
      </c>
      <c r="MR46" s="24">
        <v>47132</v>
      </c>
      <c r="MS46" s="24">
        <v>0</v>
      </c>
      <c r="MT46" s="24">
        <v>0</v>
      </c>
      <c r="MU46" s="24">
        <v>0</v>
      </c>
      <c r="MV46" s="24">
        <v>0</v>
      </c>
      <c r="MW46" s="24">
        <v>43216</v>
      </c>
      <c r="MX46" s="24">
        <v>3841</v>
      </c>
      <c r="MY46" s="24">
        <v>0</v>
      </c>
      <c r="MZ46" s="24">
        <v>0</v>
      </c>
      <c r="NA46" s="24">
        <v>0</v>
      </c>
      <c r="NB46" s="24">
        <v>0</v>
      </c>
      <c r="NC46" s="24">
        <v>0</v>
      </c>
      <c r="ND46" s="24">
        <v>0</v>
      </c>
      <c r="NE46" s="24">
        <v>0</v>
      </c>
      <c r="NF46" s="24">
        <v>0</v>
      </c>
      <c r="NG46" s="24">
        <v>0</v>
      </c>
      <c r="NH46" s="24">
        <v>0</v>
      </c>
      <c r="NI46" s="24">
        <v>0</v>
      </c>
      <c r="NJ46" s="24">
        <v>0</v>
      </c>
      <c r="NK46" s="24">
        <v>0</v>
      </c>
      <c r="NL46" s="24">
        <v>0</v>
      </c>
      <c r="NM46" s="24">
        <v>0</v>
      </c>
      <c r="NN46" s="24">
        <v>0</v>
      </c>
      <c r="NO46" s="24">
        <v>0</v>
      </c>
      <c r="NP46" s="24">
        <v>0</v>
      </c>
      <c r="NQ46" s="24">
        <v>0</v>
      </c>
      <c r="NR46" s="24">
        <v>0</v>
      </c>
      <c r="NS46" s="24">
        <v>0</v>
      </c>
      <c r="NT46" s="24">
        <v>0</v>
      </c>
      <c r="NU46" s="24">
        <v>0</v>
      </c>
      <c r="NV46" s="24">
        <v>11525</v>
      </c>
      <c r="NW46" s="24">
        <v>0</v>
      </c>
      <c r="NX46" s="24">
        <v>0</v>
      </c>
      <c r="NY46" s="24">
        <v>0</v>
      </c>
      <c r="NZ46" s="24">
        <v>0</v>
      </c>
      <c r="OA46" s="24">
        <v>0</v>
      </c>
      <c r="OB46" s="24">
        <v>0</v>
      </c>
      <c r="OC46" s="24">
        <v>0</v>
      </c>
      <c r="OD46" s="24">
        <v>0</v>
      </c>
      <c r="OE46" s="24">
        <v>0</v>
      </c>
      <c r="OF46" s="24">
        <v>0</v>
      </c>
      <c r="OG46" s="24">
        <v>0</v>
      </c>
      <c r="OH46" s="24">
        <v>0</v>
      </c>
      <c r="OI46" s="24">
        <v>0</v>
      </c>
      <c r="OJ46" s="24">
        <v>0</v>
      </c>
      <c r="OK46" s="24">
        <v>4445</v>
      </c>
      <c r="OL46" s="24">
        <v>0</v>
      </c>
      <c r="OM46" s="24">
        <v>0</v>
      </c>
      <c r="ON46" s="24">
        <v>0</v>
      </c>
      <c r="OO46" s="24">
        <v>0</v>
      </c>
      <c r="OP46" s="24">
        <v>0</v>
      </c>
      <c r="OQ46" s="24">
        <v>0</v>
      </c>
      <c r="OR46" s="24">
        <v>0</v>
      </c>
      <c r="OS46" s="24">
        <v>0</v>
      </c>
      <c r="OT46" s="24">
        <v>0</v>
      </c>
      <c r="OU46" s="24">
        <v>0</v>
      </c>
      <c r="OV46" s="24">
        <v>0</v>
      </c>
      <c r="OW46" s="24">
        <v>0</v>
      </c>
      <c r="OX46" s="24">
        <v>0</v>
      </c>
      <c r="OY46" s="24">
        <v>0</v>
      </c>
      <c r="OZ46" s="24">
        <v>0</v>
      </c>
      <c r="PA46" s="24">
        <v>0</v>
      </c>
      <c r="PB46" s="24">
        <v>0</v>
      </c>
      <c r="PC46" s="24">
        <v>0</v>
      </c>
      <c r="PD46" s="24">
        <v>0</v>
      </c>
      <c r="PE46" s="24">
        <v>0</v>
      </c>
      <c r="PF46" s="24">
        <v>0</v>
      </c>
      <c r="PG46" s="24">
        <v>0</v>
      </c>
      <c r="PH46" s="24">
        <v>0</v>
      </c>
      <c r="PI46" s="24">
        <v>0</v>
      </c>
      <c r="PJ46" s="24">
        <v>0</v>
      </c>
      <c r="PK46" s="24">
        <v>0</v>
      </c>
      <c r="PL46" s="24">
        <v>0</v>
      </c>
      <c r="PM46" s="24">
        <v>0</v>
      </c>
      <c r="PN46" s="24">
        <v>0</v>
      </c>
      <c r="PO46" s="24">
        <v>0</v>
      </c>
      <c r="PP46" s="24">
        <v>0</v>
      </c>
      <c r="PQ46" s="24">
        <v>0</v>
      </c>
      <c r="PR46" s="24">
        <v>0</v>
      </c>
      <c r="PS46" s="24">
        <v>0</v>
      </c>
      <c r="PT46" s="24">
        <v>0</v>
      </c>
      <c r="PU46" s="24">
        <v>0</v>
      </c>
      <c r="PV46" s="24">
        <v>0</v>
      </c>
      <c r="PW46" s="24">
        <v>0</v>
      </c>
      <c r="PX46" s="24">
        <v>0</v>
      </c>
      <c r="PY46" s="24">
        <v>0</v>
      </c>
      <c r="PZ46" s="24">
        <v>0</v>
      </c>
      <c r="QA46" s="24">
        <v>0</v>
      </c>
      <c r="QB46" s="24">
        <v>0</v>
      </c>
      <c r="QC46" s="24">
        <v>0</v>
      </c>
      <c r="QD46" s="24">
        <v>0</v>
      </c>
      <c r="QE46" s="24">
        <v>0</v>
      </c>
      <c r="QF46" s="24">
        <v>0</v>
      </c>
      <c r="QG46" s="24">
        <v>0</v>
      </c>
      <c r="QH46" s="24">
        <v>0</v>
      </c>
      <c r="QI46" s="24">
        <v>0</v>
      </c>
      <c r="QJ46" s="24">
        <v>0</v>
      </c>
      <c r="QK46" s="24">
        <v>0</v>
      </c>
      <c r="QL46" s="24">
        <v>0</v>
      </c>
      <c r="QM46" s="24">
        <v>0</v>
      </c>
      <c r="QN46" s="24">
        <v>0</v>
      </c>
      <c r="QO46" s="24">
        <v>0</v>
      </c>
      <c r="QP46" s="24">
        <v>0</v>
      </c>
      <c r="QQ46" s="24">
        <v>0</v>
      </c>
      <c r="QR46" s="24">
        <v>0</v>
      </c>
      <c r="QS46" s="24">
        <v>5000</v>
      </c>
      <c r="QT46" s="24">
        <v>0</v>
      </c>
      <c r="QU46" s="24">
        <v>0</v>
      </c>
      <c r="QV46" s="24">
        <v>0</v>
      </c>
      <c r="QW46" s="24">
        <v>50000</v>
      </c>
      <c r="QX46" s="24">
        <v>0</v>
      </c>
      <c r="QY46" s="24">
        <v>0</v>
      </c>
      <c r="QZ46" s="24">
        <v>0</v>
      </c>
      <c r="RA46" s="24">
        <v>0</v>
      </c>
      <c r="RB46" s="24">
        <v>0</v>
      </c>
      <c r="RG46" s="39">
        <f t="shared" si="126"/>
        <v>1186843</v>
      </c>
      <c r="RH46" s="39">
        <f t="shared" si="126"/>
        <v>68521</v>
      </c>
      <c r="RI46" s="39">
        <f t="shared" si="126"/>
        <v>3338</v>
      </c>
      <c r="RJ46" s="39">
        <f t="shared" si="126"/>
        <v>0</v>
      </c>
      <c r="RK46" s="39">
        <f t="shared" si="126"/>
        <v>0</v>
      </c>
      <c r="RL46" s="39">
        <f t="shared" si="126"/>
        <v>163566</v>
      </c>
      <c r="RM46" s="39">
        <f t="shared" si="126"/>
        <v>22638</v>
      </c>
      <c r="RN46" s="39">
        <f t="shared" si="126"/>
        <v>1562</v>
      </c>
      <c r="RO46" s="39">
        <f t="shared" si="126"/>
        <v>15000</v>
      </c>
      <c r="RP46" s="39">
        <f t="shared" si="126"/>
        <v>23294</v>
      </c>
      <c r="RQ46" s="39">
        <f t="shared" si="126"/>
        <v>13417</v>
      </c>
      <c r="RR46" s="39">
        <f t="shared" si="126"/>
        <v>78864</v>
      </c>
      <c r="RS46" s="39"/>
      <c r="RT46" s="182"/>
      <c r="RU46" s="39"/>
      <c r="RV46" s="39">
        <f t="shared" si="127"/>
        <v>165803</v>
      </c>
      <c r="RW46" s="39">
        <f t="shared" si="127"/>
        <v>1577043</v>
      </c>
      <c r="RX46" s="39">
        <f t="shared" si="127"/>
        <v>342320</v>
      </c>
      <c r="RY46" s="39">
        <f t="shared" si="127"/>
        <v>55000</v>
      </c>
      <c r="RZ46" s="39"/>
      <c r="SA46" s="182"/>
      <c r="SB46" s="39"/>
      <c r="SC46" s="25">
        <f t="shared" si="50"/>
        <v>2062.1686746987953</v>
      </c>
      <c r="SD46" s="39">
        <f>IFERROR(VLOOKUP(A46, 'Levy Data 15-16'!$B:$O, 3, FALSE), 0)</f>
        <v>102980054</v>
      </c>
      <c r="SE46" s="39">
        <f t="shared" si="88"/>
        <v>620361.77108433738</v>
      </c>
      <c r="SF46" s="631">
        <f>IFERROR(VLOOKUP(A46, 'Levy Data 15-16'!$B:$O, 14, FALSE), 0)*1000</f>
        <v>2.907689</v>
      </c>
      <c r="SG46" s="39">
        <f t="shared" si="89"/>
        <v>0</v>
      </c>
      <c r="SH46" s="39">
        <f t="shared" si="90"/>
        <v>0</v>
      </c>
      <c r="SI46" s="39">
        <f t="shared" si="91"/>
        <v>342320</v>
      </c>
      <c r="SM46" s="39">
        <f t="shared" si="92"/>
        <v>1577043</v>
      </c>
      <c r="SN46" s="39">
        <f t="shared" si="93"/>
        <v>0</v>
      </c>
      <c r="SO46" s="39">
        <f t="shared" si="51"/>
        <v>1577043</v>
      </c>
      <c r="SP46" s="50">
        <f t="shared" si="52"/>
        <v>1</v>
      </c>
      <c r="ST46" s="124">
        <f>IFERROR(VLOOKUP(A46,'Grade Enroll 15-16'!B:AC,27,FALSE),"")</f>
        <v>166</v>
      </c>
      <c r="SU46" s="124">
        <f t="shared" si="53"/>
        <v>68.102564102564102</v>
      </c>
      <c r="SV46" s="131">
        <f>IFERROR(VLOOKUP($A46, 'Title I Enroll 16-17'!S:V, 4, FALSE), 0)</f>
        <v>0.41025641025641024</v>
      </c>
      <c r="SW46" s="729">
        <f>IFERROR(VLOOKUP(A46, 'ELL Enroll 15-16'!$N:$S, 6, FALSE), 0)</f>
        <v>5</v>
      </c>
      <c r="SX46" s="131">
        <f t="shared" si="54"/>
        <v>3.0120481927710843E-2</v>
      </c>
      <c r="SY46" s="124">
        <f>IFERROR(VLOOKUP(A46, 'SPED enroll 2015-16'!$M:$O, 3, FALSE), 0)</f>
        <v>21</v>
      </c>
      <c r="SZ46" s="131">
        <f t="shared" si="55"/>
        <v>0.12650602409638553</v>
      </c>
      <c r="TA46" s="142">
        <f t="shared" si="87"/>
        <v>14.7</v>
      </c>
      <c r="TB46" s="142">
        <f t="shared" si="87"/>
        <v>4.2</v>
      </c>
      <c r="TC46" s="142">
        <f t="shared" si="87"/>
        <v>1.4700000000000002</v>
      </c>
      <c r="TD46" s="142">
        <f t="shared" si="87"/>
        <v>0.63</v>
      </c>
      <c r="TE46" s="124">
        <f>VLOOKUP($A46, 'Grade Enroll 15-16'!$B:$AB, 20, FALSE)</f>
        <v>3</v>
      </c>
      <c r="TF46" s="124">
        <f>VLOOKUP($A46, 'Grade Enroll 15-16'!$B:$AB, 21, FALSE)</f>
        <v>18</v>
      </c>
      <c r="TG46" s="124">
        <f>VLOOKUP($A46, 'Grade Enroll 15-16'!$B:$AB, 22, FALSE)</f>
        <v>34</v>
      </c>
      <c r="TH46" s="124">
        <f>VLOOKUP($A46, 'Grade Enroll 15-16'!$B:$AB, 23, FALSE)</f>
        <v>34</v>
      </c>
      <c r="TI46" s="124">
        <f>VLOOKUP($A46, 'Grade Enroll 15-16'!$B:$AB, 24, FALSE)</f>
        <v>34</v>
      </c>
      <c r="TJ46" s="124">
        <f>VLOOKUP($A46, 'Grade Enroll 15-16'!$B:$AB, 25, FALSE)</f>
        <v>64</v>
      </c>
      <c r="TK46" s="124">
        <f>VLOOKUP($A46, 'Grade Enroll 15-16'!$B:$AB, 26, FALSE)</f>
        <v>107</v>
      </c>
      <c r="TL46" s="131">
        <f>SUMIFS('Student Achievement 15-16'!N:N, 'Student Achievement 15-16'!B:B, 'Idaho Data'!A46, 'Student Achievement 15-16'!D:D, "math")/100</f>
        <v>0.05</v>
      </c>
      <c r="TM46" s="134">
        <f t="shared" si="57"/>
        <v>8.3000000000000007</v>
      </c>
      <c r="TN46" s="131">
        <f>SUMIFS('Student Achievement 15-16'!N:N, 'Student Achievement 15-16'!B:B, 'Idaho Data'!A46, 'Student Achievement 15-16'!D:D, "ela")/100</f>
        <v>0.19800000000000001</v>
      </c>
      <c r="TO46" s="134">
        <f t="shared" si="58"/>
        <v>32.868000000000002</v>
      </c>
      <c r="TP46" s="688">
        <f>IFERROR(VLOOKUP(A46, 'G&amp;T 15-16'!B:G, 6, FALSE), 0)*1</f>
        <v>0</v>
      </c>
      <c r="TQ46" s="168">
        <f t="shared" si="59"/>
        <v>9.9599999999999991</v>
      </c>
      <c r="TU46" s="168">
        <f t="shared" si="60"/>
        <v>8.3000000000000007</v>
      </c>
      <c r="TV46" s="168">
        <f t="shared" si="61"/>
        <v>32.868000000000002</v>
      </c>
      <c r="TW46" s="205">
        <f t="shared" si="62"/>
        <v>32.868000000000002</v>
      </c>
      <c r="TX46" s="144"/>
      <c r="TY46" s="129"/>
      <c r="TZ46" s="127">
        <f t="shared" si="63"/>
        <v>0</v>
      </c>
      <c r="UA46" s="127">
        <f t="shared" si="64"/>
        <v>9.9599999999999991</v>
      </c>
      <c r="UB46" s="205">
        <f t="shared" si="65"/>
        <v>9.9599999999999991</v>
      </c>
      <c r="UE46" s="853" t="str">
        <f>IF(ST46&lt;='1. Simulator Input'!$E$104, "yes", "")</f>
        <v>yes</v>
      </c>
      <c r="UI46" s="199">
        <f t="shared" si="66"/>
        <v>0</v>
      </c>
      <c r="UJ46" s="200">
        <f>IF('Idaho Data'!SI46&gt;=0, ((1-'1. Simulator Input'!$E$39)*'Idaho Data'!SI46), 0)</f>
        <v>0</v>
      </c>
      <c r="UK46" s="200">
        <f t="shared" si="67"/>
        <v>1577043</v>
      </c>
      <c r="UL46" s="39"/>
      <c r="UM46" s="182"/>
      <c r="UN46" s="39"/>
      <c r="UO46" s="39">
        <f>IF(AND('1. Simulator Input'!$E$96="yes", '1. Simulator Input'!$E$98="yes", '1. Simulator Input'!$E$100="hold harmless"), 'Idaho Data'!WN46, IF(AND('1. Simulator Input'!$E$96="yes", '1. Simulator Input'!$E$98="no", '1. Simulator Input'!$E$100="hold harmless"), 'Idaho Data'!WM46, IF(AND('1. Simulator Input'!$E$96="yes", '1. Simulator Input'!$E$98="yes", '1. Simulator Input'!$E$100="small district grant"), WL46,IF(AND('1. Simulator Input'!$E$96="yes", '1. Simulator Input'!$E$98="no", '1. Simulator Input'!$E$100="small district grant"), WK46, ""))))</f>
        <v>0</v>
      </c>
      <c r="UP46" s="200">
        <f>'1. Simulator Input'!$D$56*('Idaho Data'!ST46)</f>
        <v>917316</v>
      </c>
      <c r="UQ46" s="204">
        <f>'1. Simulator Input'!$D$65*'1. Simulator Input'!$D$56*'Idaho Data'!SU46</f>
        <v>0</v>
      </c>
      <c r="UR46" s="204">
        <f>'1. Simulator Input'!$D$66*'1. Simulator Input'!$D$56*'Idaho Data'!SW46</f>
        <v>0</v>
      </c>
      <c r="US46" s="200">
        <f>'1. Simulator Input'!$D$67*'1. Simulator Input'!$D$56*'Idaho Data'!TA46</f>
        <v>0</v>
      </c>
      <c r="UT46" s="200">
        <f>'1. Simulator Input'!$D$68*'1. Simulator Input'!$D$56*'Idaho Data'!TB46</f>
        <v>0</v>
      </c>
      <c r="UU46" s="200">
        <f>'1. Simulator Input'!$D$69*'1. Simulator Input'!$D$56*'Idaho Data'!TC46</f>
        <v>0</v>
      </c>
      <c r="UV46" s="200">
        <f>'1. Simulator Input'!$D$70*'1. Simulator Input'!$D$56*TD46</f>
        <v>0</v>
      </c>
      <c r="UW46" s="200">
        <f>'1. Simulator Input'!$D$80*'1. Simulator Input'!$D$56*TW46</f>
        <v>0</v>
      </c>
      <c r="UX46" s="200">
        <f>'1. Simulator Input'!$D$79*'1. Simulator Input'!$D$56*UB46</f>
        <v>0</v>
      </c>
      <c r="UY46" s="200">
        <f>'1. Simulator Input'!$D$87*'1. Simulator Input'!$D$56*TF46</f>
        <v>49734</v>
      </c>
      <c r="UZ46" s="200">
        <f>'1. Simulator Input'!$D$73*'1. Simulator Input'!$D$56*'Idaho Data'!TG46</f>
        <v>0</v>
      </c>
      <c r="VA46" s="200">
        <f>'1. Simulator Input'!$D$56*'1. Simulator Input'!$D$74*'Idaho Data'!TH46</f>
        <v>0</v>
      </c>
      <c r="VB46" s="200">
        <f>'1. Simulator Input'!$D$56*'1. Simulator Input'!$D$75*'Idaho Data'!TI41</f>
        <v>0</v>
      </c>
      <c r="VC46" s="200">
        <f>'1. Simulator Input'!$D$76*'1. Simulator Input'!$D$56*'Idaho Data'!TJ46</f>
        <v>0</v>
      </c>
      <c r="VD46" s="200">
        <f t="shared" si="68"/>
        <v>967050</v>
      </c>
      <c r="VE46" s="200"/>
      <c r="VF46" s="182"/>
      <c r="VG46" s="200"/>
      <c r="VH46" s="200">
        <f t="shared" si="69"/>
        <v>0</v>
      </c>
      <c r="VI46" s="200">
        <f t="shared" si="70"/>
        <v>0</v>
      </c>
      <c r="VJ46" s="200">
        <f t="shared" si="94"/>
        <v>967050</v>
      </c>
      <c r="VK46" s="200">
        <f t="shared" si="95"/>
        <v>967050</v>
      </c>
      <c r="VL46" s="200"/>
      <c r="VM46" s="182"/>
      <c r="VN46" s="200"/>
      <c r="VO46" s="200">
        <f t="shared" si="71"/>
        <v>165803</v>
      </c>
      <c r="VP46" s="200">
        <f t="shared" si="72"/>
        <v>1577043</v>
      </c>
      <c r="VQ46" s="200">
        <f t="shared" si="73"/>
        <v>342320</v>
      </c>
      <c r="VR46" s="200">
        <f t="shared" si="74"/>
        <v>165803</v>
      </c>
      <c r="VS46" s="200">
        <f t="shared" si="96"/>
        <v>967050</v>
      </c>
      <c r="VT46" s="200">
        <f t="shared" si="97"/>
        <v>342320</v>
      </c>
      <c r="VU46" s="200">
        <f t="shared" si="98"/>
        <v>0</v>
      </c>
      <c r="VV46" s="200"/>
      <c r="VW46" s="182"/>
      <c r="VX46" s="200"/>
      <c r="VZ46" s="199">
        <f t="shared" si="75"/>
        <v>-609993</v>
      </c>
      <c r="WA46" s="199">
        <f t="shared" si="76"/>
        <v>-3674.6566265060242</v>
      </c>
      <c r="WB46" s="131">
        <f t="shared" si="77"/>
        <v>-0.3867954139487636</v>
      </c>
      <c r="WC46" s="131"/>
      <c r="WD46" s="461"/>
      <c r="WE46" s="893"/>
      <c r="WF46" s="893">
        <f t="shared" si="78"/>
        <v>12561.240963855422</v>
      </c>
      <c r="WG46" s="893">
        <f t="shared" si="79"/>
        <v>8886.5843373493972</v>
      </c>
      <c r="WH46" s="893"/>
      <c r="WI46" s="893">
        <f t="shared" si="80"/>
        <v>1577043</v>
      </c>
      <c r="WJ46" s="893">
        <f t="shared" si="99"/>
        <v>967050</v>
      </c>
      <c r="WK46" s="39">
        <f t="shared" si="100"/>
        <v>0</v>
      </c>
      <c r="WL46" s="39">
        <f t="shared" si="101"/>
        <v>0</v>
      </c>
      <c r="WM46" s="200">
        <f t="shared" si="102"/>
        <v>609993</v>
      </c>
      <c r="WN46" s="39">
        <f t="shared" si="103"/>
        <v>609993</v>
      </c>
      <c r="WO46" s="39"/>
      <c r="WP46" s="182"/>
      <c r="WQ46" s="39"/>
      <c r="WR46" s="305">
        <f t="shared" si="104"/>
        <v>0.63100000000000001</v>
      </c>
      <c r="WT46" s="200">
        <f t="shared" si="105"/>
        <v>9500.2590361445782</v>
      </c>
      <c r="WU46" s="131">
        <f t="shared" si="81"/>
        <v>0.85</v>
      </c>
      <c r="WW46" s="199">
        <f t="shared" si="106"/>
        <v>165803</v>
      </c>
      <c r="WX46" s="199">
        <f t="shared" si="107"/>
        <v>967050</v>
      </c>
      <c r="WY46" s="199">
        <f t="shared" si="108"/>
        <v>0</v>
      </c>
      <c r="WZ46" s="199">
        <f t="shared" si="82"/>
        <v>967050</v>
      </c>
      <c r="XA46" s="199">
        <f t="shared" si="109"/>
        <v>0</v>
      </c>
      <c r="XB46" s="199">
        <f t="shared" si="110"/>
        <v>342320</v>
      </c>
      <c r="XC46" s="199">
        <f t="shared" si="111"/>
        <v>342320</v>
      </c>
      <c r="XD46" s="199" t="str">
        <f t="shared" si="112"/>
        <v/>
      </c>
      <c r="XE46" s="199"/>
      <c r="XF46" s="199"/>
      <c r="XG46" s="199"/>
      <c r="XH46" s="199"/>
      <c r="XI46" s="199"/>
      <c r="XJ46" s="199">
        <f t="shared" si="83"/>
        <v>967050</v>
      </c>
      <c r="XP46" s="199">
        <f t="shared" si="113"/>
        <v>967050</v>
      </c>
      <c r="XQ46" s="199">
        <f t="shared" si="114"/>
        <v>5825.6024096385545</v>
      </c>
      <c r="XR46" s="199">
        <f t="shared" si="115"/>
        <v>967050</v>
      </c>
      <c r="XS46" s="199">
        <f t="shared" si="116"/>
        <v>967050</v>
      </c>
      <c r="XT46" s="199">
        <f t="shared" si="117"/>
        <v>5825.6024096385545</v>
      </c>
      <c r="XU46" s="199">
        <f t="shared" si="118"/>
        <v>1577043</v>
      </c>
      <c r="XV46" s="199">
        <f t="shared" si="119"/>
        <v>9500.2590361445782</v>
      </c>
      <c r="XW46" s="199">
        <f t="shared" si="120"/>
        <v>1577043</v>
      </c>
      <c r="XX46" s="199">
        <f t="shared" si="121"/>
        <v>9500.2590361445782</v>
      </c>
      <c r="XY46" s="199">
        <f t="shared" si="84"/>
        <v>-609993</v>
      </c>
      <c r="XZ46" s="199">
        <f t="shared" si="85"/>
        <v>-3674.6566265060237</v>
      </c>
      <c r="YA46" s="131">
        <f t="shared" si="86"/>
        <v>-0.38679541394876354</v>
      </c>
      <c r="YB46" s="199"/>
      <c r="YC46" s="221"/>
      <c r="YD46" s="199"/>
      <c r="YE46" s="199">
        <f t="shared" si="122"/>
        <v>165803</v>
      </c>
      <c r="YF46" s="200">
        <f t="shared" si="123"/>
        <v>0</v>
      </c>
      <c r="YG46" s="199">
        <f t="shared" si="124"/>
        <v>342320</v>
      </c>
      <c r="YH46" s="199">
        <f t="shared" si="125"/>
        <v>55000</v>
      </c>
    </row>
    <row r="47" spans="1:658">
      <c r="A47" s="3">
        <v>150</v>
      </c>
      <c r="B47" s="2" t="s">
        <v>140</v>
      </c>
      <c r="C47" s="24">
        <v>0</v>
      </c>
      <c r="D47" s="24">
        <v>0</v>
      </c>
      <c r="E47" s="24">
        <v>0</v>
      </c>
      <c r="F47" s="24">
        <v>0</v>
      </c>
      <c r="G47" s="24">
        <v>804644</v>
      </c>
      <c r="H47" s="24">
        <v>0</v>
      </c>
      <c r="I47" s="24">
        <v>0</v>
      </c>
      <c r="J47" s="24">
        <v>7396</v>
      </c>
      <c r="K47" s="24">
        <v>140341</v>
      </c>
      <c r="L47" s="24">
        <v>0</v>
      </c>
      <c r="M47" s="24">
        <v>0</v>
      </c>
      <c r="N47" s="24">
        <v>0</v>
      </c>
      <c r="O47" s="24">
        <v>0</v>
      </c>
      <c r="P47" s="24">
        <v>0</v>
      </c>
      <c r="Q47" s="24">
        <v>0</v>
      </c>
      <c r="R47" s="24">
        <v>0</v>
      </c>
      <c r="S47" s="24">
        <v>0</v>
      </c>
      <c r="T47" s="24">
        <v>498000</v>
      </c>
      <c r="U47" s="24">
        <v>0</v>
      </c>
      <c r="V47" s="24">
        <v>0</v>
      </c>
      <c r="W47" s="24">
        <v>0</v>
      </c>
      <c r="X47" s="24">
        <v>0</v>
      </c>
      <c r="Y47" s="24">
        <v>3765</v>
      </c>
      <c r="Z47" s="24">
        <v>0</v>
      </c>
      <c r="AA47" s="24">
        <v>0</v>
      </c>
      <c r="AB47" s="24">
        <v>0</v>
      </c>
      <c r="AC47" s="24">
        <v>0</v>
      </c>
      <c r="AD47" s="24">
        <v>0</v>
      </c>
      <c r="AE47" s="24">
        <v>0</v>
      </c>
      <c r="AF47" s="24">
        <v>0</v>
      </c>
      <c r="AG47" s="24">
        <v>0</v>
      </c>
      <c r="AH47" s="24">
        <v>0</v>
      </c>
      <c r="AI47" s="24">
        <v>0</v>
      </c>
      <c r="AJ47" s="24">
        <v>0</v>
      </c>
      <c r="AK47" s="24">
        <v>0</v>
      </c>
      <c r="AL47" s="24">
        <v>8331</v>
      </c>
      <c r="AM47" s="24">
        <v>0</v>
      </c>
      <c r="AN47" s="24">
        <v>0</v>
      </c>
      <c r="AO47" s="24">
        <v>0</v>
      </c>
      <c r="AP47" s="24">
        <v>0</v>
      </c>
      <c r="AQ47" s="24">
        <v>0</v>
      </c>
      <c r="AR47" s="24">
        <v>0</v>
      </c>
      <c r="AS47" s="24">
        <v>0</v>
      </c>
      <c r="AT47" s="24">
        <v>0</v>
      </c>
      <c r="AU47" s="24">
        <v>0</v>
      </c>
      <c r="AV47" s="24">
        <v>0</v>
      </c>
      <c r="AW47" s="24">
        <v>0</v>
      </c>
      <c r="AX47" s="24">
        <v>0</v>
      </c>
      <c r="AY47" s="24">
        <v>0</v>
      </c>
      <c r="AZ47" s="24">
        <v>0</v>
      </c>
      <c r="BA47" s="24">
        <v>0</v>
      </c>
      <c r="BB47" s="24">
        <v>0</v>
      </c>
      <c r="BC47" s="24">
        <v>25</v>
      </c>
      <c r="BD47" s="24">
        <v>0</v>
      </c>
      <c r="BE47" s="24">
        <v>0</v>
      </c>
      <c r="BF47" s="24">
        <v>207</v>
      </c>
      <c r="BG47" s="24">
        <v>0</v>
      </c>
      <c r="BH47" s="24">
        <v>0</v>
      </c>
      <c r="BI47" s="24">
        <v>0</v>
      </c>
      <c r="BJ47" s="24">
        <v>0</v>
      </c>
      <c r="BK47" s="24">
        <v>0</v>
      </c>
      <c r="BL47" s="24">
        <v>0</v>
      </c>
      <c r="BM47" s="24">
        <v>0</v>
      </c>
      <c r="BN47" s="24">
        <v>0</v>
      </c>
      <c r="BO47" s="24">
        <v>0</v>
      </c>
      <c r="BP47" s="24">
        <v>0</v>
      </c>
      <c r="BQ47" s="24">
        <v>0</v>
      </c>
      <c r="BR47" s="24">
        <v>0</v>
      </c>
      <c r="BS47" s="24">
        <v>0</v>
      </c>
      <c r="BT47" s="24">
        <v>0</v>
      </c>
      <c r="BU47" s="24">
        <v>0</v>
      </c>
      <c r="BV47" s="24">
        <v>0</v>
      </c>
      <c r="BW47" s="24">
        <v>0</v>
      </c>
      <c r="BX47" s="24">
        <v>0</v>
      </c>
      <c r="BY47" s="24">
        <v>0</v>
      </c>
      <c r="BZ47" s="24">
        <v>0</v>
      </c>
      <c r="CA47" s="24">
        <v>0</v>
      </c>
      <c r="CB47" s="24">
        <v>0</v>
      </c>
      <c r="CC47" s="24">
        <v>0</v>
      </c>
      <c r="CD47" s="24">
        <v>0</v>
      </c>
      <c r="CE47" s="24">
        <v>71605</v>
      </c>
      <c r="CF47" s="24">
        <v>0</v>
      </c>
      <c r="CG47" s="24">
        <v>172037</v>
      </c>
      <c r="CH47" s="24">
        <v>0</v>
      </c>
      <c r="CI47" s="24">
        <v>0</v>
      </c>
      <c r="CJ47" s="24">
        <v>0</v>
      </c>
      <c r="CK47" s="24">
        <v>0</v>
      </c>
      <c r="CL47" s="24">
        <v>0</v>
      </c>
      <c r="CM47" s="24">
        <v>0</v>
      </c>
      <c r="CN47" s="24">
        <v>0</v>
      </c>
      <c r="CO47" s="24">
        <v>0</v>
      </c>
      <c r="CP47" s="24">
        <v>0</v>
      </c>
      <c r="CQ47" s="24">
        <v>0</v>
      </c>
      <c r="CR47" s="24">
        <v>0</v>
      </c>
      <c r="CS47" s="24">
        <v>0</v>
      </c>
      <c r="CT47" s="24">
        <v>0</v>
      </c>
      <c r="CU47" s="24">
        <v>0</v>
      </c>
      <c r="CV47" s="24">
        <v>0</v>
      </c>
      <c r="CW47" s="24">
        <v>0</v>
      </c>
      <c r="CX47" s="24">
        <v>0</v>
      </c>
      <c r="CY47" s="24">
        <v>0</v>
      </c>
      <c r="CZ47" s="24">
        <v>0</v>
      </c>
      <c r="DA47" s="24">
        <v>0</v>
      </c>
      <c r="DB47" s="24">
        <v>0</v>
      </c>
      <c r="DC47" s="24">
        <v>0</v>
      </c>
      <c r="DD47" s="24">
        <v>0</v>
      </c>
      <c r="DE47" s="24">
        <v>0</v>
      </c>
      <c r="DF47" s="24">
        <v>0</v>
      </c>
      <c r="DG47" s="24">
        <v>0</v>
      </c>
      <c r="DH47" s="24">
        <v>0</v>
      </c>
      <c r="DI47" s="24">
        <v>0</v>
      </c>
      <c r="DJ47" s="24">
        <v>0</v>
      </c>
      <c r="DK47" s="24">
        <v>0</v>
      </c>
      <c r="DL47" s="24">
        <v>0</v>
      </c>
      <c r="DM47" s="24">
        <v>0</v>
      </c>
      <c r="DN47" s="24">
        <v>0</v>
      </c>
      <c r="DO47" s="24">
        <v>0</v>
      </c>
      <c r="DP47" s="24">
        <v>0</v>
      </c>
      <c r="DQ47" s="24">
        <v>0</v>
      </c>
      <c r="DR47" s="24">
        <v>0</v>
      </c>
      <c r="DS47" s="24">
        <v>0</v>
      </c>
      <c r="DT47" s="24">
        <v>0</v>
      </c>
      <c r="DU47" s="24">
        <v>0</v>
      </c>
      <c r="DV47" s="24">
        <v>0</v>
      </c>
      <c r="DW47" s="24">
        <v>0</v>
      </c>
      <c r="DX47" s="24">
        <v>0</v>
      </c>
      <c r="DY47" s="24">
        <v>0</v>
      </c>
      <c r="DZ47" s="24">
        <v>0</v>
      </c>
      <c r="EA47" s="24">
        <v>0</v>
      </c>
      <c r="EB47" s="24">
        <v>0</v>
      </c>
      <c r="EC47" s="24">
        <v>0</v>
      </c>
      <c r="ED47" s="24">
        <v>0</v>
      </c>
      <c r="EE47" s="24">
        <v>0</v>
      </c>
      <c r="EF47" s="24">
        <v>0</v>
      </c>
      <c r="EG47" s="24">
        <v>62067</v>
      </c>
      <c r="EH47" s="24">
        <v>0</v>
      </c>
      <c r="EI47" s="24">
        <v>0</v>
      </c>
      <c r="EJ47" s="24">
        <v>0</v>
      </c>
      <c r="EK47" s="24">
        <v>0</v>
      </c>
      <c r="EL47" s="24">
        <v>0</v>
      </c>
      <c r="EM47" s="24">
        <v>0</v>
      </c>
      <c r="EN47" s="24">
        <v>0</v>
      </c>
      <c r="EO47" s="24">
        <v>0</v>
      </c>
      <c r="EP47" s="24">
        <v>0</v>
      </c>
      <c r="EQ47" s="24">
        <v>0</v>
      </c>
      <c r="ER47" s="24">
        <v>0</v>
      </c>
      <c r="ES47" s="24">
        <v>0</v>
      </c>
      <c r="ET47" s="24">
        <v>0</v>
      </c>
      <c r="EU47" s="24">
        <v>0</v>
      </c>
      <c r="EV47" s="24">
        <v>0</v>
      </c>
      <c r="EW47" s="24">
        <v>0</v>
      </c>
      <c r="EX47" s="24">
        <v>0</v>
      </c>
      <c r="EY47" s="24">
        <v>0</v>
      </c>
      <c r="EZ47" s="24">
        <v>0</v>
      </c>
      <c r="FA47" s="24">
        <v>0</v>
      </c>
      <c r="FB47" s="24">
        <v>0</v>
      </c>
      <c r="FC47" s="24">
        <v>0</v>
      </c>
      <c r="FD47" s="24">
        <v>0</v>
      </c>
      <c r="FE47" s="24">
        <v>0</v>
      </c>
      <c r="FF47" s="24">
        <v>0</v>
      </c>
      <c r="FG47" s="24">
        <v>0</v>
      </c>
      <c r="FH47" s="24">
        <v>0</v>
      </c>
      <c r="FI47" s="24">
        <v>0</v>
      </c>
      <c r="FJ47" s="24">
        <v>0</v>
      </c>
      <c r="FK47" s="24">
        <v>0</v>
      </c>
      <c r="FL47" s="24">
        <v>0</v>
      </c>
      <c r="FM47" s="24">
        <v>0</v>
      </c>
      <c r="FN47" s="24">
        <v>0</v>
      </c>
      <c r="FO47" s="24">
        <v>0</v>
      </c>
      <c r="FP47" s="24">
        <v>0</v>
      </c>
      <c r="FQ47" s="24">
        <v>0</v>
      </c>
      <c r="FR47" s="24">
        <v>0</v>
      </c>
      <c r="FS47" s="24">
        <v>70308</v>
      </c>
      <c r="FT47" s="24">
        <v>0</v>
      </c>
      <c r="FU47" s="24">
        <v>0</v>
      </c>
      <c r="FV47" s="24">
        <v>0</v>
      </c>
      <c r="FW47" s="24">
        <v>0</v>
      </c>
      <c r="FX47" s="24">
        <v>0</v>
      </c>
      <c r="FY47" s="24">
        <v>0</v>
      </c>
      <c r="FZ47" s="24">
        <v>0</v>
      </c>
      <c r="GA47" s="24">
        <v>0</v>
      </c>
      <c r="GB47" s="24">
        <v>0</v>
      </c>
      <c r="GC47" s="24">
        <v>0</v>
      </c>
      <c r="GD47" s="24">
        <v>0</v>
      </c>
      <c r="GE47" s="24">
        <v>0</v>
      </c>
      <c r="GF47" s="24">
        <v>0</v>
      </c>
      <c r="GG47" s="24">
        <v>0</v>
      </c>
      <c r="GH47" s="24">
        <v>0</v>
      </c>
      <c r="GI47" s="24">
        <v>0</v>
      </c>
      <c r="GJ47" s="24">
        <v>0</v>
      </c>
      <c r="GK47" s="24">
        <v>0</v>
      </c>
      <c r="GL47" s="24">
        <v>0</v>
      </c>
      <c r="GM47" s="24">
        <v>0</v>
      </c>
      <c r="GN47" s="24">
        <v>0</v>
      </c>
      <c r="GO47" s="24">
        <v>0</v>
      </c>
      <c r="GP47" s="24">
        <v>0</v>
      </c>
      <c r="GQ47" s="24">
        <v>0</v>
      </c>
      <c r="GR47" s="24">
        <v>0</v>
      </c>
      <c r="GS47" s="24">
        <v>0</v>
      </c>
      <c r="GT47" s="24">
        <v>0</v>
      </c>
      <c r="GU47" s="24">
        <v>0</v>
      </c>
      <c r="GV47" s="24">
        <v>0</v>
      </c>
      <c r="GW47" s="24">
        <v>0</v>
      </c>
      <c r="GX47" s="24">
        <v>0</v>
      </c>
      <c r="GY47" s="24">
        <v>0</v>
      </c>
      <c r="GZ47" s="24">
        <v>0</v>
      </c>
      <c r="HA47" s="24">
        <v>0</v>
      </c>
      <c r="HB47" s="24">
        <v>0</v>
      </c>
      <c r="HC47" s="24">
        <v>0</v>
      </c>
      <c r="HD47" s="24">
        <v>3574035</v>
      </c>
      <c r="HE47" s="24">
        <v>0</v>
      </c>
      <c r="HF47" s="24">
        <v>0</v>
      </c>
      <c r="HG47" s="24">
        <v>0</v>
      </c>
      <c r="HH47" s="24">
        <v>0</v>
      </c>
      <c r="HI47" s="24">
        <v>197372</v>
      </c>
      <c r="HJ47" s="24">
        <v>0</v>
      </c>
      <c r="HK47" s="24">
        <v>0</v>
      </c>
      <c r="HL47" s="24">
        <v>0</v>
      </c>
      <c r="HM47" s="24">
        <v>287013</v>
      </c>
      <c r="HN47" s="24">
        <v>0</v>
      </c>
      <c r="HO47" s="24">
        <v>476781</v>
      </c>
      <c r="HP47" s="24">
        <v>200577</v>
      </c>
      <c r="HQ47" s="24">
        <v>0</v>
      </c>
      <c r="HR47" s="24">
        <v>0</v>
      </c>
      <c r="HS47" s="24">
        <v>0</v>
      </c>
      <c r="HT47" s="24">
        <v>0</v>
      </c>
      <c r="HU47" s="24">
        <v>0</v>
      </c>
      <c r="HV47" s="24">
        <v>0</v>
      </c>
      <c r="HW47" s="24">
        <v>0</v>
      </c>
      <c r="HX47" s="24">
        <v>0</v>
      </c>
      <c r="HY47" s="24">
        <v>0</v>
      </c>
      <c r="HZ47" s="24">
        <v>0</v>
      </c>
      <c r="IA47" s="24">
        <v>46903</v>
      </c>
      <c r="IB47" s="24">
        <v>0</v>
      </c>
      <c r="IC47" s="24">
        <v>0</v>
      </c>
      <c r="ID47" s="24">
        <v>0</v>
      </c>
      <c r="IE47" s="24">
        <v>0</v>
      </c>
      <c r="IF47" s="24">
        <v>0</v>
      </c>
      <c r="IG47" s="24">
        <v>0</v>
      </c>
      <c r="IH47" s="24">
        <v>0</v>
      </c>
      <c r="II47" s="24">
        <v>0</v>
      </c>
      <c r="IJ47" s="24">
        <v>0</v>
      </c>
      <c r="IK47" s="24">
        <v>0</v>
      </c>
      <c r="IL47" s="24">
        <v>0</v>
      </c>
      <c r="IM47" s="24">
        <v>0</v>
      </c>
      <c r="IN47" s="24">
        <v>10640</v>
      </c>
      <c r="IO47" s="24">
        <v>0</v>
      </c>
      <c r="IP47" s="24">
        <v>0</v>
      </c>
      <c r="IQ47" s="24">
        <v>24875</v>
      </c>
      <c r="IR47" s="24">
        <v>0</v>
      </c>
      <c r="IS47" s="24">
        <v>0</v>
      </c>
      <c r="IT47" s="24">
        <v>0</v>
      </c>
      <c r="IU47" s="24">
        <v>0</v>
      </c>
      <c r="IV47" s="24">
        <v>0</v>
      </c>
      <c r="IW47" s="24">
        <v>0</v>
      </c>
      <c r="IX47" s="24">
        <v>0</v>
      </c>
      <c r="IY47" s="24">
        <v>0</v>
      </c>
      <c r="IZ47" s="24">
        <v>0</v>
      </c>
      <c r="JA47" s="24">
        <v>0</v>
      </c>
      <c r="JB47" s="24">
        <v>37548</v>
      </c>
      <c r="JC47" s="24">
        <v>0</v>
      </c>
      <c r="JD47" s="24">
        <v>0</v>
      </c>
      <c r="JE47" s="24">
        <v>0</v>
      </c>
      <c r="JF47" s="24">
        <v>0</v>
      </c>
      <c r="JG47" s="24">
        <v>0</v>
      </c>
      <c r="JH47" s="24">
        <v>0</v>
      </c>
      <c r="JI47" s="24">
        <v>0</v>
      </c>
      <c r="JJ47" s="24">
        <v>0</v>
      </c>
      <c r="JK47" s="24">
        <v>0</v>
      </c>
      <c r="JL47" s="24">
        <v>0</v>
      </c>
      <c r="JM47" s="24">
        <v>0</v>
      </c>
      <c r="JN47" s="24">
        <v>0</v>
      </c>
      <c r="JO47" s="24">
        <v>0</v>
      </c>
      <c r="JP47" s="24">
        <v>0</v>
      </c>
      <c r="JQ47" s="24">
        <v>0</v>
      </c>
      <c r="JR47" s="24">
        <v>0</v>
      </c>
      <c r="JS47" s="24">
        <v>0</v>
      </c>
      <c r="JT47" s="24">
        <v>0</v>
      </c>
      <c r="JU47" s="24">
        <v>0</v>
      </c>
      <c r="JV47" s="24">
        <v>0</v>
      </c>
      <c r="JW47" s="24">
        <v>0</v>
      </c>
      <c r="JX47" s="24">
        <v>0</v>
      </c>
      <c r="JY47" s="24">
        <v>0</v>
      </c>
      <c r="JZ47" s="24">
        <v>0</v>
      </c>
      <c r="KA47" s="24">
        <v>0</v>
      </c>
      <c r="KB47" s="24">
        <v>0</v>
      </c>
      <c r="KC47" s="24">
        <v>0</v>
      </c>
      <c r="KD47" s="24">
        <v>0</v>
      </c>
      <c r="KE47" s="24">
        <v>0</v>
      </c>
      <c r="KF47" s="24">
        <v>0</v>
      </c>
      <c r="KG47" s="24">
        <v>46549</v>
      </c>
      <c r="KH47" s="24">
        <v>0</v>
      </c>
      <c r="KI47" s="24">
        <v>0</v>
      </c>
      <c r="KJ47" s="24">
        <v>0</v>
      </c>
      <c r="KK47" s="24">
        <v>0</v>
      </c>
      <c r="KL47" s="24">
        <v>0</v>
      </c>
      <c r="KM47" s="24">
        <v>0</v>
      </c>
      <c r="KN47" s="24">
        <v>0</v>
      </c>
      <c r="KO47" s="24">
        <v>0</v>
      </c>
      <c r="KP47" s="24">
        <v>0</v>
      </c>
      <c r="KQ47" s="24">
        <v>0</v>
      </c>
      <c r="KR47" s="24">
        <v>0</v>
      </c>
      <c r="KS47" s="24">
        <v>0</v>
      </c>
      <c r="KT47" s="24">
        <v>0</v>
      </c>
      <c r="KU47" s="24">
        <v>0</v>
      </c>
      <c r="KV47" s="24">
        <v>0</v>
      </c>
      <c r="KW47" s="24">
        <v>0</v>
      </c>
      <c r="KX47" s="24">
        <v>0</v>
      </c>
      <c r="KY47" s="24">
        <v>0</v>
      </c>
      <c r="KZ47" s="24">
        <v>0</v>
      </c>
      <c r="LA47" s="24">
        <v>0</v>
      </c>
      <c r="LB47" s="24">
        <v>0</v>
      </c>
      <c r="LC47" s="24">
        <v>0</v>
      </c>
      <c r="LD47" s="24">
        <v>0</v>
      </c>
      <c r="LE47" s="24">
        <v>0</v>
      </c>
      <c r="LF47" s="24">
        <v>0</v>
      </c>
      <c r="LG47" s="24">
        <v>0</v>
      </c>
      <c r="LH47" s="24">
        <v>0</v>
      </c>
      <c r="LI47" s="24">
        <v>0</v>
      </c>
      <c r="LJ47" s="24">
        <v>0</v>
      </c>
      <c r="LK47" s="24">
        <v>0</v>
      </c>
      <c r="LL47" s="24">
        <v>0</v>
      </c>
      <c r="LM47" s="24">
        <v>0</v>
      </c>
      <c r="LN47" s="24">
        <v>0</v>
      </c>
      <c r="LO47" s="24">
        <v>0</v>
      </c>
      <c r="LP47" s="24">
        <v>0</v>
      </c>
      <c r="LQ47" s="24">
        <v>106485</v>
      </c>
      <c r="LR47" s="24">
        <v>0</v>
      </c>
      <c r="LS47" s="24">
        <v>0</v>
      </c>
      <c r="LT47" s="24">
        <v>0</v>
      </c>
      <c r="LU47" s="24">
        <v>0</v>
      </c>
      <c r="LV47" s="24">
        <v>0</v>
      </c>
      <c r="LW47" s="24">
        <v>0</v>
      </c>
      <c r="LX47" s="24">
        <v>0</v>
      </c>
      <c r="LY47" s="24">
        <v>0</v>
      </c>
      <c r="LZ47" s="24">
        <v>0</v>
      </c>
      <c r="MA47" s="24">
        <v>0</v>
      </c>
      <c r="MB47" s="24">
        <v>0</v>
      </c>
      <c r="MC47" s="24">
        <v>0</v>
      </c>
      <c r="MD47" s="24">
        <v>0</v>
      </c>
      <c r="ME47" s="24">
        <v>0</v>
      </c>
      <c r="MF47" s="24">
        <v>0</v>
      </c>
      <c r="MG47" s="24">
        <v>0</v>
      </c>
      <c r="MH47" s="24">
        <v>0</v>
      </c>
      <c r="MI47" s="24">
        <v>0</v>
      </c>
      <c r="MJ47" s="24">
        <v>0</v>
      </c>
      <c r="MK47" s="24">
        <v>0</v>
      </c>
      <c r="ML47" s="24">
        <v>0</v>
      </c>
      <c r="MM47" s="24">
        <v>0</v>
      </c>
      <c r="MN47" s="24">
        <v>0</v>
      </c>
      <c r="MO47" s="24">
        <v>0</v>
      </c>
      <c r="MP47" s="24">
        <v>0</v>
      </c>
      <c r="MQ47" s="24">
        <v>0</v>
      </c>
      <c r="MR47" s="24">
        <v>0</v>
      </c>
      <c r="MS47" s="24">
        <v>0</v>
      </c>
      <c r="MT47" s="24">
        <v>0</v>
      </c>
      <c r="MU47" s="24">
        <v>0</v>
      </c>
      <c r="MV47" s="24">
        <v>0</v>
      </c>
      <c r="MW47" s="24">
        <v>220854</v>
      </c>
      <c r="MX47" s="24">
        <v>7193</v>
      </c>
      <c r="MY47" s="24">
        <v>0</v>
      </c>
      <c r="MZ47" s="24">
        <v>0</v>
      </c>
      <c r="NA47" s="24">
        <v>0</v>
      </c>
      <c r="NB47" s="24">
        <v>0</v>
      </c>
      <c r="NC47" s="24">
        <v>0</v>
      </c>
      <c r="ND47" s="24">
        <v>0</v>
      </c>
      <c r="NE47" s="24">
        <v>0</v>
      </c>
      <c r="NF47" s="24">
        <v>0</v>
      </c>
      <c r="NG47" s="24">
        <v>0</v>
      </c>
      <c r="NH47" s="24">
        <v>0</v>
      </c>
      <c r="NI47" s="24">
        <v>0</v>
      </c>
      <c r="NJ47" s="24">
        <v>0</v>
      </c>
      <c r="NK47" s="24">
        <v>12232</v>
      </c>
      <c r="NL47" s="24">
        <v>0</v>
      </c>
      <c r="NM47" s="24">
        <v>0</v>
      </c>
      <c r="NN47" s="24">
        <v>0</v>
      </c>
      <c r="NO47" s="24">
        <v>0</v>
      </c>
      <c r="NP47" s="24">
        <v>0</v>
      </c>
      <c r="NQ47" s="24">
        <v>0</v>
      </c>
      <c r="NR47" s="24">
        <v>13397</v>
      </c>
      <c r="NS47" s="24">
        <v>0</v>
      </c>
      <c r="NT47" s="24">
        <v>0</v>
      </c>
      <c r="NU47" s="24">
        <v>0</v>
      </c>
      <c r="NV47" s="24">
        <v>22644</v>
      </c>
      <c r="NW47" s="24">
        <v>0</v>
      </c>
      <c r="NX47" s="24">
        <v>0</v>
      </c>
      <c r="NY47" s="24">
        <v>0</v>
      </c>
      <c r="NZ47" s="24">
        <v>0</v>
      </c>
      <c r="OA47" s="24">
        <v>0</v>
      </c>
      <c r="OB47" s="24">
        <v>0</v>
      </c>
      <c r="OC47" s="24">
        <v>0</v>
      </c>
      <c r="OD47" s="24">
        <v>0</v>
      </c>
      <c r="OE47" s="24">
        <v>0</v>
      </c>
      <c r="OF47" s="24">
        <v>0</v>
      </c>
      <c r="OG47" s="24">
        <v>0</v>
      </c>
      <c r="OH47" s="24">
        <v>0</v>
      </c>
      <c r="OI47" s="24">
        <v>0</v>
      </c>
      <c r="OJ47" s="24">
        <v>0</v>
      </c>
      <c r="OK47" s="24">
        <v>0</v>
      </c>
      <c r="OL47" s="24">
        <v>0</v>
      </c>
      <c r="OM47" s="24">
        <v>0</v>
      </c>
      <c r="ON47" s="24">
        <v>0</v>
      </c>
      <c r="OO47" s="24">
        <v>0</v>
      </c>
      <c r="OP47" s="24">
        <v>0</v>
      </c>
      <c r="OQ47" s="24">
        <v>0</v>
      </c>
      <c r="OR47" s="24">
        <v>0</v>
      </c>
      <c r="OS47" s="24">
        <v>0</v>
      </c>
      <c r="OT47" s="24">
        <v>0</v>
      </c>
      <c r="OU47" s="24">
        <v>0</v>
      </c>
      <c r="OV47" s="24">
        <v>0</v>
      </c>
      <c r="OW47" s="24">
        <v>0</v>
      </c>
      <c r="OX47" s="24">
        <v>0</v>
      </c>
      <c r="OY47" s="24">
        <v>0</v>
      </c>
      <c r="OZ47" s="24">
        <v>0</v>
      </c>
      <c r="PA47" s="24">
        <v>0</v>
      </c>
      <c r="PB47" s="24">
        <v>0</v>
      </c>
      <c r="PC47" s="24">
        <v>0</v>
      </c>
      <c r="PD47" s="24">
        <v>0</v>
      </c>
      <c r="PE47" s="24">
        <v>0</v>
      </c>
      <c r="PF47" s="24">
        <v>0</v>
      </c>
      <c r="PG47" s="24">
        <v>0</v>
      </c>
      <c r="PH47" s="24">
        <v>0</v>
      </c>
      <c r="PI47" s="24">
        <v>0</v>
      </c>
      <c r="PJ47" s="24">
        <v>0</v>
      </c>
      <c r="PK47" s="24">
        <v>0</v>
      </c>
      <c r="PL47" s="24">
        <v>0</v>
      </c>
      <c r="PM47" s="24">
        <v>0</v>
      </c>
      <c r="PN47" s="24">
        <v>0</v>
      </c>
      <c r="PO47" s="24">
        <v>0</v>
      </c>
      <c r="PP47" s="24">
        <v>0</v>
      </c>
      <c r="PQ47" s="24">
        <v>0</v>
      </c>
      <c r="PR47" s="24">
        <v>0</v>
      </c>
      <c r="PS47" s="24">
        <v>0</v>
      </c>
      <c r="PT47" s="24">
        <v>0</v>
      </c>
      <c r="PU47" s="24">
        <v>0</v>
      </c>
      <c r="PV47" s="24">
        <v>0</v>
      </c>
      <c r="PW47" s="24">
        <v>0</v>
      </c>
      <c r="PX47" s="24">
        <v>0</v>
      </c>
      <c r="PY47" s="24">
        <v>0</v>
      </c>
      <c r="PZ47" s="24">
        <v>0</v>
      </c>
      <c r="QA47" s="24">
        <v>0</v>
      </c>
      <c r="QB47" s="24">
        <v>0</v>
      </c>
      <c r="QC47" s="24">
        <v>0</v>
      </c>
      <c r="QD47" s="24">
        <v>0</v>
      </c>
      <c r="QE47" s="24">
        <v>0</v>
      </c>
      <c r="QF47" s="24">
        <v>0</v>
      </c>
      <c r="QG47" s="24">
        <v>0</v>
      </c>
      <c r="QH47" s="24">
        <v>0</v>
      </c>
      <c r="QI47" s="24">
        <v>0</v>
      </c>
      <c r="QJ47" s="24">
        <v>0</v>
      </c>
      <c r="QK47" s="24">
        <v>0</v>
      </c>
      <c r="QL47" s="24">
        <v>0</v>
      </c>
      <c r="QM47" s="24">
        <v>0</v>
      </c>
      <c r="QN47" s="24">
        <v>0</v>
      </c>
      <c r="QO47" s="24">
        <v>0</v>
      </c>
      <c r="QP47" s="24">
        <v>0</v>
      </c>
      <c r="QQ47" s="24">
        <v>0</v>
      </c>
      <c r="QR47" s="24">
        <v>0</v>
      </c>
      <c r="QS47" s="24">
        <v>40787</v>
      </c>
      <c r="QT47" s="24">
        <v>0</v>
      </c>
      <c r="QU47" s="24">
        <v>0</v>
      </c>
      <c r="QV47" s="24">
        <v>0</v>
      </c>
      <c r="QW47" s="24">
        <v>32664</v>
      </c>
      <c r="QX47" s="24">
        <v>0</v>
      </c>
      <c r="QY47" s="24">
        <v>0</v>
      </c>
      <c r="QZ47" s="24">
        <v>0</v>
      </c>
      <c r="RA47" s="24">
        <v>0</v>
      </c>
      <c r="RB47" s="24">
        <v>0</v>
      </c>
      <c r="RG47" s="39">
        <f t="shared" si="126"/>
        <v>3574035</v>
      </c>
      <c r="RH47" s="39">
        <f t="shared" si="126"/>
        <v>197372</v>
      </c>
      <c r="RI47" s="39">
        <f t="shared" si="126"/>
        <v>0</v>
      </c>
      <c r="RJ47" s="39">
        <f t="shared" si="126"/>
        <v>287013</v>
      </c>
      <c r="RK47" s="39">
        <f t="shared" si="126"/>
        <v>0</v>
      </c>
      <c r="RL47" s="39">
        <f t="shared" si="126"/>
        <v>476781</v>
      </c>
      <c r="RM47" s="39">
        <f t="shared" si="126"/>
        <v>247480</v>
      </c>
      <c r="RN47" s="39">
        <f t="shared" si="126"/>
        <v>10640</v>
      </c>
      <c r="RO47" s="39">
        <f t="shared" si="126"/>
        <v>24875</v>
      </c>
      <c r="RP47" s="39">
        <f t="shared" si="126"/>
        <v>0</v>
      </c>
      <c r="RQ47" s="39">
        <f t="shared" si="126"/>
        <v>37548</v>
      </c>
      <c r="RR47" s="39">
        <f t="shared" si="126"/>
        <v>0</v>
      </c>
      <c r="RS47" s="39"/>
      <c r="RT47" s="182"/>
      <c r="RU47" s="39"/>
      <c r="RV47" s="39">
        <f t="shared" si="127"/>
        <v>429354</v>
      </c>
      <c r="RW47" s="39">
        <f t="shared" si="127"/>
        <v>4855744</v>
      </c>
      <c r="RX47" s="39">
        <f t="shared" si="127"/>
        <v>1838726</v>
      </c>
      <c r="RY47" s="39">
        <f t="shared" si="127"/>
        <v>73451</v>
      </c>
      <c r="RZ47" s="39"/>
      <c r="SA47" s="182"/>
      <c r="SB47" s="39"/>
      <c r="SC47" s="25">
        <f t="shared" si="50"/>
        <v>2387.9558441558443</v>
      </c>
      <c r="SD47" s="39">
        <f>IFERROR(VLOOKUP(A47, 'Levy Data 15-16'!$B:$O, 3, FALSE), 0)</f>
        <v>593404312</v>
      </c>
      <c r="SE47" s="39">
        <f t="shared" si="88"/>
        <v>770654.95064935065</v>
      </c>
      <c r="SF47" s="631">
        <f>IFERROR(VLOOKUP(A47, 'Levy Data 15-16'!$B:$O, 14, FALSE), 0)*1000</f>
        <v>2.4155610000000003</v>
      </c>
      <c r="SG47" s="39">
        <f t="shared" si="89"/>
        <v>0</v>
      </c>
      <c r="SH47" s="39">
        <f t="shared" si="90"/>
        <v>0</v>
      </c>
      <c r="SI47" s="39">
        <f t="shared" si="91"/>
        <v>1838726</v>
      </c>
      <c r="SM47" s="39">
        <f t="shared" si="92"/>
        <v>4855744</v>
      </c>
      <c r="SN47" s="39">
        <f t="shared" si="93"/>
        <v>0</v>
      </c>
      <c r="SO47" s="39">
        <f t="shared" si="51"/>
        <v>4855744</v>
      </c>
      <c r="SP47" s="50">
        <f t="shared" si="52"/>
        <v>1</v>
      </c>
      <c r="ST47" s="124">
        <f>IFERROR(VLOOKUP(A47,'Grade Enroll 15-16'!B:AC,27,FALSE),"")</f>
        <v>770</v>
      </c>
      <c r="SU47" s="124">
        <f t="shared" si="53"/>
        <v>269.28961748633878</v>
      </c>
      <c r="SV47" s="131">
        <f>IFERROR(VLOOKUP($A47, 'Title I Enroll 16-17'!S:V, 4, FALSE), 0)</f>
        <v>0.34972677595628415</v>
      </c>
      <c r="SW47" s="729">
        <f>IFERROR(VLOOKUP(A47, 'ELL Enroll 15-16'!$N:$S, 6, FALSE), 0)</f>
        <v>5</v>
      </c>
      <c r="SX47" s="131">
        <f t="shared" si="54"/>
        <v>6.4935064935064939E-3</v>
      </c>
      <c r="SY47" s="124">
        <f>IFERROR(VLOOKUP(A47, 'SPED enroll 2015-16'!$M:$O, 3, FALSE), 0)</f>
        <v>92</v>
      </c>
      <c r="SZ47" s="131">
        <f t="shared" si="55"/>
        <v>0.11948051948051948</v>
      </c>
      <c r="TA47" s="142">
        <f t="shared" si="87"/>
        <v>64.399999999999991</v>
      </c>
      <c r="TB47" s="142">
        <f t="shared" si="87"/>
        <v>18.400000000000002</v>
      </c>
      <c r="TC47" s="142">
        <f t="shared" si="87"/>
        <v>6.44</v>
      </c>
      <c r="TD47" s="142">
        <f t="shared" si="87"/>
        <v>2.76</v>
      </c>
      <c r="TE47" s="124">
        <f>VLOOKUP($A47, 'Grade Enroll 15-16'!$B:$AB, 20, FALSE)</f>
        <v>16</v>
      </c>
      <c r="TF47" s="124">
        <f>VLOOKUP($A47, 'Grade Enroll 15-16'!$B:$AB, 21, FALSE)</f>
        <v>64</v>
      </c>
      <c r="TG47" s="124">
        <f>VLOOKUP($A47, 'Grade Enroll 15-16'!$B:$AB, 22, FALSE)</f>
        <v>195</v>
      </c>
      <c r="TH47" s="124">
        <f>VLOOKUP($A47, 'Grade Enroll 15-16'!$B:$AB, 23, FALSE)</f>
        <v>194</v>
      </c>
      <c r="TI47" s="124">
        <f>VLOOKUP($A47, 'Grade Enroll 15-16'!$B:$AB, 24, FALSE)</f>
        <v>133</v>
      </c>
      <c r="TJ47" s="124">
        <f>VLOOKUP($A47, 'Grade Enroll 15-16'!$B:$AB, 25, FALSE)</f>
        <v>248</v>
      </c>
      <c r="TK47" s="124">
        <f>VLOOKUP($A47, 'Grade Enroll 15-16'!$B:$AB, 26, FALSE)</f>
        <v>528</v>
      </c>
      <c r="TL47" s="131">
        <f>SUMIFS('Student Achievement 15-16'!N:N, 'Student Achievement 15-16'!B:B, 'Idaho Data'!A47, 'Student Achievement 15-16'!D:D, "math")/100</f>
        <v>0.309</v>
      </c>
      <c r="TM47" s="134">
        <f t="shared" si="57"/>
        <v>237.93</v>
      </c>
      <c r="TN47" s="131">
        <f>SUMIFS('Student Achievement 15-16'!N:N, 'Student Achievement 15-16'!B:B, 'Idaho Data'!A47, 'Student Achievement 15-16'!D:D, "ela")/100</f>
        <v>0.29499999999999998</v>
      </c>
      <c r="TO47" s="134">
        <f t="shared" si="58"/>
        <v>227.14999999999998</v>
      </c>
      <c r="TP47" s="688">
        <f>IFERROR(VLOOKUP(A47, 'G&amp;T 15-16'!B:G, 6, FALSE), 0)*1</f>
        <v>28</v>
      </c>
      <c r="TQ47" s="168">
        <f t="shared" si="59"/>
        <v>46.199999999999996</v>
      </c>
      <c r="TU47" s="168">
        <f t="shared" si="60"/>
        <v>227.14999999999998</v>
      </c>
      <c r="TV47" s="168">
        <f t="shared" si="61"/>
        <v>237.93</v>
      </c>
      <c r="TW47" s="205">
        <f t="shared" si="62"/>
        <v>237.93</v>
      </c>
      <c r="TX47" s="144"/>
      <c r="TY47" s="129"/>
      <c r="TZ47" s="127">
        <f t="shared" si="63"/>
        <v>28</v>
      </c>
      <c r="UA47" s="127">
        <f t="shared" si="64"/>
        <v>46.199999999999996</v>
      </c>
      <c r="UB47" s="205">
        <f t="shared" si="65"/>
        <v>46.199999999999996</v>
      </c>
      <c r="UE47" s="853" t="str">
        <f>IF(ST47&lt;='1. Simulator Input'!$E$104, "yes", "")</f>
        <v/>
      </c>
      <c r="UI47" s="199">
        <f t="shared" si="66"/>
        <v>0</v>
      </c>
      <c r="UJ47" s="200">
        <f>IF('Idaho Data'!SI47&gt;=0, ((1-'1. Simulator Input'!$E$39)*'Idaho Data'!SI47), 0)</f>
        <v>0</v>
      </c>
      <c r="UK47" s="200">
        <f t="shared" si="67"/>
        <v>4855744</v>
      </c>
      <c r="UL47" s="39"/>
      <c r="UM47" s="182"/>
      <c r="UN47" s="39"/>
      <c r="UO47" s="39" t="str">
        <f>IF(AND('1. Simulator Input'!$E$96="yes", '1. Simulator Input'!$E$98="yes", '1. Simulator Input'!$E$100="hold harmless"), 'Idaho Data'!WN47, IF(AND('1. Simulator Input'!$E$96="yes", '1. Simulator Input'!$E$98="no", '1. Simulator Input'!$E$100="hold harmless"), 'Idaho Data'!WM47, IF(AND('1. Simulator Input'!$E$96="yes", '1. Simulator Input'!$E$98="yes", '1. Simulator Input'!$E$100="small district grant"), WL47,IF(AND('1. Simulator Input'!$E$96="yes", '1. Simulator Input'!$E$98="no", '1. Simulator Input'!$E$100="small district grant"), WK47, ""))))</f>
        <v/>
      </c>
      <c r="UP47" s="200">
        <f>'1. Simulator Input'!$D$56*('Idaho Data'!ST47)</f>
        <v>4255020</v>
      </c>
      <c r="UQ47" s="204">
        <f>'1. Simulator Input'!$D$65*'1. Simulator Input'!$D$56*'Idaho Data'!SU47</f>
        <v>0</v>
      </c>
      <c r="UR47" s="204">
        <f>'1. Simulator Input'!$D$66*'1. Simulator Input'!$D$56*'Idaho Data'!SW47</f>
        <v>0</v>
      </c>
      <c r="US47" s="200">
        <f>'1. Simulator Input'!$D$67*'1. Simulator Input'!$D$56*'Idaho Data'!TA47</f>
        <v>0</v>
      </c>
      <c r="UT47" s="200">
        <f>'1. Simulator Input'!$D$68*'1. Simulator Input'!$D$56*'Idaho Data'!TB47</f>
        <v>0</v>
      </c>
      <c r="UU47" s="200">
        <f>'1. Simulator Input'!$D$69*'1. Simulator Input'!$D$56*'Idaho Data'!TC47</f>
        <v>0</v>
      </c>
      <c r="UV47" s="200">
        <f>'1. Simulator Input'!$D$70*'1. Simulator Input'!$D$56*TD47</f>
        <v>0</v>
      </c>
      <c r="UW47" s="200">
        <f>'1. Simulator Input'!$D$80*'1. Simulator Input'!$D$56*TW47</f>
        <v>0</v>
      </c>
      <c r="UX47" s="200">
        <f>'1. Simulator Input'!$D$79*'1. Simulator Input'!$D$56*UB47</f>
        <v>0</v>
      </c>
      <c r="UY47" s="200">
        <f>'1. Simulator Input'!$D$87*'1. Simulator Input'!$D$56*TF47</f>
        <v>176832</v>
      </c>
      <c r="UZ47" s="200">
        <f>'1. Simulator Input'!$D$73*'1. Simulator Input'!$D$56*'Idaho Data'!TG47</f>
        <v>0</v>
      </c>
      <c r="VA47" s="200">
        <f>'1. Simulator Input'!$D$56*'1. Simulator Input'!$D$74*'Idaho Data'!TH47</f>
        <v>0</v>
      </c>
      <c r="VB47" s="200">
        <f>'1. Simulator Input'!$D$56*'1. Simulator Input'!$D$75*'Idaho Data'!TI42</f>
        <v>0</v>
      </c>
      <c r="VC47" s="200">
        <f>'1. Simulator Input'!$D$76*'1. Simulator Input'!$D$56*'Idaho Data'!TJ47</f>
        <v>0</v>
      </c>
      <c r="VD47" s="200">
        <f t="shared" si="68"/>
        <v>4431852</v>
      </c>
      <c r="VE47" s="200"/>
      <c r="VF47" s="182"/>
      <c r="VG47" s="200"/>
      <c r="VH47" s="200">
        <f t="shared" si="69"/>
        <v>0</v>
      </c>
      <c r="VI47" s="200">
        <f t="shared" si="70"/>
        <v>0</v>
      </c>
      <c r="VJ47" s="200">
        <f t="shared" si="94"/>
        <v>4431852</v>
      </c>
      <c r="VK47" s="200">
        <f t="shared" si="95"/>
        <v>4431852</v>
      </c>
      <c r="VL47" s="200"/>
      <c r="VM47" s="182"/>
      <c r="VN47" s="200"/>
      <c r="VO47" s="200">
        <f t="shared" si="71"/>
        <v>429354</v>
      </c>
      <c r="VP47" s="200">
        <f t="shared" si="72"/>
        <v>4855744</v>
      </c>
      <c r="VQ47" s="200">
        <f t="shared" si="73"/>
        <v>1838726</v>
      </c>
      <c r="VR47" s="200">
        <f t="shared" si="74"/>
        <v>429354</v>
      </c>
      <c r="VS47" s="200">
        <f t="shared" si="96"/>
        <v>4431852</v>
      </c>
      <c r="VT47" s="200">
        <f t="shared" si="97"/>
        <v>1838726</v>
      </c>
      <c r="VU47" s="200">
        <f t="shared" si="98"/>
        <v>0</v>
      </c>
      <c r="VV47" s="200"/>
      <c r="VW47" s="182"/>
      <c r="VX47" s="200"/>
      <c r="VZ47" s="199">
        <f t="shared" si="75"/>
        <v>-423892</v>
      </c>
      <c r="WA47" s="199">
        <f t="shared" si="76"/>
        <v>-550.5090909090909</v>
      </c>
      <c r="WB47" s="131">
        <f t="shared" si="77"/>
        <v>-8.7297023895823167E-2</v>
      </c>
      <c r="WC47" s="131"/>
      <c r="WD47" s="461"/>
      <c r="WE47" s="893"/>
      <c r="WF47" s="893">
        <f t="shared" si="78"/>
        <v>9251.7194805194813</v>
      </c>
      <c r="WG47" s="893">
        <f t="shared" si="79"/>
        <v>8701.210389610389</v>
      </c>
      <c r="WH47" s="893"/>
      <c r="WI47" s="893">
        <f t="shared" si="80"/>
        <v>4855744</v>
      </c>
      <c r="WJ47" s="893">
        <f t="shared" si="99"/>
        <v>4431852</v>
      </c>
      <c r="WK47" s="39" t="str">
        <f t="shared" si="100"/>
        <v/>
      </c>
      <c r="WL47" s="39" t="str">
        <f t="shared" si="101"/>
        <v/>
      </c>
      <c r="WM47" s="200" t="str">
        <f t="shared" si="102"/>
        <v/>
      </c>
      <c r="WN47" s="39" t="str">
        <f t="shared" si="103"/>
        <v/>
      </c>
      <c r="WO47" s="39"/>
      <c r="WP47" s="182"/>
      <c r="WQ47" s="39"/>
      <c r="WR47" s="305">
        <f t="shared" si="104"/>
        <v>0.72799999999999998</v>
      </c>
      <c r="WT47" s="200">
        <f t="shared" si="105"/>
        <v>6306.1610389610387</v>
      </c>
      <c r="WU47" s="131">
        <f t="shared" si="81"/>
        <v>0.48</v>
      </c>
      <c r="WW47" s="199">
        <f t="shared" si="106"/>
        <v>429354</v>
      </c>
      <c r="WX47" s="199">
        <f t="shared" si="107"/>
        <v>4431852</v>
      </c>
      <c r="WY47" s="199">
        <f t="shared" si="108"/>
        <v>0</v>
      </c>
      <c r="WZ47" s="199">
        <f t="shared" si="82"/>
        <v>4431852</v>
      </c>
      <c r="XA47" s="199">
        <f t="shared" si="109"/>
        <v>0</v>
      </c>
      <c r="XB47" s="199">
        <f t="shared" si="110"/>
        <v>1838726</v>
      </c>
      <c r="XC47" s="199">
        <f t="shared" si="111"/>
        <v>1838726</v>
      </c>
      <c r="XD47" s="199" t="str">
        <f t="shared" si="112"/>
        <v/>
      </c>
      <c r="XE47" s="199"/>
      <c r="XF47" s="199"/>
      <c r="XG47" s="199"/>
      <c r="XH47" s="199"/>
      <c r="XI47" s="199"/>
      <c r="XJ47" s="199">
        <f t="shared" si="83"/>
        <v>4431852</v>
      </c>
      <c r="XP47" s="199">
        <f t="shared" si="113"/>
        <v>4431852</v>
      </c>
      <c r="XQ47" s="199">
        <f t="shared" si="114"/>
        <v>5755.6519480519482</v>
      </c>
      <c r="XR47" s="199">
        <f t="shared" si="115"/>
        <v>4431852</v>
      </c>
      <c r="XS47" s="199">
        <f t="shared" si="116"/>
        <v>4431852</v>
      </c>
      <c r="XT47" s="199">
        <f t="shared" si="117"/>
        <v>5755.6519480519482</v>
      </c>
      <c r="XU47" s="199">
        <f t="shared" si="118"/>
        <v>4855744</v>
      </c>
      <c r="XV47" s="199">
        <f t="shared" si="119"/>
        <v>6306.1610389610387</v>
      </c>
      <c r="XW47" s="199">
        <f t="shared" si="120"/>
        <v>4855744</v>
      </c>
      <c r="XX47" s="199">
        <f t="shared" si="121"/>
        <v>6306.1610389610387</v>
      </c>
      <c r="XY47" s="199">
        <f t="shared" si="84"/>
        <v>-423892</v>
      </c>
      <c r="XZ47" s="199">
        <f t="shared" si="85"/>
        <v>-550.50909090909045</v>
      </c>
      <c r="YA47" s="131">
        <f t="shared" si="86"/>
        <v>-8.7297023895823098E-2</v>
      </c>
      <c r="YB47" s="199"/>
      <c r="YC47" s="221"/>
      <c r="YD47" s="199"/>
      <c r="YE47" s="199">
        <f t="shared" si="122"/>
        <v>429354</v>
      </c>
      <c r="YF47" s="200">
        <f t="shared" si="123"/>
        <v>0</v>
      </c>
      <c r="YG47" s="199">
        <f t="shared" si="124"/>
        <v>1838726</v>
      </c>
      <c r="YH47" s="199">
        <f t="shared" si="125"/>
        <v>73451</v>
      </c>
    </row>
    <row r="48" spans="1:658">
      <c r="A48" s="3">
        <v>151</v>
      </c>
      <c r="B48" s="2" t="s">
        <v>141</v>
      </c>
      <c r="C48" s="24">
        <v>731023</v>
      </c>
      <c r="D48" s="24">
        <v>0</v>
      </c>
      <c r="E48" s="24">
        <v>0</v>
      </c>
      <c r="F48" s="24">
        <v>0</v>
      </c>
      <c r="G48" s="24">
        <v>0</v>
      </c>
      <c r="H48" s="24">
        <v>0</v>
      </c>
      <c r="I48" s="24">
        <v>0</v>
      </c>
      <c r="J48" s="24">
        <v>0</v>
      </c>
      <c r="K48" s="24">
        <v>0</v>
      </c>
      <c r="L48" s="24">
        <v>0</v>
      </c>
      <c r="M48" s="24">
        <v>179912</v>
      </c>
      <c r="N48" s="24">
        <v>0</v>
      </c>
      <c r="O48" s="24">
        <v>0</v>
      </c>
      <c r="P48" s="24">
        <v>0</v>
      </c>
      <c r="Q48" s="24">
        <v>0</v>
      </c>
      <c r="R48" s="24">
        <v>2183259</v>
      </c>
      <c r="S48" s="24">
        <v>0</v>
      </c>
      <c r="T48" s="24">
        <v>1144080</v>
      </c>
      <c r="U48" s="24">
        <v>0</v>
      </c>
      <c r="V48" s="24">
        <v>0</v>
      </c>
      <c r="W48" s="24">
        <v>0</v>
      </c>
      <c r="X48" s="24">
        <v>0</v>
      </c>
      <c r="Y48" s="24">
        <v>3568</v>
      </c>
      <c r="Z48" s="24">
        <v>0</v>
      </c>
      <c r="AA48" s="24">
        <v>13273</v>
      </c>
      <c r="AB48" s="24">
        <v>5819</v>
      </c>
      <c r="AC48" s="24">
        <v>0</v>
      </c>
      <c r="AD48" s="24">
        <v>0</v>
      </c>
      <c r="AE48" s="24">
        <v>0</v>
      </c>
      <c r="AF48" s="24">
        <v>0</v>
      </c>
      <c r="AG48" s="24">
        <v>0</v>
      </c>
      <c r="AH48" s="24">
        <v>0</v>
      </c>
      <c r="AI48" s="24">
        <v>0</v>
      </c>
      <c r="AJ48" s="24">
        <v>1902</v>
      </c>
      <c r="AK48" s="24">
        <v>165924</v>
      </c>
      <c r="AL48" s="24">
        <v>29386</v>
      </c>
      <c r="AM48" s="24">
        <v>0</v>
      </c>
      <c r="AN48" s="24">
        <v>0</v>
      </c>
      <c r="AO48" s="24">
        <v>0</v>
      </c>
      <c r="AP48" s="24">
        <v>0</v>
      </c>
      <c r="AQ48" s="24">
        <v>0</v>
      </c>
      <c r="AR48" s="24">
        <v>0</v>
      </c>
      <c r="AS48" s="24">
        <v>0</v>
      </c>
      <c r="AT48" s="24">
        <v>0</v>
      </c>
      <c r="AU48" s="24">
        <v>0</v>
      </c>
      <c r="AV48" s="24">
        <v>0</v>
      </c>
      <c r="AW48" s="24">
        <v>0</v>
      </c>
      <c r="AX48" s="24">
        <v>0</v>
      </c>
      <c r="AY48" s="24">
        <v>0</v>
      </c>
      <c r="AZ48" s="24">
        <v>0</v>
      </c>
      <c r="BA48" s="24">
        <v>0</v>
      </c>
      <c r="BB48" s="24">
        <v>0</v>
      </c>
      <c r="BC48" s="24">
        <v>1724</v>
      </c>
      <c r="BD48" s="24">
        <v>9681</v>
      </c>
      <c r="BE48" s="24">
        <v>114357</v>
      </c>
      <c r="BF48" s="24">
        <v>2757</v>
      </c>
      <c r="BG48" s="24">
        <v>0</v>
      </c>
      <c r="BH48" s="24">
        <v>0</v>
      </c>
      <c r="BI48" s="24">
        <v>321</v>
      </c>
      <c r="BJ48" s="24">
        <v>0</v>
      </c>
      <c r="BK48" s="24">
        <v>0</v>
      </c>
      <c r="BL48" s="24">
        <v>815</v>
      </c>
      <c r="BM48" s="24">
        <v>1161</v>
      </c>
      <c r="BN48" s="24">
        <v>0</v>
      </c>
      <c r="BO48" s="24">
        <v>0</v>
      </c>
      <c r="BP48" s="24">
        <v>0</v>
      </c>
      <c r="BQ48" s="24">
        <v>0</v>
      </c>
      <c r="BR48" s="24">
        <v>0</v>
      </c>
      <c r="BS48" s="24">
        <v>0</v>
      </c>
      <c r="BT48" s="24">
        <v>0</v>
      </c>
      <c r="BU48" s="24">
        <v>0</v>
      </c>
      <c r="BV48" s="24">
        <v>0</v>
      </c>
      <c r="BW48" s="24">
        <v>0</v>
      </c>
      <c r="BX48" s="24">
        <v>0</v>
      </c>
      <c r="BY48" s="24">
        <v>0</v>
      </c>
      <c r="BZ48" s="24">
        <v>0</v>
      </c>
      <c r="CA48" s="24">
        <v>0</v>
      </c>
      <c r="CB48" s="24">
        <v>0</v>
      </c>
      <c r="CC48" s="24">
        <v>0</v>
      </c>
      <c r="CD48" s="24">
        <v>270747</v>
      </c>
      <c r="CE48" s="24">
        <v>25936</v>
      </c>
      <c r="CF48" s="24">
        <v>0</v>
      </c>
      <c r="CG48" s="24">
        <v>0</v>
      </c>
      <c r="CH48" s="24">
        <v>0</v>
      </c>
      <c r="CI48" s="24">
        <v>0</v>
      </c>
      <c r="CJ48" s="24">
        <v>0</v>
      </c>
      <c r="CK48" s="24">
        <v>0</v>
      </c>
      <c r="CL48" s="24">
        <v>0</v>
      </c>
      <c r="CM48" s="24">
        <v>0</v>
      </c>
      <c r="CN48" s="24">
        <v>0</v>
      </c>
      <c r="CO48" s="24">
        <v>0</v>
      </c>
      <c r="CP48" s="24">
        <v>0</v>
      </c>
      <c r="CQ48" s="24">
        <v>0</v>
      </c>
      <c r="CR48" s="24">
        <v>0</v>
      </c>
      <c r="CS48" s="24">
        <v>800</v>
      </c>
      <c r="CT48" s="24">
        <v>0</v>
      </c>
      <c r="CU48" s="24">
        <v>0</v>
      </c>
      <c r="CV48" s="24">
        <v>0</v>
      </c>
      <c r="CW48" s="24">
        <v>0</v>
      </c>
      <c r="CX48" s="24">
        <v>0</v>
      </c>
      <c r="CY48" s="24">
        <v>0</v>
      </c>
      <c r="CZ48" s="24">
        <v>0</v>
      </c>
      <c r="DA48" s="24">
        <v>0</v>
      </c>
      <c r="DB48" s="24">
        <v>32280</v>
      </c>
      <c r="DC48" s="24">
        <v>0</v>
      </c>
      <c r="DD48" s="24">
        <v>0</v>
      </c>
      <c r="DE48" s="24">
        <v>0</v>
      </c>
      <c r="DF48" s="24">
        <v>0</v>
      </c>
      <c r="DG48" s="24">
        <v>0</v>
      </c>
      <c r="DH48" s="24">
        <v>0</v>
      </c>
      <c r="DI48" s="24">
        <v>0</v>
      </c>
      <c r="DJ48" s="24">
        <v>0</v>
      </c>
      <c r="DK48" s="24">
        <v>0</v>
      </c>
      <c r="DL48" s="24">
        <v>0</v>
      </c>
      <c r="DM48" s="24">
        <v>0</v>
      </c>
      <c r="DN48" s="24">
        <v>0</v>
      </c>
      <c r="DO48" s="24">
        <v>0</v>
      </c>
      <c r="DP48" s="24">
        <v>0</v>
      </c>
      <c r="DQ48" s="24">
        <v>0</v>
      </c>
      <c r="DR48" s="24">
        <v>0</v>
      </c>
      <c r="DS48" s="24">
        <v>0</v>
      </c>
      <c r="DT48" s="24">
        <v>0</v>
      </c>
      <c r="DU48" s="24">
        <v>32778</v>
      </c>
      <c r="DV48" s="24">
        <v>0</v>
      </c>
      <c r="DW48" s="24">
        <v>0</v>
      </c>
      <c r="DX48" s="24">
        <v>0</v>
      </c>
      <c r="DY48" s="24">
        <v>0</v>
      </c>
      <c r="DZ48" s="24">
        <v>0</v>
      </c>
      <c r="EA48" s="24">
        <v>0</v>
      </c>
      <c r="EB48" s="24">
        <v>2100</v>
      </c>
      <c r="EC48" s="24">
        <v>0</v>
      </c>
      <c r="ED48" s="24">
        <v>0</v>
      </c>
      <c r="EE48" s="24">
        <v>114</v>
      </c>
      <c r="EF48" s="24">
        <v>0</v>
      </c>
      <c r="EG48" s="24">
        <v>102150</v>
      </c>
      <c r="EH48" s="24">
        <v>0</v>
      </c>
      <c r="EI48" s="24">
        <v>0</v>
      </c>
      <c r="EJ48" s="24">
        <v>0</v>
      </c>
      <c r="EK48" s="24">
        <v>0</v>
      </c>
      <c r="EL48" s="24">
        <v>0</v>
      </c>
      <c r="EM48" s="24">
        <v>0</v>
      </c>
      <c r="EN48" s="24">
        <v>0</v>
      </c>
      <c r="EO48" s="24">
        <v>0</v>
      </c>
      <c r="EP48" s="24">
        <v>0</v>
      </c>
      <c r="EQ48" s="24">
        <v>0</v>
      </c>
      <c r="ER48" s="24">
        <v>0</v>
      </c>
      <c r="ES48" s="24">
        <v>0</v>
      </c>
      <c r="ET48" s="24">
        <v>0</v>
      </c>
      <c r="EU48" s="24">
        <v>0</v>
      </c>
      <c r="EV48" s="24">
        <v>0</v>
      </c>
      <c r="EW48" s="24">
        <v>0</v>
      </c>
      <c r="EX48" s="24">
        <v>0</v>
      </c>
      <c r="EY48" s="24">
        <v>0</v>
      </c>
      <c r="EZ48" s="24">
        <v>0</v>
      </c>
      <c r="FA48" s="24">
        <v>0</v>
      </c>
      <c r="FB48" s="24">
        <v>3765</v>
      </c>
      <c r="FC48" s="24">
        <v>0</v>
      </c>
      <c r="FD48" s="24">
        <v>0</v>
      </c>
      <c r="FE48" s="24">
        <v>0</v>
      </c>
      <c r="FF48" s="24">
        <v>0</v>
      </c>
      <c r="FG48" s="24">
        <v>0</v>
      </c>
      <c r="FH48" s="24">
        <v>0</v>
      </c>
      <c r="FI48" s="24">
        <v>0</v>
      </c>
      <c r="FJ48" s="24">
        <v>0</v>
      </c>
      <c r="FK48" s="24">
        <v>0</v>
      </c>
      <c r="FL48" s="24">
        <v>61103</v>
      </c>
      <c r="FM48" s="24">
        <v>0</v>
      </c>
      <c r="FN48" s="24">
        <v>0</v>
      </c>
      <c r="FO48" s="24">
        <v>0</v>
      </c>
      <c r="FP48" s="24">
        <v>0</v>
      </c>
      <c r="FQ48" s="24">
        <v>0</v>
      </c>
      <c r="FR48" s="24">
        <v>0</v>
      </c>
      <c r="FS48" s="24">
        <v>202741</v>
      </c>
      <c r="FT48" s="24">
        <v>0</v>
      </c>
      <c r="FU48" s="24">
        <v>0</v>
      </c>
      <c r="FV48" s="24">
        <v>0</v>
      </c>
      <c r="FW48" s="24">
        <v>0</v>
      </c>
      <c r="FX48" s="24">
        <v>0</v>
      </c>
      <c r="FY48" s="24">
        <v>0</v>
      </c>
      <c r="FZ48" s="24">
        <v>313786</v>
      </c>
      <c r="GA48" s="24">
        <v>0</v>
      </c>
      <c r="GB48" s="24">
        <v>0</v>
      </c>
      <c r="GC48" s="24">
        <v>0</v>
      </c>
      <c r="GD48" s="24">
        <v>0</v>
      </c>
      <c r="GE48" s="24">
        <v>0</v>
      </c>
      <c r="GF48" s="24">
        <v>0</v>
      </c>
      <c r="GG48" s="24">
        <v>0</v>
      </c>
      <c r="GH48" s="24">
        <v>0</v>
      </c>
      <c r="GI48" s="24">
        <v>0</v>
      </c>
      <c r="GJ48" s="24">
        <v>0</v>
      </c>
      <c r="GK48" s="24">
        <v>0</v>
      </c>
      <c r="GL48" s="24">
        <v>0</v>
      </c>
      <c r="GM48" s="24">
        <v>0</v>
      </c>
      <c r="GN48" s="24">
        <v>0</v>
      </c>
      <c r="GO48" s="24">
        <v>0</v>
      </c>
      <c r="GP48" s="24">
        <v>0</v>
      </c>
      <c r="GQ48" s="24">
        <v>0</v>
      </c>
      <c r="GR48" s="24">
        <v>0</v>
      </c>
      <c r="GS48" s="24">
        <v>0</v>
      </c>
      <c r="GT48" s="24">
        <v>0</v>
      </c>
      <c r="GU48" s="24">
        <v>23171</v>
      </c>
      <c r="GV48" s="24">
        <v>0</v>
      </c>
      <c r="GW48" s="24">
        <v>0</v>
      </c>
      <c r="GX48" s="24">
        <v>0</v>
      </c>
      <c r="GY48" s="24">
        <v>0</v>
      </c>
      <c r="GZ48" s="24">
        <v>0</v>
      </c>
      <c r="HA48" s="24">
        <v>0</v>
      </c>
      <c r="HB48" s="24">
        <v>0</v>
      </c>
      <c r="HC48" s="24">
        <v>0</v>
      </c>
      <c r="HD48" s="24">
        <v>22192538</v>
      </c>
      <c r="HE48" s="24">
        <v>0</v>
      </c>
      <c r="HF48" s="24">
        <v>0</v>
      </c>
      <c r="HG48" s="24">
        <v>0</v>
      </c>
      <c r="HH48" s="24">
        <v>0</v>
      </c>
      <c r="HI48" s="24">
        <v>1219516</v>
      </c>
      <c r="HJ48" s="24">
        <v>0</v>
      </c>
      <c r="HK48" s="24">
        <v>0</v>
      </c>
      <c r="HL48" s="24">
        <v>0</v>
      </c>
      <c r="HM48" s="24">
        <v>0</v>
      </c>
      <c r="HN48" s="24">
        <v>0</v>
      </c>
      <c r="HO48" s="24">
        <v>2960866</v>
      </c>
      <c r="HP48" s="24">
        <v>893497</v>
      </c>
      <c r="HQ48" s="24">
        <v>0</v>
      </c>
      <c r="HR48" s="24">
        <v>0</v>
      </c>
      <c r="HS48" s="24">
        <v>0</v>
      </c>
      <c r="HT48" s="24">
        <v>0</v>
      </c>
      <c r="HU48" s="24">
        <v>0</v>
      </c>
      <c r="HV48" s="24">
        <v>0</v>
      </c>
      <c r="HW48" s="24">
        <v>0</v>
      </c>
      <c r="HX48" s="24">
        <v>0</v>
      </c>
      <c r="HY48" s="24">
        <v>0</v>
      </c>
      <c r="HZ48" s="24">
        <v>0</v>
      </c>
      <c r="IA48" s="24">
        <v>289610</v>
      </c>
      <c r="IB48" s="24">
        <v>70154</v>
      </c>
      <c r="IC48" s="24">
        <v>0</v>
      </c>
      <c r="ID48" s="24">
        <v>0</v>
      </c>
      <c r="IE48" s="24">
        <v>0</v>
      </c>
      <c r="IF48" s="24">
        <v>0</v>
      </c>
      <c r="IG48" s="24">
        <v>0</v>
      </c>
      <c r="IH48" s="24">
        <v>0</v>
      </c>
      <c r="II48" s="24">
        <v>0</v>
      </c>
      <c r="IJ48" s="24">
        <v>1059653</v>
      </c>
      <c r="IK48" s="24">
        <v>0</v>
      </c>
      <c r="IL48" s="24">
        <v>0</v>
      </c>
      <c r="IM48" s="24">
        <v>0</v>
      </c>
      <c r="IN48" s="24">
        <v>0</v>
      </c>
      <c r="IO48" s="24">
        <v>37587</v>
      </c>
      <c r="IP48" s="24">
        <v>0</v>
      </c>
      <c r="IQ48" s="24">
        <v>618137</v>
      </c>
      <c r="IR48" s="24">
        <v>0</v>
      </c>
      <c r="IS48" s="24">
        <v>0</v>
      </c>
      <c r="IT48" s="24">
        <v>0</v>
      </c>
      <c r="IU48" s="24">
        <v>0</v>
      </c>
      <c r="IV48" s="24">
        <v>0</v>
      </c>
      <c r="IW48" s="24">
        <v>317370</v>
      </c>
      <c r="IX48" s="24">
        <v>0</v>
      </c>
      <c r="IY48" s="24">
        <v>0</v>
      </c>
      <c r="IZ48" s="24">
        <v>0</v>
      </c>
      <c r="JA48" s="24">
        <v>102650</v>
      </c>
      <c r="JB48" s="24">
        <v>151049</v>
      </c>
      <c r="JC48" s="24">
        <v>0</v>
      </c>
      <c r="JD48" s="24">
        <v>0</v>
      </c>
      <c r="JE48" s="24">
        <v>67202</v>
      </c>
      <c r="JF48" s="24">
        <v>0</v>
      </c>
      <c r="JG48" s="24">
        <v>0</v>
      </c>
      <c r="JH48" s="24">
        <v>0</v>
      </c>
      <c r="JI48" s="24">
        <v>0</v>
      </c>
      <c r="JJ48" s="24">
        <v>0</v>
      </c>
      <c r="JK48" s="24">
        <v>0</v>
      </c>
      <c r="JL48" s="24">
        <v>0</v>
      </c>
      <c r="JM48" s="24">
        <v>0</v>
      </c>
      <c r="JN48" s="24">
        <v>0</v>
      </c>
      <c r="JO48" s="24">
        <v>0</v>
      </c>
      <c r="JP48" s="24">
        <v>0</v>
      </c>
      <c r="JQ48" s="24">
        <v>0</v>
      </c>
      <c r="JR48" s="24">
        <v>0</v>
      </c>
      <c r="JS48" s="24">
        <v>0</v>
      </c>
      <c r="JT48" s="24">
        <v>0</v>
      </c>
      <c r="JU48" s="24">
        <v>0</v>
      </c>
      <c r="JV48" s="24">
        <v>0</v>
      </c>
      <c r="JW48" s="24">
        <v>0</v>
      </c>
      <c r="JX48" s="24">
        <v>0</v>
      </c>
      <c r="JY48" s="24">
        <v>0</v>
      </c>
      <c r="JZ48" s="24">
        <v>0</v>
      </c>
      <c r="KA48" s="24">
        <v>0</v>
      </c>
      <c r="KB48" s="24">
        <v>0</v>
      </c>
      <c r="KC48" s="24">
        <v>0</v>
      </c>
      <c r="KD48" s="24">
        <v>0</v>
      </c>
      <c r="KE48" s="24">
        <v>0</v>
      </c>
      <c r="KF48" s="24">
        <v>0</v>
      </c>
      <c r="KG48" s="24">
        <v>0</v>
      </c>
      <c r="KH48" s="24">
        <v>0</v>
      </c>
      <c r="KI48" s="24">
        <v>0</v>
      </c>
      <c r="KJ48" s="24">
        <v>0</v>
      </c>
      <c r="KK48" s="24">
        <v>0</v>
      </c>
      <c r="KL48" s="24">
        <v>0</v>
      </c>
      <c r="KM48" s="24">
        <v>0</v>
      </c>
      <c r="KN48" s="24">
        <v>0</v>
      </c>
      <c r="KO48" s="24">
        <v>0</v>
      </c>
      <c r="KP48" s="24">
        <v>0</v>
      </c>
      <c r="KQ48" s="24">
        <v>0</v>
      </c>
      <c r="KR48" s="24">
        <v>0</v>
      </c>
      <c r="KS48" s="24">
        <v>0</v>
      </c>
      <c r="KT48" s="24">
        <v>0</v>
      </c>
      <c r="KU48" s="24">
        <v>0</v>
      </c>
      <c r="KV48" s="24">
        <v>0</v>
      </c>
      <c r="KW48" s="24">
        <v>0</v>
      </c>
      <c r="KX48" s="24">
        <v>0</v>
      </c>
      <c r="KY48" s="24">
        <v>0</v>
      </c>
      <c r="KZ48" s="24">
        <v>0</v>
      </c>
      <c r="LA48" s="24">
        <v>0</v>
      </c>
      <c r="LB48" s="24">
        <v>0</v>
      </c>
      <c r="LC48" s="24">
        <v>0</v>
      </c>
      <c r="LD48" s="24">
        <v>0</v>
      </c>
      <c r="LE48" s="24">
        <v>0</v>
      </c>
      <c r="LF48" s="24">
        <v>0</v>
      </c>
      <c r="LG48" s="24">
        <v>0</v>
      </c>
      <c r="LH48" s="24">
        <v>0</v>
      </c>
      <c r="LI48" s="24">
        <v>0</v>
      </c>
      <c r="LJ48" s="24">
        <v>0</v>
      </c>
      <c r="LK48" s="24">
        <v>0</v>
      </c>
      <c r="LL48" s="24">
        <v>0</v>
      </c>
      <c r="LM48" s="24">
        <v>0</v>
      </c>
      <c r="LN48" s="24">
        <v>0</v>
      </c>
      <c r="LO48" s="24">
        <v>0</v>
      </c>
      <c r="LP48" s="24">
        <v>0</v>
      </c>
      <c r="LQ48" s="24">
        <v>932686</v>
      </c>
      <c r="LR48" s="24">
        <v>283363</v>
      </c>
      <c r="LS48" s="24">
        <v>0</v>
      </c>
      <c r="LT48" s="24">
        <v>0</v>
      </c>
      <c r="LU48" s="24">
        <v>0</v>
      </c>
      <c r="LV48" s="24">
        <v>0</v>
      </c>
      <c r="LW48" s="24">
        <v>0</v>
      </c>
      <c r="LX48" s="24">
        <v>0</v>
      </c>
      <c r="LY48" s="24">
        <v>0</v>
      </c>
      <c r="LZ48" s="24">
        <v>0</v>
      </c>
      <c r="MA48" s="24">
        <v>0</v>
      </c>
      <c r="MB48" s="24">
        <v>0</v>
      </c>
      <c r="MC48" s="24">
        <v>0</v>
      </c>
      <c r="MD48" s="24">
        <v>0</v>
      </c>
      <c r="ME48" s="24">
        <v>0</v>
      </c>
      <c r="MF48" s="24">
        <v>0</v>
      </c>
      <c r="MG48" s="24">
        <v>0</v>
      </c>
      <c r="MH48" s="24">
        <v>0</v>
      </c>
      <c r="MI48" s="24">
        <v>0</v>
      </c>
      <c r="MJ48" s="24">
        <v>0</v>
      </c>
      <c r="MK48" s="24">
        <v>0</v>
      </c>
      <c r="ML48" s="24">
        <v>0</v>
      </c>
      <c r="MM48" s="24">
        <v>0</v>
      </c>
      <c r="MN48" s="24">
        <v>0</v>
      </c>
      <c r="MO48" s="24">
        <v>52271</v>
      </c>
      <c r="MP48" s="24">
        <v>0</v>
      </c>
      <c r="MQ48" s="24">
        <v>0</v>
      </c>
      <c r="MR48" s="24">
        <v>1585666</v>
      </c>
      <c r="MS48" s="24">
        <v>0</v>
      </c>
      <c r="MT48" s="24">
        <v>0</v>
      </c>
      <c r="MU48" s="24">
        <v>0</v>
      </c>
      <c r="MV48" s="24">
        <v>0</v>
      </c>
      <c r="MW48" s="24">
        <v>893758</v>
      </c>
      <c r="MX48" s="24">
        <v>32064</v>
      </c>
      <c r="MY48" s="24">
        <v>0</v>
      </c>
      <c r="MZ48" s="24">
        <v>0</v>
      </c>
      <c r="NA48" s="24">
        <v>8559</v>
      </c>
      <c r="NB48" s="24">
        <v>129763</v>
      </c>
      <c r="NC48" s="24">
        <v>0</v>
      </c>
      <c r="ND48" s="24">
        <v>0</v>
      </c>
      <c r="NE48" s="24">
        <v>0</v>
      </c>
      <c r="NF48" s="24">
        <v>0</v>
      </c>
      <c r="NG48" s="24">
        <v>0</v>
      </c>
      <c r="NH48" s="24">
        <v>0</v>
      </c>
      <c r="NI48" s="24">
        <v>0</v>
      </c>
      <c r="NJ48" s="24">
        <v>0</v>
      </c>
      <c r="NK48" s="24">
        <v>0</v>
      </c>
      <c r="NL48" s="24">
        <v>0</v>
      </c>
      <c r="NM48" s="24">
        <v>0</v>
      </c>
      <c r="NN48" s="24">
        <v>0</v>
      </c>
      <c r="NO48" s="24">
        <v>0</v>
      </c>
      <c r="NP48" s="24">
        <v>0</v>
      </c>
      <c r="NQ48" s="24">
        <v>30247</v>
      </c>
      <c r="NR48" s="24">
        <v>0</v>
      </c>
      <c r="NS48" s="24">
        <v>0</v>
      </c>
      <c r="NT48" s="24">
        <v>0</v>
      </c>
      <c r="NU48" s="24">
        <v>55769</v>
      </c>
      <c r="NV48" s="24">
        <v>202772</v>
      </c>
      <c r="NW48" s="24">
        <v>0</v>
      </c>
      <c r="NX48" s="24">
        <v>147812</v>
      </c>
      <c r="NY48" s="24">
        <v>0</v>
      </c>
      <c r="NZ48" s="24">
        <v>0</v>
      </c>
      <c r="OA48" s="24">
        <v>0</v>
      </c>
      <c r="OB48" s="24">
        <v>257922</v>
      </c>
      <c r="OC48" s="24">
        <v>0</v>
      </c>
      <c r="OD48" s="24">
        <v>0</v>
      </c>
      <c r="OE48" s="24">
        <v>0</v>
      </c>
      <c r="OF48" s="24">
        <v>0</v>
      </c>
      <c r="OG48" s="24">
        <v>0</v>
      </c>
      <c r="OH48" s="24">
        <v>0</v>
      </c>
      <c r="OI48" s="24">
        <v>0</v>
      </c>
      <c r="OJ48" s="24">
        <v>0</v>
      </c>
      <c r="OK48" s="24">
        <v>155944</v>
      </c>
      <c r="OL48" s="24">
        <v>0</v>
      </c>
      <c r="OM48" s="24">
        <v>0</v>
      </c>
      <c r="ON48" s="24">
        <v>0</v>
      </c>
      <c r="OO48" s="24">
        <v>0</v>
      </c>
      <c r="OP48" s="24">
        <v>0</v>
      </c>
      <c r="OQ48" s="24">
        <v>0</v>
      </c>
      <c r="OR48" s="24">
        <v>1170</v>
      </c>
      <c r="OS48" s="24">
        <v>0</v>
      </c>
      <c r="OT48" s="24">
        <v>0</v>
      </c>
      <c r="OU48" s="24">
        <v>0</v>
      </c>
      <c r="OV48" s="24">
        <v>0</v>
      </c>
      <c r="OW48" s="24">
        <v>0</v>
      </c>
      <c r="OX48" s="24">
        <v>0</v>
      </c>
      <c r="OY48" s="24">
        <v>0</v>
      </c>
      <c r="OZ48" s="24">
        <v>0</v>
      </c>
      <c r="PA48" s="24">
        <v>0</v>
      </c>
      <c r="PB48" s="24">
        <v>0</v>
      </c>
      <c r="PC48" s="24">
        <v>2833</v>
      </c>
      <c r="PD48" s="24">
        <v>24898</v>
      </c>
      <c r="PE48" s="24">
        <v>0</v>
      </c>
      <c r="PF48" s="24">
        <v>0</v>
      </c>
      <c r="PG48" s="24">
        <v>0</v>
      </c>
      <c r="PH48" s="24">
        <v>155839</v>
      </c>
      <c r="PI48" s="24">
        <v>0</v>
      </c>
      <c r="PJ48" s="24">
        <v>0</v>
      </c>
      <c r="PK48" s="24">
        <v>0</v>
      </c>
      <c r="PL48" s="24">
        <v>0</v>
      </c>
      <c r="PM48" s="24">
        <v>0</v>
      </c>
      <c r="PN48" s="24">
        <v>0</v>
      </c>
      <c r="PO48" s="24">
        <v>0</v>
      </c>
      <c r="PP48" s="24">
        <v>0</v>
      </c>
      <c r="PQ48" s="24">
        <v>0</v>
      </c>
      <c r="PR48" s="24">
        <v>0</v>
      </c>
      <c r="PS48" s="24">
        <v>0</v>
      </c>
      <c r="PT48" s="24">
        <v>0</v>
      </c>
      <c r="PU48" s="24">
        <v>0</v>
      </c>
      <c r="PV48" s="24">
        <v>0</v>
      </c>
      <c r="PW48" s="24">
        <v>0</v>
      </c>
      <c r="PX48" s="24">
        <v>0</v>
      </c>
      <c r="PY48" s="24">
        <v>0</v>
      </c>
      <c r="PZ48" s="24">
        <v>0</v>
      </c>
      <c r="QA48" s="24">
        <v>0</v>
      </c>
      <c r="QB48" s="24">
        <v>0</v>
      </c>
      <c r="QC48" s="24">
        <v>0</v>
      </c>
      <c r="QD48" s="24">
        <v>0</v>
      </c>
      <c r="QE48" s="24">
        <v>0</v>
      </c>
      <c r="QF48" s="24">
        <v>0</v>
      </c>
      <c r="QG48" s="24">
        <v>0</v>
      </c>
      <c r="QH48" s="24">
        <v>0</v>
      </c>
      <c r="QI48" s="24">
        <v>0</v>
      </c>
      <c r="QJ48" s="24">
        <v>0</v>
      </c>
      <c r="QK48" s="24">
        <v>0</v>
      </c>
      <c r="QL48" s="24">
        <v>0</v>
      </c>
      <c r="QM48" s="24">
        <v>0</v>
      </c>
      <c r="QN48" s="24">
        <v>0</v>
      </c>
      <c r="QO48" s="24">
        <v>0</v>
      </c>
      <c r="QP48" s="24">
        <v>0</v>
      </c>
      <c r="QQ48" s="24">
        <v>0</v>
      </c>
      <c r="QR48" s="24">
        <v>0</v>
      </c>
      <c r="QS48" s="24">
        <v>33773</v>
      </c>
      <c r="QT48" s="24">
        <v>0</v>
      </c>
      <c r="QU48" s="24">
        <v>0</v>
      </c>
      <c r="QV48" s="24">
        <v>0</v>
      </c>
      <c r="QW48" s="24">
        <v>232632</v>
      </c>
      <c r="QX48" s="24">
        <v>0</v>
      </c>
      <c r="QY48" s="24">
        <v>0</v>
      </c>
      <c r="QZ48" s="24">
        <v>0</v>
      </c>
      <c r="RA48" s="24">
        <v>0</v>
      </c>
      <c r="RB48" s="24">
        <v>0</v>
      </c>
      <c r="RG48" s="39">
        <f t="shared" si="126"/>
        <v>22192538</v>
      </c>
      <c r="RH48" s="39">
        <f t="shared" si="126"/>
        <v>1219516</v>
      </c>
      <c r="RI48" s="39">
        <f t="shared" si="126"/>
        <v>0</v>
      </c>
      <c r="RJ48" s="39">
        <f t="shared" si="126"/>
        <v>0</v>
      </c>
      <c r="RK48" s="39">
        <f t="shared" si="126"/>
        <v>0</v>
      </c>
      <c r="RL48" s="39">
        <f t="shared" si="126"/>
        <v>2960866</v>
      </c>
      <c r="RM48" s="39">
        <f t="shared" si="126"/>
        <v>2312914</v>
      </c>
      <c r="RN48" s="39">
        <f t="shared" si="126"/>
        <v>37587</v>
      </c>
      <c r="RO48" s="39">
        <f t="shared" si="126"/>
        <v>618137</v>
      </c>
      <c r="RP48" s="39">
        <f t="shared" si="126"/>
        <v>420020</v>
      </c>
      <c r="RQ48" s="39">
        <f t="shared" si="126"/>
        <v>151049</v>
      </c>
      <c r="RR48" s="39">
        <f t="shared" si="126"/>
        <v>67202</v>
      </c>
      <c r="RS48" s="39"/>
      <c r="RT48" s="182"/>
      <c r="RU48" s="39"/>
      <c r="RV48" s="39">
        <f t="shared" si="127"/>
        <v>4768596</v>
      </c>
      <c r="RW48" s="39">
        <f t="shared" si="127"/>
        <v>29979829</v>
      </c>
      <c r="RX48" s="39">
        <f t="shared" si="127"/>
        <v>5660433</v>
      </c>
      <c r="RY48" s="39">
        <f t="shared" si="127"/>
        <v>451145</v>
      </c>
      <c r="RZ48" s="39"/>
      <c r="SA48" s="182"/>
      <c r="SB48" s="39"/>
      <c r="SC48" s="25">
        <f t="shared" si="50"/>
        <v>1152.8376782077394</v>
      </c>
      <c r="SD48" s="39">
        <f>IFERROR(VLOOKUP(A48, 'Levy Data 15-16'!$B:$O, 3, FALSE), 0)</f>
        <v>1290855664</v>
      </c>
      <c r="SE48" s="39">
        <f t="shared" si="88"/>
        <v>262903.39389002038</v>
      </c>
      <c r="SF48" s="631">
        <f>IFERROR(VLOOKUP(A48, 'Levy Data 15-16'!$B:$O, 14, FALSE), 0)*1000</f>
        <v>2.8847049999999999</v>
      </c>
      <c r="SG48" s="39">
        <f t="shared" si="89"/>
        <v>0</v>
      </c>
      <c r="SH48" s="39">
        <f t="shared" si="90"/>
        <v>0</v>
      </c>
      <c r="SI48" s="39">
        <f t="shared" si="91"/>
        <v>5660433</v>
      </c>
      <c r="SM48" s="39">
        <f t="shared" si="92"/>
        <v>29979829</v>
      </c>
      <c r="SN48" s="39">
        <f t="shared" si="93"/>
        <v>0</v>
      </c>
      <c r="SO48" s="39">
        <f t="shared" si="51"/>
        <v>29979829</v>
      </c>
      <c r="SP48" s="50">
        <f t="shared" si="52"/>
        <v>1</v>
      </c>
      <c r="ST48" s="124">
        <f>IFERROR(VLOOKUP(A48,'Grade Enroll 15-16'!B:AC,27,FALSE),"")</f>
        <v>4910</v>
      </c>
      <c r="SU48" s="124">
        <f t="shared" si="53"/>
        <v>2616.6323557972419</v>
      </c>
      <c r="SV48" s="131">
        <f>IFERROR(VLOOKUP($A48, 'Title I Enroll 16-17'!S:V, 4, FALSE), 0)</f>
        <v>0.53291901340066028</v>
      </c>
      <c r="SW48" s="729">
        <f>IFERROR(VLOOKUP(A48, 'ELL Enroll 15-16'!$N:$S, 6, FALSE), 0)</f>
        <v>792</v>
      </c>
      <c r="SX48" s="131">
        <f t="shared" si="54"/>
        <v>0.16130346232179227</v>
      </c>
      <c r="SY48" s="124">
        <f>IFERROR(VLOOKUP(A48, 'SPED enroll 2015-16'!$M:$O, 3, FALSE), 0)</f>
        <v>495</v>
      </c>
      <c r="SZ48" s="131">
        <f t="shared" si="55"/>
        <v>0.10081466395112017</v>
      </c>
      <c r="TA48" s="142">
        <f t="shared" si="87"/>
        <v>346.5</v>
      </c>
      <c r="TB48" s="142">
        <f t="shared" si="87"/>
        <v>99</v>
      </c>
      <c r="TC48" s="142">
        <f t="shared" si="87"/>
        <v>34.650000000000006</v>
      </c>
      <c r="TD48" s="142">
        <f t="shared" si="87"/>
        <v>14.85</v>
      </c>
      <c r="TE48" s="124">
        <f>VLOOKUP($A48, 'Grade Enroll 15-16'!$B:$AB, 20, FALSE)</f>
        <v>60</v>
      </c>
      <c r="TF48" s="124">
        <f>VLOOKUP($A48, 'Grade Enroll 15-16'!$B:$AB, 21, FALSE)</f>
        <v>442</v>
      </c>
      <c r="TG48" s="124">
        <f>VLOOKUP($A48, 'Grade Enroll 15-16'!$B:$AB, 22, FALSE)</f>
        <v>1296</v>
      </c>
      <c r="TH48" s="124">
        <f>VLOOKUP($A48, 'Grade Enroll 15-16'!$B:$AB, 23, FALSE)</f>
        <v>1291</v>
      </c>
      <c r="TI48" s="124">
        <f>VLOOKUP($A48, 'Grade Enroll 15-16'!$B:$AB, 24, FALSE)</f>
        <v>813</v>
      </c>
      <c r="TJ48" s="124">
        <f>VLOOKUP($A48, 'Grade Enroll 15-16'!$B:$AB, 25, FALSE)</f>
        <v>1510</v>
      </c>
      <c r="TK48" s="124">
        <f>VLOOKUP($A48, 'Grade Enroll 15-16'!$B:$AB, 26, FALSE)</f>
        <v>3386</v>
      </c>
      <c r="TL48" s="131">
        <f>SUMIFS('Student Achievement 15-16'!N:N, 'Student Achievement 15-16'!B:B, 'Idaho Data'!A48, 'Student Achievement 15-16'!D:D, "math")/100</f>
        <v>0.32600000000000001</v>
      </c>
      <c r="TM48" s="134">
        <f t="shared" si="57"/>
        <v>1600.66</v>
      </c>
      <c r="TN48" s="131">
        <f>SUMIFS('Student Achievement 15-16'!N:N, 'Student Achievement 15-16'!B:B, 'Idaho Data'!A48, 'Student Achievement 15-16'!D:D, "ela")/100</f>
        <v>0.28800000000000003</v>
      </c>
      <c r="TO48" s="134">
        <f t="shared" si="58"/>
        <v>1414.0800000000002</v>
      </c>
      <c r="TP48" s="688">
        <f>IFERROR(VLOOKUP(A48, 'G&amp;T 15-16'!B:G, 6, FALSE), 0)*1</f>
        <v>59</v>
      </c>
      <c r="TQ48" s="168">
        <f t="shared" si="59"/>
        <v>294.59999999999997</v>
      </c>
      <c r="TU48" s="168">
        <f t="shared" si="60"/>
        <v>1414.0800000000002</v>
      </c>
      <c r="TV48" s="168">
        <f t="shared" si="61"/>
        <v>1600.66</v>
      </c>
      <c r="TW48" s="205">
        <f t="shared" si="62"/>
        <v>1600.66</v>
      </c>
      <c r="TX48" s="144"/>
      <c r="TY48" s="129"/>
      <c r="TZ48" s="127">
        <f t="shared" si="63"/>
        <v>59</v>
      </c>
      <c r="UA48" s="127">
        <f t="shared" si="64"/>
        <v>294.59999999999997</v>
      </c>
      <c r="UB48" s="205">
        <f t="shared" si="65"/>
        <v>294.59999999999997</v>
      </c>
      <c r="UE48" s="853" t="str">
        <f>IF(ST48&lt;='1. Simulator Input'!$E$104, "yes", "")</f>
        <v/>
      </c>
      <c r="UI48" s="199">
        <f t="shared" si="66"/>
        <v>0</v>
      </c>
      <c r="UJ48" s="200">
        <f>IF('Idaho Data'!SI48&gt;=0, ((1-'1. Simulator Input'!$E$39)*'Idaho Data'!SI48), 0)</f>
        <v>0</v>
      </c>
      <c r="UK48" s="200">
        <f t="shared" si="67"/>
        <v>29979829</v>
      </c>
      <c r="UL48" s="39"/>
      <c r="UM48" s="182"/>
      <c r="UN48" s="39"/>
      <c r="UO48" s="39" t="str">
        <f>IF(AND('1. Simulator Input'!$E$96="yes", '1. Simulator Input'!$E$98="yes", '1. Simulator Input'!$E$100="hold harmless"), 'Idaho Data'!WN48, IF(AND('1. Simulator Input'!$E$96="yes", '1. Simulator Input'!$E$98="no", '1. Simulator Input'!$E$100="hold harmless"), 'Idaho Data'!WM48, IF(AND('1. Simulator Input'!$E$96="yes", '1. Simulator Input'!$E$98="yes", '1. Simulator Input'!$E$100="small district grant"), WL48,IF(AND('1. Simulator Input'!$E$96="yes", '1. Simulator Input'!$E$98="no", '1. Simulator Input'!$E$100="small district grant"), WK48, ""))))</f>
        <v/>
      </c>
      <c r="UP48" s="200">
        <f>'1. Simulator Input'!$D$56*('Idaho Data'!ST48)</f>
        <v>27132660</v>
      </c>
      <c r="UQ48" s="204">
        <f>'1. Simulator Input'!$D$65*'1. Simulator Input'!$D$56*'Idaho Data'!SU48</f>
        <v>0</v>
      </c>
      <c r="UR48" s="204">
        <f>'1. Simulator Input'!$D$66*'1. Simulator Input'!$D$56*'Idaho Data'!SW48</f>
        <v>0</v>
      </c>
      <c r="US48" s="200">
        <f>'1. Simulator Input'!$D$67*'1. Simulator Input'!$D$56*'Idaho Data'!TA48</f>
        <v>0</v>
      </c>
      <c r="UT48" s="200">
        <f>'1. Simulator Input'!$D$68*'1. Simulator Input'!$D$56*'Idaho Data'!TB48</f>
        <v>0</v>
      </c>
      <c r="UU48" s="200">
        <f>'1. Simulator Input'!$D$69*'1. Simulator Input'!$D$56*'Idaho Data'!TC48</f>
        <v>0</v>
      </c>
      <c r="UV48" s="200">
        <f>'1. Simulator Input'!$D$70*'1. Simulator Input'!$D$56*TD48</f>
        <v>0</v>
      </c>
      <c r="UW48" s="200">
        <f>'1. Simulator Input'!$D$80*'1. Simulator Input'!$D$56*TW48</f>
        <v>0</v>
      </c>
      <c r="UX48" s="200">
        <f>'1. Simulator Input'!$D$79*'1. Simulator Input'!$D$56*UB48</f>
        <v>0</v>
      </c>
      <c r="UY48" s="200">
        <f>'1. Simulator Input'!$D$87*'1. Simulator Input'!$D$56*TF48</f>
        <v>1221246</v>
      </c>
      <c r="UZ48" s="200">
        <f>'1. Simulator Input'!$D$73*'1. Simulator Input'!$D$56*'Idaho Data'!TG48</f>
        <v>0</v>
      </c>
      <c r="VA48" s="200">
        <f>'1. Simulator Input'!$D$56*'1. Simulator Input'!$D$74*'Idaho Data'!TH48</f>
        <v>0</v>
      </c>
      <c r="VB48" s="200">
        <f>'1. Simulator Input'!$D$56*'1. Simulator Input'!$D$75*'Idaho Data'!TI43</f>
        <v>0</v>
      </c>
      <c r="VC48" s="200">
        <f>'1. Simulator Input'!$D$76*'1. Simulator Input'!$D$56*'Idaho Data'!TJ48</f>
        <v>0</v>
      </c>
      <c r="VD48" s="200">
        <f t="shared" si="68"/>
        <v>28353906</v>
      </c>
      <c r="VE48" s="200"/>
      <c r="VF48" s="182"/>
      <c r="VG48" s="200"/>
      <c r="VH48" s="200">
        <f t="shared" si="69"/>
        <v>0</v>
      </c>
      <c r="VI48" s="200">
        <f t="shared" si="70"/>
        <v>0</v>
      </c>
      <c r="VJ48" s="200">
        <f t="shared" si="94"/>
        <v>28353906</v>
      </c>
      <c r="VK48" s="200">
        <f t="shared" si="95"/>
        <v>28353906</v>
      </c>
      <c r="VL48" s="200"/>
      <c r="VM48" s="182"/>
      <c r="VN48" s="200"/>
      <c r="VO48" s="200">
        <f t="shared" si="71"/>
        <v>4768596</v>
      </c>
      <c r="VP48" s="200">
        <f t="shared" si="72"/>
        <v>29979829</v>
      </c>
      <c r="VQ48" s="200">
        <f t="shared" si="73"/>
        <v>5660433</v>
      </c>
      <c r="VR48" s="200">
        <f t="shared" si="74"/>
        <v>4768596</v>
      </c>
      <c r="VS48" s="200">
        <f t="shared" si="96"/>
        <v>28353906</v>
      </c>
      <c r="VT48" s="200">
        <f t="shared" si="97"/>
        <v>5660433</v>
      </c>
      <c r="VU48" s="200">
        <f t="shared" si="98"/>
        <v>0</v>
      </c>
      <c r="VV48" s="200"/>
      <c r="VW48" s="182"/>
      <c r="VX48" s="200"/>
      <c r="VZ48" s="199">
        <f t="shared" si="75"/>
        <v>-1625923</v>
      </c>
      <c r="WA48" s="199">
        <f t="shared" si="76"/>
        <v>-331.14521384928719</v>
      </c>
      <c r="WB48" s="131">
        <f t="shared" si="77"/>
        <v>-5.4233898398820084E-2</v>
      </c>
      <c r="WC48" s="131"/>
      <c r="WD48" s="461"/>
      <c r="WE48" s="893"/>
      <c r="WF48" s="893">
        <f t="shared" si="78"/>
        <v>8229.9099796334012</v>
      </c>
      <c r="WG48" s="893">
        <f t="shared" si="79"/>
        <v>7898.7647657841144</v>
      </c>
      <c r="WH48" s="893"/>
      <c r="WI48" s="893">
        <f t="shared" si="80"/>
        <v>29979829</v>
      </c>
      <c r="WJ48" s="893">
        <f t="shared" si="99"/>
        <v>28353906</v>
      </c>
      <c r="WK48" s="39" t="str">
        <f t="shared" si="100"/>
        <v/>
      </c>
      <c r="WL48" s="39" t="str">
        <f t="shared" si="101"/>
        <v/>
      </c>
      <c r="WM48" s="200" t="str">
        <f t="shared" si="102"/>
        <v/>
      </c>
      <c r="WN48" s="39" t="str">
        <f t="shared" si="103"/>
        <v/>
      </c>
      <c r="WO48" s="39"/>
      <c r="WP48" s="182"/>
      <c r="WQ48" s="39"/>
      <c r="WR48" s="305">
        <f t="shared" si="104"/>
        <v>0.157</v>
      </c>
      <c r="WT48" s="200">
        <f t="shared" si="105"/>
        <v>6105.8714867617109</v>
      </c>
      <c r="WU48" s="131">
        <f t="shared" si="81"/>
        <v>0.41</v>
      </c>
      <c r="WW48" s="199">
        <f t="shared" si="106"/>
        <v>4768596</v>
      </c>
      <c r="WX48" s="199">
        <f t="shared" si="107"/>
        <v>28353906</v>
      </c>
      <c r="WY48" s="199">
        <f t="shared" si="108"/>
        <v>0</v>
      </c>
      <c r="WZ48" s="199">
        <f t="shared" si="82"/>
        <v>28353906</v>
      </c>
      <c r="XA48" s="199">
        <f t="shared" si="109"/>
        <v>0</v>
      </c>
      <c r="XB48" s="199">
        <f t="shared" si="110"/>
        <v>5660433</v>
      </c>
      <c r="XC48" s="199">
        <f t="shared" si="111"/>
        <v>5660433</v>
      </c>
      <c r="XD48" s="199" t="str">
        <f t="shared" si="112"/>
        <v/>
      </c>
      <c r="XE48" s="199"/>
      <c r="XF48" s="199"/>
      <c r="XG48" s="199"/>
      <c r="XH48" s="199"/>
      <c r="XI48" s="199"/>
      <c r="XJ48" s="199">
        <f t="shared" si="83"/>
        <v>28353906</v>
      </c>
      <c r="XP48" s="199">
        <f t="shared" si="113"/>
        <v>28353906</v>
      </c>
      <c r="XQ48" s="199">
        <f t="shared" si="114"/>
        <v>5774.7262729124241</v>
      </c>
      <c r="XR48" s="199">
        <f t="shared" si="115"/>
        <v>28353906</v>
      </c>
      <c r="XS48" s="199">
        <f t="shared" si="116"/>
        <v>28353906</v>
      </c>
      <c r="XT48" s="199">
        <f t="shared" si="117"/>
        <v>5774.7262729124241</v>
      </c>
      <c r="XU48" s="199">
        <f t="shared" si="118"/>
        <v>29979829</v>
      </c>
      <c r="XV48" s="199">
        <f t="shared" si="119"/>
        <v>6105.8714867617109</v>
      </c>
      <c r="XW48" s="199">
        <f t="shared" si="120"/>
        <v>29979829</v>
      </c>
      <c r="XX48" s="199">
        <f t="shared" si="121"/>
        <v>6105.8714867617109</v>
      </c>
      <c r="XY48" s="199">
        <f t="shared" si="84"/>
        <v>-1625923</v>
      </c>
      <c r="XZ48" s="199">
        <f t="shared" si="85"/>
        <v>-331.14521384928685</v>
      </c>
      <c r="YA48" s="131">
        <f t="shared" si="86"/>
        <v>-5.4233898398820035E-2</v>
      </c>
      <c r="YB48" s="199"/>
      <c r="YC48" s="221"/>
      <c r="YD48" s="199"/>
      <c r="YE48" s="199">
        <f t="shared" si="122"/>
        <v>4768596</v>
      </c>
      <c r="YF48" s="200">
        <f t="shared" si="123"/>
        <v>0</v>
      </c>
      <c r="YG48" s="199">
        <f t="shared" si="124"/>
        <v>5660433</v>
      </c>
      <c r="YH48" s="199">
        <f t="shared" si="125"/>
        <v>451145</v>
      </c>
    </row>
    <row r="49" spans="1:658">
      <c r="A49" s="3">
        <v>161</v>
      </c>
      <c r="B49" s="2" t="s">
        <v>142</v>
      </c>
      <c r="C49" s="24">
        <v>0</v>
      </c>
      <c r="D49" s="24">
        <v>0</v>
      </c>
      <c r="E49" s="24">
        <v>0</v>
      </c>
      <c r="F49" s="24">
        <v>0</v>
      </c>
      <c r="G49" s="24">
        <v>0</v>
      </c>
      <c r="H49" s="24">
        <v>0</v>
      </c>
      <c r="I49" s="24">
        <v>247872</v>
      </c>
      <c r="J49" s="24">
        <v>10431</v>
      </c>
      <c r="K49" s="24">
        <v>0</v>
      </c>
      <c r="L49" s="24">
        <v>0</v>
      </c>
      <c r="M49" s="24">
        <v>0</v>
      </c>
      <c r="N49" s="24">
        <v>97</v>
      </c>
      <c r="O49" s="24">
        <v>0</v>
      </c>
      <c r="P49" s="24">
        <v>0</v>
      </c>
      <c r="Q49" s="24">
        <v>0</v>
      </c>
      <c r="R49" s="24">
        <v>0</v>
      </c>
      <c r="S49" s="24">
        <v>0</v>
      </c>
      <c r="T49" s="24">
        <v>0</v>
      </c>
      <c r="U49" s="24">
        <v>0</v>
      </c>
      <c r="V49" s="24">
        <v>0</v>
      </c>
      <c r="W49" s="24">
        <v>786</v>
      </c>
      <c r="X49" s="24">
        <v>99934</v>
      </c>
      <c r="Y49" s="24">
        <v>33</v>
      </c>
      <c r="Z49" s="24">
        <v>0</v>
      </c>
      <c r="AA49" s="24">
        <v>20</v>
      </c>
      <c r="AB49" s="24">
        <v>0</v>
      </c>
      <c r="AC49" s="24">
        <v>0</v>
      </c>
      <c r="AD49" s="24">
        <v>0</v>
      </c>
      <c r="AE49" s="24">
        <v>0</v>
      </c>
      <c r="AF49" s="24">
        <v>0</v>
      </c>
      <c r="AG49" s="24">
        <v>0</v>
      </c>
      <c r="AH49" s="24">
        <v>0</v>
      </c>
      <c r="AI49" s="24">
        <v>0</v>
      </c>
      <c r="AJ49" s="24">
        <v>0</v>
      </c>
      <c r="AK49" s="24">
        <v>0</v>
      </c>
      <c r="AL49" s="24">
        <v>16016</v>
      </c>
      <c r="AM49" s="24">
        <v>611</v>
      </c>
      <c r="AN49" s="24">
        <v>0</v>
      </c>
      <c r="AO49" s="24">
        <v>0</v>
      </c>
      <c r="AP49" s="24">
        <v>0</v>
      </c>
      <c r="AQ49" s="24">
        <v>0</v>
      </c>
      <c r="AR49" s="24">
        <v>0</v>
      </c>
      <c r="AS49" s="24">
        <v>0</v>
      </c>
      <c r="AT49" s="24">
        <v>0</v>
      </c>
      <c r="AU49" s="24">
        <v>0</v>
      </c>
      <c r="AV49" s="24">
        <v>0</v>
      </c>
      <c r="AW49" s="24">
        <v>0</v>
      </c>
      <c r="AX49" s="24">
        <v>0</v>
      </c>
      <c r="AY49" s="24">
        <v>0</v>
      </c>
      <c r="AZ49" s="24">
        <v>0</v>
      </c>
      <c r="BA49" s="24">
        <v>0</v>
      </c>
      <c r="BB49" s="24">
        <v>0</v>
      </c>
      <c r="BC49" s="24">
        <v>9</v>
      </c>
      <c r="BD49" s="24">
        <v>116</v>
      </c>
      <c r="BE49" s="24">
        <v>0</v>
      </c>
      <c r="BF49" s="24">
        <v>109</v>
      </c>
      <c r="BG49" s="24">
        <v>0</v>
      </c>
      <c r="BH49" s="24">
        <v>0</v>
      </c>
      <c r="BI49" s="24">
        <v>0</v>
      </c>
      <c r="BJ49" s="24">
        <v>0</v>
      </c>
      <c r="BK49" s="24">
        <v>0</v>
      </c>
      <c r="BL49" s="24">
        <v>0</v>
      </c>
      <c r="BM49" s="24">
        <v>0</v>
      </c>
      <c r="BN49" s="24">
        <v>0</v>
      </c>
      <c r="BO49" s="24">
        <v>0</v>
      </c>
      <c r="BP49" s="24">
        <v>0</v>
      </c>
      <c r="BQ49" s="24">
        <v>0</v>
      </c>
      <c r="BR49" s="24">
        <v>0</v>
      </c>
      <c r="BS49" s="24">
        <v>0</v>
      </c>
      <c r="BT49" s="24">
        <v>0</v>
      </c>
      <c r="BU49" s="24">
        <v>0</v>
      </c>
      <c r="BV49" s="24">
        <v>0</v>
      </c>
      <c r="BW49" s="24">
        <v>0</v>
      </c>
      <c r="BX49" s="24">
        <v>0</v>
      </c>
      <c r="BY49" s="24">
        <v>0</v>
      </c>
      <c r="BZ49" s="24">
        <v>0</v>
      </c>
      <c r="CA49" s="24">
        <v>0</v>
      </c>
      <c r="CB49" s="24">
        <v>0</v>
      </c>
      <c r="CC49" s="24">
        <v>0</v>
      </c>
      <c r="CD49" s="24">
        <v>11172</v>
      </c>
      <c r="CE49" s="24">
        <v>0</v>
      </c>
      <c r="CF49" s="24">
        <v>0</v>
      </c>
      <c r="CG49" s="24">
        <v>0</v>
      </c>
      <c r="CH49" s="24">
        <v>0</v>
      </c>
      <c r="CI49" s="24">
        <v>0</v>
      </c>
      <c r="CJ49" s="24">
        <v>0</v>
      </c>
      <c r="CK49" s="24">
        <v>0</v>
      </c>
      <c r="CL49" s="24">
        <v>0</v>
      </c>
      <c r="CM49" s="24">
        <v>0</v>
      </c>
      <c r="CN49" s="24">
        <v>0</v>
      </c>
      <c r="CO49" s="24">
        <v>0</v>
      </c>
      <c r="CP49" s="24">
        <v>0</v>
      </c>
      <c r="CQ49" s="24">
        <v>0</v>
      </c>
      <c r="CR49" s="24">
        <v>0</v>
      </c>
      <c r="CS49" s="24">
        <v>0</v>
      </c>
      <c r="CT49" s="24">
        <v>0</v>
      </c>
      <c r="CU49" s="24">
        <v>0</v>
      </c>
      <c r="CV49" s="24">
        <v>0</v>
      </c>
      <c r="CW49" s="24">
        <v>0</v>
      </c>
      <c r="CX49" s="24">
        <v>0</v>
      </c>
      <c r="CY49" s="24">
        <v>0</v>
      </c>
      <c r="CZ49" s="24">
        <v>0</v>
      </c>
      <c r="DA49" s="24">
        <v>0</v>
      </c>
      <c r="DB49" s="24">
        <v>0</v>
      </c>
      <c r="DC49" s="24">
        <v>0</v>
      </c>
      <c r="DD49" s="24">
        <v>0</v>
      </c>
      <c r="DE49" s="24">
        <v>0</v>
      </c>
      <c r="DF49" s="24">
        <v>0</v>
      </c>
      <c r="DG49" s="24">
        <v>0</v>
      </c>
      <c r="DH49" s="24">
        <v>0</v>
      </c>
      <c r="DI49" s="24">
        <v>0</v>
      </c>
      <c r="DJ49" s="24">
        <v>0</v>
      </c>
      <c r="DK49" s="24">
        <v>0</v>
      </c>
      <c r="DL49" s="24">
        <v>0</v>
      </c>
      <c r="DM49" s="24">
        <v>0</v>
      </c>
      <c r="DN49" s="24">
        <v>0</v>
      </c>
      <c r="DO49" s="24">
        <v>0</v>
      </c>
      <c r="DP49" s="24">
        <v>0</v>
      </c>
      <c r="DQ49" s="24">
        <v>0</v>
      </c>
      <c r="DR49" s="24">
        <v>0</v>
      </c>
      <c r="DS49" s="24">
        <v>0</v>
      </c>
      <c r="DT49" s="24">
        <v>0</v>
      </c>
      <c r="DU49" s="24">
        <v>0</v>
      </c>
      <c r="DV49" s="24">
        <v>0</v>
      </c>
      <c r="DW49" s="24">
        <v>0</v>
      </c>
      <c r="DX49" s="24">
        <v>0</v>
      </c>
      <c r="DY49" s="24">
        <v>0</v>
      </c>
      <c r="DZ49" s="24">
        <v>0</v>
      </c>
      <c r="EA49" s="24">
        <v>0</v>
      </c>
      <c r="EB49" s="24">
        <v>0</v>
      </c>
      <c r="EC49" s="24">
        <v>0</v>
      </c>
      <c r="ED49" s="24">
        <v>0</v>
      </c>
      <c r="EE49" s="24">
        <v>0</v>
      </c>
      <c r="EF49" s="24">
        <v>8200</v>
      </c>
      <c r="EG49" s="24">
        <v>0</v>
      </c>
      <c r="EH49" s="24">
        <v>0</v>
      </c>
      <c r="EI49" s="24">
        <v>0</v>
      </c>
      <c r="EJ49" s="24">
        <v>0</v>
      </c>
      <c r="EK49" s="24">
        <v>0</v>
      </c>
      <c r="EL49" s="24">
        <v>0</v>
      </c>
      <c r="EM49" s="24">
        <v>0</v>
      </c>
      <c r="EN49" s="24">
        <v>0</v>
      </c>
      <c r="EO49" s="24">
        <v>0</v>
      </c>
      <c r="EP49" s="24">
        <v>0</v>
      </c>
      <c r="EQ49" s="24">
        <v>0</v>
      </c>
      <c r="ER49" s="24">
        <v>0</v>
      </c>
      <c r="ES49" s="24">
        <v>0</v>
      </c>
      <c r="ET49" s="24">
        <v>0</v>
      </c>
      <c r="EU49" s="24">
        <v>0</v>
      </c>
      <c r="EV49" s="24">
        <v>0</v>
      </c>
      <c r="EW49" s="24">
        <v>0</v>
      </c>
      <c r="EX49" s="24">
        <v>0</v>
      </c>
      <c r="EY49" s="24">
        <v>0</v>
      </c>
      <c r="EZ49" s="24">
        <v>0</v>
      </c>
      <c r="FA49" s="24">
        <v>0</v>
      </c>
      <c r="FB49" s="24">
        <v>0</v>
      </c>
      <c r="FC49" s="24">
        <v>0</v>
      </c>
      <c r="FD49" s="24">
        <v>0</v>
      </c>
      <c r="FE49" s="24">
        <v>0</v>
      </c>
      <c r="FF49" s="24">
        <v>0</v>
      </c>
      <c r="FG49" s="24">
        <v>0</v>
      </c>
      <c r="FH49" s="24">
        <v>0</v>
      </c>
      <c r="FI49" s="24">
        <v>0</v>
      </c>
      <c r="FJ49" s="24">
        <v>0</v>
      </c>
      <c r="FK49" s="24">
        <v>0</v>
      </c>
      <c r="FL49" s="24">
        <v>0</v>
      </c>
      <c r="FM49" s="24">
        <v>0</v>
      </c>
      <c r="FN49" s="24">
        <v>0</v>
      </c>
      <c r="FO49" s="24">
        <v>0</v>
      </c>
      <c r="FP49" s="24">
        <v>0</v>
      </c>
      <c r="FQ49" s="24">
        <v>0</v>
      </c>
      <c r="FR49" s="24">
        <v>0</v>
      </c>
      <c r="FS49" s="24">
        <v>13389</v>
      </c>
      <c r="FT49" s="24">
        <v>0</v>
      </c>
      <c r="FU49" s="24">
        <v>45992</v>
      </c>
      <c r="FV49" s="24">
        <v>0</v>
      </c>
      <c r="FW49" s="24">
        <v>0</v>
      </c>
      <c r="FX49" s="24">
        <v>0</v>
      </c>
      <c r="FY49" s="24">
        <v>0</v>
      </c>
      <c r="FZ49" s="24">
        <v>0</v>
      </c>
      <c r="GA49" s="24">
        <v>0</v>
      </c>
      <c r="GB49" s="24">
        <v>0</v>
      </c>
      <c r="GC49" s="24">
        <v>0</v>
      </c>
      <c r="GD49" s="24">
        <v>0</v>
      </c>
      <c r="GE49" s="24">
        <v>1550</v>
      </c>
      <c r="GF49" s="24">
        <v>1586</v>
      </c>
      <c r="GG49" s="24">
        <v>0</v>
      </c>
      <c r="GH49" s="24">
        <v>0</v>
      </c>
      <c r="GI49" s="24">
        <v>0</v>
      </c>
      <c r="GJ49" s="24">
        <v>0</v>
      </c>
      <c r="GK49" s="24">
        <v>0</v>
      </c>
      <c r="GL49" s="24">
        <v>0</v>
      </c>
      <c r="GM49" s="24">
        <v>0</v>
      </c>
      <c r="GN49" s="24">
        <v>0</v>
      </c>
      <c r="GO49" s="24">
        <v>0</v>
      </c>
      <c r="GP49" s="24">
        <v>0</v>
      </c>
      <c r="GQ49" s="24">
        <v>0</v>
      </c>
      <c r="GR49" s="24">
        <v>0</v>
      </c>
      <c r="GS49" s="24">
        <v>0</v>
      </c>
      <c r="GT49" s="24">
        <v>0</v>
      </c>
      <c r="GU49" s="24">
        <v>0</v>
      </c>
      <c r="GV49" s="24">
        <v>0</v>
      </c>
      <c r="GW49" s="24">
        <v>0</v>
      </c>
      <c r="GX49" s="24">
        <v>0</v>
      </c>
      <c r="GY49" s="24">
        <v>0</v>
      </c>
      <c r="GZ49" s="24">
        <v>0</v>
      </c>
      <c r="HA49" s="24">
        <v>0</v>
      </c>
      <c r="HB49" s="24">
        <v>0</v>
      </c>
      <c r="HC49" s="24">
        <v>0</v>
      </c>
      <c r="HD49" s="24">
        <v>1090052</v>
      </c>
      <c r="HE49" s="24">
        <v>0</v>
      </c>
      <c r="HF49" s="24">
        <v>0</v>
      </c>
      <c r="HG49" s="24">
        <v>0</v>
      </c>
      <c r="HH49" s="24">
        <v>0</v>
      </c>
      <c r="HI49" s="24">
        <v>49369</v>
      </c>
      <c r="HJ49" s="24">
        <v>0</v>
      </c>
      <c r="HK49" s="24">
        <v>0</v>
      </c>
      <c r="HL49" s="24">
        <v>2724</v>
      </c>
      <c r="HM49" s="24">
        <v>0</v>
      </c>
      <c r="HN49" s="24">
        <v>0</v>
      </c>
      <c r="HO49" s="24">
        <v>146835</v>
      </c>
      <c r="HP49" s="24">
        <v>41005</v>
      </c>
      <c r="HQ49" s="24">
        <v>0</v>
      </c>
      <c r="HR49" s="24">
        <v>0</v>
      </c>
      <c r="HS49" s="24">
        <v>0</v>
      </c>
      <c r="HT49" s="24">
        <v>0</v>
      </c>
      <c r="HU49" s="24">
        <v>0</v>
      </c>
      <c r="HV49" s="24">
        <v>0</v>
      </c>
      <c r="HW49" s="24">
        <v>0</v>
      </c>
      <c r="HX49" s="24">
        <v>0</v>
      </c>
      <c r="HY49" s="24">
        <v>0</v>
      </c>
      <c r="HZ49" s="24">
        <v>0</v>
      </c>
      <c r="IA49" s="24">
        <v>19212</v>
      </c>
      <c r="IB49" s="24">
        <v>2656</v>
      </c>
      <c r="IC49" s="24">
        <v>0</v>
      </c>
      <c r="ID49" s="24">
        <v>0</v>
      </c>
      <c r="IE49" s="24">
        <v>0</v>
      </c>
      <c r="IF49" s="24">
        <v>0</v>
      </c>
      <c r="IG49" s="24">
        <v>0</v>
      </c>
      <c r="IH49" s="24">
        <v>0</v>
      </c>
      <c r="II49" s="24">
        <v>0</v>
      </c>
      <c r="IJ49" s="24">
        <v>0</v>
      </c>
      <c r="IK49" s="24">
        <v>0</v>
      </c>
      <c r="IL49" s="24">
        <v>0</v>
      </c>
      <c r="IM49" s="24">
        <v>0</v>
      </c>
      <c r="IN49" s="24">
        <v>0</v>
      </c>
      <c r="IO49" s="24">
        <v>1125</v>
      </c>
      <c r="IP49" s="24">
        <v>0</v>
      </c>
      <c r="IQ49" s="24">
        <v>0</v>
      </c>
      <c r="IR49" s="24">
        <v>15900</v>
      </c>
      <c r="IS49" s="24">
        <v>0</v>
      </c>
      <c r="IT49" s="24">
        <v>0</v>
      </c>
      <c r="IU49" s="24">
        <v>1919</v>
      </c>
      <c r="IV49" s="24">
        <v>0</v>
      </c>
      <c r="IW49" s="24">
        <v>27219</v>
      </c>
      <c r="IX49" s="24">
        <v>0</v>
      </c>
      <c r="IY49" s="24">
        <v>0</v>
      </c>
      <c r="IZ49" s="24">
        <v>0</v>
      </c>
      <c r="JA49" s="24">
        <v>0</v>
      </c>
      <c r="JB49" s="24">
        <v>11397</v>
      </c>
      <c r="JC49" s="24">
        <v>0</v>
      </c>
      <c r="JD49" s="24">
        <v>0</v>
      </c>
      <c r="JE49" s="24">
        <v>154371</v>
      </c>
      <c r="JF49" s="24">
        <v>0</v>
      </c>
      <c r="JG49" s="24">
        <v>0</v>
      </c>
      <c r="JH49" s="24">
        <v>0</v>
      </c>
      <c r="JI49" s="24">
        <v>0</v>
      </c>
      <c r="JJ49" s="24">
        <v>0</v>
      </c>
      <c r="JK49" s="24">
        <v>0</v>
      </c>
      <c r="JL49" s="24">
        <v>0</v>
      </c>
      <c r="JM49" s="24">
        <v>0</v>
      </c>
      <c r="JN49" s="24">
        <v>0</v>
      </c>
      <c r="JO49" s="24">
        <v>0</v>
      </c>
      <c r="JP49" s="24">
        <v>0</v>
      </c>
      <c r="JQ49" s="24">
        <v>0</v>
      </c>
      <c r="JR49" s="24">
        <v>0</v>
      </c>
      <c r="JS49" s="24">
        <v>0</v>
      </c>
      <c r="JT49" s="24">
        <v>0</v>
      </c>
      <c r="JU49" s="24">
        <v>0</v>
      </c>
      <c r="JV49" s="24">
        <v>0</v>
      </c>
      <c r="JW49" s="24">
        <v>0</v>
      </c>
      <c r="JX49" s="24">
        <v>0</v>
      </c>
      <c r="JY49" s="24">
        <v>0</v>
      </c>
      <c r="JZ49" s="24">
        <v>0</v>
      </c>
      <c r="KA49" s="24">
        <v>0</v>
      </c>
      <c r="KB49" s="24">
        <v>0</v>
      </c>
      <c r="KC49" s="24">
        <v>0</v>
      </c>
      <c r="KD49" s="24">
        <v>0</v>
      </c>
      <c r="KE49" s="24">
        <v>0</v>
      </c>
      <c r="KF49" s="24">
        <v>0</v>
      </c>
      <c r="KG49" s="24">
        <v>201092</v>
      </c>
      <c r="KH49" s="24">
        <v>0</v>
      </c>
      <c r="KI49" s="24">
        <v>0</v>
      </c>
      <c r="KJ49" s="24">
        <v>0</v>
      </c>
      <c r="KK49" s="24">
        <v>0</v>
      </c>
      <c r="KL49" s="24">
        <v>14102</v>
      </c>
      <c r="KM49" s="24">
        <v>0</v>
      </c>
      <c r="KN49" s="24">
        <v>0</v>
      </c>
      <c r="KO49" s="24">
        <v>0</v>
      </c>
      <c r="KP49" s="24">
        <v>0</v>
      </c>
      <c r="KQ49" s="24">
        <v>0</v>
      </c>
      <c r="KR49" s="24">
        <v>0</v>
      </c>
      <c r="KS49" s="24">
        <v>0</v>
      </c>
      <c r="KT49" s="24">
        <v>0</v>
      </c>
      <c r="KU49" s="24">
        <v>0</v>
      </c>
      <c r="KV49" s="24">
        <v>0</v>
      </c>
      <c r="KW49" s="24">
        <v>0</v>
      </c>
      <c r="KX49" s="24">
        <v>0</v>
      </c>
      <c r="KY49" s="24">
        <v>0</v>
      </c>
      <c r="KZ49" s="24">
        <v>0</v>
      </c>
      <c r="LA49" s="24">
        <v>0</v>
      </c>
      <c r="LB49" s="24">
        <v>0</v>
      </c>
      <c r="LC49" s="24">
        <v>0</v>
      </c>
      <c r="LD49" s="24">
        <v>0</v>
      </c>
      <c r="LE49" s="24">
        <v>0</v>
      </c>
      <c r="LF49" s="24">
        <v>0</v>
      </c>
      <c r="LG49" s="24">
        <v>0</v>
      </c>
      <c r="LH49" s="24">
        <v>0</v>
      </c>
      <c r="LI49" s="24">
        <v>0</v>
      </c>
      <c r="LJ49" s="24">
        <v>0</v>
      </c>
      <c r="LK49" s="24">
        <v>0</v>
      </c>
      <c r="LL49" s="24">
        <v>0</v>
      </c>
      <c r="LM49" s="24">
        <v>0</v>
      </c>
      <c r="LN49" s="24">
        <v>0</v>
      </c>
      <c r="LO49" s="24">
        <v>0</v>
      </c>
      <c r="LP49" s="24">
        <v>0</v>
      </c>
      <c r="LQ49" s="24">
        <v>62686</v>
      </c>
      <c r="LR49" s="24">
        <v>0</v>
      </c>
      <c r="LS49" s="24">
        <v>0</v>
      </c>
      <c r="LT49" s="24">
        <v>0</v>
      </c>
      <c r="LU49" s="24">
        <v>0</v>
      </c>
      <c r="LV49" s="24">
        <v>0</v>
      </c>
      <c r="LW49" s="24">
        <v>0</v>
      </c>
      <c r="LX49" s="24">
        <v>0</v>
      </c>
      <c r="LY49" s="24">
        <v>0</v>
      </c>
      <c r="LZ49" s="24">
        <v>110374</v>
      </c>
      <c r="MA49" s="24">
        <v>0</v>
      </c>
      <c r="MB49" s="24">
        <v>0</v>
      </c>
      <c r="MC49" s="24">
        <v>0</v>
      </c>
      <c r="MD49" s="24">
        <v>0</v>
      </c>
      <c r="ME49" s="24">
        <v>0</v>
      </c>
      <c r="MF49" s="24">
        <v>0</v>
      </c>
      <c r="MG49" s="24">
        <v>0</v>
      </c>
      <c r="MH49" s="24">
        <v>0</v>
      </c>
      <c r="MI49" s="24">
        <v>0</v>
      </c>
      <c r="MJ49" s="24">
        <v>0</v>
      </c>
      <c r="MK49" s="24">
        <v>0</v>
      </c>
      <c r="ML49" s="24">
        <v>0</v>
      </c>
      <c r="MM49" s="24">
        <v>0</v>
      </c>
      <c r="MN49" s="24">
        <v>0</v>
      </c>
      <c r="MO49" s="24">
        <v>0</v>
      </c>
      <c r="MP49" s="24">
        <v>0</v>
      </c>
      <c r="MQ49" s="24">
        <v>0</v>
      </c>
      <c r="MR49" s="24">
        <v>68071</v>
      </c>
      <c r="MS49" s="24">
        <v>0</v>
      </c>
      <c r="MT49" s="24">
        <v>0</v>
      </c>
      <c r="MU49" s="24">
        <v>0</v>
      </c>
      <c r="MV49" s="24">
        <v>0</v>
      </c>
      <c r="MW49" s="24">
        <v>35552</v>
      </c>
      <c r="MX49" s="24">
        <v>3997</v>
      </c>
      <c r="MY49" s="24">
        <v>0</v>
      </c>
      <c r="MZ49" s="24">
        <v>0</v>
      </c>
      <c r="NA49" s="24">
        <v>0</v>
      </c>
      <c r="NB49" s="24">
        <v>0</v>
      </c>
      <c r="NC49" s="24">
        <v>0</v>
      </c>
      <c r="ND49" s="24">
        <v>0</v>
      </c>
      <c r="NE49" s="24">
        <v>0</v>
      </c>
      <c r="NF49" s="24">
        <v>0</v>
      </c>
      <c r="NG49" s="24">
        <v>0</v>
      </c>
      <c r="NH49" s="24">
        <v>0</v>
      </c>
      <c r="NI49" s="24">
        <v>0</v>
      </c>
      <c r="NJ49" s="24">
        <v>0</v>
      </c>
      <c r="NK49" s="24">
        <v>0</v>
      </c>
      <c r="NL49" s="24">
        <v>0</v>
      </c>
      <c r="NM49" s="24">
        <v>0</v>
      </c>
      <c r="NN49" s="24">
        <v>0</v>
      </c>
      <c r="NO49" s="24">
        <v>0</v>
      </c>
      <c r="NP49" s="24">
        <v>0</v>
      </c>
      <c r="NQ49" s="24">
        <v>0</v>
      </c>
      <c r="NR49" s="24">
        <v>0</v>
      </c>
      <c r="NS49" s="24">
        <v>0</v>
      </c>
      <c r="NT49" s="24">
        <v>0</v>
      </c>
      <c r="NU49" s="24">
        <v>0</v>
      </c>
      <c r="NV49" s="24">
        <v>7511</v>
      </c>
      <c r="NW49" s="24">
        <v>0</v>
      </c>
      <c r="NX49" s="24">
        <v>0</v>
      </c>
      <c r="NY49" s="24">
        <v>0</v>
      </c>
      <c r="NZ49" s="24">
        <v>0</v>
      </c>
      <c r="OA49" s="24">
        <v>0</v>
      </c>
      <c r="OB49" s="24">
        <v>0</v>
      </c>
      <c r="OC49" s="24">
        <v>0</v>
      </c>
      <c r="OD49" s="24">
        <v>0</v>
      </c>
      <c r="OE49" s="24">
        <v>0</v>
      </c>
      <c r="OF49" s="24">
        <v>0</v>
      </c>
      <c r="OG49" s="24">
        <v>0</v>
      </c>
      <c r="OH49" s="24">
        <v>0</v>
      </c>
      <c r="OI49" s="24">
        <v>0</v>
      </c>
      <c r="OJ49" s="24">
        <v>26695</v>
      </c>
      <c r="OK49" s="24">
        <v>0</v>
      </c>
      <c r="OL49" s="24">
        <v>0</v>
      </c>
      <c r="OM49" s="24">
        <v>0</v>
      </c>
      <c r="ON49" s="24">
        <v>0</v>
      </c>
      <c r="OO49" s="24">
        <v>0</v>
      </c>
      <c r="OP49" s="24">
        <v>0</v>
      </c>
      <c r="OQ49" s="24">
        <v>0</v>
      </c>
      <c r="OR49" s="24">
        <v>0</v>
      </c>
      <c r="OS49" s="24">
        <v>0</v>
      </c>
      <c r="OT49" s="24">
        <v>0</v>
      </c>
      <c r="OU49" s="24">
        <v>0</v>
      </c>
      <c r="OV49" s="24">
        <v>0</v>
      </c>
      <c r="OW49" s="24">
        <v>0</v>
      </c>
      <c r="OX49" s="24">
        <v>0</v>
      </c>
      <c r="OY49" s="24">
        <v>0</v>
      </c>
      <c r="OZ49" s="24">
        <v>0</v>
      </c>
      <c r="PA49" s="24">
        <v>0</v>
      </c>
      <c r="PB49" s="24">
        <v>0</v>
      </c>
      <c r="PC49" s="24">
        <v>0</v>
      </c>
      <c r="PD49" s="24">
        <v>0</v>
      </c>
      <c r="PE49" s="24">
        <v>0</v>
      </c>
      <c r="PF49" s="24">
        <v>0</v>
      </c>
      <c r="PG49" s="24">
        <v>0</v>
      </c>
      <c r="PH49" s="24">
        <v>166196</v>
      </c>
      <c r="PI49" s="24">
        <v>0</v>
      </c>
      <c r="PJ49" s="24">
        <v>0</v>
      </c>
      <c r="PK49" s="24">
        <v>0</v>
      </c>
      <c r="PL49" s="24">
        <v>0</v>
      </c>
      <c r="PM49" s="24">
        <v>0</v>
      </c>
      <c r="PN49" s="24">
        <v>0</v>
      </c>
      <c r="PO49" s="24">
        <v>0</v>
      </c>
      <c r="PP49" s="24">
        <v>0</v>
      </c>
      <c r="PQ49" s="24">
        <v>0</v>
      </c>
      <c r="PR49" s="24">
        <v>0</v>
      </c>
      <c r="PS49" s="24">
        <v>0</v>
      </c>
      <c r="PT49" s="24">
        <v>121963</v>
      </c>
      <c r="PU49" s="24">
        <v>1440</v>
      </c>
      <c r="PV49" s="24">
        <v>0</v>
      </c>
      <c r="PW49" s="24">
        <v>0</v>
      </c>
      <c r="PX49" s="24">
        <v>0</v>
      </c>
      <c r="PY49" s="24">
        <v>0</v>
      </c>
      <c r="PZ49" s="24">
        <v>0</v>
      </c>
      <c r="QA49" s="24">
        <v>0</v>
      </c>
      <c r="QB49" s="24">
        <v>0</v>
      </c>
      <c r="QC49" s="24">
        <v>0</v>
      </c>
      <c r="QD49" s="24">
        <v>0</v>
      </c>
      <c r="QE49" s="24">
        <v>0</v>
      </c>
      <c r="QF49" s="24">
        <v>0</v>
      </c>
      <c r="QG49" s="24">
        <v>0</v>
      </c>
      <c r="QH49" s="24">
        <v>0</v>
      </c>
      <c r="QI49" s="24">
        <v>0</v>
      </c>
      <c r="QJ49" s="24">
        <v>0</v>
      </c>
      <c r="QK49" s="24">
        <v>0</v>
      </c>
      <c r="QL49" s="24">
        <v>0</v>
      </c>
      <c r="QM49" s="24">
        <v>0</v>
      </c>
      <c r="QN49" s="24">
        <v>0</v>
      </c>
      <c r="QO49" s="24">
        <v>0</v>
      </c>
      <c r="QP49" s="24">
        <v>0</v>
      </c>
      <c r="QQ49" s="24">
        <v>0</v>
      </c>
      <c r="QR49" s="24">
        <v>0</v>
      </c>
      <c r="QS49" s="24">
        <v>56060</v>
      </c>
      <c r="QT49" s="24">
        <v>0</v>
      </c>
      <c r="QU49" s="24">
        <v>0</v>
      </c>
      <c r="QV49" s="24">
        <v>114405</v>
      </c>
      <c r="QW49" s="24">
        <v>0</v>
      </c>
      <c r="QX49" s="24">
        <v>0</v>
      </c>
      <c r="QY49" s="24">
        <v>0</v>
      </c>
      <c r="QZ49" s="24">
        <v>0</v>
      </c>
      <c r="RA49" s="24">
        <v>3600</v>
      </c>
      <c r="RB49" s="24">
        <v>0</v>
      </c>
      <c r="RG49" s="39">
        <f t="shared" si="126"/>
        <v>1090052</v>
      </c>
      <c r="RH49" s="39">
        <f t="shared" si="126"/>
        <v>49369</v>
      </c>
      <c r="RI49" s="39">
        <f t="shared" si="126"/>
        <v>2724</v>
      </c>
      <c r="RJ49" s="39">
        <f t="shared" si="126"/>
        <v>0</v>
      </c>
      <c r="RK49" s="39">
        <f t="shared" si="126"/>
        <v>0</v>
      </c>
      <c r="RL49" s="39">
        <f t="shared" si="126"/>
        <v>146835</v>
      </c>
      <c r="RM49" s="39">
        <f t="shared" si="126"/>
        <v>62873</v>
      </c>
      <c r="RN49" s="39">
        <f t="shared" si="126"/>
        <v>1125</v>
      </c>
      <c r="RO49" s="39">
        <f t="shared" si="126"/>
        <v>17819</v>
      </c>
      <c r="RP49" s="39">
        <f t="shared" si="126"/>
        <v>27219</v>
      </c>
      <c r="RQ49" s="39">
        <f t="shared" si="126"/>
        <v>11397</v>
      </c>
      <c r="RR49" s="39">
        <f t="shared" si="126"/>
        <v>154371</v>
      </c>
      <c r="RS49" s="39"/>
      <c r="RT49" s="182"/>
      <c r="RU49" s="39"/>
      <c r="RV49" s="39">
        <f t="shared" si="127"/>
        <v>530080</v>
      </c>
      <c r="RW49" s="39">
        <f t="shared" si="127"/>
        <v>1563784</v>
      </c>
      <c r="RX49" s="39">
        <f t="shared" si="127"/>
        <v>457923</v>
      </c>
      <c r="RY49" s="39">
        <f t="shared" si="127"/>
        <v>463664</v>
      </c>
      <c r="RZ49" s="39"/>
      <c r="SA49" s="182"/>
      <c r="SB49" s="39"/>
      <c r="SC49" s="25">
        <f t="shared" si="50"/>
        <v>3294.4100719424459</v>
      </c>
      <c r="SD49" s="39">
        <f>IFERROR(VLOOKUP(A49, 'Levy Data 15-16'!$B:$O, 3, FALSE), 0)</f>
        <v>116975426</v>
      </c>
      <c r="SE49" s="39">
        <f t="shared" si="88"/>
        <v>841549.82733812951</v>
      </c>
      <c r="SF49" s="631">
        <f>IFERROR(VLOOKUP(A49, 'Levy Data 15-16'!$B:$O, 14, FALSE), 0)*1000</f>
        <v>3.0808770000000001</v>
      </c>
      <c r="SG49" s="39">
        <f t="shared" si="89"/>
        <v>0</v>
      </c>
      <c r="SH49" s="39">
        <f t="shared" si="90"/>
        <v>0</v>
      </c>
      <c r="SI49" s="39">
        <f t="shared" si="91"/>
        <v>457923</v>
      </c>
      <c r="SM49" s="39">
        <f t="shared" si="92"/>
        <v>1563784</v>
      </c>
      <c r="SN49" s="39">
        <f t="shared" si="93"/>
        <v>0</v>
      </c>
      <c r="SO49" s="39">
        <f t="shared" si="51"/>
        <v>1563784</v>
      </c>
      <c r="SP49" s="50">
        <f t="shared" si="52"/>
        <v>1</v>
      </c>
      <c r="ST49" s="124">
        <f>IFERROR(VLOOKUP(A49,'Grade Enroll 15-16'!B:AC,27,FALSE),"")</f>
        <v>139</v>
      </c>
      <c r="SU49" s="124">
        <f t="shared" si="53"/>
        <v>105.77987421383648</v>
      </c>
      <c r="SV49" s="131">
        <f>IFERROR(VLOOKUP($A49, 'Title I Enroll 16-17'!S:V, 4, FALSE), 0)</f>
        <v>0.76100628930817615</v>
      </c>
      <c r="SW49" s="729">
        <f>IFERROR(VLOOKUP(A49, 'ELL Enroll 15-16'!$N:$S, 6, FALSE), 0)</f>
        <v>22</v>
      </c>
      <c r="SX49" s="131">
        <f t="shared" si="54"/>
        <v>0.15827338129496402</v>
      </c>
      <c r="SY49" s="124">
        <f>IFERROR(VLOOKUP(A49, 'SPED enroll 2015-16'!$M:$O, 3, FALSE), 0)</f>
        <v>10</v>
      </c>
      <c r="SZ49" s="131">
        <f t="shared" si="55"/>
        <v>7.1942446043165464E-2</v>
      </c>
      <c r="TA49" s="142">
        <f t="shared" si="87"/>
        <v>7</v>
      </c>
      <c r="TB49" s="142">
        <f t="shared" si="87"/>
        <v>2</v>
      </c>
      <c r="TC49" s="142">
        <f t="shared" si="87"/>
        <v>0.70000000000000007</v>
      </c>
      <c r="TD49" s="142">
        <f t="shared" si="87"/>
        <v>0.3</v>
      </c>
      <c r="TE49" s="124">
        <f>VLOOKUP($A49, 'Grade Enroll 15-16'!$B:$AB, 20, FALSE)</f>
        <v>0</v>
      </c>
      <c r="TF49" s="124">
        <f>VLOOKUP($A49, 'Grade Enroll 15-16'!$B:$AB, 21, FALSE)</f>
        <v>11</v>
      </c>
      <c r="TG49" s="124">
        <f>VLOOKUP($A49, 'Grade Enroll 15-16'!$B:$AB, 22, FALSE)</f>
        <v>29</v>
      </c>
      <c r="TH49" s="124">
        <f>VLOOKUP($A49, 'Grade Enroll 15-16'!$B:$AB, 23, FALSE)</f>
        <v>37</v>
      </c>
      <c r="TI49" s="124">
        <f>VLOOKUP($A49, 'Grade Enroll 15-16'!$B:$AB, 24, FALSE)</f>
        <v>17</v>
      </c>
      <c r="TJ49" s="124">
        <f>VLOOKUP($A49, 'Grade Enroll 15-16'!$B:$AB, 25, FALSE)</f>
        <v>56</v>
      </c>
      <c r="TK49" s="124">
        <f>VLOOKUP($A49, 'Grade Enroll 15-16'!$B:$AB, 26, FALSE)</f>
        <v>92</v>
      </c>
      <c r="TL49" s="131">
        <f>SUMIFS('Student Achievement 15-16'!N:N, 'Student Achievement 15-16'!B:B, 'Idaho Data'!A49, 'Student Achievement 15-16'!D:D, "math")/100</f>
        <v>0.33299999999999996</v>
      </c>
      <c r="TM49" s="134">
        <f t="shared" si="57"/>
        <v>46.286999999999992</v>
      </c>
      <c r="TN49" s="131">
        <f>SUMIFS('Student Achievement 15-16'!N:N, 'Student Achievement 15-16'!B:B, 'Idaho Data'!A49, 'Student Achievement 15-16'!D:D, "ela")/100</f>
        <v>0.29299999999999998</v>
      </c>
      <c r="TO49" s="134">
        <f t="shared" si="58"/>
        <v>40.726999999999997</v>
      </c>
      <c r="TP49" s="688">
        <f>IFERROR(VLOOKUP(A49, 'G&amp;T 15-16'!B:G, 6, FALSE), 0)*1</f>
        <v>0</v>
      </c>
      <c r="TQ49" s="168">
        <f t="shared" si="59"/>
        <v>8.34</v>
      </c>
      <c r="TU49" s="168">
        <f t="shared" si="60"/>
        <v>40.726999999999997</v>
      </c>
      <c r="TV49" s="168">
        <f t="shared" si="61"/>
        <v>46.286999999999992</v>
      </c>
      <c r="TW49" s="205">
        <f t="shared" si="62"/>
        <v>46.286999999999992</v>
      </c>
      <c r="TX49" s="144"/>
      <c r="TY49" s="129"/>
      <c r="TZ49" s="127">
        <f t="shared" si="63"/>
        <v>0</v>
      </c>
      <c r="UA49" s="127">
        <f t="shared" si="64"/>
        <v>8.34</v>
      </c>
      <c r="UB49" s="205">
        <f t="shared" si="65"/>
        <v>8.34</v>
      </c>
      <c r="UE49" s="853" t="str">
        <f>IF(ST49&lt;='1. Simulator Input'!$E$104, "yes", "")</f>
        <v>yes</v>
      </c>
      <c r="UI49" s="199">
        <f t="shared" si="66"/>
        <v>0</v>
      </c>
      <c r="UJ49" s="200">
        <f>IF('Idaho Data'!SI49&gt;=0, ((1-'1. Simulator Input'!$E$39)*'Idaho Data'!SI49), 0)</f>
        <v>0</v>
      </c>
      <c r="UK49" s="200">
        <f t="shared" si="67"/>
        <v>1563784</v>
      </c>
      <c r="UL49" s="39"/>
      <c r="UM49" s="182"/>
      <c r="UN49" s="39"/>
      <c r="UO49" s="39">
        <f>IF(AND('1. Simulator Input'!$E$96="yes", '1. Simulator Input'!$E$98="yes", '1. Simulator Input'!$E$100="hold harmless"), 'Idaho Data'!WN49, IF(AND('1. Simulator Input'!$E$96="yes", '1. Simulator Input'!$E$98="no", '1. Simulator Input'!$E$100="hold harmless"), 'Idaho Data'!WM49, IF(AND('1. Simulator Input'!$E$96="yes", '1. Simulator Input'!$E$98="yes", '1. Simulator Input'!$E$100="small district grant"), WL49,IF(AND('1. Simulator Input'!$E$96="yes", '1. Simulator Input'!$E$98="no", '1. Simulator Input'!$E$100="small district grant"), WK49, ""))))</f>
        <v>0</v>
      </c>
      <c r="UP49" s="200">
        <f>'1. Simulator Input'!$D$56*('Idaho Data'!ST49)</f>
        <v>768114</v>
      </c>
      <c r="UQ49" s="204">
        <f>'1. Simulator Input'!$D$65*'1. Simulator Input'!$D$56*'Idaho Data'!SU49</f>
        <v>0</v>
      </c>
      <c r="UR49" s="204">
        <f>'1. Simulator Input'!$D$66*'1. Simulator Input'!$D$56*'Idaho Data'!SW49</f>
        <v>0</v>
      </c>
      <c r="US49" s="200">
        <f>'1. Simulator Input'!$D$67*'1. Simulator Input'!$D$56*'Idaho Data'!TA49</f>
        <v>0</v>
      </c>
      <c r="UT49" s="200">
        <f>'1. Simulator Input'!$D$68*'1. Simulator Input'!$D$56*'Idaho Data'!TB49</f>
        <v>0</v>
      </c>
      <c r="UU49" s="200">
        <f>'1. Simulator Input'!$D$69*'1. Simulator Input'!$D$56*'Idaho Data'!TC49</f>
        <v>0</v>
      </c>
      <c r="UV49" s="200">
        <f>'1. Simulator Input'!$D$70*'1. Simulator Input'!$D$56*TD49</f>
        <v>0</v>
      </c>
      <c r="UW49" s="200">
        <f>'1. Simulator Input'!$D$80*'1. Simulator Input'!$D$56*TW49</f>
        <v>0</v>
      </c>
      <c r="UX49" s="200">
        <f>'1. Simulator Input'!$D$79*'1. Simulator Input'!$D$56*UB49</f>
        <v>0</v>
      </c>
      <c r="UY49" s="200">
        <f>'1. Simulator Input'!$D$87*'1. Simulator Input'!$D$56*TF49</f>
        <v>30393</v>
      </c>
      <c r="UZ49" s="200">
        <f>'1. Simulator Input'!$D$73*'1. Simulator Input'!$D$56*'Idaho Data'!TG49</f>
        <v>0</v>
      </c>
      <c r="VA49" s="200">
        <f>'1. Simulator Input'!$D$56*'1. Simulator Input'!$D$74*'Idaho Data'!TH49</f>
        <v>0</v>
      </c>
      <c r="VB49" s="200">
        <f>'1. Simulator Input'!$D$56*'1. Simulator Input'!$D$75*'Idaho Data'!TI44</f>
        <v>0</v>
      </c>
      <c r="VC49" s="200">
        <f>'1. Simulator Input'!$D$76*'1. Simulator Input'!$D$56*'Idaho Data'!TJ49</f>
        <v>0</v>
      </c>
      <c r="VD49" s="200">
        <f t="shared" si="68"/>
        <v>798507</v>
      </c>
      <c r="VE49" s="200"/>
      <c r="VF49" s="182"/>
      <c r="VG49" s="200"/>
      <c r="VH49" s="200">
        <f t="shared" si="69"/>
        <v>0</v>
      </c>
      <c r="VI49" s="200">
        <f t="shared" si="70"/>
        <v>0</v>
      </c>
      <c r="VJ49" s="200">
        <f t="shared" si="94"/>
        <v>798507</v>
      </c>
      <c r="VK49" s="200">
        <f t="shared" si="95"/>
        <v>798507</v>
      </c>
      <c r="VL49" s="200"/>
      <c r="VM49" s="182"/>
      <c r="VN49" s="200"/>
      <c r="VO49" s="200">
        <f t="shared" si="71"/>
        <v>530080</v>
      </c>
      <c r="VP49" s="200">
        <f t="shared" si="72"/>
        <v>1563784</v>
      </c>
      <c r="VQ49" s="200">
        <f t="shared" si="73"/>
        <v>457923</v>
      </c>
      <c r="VR49" s="200">
        <f t="shared" si="74"/>
        <v>530080</v>
      </c>
      <c r="VS49" s="200">
        <f t="shared" si="96"/>
        <v>798507</v>
      </c>
      <c r="VT49" s="200">
        <f t="shared" si="97"/>
        <v>457923</v>
      </c>
      <c r="VU49" s="200">
        <f t="shared" si="98"/>
        <v>0</v>
      </c>
      <c r="VV49" s="200"/>
      <c r="VW49" s="182"/>
      <c r="VX49" s="200"/>
      <c r="VZ49" s="199">
        <f t="shared" si="75"/>
        <v>-765277</v>
      </c>
      <c r="WA49" s="199">
        <f t="shared" si="76"/>
        <v>-5505.5899280575541</v>
      </c>
      <c r="WB49" s="131">
        <f t="shared" si="77"/>
        <v>-0.4893751310922736</v>
      </c>
      <c r="WC49" s="131"/>
      <c r="WD49" s="461"/>
      <c r="WE49" s="893"/>
      <c r="WF49" s="893">
        <f t="shared" si="78"/>
        <v>18358.179856115108</v>
      </c>
      <c r="WG49" s="893">
        <f t="shared" si="79"/>
        <v>12852.589928057554</v>
      </c>
      <c r="WH49" s="893"/>
      <c r="WI49" s="893">
        <f t="shared" si="80"/>
        <v>1563784</v>
      </c>
      <c r="WJ49" s="893">
        <f t="shared" si="99"/>
        <v>798507</v>
      </c>
      <c r="WK49" s="39">
        <f t="shared" si="100"/>
        <v>0</v>
      </c>
      <c r="WL49" s="39">
        <f t="shared" si="101"/>
        <v>0</v>
      </c>
      <c r="WM49" s="200">
        <f t="shared" si="102"/>
        <v>765277</v>
      </c>
      <c r="WN49" s="39">
        <f t="shared" si="103"/>
        <v>765277</v>
      </c>
      <c r="WO49" s="39"/>
      <c r="WP49" s="182"/>
      <c r="WQ49" s="39"/>
      <c r="WR49" s="305">
        <f t="shared" si="104"/>
        <v>0.78</v>
      </c>
      <c r="WT49" s="200">
        <f t="shared" si="105"/>
        <v>11250.244604316547</v>
      </c>
      <c r="WU49" s="131">
        <f t="shared" si="81"/>
        <v>0.89</v>
      </c>
      <c r="WW49" s="199">
        <f t="shared" si="106"/>
        <v>530080</v>
      </c>
      <c r="WX49" s="199">
        <f t="shared" si="107"/>
        <v>798507</v>
      </c>
      <c r="WY49" s="199">
        <f t="shared" si="108"/>
        <v>0</v>
      </c>
      <c r="WZ49" s="199">
        <f t="shared" si="82"/>
        <v>798507</v>
      </c>
      <c r="XA49" s="199">
        <f t="shared" si="109"/>
        <v>0</v>
      </c>
      <c r="XB49" s="199">
        <f t="shared" si="110"/>
        <v>457923</v>
      </c>
      <c r="XC49" s="199">
        <f t="shared" si="111"/>
        <v>457923</v>
      </c>
      <c r="XD49" s="199" t="str">
        <f t="shared" si="112"/>
        <v/>
      </c>
      <c r="XE49" s="199"/>
      <c r="XF49" s="199"/>
      <c r="XG49" s="199"/>
      <c r="XH49" s="199"/>
      <c r="XI49" s="199"/>
      <c r="XJ49" s="199">
        <f t="shared" si="83"/>
        <v>798507</v>
      </c>
      <c r="XP49" s="199">
        <f t="shared" si="113"/>
        <v>798507</v>
      </c>
      <c r="XQ49" s="199">
        <f t="shared" si="114"/>
        <v>5744.6546762589924</v>
      </c>
      <c r="XR49" s="199">
        <f t="shared" si="115"/>
        <v>798507</v>
      </c>
      <c r="XS49" s="199">
        <f t="shared" si="116"/>
        <v>798507</v>
      </c>
      <c r="XT49" s="199">
        <f t="shared" si="117"/>
        <v>5744.6546762589924</v>
      </c>
      <c r="XU49" s="199">
        <f t="shared" si="118"/>
        <v>1563784</v>
      </c>
      <c r="XV49" s="199">
        <f t="shared" si="119"/>
        <v>11250.244604316547</v>
      </c>
      <c r="XW49" s="199">
        <f t="shared" si="120"/>
        <v>1563784</v>
      </c>
      <c r="XX49" s="199">
        <f t="shared" si="121"/>
        <v>11250.244604316547</v>
      </c>
      <c r="XY49" s="199">
        <f t="shared" si="84"/>
        <v>-765277</v>
      </c>
      <c r="XZ49" s="199">
        <f t="shared" si="85"/>
        <v>-5505.589928057555</v>
      </c>
      <c r="YA49" s="131">
        <f t="shared" si="86"/>
        <v>-0.48937513109227365</v>
      </c>
      <c r="YB49" s="199"/>
      <c r="YC49" s="221"/>
      <c r="YD49" s="199"/>
      <c r="YE49" s="199">
        <f t="shared" si="122"/>
        <v>530080</v>
      </c>
      <c r="YF49" s="200">
        <f t="shared" si="123"/>
        <v>0</v>
      </c>
      <c r="YG49" s="199">
        <f t="shared" si="124"/>
        <v>457923</v>
      </c>
      <c r="YH49" s="199">
        <f t="shared" si="125"/>
        <v>463664</v>
      </c>
    </row>
    <row r="50" spans="1:658">
      <c r="A50" s="3">
        <v>171</v>
      </c>
      <c r="B50" s="2" t="s">
        <v>143</v>
      </c>
      <c r="C50" s="24">
        <v>1164523</v>
      </c>
      <c r="D50" s="24">
        <v>0</v>
      </c>
      <c r="E50" s="24">
        <v>0</v>
      </c>
      <c r="F50" s="24">
        <v>134090</v>
      </c>
      <c r="G50" s="24">
        <v>1253702</v>
      </c>
      <c r="H50" s="24">
        <v>0</v>
      </c>
      <c r="I50" s="24">
        <v>0</v>
      </c>
      <c r="J50" s="24">
        <v>1053</v>
      </c>
      <c r="K50" s="24">
        <v>0</v>
      </c>
      <c r="L50" s="24">
        <v>0</v>
      </c>
      <c r="M50" s="24">
        <v>0</v>
      </c>
      <c r="N50" s="24">
        <v>0</v>
      </c>
      <c r="O50" s="24">
        <v>0</v>
      </c>
      <c r="P50" s="24">
        <v>0</v>
      </c>
      <c r="Q50" s="24">
        <v>0</v>
      </c>
      <c r="R50" s="24">
        <v>0</v>
      </c>
      <c r="S50" s="24">
        <v>0</v>
      </c>
      <c r="T50" s="24">
        <v>0</v>
      </c>
      <c r="U50" s="24">
        <v>0</v>
      </c>
      <c r="V50" s="24">
        <v>0</v>
      </c>
      <c r="W50" s="24">
        <v>0</v>
      </c>
      <c r="X50" s="24">
        <v>0</v>
      </c>
      <c r="Y50" s="24">
        <v>13407</v>
      </c>
      <c r="Z50" s="24">
        <v>0</v>
      </c>
      <c r="AA50" s="24">
        <v>0</v>
      </c>
      <c r="AB50" s="24">
        <v>0</v>
      </c>
      <c r="AC50" s="24">
        <v>0</v>
      </c>
      <c r="AD50" s="24">
        <v>0</v>
      </c>
      <c r="AE50" s="24">
        <v>0</v>
      </c>
      <c r="AF50" s="24">
        <v>0</v>
      </c>
      <c r="AG50" s="24">
        <v>0</v>
      </c>
      <c r="AH50" s="24">
        <v>0</v>
      </c>
      <c r="AI50" s="24">
        <v>0</v>
      </c>
      <c r="AJ50" s="24">
        <v>0</v>
      </c>
      <c r="AK50" s="24">
        <v>0</v>
      </c>
      <c r="AL50" s="24">
        <v>7346</v>
      </c>
      <c r="AM50" s="24">
        <v>33</v>
      </c>
      <c r="AN50" s="24">
        <v>0</v>
      </c>
      <c r="AO50" s="24">
        <v>0</v>
      </c>
      <c r="AP50" s="24">
        <v>0</v>
      </c>
      <c r="AQ50" s="24">
        <v>0</v>
      </c>
      <c r="AR50" s="24">
        <v>0</v>
      </c>
      <c r="AS50" s="24">
        <v>0</v>
      </c>
      <c r="AT50" s="24">
        <v>0</v>
      </c>
      <c r="AU50" s="24">
        <v>0</v>
      </c>
      <c r="AV50" s="24">
        <v>0</v>
      </c>
      <c r="AW50" s="24">
        <v>2638</v>
      </c>
      <c r="AX50" s="24">
        <v>0</v>
      </c>
      <c r="AY50" s="24">
        <v>0</v>
      </c>
      <c r="AZ50" s="24">
        <v>0</v>
      </c>
      <c r="BA50" s="24">
        <v>0</v>
      </c>
      <c r="BB50" s="24">
        <v>0</v>
      </c>
      <c r="BC50" s="24">
        <v>1</v>
      </c>
      <c r="BD50" s="24">
        <v>0</v>
      </c>
      <c r="BE50" s="24">
        <v>0</v>
      </c>
      <c r="BF50" s="24">
        <v>0</v>
      </c>
      <c r="BG50" s="24">
        <v>0</v>
      </c>
      <c r="BH50" s="24">
        <v>1418</v>
      </c>
      <c r="BI50" s="24">
        <v>0</v>
      </c>
      <c r="BJ50" s="24">
        <v>0</v>
      </c>
      <c r="BK50" s="24">
        <v>0</v>
      </c>
      <c r="BL50" s="24">
        <v>66</v>
      </c>
      <c r="BM50" s="24">
        <v>470</v>
      </c>
      <c r="BN50" s="24">
        <v>0</v>
      </c>
      <c r="BO50" s="24">
        <v>0</v>
      </c>
      <c r="BP50" s="24">
        <v>0</v>
      </c>
      <c r="BQ50" s="24">
        <v>0</v>
      </c>
      <c r="BR50" s="24">
        <v>0</v>
      </c>
      <c r="BS50" s="24">
        <v>48</v>
      </c>
      <c r="BT50" s="24">
        <v>0</v>
      </c>
      <c r="BU50" s="24">
        <v>0</v>
      </c>
      <c r="BV50" s="24">
        <v>0</v>
      </c>
      <c r="BW50" s="24">
        <v>0</v>
      </c>
      <c r="BX50" s="24">
        <v>0</v>
      </c>
      <c r="BY50" s="24">
        <v>0</v>
      </c>
      <c r="BZ50" s="24">
        <v>0</v>
      </c>
      <c r="CA50" s="24">
        <v>0</v>
      </c>
      <c r="CB50" s="24">
        <v>0</v>
      </c>
      <c r="CC50" s="24">
        <v>0</v>
      </c>
      <c r="CD50" s="24">
        <v>62162</v>
      </c>
      <c r="CE50" s="24">
        <v>472</v>
      </c>
      <c r="CF50" s="24">
        <v>0</v>
      </c>
      <c r="CG50" s="24">
        <v>47878</v>
      </c>
      <c r="CH50" s="24">
        <v>0</v>
      </c>
      <c r="CI50" s="24">
        <v>0</v>
      </c>
      <c r="CJ50" s="24">
        <v>0</v>
      </c>
      <c r="CK50" s="24">
        <v>0</v>
      </c>
      <c r="CL50" s="24">
        <v>0</v>
      </c>
      <c r="CM50" s="24">
        <v>0</v>
      </c>
      <c r="CN50" s="24">
        <v>0</v>
      </c>
      <c r="CO50" s="24">
        <v>0</v>
      </c>
      <c r="CP50" s="24">
        <v>0</v>
      </c>
      <c r="CQ50" s="24">
        <v>0</v>
      </c>
      <c r="CR50" s="24">
        <v>0</v>
      </c>
      <c r="CS50" s="24">
        <v>0</v>
      </c>
      <c r="CT50" s="24">
        <v>0</v>
      </c>
      <c r="CU50" s="24">
        <v>0</v>
      </c>
      <c r="CV50" s="24">
        <v>0</v>
      </c>
      <c r="CW50" s="24">
        <v>0</v>
      </c>
      <c r="CX50" s="24">
        <v>0</v>
      </c>
      <c r="CY50" s="24">
        <v>0</v>
      </c>
      <c r="CZ50" s="24">
        <v>0</v>
      </c>
      <c r="DA50" s="24">
        <v>0</v>
      </c>
      <c r="DB50" s="24">
        <v>0</v>
      </c>
      <c r="DC50" s="24">
        <v>0</v>
      </c>
      <c r="DD50" s="24">
        <v>0</v>
      </c>
      <c r="DE50" s="24">
        <v>0</v>
      </c>
      <c r="DF50" s="24">
        <v>0</v>
      </c>
      <c r="DG50" s="24">
        <v>0</v>
      </c>
      <c r="DH50" s="24">
        <v>0</v>
      </c>
      <c r="DI50" s="24">
        <v>0</v>
      </c>
      <c r="DJ50" s="24">
        <v>0</v>
      </c>
      <c r="DK50" s="24">
        <v>0</v>
      </c>
      <c r="DL50" s="24">
        <v>0</v>
      </c>
      <c r="DM50" s="24">
        <v>8235</v>
      </c>
      <c r="DN50" s="24">
        <v>0</v>
      </c>
      <c r="DO50" s="24">
        <v>0</v>
      </c>
      <c r="DP50" s="24">
        <v>0</v>
      </c>
      <c r="DQ50" s="24">
        <v>0</v>
      </c>
      <c r="DR50" s="24">
        <v>0</v>
      </c>
      <c r="DS50" s="24">
        <v>0</v>
      </c>
      <c r="DT50" s="24">
        <v>0</v>
      </c>
      <c r="DU50" s="24">
        <v>0</v>
      </c>
      <c r="DV50" s="24">
        <v>0</v>
      </c>
      <c r="DW50" s="24">
        <v>0</v>
      </c>
      <c r="DX50" s="24">
        <v>0</v>
      </c>
      <c r="DY50" s="24">
        <v>0</v>
      </c>
      <c r="DZ50" s="24">
        <v>0</v>
      </c>
      <c r="EA50" s="24">
        <v>0</v>
      </c>
      <c r="EB50" s="24">
        <v>0</v>
      </c>
      <c r="EC50" s="24">
        <v>0</v>
      </c>
      <c r="ED50" s="24">
        <v>0</v>
      </c>
      <c r="EE50" s="24">
        <v>0</v>
      </c>
      <c r="EF50" s="24">
        <v>0</v>
      </c>
      <c r="EG50" s="24">
        <v>500</v>
      </c>
      <c r="EH50" s="24">
        <v>0</v>
      </c>
      <c r="EI50" s="24">
        <v>0</v>
      </c>
      <c r="EJ50" s="24">
        <v>0</v>
      </c>
      <c r="EK50" s="24">
        <v>0</v>
      </c>
      <c r="EL50" s="24">
        <v>0</v>
      </c>
      <c r="EM50" s="24">
        <v>0</v>
      </c>
      <c r="EN50" s="24">
        <v>0</v>
      </c>
      <c r="EO50" s="24">
        <v>0</v>
      </c>
      <c r="EP50" s="24">
        <v>0</v>
      </c>
      <c r="EQ50" s="24">
        <v>0</v>
      </c>
      <c r="ER50" s="24">
        <v>0</v>
      </c>
      <c r="ES50" s="24">
        <v>0</v>
      </c>
      <c r="ET50" s="24">
        <v>0</v>
      </c>
      <c r="EU50" s="24">
        <v>0</v>
      </c>
      <c r="EV50" s="24">
        <v>0</v>
      </c>
      <c r="EW50" s="24">
        <v>0</v>
      </c>
      <c r="EX50" s="24">
        <v>0</v>
      </c>
      <c r="EY50" s="24">
        <v>0</v>
      </c>
      <c r="EZ50" s="24">
        <v>0</v>
      </c>
      <c r="FA50" s="24">
        <v>232849</v>
      </c>
      <c r="FB50" s="24">
        <v>0</v>
      </c>
      <c r="FC50" s="24">
        <v>0</v>
      </c>
      <c r="FD50" s="24">
        <v>0</v>
      </c>
      <c r="FE50" s="24">
        <v>0</v>
      </c>
      <c r="FF50" s="24">
        <v>0</v>
      </c>
      <c r="FG50" s="24">
        <v>0</v>
      </c>
      <c r="FH50" s="24">
        <v>0</v>
      </c>
      <c r="FI50" s="24">
        <v>0</v>
      </c>
      <c r="FJ50" s="24">
        <v>0</v>
      </c>
      <c r="FK50" s="24">
        <v>0</v>
      </c>
      <c r="FL50" s="24">
        <v>0</v>
      </c>
      <c r="FM50" s="24">
        <v>10671</v>
      </c>
      <c r="FN50" s="24">
        <v>0</v>
      </c>
      <c r="FO50" s="24">
        <v>0</v>
      </c>
      <c r="FP50" s="24">
        <v>0</v>
      </c>
      <c r="FQ50" s="24">
        <v>0</v>
      </c>
      <c r="FR50" s="24">
        <v>0</v>
      </c>
      <c r="FS50" s="24">
        <v>36452</v>
      </c>
      <c r="FT50" s="24">
        <v>0</v>
      </c>
      <c r="FU50" s="24">
        <v>0</v>
      </c>
      <c r="FV50" s="24">
        <v>100</v>
      </c>
      <c r="FW50" s="24">
        <v>0</v>
      </c>
      <c r="FX50" s="24">
        <v>598921</v>
      </c>
      <c r="FY50" s="24">
        <v>19998</v>
      </c>
      <c r="FZ50" s="24">
        <v>0</v>
      </c>
      <c r="GA50" s="24">
        <v>20000</v>
      </c>
      <c r="GB50" s="24">
        <v>0</v>
      </c>
      <c r="GC50" s="24">
        <v>0</v>
      </c>
      <c r="GD50" s="24">
        <v>0</v>
      </c>
      <c r="GE50" s="24">
        <v>0</v>
      </c>
      <c r="GF50" s="24">
        <v>0</v>
      </c>
      <c r="GG50" s="24">
        <v>0</v>
      </c>
      <c r="GH50" s="24">
        <v>0</v>
      </c>
      <c r="GI50" s="24">
        <v>0</v>
      </c>
      <c r="GJ50" s="24">
        <v>0</v>
      </c>
      <c r="GK50" s="24">
        <v>0</v>
      </c>
      <c r="GL50" s="24">
        <v>0</v>
      </c>
      <c r="GM50" s="24">
        <v>0</v>
      </c>
      <c r="GN50" s="24">
        <v>0</v>
      </c>
      <c r="GO50" s="24">
        <v>0</v>
      </c>
      <c r="GP50" s="24">
        <v>0</v>
      </c>
      <c r="GQ50" s="24">
        <v>0</v>
      </c>
      <c r="GR50" s="24">
        <v>313095</v>
      </c>
      <c r="GS50" s="24">
        <v>0</v>
      </c>
      <c r="GT50" s="24">
        <v>0</v>
      </c>
      <c r="GU50" s="24">
        <v>0</v>
      </c>
      <c r="GV50" s="24">
        <v>0</v>
      </c>
      <c r="GW50" s="24">
        <v>0</v>
      </c>
      <c r="GX50" s="24">
        <v>0</v>
      </c>
      <c r="GY50" s="24">
        <v>0</v>
      </c>
      <c r="GZ50" s="24">
        <v>0</v>
      </c>
      <c r="HA50" s="24">
        <v>0</v>
      </c>
      <c r="HB50" s="24">
        <v>0</v>
      </c>
      <c r="HC50" s="24">
        <v>0</v>
      </c>
      <c r="HD50" s="24">
        <v>4843099</v>
      </c>
      <c r="HE50" s="24">
        <v>1622111</v>
      </c>
      <c r="HF50" s="24">
        <v>0</v>
      </c>
      <c r="HG50" s="24">
        <v>0</v>
      </c>
      <c r="HH50" s="24">
        <v>0</v>
      </c>
      <c r="HI50" s="24">
        <v>390000</v>
      </c>
      <c r="HJ50" s="24">
        <v>0</v>
      </c>
      <c r="HK50" s="24">
        <v>0</v>
      </c>
      <c r="HL50" s="24">
        <v>0</v>
      </c>
      <c r="HM50" s="24">
        <v>0</v>
      </c>
      <c r="HN50" s="24">
        <v>0</v>
      </c>
      <c r="HO50" s="24">
        <v>652150</v>
      </c>
      <c r="HP50" s="24">
        <v>227442</v>
      </c>
      <c r="HQ50" s="24">
        <v>0</v>
      </c>
      <c r="HR50" s="24">
        <v>0</v>
      </c>
      <c r="HS50" s="24">
        <v>0</v>
      </c>
      <c r="HT50" s="24">
        <v>0</v>
      </c>
      <c r="HU50" s="24">
        <v>0</v>
      </c>
      <c r="HV50" s="24">
        <v>0</v>
      </c>
      <c r="HW50" s="24">
        <v>0</v>
      </c>
      <c r="HX50" s="24">
        <v>0</v>
      </c>
      <c r="HY50" s="24">
        <v>0</v>
      </c>
      <c r="HZ50" s="24">
        <v>0</v>
      </c>
      <c r="IA50" s="24">
        <v>63813</v>
      </c>
      <c r="IB50" s="24">
        <v>0</v>
      </c>
      <c r="IC50" s="24">
        <v>0</v>
      </c>
      <c r="ID50" s="24">
        <v>0</v>
      </c>
      <c r="IE50" s="24">
        <v>0</v>
      </c>
      <c r="IF50" s="24">
        <v>0</v>
      </c>
      <c r="IG50" s="24">
        <v>0</v>
      </c>
      <c r="IH50" s="24">
        <v>0</v>
      </c>
      <c r="II50" s="24">
        <v>0</v>
      </c>
      <c r="IJ50" s="24">
        <v>0</v>
      </c>
      <c r="IK50" s="24">
        <v>0</v>
      </c>
      <c r="IL50" s="24">
        <v>0</v>
      </c>
      <c r="IM50" s="24">
        <v>0</v>
      </c>
      <c r="IN50" s="24">
        <v>0</v>
      </c>
      <c r="IO50" s="24">
        <v>9499</v>
      </c>
      <c r="IP50" s="24">
        <v>0</v>
      </c>
      <c r="IQ50" s="24">
        <v>0</v>
      </c>
      <c r="IR50" s="24">
        <v>30862</v>
      </c>
      <c r="IS50" s="24">
        <v>0</v>
      </c>
      <c r="IT50" s="24">
        <v>0</v>
      </c>
      <c r="IU50" s="24">
        <v>0</v>
      </c>
      <c r="IV50" s="24">
        <v>0</v>
      </c>
      <c r="IW50" s="24">
        <v>104791</v>
      </c>
      <c r="IX50" s="24">
        <v>0</v>
      </c>
      <c r="IY50" s="24">
        <v>0</v>
      </c>
      <c r="IZ50" s="24">
        <v>0</v>
      </c>
      <c r="JA50" s="24">
        <v>0</v>
      </c>
      <c r="JB50" s="24">
        <v>3078</v>
      </c>
      <c r="JC50" s="24">
        <v>0</v>
      </c>
      <c r="JD50" s="24">
        <v>0</v>
      </c>
      <c r="JE50" s="24">
        <v>0</v>
      </c>
      <c r="JF50" s="24">
        <v>0</v>
      </c>
      <c r="JG50" s="24">
        <v>0</v>
      </c>
      <c r="JH50" s="24">
        <v>0</v>
      </c>
      <c r="JI50" s="24">
        <v>0</v>
      </c>
      <c r="JJ50" s="24">
        <v>0</v>
      </c>
      <c r="JK50" s="24">
        <v>0</v>
      </c>
      <c r="JL50" s="24">
        <v>0</v>
      </c>
      <c r="JM50" s="24">
        <v>0</v>
      </c>
      <c r="JN50" s="24">
        <v>0</v>
      </c>
      <c r="JO50" s="24">
        <v>0</v>
      </c>
      <c r="JP50" s="24">
        <v>0</v>
      </c>
      <c r="JQ50" s="24">
        <v>40000</v>
      </c>
      <c r="JR50" s="24">
        <v>0</v>
      </c>
      <c r="JS50" s="24">
        <v>0</v>
      </c>
      <c r="JT50" s="24">
        <v>0</v>
      </c>
      <c r="JU50" s="24">
        <v>0</v>
      </c>
      <c r="JV50" s="24">
        <v>0</v>
      </c>
      <c r="JW50" s="24">
        <v>0</v>
      </c>
      <c r="JX50" s="24">
        <v>0</v>
      </c>
      <c r="JY50" s="24">
        <v>0</v>
      </c>
      <c r="JZ50" s="24">
        <v>0</v>
      </c>
      <c r="KA50" s="24">
        <v>0</v>
      </c>
      <c r="KB50" s="24">
        <v>0</v>
      </c>
      <c r="KC50" s="24">
        <v>0</v>
      </c>
      <c r="KD50" s="24">
        <v>0</v>
      </c>
      <c r="KE50" s="24">
        <v>0</v>
      </c>
      <c r="KF50" s="24">
        <v>0</v>
      </c>
      <c r="KG50" s="24">
        <v>320388</v>
      </c>
      <c r="KH50" s="24">
        <v>0</v>
      </c>
      <c r="KI50" s="24">
        <v>0</v>
      </c>
      <c r="KJ50" s="24">
        <v>0</v>
      </c>
      <c r="KK50" s="24">
        <v>0</v>
      </c>
      <c r="KL50" s="24">
        <v>0</v>
      </c>
      <c r="KM50" s="24">
        <v>0</v>
      </c>
      <c r="KN50" s="24">
        <v>0</v>
      </c>
      <c r="KO50" s="24">
        <v>0</v>
      </c>
      <c r="KP50" s="24">
        <v>0</v>
      </c>
      <c r="KQ50" s="24">
        <v>0</v>
      </c>
      <c r="KR50" s="24">
        <v>0</v>
      </c>
      <c r="KS50" s="24">
        <v>0</v>
      </c>
      <c r="KT50" s="24">
        <v>0</v>
      </c>
      <c r="KU50" s="24">
        <v>0</v>
      </c>
      <c r="KV50" s="24">
        <v>0</v>
      </c>
      <c r="KW50" s="24">
        <v>0</v>
      </c>
      <c r="KX50" s="24">
        <v>0</v>
      </c>
      <c r="KY50" s="24">
        <v>0</v>
      </c>
      <c r="KZ50" s="24">
        <v>0</v>
      </c>
      <c r="LA50" s="24">
        <v>0</v>
      </c>
      <c r="LB50" s="24">
        <v>0</v>
      </c>
      <c r="LC50" s="24">
        <v>0</v>
      </c>
      <c r="LD50" s="24">
        <v>0</v>
      </c>
      <c r="LE50" s="24">
        <v>0</v>
      </c>
      <c r="LF50" s="24">
        <v>0</v>
      </c>
      <c r="LG50" s="24">
        <v>0</v>
      </c>
      <c r="LH50" s="24">
        <v>0</v>
      </c>
      <c r="LI50" s="24">
        <v>0</v>
      </c>
      <c r="LJ50" s="24">
        <v>0</v>
      </c>
      <c r="LK50" s="24">
        <v>0</v>
      </c>
      <c r="LL50" s="24">
        <v>0</v>
      </c>
      <c r="LM50" s="24">
        <v>0</v>
      </c>
      <c r="LN50" s="24">
        <v>0</v>
      </c>
      <c r="LO50" s="24">
        <v>0</v>
      </c>
      <c r="LP50" s="24">
        <v>0</v>
      </c>
      <c r="LQ50" s="24">
        <v>215697</v>
      </c>
      <c r="LR50" s="24">
        <v>0</v>
      </c>
      <c r="LS50" s="24">
        <v>0</v>
      </c>
      <c r="LT50" s="24">
        <v>0</v>
      </c>
      <c r="LU50" s="24">
        <v>0</v>
      </c>
      <c r="LV50" s="24">
        <v>0</v>
      </c>
      <c r="LW50" s="24">
        <v>0</v>
      </c>
      <c r="LX50" s="24">
        <v>0</v>
      </c>
      <c r="LY50" s="24">
        <v>0</v>
      </c>
      <c r="LZ50" s="24">
        <v>0</v>
      </c>
      <c r="MA50" s="24">
        <v>0</v>
      </c>
      <c r="MB50" s="24">
        <v>0</v>
      </c>
      <c r="MC50" s="24">
        <v>0</v>
      </c>
      <c r="MD50" s="24">
        <v>0</v>
      </c>
      <c r="ME50" s="24">
        <v>0</v>
      </c>
      <c r="MF50" s="24">
        <v>18824</v>
      </c>
      <c r="MG50" s="24">
        <v>0</v>
      </c>
      <c r="MH50" s="24">
        <v>13856</v>
      </c>
      <c r="MI50" s="24">
        <v>0</v>
      </c>
      <c r="MJ50" s="24">
        <v>0</v>
      </c>
      <c r="MK50" s="24">
        <v>0</v>
      </c>
      <c r="ML50" s="24">
        <v>0</v>
      </c>
      <c r="MM50" s="24">
        <v>0</v>
      </c>
      <c r="MN50" s="24">
        <v>0</v>
      </c>
      <c r="MO50" s="24">
        <v>0</v>
      </c>
      <c r="MP50" s="24">
        <v>0</v>
      </c>
      <c r="MQ50" s="24">
        <v>0</v>
      </c>
      <c r="MR50" s="24">
        <v>544499</v>
      </c>
      <c r="MS50" s="24">
        <v>0</v>
      </c>
      <c r="MT50" s="24">
        <v>0</v>
      </c>
      <c r="MU50" s="24">
        <v>0</v>
      </c>
      <c r="MV50" s="24">
        <v>0</v>
      </c>
      <c r="MW50" s="24">
        <v>249859</v>
      </c>
      <c r="MX50" s="24">
        <v>13166</v>
      </c>
      <c r="MY50" s="24">
        <v>0</v>
      </c>
      <c r="MZ50" s="24">
        <v>0</v>
      </c>
      <c r="NA50" s="24">
        <v>900</v>
      </c>
      <c r="NB50" s="24">
        <v>0</v>
      </c>
      <c r="NC50" s="24">
        <v>0</v>
      </c>
      <c r="ND50" s="24">
        <v>0</v>
      </c>
      <c r="NE50" s="24">
        <v>0</v>
      </c>
      <c r="NF50" s="24">
        <v>0</v>
      </c>
      <c r="NG50" s="24">
        <v>7791</v>
      </c>
      <c r="NH50" s="24">
        <v>0</v>
      </c>
      <c r="NI50" s="24">
        <v>0</v>
      </c>
      <c r="NJ50" s="24">
        <v>0</v>
      </c>
      <c r="NK50" s="24">
        <v>0</v>
      </c>
      <c r="NL50" s="24">
        <v>0</v>
      </c>
      <c r="NM50" s="24">
        <v>45017</v>
      </c>
      <c r="NN50" s="24">
        <v>0</v>
      </c>
      <c r="NO50" s="24">
        <v>0</v>
      </c>
      <c r="NP50" s="24">
        <v>0</v>
      </c>
      <c r="NQ50" s="24">
        <v>0</v>
      </c>
      <c r="NR50" s="24">
        <v>0</v>
      </c>
      <c r="NS50" s="24">
        <v>0</v>
      </c>
      <c r="NT50" s="24">
        <v>0</v>
      </c>
      <c r="NU50" s="24">
        <v>0</v>
      </c>
      <c r="NV50" s="24">
        <v>37891</v>
      </c>
      <c r="NW50" s="24">
        <v>0</v>
      </c>
      <c r="NX50" s="24">
        <v>0</v>
      </c>
      <c r="NY50" s="24">
        <v>0</v>
      </c>
      <c r="NZ50" s="24">
        <v>0</v>
      </c>
      <c r="OA50" s="24">
        <v>0</v>
      </c>
      <c r="OB50" s="24">
        <v>0</v>
      </c>
      <c r="OC50" s="24">
        <v>0</v>
      </c>
      <c r="OD50" s="24">
        <v>0</v>
      </c>
      <c r="OE50" s="24">
        <v>0</v>
      </c>
      <c r="OF50" s="24">
        <v>0</v>
      </c>
      <c r="OG50" s="24">
        <v>0</v>
      </c>
      <c r="OH50" s="24">
        <v>0</v>
      </c>
      <c r="OI50" s="24">
        <v>681558</v>
      </c>
      <c r="OJ50" s="24">
        <v>0</v>
      </c>
      <c r="OK50" s="24">
        <v>56513</v>
      </c>
      <c r="OL50" s="24">
        <v>0</v>
      </c>
      <c r="OM50" s="24">
        <v>0</v>
      </c>
      <c r="ON50" s="24">
        <v>0</v>
      </c>
      <c r="OO50" s="24">
        <v>0</v>
      </c>
      <c r="OP50" s="24">
        <v>0</v>
      </c>
      <c r="OQ50" s="24">
        <v>0</v>
      </c>
      <c r="OR50" s="24">
        <v>0</v>
      </c>
      <c r="OS50" s="24">
        <v>0</v>
      </c>
      <c r="OT50" s="24">
        <v>0</v>
      </c>
      <c r="OU50" s="24">
        <v>0</v>
      </c>
      <c r="OV50" s="24">
        <v>0</v>
      </c>
      <c r="OW50" s="24">
        <v>0</v>
      </c>
      <c r="OX50" s="24">
        <v>0</v>
      </c>
      <c r="OY50" s="24">
        <v>0</v>
      </c>
      <c r="OZ50" s="24">
        <v>49460</v>
      </c>
      <c r="PA50" s="24">
        <v>0</v>
      </c>
      <c r="PB50" s="24">
        <v>0</v>
      </c>
      <c r="PC50" s="24">
        <v>0</v>
      </c>
      <c r="PD50" s="24">
        <v>0</v>
      </c>
      <c r="PE50" s="24">
        <v>11900</v>
      </c>
      <c r="PF50" s="24">
        <v>0</v>
      </c>
      <c r="PG50" s="24">
        <v>0</v>
      </c>
      <c r="PH50" s="24">
        <v>353721</v>
      </c>
      <c r="PI50" s="24">
        <v>0</v>
      </c>
      <c r="PJ50" s="24">
        <v>0</v>
      </c>
      <c r="PK50" s="24">
        <v>0</v>
      </c>
      <c r="PL50" s="24">
        <v>0</v>
      </c>
      <c r="PM50" s="24">
        <v>0</v>
      </c>
      <c r="PN50" s="24">
        <v>0</v>
      </c>
      <c r="PO50" s="24">
        <v>0</v>
      </c>
      <c r="PP50" s="24">
        <v>510</v>
      </c>
      <c r="PQ50" s="24">
        <v>4016</v>
      </c>
      <c r="PR50" s="24">
        <v>0</v>
      </c>
      <c r="PS50" s="24">
        <v>0</v>
      </c>
      <c r="PT50" s="24">
        <v>0</v>
      </c>
      <c r="PU50" s="24">
        <v>450</v>
      </c>
      <c r="PV50" s="24">
        <v>0</v>
      </c>
      <c r="PW50" s="24">
        <v>0</v>
      </c>
      <c r="PX50" s="24">
        <v>0</v>
      </c>
      <c r="PY50" s="24">
        <v>0</v>
      </c>
      <c r="PZ50" s="24">
        <v>0</v>
      </c>
      <c r="QA50" s="24">
        <v>0</v>
      </c>
      <c r="QB50" s="24">
        <v>28667</v>
      </c>
      <c r="QC50" s="24">
        <v>0</v>
      </c>
      <c r="QD50" s="24">
        <v>0</v>
      </c>
      <c r="QE50" s="24">
        <v>0</v>
      </c>
      <c r="QF50" s="24">
        <v>0</v>
      </c>
      <c r="QG50" s="24">
        <v>1794</v>
      </c>
      <c r="QH50" s="24">
        <v>0</v>
      </c>
      <c r="QI50" s="24">
        <v>0</v>
      </c>
      <c r="QJ50" s="24">
        <v>0</v>
      </c>
      <c r="QK50" s="24">
        <v>0</v>
      </c>
      <c r="QL50" s="24">
        <v>0</v>
      </c>
      <c r="QM50" s="24">
        <v>0</v>
      </c>
      <c r="QN50" s="24">
        <v>0</v>
      </c>
      <c r="QO50" s="24">
        <v>0</v>
      </c>
      <c r="QP50" s="24">
        <v>0</v>
      </c>
      <c r="QQ50" s="24">
        <v>0</v>
      </c>
      <c r="QR50" s="24">
        <v>0</v>
      </c>
      <c r="QS50" s="24">
        <v>28613</v>
      </c>
      <c r="QT50" s="24">
        <v>0</v>
      </c>
      <c r="QU50" s="24">
        <v>0</v>
      </c>
      <c r="QV50" s="24">
        <v>0</v>
      </c>
      <c r="QW50" s="24">
        <v>0</v>
      </c>
      <c r="QX50" s="24">
        <v>202000</v>
      </c>
      <c r="QY50" s="24">
        <v>0</v>
      </c>
      <c r="QZ50" s="24">
        <v>0</v>
      </c>
      <c r="RA50" s="24">
        <v>0</v>
      </c>
      <c r="RB50" s="24">
        <v>0</v>
      </c>
      <c r="RG50" s="39">
        <f t="shared" si="126"/>
        <v>6465210</v>
      </c>
      <c r="RH50" s="39">
        <f t="shared" si="126"/>
        <v>390000</v>
      </c>
      <c r="RI50" s="39">
        <f t="shared" si="126"/>
        <v>0</v>
      </c>
      <c r="RJ50" s="39">
        <f t="shared" si="126"/>
        <v>0</v>
      </c>
      <c r="RK50" s="39">
        <f t="shared" si="126"/>
        <v>0</v>
      </c>
      <c r="RL50" s="39">
        <f t="shared" si="126"/>
        <v>652150</v>
      </c>
      <c r="RM50" s="39">
        <f t="shared" si="126"/>
        <v>291255</v>
      </c>
      <c r="RN50" s="39">
        <f t="shared" si="126"/>
        <v>9499</v>
      </c>
      <c r="RO50" s="39">
        <f t="shared" si="126"/>
        <v>30862</v>
      </c>
      <c r="RP50" s="39">
        <f t="shared" si="126"/>
        <v>104791</v>
      </c>
      <c r="RQ50" s="39">
        <f t="shared" si="126"/>
        <v>3078</v>
      </c>
      <c r="RR50" s="39">
        <f t="shared" si="126"/>
        <v>40000</v>
      </c>
      <c r="RS50" s="39"/>
      <c r="RT50" s="182"/>
      <c r="RU50" s="39"/>
      <c r="RV50" s="39">
        <f t="shared" si="127"/>
        <v>2205959</v>
      </c>
      <c r="RW50" s="39">
        <f t="shared" si="127"/>
        <v>7986845</v>
      </c>
      <c r="RX50" s="39">
        <f t="shared" si="127"/>
        <v>3930128</v>
      </c>
      <c r="RY50" s="39">
        <f t="shared" si="127"/>
        <v>681131</v>
      </c>
      <c r="RZ50" s="39"/>
      <c r="SA50" s="182"/>
      <c r="SB50" s="39"/>
      <c r="SC50" s="25">
        <f t="shared" si="50"/>
        <v>3804.5769603097774</v>
      </c>
      <c r="SD50" s="39">
        <f>IFERROR(VLOOKUP(A50, 'Levy Data 15-16'!$B:$O, 3, FALSE), 0)</f>
        <v>531454238</v>
      </c>
      <c r="SE50" s="39">
        <f t="shared" si="88"/>
        <v>514476.51306873187</v>
      </c>
      <c r="SF50" s="631">
        <f>IFERROR(VLOOKUP(A50, 'Levy Data 15-16'!$B:$O, 14, FALSE), 0)*1000</f>
        <v>4.4781880000000003</v>
      </c>
      <c r="SG50" s="39">
        <f t="shared" si="89"/>
        <v>0</v>
      </c>
      <c r="SH50" s="39">
        <f t="shared" si="90"/>
        <v>0</v>
      </c>
      <c r="SI50" s="39">
        <f t="shared" si="91"/>
        <v>3930128</v>
      </c>
      <c r="SM50" s="39">
        <f t="shared" si="92"/>
        <v>7986845</v>
      </c>
      <c r="SN50" s="39">
        <f t="shared" si="93"/>
        <v>0</v>
      </c>
      <c r="SO50" s="39">
        <f t="shared" si="51"/>
        <v>7986845</v>
      </c>
      <c r="SP50" s="50">
        <f t="shared" si="52"/>
        <v>1</v>
      </c>
      <c r="ST50" s="124">
        <f>IFERROR(VLOOKUP(A50,'Grade Enroll 15-16'!B:AC,27,FALSE),"")</f>
        <v>1033</v>
      </c>
      <c r="SU50" s="124">
        <f t="shared" si="53"/>
        <v>593.70315789473693</v>
      </c>
      <c r="SV50" s="131">
        <f>IFERROR(VLOOKUP($A50, 'Title I Enroll 16-17'!S:V, 4, FALSE), 0)</f>
        <v>0.57473684210526321</v>
      </c>
      <c r="SW50" s="729">
        <f>IFERROR(VLOOKUP(A50, 'ELL Enroll 15-16'!$N:$S, 6, FALSE), 0)</f>
        <v>5</v>
      </c>
      <c r="SX50" s="131">
        <f t="shared" si="54"/>
        <v>4.8402710551790898E-3</v>
      </c>
      <c r="SY50" s="124">
        <f>IFERROR(VLOOKUP(A50, 'SPED enroll 2015-16'!$M:$O, 3, FALSE), 0)</f>
        <v>130</v>
      </c>
      <c r="SZ50" s="131">
        <f t="shared" si="55"/>
        <v>0.12584704743465633</v>
      </c>
      <c r="TA50" s="142">
        <f t="shared" si="87"/>
        <v>91</v>
      </c>
      <c r="TB50" s="142">
        <f t="shared" si="87"/>
        <v>26</v>
      </c>
      <c r="TC50" s="142">
        <f t="shared" si="87"/>
        <v>9.1000000000000014</v>
      </c>
      <c r="TD50" s="142">
        <f t="shared" si="87"/>
        <v>3.9</v>
      </c>
      <c r="TE50" s="124">
        <f>VLOOKUP($A50, 'Grade Enroll 15-16'!$B:$AB, 20, FALSE)</f>
        <v>6</v>
      </c>
      <c r="TF50" s="124">
        <f>VLOOKUP($A50, 'Grade Enroll 15-16'!$B:$AB, 21, FALSE)</f>
        <v>72</v>
      </c>
      <c r="TG50" s="124">
        <f>VLOOKUP($A50, 'Grade Enroll 15-16'!$B:$AB, 22, FALSE)</f>
        <v>239</v>
      </c>
      <c r="TH50" s="124">
        <f>VLOOKUP($A50, 'Grade Enroll 15-16'!$B:$AB, 23, FALSE)</f>
        <v>234</v>
      </c>
      <c r="TI50" s="124">
        <f>VLOOKUP($A50, 'Grade Enroll 15-16'!$B:$AB, 24, FALSE)</f>
        <v>157</v>
      </c>
      <c r="TJ50" s="124">
        <f>VLOOKUP($A50, 'Grade Enroll 15-16'!$B:$AB, 25, FALSE)</f>
        <v>403</v>
      </c>
      <c r="TK50" s="124">
        <f>VLOOKUP($A50, 'Grade Enroll 15-16'!$B:$AB, 26, FALSE)</f>
        <v>652</v>
      </c>
      <c r="TL50" s="131">
        <f>SUMIFS('Student Achievement 15-16'!N:N, 'Student Achievement 15-16'!B:B, 'Idaho Data'!A50, 'Student Achievement 15-16'!D:D, "math")/100</f>
        <v>0.29499999999999998</v>
      </c>
      <c r="TM50" s="134">
        <f t="shared" si="57"/>
        <v>304.73499999999996</v>
      </c>
      <c r="TN50" s="131">
        <f>SUMIFS('Student Achievement 15-16'!N:N, 'Student Achievement 15-16'!B:B, 'Idaho Data'!A50, 'Student Achievement 15-16'!D:D, "ela")/100</f>
        <v>0.215</v>
      </c>
      <c r="TO50" s="134">
        <f t="shared" si="58"/>
        <v>222.095</v>
      </c>
      <c r="TP50" s="688">
        <f>IFERROR(VLOOKUP(A50, 'G&amp;T 15-16'!B:G, 6, FALSE), 0)*1</f>
        <v>5</v>
      </c>
      <c r="TQ50" s="168">
        <f t="shared" si="59"/>
        <v>61.98</v>
      </c>
      <c r="TU50" s="168">
        <f t="shared" si="60"/>
        <v>222.095</v>
      </c>
      <c r="TV50" s="168">
        <f t="shared" si="61"/>
        <v>304.73499999999996</v>
      </c>
      <c r="TW50" s="205">
        <f t="shared" si="62"/>
        <v>304.73499999999996</v>
      </c>
      <c r="TX50" s="144"/>
      <c r="TY50" s="129"/>
      <c r="TZ50" s="127">
        <f t="shared" si="63"/>
        <v>5</v>
      </c>
      <c r="UA50" s="127">
        <f t="shared" si="64"/>
        <v>61.98</v>
      </c>
      <c r="UB50" s="205">
        <f t="shared" si="65"/>
        <v>61.98</v>
      </c>
      <c r="UE50" s="853" t="str">
        <f>IF(ST50&lt;='1. Simulator Input'!$E$104, "yes", "")</f>
        <v/>
      </c>
      <c r="UI50" s="199">
        <f t="shared" si="66"/>
        <v>0</v>
      </c>
      <c r="UJ50" s="200">
        <f>IF('Idaho Data'!SI50&gt;=0, ((1-'1. Simulator Input'!$E$39)*'Idaho Data'!SI50), 0)</f>
        <v>0</v>
      </c>
      <c r="UK50" s="200">
        <f t="shared" si="67"/>
        <v>7986845</v>
      </c>
      <c r="UL50" s="39"/>
      <c r="UM50" s="182"/>
      <c r="UN50" s="39"/>
      <c r="UO50" s="39" t="str">
        <f>IF(AND('1. Simulator Input'!$E$96="yes", '1. Simulator Input'!$E$98="yes", '1. Simulator Input'!$E$100="hold harmless"), 'Idaho Data'!WN50, IF(AND('1. Simulator Input'!$E$96="yes", '1. Simulator Input'!$E$98="no", '1. Simulator Input'!$E$100="hold harmless"), 'Idaho Data'!WM50, IF(AND('1. Simulator Input'!$E$96="yes", '1. Simulator Input'!$E$98="yes", '1. Simulator Input'!$E$100="small district grant"), WL50,IF(AND('1. Simulator Input'!$E$96="yes", '1. Simulator Input'!$E$98="no", '1. Simulator Input'!$E$100="small district grant"), WK50, ""))))</f>
        <v/>
      </c>
      <c r="UP50" s="200">
        <f>'1. Simulator Input'!$D$56*('Idaho Data'!ST50)</f>
        <v>5708358</v>
      </c>
      <c r="UQ50" s="204">
        <f>'1. Simulator Input'!$D$65*'1. Simulator Input'!$D$56*'Idaho Data'!SU50</f>
        <v>0</v>
      </c>
      <c r="UR50" s="204">
        <f>'1. Simulator Input'!$D$66*'1. Simulator Input'!$D$56*'Idaho Data'!SW50</f>
        <v>0</v>
      </c>
      <c r="US50" s="200">
        <f>'1. Simulator Input'!$D$67*'1. Simulator Input'!$D$56*'Idaho Data'!TA50</f>
        <v>0</v>
      </c>
      <c r="UT50" s="200">
        <f>'1. Simulator Input'!$D$68*'1. Simulator Input'!$D$56*'Idaho Data'!TB50</f>
        <v>0</v>
      </c>
      <c r="UU50" s="200">
        <f>'1. Simulator Input'!$D$69*'1. Simulator Input'!$D$56*'Idaho Data'!TC50</f>
        <v>0</v>
      </c>
      <c r="UV50" s="200">
        <f>'1. Simulator Input'!$D$70*'1. Simulator Input'!$D$56*TD50</f>
        <v>0</v>
      </c>
      <c r="UW50" s="200">
        <f>'1. Simulator Input'!$D$80*'1. Simulator Input'!$D$56*TW50</f>
        <v>0</v>
      </c>
      <c r="UX50" s="200">
        <f>'1. Simulator Input'!$D$79*'1. Simulator Input'!$D$56*UB50</f>
        <v>0</v>
      </c>
      <c r="UY50" s="200">
        <f>'1. Simulator Input'!$D$87*'1. Simulator Input'!$D$56*TF50</f>
        <v>198936</v>
      </c>
      <c r="UZ50" s="200">
        <f>'1. Simulator Input'!$D$73*'1. Simulator Input'!$D$56*'Idaho Data'!TG50</f>
        <v>0</v>
      </c>
      <c r="VA50" s="200">
        <f>'1. Simulator Input'!$D$56*'1. Simulator Input'!$D$74*'Idaho Data'!TH50</f>
        <v>0</v>
      </c>
      <c r="VB50" s="200">
        <f>'1. Simulator Input'!$D$56*'1. Simulator Input'!$D$75*'Idaho Data'!TI45</f>
        <v>0</v>
      </c>
      <c r="VC50" s="200">
        <f>'1. Simulator Input'!$D$76*'1. Simulator Input'!$D$56*'Idaho Data'!TJ50</f>
        <v>0</v>
      </c>
      <c r="VD50" s="200">
        <f t="shared" si="68"/>
        <v>5907294</v>
      </c>
      <c r="VE50" s="200"/>
      <c r="VF50" s="182"/>
      <c r="VG50" s="200"/>
      <c r="VH50" s="200">
        <f t="shared" si="69"/>
        <v>0</v>
      </c>
      <c r="VI50" s="200">
        <f t="shared" si="70"/>
        <v>0</v>
      </c>
      <c r="VJ50" s="200">
        <f t="shared" si="94"/>
        <v>5907294</v>
      </c>
      <c r="VK50" s="200">
        <f t="shared" si="95"/>
        <v>5907294</v>
      </c>
      <c r="VL50" s="200"/>
      <c r="VM50" s="182"/>
      <c r="VN50" s="200"/>
      <c r="VO50" s="200">
        <f t="shared" si="71"/>
        <v>2205959</v>
      </c>
      <c r="VP50" s="200">
        <f t="shared" si="72"/>
        <v>7986845</v>
      </c>
      <c r="VQ50" s="200">
        <f t="shared" si="73"/>
        <v>3930128</v>
      </c>
      <c r="VR50" s="200">
        <f t="shared" si="74"/>
        <v>2205959</v>
      </c>
      <c r="VS50" s="200">
        <f t="shared" si="96"/>
        <v>5907294</v>
      </c>
      <c r="VT50" s="200">
        <f t="shared" si="97"/>
        <v>3930128</v>
      </c>
      <c r="VU50" s="200">
        <f t="shared" si="98"/>
        <v>0</v>
      </c>
      <c r="VV50" s="200"/>
      <c r="VW50" s="182"/>
      <c r="VX50" s="200"/>
      <c r="VZ50" s="199">
        <f t="shared" si="75"/>
        <v>-2079551</v>
      </c>
      <c r="WA50" s="199">
        <f t="shared" si="76"/>
        <v>-2013.1181026137463</v>
      </c>
      <c r="WB50" s="131">
        <f t="shared" si="77"/>
        <v>-0.26037202424737177</v>
      </c>
      <c r="WC50" s="131"/>
      <c r="WD50" s="461"/>
      <c r="WE50" s="893"/>
      <c r="WF50" s="893">
        <f t="shared" si="78"/>
        <v>13671.763794772507</v>
      </c>
      <c r="WG50" s="893">
        <f t="shared" si="79"/>
        <v>11658.645692158761</v>
      </c>
      <c r="WH50" s="893"/>
      <c r="WI50" s="893">
        <f t="shared" si="80"/>
        <v>7986845</v>
      </c>
      <c r="WJ50" s="893">
        <f t="shared" si="99"/>
        <v>5907294</v>
      </c>
      <c r="WK50" s="39" t="str">
        <f t="shared" si="100"/>
        <v/>
      </c>
      <c r="WL50" s="39" t="str">
        <f t="shared" si="101"/>
        <v/>
      </c>
      <c r="WM50" s="200" t="str">
        <f t="shared" si="102"/>
        <v/>
      </c>
      <c r="WN50" s="39" t="str">
        <f t="shared" si="103"/>
        <v/>
      </c>
      <c r="WO50" s="39"/>
      <c r="WP50" s="182"/>
      <c r="WQ50" s="39"/>
      <c r="WR50" s="305">
        <f t="shared" si="104"/>
        <v>0.49099999999999999</v>
      </c>
      <c r="WT50" s="200">
        <f t="shared" si="105"/>
        <v>7731.6989351403681</v>
      </c>
      <c r="WU50" s="131">
        <f t="shared" si="81"/>
        <v>0.72</v>
      </c>
      <c r="WW50" s="199">
        <f t="shared" si="106"/>
        <v>2205959</v>
      </c>
      <c r="WX50" s="199">
        <f t="shared" si="107"/>
        <v>5907294</v>
      </c>
      <c r="WY50" s="199">
        <f t="shared" si="108"/>
        <v>0</v>
      </c>
      <c r="WZ50" s="199">
        <f t="shared" si="82"/>
        <v>5907294</v>
      </c>
      <c r="XA50" s="199">
        <f t="shared" si="109"/>
        <v>0</v>
      </c>
      <c r="XB50" s="199">
        <f t="shared" si="110"/>
        <v>3930128</v>
      </c>
      <c r="XC50" s="199">
        <f t="shared" si="111"/>
        <v>3930128</v>
      </c>
      <c r="XD50" s="199" t="str">
        <f t="shared" si="112"/>
        <v/>
      </c>
      <c r="XE50" s="199"/>
      <c r="XF50" s="199"/>
      <c r="XG50" s="199"/>
      <c r="XH50" s="199"/>
      <c r="XI50" s="199"/>
      <c r="XJ50" s="199">
        <f t="shared" si="83"/>
        <v>5907294</v>
      </c>
      <c r="XP50" s="199">
        <f t="shared" si="113"/>
        <v>5907294</v>
      </c>
      <c r="XQ50" s="199">
        <f t="shared" si="114"/>
        <v>5718.5808325266216</v>
      </c>
      <c r="XR50" s="199">
        <f t="shared" si="115"/>
        <v>5907294</v>
      </c>
      <c r="XS50" s="199">
        <f t="shared" si="116"/>
        <v>5907294</v>
      </c>
      <c r="XT50" s="199">
        <f t="shared" si="117"/>
        <v>5718.5808325266216</v>
      </c>
      <c r="XU50" s="199">
        <f t="shared" si="118"/>
        <v>7986845</v>
      </c>
      <c r="XV50" s="199">
        <f t="shared" si="119"/>
        <v>7731.6989351403681</v>
      </c>
      <c r="XW50" s="199">
        <f t="shared" si="120"/>
        <v>7986845</v>
      </c>
      <c r="XX50" s="199">
        <f t="shared" si="121"/>
        <v>7731.6989351403681</v>
      </c>
      <c r="XY50" s="199">
        <f t="shared" si="84"/>
        <v>-2079551</v>
      </c>
      <c r="XZ50" s="199">
        <f t="shared" si="85"/>
        <v>-2013.1181026137465</v>
      </c>
      <c r="YA50" s="131">
        <f t="shared" si="86"/>
        <v>-0.26037202424737177</v>
      </c>
      <c r="YB50" s="199"/>
      <c r="YC50" s="221"/>
      <c r="YD50" s="199"/>
      <c r="YE50" s="199">
        <f t="shared" si="122"/>
        <v>2205959</v>
      </c>
      <c r="YF50" s="200">
        <f t="shared" si="123"/>
        <v>0</v>
      </c>
      <c r="YG50" s="199">
        <f t="shared" si="124"/>
        <v>3930128</v>
      </c>
      <c r="YH50" s="199">
        <f t="shared" si="125"/>
        <v>681131</v>
      </c>
    </row>
    <row r="51" spans="1:658">
      <c r="A51" s="3">
        <v>181</v>
      </c>
      <c r="B51" s="2" t="s">
        <v>144</v>
      </c>
      <c r="C51" s="24">
        <v>8447</v>
      </c>
      <c r="D51" s="24">
        <v>0</v>
      </c>
      <c r="E51" s="24">
        <v>0</v>
      </c>
      <c r="F51" s="24">
        <v>0</v>
      </c>
      <c r="G51" s="24">
        <v>389172</v>
      </c>
      <c r="H51" s="24">
        <v>0</v>
      </c>
      <c r="I51" s="24">
        <v>0</v>
      </c>
      <c r="J51" s="24">
        <v>9686</v>
      </c>
      <c r="K51" s="24">
        <v>0</v>
      </c>
      <c r="L51" s="24">
        <v>0</v>
      </c>
      <c r="M51" s="24">
        <v>0</v>
      </c>
      <c r="N51" s="24">
        <v>18779</v>
      </c>
      <c r="O51" s="24">
        <v>0</v>
      </c>
      <c r="P51" s="24">
        <v>0</v>
      </c>
      <c r="Q51" s="24">
        <v>0</v>
      </c>
      <c r="R51" s="24">
        <v>0</v>
      </c>
      <c r="S51" s="24">
        <v>0</v>
      </c>
      <c r="T51" s="24">
        <v>0</v>
      </c>
      <c r="U51" s="24">
        <v>49951</v>
      </c>
      <c r="V51" s="24">
        <v>0</v>
      </c>
      <c r="W51" s="24">
        <v>0</v>
      </c>
      <c r="X51" s="24">
        <v>0</v>
      </c>
      <c r="Y51" s="24">
        <v>1169</v>
      </c>
      <c r="Z51" s="24">
        <v>0</v>
      </c>
      <c r="AA51" s="24">
        <v>0</v>
      </c>
      <c r="AB51" s="24">
        <v>0</v>
      </c>
      <c r="AC51" s="24">
        <v>224</v>
      </c>
      <c r="AD51" s="24">
        <v>0</v>
      </c>
      <c r="AE51" s="24">
        <v>0</v>
      </c>
      <c r="AF51" s="24">
        <v>0</v>
      </c>
      <c r="AG51" s="24">
        <v>0</v>
      </c>
      <c r="AH51" s="24">
        <v>0</v>
      </c>
      <c r="AI51" s="24">
        <v>0</v>
      </c>
      <c r="AJ51" s="24">
        <v>0</v>
      </c>
      <c r="AK51" s="24">
        <v>0</v>
      </c>
      <c r="AL51" s="24">
        <v>48706</v>
      </c>
      <c r="AM51" s="24">
        <v>15031</v>
      </c>
      <c r="AN51" s="24">
        <v>0</v>
      </c>
      <c r="AO51" s="24">
        <v>0</v>
      </c>
      <c r="AP51" s="24">
        <v>0</v>
      </c>
      <c r="AQ51" s="24">
        <v>131</v>
      </c>
      <c r="AR51" s="24">
        <v>93</v>
      </c>
      <c r="AS51" s="24">
        <v>0</v>
      </c>
      <c r="AT51" s="24">
        <v>0</v>
      </c>
      <c r="AU51" s="24">
        <v>0</v>
      </c>
      <c r="AV51" s="24">
        <v>0</v>
      </c>
      <c r="AW51" s="24">
        <v>87</v>
      </c>
      <c r="AX51" s="24">
        <v>0</v>
      </c>
      <c r="AY51" s="24">
        <v>7</v>
      </c>
      <c r="AZ51" s="24">
        <v>0</v>
      </c>
      <c r="BA51" s="24">
        <v>0</v>
      </c>
      <c r="BB51" s="24">
        <v>0</v>
      </c>
      <c r="BC51" s="24">
        <v>2</v>
      </c>
      <c r="BD51" s="24">
        <v>0</v>
      </c>
      <c r="BE51" s="24">
        <v>0</v>
      </c>
      <c r="BF51" s="24">
        <v>0</v>
      </c>
      <c r="BG51" s="24">
        <v>9742</v>
      </c>
      <c r="BH51" s="24">
        <v>74</v>
      </c>
      <c r="BI51" s="24">
        <v>0</v>
      </c>
      <c r="BJ51" s="24">
        <v>0</v>
      </c>
      <c r="BK51" s="24">
        <v>0</v>
      </c>
      <c r="BL51" s="24">
        <v>0</v>
      </c>
      <c r="BM51" s="24">
        <v>4822</v>
      </c>
      <c r="BN51" s="24">
        <v>0</v>
      </c>
      <c r="BO51" s="24">
        <v>0</v>
      </c>
      <c r="BP51" s="24">
        <v>0</v>
      </c>
      <c r="BQ51" s="24">
        <v>0</v>
      </c>
      <c r="BR51" s="24">
        <v>0</v>
      </c>
      <c r="BS51" s="24">
        <v>12265</v>
      </c>
      <c r="BT51" s="24">
        <v>0</v>
      </c>
      <c r="BU51" s="24">
        <v>0</v>
      </c>
      <c r="BV51" s="24">
        <v>0</v>
      </c>
      <c r="BW51" s="24">
        <v>0</v>
      </c>
      <c r="BX51" s="24">
        <v>407</v>
      </c>
      <c r="BY51" s="24">
        <v>0</v>
      </c>
      <c r="BZ51" s="24">
        <v>0</v>
      </c>
      <c r="CA51" s="24">
        <v>0</v>
      </c>
      <c r="CB51" s="24">
        <v>0</v>
      </c>
      <c r="CC51" s="24">
        <v>0</v>
      </c>
      <c r="CD51" s="24">
        <v>35786</v>
      </c>
      <c r="CE51" s="24">
        <v>2877</v>
      </c>
      <c r="CF51" s="24">
        <v>0</v>
      </c>
      <c r="CG51" s="24">
        <v>14923</v>
      </c>
      <c r="CH51" s="24">
        <v>0</v>
      </c>
      <c r="CI51" s="24">
        <v>0</v>
      </c>
      <c r="CJ51" s="24">
        <v>0</v>
      </c>
      <c r="CK51" s="24">
        <v>0</v>
      </c>
      <c r="CL51" s="24">
        <v>0</v>
      </c>
      <c r="CM51" s="24">
        <v>0</v>
      </c>
      <c r="CN51" s="24">
        <v>0</v>
      </c>
      <c r="CO51" s="24">
        <v>0</v>
      </c>
      <c r="CP51" s="24">
        <v>0</v>
      </c>
      <c r="CQ51" s="24">
        <v>0</v>
      </c>
      <c r="CR51" s="24">
        <v>0</v>
      </c>
      <c r="CS51" s="24">
        <v>0</v>
      </c>
      <c r="CT51" s="24">
        <v>0</v>
      </c>
      <c r="CU51" s="24">
        <v>0</v>
      </c>
      <c r="CV51" s="24">
        <v>0</v>
      </c>
      <c r="CW51" s="24">
        <v>0</v>
      </c>
      <c r="CX51" s="24">
        <v>0</v>
      </c>
      <c r="CY51" s="24">
        <v>0</v>
      </c>
      <c r="CZ51" s="24">
        <v>9675</v>
      </c>
      <c r="DA51" s="24">
        <v>0</v>
      </c>
      <c r="DB51" s="24">
        <v>2175</v>
      </c>
      <c r="DC51" s="24">
        <v>0</v>
      </c>
      <c r="DD51" s="24">
        <v>0</v>
      </c>
      <c r="DE51" s="24">
        <v>0</v>
      </c>
      <c r="DF51" s="24">
        <v>0</v>
      </c>
      <c r="DG51" s="24">
        <v>0</v>
      </c>
      <c r="DH51" s="24">
        <v>0</v>
      </c>
      <c r="DI51" s="24">
        <v>0</v>
      </c>
      <c r="DJ51" s="24">
        <v>0</v>
      </c>
      <c r="DK51" s="24">
        <v>325</v>
      </c>
      <c r="DL51" s="24">
        <v>0</v>
      </c>
      <c r="DM51" s="24">
        <v>0</v>
      </c>
      <c r="DN51" s="24">
        <v>0</v>
      </c>
      <c r="DO51" s="24">
        <v>0</v>
      </c>
      <c r="DP51" s="24">
        <v>0</v>
      </c>
      <c r="DQ51" s="24">
        <v>0</v>
      </c>
      <c r="DR51" s="24">
        <v>0</v>
      </c>
      <c r="DS51" s="24">
        <v>0</v>
      </c>
      <c r="DT51" s="24">
        <v>0</v>
      </c>
      <c r="DU51" s="24">
        <v>24656</v>
      </c>
      <c r="DV51" s="24">
        <v>0</v>
      </c>
      <c r="DW51" s="24">
        <v>0</v>
      </c>
      <c r="DX51" s="24">
        <v>0</v>
      </c>
      <c r="DY51" s="24">
        <v>0</v>
      </c>
      <c r="DZ51" s="24">
        <v>0</v>
      </c>
      <c r="EA51" s="24">
        <v>0</v>
      </c>
      <c r="EB51" s="24">
        <v>0</v>
      </c>
      <c r="EC51" s="24">
        <v>0</v>
      </c>
      <c r="ED51" s="24">
        <v>0</v>
      </c>
      <c r="EE51" s="24">
        <v>0</v>
      </c>
      <c r="EF51" s="24">
        <v>0</v>
      </c>
      <c r="EG51" s="24">
        <v>2515</v>
      </c>
      <c r="EH51" s="24">
        <v>0</v>
      </c>
      <c r="EI51" s="24">
        <v>0</v>
      </c>
      <c r="EJ51" s="24">
        <v>0</v>
      </c>
      <c r="EK51" s="24">
        <v>135</v>
      </c>
      <c r="EL51" s="24">
        <v>5000</v>
      </c>
      <c r="EM51" s="24">
        <v>0</v>
      </c>
      <c r="EN51" s="24">
        <v>0</v>
      </c>
      <c r="EO51" s="24">
        <v>0</v>
      </c>
      <c r="EP51" s="24">
        <v>50</v>
      </c>
      <c r="EQ51" s="24">
        <v>0</v>
      </c>
      <c r="ER51" s="24">
        <v>0</v>
      </c>
      <c r="ES51" s="24">
        <v>900</v>
      </c>
      <c r="ET51" s="24">
        <v>0</v>
      </c>
      <c r="EU51" s="24">
        <v>0</v>
      </c>
      <c r="EV51" s="24">
        <v>0</v>
      </c>
      <c r="EW51" s="24">
        <v>0</v>
      </c>
      <c r="EX51" s="24">
        <v>0</v>
      </c>
      <c r="EY51" s="24">
        <v>0</v>
      </c>
      <c r="EZ51" s="24">
        <v>0</v>
      </c>
      <c r="FA51" s="24">
        <v>0</v>
      </c>
      <c r="FB51" s="24">
        <v>22430</v>
      </c>
      <c r="FC51" s="24">
        <v>0</v>
      </c>
      <c r="FD51" s="24">
        <v>0</v>
      </c>
      <c r="FE51" s="24">
        <v>0</v>
      </c>
      <c r="FF51" s="24">
        <v>0</v>
      </c>
      <c r="FG51" s="24">
        <v>0</v>
      </c>
      <c r="FH51" s="24">
        <v>0</v>
      </c>
      <c r="FI51" s="24">
        <v>0</v>
      </c>
      <c r="FJ51" s="24">
        <v>0</v>
      </c>
      <c r="FK51" s="24">
        <v>0</v>
      </c>
      <c r="FL51" s="24">
        <v>0</v>
      </c>
      <c r="FM51" s="24">
        <v>0</v>
      </c>
      <c r="FN51" s="24">
        <v>0</v>
      </c>
      <c r="FO51" s="24">
        <v>4474</v>
      </c>
      <c r="FP51" s="24">
        <v>0</v>
      </c>
      <c r="FQ51" s="24">
        <v>0</v>
      </c>
      <c r="FR51" s="24">
        <v>0</v>
      </c>
      <c r="FS51" s="24">
        <v>35856</v>
      </c>
      <c r="FT51" s="24">
        <v>0</v>
      </c>
      <c r="FU51" s="24">
        <v>0</v>
      </c>
      <c r="FV51" s="24">
        <v>0</v>
      </c>
      <c r="FW51" s="24">
        <v>0</v>
      </c>
      <c r="FX51" s="24">
        <v>0</v>
      </c>
      <c r="FY51" s="24">
        <v>40267</v>
      </c>
      <c r="FZ51" s="24">
        <v>0</v>
      </c>
      <c r="GA51" s="24">
        <v>0</v>
      </c>
      <c r="GB51" s="24">
        <v>0</v>
      </c>
      <c r="GC51" s="24">
        <v>46</v>
      </c>
      <c r="GD51" s="24">
        <v>1601</v>
      </c>
      <c r="GE51" s="24">
        <v>0</v>
      </c>
      <c r="GF51" s="24">
        <v>0</v>
      </c>
      <c r="GG51" s="24">
        <v>0</v>
      </c>
      <c r="GH51" s="24">
        <v>0</v>
      </c>
      <c r="GI51" s="24">
        <v>0</v>
      </c>
      <c r="GJ51" s="24">
        <v>0</v>
      </c>
      <c r="GK51" s="24">
        <v>0</v>
      </c>
      <c r="GL51" s="24">
        <v>0</v>
      </c>
      <c r="GM51" s="24">
        <v>0</v>
      </c>
      <c r="GN51" s="24">
        <v>0</v>
      </c>
      <c r="GO51" s="24">
        <v>0</v>
      </c>
      <c r="GP51" s="24">
        <v>0</v>
      </c>
      <c r="GQ51" s="24">
        <v>0</v>
      </c>
      <c r="GR51" s="24">
        <v>2007</v>
      </c>
      <c r="GS51" s="24">
        <v>0</v>
      </c>
      <c r="GT51" s="24">
        <v>0</v>
      </c>
      <c r="GU51" s="24">
        <v>0</v>
      </c>
      <c r="GV51" s="24">
        <v>0</v>
      </c>
      <c r="GW51" s="24">
        <v>4861</v>
      </c>
      <c r="GX51" s="24">
        <v>0</v>
      </c>
      <c r="GY51" s="24">
        <v>0</v>
      </c>
      <c r="GZ51" s="24">
        <v>0</v>
      </c>
      <c r="HA51" s="24">
        <v>0</v>
      </c>
      <c r="HB51" s="24">
        <v>0</v>
      </c>
      <c r="HC51" s="24">
        <v>0</v>
      </c>
      <c r="HD51" s="24">
        <v>2042510</v>
      </c>
      <c r="HE51" s="24">
        <v>0</v>
      </c>
      <c r="HF51" s="24">
        <v>0</v>
      </c>
      <c r="HG51" s="24">
        <v>0</v>
      </c>
      <c r="HH51" s="24">
        <v>0</v>
      </c>
      <c r="HI51" s="24">
        <v>202957</v>
      </c>
      <c r="HJ51" s="24">
        <v>0</v>
      </c>
      <c r="HK51" s="24">
        <v>0</v>
      </c>
      <c r="HL51" s="24">
        <v>0</v>
      </c>
      <c r="HM51" s="24">
        <v>0</v>
      </c>
      <c r="HN51" s="24">
        <v>0</v>
      </c>
      <c r="HO51" s="24">
        <v>271327</v>
      </c>
      <c r="HP51" s="24">
        <v>83587</v>
      </c>
      <c r="HQ51" s="24">
        <v>0</v>
      </c>
      <c r="HR51" s="24">
        <v>0</v>
      </c>
      <c r="HS51" s="24">
        <v>0</v>
      </c>
      <c r="HT51" s="24">
        <v>0</v>
      </c>
      <c r="HU51" s="24">
        <v>0</v>
      </c>
      <c r="HV51" s="24">
        <v>0</v>
      </c>
      <c r="HW51" s="24">
        <v>0</v>
      </c>
      <c r="HX51" s="24">
        <v>0</v>
      </c>
      <c r="HY51" s="24">
        <v>0</v>
      </c>
      <c r="HZ51" s="24">
        <v>0</v>
      </c>
      <c r="IA51" s="24">
        <v>31300</v>
      </c>
      <c r="IB51" s="24">
        <v>7112</v>
      </c>
      <c r="IC51" s="24">
        <v>0</v>
      </c>
      <c r="ID51" s="24">
        <v>0</v>
      </c>
      <c r="IE51" s="24">
        <v>0</v>
      </c>
      <c r="IF51" s="24">
        <v>0</v>
      </c>
      <c r="IG51" s="24">
        <v>0</v>
      </c>
      <c r="IH51" s="24">
        <v>0</v>
      </c>
      <c r="II51" s="24">
        <v>0</v>
      </c>
      <c r="IJ51" s="24">
        <v>0</v>
      </c>
      <c r="IK51" s="24">
        <v>0</v>
      </c>
      <c r="IL51" s="24">
        <v>0</v>
      </c>
      <c r="IM51" s="24">
        <v>0</v>
      </c>
      <c r="IN51" s="24">
        <v>0</v>
      </c>
      <c r="IO51" s="24">
        <v>3000</v>
      </c>
      <c r="IP51" s="24">
        <v>0</v>
      </c>
      <c r="IQ51" s="24">
        <v>0</v>
      </c>
      <c r="IR51" s="24">
        <v>24876</v>
      </c>
      <c r="IS51" s="24">
        <v>0</v>
      </c>
      <c r="IT51" s="24">
        <v>0</v>
      </c>
      <c r="IU51" s="24">
        <v>0</v>
      </c>
      <c r="IV51" s="24">
        <v>0</v>
      </c>
      <c r="IW51" s="24">
        <v>26449</v>
      </c>
      <c r="IX51" s="24">
        <v>0</v>
      </c>
      <c r="IY51" s="24">
        <v>0</v>
      </c>
      <c r="IZ51" s="24">
        <v>0</v>
      </c>
      <c r="JA51" s="24">
        <v>0</v>
      </c>
      <c r="JB51" s="24">
        <v>0</v>
      </c>
      <c r="JC51" s="24">
        <v>0</v>
      </c>
      <c r="JD51" s="24">
        <v>0</v>
      </c>
      <c r="JE51" s="24">
        <v>0</v>
      </c>
      <c r="JF51" s="24">
        <v>0</v>
      </c>
      <c r="JG51" s="24">
        <v>0</v>
      </c>
      <c r="JH51" s="24">
        <v>0</v>
      </c>
      <c r="JI51" s="24">
        <v>0</v>
      </c>
      <c r="JJ51" s="24">
        <v>0</v>
      </c>
      <c r="JK51" s="24">
        <v>0</v>
      </c>
      <c r="JL51" s="24">
        <v>0</v>
      </c>
      <c r="JM51" s="24">
        <v>0</v>
      </c>
      <c r="JN51" s="24">
        <v>936</v>
      </c>
      <c r="JO51" s="24">
        <v>0</v>
      </c>
      <c r="JP51" s="24">
        <v>0</v>
      </c>
      <c r="JQ51" s="24">
        <v>0</v>
      </c>
      <c r="JR51" s="24">
        <v>0</v>
      </c>
      <c r="JS51" s="24">
        <v>0</v>
      </c>
      <c r="JT51" s="24">
        <v>0</v>
      </c>
      <c r="JU51" s="24">
        <v>0</v>
      </c>
      <c r="JV51" s="24">
        <v>0</v>
      </c>
      <c r="JW51" s="24">
        <v>57276</v>
      </c>
      <c r="JX51" s="24">
        <v>0</v>
      </c>
      <c r="JY51" s="24">
        <v>0</v>
      </c>
      <c r="JZ51" s="24">
        <v>0</v>
      </c>
      <c r="KA51" s="24">
        <v>0</v>
      </c>
      <c r="KB51" s="24">
        <v>0</v>
      </c>
      <c r="KC51" s="24">
        <v>0</v>
      </c>
      <c r="KD51" s="24">
        <v>0</v>
      </c>
      <c r="KE51" s="24">
        <v>0</v>
      </c>
      <c r="KF51" s="24">
        <v>0</v>
      </c>
      <c r="KG51" s="24">
        <v>236699</v>
      </c>
      <c r="KH51" s="24">
        <v>0</v>
      </c>
      <c r="KI51" s="24">
        <v>0</v>
      </c>
      <c r="KJ51" s="24">
        <v>0</v>
      </c>
      <c r="KK51" s="24">
        <v>0</v>
      </c>
      <c r="KL51" s="24">
        <v>0</v>
      </c>
      <c r="KM51" s="24">
        <v>0</v>
      </c>
      <c r="KN51" s="24">
        <v>0</v>
      </c>
      <c r="KO51" s="24">
        <v>0</v>
      </c>
      <c r="KP51" s="24">
        <v>0</v>
      </c>
      <c r="KQ51" s="24">
        <v>0</v>
      </c>
      <c r="KR51" s="24">
        <v>0</v>
      </c>
      <c r="KS51" s="24">
        <v>0</v>
      </c>
      <c r="KT51" s="24">
        <v>0</v>
      </c>
      <c r="KU51" s="24">
        <v>0</v>
      </c>
      <c r="KV51" s="24">
        <v>0</v>
      </c>
      <c r="KW51" s="24">
        <v>0</v>
      </c>
      <c r="KX51" s="24">
        <v>0</v>
      </c>
      <c r="KY51" s="24">
        <v>0</v>
      </c>
      <c r="KZ51" s="24">
        <v>0</v>
      </c>
      <c r="LA51" s="24">
        <v>0</v>
      </c>
      <c r="LB51" s="24">
        <v>0</v>
      </c>
      <c r="LC51" s="24">
        <v>0</v>
      </c>
      <c r="LD51" s="24">
        <v>0</v>
      </c>
      <c r="LE51" s="24">
        <v>0</v>
      </c>
      <c r="LF51" s="24">
        <v>0</v>
      </c>
      <c r="LG51" s="24">
        <v>0</v>
      </c>
      <c r="LH51" s="24">
        <v>0</v>
      </c>
      <c r="LI51" s="24">
        <v>0</v>
      </c>
      <c r="LJ51" s="24">
        <v>0</v>
      </c>
      <c r="LK51" s="24">
        <v>0</v>
      </c>
      <c r="LL51" s="24">
        <v>0</v>
      </c>
      <c r="LM51" s="24">
        <v>0</v>
      </c>
      <c r="LN51" s="24">
        <v>0</v>
      </c>
      <c r="LO51" s="24">
        <v>0</v>
      </c>
      <c r="LP51" s="24">
        <v>0</v>
      </c>
      <c r="LQ51" s="24">
        <v>83455</v>
      </c>
      <c r="LR51" s="24">
        <v>0</v>
      </c>
      <c r="LS51" s="24">
        <v>0</v>
      </c>
      <c r="LT51" s="24">
        <v>0</v>
      </c>
      <c r="LU51" s="24">
        <v>0</v>
      </c>
      <c r="LV51" s="24">
        <v>0</v>
      </c>
      <c r="LW51" s="24">
        <v>0</v>
      </c>
      <c r="LX51" s="24">
        <v>0</v>
      </c>
      <c r="LY51" s="24">
        <v>0</v>
      </c>
      <c r="LZ51" s="24">
        <v>0</v>
      </c>
      <c r="MA51" s="24">
        <v>0</v>
      </c>
      <c r="MB51" s="24">
        <v>0</v>
      </c>
      <c r="MC51" s="24">
        <v>0</v>
      </c>
      <c r="MD51" s="24">
        <v>0</v>
      </c>
      <c r="ME51" s="24">
        <v>0</v>
      </c>
      <c r="MF51" s="24">
        <v>0</v>
      </c>
      <c r="MG51" s="24">
        <v>0</v>
      </c>
      <c r="MH51" s="24">
        <v>0</v>
      </c>
      <c r="MI51" s="24">
        <v>0</v>
      </c>
      <c r="MJ51" s="24">
        <v>0</v>
      </c>
      <c r="MK51" s="24">
        <v>0</v>
      </c>
      <c r="ML51" s="24">
        <v>0</v>
      </c>
      <c r="MM51" s="24">
        <v>0</v>
      </c>
      <c r="MN51" s="24">
        <v>0</v>
      </c>
      <c r="MO51" s="24">
        <v>4534</v>
      </c>
      <c r="MP51" s="24">
        <v>0</v>
      </c>
      <c r="MQ51" s="24">
        <v>0</v>
      </c>
      <c r="MR51" s="24">
        <v>67786</v>
      </c>
      <c r="MS51" s="24">
        <v>0</v>
      </c>
      <c r="MT51" s="24">
        <v>0</v>
      </c>
      <c r="MU51" s="24">
        <v>0</v>
      </c>
      <c r="MV51" s="24">
        <v>0</v>
      </c>
      <c r="MW51" s="24">
        <v>106353</v>
      </c>
      <c r="MX51" s="24">
        <v>3216</v>
      </c>
      <c r="MY51" s="24">
        <v>0</v>
      </c>
      <c r="MZ51" s="24">
        <v>0</v>
      </c>
      <c r="NA51" s="24">
        <v>0</v>
      </c>
      <c r="NB51" s="24">
        <v>0</v>
      </c>
      <c r="NC51" s="24">
        <v>0</v>
      </c>
      <c r="ND51" s="24">
        <v>0</v>
      </c>
      <c r="NE51" s="24">
        <v>0</v>
      </c>
      <c r="NF51" s="24">
        <v>0</v>
      </c>
      <c r="NG51" s="24">
        <v>0</v>
      </c>
      <c r="NH51" s="24">
        <v>0</v>
      </c>
      <c r="NI51" s="24">
        <v>0</v>
      </c>
      <c r="NJ51" s="24">
        <v>0</v>
      </c>
      <c r="NK51" s="24">
        <v>0</v>
      </c>
      <c r="NL51" s="24">
        <v>0</v>
      </c>
      <c r="NM51" s="24">
        <v>0</v>
      </c>
      <c r="NN51" s="24">
        <v>0</v>
      </c>
      <c r="NO51" s="24">
        <v>0</v>
      </c>
      <c r="NP51" s="24">
        <v>0</v>
      </c>
      <c r="NQ51" s="24">
        <v>22797</v>
      </c>
      <c r="NR51" s="24">
        <v>0</v>
      </c>
      <c r="NS51" s="24">
        <v>0</v>
      </c>
      <c r="NT51" s="24">
        <v>0</v>
      </c>
      <c r="NU51" s="24">
        <v>0</v>
      </c>
      <c r="NV51" s="24">
        <v>27162</v>
      </c>
      <c r="NW51" s="24">
        <v>0</v>
      </c>
      <c r="NX51" s="24">
        <v>0</v>
      </c>
      <c r="NY51" s="24">
        <v>0</v>
      </c>
      <c r="NZ51" s="24">
        <v>0</v>
      </c>
      <c r="OA51" s="24">
        <v>0</v>
      </c>
      <c r="OB51" s="24">
        <v>0</v>
      </c>
      <c r="OC51" s="24">
        <v>0</v>
      </c>
      <c r="OD51" s="24">
        <v>0</v>
      </c>
      <c r="OE51" s="24">
        <v>0</v>
      </c>
      <c r="OF51" s="24">
        <v>0</v>
      </c>
      <c r="OG51" s="24">
        <v>0</v>
      </c>
      <c r="OH51" s="24">
        <v>0</v>
      </c>
      <c r="OI51" s="24">
        <v>0</v>
      </c>
      <c r="OJ51" s="24">
        <v>0</v>
      </c>
      <c r="OK51" s="24">
        <v>10050</v>
      </c>
      <c r="OL51" s="24">
        <v>0</v>
      </c>
      <c r="OM51" s="24">
        <v>0</v>
      </c>
      <c r="ON51" s="24">
        <v>0</v>
      </c>
      <c r="OO51" s="24">
        <v>0</v>
      </c>
      <c r="OP51" s="24">
        <v>0</v>
      </c>
      <c r="OQ51" s="24">
        <v>0</v>
      </c>
      <c r="OR51" s="24">
        <v>0</v>
      </c>
      <c r="OS51" s="24">
        <v>0</v>
      </c>
      <c r="OT51" s="24">
        <v>0</v>
      </c>
      <c r="OU51" s="24">
        <v>0</v>
      </c>
      <c r="OV51" s="24">
        <v>0</v>
      </c>
      <c r="OW51" s="24">
        <v>0</v>
      </c>
      <c r="OX51" s="24">
        <v>0</v>
      </c>
      <c r="OY51" s="24">
        <v>0</v>
      </c>
      <c r="OZ51" s="24">
        <v>8905</v>
      </c>
      <c r="PA51" s="24">
        <v>0</v>
      </c>
      <c r="PB51" s="24">
        <v>0</v>
      </c>
      <c r="PC51" s="24">
        <v>0</v>
      </c>
      <c r="PD51" s="24">
        <v>4373</v>
      </c>
      <c r="PE51" s="24">
        <v>0</v>
      </c>
      <c r="PF51" s="24">
        <v>0</v>
      </c>
      <c r="PG51" s="24">
        <v>0</v>
      </c>
      <c r="PH51" s="24">
        <v>42759</v>
      </c>
      <c r="PI51" s="24">
        <v>225850</v>
      </c>
      <c r="PJ51" s="24">
        <v>0</v>
      </c>
      <c r="PK51" s="24">
        <v>0</v>
      </c>
      <c r="PL51" s="24">
        <v>0</v>
      </c>
      <c r="PM51" s="24">
        <v>0</v>
      </c>
      <c r="PN51" s="24">
        <v>0</v>
      </c>
      <c r="PO51" s="24">
        <v>0</v>
      </c>
      <c r="PP51" s="24">
        <v>0</v>
      </c>
      <c r="PQ51" s="24">
        <v>0</v>
      </c>
      <c r="PR51" s="24">
        <v>97591</v>
      </c>
      <c r="PS51" s="24">
        <v>5000</v>
      </c>
      <c r="PT51" s="24">
        <v>0</v>
      </c>
      <c r="PU51" s="24">
        <v>0</v>
      </c>
      <c r="PV51" s="24">
        <v>0</v>
      </c>
      <c r="PW51" s="24">
        <v>0</v>
      </c>
      <c r="PX51" s="24">
        <v>0</v>
      </c>
      <c r="PY51" s="24">
        <v>0</v>
      </c>
      <c r="PZ51" s="24">
        <v>0</v>
      </c>
      <c r="QA51" s="24">
        <v>0</v>
      </c>
      <c r="QB51" s="24">
        <v>0</v>
      </c>
      <c r="QC51" s="24">
        <v>0</v>
      </c>
      <c r="QD51" s="24">
        <v>0</v>
      </c>
      <c r="QE51" s="24">
        <v>0</v>
      </c>
      <c r="QF51" s="24">
        <v>0</v>
      </c>
      <c r="QG51" s="24">
        <v>0</v>
      </c>
      <c r="QH51" s="24">
        <v>0</v>
      </c>
      <c r="QI51" s="24">
        <v>0</v>
      </c>
      <c r="QJ51" s="24">
        <v>0</v>
      </c>
      <c r="QK51" s="24">
        <v>0</v>
      </c>
      <c r="QL51" s="24">
        <v>0</v>
      </c>
      <c r="QM51" s="24">
        <v>0</v>
      </c>
      <c r="QN51" s="24">
        <v>0</v>
      </c>
      <c r="QO51" s="24">
        <v>0</v>
      </c>
      <c r="QP51" s="24">
        <v>0</v>
      </c>
      <c r="QQ51" s="24">
        <v>0</v>
      </c>
      <c r="QR51" s="24">
        <v>0</v>
      </c>
      <c r="QS51" s="24">
        <v>6556</v>
      </c>
      <c r="QT51" s="24">
        <v>0</v>
      </c>
      <c r="QU51" s="24">
        <v>0</v>
      </c>
      <c r="QV51" s="24">
        <v>0</v>
      </c>
      <c r="QW51" s="24">
        <v>23172</v>
      </c>
      <c r="QX51" s="24">
        <v>0</v>
      </c>
      <c r="QY51" s="24">
        <v>0</v>
      </c>
      <c r="QZ51" s="24">
        <v>0</v>
      </c>
      <c r="RA51" s="24">
        <v>1533</v>
      </c>
      <c r="RB51" s="24">
        <v>1533</v>
      </c>
      <c r="RG51" s="39">
        <f t="shared" si="126"/>
        <v>2042510</v>
      </c>
      <c r="RH51" s="39">
        <f t="shared" si="126"/>
        <v>202957</v>
      </c>
      <c r="RI51" s="39">
        <f t="shared" si="126"/>
        <v>0</v>
      </c>
      <c r="RJ51" s="39">
        <f t="shared" si="126"/>
        <v>0</v>
      </c>
      <c r="RK51" s="39">
        <f t="shared" si="126"/>
        <v>0</v>
      </c>
      <c r="RL51" s="39">
        <f t="shared" si="126"/>
        <v>271327</v>
      </c>
      <c r="RM51" s="39">
        <f t="shared" si="126"/>
        <v>121999</v>
      </c>
      <c r="RN51" s="39">
        <f t="shared" si="126"/>
        <v>3000</v>
      </c>
      <c r="RO51" s="39">
        <f t="shared" si="126"/>
        <v>24876</v>
      </c>
      <c r="RP51" s="39">
        <f t="shared" si="126"/>
        <v>26449</v>
      </c>
      <c r="RQ51" s="39">
        <f t="shared" si="126"/>
        <v>0</v>
      </c>
      <c r="RR51" s="39">
        <f t="shared" si="126"/>
        <v>58212</v>
      </c>
      <c r="RS51" s="39"/>
      <c r="RT51" s="182"/>
      <c r="RU51" s="39"/>
      <c r="RV51" s="39">
        <f t="shared" si="127"/>
        <v>562052</v>
      </c>
      <c r="RW51" s="39">
        <f t="shared" si="127"/>
        <v>2751330</v>
      </c>
      <c r="RX51" s="39">
        <f t="shared" si="127"/>
        <v>779354</v>
      </c>
      <c r="RY51" s="39">
        <f t="shared" si="127"/>
        <v>417272</v>
      </c>
      <c r="RZ51" s="39"/>
      <c r="SA51" s="182"/>
      <c r="SB51" s="39"/>
      <c r="SC51" s="39">
        <f t="shared" si="50"/>
        <v>2195.3633802816903</v>
      </c>
      <c r="SD51" s="39">
        <f>IFERROR(VLOOKUP(A51, 'Levy Data 15-16'!$B:$O, 3, FALSE), 0)</f>
        <v>663975886</v>
      </c>
      <c r="SE51" s="39">
        <f t="shared" si="88"/>
        <v>1870354.6084507043</v>
      </c>
      <c r="SF51" s="631">
        <f>IFERROR(VLOOKUP(A51, 'Levy Data 15-16'!$B:$O, 14, FALSE), 0)*1000</f>
        <v>0.68739899999999998</v>
      </c>
      <c r="SG51" s="39">
        <f t="shared" si="89"/>
        <v>0</v>
      </c>
      <c r="SH51" s="39">
        <f t="shared" si="90"/>
        <v>0</v>
      </c>
      <c r="SI51" s="39">
        <f t="shared" si="91"/>
        <v>779354</v>
      </c>
      <c r="SM51" s="39">
        <f t="shared" si="92"/>
        <v>2751330</v>
      </c>
      <c r="SN51" s="39">
        <f t="shared" si="93"/>
        <v>0</v>
      </c>
      <c r="SO51" s="39">
        <f t="shared" si="51"/>
        <v>2751330</v>
      </c>
      <c r="SP51" s="50">
        <f t="shared" si="52"/>
        <v>1</v>
      </c>
      <c r="ST51" s="124">
        <f>IFERROR(VLOOKUP(A51,'Grade Enroll 15-16'!B:AC,27,FALSE),"")</f>
        <v>355</v>
      </c>
      <c r="SU51" s="124">
        <f t="shared" si="53"/>
        <v>135.23809523809524</v>
      </c>
      <c r="SV51" s="131">
        <f>IFERROR(VLOOKUP($A51, 'Title I Enroll 16-17'!S:V, 4, FALSE), 0)</f>
        <v>0.38095238095238093</v>
      </c>
      <c r="SW51" s="729">
        <f>IFERROR(VLOOKUP(A51, 'ELL Enroll 15-16'!$N:$S, 6, FALSE), 0)</f>
        <v>5</v>
      </c>
      <c r="SX51" s="131">
        <f t="shared" si="54"/>
        <v>1.4084507042253521E-2</v>
      </c>
      <c r="SY51" s="124">
        <f>IFERROR(VLOOKUP(A51, 'SPED enroll 2015-16'!$M:$O, 3, FALSE), 0)</f>
        <v>40</v>
      </c>
      <c r="SZ51" s="131">
        <f t="shared" si="55"/>
        <v>0.11267605633802817</v>
      </c>
      <c r="TA51" s="142">
        <f t="shared" si="87"/>
        <v>28</v>
      </c>
      <c r="TB51" s="142">
        <f t="shared" si="87"/>
        <v>8</v>
      </c>
      <c r="TC51" s="142">
        <f t="shared" si="87"/>
        <v>2.8000000000000003</v>
      </c>
      <c r="TD51" s="142">
        <f t="shared" si="87"/>
        <v>1.2</v>
      </c>
      <c r="TE51" s="124">
        <f>VLOOKUP($A51, 'Grade Enroll 15-16'!$B:$AB, 20, FALSE)</f>
        <v>5</v>
      </c>
      <c r="TF51" s="124">
        <f>VLOOKUP($A51, 'Grade Enroll 15-16'!$B:$AB, 21, FALSE)</f>
        <v>16</v>
      </c>
      <c r="TG51" s="124">
        <f>VLOOKUP($A51, 'Grade Enroll 15-16'!$B:$AB, 22, FALSE)</f>
        <v>84</v>
      </c>
      <c r="TH51" s="124">
        <f>VLOOKUP($A51, 'Grade Enroll 15-16'!$B:$AB, 23, FALSE)</f>
        <v>80</v>
      </c>
      <c r="TI51" s="124">
        <f>VLOOKUP($A51, 'Grade Enroll 15-16'!$B:$AB, 24, FALSE)</f>
        <v>56</v>
      </c>
      <c r="TJ51" s="124">
        <f>VLOOKUP($A51, 'Grade Enroll 15-16'!$B:$AB, 25, FALSE)</f>
        <v>135</v>
      </c>
      <c r="TK51" s="124">
        <f>VLOOKUP($A51, 'Grade Enroll 15-16'!$B:$AB, 26, FALSE)</f>
        <v>233</v>
      </c>
      <c r="TL51" s="131">
        <f>SUMIFS('Student Achievement 15-16'!N:N, 'Student Achievement 15-16'!B:B, 'Idaho Data'!A51, 'Student Achievement 15-16'!D:D, "math")/100</f>
        <v>0.41100000000000003</v>
      </c>
      <c r="TM51" s="134">
        <f t="shared" si="57"/>
        <v>145.905</v>
      </c>
      <c r="TN51" s="131">
        <f>SUMIFS('Student Achievement 15-16'!N:N, 'Student Achievement 15-16'!B:B, 'Idaho Data'!A51, 'Student Achievement 15-16'!D:D, "ela")/100</f>
        <v>0.28699999999999998</v>
      </c>
      <c r="TO51" s="134">
        <f t="shared" si="58"/>
        <v>101.88499999999999</v>
      </c>
      <c r="TP51" s="688">
        <f>IFERROR(VLOOKUP(A51, 'G&amp;T 15-16'!B:G, 6, FALSE), 0)*1</f>
        <v>0</v>
      </c>
      <c r="TQ51" s="168">
        <f t="shared" si="59"/>
        <v>21.3</v>
      </c>
      <c r="TU51" s="168">
        <f t="shared" si="60"/>
        <v>101.88499999999999</v>
      </c>
      <c r="TV51" s="168">
        <f t="shared" si="61"/>
        <v>145.905</v>
      </c>
      <c r="TW51" s="205">
        <f t="shared" si="62"/>
        <v>145.905</v>
      </c>
      <c r="TX51" s="144"/>
      <c r="TY51" s="129"/>
      <c r="TZ51" s="127">
        <f t="shared" si="63"/>
        <v>0</v>
      </c>
      <c r="UA51" s="127">
        <f t="shared" si="64"/>
        <v>21.3</v>
      </c>
      <c r="UB51" s="205">
        <f t="shared" si="65"/>
        <v>21.3</v>
      </c>
      <c r="UE51" s="853" t="str">
        <f>IF(ST51&lt;='1. Simulator Input'!$E$104, "yes", "")</f>
        <v/>
      </c>
      <c r="UI51" s="199">
        <f t="shared" si="66"/>
        <v>0</v>
      </c>
      <c r="UJ51" s="200">
        <f>IF('Idaho Data'!SI51&gt;=0, ((1-'1. Simulator Input'!$E$39)*'Idaho Data'!SI51), 0)</f>
        <v>0</v>
      </c>
      <c r="UK51" s="200">
        <f t="shared" si="67"/>
        <v>2751330</v>
      </c>
      <c r="UL51" s="39"/>
      <c r="UM51" s="182"/>
      <c r="UN51" s="39"/>
      <c r="UO51" s="39" t="str">
        <f>IF(AND('1. Simulator Input'!$E$96="yes", '1. Simulator Input'!$E$98="yes", '1. Simulator Input'!$E$100="hold harmless"), 'Idaho Data'!WN51, IF(AND('1. Simulator Input'!$E$96="yes", '1. Simulator Input'!$E$98="no", '1. Simulator Input'!$E$100="hold harmless"), 'Idaho Data'!WM51, IF(AND('1. Simulator Input'!$E$96="yes", '1. Simulator Input'!$E$98="yes", '1. Simulator Input'!$E$100="small district grant"), WL51,IF(AND('1. Simulator Input'!$E$96="yes", '1. Simulator Input'!$E$98="no", '1. Simulator Input'!$E$100="small district grant"), WK51, ""))))</f>
        <v/>
      </c>
      <c r="UP51" s="200">
        <f>'1. Simulator Input'!$D$56*('Idaho Data'!ST51)</f>
        <v>1961730</v>
      </c>
      <c r="UQ51" s="204">
        <f>'1. Simulator Input'!$D$65*'1. Simulator Input'!$D$56*'Idaho Data'!SU51</f>
        <v>0</v>
      </c>
      <c r="UR51" s="204">
        <f>'1. Simulator Input'!$D$66*'1. Simulator Input'!$D$56*'Idaho Data'!SW51</f>
        <v>0</v>
      </c>
      <c r="US51" s="200">
        <f>'1. Simulator Input'!$D$67*'1. Simulator Input'!$D$56*'Idaho Data'!TA51</f>
        <v>0</v>
      </c>
      <c r="UT51" s="200">
        <f>'1. Simulator Input'!$D$68*'1. Simulator Input'!$D$56*'Idaho Data'!TB51</f>
        <v>0</v>
      </c>
      <c r="UU51" s="200">
        <f>'1. Simulator Input'!$D$69*'1. Simulator Input'!$D$56*'Idaho Data'!TC51</f>
        <v>0</v>
      </c>
      <c r="UV51" s="200">
        <f>'1. Simulator Input'!$D$70*'1. Simulator Input'!$D$56*TD51</f>
        <v>0</v>
      </c>
      <c r="UW51" s="200">
        <f>'1. Simulator Input'!$D$80*'1. Simulator Input'!$D$56*TW51</f>
        <v>0</v>
      </c>
      <c r="UX51" s="200">
        <f>'1. Simulator Input'!$D$79*'1. Simulator Input'!$D$56*UB51</f>
        <v>0</v>
      </c>
      <c r="UY51" s="200">
        <f>'1. Simulator Input'!$D$87*'1. Simulator Input'!$D$56*TF51</f>
        <v>44208</v>
      </c>
      <c r="UZ51" s="200">
        <f>'1. Simulator Input'!$D$73*'1. Simulator Input'!$D$56*'Idaho Data'!TG51</f>
        <v>0</v>
      </c>
      <c r="VA51" s="200">
        <f>'1. Simulator Input'!$D$56*'1. Simulator Input'!$D$74*'Idaho Data'!TH51</f>
        <v>0</v>
      </c>
      <c r="VB51" s="200">
        <f>'1. Simulator Input'!$D$56*'1. Simulator Input'!$D$75*'Idaho Data'!TI46</f>
        <v>0</v>
      </c>
      <c r="VC51" s="200">
        <f>'1. Simulator Input'!$D$76*'1. Simulator Input'!$D$56*'Idaho Data'!TJ51</f>
        <v>0</v>
      </c>
      <c r="VD51" s="200">
        <f t="shared" si="68"/>
        <v>2005938</v>
      </c>
      <c r="VE51" s="200"/>
      <c r="VF51" s="182"/>
      <c r="VG51" s="200"/>
      <c r="VH51" s="200">
        <f t="shared" si="69"/>
        <v>0</v>
      </c>
      <c r="VI51" s="200">
        <f t="shared" si="70"/>
        <v>0</v>
      </c>
      <c r="VJ51" s="200">
        <f t="shared" si="94"/>
        <v>2005938</v>
      </c>
      <c r="VK51" s="200">
        <f t="shared" si="95"/>
        <v>2005938</v>
      </c>
      <c r="VL51" s="200"/>
      <c r="VM51" s="182"/>
      <c r="VN51" s="200"/>
      <c r="VO51" s="200">
        <f t="shared" si="71"/>
        <v>562052</v>
      </c>
      <c r="VP51" s="200">
        <f t="shared" si="72"/>
        <v>2751330</v>
      </c>
      <c r="VQ51" s="200">
        <f t="shared" si="73"/>
        <v>779354</v>
      </c>
      <c r="VR51" s="200">
        <f t="shared" si="74"/>
        <v>562052</v>
      </c>
      <c r="VS51" s="200">
        <f t="shared" si="96"/>
        <v>2005938</v>
      </c>
      <c r="VT51" s="200">
        <f t="shared" si="97"/>
        <v>779354</v>
      </c>
      <c r="VU51" s="200">
        <f t="shared" si="98"/>
        <v>0</v>
      </c>
      <c r="VV51" s="200"/>
      <c r="VW51" s="182"/>
      <c r="VX51" s="200"/>
      <c r="VZ51" s="199">
        <f t="shared" si="75"/>
        <v>-745392</v>
      </c>
      <c r="WA51" s="199">
        <f t="shared" si="76"/>
        <v>-2099.6957746478874</v>
      </c>
      <c r="WB51" s="131">
        <f t="shared" si="77"/>
        <v>-0.27092060930531781</v>
      </c>
      <c r="WC51" s="131"/>
      <c r="WD51" s="461"/>
      <c r="WE51" s="893"/>
      <c r="WF51" s="893">
        <f t="shared" si="78"/>
        <v>11528.833802816902</v>
      </c>
      <c r="WG51" s="893">
        <f t="shared" si="79"/>
        <v>9429.1380281690144</v>
      </c>
      <c r="WH51" s="893"/>
      <c r="WI51" s="893">
        <f t="shared" si="80"/>
        <v>2751330</v>
      </c>
      <c r="WJ51" s="893">
        <f t="shared" si="99"/>
        <v>2005938</v>
      </c>
      <c r="WK51" s="39" t="str">
        <f t="shared" si="100"/>
        <v/>
      </c>
      <c r="WL51" s="39" t="str">
        <f t="shared" si="101"/>
        <v/>
      </c>
      <c r="WM51" s="200" t="str">
        <f t="shared" si="102"/>
        <v/>
      </c>
      <c r="WN51" s="39" t="str">
        <f t="shared" si="103"/>
        <v/>
      </c>
      <c r="WO51" s="39"/>
      <c r="WP51" s="182"/>
      <c r="WQ51" s="39"/>
      <c r="WR51" s="305">
        <f t="shared" si="104"/>
        <v>0.94699999999999995</v>
      </c>
      <c r="WT51" s="200">
        <f t="shared" si="105"/>
        <v>7750.2253521126759</v>
      </c>
      <c r="WU51" s="131">
        <f t="shared" si="81"/>
        <v>0.73</v>
      </c>
      <c r="WW51" s="199">
        <f t="shared" si="106"/>
        <v>562052</v>
      </c>
      <c r="WX51" s="199">
        <f t="shared" si="107"/>
        <v>2005938</v>
      </c>
      <c r="WY51" s="199">
        <f t="shared" si="108"/>
        <v>0</v>
      </c>
      <c r="WZ51" s="199">
        <f t="shared" si="82"/>
        <v>2005938</v>
      </c>
      <c r="XA51" s="199">
        <f t="shared" si="109"/>
        <v>0</v>
      </c>
      <c r="XB51" s="199">
        <f t="shared" si="110"/>
        <v>779354</v>
      </c>
      <c r="XC51" s="199">
        <f t="shared" si="111"/>
        <v>779354</v>
      </c>
      <c r="XD51" s="199" t="str">
        <f t="shared" si="112"/>
        <v/>
      </c>
      <c r="XE51" s="199"/>
      <c r="XF51" s="199"/>
      <c r="XG51" s="199"/>
      <c r="XH51" s="199"/>
      <c r="XI51" s="199"/>
      <c r="XJ51" s="199">
        <f t="shared" si="83"/>
        <v>2005938</v>
      </c>
      <c r="XP51" s="199">
        <f t="shared" si="113"/>
        <v>2005938</v>
      </c>
      <c r="XQ51" s="199">
        <f t="shared" si="114"/>
        <v>5650.5295774647884</v>
      </c>
      <c r="XR51" s="199">
        <f t="shared" si="115"/>
        <v>2005938</v>
      </c>
      <c r="XS51" s="199">
        <f t="shared" si="116"/>
        <v>2005938</v>
      </c>
      <c r="XT51" s="199">
        <f t="shared" si="117"/>
        <v>5650.5295774647884</v>
      </c>
      <c r="XU51" s="199">
        <f t="shared" si="118"/>
        <v>2751330</v>
      </c>
      <c r="XV51" s="199">
        <f t="shared" si="119"/>
        <v>7750.2253521126759</v>
      </c>
      <c r="XW51" s="199">
        <f t="shared" si="120"/>
        <v>2751330</v>
      </c>
      <c r="XX51" s="199">
        <f t="shared" si="121"/>
        <v>7750.2253521126759</v>
      </c>
      <c r="XY51" s="199">
        <f t="shared" si="84"/>
        <v>-745392</v>
      </c>
      <c r="XZ51" s="199">
        <f t="shared" si="85"/>
        <v>-2099.6957746478874</v>
      </c>
      <c r="YA51" s="131">
        <f t="shared" si="86"/>
        <v>-0.27092060930531781</v>
      </c>
      <c r="YB51" s="199"/>
      <c r="YC51" s="221"/>
      <c r="YD51" s="199"/>
      <c r="YE51" s="199">
        <f t="shared" si="122"/>
        <v>562052</v>
      </c>
      <c r="YF51" s="200">
        <f t="shared" si="123"/>
        <v>0</v>
      </c>
      <c r="YG51" s="199">
        <f t="shared" si="124"/>
        <v>779354</v>
      </c>
      <c r="YH51" s="199">
        <f t="shared" si="125"/>
        <v>417272</v>
      </c>
    </row>
    <row r="52" spans="1:658">
      <c r="A52" s="3">
        <v>182</v>
      </c>
      <c r="B52" s="2" t="s">
        <v>145</v>
      </c>
      <c r="C52" s="24">
        <v>0</v>
      </c>
      <c r="D52" s="24">
        <v>0</v>
      </c>
      <c r="E52" s="24">
        <v>0</v>
      </c>
      <c r="F52" s="24">
        <v>0</v>
      </c>
      <c r="G52" s="24">
        <v>147891</v>
      </c>
      <c r="H52" s="24">
        <v>0</v>
      </c>
      <c r="I52" s="24">
        <v>0</v>
      </c>
      <c r="J52" s="24">
        <v>7350</v>
      </c>
      <c r="K52" s="24">
        <v>0</v>
      </c>
      <c r="L52" s="24">
        <v>0</v>
      </c>
      <c r="M52" s="24">
        <v>0</v>
      </c>
      <c r="N52" s="24">
        <v>14759</v>
      </c>
      <c r="O52" s="24">
        <v>0</v>
      </c>
      <c r="P52" s="24">
        <v>0</v>
      </c>
      <c r="Q52" s="24">
        <v>0</v>
      </c>
      <c r="R52" s="24">
        <v>0</v>
      </c>
      <c r="S52" s="24">
        <v>0</v>
      </c>
      <c r="T52" s="24">
        <v>116333</v>
      </c>
      <c r="U52" s="24">
        <v>0</v>
      </c>
      <c r="V52" s="24">
        <v>0</v>
      </c>
      <c r="W52" s="24">
        <v>0</v>
      </c>
      <c r="X52" s="24">
        <v>0</v>
      </c>
      <c r="Y52" s="24">
        <v>1217</v>
      </c>
      <c r="Z52" s="24">
        <v>0</v>
      </c>
      <c r="AA52" s="24">
        <v>0</v>
      </c>
      <c r="AB52" s="24">
        <v>898</v>
      </c>
      <c r="AC52" s="24">
        <v>0</v>
      </c>
      <c r="AD52" s="24">
        <v>0</v>
      </c>
      <c r="AE52" s="24">
        <v>0</v>
      </c>
      <c r="AF52" s="24">
        <v>0</v>
      </c>
      <c r="AG52" s="24">
        <v>0</v>
      </c>
      <c r="AH52" s="24">
        <v>0</v>
      </c>
      <c r="AI52" s="24">
        <v>0</v>
      </c>
      <c r="AJ52" s="24">
        <v>0</v>
      </c>
      <c r="AK52" s="24">
        <v>0</v>
      </c>
      <c r="AL52" s="24">
        <v>3379</v>
      </c>
      <c r="AM52" s="24">
        <v>3212</v>
      </c>
      <c r="AN52" s="24">
        <v>0</v>
      </c>
      <c r="AO52" s="24">
        <v>0</v>
      </c>
      <c r="AP52" s="24">
        <v>0</v>
      </c>
      <c r="AQ52" s="24">
        <v>0</v>
      </c>
      <c r="AR52" s="24">
        <v>0</v>
      </c>
      <c r="AS52" s="24">
        <v>0</v>
      </c>
      <c r="AT52" s="24">
        <v>0</v>
      </c>
      <c r="AU52" s="24">
        <v>0</v>
      </c>
      <c r="AV52" s="24">
        <v>0</v>
      </c>
      <c r="AW52" s="24">
        <v>0</v>
      </c>
      <c r="AX52" s="24">
        <v>0</v>
      </c>
      <c r="AY52" s="24">
        <v>0</v>
      </c>
      <c r="AZ52" s="24">
        <v>0</v>
      </c>
      <c r="BA52" s="24">
        <v>0</v>
      </c>
      <c r="BB52" s="24">
        <v>0</v>
      </c>
      <c r="BC52" s="24">
        <v>0</v>
      </c>
      <c r="BD52" s="24">
        <v>0</v>
      </c>
      <c r="BE52" s="24">
        <v>0</v>
      </c>
      <c r="BF52" s="24">
        <v>0</v>
      </c>
      <c r="BG52" s="24">
        <v>0</v>
      </c>
      <c r="BH52" s="24">
        <v>0</v>
      </c>
      <c r="BI52" s="24">
        <v>0</v>
      </c>
      <c r="BJ52" s="24">
        <v>0</v>
      </c>
      <c r="BK52" s="24">
        <v>0</v>
      </c>
      <c r="BL52" s="24">
        <v>0</v>
      </c>
      <c r="BM52" s="24">
        <v>0</v>
      </c>
      <c r="BN52" s="24">
        <v>0</v>
      </c>
      <c r="BO52" s="24">
        <v>0</v>
      </c>
      <c r="BP52" s="24">
        <v>0</v>
      </c>
      <c r="BQ52" s="24">
        <v>0</v>
      </c>
      <c r="BR52" s="24">
        <v>0</v>
      </c>
      <c r="BS52" s="24">
        <v>0</v>
      </c>
      <c r="BT52" s="24">
        <v>0</v>
      </c>
      <c r="BU52" s="24">
        <v>0</v>
      </c>
      <c r="BV52" s="24">
        <v>0</v>
      </c>
      <c r="BW52" s="24">
        <v>0</v>
      </c>
      <c r="BX52" s="24">
        <v>0</v>
      </c>
      <c r="BY52" s="24">
        <v>0</v>
      </c>
      <c r="BZ52" s="24">
        <v>0</v>
      </c>
      <c r="CA52" s="24">
        <v>0</v>
      </c>
      <c r="CB52" s="24">
        <v>0</v>
      </c>
      <c r="CC52" s="24">
        <v>0</v>
      </c>
      <c r="CD52" s="24">
        <v>10596</v>
      </c>
      <c r="CE52" s="24">
        <v>546</v>
      </c>
      <c r="CF52" s="24">
        <v>0</v>
      </c>
      <c r="CG52" s="24">
        <v>1277</v>
      </c>
      <c r="CH52" s="24">
        <v>0</v>
      </c>
      <c r="CI52" s="24">
        <v>0</v>
      </c>
      <c r="CJ52" s="24">
        <v>0</v>
      </c>
      <c r="CK52" s="24">
        <v>0</v>
      </c>
      <c r="CL52" s="24">
        <v>0</v>
      </c>
      <c r="CM52" s="24">
        <v>0</v>
      </c>
      <c r="CN52" s="24">
        <v>0</v>
      </c>
      <c r="CO52" s="24">
        <v>0</v>
      </c>
      <c r="CP52" s="24">
        <v>0</v>
      </c>
      <c r="CQ52" s="24">
        <v>0</v>
      </c>
      <c r="CR52" s="24">
        <v>0</v>
      </c>
      <c r="CS52" s="24">
        <v>0</v>
      </c>
      <c r="CT52" s="24">
        <v>0</v>
      </c>
      <c r="CU52" s="24">
        <v>0</v>
      </c>
      <c r="CV52" s="24">
        <v>0</v>
      </c>
      <c r="CW52" s="24">
        <v>0</v>
      </c>
      <c r="CX52" s="24">
        <v>0</v>
      </c>
      <c r="CY52" s="24">
        <v>0</v>
      </c>
      <c r="CZ52" s="24">
        <v>0</v>
      </c>
      <c r="DA52" s="24">
        <v>0</v>
      </c>
      <c r="DB52" s="24">
        <v>0</v>
      </c>
      <c r="DC52" s="24">
        <v>0</v>
      </c>
      <c r="DD52" s="24">
        <v>0</v>
      </c>
      <c r="DE52" s="24">
        <v>0</v>
      </c>
      <c r="DF52" s="24">
        <v>0</v>
      </c>
      <c r="DG52" s="24">
        <v>0</v>
      </c>
      <c r="DH52" s="24">
        <v>0</v>
      </c>
      <c r="DI52" s="24">
        <v>0</v>
      </c>
      <c r="DJ52" s="24">
        <v>0</v>
      </c>
      <c r="DK52" s="24">
        <v>0</v>
      </c>
      <c r="DL52" s="24">
        <v>0</v>
      </c>
      <c r="DM52" s="24">
        <v>0</v>
      </c>
      <c r="DN52" s="24">
        <v>0</v>
      </c>
      <c r="DO52" s="24">
        <v>0</v>
      </c>
      <c r="DP52" s="24">
        <v>0</v>
      </c>
      <c r="DQ52" s="24">
        <v>0</v>
      </c>
      <c r="DR52" s="24">
        <v>0</v>
      </c>
      <c r="DS52" s="24">
        <v>0</v>
      </c>
      <c r="DT52" s="24">
        <v>0</v>
      </c>
      <c r="DU52" s="24">
        <v>0</v>
      </c>
      <c r="DV52" s="24">
        <v>0</v>
      </c>
      <c r="DW52" s="24">
        <v>0</v>
      </c>
      <c r="DX52" s="24">
        <v>0</v>
      </c>
      <c r="DY52" s="24">
        <v>0</v>
      </c>
      <c r="DZ52" s="24">
        <v>0</v>
      </c>
      <c r="EA52" s="24">
        <v>0</v>
      </c>
      <c r="EB52" s="24">
        <v>0</v>
      </c>
      <c r="EC52" s="24">
        <v>0</v>
      </c>
      <c r="ED52" s="24">
        <v>0</v>
      </c>
      <c r="EE52" s="24">
        <v>0</v>
      </c>
      <c r="EF52" s="24">
        <v>0</v>
      </c>
      <c r="EG52" s="24">
        <v>5450</v>
      </c>
      <c r="EH52" s="24">
        <v>25239</v>
      </c>
      <c r="EI52" s="24">
        <v>0</v>
      </c>
      <c r="EJ52" s="24">
        <v>0</v>
      </c>
      <c r="EK52" s="24">
        <v>0</v>
      </c>
      <c r="EL52" s="24">
        <v>0</v>
      </c>
      <c r="EM52" s="24">
        <v>0</v>
      </c>
      <c r="EN52" s="24">
        <v>0</v>
      </c>
      <c r="EO52" s="24">
        <v>0</v>
      </c>
      <c r="EP52" s="24">
        <v>0</v>
      </c>
      <c r="EQ52" s="24">
        <v>0</v>
      </c>
      <c r="ER52" s="24">
        <v>0</v>
      </c>
      <c r="ES52" s="24">
        <v>0</v>
      </c>
      <c r="ET52" s="24">
        <v>0</v>
      </c>
      <c r="EU52" s="24">
        <v>0</v>
      </c>
      <c r="EV52" s="24">
        <v>0</v>
      </c>
      <c r="EW52" s="24">
        <v>0</v>
      </c>
      <c r="EX52" s="24">
        <v>0</v>
      </c>
      <c r="EY52" s="24">
        <v>0</v>
      </c>
      <c r="EZ52" s="24">
        <v>0</v>
      </c>
      <c r="FA52" s="24">
        <v>0</v>
      </c>
      <c r="FB52" s="24">
        <v>0</v>
      </c>
      <c r="FC52" s="24">
        <v>0</v>
      </c>
      <c r="FD52" s="24">
        <v>0</v>
      </c>
      <c r="FE52" s="24">
        <v>0</v>
      </c>
      <c r="FF52" s="24">
        <v>0</v>
      </c>
      <c r="FG52" s="24">
        <v>0</v>
      </c>
      <c r="FH52" s="24">
        <v>0</v>
      </c>
      <c r="FI52" s="24">
        <v>0</v>
      </c>
      <c r="FJ52" s="24">
        <v>0</v>
      </c>
      <c r="FK52" s="24">
        <v>0</v>
      </c>
      <c r="FL52" s="24">
        <v>0</v>
      </c>
      <c r="FM52" s="24">
        <v>0</v>
      </c>
      <c r="FN52" s="24">
        <v>0</v>
      </c>
      <c r="FO52" s="24">
        <v>0</v>
      </c>
      <c r="FP52" s="24">
        <v>0</v>
      </c>
      <c r="FQ52" s="24">
        <v>0</v>
      </c>
      <c r="FR52" s="24">
        <v>0</v>
      </c>
      <c r="FS52" s="24">
        <v>31797</v>
      </c>
      <c r="FT52" s="24">
        <v>0</v>
      </c>
      <c r="FU52" s="24">
        <v>0</v>
      </c>
      <c r="FV52" s="24">
        <v>0</v>
      </c>
      <c r="FW52" s="24">
        <v>0</v>
      </c>
      <c r="FX52" s="24">
        <v>0</v>
      </c>
      <c r="FY52" s="24">
        <v>0</v>
      </c>
      <c r="FZ52" s="24">
        <v>0</v>
      </c>
      <c r="GA52" s="24">
        <v>0</v>
      </c>
      <c r="GB52" s="24">
        <v>0</v>
      </c>
      <c r="GC52" s="24">
        <v>0</v>
      </c>
      <c r="GD52" s="24">
        <v>0</v>
      </c>
      <c r="GE52" s="24">
        <v>2150</v>
      </c>
      <c r="GF52" s="24">
        <v>0</v>
      </c>
      <c r="GG52" s="24">
        <v>0</v>
      </c>
      <c r="GH52" s="24">
        <v>0</v>
      </c>
      <c r="GI52" s="24">
        <v>0</v>
      </c>
      <c r="GJ52" s="24">
        <v>0</v>
      </c>
      <c r="GK52" s="24">
        <v>0</v>
      </c>
      <c r="GL52" s="24">
        <v>0</v>
      </c>
      <c r="GM52" s="24">
        <v>0</v>
      </c>
      <c r="GN52" s="24">
        <v>0</v>
      </c>
      <c r="GO52" s="24">
        <v>0</v>
      </c>
      <c r="GP52" s="24">
        <v>0</v>
      </c>
      <c r="GQ52" s="24">
        <v>0</v>
      </c>
      <c r="GR52" s="24">
        <v>0</v>
      </c>
      <c r="GS52" s="24">
        <v>0</v>
      </c>
      <c r="GT52" s="24">
        <v>0</v>
      </c>
      <c r="GU52" s="24">
        <v>9623</v>
      </c>
      <c r="GV52" s="24">
        <v>0</v>
      </c>
      <c r="GW52" s="24">
        <v>0</v>
      </c>
      <c r="GX52" s="24">
        <v>0</v>
      </c>
      <c r="GY52" s="24">
        <v>0</v>
      </c>
      <c r="GZ52" s="24">
        <v>0</v>
      </c>
      <c r="HA52" s="24">
        <v>0</v>
      </c>
      <c r="HB52" s="24">
        <v>0</v>
      </c>
      <c r="HC52" s="24">
        <v>0</v>
      </c>
      <c r="HD52" s="24">
        <v>1211828</v>
      </c>
      <c r="HE52" s="24">
        <v>0</v>
      </c>
      <c r="HF52" s="24">
        <v>0</v>
      </c>
      <c r="HG52" s="24">
        <v>0</v>
      </c>
      <c r="HH52" s="24">
        <v>0</v>
      </c>
      <c r="HI52" s="24">
        <v>110027</v>
      </c>
      <c r="HJ52" s="24">
        <v>0</v>
      </c>
      <c r="HK52" s="24">
        <v>0</v>
      </c>
      <c r="HL52" s="24">
        <v>0</v>
      </c>
      <c r="HM52" s="24">
        <v>0</v>
      </c>
      <c r="HN52" s="24">
        <v>0</v>
      </c>
      <c r="HO52" s="24">
        <v>164413</v>
      </c>
      <c r="HP52" s="24">
        <v>270</v>
      </c>
      <c r="HQ52" s="24">
        <v>0</v>
      </c>
      <c r="HR52" s="24">
        <v>0</v>
      </c>
      <c r="HS52" s="24">
        <v>0</v>
      </c>
      <c r="HT52" s="24">
        <v>0</v>
      </c>
      <c r="HU52" s="24">
        <v>0</v>
      </c>
      <c r="HV52" s="24">
        <v>0</v>
      </c>
      <c r="HW52" s="24">
        <v>0</v>
      </c>
      <c r="HX52" s="24">
        <v>0</v>
      </c>
      <c r="HY52" s="24">
        <v>0</v>
      </c>
      <c r="HZ52" s="24">
        <v>0</v>
      </c>
      <c r="IA52" s="24">
        <v>19993</v>
      </c>
      <c r="IB52" s="24">
        <v>4134</v>
      </c>
      <c r="IC52" s="24">
        <v>0</v>
      </c>
      <c r="ID52" s="24">
        <v>0</v>
      </c>
      <c r="IE52" s="24">
        <v>0</v>
      </c>
      <c r="IF52" s="24">
        <v>0</v>
      </c>
      <c r="IG52" s="24">
        <v>0</v>
      </c>
      <c r="IH52" s="24">
        <v>0</v>
      </c>
      <c r="II52" s="24">
        <v>0</v>
      </c>
      <c r="IJ52" s="24">
        <v>0</v>
      </c>
      <c r="IK52" s="24">
        <v>0</v>
      </c>
      <c r="IL52" s="24">
        <v>0</v>
      </c>
      <c r="IM52" s="24">
        <v>0</v>
      </c>
      <c r="IN52" s="24">
        <v>0</v>
      </c>
      <c r="IO52" s="24">
        <v>0</v>
      </c>
      <c r="IP52" s="24">
        <v>19659</v>
      </c>
      <c r="IQ52" s="24">
        <v>0</v>
      </c>
      <c r="IR52" s="24">
        <v>0</v>
      </c>
      <c r="IS52" s="24">
        <v>0</v>
      </c>
      <c r="IT52" s="24">
        <v>0</v>
      </c>
      <c r="IU52" s="24">
        <v>0</v>
      </c>
      <c r="IV52" s="24">
        <v>0</v>
      </c>
      <c r="IW52" s="24">
        <v>0</v>
      </c>
      <c r="IX52" s="24">
        <v>0</v>
      </c>
      <c r="IY52" s="24">
        <v>24548</v>
      </c>
      <c r="IZ52" s="24">
        <v>0</v>
      </c>
      <c r="JA52" s="24">
        <v>0</v>
      </c>
      <c r="JB52" s="24">
        <v>4173</v>
      </c>
      <c r="JC52" s="24">
        <v>0</v>
      </c>
      <c r="JD52" s="24">
        <v>0</v>
      </c>
      <c r="JE52" s="24">
        <v>96443</v>
      </c>
      <c r="JF52" s="24">
        <v>0</v>
      </c>
      <c r="JG52" s="24">
        <v>0</v>
      </c>
      <c r="JH52" s="24">
        <v>0</v>
      </c>
      <c r="JI52" s="24">
        <v>0</v>
      </c>
      <c r="JJ52" s="24">
        <v>0</v>
      </c>
      <c r="JK52" s="24">
        <v>0</v>
      </c>
      <c r="JL52" s="24">
        <v>0</v>
      </c>
      <c r="JM52" s="24">
        <v>0</v>
      </c>
      <c r="JN52" s="24">
        <v>0</v>
      </c>
      <c r="JO52" s="24">
        <v>0</v>
      </c>
      <c r="JP52" s="24">
        <v>0</v>
      </c>
      <c r="JQ52" s="24">
        <v>0</v>
      </c>
      <c r="JR52" s="24">
        <v>0</v>
      </c>
      <c r="JS52" s="24">
        <v>0</v>
      </c>
      <c r="JT52" s="24">
        <v>0</v>
      </c>
      <c r="JU52" s="24">
        <v>0</v>
      </c>
      <c r="JV52" s="24">
        <v>0</v>
      </c>
      <c r="JW52" s="24">
        <v>0</v>
      </c>
      <c r="JX52" s="24">
        <v>0</v>
      </c>
      <c r="JY52" s="24">
        <v>0</v>
      </c>
      <c r="JZ52" s="24">
        <v>0</v>
      </c>
      <c r="KA52" s="24">
        <v>0</v>
      </c>
      <c r="KB52" s="24">
        <v>0</v>
      </c>
      <c r="KC52" s="24">
        <v>0</v>
      </c>
      <c r="KD52" s="24">
        <v>0</v>
      </c>
      <c r="KE52" s="24">
        <v>0</v>
      </c>
      <c r="KF52" s="24">
        <v>7240</v>
      </c>
      <c r="KG52" s="24">
        <v>97131</v>
      </c>
      <c r="KH52" s="24">
        <v>0</v>
      </c>
      <c r="KI52" s="24">
        <v>0</v>
      </c>
      <c r="KJ52" s="24">
        <v>0</v>
      </c>
      <c r="KK52" s="24">
        <v>0</v>
      </c>
      <c r="KL52" s="24">
        <v>0</v>
      </c>
      <c r="KM52" s="24">
        <v>0</v>
      </c>
      <c r="KN52" s="24">
        <v>0</v>
      </c>
      <c r="KO52" s="24">
        <v>0</v>
      </c>
      <c r="KP52" s="24">
        <v>0</v>
      </c>
      <c r="KQ52" s="24">
        <v>0</v>
      </c>
      <c r="KR52" s="24">
        <v>0</v>
      </c>
      <c r="KS52" s="24">
        <v>0</v>
      </c>
      <c r="KT52" s="24">
        <v>0</v>
      </c>
      <c r="KU52" s="24">
        <v>0</v>
      </c>
      <c r="KV52" s="24">
        <v>0</v>
      </c>
      <c r="KW52" s="24">
        <v>0</v>
      </c>
      <c r="KX52" s="24">
        <v>0</v>
      </c>
      <c r="KY52" s="24">
        <v>0</v>
      </c>
      <c r="KZ52" s="24">
        <v>0</v>
      </c>
      <c r="LA52" s="24">
        <v>0</v>
      </c>
      <c r="LB52" s="24">
        <v>0</v>
      </c>
      <c r="LC52" s="24">
        <v>0</v>
      </c>
      <c r="LD52" s="24">
        <v>0</v>
      </c>
      <c r="LE52" s="24">
        <v>0</v>
      </c>
      <c r="LF52" s="24">
        <v>0</v>
      </c>
      <c r="LG52" s="24">
        <v>0</v>
      </c>
      <c r="LH52" s="24">
        <v>0</v>
      </c>
      <c r="LI52" s="24">
        <v>0</v>
      </c>
      <c r="LJ52" s="24">
        <v>0</v>
      </c>
      <c r="LK52" s="24">
        <v>0</v>
      </c>
      <c r="LL52" s="24">
        <v>0</v>
      </c>
      <c r="LM52" s="24">
        <v>0</v>
      </c>
      <c r="LN52" s="24">
        <v>0</v>
      </c>
      <c r="LO52" s="24">
        <v>0</v>
      </c>
      <c r="LP52" s="24">
        <v>0</v>
      </c>
      <c r="LQ52" s="24">
        <v>24408</v>
      </c>
      <c r="LR52" s="24">
        <v>0</v>
      </c>
      <c r="LS52" s="24">
        <v>0</v>
      </c>
      <c r="LT52" s="24">
        <v>0</v>
      </c>
      <c r="LU52" s="24">
        <v>0</v>
      </c>
      <c r="LV52" s="24">
        <v>0</v>
      </c>
      <c r="LW52" s="24">
        <v>0</v>
      </c>
      <c r="LX52" s="24">
        <v>0</v>
      </c>
      <c r="LY52" s="24">
        <v>0</v>
      </c>
      <c r="LZ52" s="24">
        <v>0</v>
      </c>
      <c r="MA52" s="24">
        <v>0</v>
      </c>
      <c r="MB52" s="24">
        <v>0</v>
      </c>
      <c r="MC52" s="24">
        <v>0</v>
      </c>
      <c r="MD52" s="24">
        <v>0</v>
      </c>
      <c r="ME52" s="24">
        <v>0</v>
      </c>
      <c r="MF52" s="24">
        <v>0</v>
      </c>
      <c r="MG52" s="24">
        <v>0</v>
      </c>
      <c r="MH52" s="24">
        <v>0</v>
      </c>
      <c r="MI52" s="24">
        <v>0</v>
      </c>
      <c r="MJ52" s="24">
        <v>0</v>
      </c>
      <c r="MK52" s="24">
        <v>0</v>
      </c>
      <c r="ML52" s="24">
        <v>0</v>
      </c>
      <c r="MM52" s="24">
        <v>0</v>
      </c>
      <c r="MN52" s="24">
        <v>0</v>
      </c>
      <c r="MO52" s="24">
        <v>0</v>
      </c>
      <c r="MP52" s="24">
        <v>0</v>
      </c>
      <c r="MQ52" s="24">
        <v>0</v>
      </c>
      <c r="MR52" s="24">
        <v>34511</v>
      </c>
      <c r="MS52" s="24">
        <v>0</v>
      </c>
      <c r="MT52" s="24">
        <v>0</v>
      </c>
      <c r="MU52" s="24">
        <v>0</v>
      </c>
      <c r="MV52" s="24">
        <v>0</v>
      </c>
      <c r="MW52" s="24">
        <v>32740</v>
      </c>
      <c r="MX52" s="24">
        <v>4811</v>
      </c>
      <c r="MY52" s="24">
        <v>0</v>
      </c>
      <c r="MZ52" s="24">
        <v>0</v>
      </c>
      <c r="NA52" s="24">
        <v>0</v>
      </c>
      <c r="NB52" s="24">
        <v>0</v>
      </c>
      <c r="NC52" s="24">
        <v>0</v>
      </c>
      <c r="ND52" s="24">
        <v>0</v>
      </c>
      <c r="NE52" s="24">
        <v>0</v>
      </c>
      <c r="NF52" s="24">
        <v>0</v>
      </c>
      <c r="NG52" s="24">
        <v>0</v>
      </c>
      <c r="NH52" s="24">
        <v>0</v>
      </c>
      <c r="NI52" s="24">
        <v>0</v>
      </c>
      <c r="NJ52" s="24">
        <v>0</v>
      </c>
      <c r="NK52" s="24">
        <v>0</v>
      </c>
      <c r="NL52" s="24">
        <v>0</v>
      </c>
      <c r="NM52" s="24">
        <v>0</v>
      </c>
      <c r="NN52" s="24">
        <v>0</v>
      </c>
      <c r="NO52" s="24">
        <v>0</v>
      </c>
      <c r="NP52" s="24">
        <v>0</v>
      </c>
      <c r="NQ52" s="24">
        <v>0</v>
      </c>
      <c r="NR52" s="24">
        <v>0</v>
      </c>
      <c r="NS52" s="24">
        <v>0</v>
      </c>
      <c r="NT52" s="24">
        <v>0</v>
      </c>
      <c r="NU52" s="24">
        <v>0</v>
      </c>
      <c r="NV52" s="24">
        <v>12224</v>
      </c>
      <c r="NW52" s="24">
        <v>0</v>
      </c>
      <c r="NX52" s="24">
        <v>0</v>
      </c>
      <c r="NY52" s="24">
        <v>0</v>
      </c>
      <c r="NZ52" s="24">
        <v>0</v>
      </c>
      <c r="OA52" s="24">
        <v>0</v>
      </c>
      <c r="OB52" s="24">
        <v>0</v>
      </c>
      <c r="OC52" s="24">
        <v>0</v>
      </c>
      <c r="OD52" s="24">
        <v>0</v>
      </c>
      <c r="OE52" s="24">
        <v>0</v>
      </c>
      <c r="OF52" s="24">
        <v>0</v>
      </c>
      <c r="OG52" s="24">
        <v>0</v>
      </c>
      <c r="OH52" s="24">
        <v>0</v>
      </c>
      <c r="OI52" s="24">
        <v>0</v>
      </c>
      <c r="OJ52" s="24">
        <v>0</v>
      </c>
      <c r="OK52" s="24">
        <v>5302</v>
      </c>
      <c r="OL52" s="24">
        <v>0</v>
      </c>
      <c r="OM52" s="24">
        <v>0</v>
      </c>
      <c r="ON52" s="24">
        <v>1026</v>
      </c>
      <c r="OO52" s="24">
        <v>0</v>
      </c>
      <c r="OP52" s="24">
        <v>0</v>
      </c>
      <c r="OQ52" s="24">
        <v>0</v>
      </c>
      <c r="OR52" s="24">
        <v>0</v>
      </c>
      <c r="OS52" s="24">
        <v>0</v>
      </c>
      <c r="OT52" s="24">
        <v>0</v>
      </c>
      <c r="OU52" s="24">
        <v>0</v>
      </c>
      <c r="OV52" s="24">
        <v>0</v>
      </c>
      <c r="OW52" s="24">
        <v>0</v>
      </c>
      <c r="OX52" s="24">
        <v>0</v>
      </c>
      <c r="OY52" s="24">
        <v>0</v>
      </c>
      <c r="OZ52" s="24">
        <v>0</v>
      </c>
      <c r="PA52" s="24">
        <v>0</v>
      </c>
      <c r="PB52" s="24">
        <v>0</v>
      </c>
      <c r="PC52" s="24">
        <v>0</v>
      </c>
      <c r="PD52" s="24">
        <v>0</v>
      </c>
      <c r="PE52" s="24">
        <v>0</v>
      </c>
      <c r="PF52" s="24">
        <v>0</v>
      </c>
      <c r="PG52" s="24">
        <v>0</v>
      </c>
      <c r="PH52" s="24">
        <v>0</v>
      </c>
      <c r="PI52" s="24">
        <v>14104</v>
      </c>
      <c r="PJ52" s="24">
        <v>6000</v>
      </c>
      <c r="PK52" s="24">
        <v>0</v>
      </c>
      <c r="PL52" s="24">
        <v>0</v>
      </c>
      <c r="PM52" s="24">
        <v>0</v>
      </c>
      <c r="PN52" s="24">
        <v>0</v>
      </c>
      <c r="PO52" s="24">
        <v>0</v>
      </c>
      <c r="PP52" s="24">
        <v>0</v>
      </c>
      <c r="PQ52" s="24">
        <v>0</v>
      </c>
      <c r="PR52" s="24">
        <v>0</v>
      </c>
      <c r="PS52" s="24">
        <v>0</v>
      </c>
      <c r="PT52" s="24">
        <v>0</v>
      </c>
      <c r="PU52" s="24">
        <v>0</v>
      </c>
      <c r="PV52" s="24">
        <v>0</v>
      </c>
      <c r="PW52" s="24">
        <v>0</v>
      </c>
      <c r="PX52" s="24">
        <v>0</v>
      </c>
      <c r="PY52" s="24">
        <v>0</v>
      </c>
      <c r="PZ52" s="24">
        <v>0</v>
      </c>
      <c r="QA52" s="24">
        <v>0</v>
      </c>
      <c r="QB52" s="24">
        <v>0</v>
      </c>
      <c r="QC52" s="24">
        <v>0</v>
      </c>
      <c r="QD52" s="24">
        <v>0</v>
      </c>
      <c r="QE52" s="24">
        <v>0</v>
      </c>
      <c r="QF52" s="24">
        <v>0</v>
      </c>
      <c r="QG52" s="24">
        <v>0</v>
      </c>
      <c r="QH52" s="24">
        <v>0</v>
      </c>
      <c r="QI52" s="24">
        <v>0</v>
      </c>
      <c r="QJ52" s="24">
        <v>0</v>
      </c>
      <c r="QK52" s="24">
        <v>0</v>
      </c>
      <c r="QL52" s="24">
        <v>0</v>
      </c>
      <c r="QM52" s="24">
        <v>0</v>
      </c>
      <c r="QN52" s="24">
        <v>0</v>
      </c>
      <c r="QO52" s="24">
        <v>0</v>
      </c>
      <c r="QP52" s="24">
        <v>0</v>
      </c>
      <c r="QQ52" s="24">
        <v>0</v>
      </c>
      <c r="QR52" s="24">
        <v>0</v>
      </c>
      <c r="QS52" s="24">
        <v>9993</v>
      </c>
      <c r="QT52" s="24">
        <v>0</v>
      </c>
      <c r="QU52" s="24">
        <v>0</v>
      </c>
      <c r="QV52" s="24">
        <v>37573</v>
      </c>
      <c r="QW52" s="24">
        <v>0</v>
      </c>
      <c r="QX52" s="24">
        <v>0</v>
      </c>
      <c r="QY52" s="24">
        <v>0</v>
      </c>
      <c r="QZ52" s="24">
        <v>0</v>
      </c>
      <c r="RA52" s="24">
        <v>0</v>
      </c>
      <c r="RB52" s="24">
        <v>0</v>
      </c>
      <c r="RG52" s="39">
        <f t="shared" si="126"/>
        <v>1211828</v>
      </c>
      <c r="RH52" s="39">
        <f t="shared" si="126"/>
        <v>110027</v>
      </c>
      <c r="RI52" s="39">
        <f t="shared" si="126"/>
        <v>0</v>
      </c>
      <c r="RJ52" s="39">
        <f t="shared" si="126"/>
        <v>0</v>
      </c>
      <c r="RK52" s="39">
        <f t="shared" si="126"/>
        <v>0</v>
      </c>
      <c r="RL52" s="39">
        <f t="shared" si="126"/>
        <v>164413</v>
      </c>
      <c r="RM52" s="39">
        <f t="shared" si="126"/>
        <v>24397</v>
      </c>
      <c r="RN52" s="39">
        <f t="shared" si="126"/>
        <v>19659</v>
      </c>
      <c r="RO52" s="39">
        <f t="shared" si="126"/>
        <v>0</v>
      </c>
      <c r="RP52" s="39">
        <f t="shared" si="126"/>
        <v>24548</v>
      </c>
      <c r="RQ52" s="39">
        <f t="shared" si="126"/>
        <v>4173</v>
      </c>
      <c r="RR52" s="39">
        <f t="shared" si="126"/>
        <v>96443</v>
      </c>
      <c r="RS52" s="39"/>
      <c r="RT52" s="182"/>
      <c r="RU52" s="39"/>
      <c r="RV52" s="39">
        <f t="shared" si="127"/>
        <v>219393</v>
      </c>
      <c r="RW52" s="39">
        <f t="shared" si="127"/>
        <v>1655488</v>
      </c>
      <c r="RX52" s="39">
        <f t="shared" si="127"/>
        <v>381717</v>
      </c>
      <c r="RY52" s="39">
        <f t="shared" si="127"/>
        <v>67670</v>
      </c>
      <c r="RZ52" s="39"/>
      <c r="SA52" s="182"/>
      <c r="SB52" s="39"/>
      <c r="SC52" s="25">
        <f t="shared" si="50"/>
        <v>2415.9303797468356</v>
      </c>
      <c r="SD52" s="39">
        <f>IFERROR(VLOOKUP(A52, 'Levy Data 15-16'!$B:$O, 3, FALSE), 0)</f>
        <v>143721500</v>
      </c>
      <c r="SE52" s="39">
        <f t="shared" si="88"/>
        <v>909629.74683544307</v>
      </c>
      <c r="SF52" s="631">
        <f>IFERROR(VLOOKUP(A52, 'Levy Data 15-16'!$B:$O, 14, FALSE), 0)*1000</f>
        <v>1.917208</v>
      </c>
      <c r="SG52" s="39">
        <f t="shared" si="89"/>
        <v>0</v>
      </c>
      <c r="SH52" s="39">
        <f t="shared" si="90"/>
        <v>0</v>
      </c>
      <c r="SI52" s="39">
        <f t="shared" si="91"/>
        <v>381717</v>
      </c>
      <c r="SM52" s="39">
        <f t="shared" si="92"/>
        <v>1655488</v>
      </c>
      <c r="SN52" s="39">
        <f t="shared" si="93"/>
        <v>0</v>
      </c>
      <c r="SO52" s="39">
        <f t="shared" si="51"/>
        <v>1655488</v>
      </c>
      <c r="SP52" s="50">
        <f t="shared" si="52"/>
        <v>1</v>
      </c>
      <c r="ST52" s="124">
        <f>IFERROR(VLOOKUP(A52,'Grade Enroll 15-16'!B:AC,27,FALSE),"")</f>
        <v>158</v>
      </c>
      <c r="SU52" s="124">
        <f t="shared" si="53"/>
        <v>79</v>
      </c>
      <c r="SV52" s="131">
        <f>IFERROR(VLOOKUP($A52, 'Title I Enroll 16-17'!S:V, 4, FALSE), 0)</f>
        <v>0.5</v>
      </c>
      <c r="SW52" s="729">
        <f>IFERROR(VLOOKUP(A52, 'ELL Enroll 15-16'!$N:$S, 6, FALSE), 0)</f>
        <v>5</v>
      </c>
      <c r="SX52" s="131">
        <f t="shared" si="54"/>
        <v>3.1645569620253167E-2</v>
      </c>
      <c r="SY52" s="124">
        <f>IFERROR(VLOOKUP(A52, 'SPED enroll 2015-16'!$M:$O, 3, FALSE), 0)</f>
        <v>19</v>
      </c>
      <c r="SZ52" s="131">
        <f t="shared" si="55"/>
        <v>0.12025316455696203</v>
      </c>
      <c r="TA52" s="142">
        <f t="shared" si="87"/>
        <v>13.299999999999999</v>
      </c>
      <c r="TB52" s="142">
        <f t="shared" si="87"/>
        <v>3.8000000000000003</v>
      </c>
      <c r="TC52" s="142">
        <f t="shared" si="87"/>
        <v>1.33</v>
      </c>
      <c r="TD52" s="142">
        <f t="shared" si="87"/>
        <v>0.56999999999999995</v>
      </c>
      <c r="TE52" s="124">
        <f>VLOOKUP($A52, 'Grade Enroll 15-16'!$B:$AB, 20, FALSE)</f>
        <v>13</v>
      </c>
      <c r="TF52" s="124">
        <f>VLOOKUP($A52, 'Grade Enroll 15-16'!$B:$AB, 21, FALSE)</f>
        <v>10</v>
      </c>
      <c r="TG52" s="124">
        <f>VLOOKUP($A52, 'Grade Enroll 15-16'!$B:$AB, 22, FALSE)</f>
        <v>45</v>
      </c>
      <c r="TH52" s="124">
        <f>VLOOKUP($A52, 'Grade Enroll 15-16'!$B:$AB, 23, FALSE)</f>
        <v>43</v>
      </c>
      <c r="TI52" s="124">
        <f>VLOOKUP($A52, 'Grade Enroll 15-16'!$B:$AB, 24, FALSE)</f>
        <v>32</v>
      </c>
      <c r="TJ52" s="124">
        <f>VLOOKUP($A52, 'Grade Enroll 15-16'!$B:$AB, 25, FALSE)</f>
        <v>38</v>
      </c>
      <c r="TK52" s="124">
        <f>VLOOKUP($A52, 'Grade Enroll 15-16'!$B:$AB, 26, FALSE)</f>
        <v>112</v>
      </c>
      <c r="TL52" s="131">
        <f>SUMIFS('Student Achievement 15-16'!N:N, 'Student Achievement 15-16'!B:B, 'Idaho Data'!A52, 'Student Achievement 15-16'!D:D, "math")/100</f>
        <v>0.248</v>
      </c>
      <c r="TM52" s="134">
        <f t="shared" si="57"/>
        <v>39.183999999999997</v>
      </c>
      <c r="TN52" s="131">
        <f>SUMIFS('Student Achievement 15-16'!N:N, 'Student Achievement 15-16'!B:B, 'Idaho Data'!A52, 'Student Achievement 15-16'!D:D, "ela")/100</f>
        <v>0.152</v>
      </c>
      <c r="TO52" s="134">
        <f t="shared" si="58"/>
        <v>24.015999999999998</v>
      </c>
      <c r="TP52" s="688">
        <f>IFERROR(VLOOKUP(A52, 'G&amp;T 15-16'!B:G, 6, FALSE), 0)*1</f>
        <v>0</v>
      </c>
      <c r="TQ52" s="168">
        <f t="shared" si="59"/>
        <v>9.48</v>
      </c>
      <c r="TU52" s="168">
        <f t="shared" si="60"/>
        <v>24.015999999999998</v>
      </c>
      <c r="TV52" s="168">
        <f t="shared" si="61"/>
        <v>39.183999999999997</v>
      </c>
      <c r="TW52" s="205">
        <f t="shared" si="62"/>
        <v>39.183999999999997</v>
      </c>
      <c r="TX52" s="144"/>
      <c r="TY52" s="129"/>
      <c r="TZ52" s="127">
        <f t="shared" si="63"/>
        <v>0</v>
      </c>
      <c r="UA52" s="127">
        <f t="shared" si="64"/>
        <v>9.48</v>
      </c>
      <c r="UB52" s="205">
        <f t="shared" si="65"/>
        <v>9.48</v>
      </c>
      <c r="UE52" s="853" t="str">
        <f>IF(ST52&lt;='1. Simulator Input'!$E$104, "yes", "")</f>
        <v>yes</v>
      </c>
      <c r="UI52" s="199">
        <f t="shared" si="66"/>
        <v>0</v>
      </c>
      <c r="UJ52" s="200">
        <f>IF('Idaho Data'!SI52&gt;=0, ((1-'1. Simulator Input'!$E$39)*'Idaho Data'!SI52), 0)</f>
        <v>0</v>
      </c>
      <c r="UK52" s="200">
        <f t="shared" si="67"/>
        <v>1655488</v>
      </c>
      <c r="UL52" s="39"/>
      <c r="UM52" s="182"/>
      <c r="UN52" s="39"/>
      <c r="UO52" s="39">
        <f>IF(AND('1. Simulator Input'!$E$96="yes", '1. Simulator Input'!$E$98="yes", '1. Simulator Input'!$E$100="hold harmless"), 'Idaho Data'!WN52, IF(AND('1. Simulator Input'!$E$96="yes", '1. Simulator Input'!$E$98="no", '1. Simulator Input'!$E$100="hold harmless"), 'Idaho Data'!WM52, IF(AND('1. Simulator Input'!$E$96="yes", '1. Simulator Input'!$E$98="yes", '1. Simulator Input'!$E$100="small district grant"), WL52,IF(AND('1. Simulator Input'!$E$96="yes", '1. Simulator Input'!$E$98="no", '1. Simulator Input'!$E$100="small district grant"), WK52, ""))))</f>
        <v>0</v>
      </c>
      <c r="UP52" s="200">
        <f>'1. Simulator Input'!$D$56*('Idaho Data'!ST52)</f>
        <v>873108</v>
      </c>
      <c r="UQ52" s="204">
        <f>'1. Simulator Input'!$D$65*'1. Simulator Input'!$D$56*'Idaho Data'!SU52</f>
        <v>0</v>
      </c>
      <c r="UR52" s="204">
        <f>'1. Simulator Input'!$D$66*'1. Simulator Input'!$D$56*'Idaho Data'!SW52</f>
        <v>0</v>
      </c>
      <c r="US52" s="200">
        <f>'1. Simulator Input'!$D$67*'1. Simulator Input'!$D$56*'Idaho Data'!TA52</f>
        <v>0</v>
      </c>
      <c r="UT52" s="200">
        <f>'1. Simulator Input'!$D$68*'1. Simulator Input'!$D$56*'Idaho Data'!TB52</f>
        <v>0</v>
      </c>
      <c r="UU52" s="200">
        <f>'1. Simulator Input'!$D$69*'1. Simulator Input'!$D$56*'Idaho Data'!TC52</f>
        <v>0</v>
      </c>
      <c r="UV52" s="200">
        <f>'1. Simulator Input'!$D$70*'1. Simulator Input'!$D$56*TD52</f>
        <v>0</v>
      </c>
      <c r="UW52" s="200">
        <f>'1. Simulator Input'!$D$80*'1. Simulator Input'!$D$56*TW52</f>
        <v>0</v>
      </c>
      <c r="UX52" s="200">
        <f>'1. Simulator Input'!$D$79*'1. Simulator Input'!$D$56*UB52</f>
        <v>0</v>
      </c>
      <c r="UY52" s="200">
        <f>'1. Simulator Input'!$D$87*'1. Simulator Input'!$D$56*TF52</f>
        <v>27630</v>
      </c>
      <c r="UZ52" s="200">
        <f>'1. Simulator Input'!$D$73*'1. Simulator Input'!$D$56*'Idaho Data'!TG52</f>
        <v>0</v>
      </c>
      <c r="VA52" s="200">
        <f>'1. Simulator Input'!$D$56*'1. Simulator Input'!$D$74*'Idaho Data'!TH52</f>
        <v>0</v>
      </c>
      <c r="VB52" s="200">
        <f>'1. Simulator Input'!$D$56*'1. Simulator Input'!$D$75*'Idaho Data'!TI47</f>
        <v>0</v>
      </c>
      <c r="VC52" s="200">
        <f>'1. Simulator Input'!$D$76*'1. Simulator Input'!$D$56*'Idaho Data'!TJ52</f>
        <v>0</v>
      </c>
      <c r="VD52" s="200">
        <f t="shared" si="68"/>
        <v>900738</v>
      </c>
      <c r="VE52" s="200"/>
      <c r="VF52" s="182"/>
      <c r="VG52" s="200"/>
      <c r="VH52" s="200">
        <f t="shared" si="69"/>
        <v>0</v>
      </c>
      <c r="VI52" s="200">
        <f t="shared" si="70"/>
        <v>0</v>
      </c>
      <c r="VJ52" s="200">
        <f t="shared" si="94"/>
        <v>900738</v>
      </c>
      <c r="VK52" s="200">
        <f t="shared" si="95"/>
        <v>900738</v>
      </c>
      <c r="VL52" s="200"/>
      <c r="VM52" s="182"/>
      <c r="VN52" s="200"/>
      <c r="VO52" s="200">
        <f t="shared" si="71"/>
        <v>219393</v>
      </c>
      <c r="VP52" s="200">
        <f t="shared" si="72"/>
        <v>1655488</v>
      </c>
      <c r="VQ52" s="200">
        <f t="shared" si="73"/>
        <v>381717</v>
      </c>
      <c r="VR52" s="200">
        <f t="shared" si="74"/>
        <v>219393</v>
      </c>
      <c r="VS52" s="200">
        <f t="shared" si="96"/>
        <v>900738</v>
      </c>
      <c r="VT52" s="200">
        <f t="shared" si="97"/>
        <v>381717</v>
      </c>
      <c r="VU52" s="200">
        <f t="shared" si="98"/>
        <v>0</v>
      </c>
      <c r="VV52" s="200"/>
      <c r="VW52" s="182"/>
      <c r="VX52" s="200"/>
      <c r="VZ52" s="199">
        <f t="shared" si="75"/>
        <v>-754750</v>
      </c>
      <c r="WA52" s="199">
        <f t="shared" si="76"/>
        <v>-4776.8987341772154</v>
      </c>
      <c r="WB52" s="131">
        <f t="shared" si="77"/>
        <v>-0.45590786523369542</v>
      </c>
      <c r="WC52" s="131"/>
      <c r="WD52" s="461"/>
      <c r="WE52" s="893"/>
      <c r="WF52" s="893">
        <f t="shared" si="78"/>
        <v>14282.26582278481</v>
      </c>
      <c r="WG52" s="893">
        <f t="shared" si="79"/>
        <v>9505.3670886075943</v>
      </c>
      <c r="WH52" s="893"/>
      <c r="WI52" s="893">
        <f t="shared" si="80"/>
        <v>1655488</v>
      </c>
      <c r="WJ52" s="893">
        <f t="shared" si="99"/>
        <v>900738</v>
      </c>
      <c r="WK52" s="39">
        <f t="shared" si="100"/>
        <v>0</v>
      </c>
      <c r="WL52" s="39">
        <f t="shared" si="101"/>
        <v>0</v>
      </c>
      <c r="WM52" s="200">
        <f t="shared" si="102"/>
        <v>754750</v>
      </c>
      <c r="WN52" s="39">
        <f t="shared" si="103"/>
        <v>754750</v>
      </c>
      <c r="WO52" s="39"/>
      <c r="WP52" s="182"/>
      <c r="WQ52" s="39"/>
      <c r="WR52" s="305">
        <f t="shared" si="104"/>
        <v>0.80700000000000005</v>
      </c>
      <c r="WT52" s="200">
        <f t="shared" si="105"/>
        <v>10477.772151898735</v>
      </c>
      <c r="WU52" s="131">
        <f t="shared" si="81"/>
        <v>0.86</v>
      </c>
      <c r="WW52" s="199">
        <f t="shared" si="106"/>
        <v>219393</v>
      </c>
      <c r="WX52" s="199">
        <f t="shared" si="107"/>
        <v>900738</v>
      </c>
      <c r="WY52" s="199">
        <f t="shared" si="108"/>
        <v>0</v>
      </c>
      <c r="WZ52" s="199">
        <f t="shared" si="82"/>
        <v>900738</v>
      </c>
      <c r="XA52" s="199">
        <f t="shared" si="109"/>
        <v>0</v>
      </c>
      <c r="XB52" s="199">
        <f t="shared" si="110"/>
        <v>381717</v>
      </c>
      <c r="XC52" s="199">
        <f t="shared" si="111"/>
        <v>381717</v>
      </c>
      <c r="XD52" s="199" t="str">
        <f t="shared" si="112"/>
        <v/>
      </c>
      <c r="XE52" s="199"/>
      <c r="XF52" s="199"/>
      <c r="XG52" s="199"/>
      <c r="XH52" s="199"/>
      <c r="XI52" s="199"/>
      <c r="XJ52" s="199">
        <f t="shared" si="83"/>
        <v>900738</v>
      </c>
      <c r="XP52" s="199">
        <f t="shared" si="113"/>
        <v>900738</v>
      </c>
      <c r="XQ52" s="199">
        <f t="shared" si="114"/>
        <v>5700.8734177215192</v>
      </c>
      <c r="XR52" s="199">
        <f t="shared" si="115"/>
        <v>900738</v>
      </c>
      <c r="XS52" s="199">
        <f t="shared" si="116"/>
        <v>900738</v>
      </c>
      <c r="XT52" s="199">
        <f t="shared" si="117"/>
        <v>5700.8734177215192</v>
      </c>
      <c r="XU52" s="199">
        <f t="shared" si="118"/>
        <v>1655488</v>
      </c>
      <c r="XV52" s="199">
        <f t="shared" si="119"/>
        <v>10477.772151898735</v>
      </c>
      <c r="XW52" s="199">
        <f t="shared" si="120"/>
        <v>1655488</v>
      </c>
      <c r="XX52" s="199">
        <f t="shared" si="121"/>
        <v>10477.772151898735</v>
      </c>
      <c r="XY52" s="199">
        <f t="shared" si="84"/>
        <v>-754750</v>
      </c>
      <c r="XZ52" s="199">
        <f t="shared" si="85"/>
        <v>-4776.8987341772154</v>
      </c>
      <c r="YA52" s="131">
        <f t="shared" si="86"/>
        <v>-0.45590786523369542</v>
      </c>
      <c r="YB52" s="199"/>
      <c r="YC52" s="221"/>
      <c r="YD52" s="199"/>
      <c r="YE52" s="199">
        <f t="shared" si="122"/>
        <v>219393</v>
      </c>
      <c r="YF52" s="200">
        <f t="shared" si="123"/>
        <v>0</v>
      </c>
      <c r="YG52" s="199">
        <f t="shared" si="124"/>
        <v>381717</v>
      </c>
      <c r="YH52" s="199">
        <f t="shared" si="125"/>
        <v>67670</v>
      </c>
    </row>
    <row r="53" spans="1:658">
      <c r="A53" s="3">
        <v>191</v>
      </c>
      <c r="B53" s="2" t="s">
        <v>146</v>
      </c>
      <c r="C53" s="24">
        <v>0</v>
      </c>
      <c r="D53" s="24">
        <v>0</v>
      </c>
      <c r="E53" s="24">
        <v>0</v>
      </c>
      <c r="F53" s="24">
        <v>0</v>
      </c>
      <c r="G53" s="24">
        <v>0</v>
      </c>
      <c r="H53" s="24">
        <v>0</v>
      </c>
      <c r="I53" s="24">
        <v>0</v>
      </c>
      <c r="J53" s="24">
        <v>0</v>
      </c>
      <c r="K53" s="24">
        <v>0</v>
      </c>
      <c r="L53" s="24">
        <v>0</v>
      </c>
      <c r="M53" s="24">
        <v>0</v>
      </c>
      <c r="N53" s="24">
        <v>0</v>
      </c>
      <c r="O53" s="24">
        <v>0</v>
      </c>
      <c r="P53" s="24">
        <v>0</v>
      </c>
      <c r="Q53" s="24">
        <v>0</v>
      </c>
      <c r="R53" s="24">
        <v>0</v>
      </c>
      <c r="S53" s="24">
        <v>0</v>
      </c>
      <c r="T53" s="24">
        <v>0</v>
      </c>
      <c r="U53" s="24">
        <v>0</v>
      </c>
      <c r="V53" s="24">
        <v>0</v>
      </c>
      <c r="W53" s="24">
        <v>0</v>
      </c>
      <c r="X53" s="24">
        <v>0</v>
      </c>
      <c r="Y53" s="24">
        <v>0</v>
      </c>
      <c r="Z53" s="24">
        <v>0</v>
      </c>
      <c r="AA53" s="24">
        <v>0</v>
      </c>
      <c r="AB53" s="24">
        <v>0</v>
      </c>
      <c r="AC53" s="24">
        <v>0</v>
      </c>
      <c r="AD53" s="24">
        <v>0</v>
      </c>
      <c r="AE53" s="24">
        <v>0</v>
      </c>
      <c r="AF53" s="24">
        <v>0</v>
      </c>
      <c r="AG53" s="24">
        <v>0</v>
      </c>
      <c r="AH53" s="24">
        <v>0</v>
      </c>
      <c r="AI53" s="24">
        <v>0</v>
      </c>
      <c r="AJ53" s="24">
        <v>0</v>
      </c>
      <c r="AK53" s="24">
        <v>0</v>
      </c>
      <c r="AL53" s="24">
        <v>0</v>
      </c>
      <c r="AM53" s="24">
        <v>0</v>
      </c>
      <c r="AN53" s="24">
        <v>0</v>
      </c>
      <c r="AO53" s="24">
        <v>0</v>
      </c>
      <c r="AP53" s="24">
        <v>0</v>
      </c>
      <c r="AQ53" s="24">
        <v>0</v>
      </c>
      <c r="AR53" s="24">
        <v>0</v>
      </c>
      <c r="AS53" s="24">
        <v>0</v>
      </c>
      <c r="AT53" s="24">
        <v>0</v>
      </c>
      <c r="AU53" s="24">
        <v>0</v>
      </c>
      <c r="AV53" s="24">
        <v>0</v>
      </c>
      <c r="AW53" s="24">
        <v>0</v>
      </c>
      <c r="AX53" s="24">
        <v>0</v>
      </c>
      <c r="AY53" s="24">
        <v>0</v>
      </c>
      <c r="AZ53" s="24">
        <v>0</v>
      </c>
      <c r="BA53" s="24">
        <v>0</v>
      </c>
      <c r="BB53" s="24">
        <v>0</v>
      </c>
      <c r="BC53" s="24">
        <v>0</v>
      </c>
      <c r="BD53" s="24">
        <v>0</v>
      </c>
      <c r="BE53" s="24">
        <v>0</v>
      </c>
      <c r="BF53" s="24">
        <v>0</v>
      </c>
      <c r="BG53" s="24">
        <v>0</v>
      </c>
      <c r="BH53" s="24">
        <v>0</v>
      </c>
      <c r="BI53" s="24">
        <v>0</v>
      </c>
      <c r="BJ53" s="24">
        <v>0</v>
      </c>
      <c r="BK53" s="24">
        <v>0</v>
      </c>
      <c r="BL53" s="24">
        <v>0</v>
      </c>
      <c r="BM53" s="24">
        <v>0</v>
      </c>
      <c r="BN53" s="24">
        <v>0</v>
      </c>
      <c r="BO53" s="24">
        <v>0</v>
      </c>
      <c r="BP53" s="24">
        <v>0</v>
      </c>
      <c r="BQ53" s="24">
        <v>0</v>
      </c>
      <c r="BR53" s="24">
        <v>0</v>
      </c>
      <c r="BS53" s="24">
        <v>0</v>
      </c>
      <c r="BT53" s="24">
        <v>0</v>
      </c>
      <c r="BU53" s="24">
        <v>0</v>
      </c>
      <c r="BV53" s="24">
        <v>0</v>
      </c>
      <c r="BW53" s="24">
        <v>0</v>
      </c>
      <c r="BX53" s="24">
        <v>0</v>
      </c>
      <c r="BY53" s="24">
        <v>0</v>
      </c>
      <c r="BZ53" s="24">
        <v>0</v>
      </c>
      <c r="CA53" s="24">
        <v>0</v>
      </c>
      <c r="CB53" s="24">
        <v>0</v>
      </c>
      <c r="CC53" s="24">
        <v>0</v>
      </c>
      <c r="CD53" s="24">
        <v>0</v>
      </c>
      <c r="CE53" s="24">
        <v>0</v>
      </c>
      <c r="CF53" s="24">
        <v>0</v>
      </c>
      <c r="CG53" s="24">
        <v>0</v>
      </c>
      <c r="CH53" s="24">
        <v>0</v>
      </c>
      <c r="CI53" s="24">
        <v>0</v>
      </c>
      <c r="CJ53" s="24">
        <v>0</v>
      </c>
      <c r="CK53" s="24">
        <v>0</v>
      </c>
      <c r="CL53" s="24">
        <v>0</v>
      </c>
      <c r="CM53" s="24">
        <v>0</v>
      </c>
      <c r="CN53" s="24">
        <v>0</v>
      </c>
      <c r="CO53" s="24">
        <v>0</v>
      </c>
      <c r="CP53" s="24">
        <v>0</v>
      </c>
      <c r="CQ53" s="24">
        <v>0</v>
      </c>
      <c r="CR53" s="24">
        <v>0</v>
      </c>
      <c r="CS53" s="24">
        <v>0</v>
      </c>
      <c r="CT53" s="24">
        <v>0</v>
      </c>
      <c r="CU53" s="24">
        <v>0</v>
      </c>
      <c r="CV53" s="24">
        <v>0</v>
      </c>
      <c r="CW53" s="24">
        <v>0</v>
      </c>
      <c r="CX53" s="24">
        <v>0</v>
      </c>
      <c r="CY53" s="24">
        <v>0</v>
      </c>
      <c r="CZ53" s="24">
        <v>0</v>
      </c>
      <c r="DA53" s="24">
        <v>0</v>
      </c>
      <c r="DB53" s="24">
        <v>0</v>
      </c>
      <c r="DC53" s="24">
        <v>0</v>
      </c>
      <c r="DD53" s="24">
        <v>0</v>
      </c>
      <c r="DE53" s="24">
        <v>0</v>
      </c>
      <c r="DF53" s="24">
        <v>0</v>
      </c>
      <c r="DG53" s="24">
        <v>0</v>
      </c>
      <c r="DH53" s="24">
        <v>0</v>
      </c>
      <c r="DI53" s="24">
        <v>0</v>
      </c>
      <c r="DJ53" s="24">
        <v>0</v>
      </c>
      <c r="DK53" s="24">
        <v>0</v>
      </c>
      <c r="DL53" s="24">
        <v>0</v>
      </c>
      <c r="DM53" s="24">
        <v>0</v>
      </c>
      <c r="DN53" s="24">
        <v>0</v>
      </c>
      <c r="DO53" s="24">
        <v>0</v>
      </c>
      <c r="DP53" s="24">
        <v>0</v>
      </c>
      <c r="DQ53" s="24">
        <v>0</v>
      </c>
      <c r="DR53" s="24">
        <v>0</v>
      </c>
      <c r="DS53" s="24">
        <v>0</v>
      </c>
      <c r="DT53" s="24">
        <v>0</v>
      </c>
      <c r="DU53" s="24">
        <v>0</v>
      </c>
      <c r="DV53" s="24">
        <v>0</v>
      </c>
      <c r="DW53" s="24">
        <v>0</v>
      </c>
      <c r="DX53" s="24">
        <v>0</v>
      </c>
      <c r="DY53" s="24">
        <v>0</v>
      </c>
      <c r="DZ53" s="24">
        <v>0</v>
      </c>
      <c r="EA53" s="24">
        <v>0</v>
      </c>
      <c r="EB53" s="24">
        <v>0</v>
      </c>
      <c r="EC53" s="24">
        <v>0</v>
      </c>
      <c r="ED53" s="24">
        <v>0</v>
      </c>
      <c r="EE53" s="24">
        <v>0</v>
      </c>
      <c r="EF53" s="24">
        <v>0</v>
      </c>
      <c r="EG53" s="24">
        <v>0</v>
      </c>
      <c r="EH53" s="24">
        <v>0</v>
      </c>
      <c r="EI53" s="24">
        <v>0</v>
      </c>
      <c r="EJ53" s="24">
        <v>0</v>
      </c>
      <c r="EK53" s="24">
        <v>0</v>
      </c>
      <c r="EL53" s="24">
        <v>0</v>
      </c>
      <c r="EM53" s="24">
        <v>0</v>
      </c>
      <c r="EN53" s="24">
        <v>0</v>
      </c>
      <c r="EO53" s="24">
        <v>0</v>
      </c>
      <c r="EP53" s="24">
        <v>0</v>
      </c>
      <c r="EQ53" s="24">
        <v>0</v>
      </c>
      <c r="ER53" s="24">
        <v>0</v>
      </c>
      <c r="ES53" s="24">
        <v>0</v>
      </c>
      <c r="ET53" s="24">
        <v>0</v>
      </c>
      <c r="EU53" s="24">
        <v>0</v>
      </c>
      <c r="EV53" s="24">
        <v>0</v>
      </c>
      <c r="EW53" s="24">
        <v>0</v>
      </c>
      <c r="EX53" s="24">
        <v>0</v>
      </c>
      <c r="EY53" s="24">
        <v>0</v>
      </c>
      <c r="EZ53" s="24">
        <v>0</v>
      </c>
      <c r="FA53" s="24">
        <v>0</v>
      </c>
      <c r="FB53" s="24">
        <v>0</v>
      </c>
      <c r="FC53" s="24">
        <v>0</v>
      </c>
      <c r="FD53" s="24">
        <v>0</v>
      </c>
      <c r="FE53" s="24">
        <v>0</v>
      </c>
      <c r="FF53" s="24">
        <v>0</v>
      </c>
      <c r="FG53" s="24">
        <v>0</v>
      </c>
      <c r="FH53" s="24">
        <v>0</v>
      </c>
      <c r="FI53" s="24">
        <v>0</v>
      </c>
      <c r="FJ53" s="24">
        <v>0</v>
      </c>
      <c r="FK53" s="24">
        <v>0</v>
      </c>
      <c r="FL53" s="24">
        <v>0</v>
      </c>
      <c r="FM53" s="24">
        <v>0</v>
      </c>
      <c r="FN53" s="24">
        <v>0</v>
      </c>
      <c r="FO53" s="24">
        <v>0</v>
      </c>
      <c r="FP53" s="24">
        <v>0</v>
      </c>
      <c r="FQ53" s="24">
        <v>0</v>
      </c>
      <c r="FR53" s="24">
        <v>0</v>
      </c>
      <c r="FS53" s="24">
        <v>10</v>
      </c>
      <c r="FT53" s="24">
        <v>0</v>
      </c>
      <c r="FU53" s="24">
        <v>0</v>
      </c>
      <c r="FV53" s="24">
        <v>0</v>
      </c>
      <c r="FW53" s="24">
        <v>0</v>
      </c>
      <c r="FX53" s="24">
        <v>0</v>
      </c>
      <c r="FY53" s="24">
        <v>0</v>
      </c>
      <c r="FZ53" s="24">
        <v>0</v>
      </c>
      <c r="GA53" s="24">
        <v>0</v>
      </c>
      <c r="GB53" s="24">
        <v>0</v>
      </c>
      <c r="GC53" s="24">
        <v>0</v>
      </c>
      <c r="GD53" s="24">
        <v>0</v>
      </c>
      <c r="GE53" s="24">
        <v>0</v>
      </c>
      <c r="GF53" s="24">
        <v>0</v>
      </c>
      <c r="GG53" s="24">
        <v>0</v>
      </c>
      <c r="GH53" s="24">
        <v>0</v>
      </c>
      <c r="GI53" s="24">
        <v>0</v>
      </c>
      <c r="GJ53" s="24">
        <v>0</v>
      </c>
      <c r="GK53" s="24">
        <v>0</v>
      </c>
      <c r="GL53" s="24">
        <v>0</v>
      </c>
      <c r="GM53" s="24">
        <v>0</v>
      </c>
      <c r="GN53" s="24">
        <v>0</v>
      </c>
      <c r="GO53" s="24">
        <v>0</v>
      </c>
      <c r="GP53" s="24">
        <v>0</v>
      </c>
      <c r="GQ53" s="24">
        <v>0</v>
      </c>
      <c r="GR53" s="24">
        <v>0</v>
      </c>
      <c r="GS53" s="24">
        <v>0</v>
      </c>
      <c r="GT53" s="24">
        <v>0</v>
      </c>
      <c r="GU53" s="24">
        <v>0</v>
      </c>
      <c r="GV53" s="24">
        <v>0</v>
      </c>
      <c r="GW53" s="24">
        <v>0</v>
      </c>
      <c r="GX53" s="24">
        <v>0</v>
      </c>
      <c r="GY53" s="24">
        <v>0</v>
      </c>
      <c r="GZ53" s="24">
        <v>0</v>
      </c>
      <c r="HA53" s="24">
        <v>0</v>
      </c>
      <c r="HB53" s="24">
        <v>0</v>
      </c>
      <c r="HC53" s="24">
        <v>0</v>
      </c>
      <c r="HD53" s="24">
        <v>106412</v>
      </c>
      <c r="HE53" s="24">
        <v>0</v>
      </c>
      <c r="HF53" s="24">
        <v>0</v>
      </c>
      <c r="HG53" s="24">
        <v>0</v>
      </c>
      <c r="HH53" s="24">
        <v>0</v>
      </c>
      <c r="HI53" s="24">
        <v>0</v>
      </c>
      <c r="HJ53" s="24">
        <v>0</v>
      </c>
      <c r="HK53" s="24">
        <v>0</v>
      </c>
      <c r="HL53" s="24">
        <v>0</v>
      </c>
      <c r="HM53" s="24">
        <v>0</v>
      </c>
      <c r="HN53" s="24">
        <v>0</v>
      </c>
      <c r="HO53" s="24">
        <v>0</v>
      </c>
      <c r="HP53" s="24">
        <v>0</v>
      </c>
      <c r="HQ53" s="24">
        <v>0</v>
      </c>
      <c r="HR53" s="24">
        <v>0</v>
      </c>
      <c r="HS53" s="24">
        <v>0</v>
      </c>
      <c r="HT53" s="24">
        <v>0</v>
      </c>
      <c r="HU53" s="24">
        <v>0</v>
      </c>
      <c r="HV53" s="24">
        <v>0</v>
      </c>
      <c r="HW53" s="24">
        <v>0</v>
      </c>
      <c r="HX53" s="24">
        <v>0</v>
      </c>
      <c r="HY53" s="24">
        <v>0</v>
      </c>
      <c r="HZ53" s="24">
        <v>0</v>
      </c>
      <c r="IA53" s="24">
        <v>5273</v>
      </c>
      <c r="IB53" s="24">
        <v>0</v>
      </c>
      <c r="IC53" s="24">
        <v>0</v>
      </c>
      <c r="ID53" s="24">
        <v>0</v>
      </c>
      <c r="IE53" s="24">
        <v>0</v>
      </c>
      <c r="IF53" s="24">
        <v>0</v>
      </c>
      <c r="IG53" s="24">
        <v>0</v>
      </c>
      <c r="IH53" s="24">
        <v>0</v>
      </c>
      <c r="II53" s="24">
        <v>0</v>
      </c>
      <c r="IJ53" s="24">
        <v>0</v>
      </c>
      <c r="IK53" s="24">
        <v>0</v>
      </c>
      <c r="IL53" s="24">
        <v>0</v>
      </c>
      <c r="IM53" s="24">
        <v>0</v>
      </c>
      <c r="IN53" s="24">
        <v>0</v>
      </c>
      <c r="IO53" s="24">
        <v>0</v>
      </c>
      <c r="IP53" s="24">
        <v>0</v>
      </c>
      <c r="IQ53" s="24">
        <v>0</v>
      </c>
      <c r="IR53" s="24">
        <v>0</v>
      </c>
      <c r="IS53" s="24">
        <v>0</v>
      </c>
      <c r="IT53" s="24">
        <v>0</v>
      </c>
      <c r="IU53" s="24">
        <v>0</v>
      </c>
      <c r="IV53" s="24">
        <v>0</v>
      </c>
      <c r="IW53" s="24">
        <v>0</v>
      </c>
      <c r="IX53" s="24">
        <v>0</v>
      </c>
      <c r="IY53" s="24">
        <v>412</v>
      </c>
      <c r="IZ53" s="24">
        <v>0</v>
      </c>
      <c r="JA53" s="24">
        <v>0</v>
      </c>
      <c r="JB53" s="24">
        <v>0</v>
      </c>
      <c r="JC53" s="24">
        <v>0</v>
      </c>
      <c r="JD53" s="24">
        <v>0</v>
      </c>
      <c r="JE53" s="24">
        <v>19415</v>
      </c>
      <c r="JF53" s="24">
        <v>189</v>
      </c>
      <c r="JG53" s="24">
        <v>0</v>
      </c>
      <c r="JH53" s="24">
        <v>0</v>
      </c>
      <c r="JI53" s="24">
        <v>0</v>
      </c>
      <c r="JJ53" s="24">
        <v>0</v>
      </c>
      <c r="JK53" s="24">
        <v>0</v>
      </c>
      <c r="JL53" s="24">
        <v>0</v>
      </c>
      <c r="JM53" s="24">
        <v>0</v>
      </c>
      <c r="JN53" s="24">
        <v>0</v>
      </c>
      <c r="JO53" s="24">
        <v>0</v>
      </c>
      <c r="JP53" s="24">
        <v>0</v>
      </c>
      <c r="JQ53" s="24">
        <v>0</v>
      </c>
      <c r="JR53" s="24">
        <v>0</v>
      </c>
      <c r="JS53" s="24">
        <v>0</v>
      </c>
      <c r="JT53" s="24">
        <v>0</v>
      </c>
      <c r="JU53" s="24">
        <v>0</v>
      </c>
      <c r="JV53" s="24">
        <v>0</v>
      </c>
      <c r="JW53" s="24">
        <v>0</v>
      </c>
      <c r="JX53" s="24">
        <v>0</v>
      </c>
      <c r="JY53" s="24">
        <v>0</v>
      </c>
      <c r="JZ53" s="24">
        <v>0</v>
      </c>
      <c r="KA53" s="24">
        <v>0</v>
      </c>
      <c r="KB53" s="24">
        <v>0</v>
      </c>
      <c r="KC53" s="24">
        <v>0</v>
      </c>
      <c r="KD53" s="24">
        <v>0</v>
      </c>
      <c r="KE53" s="24">
        <v>0</v>
      </c>
      <c r="KF53" s="24">
        <v>0</v>
      </c>
      <c r="KG53" s="24">
        <v>452</v>
      </c>
      <c r="KH53" s="24">
        <v>0</v>
      </c>
      <c r="KI53" s="24">
        <v>0</v>
      </c>
      <c r="KJ53" s="24">
        <v>0</v>
      </c>
      <c r="KK53" s="24">
        <v>0</v>
      </c>
      <c r="KL53" s="24">
        <v>0</v>
      </c>
      <c r="KM53" s="24">
        <v>0</v>
      </c>
      <c r="KN53" s="24">
        <v>0</v>
      </c>
      <c r="KO53" s="24">
        <v>0</v>
      </c>
      <c r="KP53" s="24">
        <v>0</v>
      </c>
      <c r="KQ53" s="24">
        <v>0</v>
      </c>
      <c r="KR53" s="24">
        <v>0</v>
      </c>
      <c r="KS53" s="24">
        <v>0</v>
      </c>
      <c r="KT53" s="24">
        <v>0</v>
      </c>
      <c r="KU53" s="24">
        <v>0</v>
      </c>
      <c r="KV53" s="24">
        <v>0</v>
      </c>
      <c r="KW53" s="24">
        <v>0</v>
      </c>
      <c r="KX53" s="24">
        <v>0</v>
      </c>
      <c r="KY53" s="24">
        <v>0</v>
      </c>
      <c r="KZ53" s="24">
        <v>0</v>
      </c>
      <c r="LA53" s="24">
        <v>0</v>
      </c>
      <c r="LB53" s="24">
        <v>0</v>
      </c>
      <c r="LC53" s="24">
        <v>0</v>
      </c>
      <c r="LD53" s="24">
        <v>0</v>
      </c>
      <c r="LE53" s="24">
        <v>0</v>
      </c>
      <c r="LF53" s="24">
        <v>0</v>
      </c>
      <c r="LG53" s="24">
        <v>0</v>
      </c>
      <c r="LH53" s="24">
        <v>0</v>
      </c>
      <c r="LI53" s="24">
        <v>0</v>
      </c>
      <c r="LJ53" s="24">
        <v>0</v>
      </c>
      <c r="LK53" s="24">
        <v>0</v>
      </c>
      <c r="LL53" s="24">
        <v>0</v>
      </c>
      <c r="LM53" s="24">
        <v>0</v>
      </c>
      <c r="LN53" s="24">
        <v>0</v>
      </c>
      <c r="LO53" s="24">
        <v>0</v>
      </c>
      <c r="LP53" s="24">
        <v>0</v>
      </c>
      <c r="LQ53" s="24">
        <v>0</v>
      </c>
      <c r="LR53" s="24">
        <v>0</v>
      </c>
      <c r="LS53" s="24">
        <v>0</v>
      </c>
      <c r="LT53" s="24">
        <v>0</v>
      </c>
      <c r="LU53" s="24">
        <v>0</v>
      </c>
      <c r="LV53" s="24">
        <v>0</v>
      </c>
      <c r="LW53" s="24">
        <v>0</v>
      </c>
      <c r="LX53" s="24">
        <v>0</v>
      </c>
      <c r="LY53" s="24">
        <v>0</v>
      </c>
      <c r="LZ53" s="24">
        <v>0</v>
      </c>
      <c r="MA53" s="24">
        <v>0</v>
      </c>
      <c r="MB53" s="24">
        <v>15161</v>
      </c>
      <c r="MC53" s="24">
        <v>4767</v>
      </c>
      <c r="MD53" s="24">
        <v>0</v>
      </c>
      <c r="ME53" s="24">
        <v>0</v>
      </c>
      <c r="MF53" s="24">
        <v>0</v>
      </c>
      <c r="MG53" s="24">
        <v>0</v>
      </c>
      <c r="MH53" s="24">
        <v>0</v>
      </c>
      <c r="MI53" s="24">
        <v>0</v>
      </c>
      <c r="MJ53" s="24">
        <v>0</v>
      </c>
      <c r="MK53" s="24">
        <v>0</v>
      </c>
      <c r="ML53" s="24">
        <v>0</v>
      </c>
      <c r="MM53" s="24">
        <v>0</v>
      </c>
      <c r="MN53" s="24">
        <v>0</v>
      </c>
      <c r="MO53" s="24">
        <v>0</v>
      </c>
      <c r="MP53" s="24">
        <v>0</v>
      </c>
      <c r="MQ53" s="24">
        <v>0</v>
      </c>
      <c r="MR53" s="24">
        <v>0</v>
      </c>
      <c r="MS53" s="24">
        <v>0</v>
      </c>
      <c r="MT53" s="24">
        <v>0</v>
      </c>
      <c r="MU53" s="24">
        <v>0</v>
      </c>
      <c r="MV53" s="24">
        <v>0</v>
      </c>
      <c r="MW53" s="24">
        <v>0</v>
      </c>
      <c r="MX53" s="24">
        <v>0</v>
      </c>
      <c r="MY53" s="24">
        <v>0</v>
      </c>
      <c r="MZ53" s="24">
        <v>0</v>
      </c>
      <c r="NA53" s="24">
        <v>0</v>
      </c>
      <c r="NB53" s="24">
        <v>0</v>
      </c>
      <c r="NC53" s="24">
        <v>0</v>
      </c>
      <c r="ND53" s="24">
        <v>0</v>
      </c>
      <c r="NE53" s="24">
        <v>0</v>
      </c>
      <c r="NF53" s="24">
        <v>0</v>
      </c>
      <c r="NG53" s="24">
        <v>0</v>
      </c>
      <c r="NH53" s="24">
        <v>0</v>
      </c>
      <c r="NI53" s="24">
        <v>0</v>
      </c>
      <c r="NJ53" s="24">
        <v>0</v>
      </c>
      <c r="NK53" s="24">
        <v>0</v>
      </c>
      <c r="NL53" s="24">
        <v>0</v>
      </c>
      <c r="NM53" s="24">
        <v>0</v>
      </c>
      <c r="NN53" s="24">
        <v>0</v>
      </c>
      <c r="NO53" s="24">
        <v>0</v>
      </c>
      <c r="NP53" s="24">
        <v>0</v>
      </c>
      <c r="NQ53" s="24">
        <v>0</v>
      </c>
      <c r="NR53" s="24">
        <v>0</v>
      </c>
      <c r="NS53" s="24">
        <v>0</v>
      </c>
      <c r="NT53" s="24">
        <v>0</v>
      </c>
      <c r="NU53" s="24">
        <v>0</v>
      </c>
      <c r="NV53" s="24">
        <v>0</v>
      </c>
      <c r="NW53" s="24">
        <v>0</v>
      </c>
      <c r="NX53" s="24">
        <v>0</v>
      </c>
      <c r="NY53" s="24">
        <v>0</v>
      </c>
      <c r="NZ53" s="24">
        <v>0</v>
      </c>
      <c r="OA53" s="24">
        <v>0</v>
      </c>
      <c r="OB53" s="24">
        <v>0</v>
      </c>
      <c r="OC53" s="24">
        <v>0</v>
      </c>
      <c r="OD53" s="24">
        <v>0</v>
      </c>
      <c r="OE53" s="24">
        <v>0</v>
      </c>
      <c r="OF53" s="24">
        <v>0</v>
      </c>
      <c r="OG53" s="24">
        <v>0</v>
      </c>
      <c r="OH53" s="24">
        <v>0</v>
      </c>
      <c r="OI53" s="24">
        <v>0</v>
      </c>
      <c r="OJ53" s="24">
        <v>0</v>
      </c>
      <c r="OK53" s="24">
        <v>0</v>
      </c>
      <c r="OL53" s="24">
        <v>0</v>
      </c>
      <c r="OM53" s="24">
        <v>0</v>
      </c>
      <c r="ON53" s="24">
        <v>0</v>
      </c>
      <c r="OO53" s="24">
        <v>0</v>
      </c>
      <c r="OP53" s="24">
        <v>0</v>
      </c>
      <c r="OQ53" s="24">
        <v>0</v>
      </c>
      <c r="OR53" s="24">
        <v>0</v>
      </c>
      <c r="OS53" s="24">
        <v>0</v>
      </c>
      <c r="OT53" s="24">
        <v>0</v>
      </c>
      <c r="OU53" s="24">
        <v>0</v>
      </c>
      <c r="OV53" s="24">
        <v>0</v>
      </c>
      <c r="OW53" s="24">
        <v>0</v>
      </c>
      <c r="OX53" s="24">
        <v>0</v>
      </c>
      <c r="OY53" s="24">
        <v>0</v>
      </c>
      <c r="OZ53" s="24">
        <v>0</v>
      </c>
      <c r="PA53" s="24">
        <v>0</v>
      </c>
      <c r="PB53" s="24">
        <v>0</v>
      </c>
      <c r="PC53" s="24">
        <v>0</v>
      </c>
      <c r="PD53" s="24">
        <v>0</v>
      </c>
      <c r="PE53" s="24">
        <v>0</v>
      </c>
      <c r="PF53" s="24">
        <v>0</v>
      </c>
      <c r="PG53" s="24">
        <v>0</v>
      </c>
      <c r="PH53" s="24">
        <v>0</v>
      </c>
      <c r="PI53" s="24">
        <v>0</v>
      </c>
      <c r="PJ53" s="24">
        <v>0</v>
      </c>
      <c r="PK53" s="24">
        <v>0</v>
      </c>
      <c r="PL53" s="24">
        <v>0</v>
      </c>
      <c r="PM53" s="24">
        <v>0</v>
      </c>
      <c r="PN53" s="24">
        <v>0</v>
      </c>
      <c r="PO53" s="24">
        <v>0</v>
      </c>
      <c r="PP53" s="24">
        <v>0</v>
      </c>
      <c r="PQ53" s="24">
        <v>0</v>
      </c>
      <c r="PR53" s="24">
        <v>0</v>
      </c>
      <c r="PS53" s="24">
        <v>0</v>
      </c>
      <c r="PT53" s="24">
        <v>0</v>
      </c>
      <c r="PU53" s="24">
        <v>0</v>
      </c>
      <c r="PV53" s="24">
        <v>0</v>
      </c>
      <c r="PW53" s="24">
        <v>0</v>
      </c>
      <c r="PX53" s="24">
        <v>0</v>
      </c>
      <c r="PY53" s="24">
        <v>0</v>
      </c>
      <c r="PZ53" s="24">
        <v>0</v>
      </c>
      <c r="QA53" s="24">
        <v>0</v>
      </c>
      <c r="QB53" s="24">
        <v>0</v>
      </c>
      <c r="QC53" s="24">
        <v>0</v>
      </c>
      <c r="QD53" s="24">
        <v>0</v>
      </c>
      <c r="QE53" s="24">
        <v>0</v>
      </c>
      <c r="QF53" s="24">
        <v>0</v>
      </c>
      <c r="QG53" s="24">
        <v>0</v>
      </c>
      <c r="QH53" s="24">
        <v>0</v>
      </c>
      <c r="QI53" s="24">
        <v>0</v>
      </c>
      <c r="QJ53" s="24">
        <v>0</v>
      </c>
      <c r="QK53" s="24">
        <v>0</v>
      </c>
      <c r="QL53" s="24">
        <v>0</v>
      </c>
      <c r="QM53" s="24">
        <v>0</v>
      </c>
      <c r="QN53" s="24">
        <v>0</v>
      </c>
      <c r="QO53" s="24">
        <v>0</v>
      </c>
      <c r="QP53" s="24">
        <v>0</v>
      </c>
      <c r="QQ53" s="24">
        <v>0</v>
      </c>
      <c r="QR53" s="24">
        <v>0</v>
      </c>
      <c r="QS53" s="24">
        <v>0</v>
      </c>
      <c r="QT53" s="24">
        <v>0</v>
      </c>
      <c r="QU53" s="24">
        <v>0</v>
      </c>
      <c r="QV53" s="24">
        <v>0</v>
      </c>
      <c r="QW53" s="24">
        <v>0</v>
      </c>
      <c r="QX53" s="24">
        <v>0</v>
      </c>
      <c r="QY53" s="24">
        <v>0</v>
      </c>
      <c r="QZ53" s="24">
        <v>0</v>
      </c>
      <c r="RA53" s="24">
        <v>0</v>
      </c>
      <c r="RB53" s="24">
        <v>0</v>
      </c>
      <c r="RG53" s="39">
        <f t="shared" si="126"/>
        <v>106412</v>
      </c>
      <c r="RH53" s="39">
        <f t="shared" si="126"/>
        <v>0</v>
      </c>
      <c r="RI53" s="39">
        <f t="shared" si="126"/>
        <v>0</v>
      </c>
      <c r="RJ53" s="39">
        <f t="shared" si="126"/>
        <v>0</v>
      </c>
      <c r="RK53" s="39">
        <f t="shared" si="126"/>
        <v>0</v>
      </c>
      <c r="RL53" s="39">
        <f t="shared" si="126"/>
        <v>0</v>
      </c>
      <c r="RM53" s="39">
        <f t="shared" si="126"/>
        <v>5273</v>
      </c>
      <c r="RN53" s="39">
        <f t="shared" si="126"/>
        <v>0</v>
      </c>
      <c r="RO53" s="39">
        <f t="shared" si="126"/>
        <v>0</v>
      </c>
      <c r="RP53" s="39">
        <f t="shared" si="126"/>
        <v>412</v>
      </c>
      <c r="RQ53" s="39">
        <f t="shared" si="126"/>
        <v>0</v>
      </c>
      <c r="RR53" s="39">
        <f t="shared" si="126"/>
        <v>19604</v>
      </c>
      <c r="RS53" s="39"/>
      <c r="RT53" s="182"/>
      <c r="RU53" s="39"/>
      <c r="RV53" s="39">
        <f t="shared" si="127"/>
        <v>20380</v>
      </c>
      <c r="RW53" s="39">
        <f t="shared" si="127"/>
        <v>131701</v>
      </c>
      <c r="RX53" s="39">
        <f t="shared" si="127"/>
        <v>10</v>
      </c>
      <c r="RY53" s="39">
        <f t="shared" si="127"/>
        <v>0</v>
      </c>
      <c r="RZ53" s="39"/>
      <c r="SA53" s="182"/>
      <c r="SB53" s="39"/>
      <c r="SC53" s="25">
        <f t="shared" si="50"/>
        <v>1.6666666666666667</v>
      </c>
      <c r="SD53" s="39">
        <f>IFERROR(VLOOKUP(A53, 'Levy Data 15-16'!$B:$O, 3, FALSE), 0)</f>
        <v>10793613</v>
      </c>
      <c r="SE53" s="39">
        <f t="shared" si="88"/>
        <v>1798935.5</v>
      </c>
      <c r="SF53" s="631">
        <f>IFERROR(VLOOKUP(A53, 'Levy Data 15-16'!$B:$O, 14, FALSE), 0)*1000</f>
        <v>0</v>
      </c>
      <c r="SG53" s="39">
        <f t="shared" si="89"/>
        <v>0</v>
      </c>
      <c r="SH53" s="39">
        <f t="shared" si="90"/>
        <v>0</v>
      </c>
      <c r="SI53" s="39">
        <f t="shared" si="91"/>
        <v>10</v>
      </c>
      <c r="SM53" s="39">
        <f t="shared" si="92"/>
        <v>131701</v>
      </c>
      <c r="SN53" s="39">
        <f t="shared" si="93"/>
        <v>0</v>
      </c>
      <c r="SO53" s="39">
        <f t="shared" si="51"/>
        <v>131701</v>
      </c>
      <c r="SP53" s="50">
        <f t="shared" si="52"/>
        <v>1</v>
      </c>
      <c r="ST53" s="124">
        <f>IFERROR(VLOOKUP(A53,'Grade Enroll 15-16'!B:AC,27,FALSE),"")</f>
        <v>6</v>
      </c>
      <c r="SU53" s="124">
        <f t="shared" si="53"/>
        <v>0</v>
      </c>
      <c r="SV53" s="131">
        <f>IFERROR(VLOOKUP($A53, 'Title I Enroll 16-17'!S:V, 4, FALSE), 0)</f>
        <v>0</v>
      </c>
      <c r="SW53" s="729">
        <f>IFERROR(VLOOKUP(A53, 'ELL Enroll 15-16'!$N:$S, 6, FALSE), 0)</f>
        <v>5</v>
      </c>
      <c r="SX53" s="131">
        <f t="shared" si="54"/>
        <v>0.83333333333333337</v>
      </c>
      <c r="SY53" s="124">
        <f>IFERROR(VLOOKUP(A53, 'SPED enroll 2015-16'!$M:$O, 3, FALSE), 0)</f>
        <v>5</v>
      </c>
      <c r="SZ53" s="131">
        <f t="shared" si="55"/>
        <v>0.83333333333333337</v>
      </c>
      <c r="TA53" s="142">
        <f t="shared" si="87"/>
        <v>3.5</v>
      </c>
      <c r="TB53" s="142">
        <f t="shared" si="87"/>
        <v>1</v>
      </c>
      <c r="TC53" s="142">
        <f t="shared" si="87"/>
        <v>0.35000000000000003</v>
      </c>
      <c r="TD53" s="142">
        <f t="shared" si="87"/>
        <v>0.15</v>
      </c>
      <c r="TE53" s="124">
        <f>VLOOKUP($A53, 'Grade Enroll 15-16'!$B:$AB, 20, FALSE)</f>
        <v>0</v>
      </c>
      <c r="TF53" s="124">
        <f>VLOOKUP($A53, 'Grade Enroll 15-16'!$B:$AB, 21, FALSE)</f>
        <v>0</v>
      </c>
      <c r="TG53" s="124">
        <f>VLOOKUP($A53, 'Grade Enroll 15-16'!$B:$AB, 22, FALSE)</f>
        <v>2</v>
      </c>
      <c r="TH53" s="124">
        <f>VLOOKUP($A53, 'Grade Enroll 15-16'!$B:$AB, 23, FALSE)</f>
        <v>3</v>
      </c>
      <c r="TI53" s="124">
        <f>VLOOKUP($A53, 'Grade Enroll 15-16'!$B:$AB, 24, FALSE)</f>
        <v>1</v>
      </c>
      <c r="TJ53" s="124">
        <f>VLOOKUP($A53, 'Grade Enroll 15-16'!$B:$AB, 25, FALSE)</f>
        <v>0</v>
      </c>
      <c r="TK53" s="124">
        <f>VLOOKUP($A53, 'Grade Enroll 15-16'!$B:$AB, 26, FALSE)</f>
        <v>4</v>
      </c>
      <c r="TL53" s="131">
        <f>SUMIFS('Student Achievement 15-16'!N:N, 'Student Achievement 15-16'!B:B, 'Idaho Data'!A53, 'Student Achievement 15-16'!D:D, "math")/100</f>
        <v>0.05</v>
      </c>
      <c r="TM53" s="134">
        <f t="shared" si="57"/>
        <v>0.30000000000000004</v>
      </c>
      <c r="TN53" s="131">
        <f>SUMIFS('Student Achievement 15-16'!N:N, 'Student Achievement 15-16'!B:B, 'Idaho Data'!A53, 'Student Achievement 15-16'!D:D, "ela")/100</f>
        <v>0.05</v>
      </c>
      <c r="TO53" s="134">
        <f t="shared" si="58"/>
        <v>0.30000000000000004</v>
      </c>
      <c r="TP53" s="688">
        <f>IFERROR(VLOOKUP(A53, 'G&amp;T 15-16'!B:G, 6, FALSE), 0)*1</f>
        <v>0</v>
      </c>
      <c r="TQ53" s="168">
        <f t="shared" si="59"/>
        <v>0.36</v>
      </c>
      <c r="TU53" s="168">
        <f t="shared" si="60"/>
        <v>0.30000000000000004</v>
      </c>
      <c r="TV53" s="168">
        <f t="shared" si="61"/>
        <v>0.30000000000000004</v>
      </c>
      <c r="TW53" s="205">
        <f t="shared" si="62"/>
        <v>0.30000000000000004</v>
      </c>
      <c r="TX53" s="144"/>
      <c r="TY53" s="129"/>
      <c r="TZ53" s="127">
        <f t="shared" si="63"/>
        <v>0</v>
      </c>
      <c r="UA53" s="127">
        <f t="shared" si="64"/>
        <v>0.36</v>
      </c>
      <c r="UB53" s="205">
        <f t="shared" si="65"/>
        <v>0.36</v>
      </c>
      <c r="UE53" s="853" t="str">
        <f>IF(ST53&lt;='1. Simulator Input'!$E$104, "yes", "")</f>
        <v>yes</v>
      </c>
      <c r="UI53" s="199">
        <f t="shared" si="66"/>
        <v>0</v>
      </c>
      <c r="UJ53" s="200">
        <f>IF('Idaho Data'!SI53&gt;=0, ((1-'1. Simulator Input'!$E$39)*'Idaho Data'!SI53), 0)</f>
        <v>0</v>
      </c>
      <c r="UK53" s="200">
        <f t="shared" si="67"/>
        <v>131701</v>
      </c>
      <c r="UL53" s="39"/>
      <c r="UM53" s="182"/>
      <c r="UN53" s="39"/>
      <c r="UO53" s="39">
        <f>IF(AND('1. Simulator Input'!$E$96="yes", '1. Simulator Input'!$E$98="yes", '1. Simulator Input'!$E$100="hold harmless"), 'Idaho Data'!WN53, IF(AND('1. Simulator Input'!$E$96="yes", '1. Simulator Input'!$E$98="no", '1. Simulator Input'!$E$100="hold harmless"), 'Idaho Data'!WM53, IF(AND('1. Simulator Input'!$E$96="yes", '1. Simulator Input'!$E$98="yes", '1. Simulator Input'!$E$100="small district grant"), WL53,IF(AND('1. Simulator Input'!$E$96="yes", '1. Simulator Input'!$E$98="no", '1. Simulator Input'!$E$100="small district grant"), WK53, ""))))</f>
        <v>0</v>
      </c>
      <c r="UP53" s="200">
        <f>'1. Simulator Input'!$D$56*('Idaho Data'!ST53)</f>
        <v>33156</v>
      </c>
      <c r="UQ53" s="204">
        <f>'1. Simulator Input'!$D$65*'1. Simulator Input'!$D$56*'Idaho Data'!SU53</f>
        <v>0</v>
      </c>
      <c r="UR53" s="204">
        <f>'1. Simulator Input'!$D$66*'1. Simulator Input'!$D$56*'Idaho Data'!SW53</f>
        <v>0</v>
      </c>
      <c r="US53" s="200">
        <f>'1. Simulator Input'!$D$67*'1. Simulator Input'!$D$56*'Idaho Data'!TA53</f>
        <v>0</v>
      </c>
      <c r="UT53" s="200">
        <f>'1. Simulator Input'!$D$68*'1. Simulator Input'!$D$56*'Idaho Data'!TB53</f>
        <v>0</v>
      </c>
      <c r="UU53" s="200">
        <f>'1. Simulator Input'!$D$69*'1. Simulator Input'!$D$56*'Idaho Data'!TC53</f>
        <v>0</v>
      </c>
      <c r="UV53" s="200">
        <f>'1. Simulator Input'!$D$70*'1. Simulator Input'!$D$56*TD53</f>
        <v>0</v>
      </c>
      <c r="UW53" s="200">
        <f>'1. Simulator Input'!$D$80*'1. Simulator Input'!$D$56*TW53</f>
        <v>0</v>
      </c>
      <c r="UX53" s="200">
        <f>'1. Simulator Input'!$D$79*'1. Simulator Input'!$D$56*UB53</f>
        <v>0</v>
      </c>
      <c r="UY53" s="200">
        <f>'1. Simulator Input'!$D$87*'1. Simulator Input'!$D$56*TF53</f>
        <v>0</v>
      </c>
      <c r="UZ53" s="200">
        <f>'1. Simulator Input'!$D$73*'1. Simulator Input'!$D$56*'Idaho Data'!TG53</f>
        <v>0</v>
      </c>
      <c r="VA53" s="200">
        <f>'1. Simulator Input'!$D$56*'1. Simulator Input'!$D$74*'Idaho Data'!TH53</f>
        <v>0</v>
      </c>
      <c r="VB53" s="200">
        <f>'1. Simulator Input'!$D$56*'1. Simulator Input'!$D$75*'Idaho Data'!TI48</f>
        <v>0</v>
      </c>
      <c r="VC53" s="200">
        <f>'1. Simulator Input'!$D$76*'1. Simulator Input'!$D$56*'Idaho Data'!TJ53</f>
        <v>0</v>
      </c>
      <c r="VD53" s="200">
        <f t="shared" si="68"/>
        <v>33156</v>
      </c>
      <c r="VE53" s="200"/>
      <c r="VF53" s="182"/>
      <c r="VG53" s="200"/>
      <c r="VH53" s="200">
        <f t="shared" si="69"/>
        <v>0</v>
      </c>
      <c r="VI53" s="200">
        <f t="shared" si="70"/>
        <v>0</v>
      </c>
      <c r="VJ53" s="200">
        <f t="shared" si="94"/>
        <v>33156</v>
      </c>
      <c r="VK53" s="200">
        <f t="shared" si="95"/>
        <v>33156</v>
      </c>
      <c r="VL53" s="200"/>
      <c r="VM53" s="182"/>
      <c r="VN53" s="200"/>
      <c r="VO53" s="200">
        <f t="shared" si="71"/>
        <v>20380</v>
      </c>
      <c r="VP53" s="200">
        <f t="shared" si="72"/>
        <v>131701</v>
      </c>
      <c r="VQ53" s="200">
        <f t="shared" si="73"/>
        <v>10</v>
      </c>
      <c r="VR53" s="200">
        <f t="shared" si="74"/>
        <v>20380</v>
      </c>
      <c r="VS53" s="200">
        <f t="shared" si="96"/>
        <v>33156</v>
      </c>
      <c r="VT53" s="200">
        <f t="shared" si="97"/>
        <v>10</v>
      </c>
      <c r="VU53" s="200">
        <f t="shared" si="98"/>
        <v>0</v>
      </c>
      <c r="VV53" s="200"/>
      <c r="VW53" s="182"/>
      <c r="VX53" s="200"/>
      <c r="VZ53" s="199">
        <f t="shared" si="75"/>
        <v>-98545</v>
      </c>
      <c r="WA53" s="199">
        <f t="shared" si="76"/>
        <v>-16424.166666666668</v>
      </c>
      <c r="WB53" s="131">
        <f t="shared" si="77"/>
        <v>-0.74824792522456174</v>
      </c>
      <c r="WC53" s="131"/>
      <c r="WD53" s="461"/>
      <c r="WE53" s="893"/>
      <c r="WF53" s="893">
        <f t="shared" si="78"/>
        <v>25348.5</v>
      </c>
      <c r="WG53" s="893">
        <f t="shared" si="79"/>
        <v>8924.3333333333339</v>
      </c>
      <c r="WH53" s="893"/>
      <c r="WI53" s="893">
        <f t="shared" si="80"/>
        <v>131701</v>
      </c>
      <c r="WJ53" s="893">
        <f t="shared" si="99"/>
        <v>33156</v>
      </c>
      <c r="WK53" s="39">
        <f t="shared" si="100"/>
        <v>0</v>
      </c>
      <c r="WL53" s="39">
        <f t="shared" si="101"/>
        <v>0</v>
      </c>
      <c r="WM53" s="200">
        <f t="shared" si="102"/>
        <v>98545</v>
      </c>
      <c r="WN53" s="39">
        <f t="shared" si="103"/>
        <v>98545</v>
      </c>
      <c r="WO53" s="39"/>
      <c r="WP53" s="182"/>
      <c r="WQ53" s="39"/>
      <c r="WR53" s="305">
        <f t="shared" si="104"/>
        <v>0.92100000000000004</v>
      </c>
      <c r="WT53" s="200">
        <f t="shared" si="105"/>
        <v>21950.166666666668</v>
      </c>
      <c r="WU53" s="131">
        <f t="shared" si="81"/>
        <v>0.98</v>
      </c>
      <c r="WW53" s="199">
        <f t="shared" si="106"/>
        <v>20380</v>
      </c>
      <c r="WX53" s="199">
        <f t="shared" si="107"/>
        <v>33156</v>
      </c>
      <c r="WY53" s="199">
        <f t="shared" si="108"/>
        <v>0</v>
      </c>
      <c r="WZ53" s="199">
        <f t="shared" si="82"/>
        <v>33156</v>
      </c>
      <c r="XA53" s="199">
        <f t="shared" si="109"/>
        <v>0</v>
      </c>
      <c r="XB53" s="199">
        <f t="shared" si="110"/>
        <v>10</v>
      </c>
      <c r="XC53" s="199">
        <f t="shared" si="111"/>
        <v>10</v>
      </c>
      <c r="XD53" s="199" t="str">
        <f t="shared" si="112"/>
        <v/>
      </c>
      <c r="XE53" s="199"/>
      <c r="XF53" s="199"/>
      <c r="XG53" s="199"/>
      <c r="XH53" s="199"/>
      <c r="XI53" s="199"/>
      <c r="XJ53" s="199">
        <f t="shared" si="83"/>
        <v>33156</v>
      </c>
      <c r="XP53" s="199">
        <f t="shared" si="113"/>
        <v>33156</v>
      </c>
      <c r="XQ53" s="199">
        <f t="shared" si="114"/>
        <v>5526</v>
      </c>
      <c r="XR53" s="199">
        <f t="shared" si="115"/>
        <v>33156</v>
      </c>
      <c r="XS53" s="199">
        <f t="shared" si="116"/>
        <v>33156</v>
      </c>
      <c r="XT53" s="199">
        <f t="shared" si="117"/>
        <v>5526</v>
      </c>
      <c r="XU53" s="199">
        <f t="shared" si="118"/>
        <v>131701</v>
      </c>
      <c r="XV53" s="199">
        <f t="shared" si="119"/>
        <v>21950.166666666668</v>
      </c>
      <c r="XW53" s="199">
        <f t="shared" si="120"/>
        <v>131701</v>
      </c>
      <c r="XX53" s="199">
        <f t="shared" si="121"/>
        <v>21950.166666666668</v>
      </c>
      <c r="XY53" s="199">
        <f t="shared" si="84"/>
        <v>-98545</v>
      </c>
      <c r="XZ53" s="199">
        <f t="shared" si="85"/>
        <v>-16424.166666666668</v>
      </c>
      <c r="YA53" s="131">
        <f t="shared" si="86"/>
        <v>-0.74824792522456174</v>
      </c>
      <c r="YB53" s="199"/>
      <c r="YC53" s="221"/>
      <c r="YD53" s="199"/>
      <c r="YE53" s="199">
        <f t="shared" si="122"/>
        <v>20380</v>
      </c>
      <c r="YF53" s="200">
        <f t="shared" si="123"/>
        <v>0</v>
      </c>
      <c r="YG53" s="199">
        <f t="shared" si="124"/>
        <v>10</v>
      </c>
      <c r="YH53" s="199">
        <f t="shared" si="125"/>
        <v>0</v>
      </c>
    </row>
    <row r="54" spans="1:658">
      <c r="A54" s="3">
        <v>192</v>
      </c>
      <c r="B54" s="2" t="s">
        <v>147</v>
      </c>
      <c r="C54" s="24">
        <v>221980</v>
      </c>
      <c r="D54" s="24">
        <v>0</v>
      </c>
      <c r="E54" s="24">
        <v>0</v>
      </c>
      <c r="F54" s="24">
        <v>0</v>
      </c>
      <c r="G54" s="24">
        <v>0</v>
      </c>
      <c r="H54" s="24">
        <v>0</v>
      </c>
      <c r="I54" s="24">
        <v>3552</v>
      </c>
      <c r="J54" s="24">
        <v>42747</v>
      </c>
      <c r="K54" s="24">
        <v>0</v>
      </c>
      <c r="L54" s="24">
        <v>0</v>
      </c>
      <c r="M54" s="24">
        <v>0</v>
      </c>
      <c r="N54" s="24">
        <v>0</v>
      </c>
      <c r="O54" s="24">
        <v>0</v>
      </c>
      <c r="P54" s="24">
        <v>0</v>
      </c>
      <c r="Q54" s="24">
        <v>0</v>
      </c>
      <c r="R54" s="24">
        <v>0</v>
      </c>
      <c r="S54" s="24">
        <v>0</v>
      </c>
      <c r="T54" s="24">
        <v>0</v>
      </c>
      <c r="U54" s="24">
        <v>0</v>
      </c>
      <c r="V54" s="24">
        <v>0</v>
      </c>
      <c r="W54" s="24">
        <v>0</v>
      </c>
      <c r="X54" s="24">
        <v>315747</v>
      </c>
      <c r="Y54" s="24">
        <v>1551</v>
      </c>
      <c r="Z54" s="24">
        <v>0</v>
      </c>
      <c r="AA54" s="24">
        <v>0</v>
      </c>
      <c r="AB54" s="24">
        <v>0</v>
      </c>
      <c r="AC54" s="24">
        <v>0</v>
      </c>
      <c r="AD54" s="24">
        <v>0</v>
      </c>
      <c r="AE54" s="24">
        <v>0</v>
      </c>
      <c r="AF54" s="24">
        <v>0</v>
      </c>
      <c r="AG54" s="24">
        <v>0</v>
      </c>
      <c r="AH54" s="24">
        <v>0</v>
      </c>
      <c r="AI54" s="24">
        <v>0</v>
      </c>
      <c r="AJ54" s="24">
        <v>0</v>
      </c>
      <c r="AK54" s="24">
        <v>0</v>
      </c>
      <c r="AL54" s="24">
        <v>2803</v>
      </c>
      <c r="AM54" s="24">
        <v>236</v>
      </c>
      <c r="AN54" s="24">
        <v>0</v>
      </c>
      <c r="AO54" s="24">
        <v>0</v>
      </c>
      <c r="AP54" s="24">
        <v>0</v>
      </c>
      <c r="AQ54" s="24">
        <v>0</v>
      </c>
      <c r="AR54" s="24">
        <v>31</v>
      </c>
      <c r="AS54" s="24">
        <v>0</v>
      </c>
      <c r="AT54" s="24">
        <v>0</v>
      </c>
      <c r="AU54" s="24">
        <v>0</v>
      </c>
      <c r="AV54" s="24">
        <v>0</v>
      </c>
      <c r="AW54" s="24">
        <v>0</v>
      </c>
      <c r="AX54" s="24">
        <v>0</v>
      </c>
      <c r="AY54" s="24">
        <v>5</v>
      </c>
      <c r="AZ54" s="24">
        <v>0</v>
      </c>
      <c r="BA54" s="24">
        <v>0</v>
      </c>
      <c r="BB54" s="24">
        <v>0</v>
      </c>
      <c r="BC54" s="24">
        <v>143</v>
      </c>
      <c r="BD54" s="24">
        <v>584</v>
      </c>
      <c r="BE54" s="24">
        <v>0</v>
      </c>
      <c r="BF54" s="24">
        <v>14</v>
      </c>
      <c r="BG54" s="24">
        <v>0</v>
      </c>
      <c r="BH54" s="24">
        <v>0</v>
      </c>
      <c r="BI54" s="24">
        <v>0</v>
      </c>
      <c r="BJ54" s="24">
        <v>0</v>
      </c>
      <c r="BK54" s="24">
        <v>0</v>
      </c>
      <c r="BL54" s="24">
        <v>0</v>
      </c>
      <c r="BM54" s="24">
        <v>0</v>
      </c>
      <c r="BN54" s="24">
        <v>0</v>
      </c>
      <c r="BO54" s="24">
        <v>0</v>
      </c>
      <c r="BP54" s="24">
        <v>0</v>
      </c>
      <c r="BQ54" s="24">
        <v>0</v>
      </c>
      <c r="BR54" s="24">
        <v>0</v>
      </c>
      <c r="BS54" s="24">
        <v>0</v>
      </c>
      <c r="BT54" s="24">
        <v>0</v>
      </c>
      <c r="BU54" s="24">
        <v>0</v>
      </c>
      <c r="BV54" s="24">
        <v>0</v>
      </c>
      <c r="BW54" s="24">
        <v>0</v>
      </c>
      <c r="BX54" s="24">
        <v>0</v>
      </c>
      <c r="BY54" s="24">
        <v>0</v>
      </c>
      <c r="BZ54" s="24">
        <v>0</v>
      </c>
      <c r="CA54" s="24">
        <v>0</v>
      </c>
      <c r="CB54" s="24">
        <v>0</v>
      </c>
      <c r="CC54" s="24">
        <v>0</v>
      </c>
      <c r="CD54" s="24">
        <v>18208</v>
      </c>
      <c r="CE54" s="24">
        <v>4659</v>
      </c>
      <c r="CF54" s="24">
        <v>0</v>
      </c>
      <c r="CG54" s="24">
        <v>12290</v>
      </c>
      <c r="CH54" s="24">
        <v>0</v>
      </c>
      <c r="CI54" s="24">
        <v>0</v>
      </c>
      <c r="CJ54" s="24">
        <v>0</v>
      </c>
      <c r="CK54" s="24">
        <v>0</v>
      </c>
      <c r="CL54" s="24">
        <v>0</v>
      </c>
      <c r="CM54" s="24">
        <v>0</v>
      </c>
      <c r="CN54" s="24">
        <v>0</v>
      </c>
      <c r="CO54" s="24">
        <v>0</v>
      </c>
      <c r="CP54" s="24">
        <v>0</v>
      </c>
      <c r="CQ54" s="24">
        <v>0</v>
      </c>
      <c r="CR54" s="24">
        <v>0</v>
      </c>
      <c r="CS54" s="24">
        <v>0</v>
      </c>
      <c r="CT54" s="24">
        <v>0</v>
      </c>
      <c r="CU54" s="24">
        <v>0</v>
      </c>
      <c r="CV54" s="24">
        <v>0</v>
      </c>
      <c r="CW54" s="24">
        <v>0</v>
      </c>
      <c r="CX54" s="24">
        <v>0</v>
      </c>
      <c r="CY54" s="24">
        <v>0</v>
      </c>
      <c r="CZ54" s="24">
        <v>0</v>
      </c>
      <c r="DA54" s="24">
        <v>0</v>
      </c>
      <c r="DB54" s="24">
        <v>0</v>
      </c>
      <c r="DC54" s="24">
        <v>0</v>
      </c>
      <c r="DD54" s="24">
        <v>0</v>
      </c>
      <c r="DE54" s="24">
        <v>0</v>
      </c>
      <c r="DF54" s="24">
        <v>0</v>
      </c>
      <c r="DG54" s="24">
        <v>0</v>
      </c>
      <c r="DH54" s="24">
        <v>0</v>
      </c>
      <c r="DI54" s="24">
        <v>0</v>
      </c>
      <c r="DJ54" s="24">
        <v>0</v>
      </c>
      <c r="DK54" s="24">
        <v>0</v>
      </c>
      <c r="DL54" s="24">
        <v>0</v>
      </c>
      <c r="DM54" s="24">
        <v>0</v>
      </c>
      <c r="DN54" s="24">
        <v>0</v>
      </c>
      <c r="DO54" s="24">
        <v>0</v>
      </c>
      <c r="DP54" s="24">
        <v>0</v>
      </c>
      <c r="DQ54" s="24">
        <v>0</v>
      </c>
      <c r="DR54" s="24">
        <v>0</v>
      </c>
      <c r="DS54" s="24">
        <v>0</v>
      </c>
      <c r="DT54" s="24">
        <v>0</v>
      </c>
      <c r="DU54" s="24">
        <v>0</v>
      </c>
      <c r="DV54" s="24">
        <v>0</v>
      </c>
      <c r="DW54" s="24">
        <v>0</v>
      </c>
      <c r="DX54" s="24">
        <v>0</v>
      </c>
      <c r="DY54" s="24">
        <v>0</v>
      </c>
      <c r="DZ54" s="24">
        <v>0</v>
      </c>
      <c r="EA54" s="24">
        <v>0</v>
      </c>
      <c r="EB54" s="24">
        <v>0</v>
      </c>
      <c r="EC54" s="24">
        <v>0</v>
      </c>
      <c r="ED54" s="24">
        <v>0</v>
      </c>
      <c r="EE54" s="24">
        <v>0</v>
      </c>
      <c r="EF54" s="24">
        <v>0</v>
      </c>
      <c r="EG54" s="24">
        <v>0</v>
      </c>
      <c r="EH54" s="24">
        <v>0</v>
      </c>
      <c r="EI54" s="24">
        <v>0</v>
      </c>
      <c r="EJ54" s="24">
        <v>0</v>
      </c>
      <c r="EK54" s="24">
        <v>0</v>
      </c>
      <c r="EL54" s="24">
        <v>0</v>
      </c>
      <c r="EM54" s="24">
        <v>0</v>
      </c>
      <c r="EN54" s="24">
        <v>0</v>
      </c>
      <c r="EO54" s="24">
        <v>0</v>
      </c>
      <c r="EP54" s="24">
        <v>0</v>
      </c>
      <c r="EQ54" s="24">
        <v>0</v>
      </c>
      <c r="ER54" s="24">
        <v>0</v>
      </c>
      <c r="ES54" s="24">
        <v>0</v>
      </c>
      <c r="ET54" s="24">
        <v>0</v>
      </c>
      <c r="EU54" s="24">
        <v>0</v>
      </c>
      <c r="EV54" s="24">
        <v>0</v>
      </c>
      <c r="EW54" s="24">
        <v>0</v>
      </c>
      <c r="EX54" s="24">
        <v>0</v>
      </c>
      <c r="EY54" s="24">
        <v>0</v>
      </c>
      <c r="EZ54" s="24">
        <v>0</v>
      </c>
      <c r="FA54" s="24">
        <v>0</v>
      </c>
      <c r="FB54" s="24">
        <v>0</v>
      </c>
      <c r="FC54" s="24">
        <v>0</v>
      </c>
      <c r="FD54" s="24">
        <v>0</v>
      </c>
      <c r="FE54" s="24">
        <v>0</v>
      </c>
      <c r="FF54" s="24">
        <v>0</v>
      </c>
      <c r="FG54" s="24">
        <v>0</v>
      </c>
      <c r="FH54" s="24">
        <v>0</v>
      </c>
      <c r="FI54" s="24">
        <v>0</v>
      </c>
      <c r="FJ54" s="24">
        <v>0</v>
      </c>
      <c r="FK54" s="24">
        <v>0</v>
      </c>
      <c r="FL54" s="24">
        <v>26938</v>
      </c>
      <c r="FM54" s="24">
        <v>0</v>
      </c>
      <c r="FN54" s="24">
        <v>0</v>
      </c>
      <c r="FO54" s="24">
        <v>0</v>
      </c>
      <c r="FP54" s="24">
        <v>0</v>
      </c>
      <c r="FQ54" s="24">
        <v>0</v>
      </c>
      <c r="FR54" s="24">
        <v>0</v>
      </c>
      <c r="FS54" s="24">
        <v>165194</v>
      </c>
      <c r="FT54" s="24">
        <v>0</v>
      </c>
      <c r="FU54" s="24">
        <v>0</v>
      </c>
      <c r="FV54" s="24">
        <v>0</v>
      </c>
      <c r="FW54" s="24">
        <v>0</v>
      </c>
      <c r="FX54" s="24">
        <v>0</v>
      </c>
      <c r="FY54" s="24">
        <v>0</v>
      </c>
      <c r="FZ54" s="24">
        <v>0</v>
      </c>
      <c r="GA54" s="24">
        <v>0</v>
      </c>
      <c r="GB54" s="24">
        <v>0</v>
      </c>
      <c r="GC54" s="24">
        <v>0</v>
      </c>
      <c r="GD54" s="24">
        <v>0</v>
      </c>
      <c r="GE54" s="24">
        <v>3450</v>
      </c>
      <c r="GF54" s="24">
        <v>0</v>
      </c>
      <c r="GG54" s="24">
        <v>0</v>
      </c>
      <c r="GH54" s="24">
        <v>0</v>
      </c>
      <c r="GI54" s="24">
        <v>0</v>
      </c>
      <c r="GJ54" s="24">
        <v>0</v>
      </c>
      <c r="GK54" s="24">
        <v>0</v>
      </c>
      <c r="GL54" s="24">
        <v>0</v>
      </c>
      <c r="GM54" s="24">
        <v>0</v>
      </c>
      <c r="GN54" s="24">
        <v>0</v>
      </c>
      <c r="GO54" s="24">
        <v>0</v>
      </c>
      <c r="GP54" s="24">
        <v>0</v>
      </c>
      <c r="GQ54" s="24">
        <v>0</v>
      </c>
      <c r="GR54" s="24">
        <v>0</v>
      </c>
      <c r="GS54" s="24">
        <v>0</v>
      </c>
      <c r="GT54" s="24">
        <v>0</v>
      </c>
      <c r="GU54" s="24">
        <v>0</v>
      </c>
      <c r="GV54" s="24">
        <v>0</v>
      </c>
      <c r="GW54" s="24">
        <v>0</v>
      </c>
      <c r="GX54" s="24">
        <v>0</v>
      </c>
      <c r="GY54" s="24">
        <v>0</v>
      </c>
      <c r="GZ54" s="24">
        <v>0</v>
      </c>
      <c r="HA54" s="24">
        <v>0</v>
      </c>
      <c r="HB54" s="24">
        <v>0</v>
      </c>
      <c r="HC54" s="24">
        <v>0</v>
      </c>
      <c r="HD54" s="24">
        <v>2045912</v>
      </c>
      <c r="HE54" s="24">
        <v>0</v>
      </c>
      <c r="HF54" s="24">
        <v>0</v>
      </c>
      <c r="HG54" s="24">
        <v>0</v>
      </c>
      <c r="HH54" s="24">
        <v>0</v>
      </c>
      <c r="HI54" s="24">
        <v>175160</v>
      </c>
      <c r="HJ54" s="24">
        <v>0</v>
      </c>
      <c r="HK54" s="24">
        <v>0</v>
      </c>
      <c r="HL54" s="24">
        <v>0</v>
      </c>
      <c r="HM54" s="24">
        <v>0</v>
      </c>
      <c r="HN54" s="24">
        <v>0</v>
      </c>
      <c r="HO54" s="24">
        <v>272796</v>
      </c>
      <c r="HP54" s="24">
        <v>161000</v>
      </c>
      <c r="HQ54" s="24">
        <v>0</v>
      </c>
      <c r="HR54" s="24">
        <v>0</v>
      </c>
      <c r="HS54" s="24">
        <v>0</v>
      </c>
      <c r="HT54" s="24">
        <v>0</v>
      </c>
      <c r="HU54" s="24">
        <v>0</v>
      </c>
      <c r="HV54" s="24">
        <v>0</v>
      </c>
      <c r="HW54" s="24">
        <v>0</v>
      </c>
      <c r="HX54" s="24">
        <v>0</v>
      </c>
      <c r="HY54" s="24">
        <v>0</v>
      </c>
      <c r="HZ54" s="24">
        <v>0</v>
      </c>
      <c r="IA54" s="24">
        <v>0</v>
      </c>
      <c r="IB54" s="24">
        <v>7480</v>
      </c>
      <c r="IC54" s="24">
        <v>0</v>
      </c>
      <c r="ID54" s="24">
        <v>0</v>
      </c>
      <c r="IE54" s="24">
        <v>0</v>
      </c>
      <c r="IF54" s="24">
        <v>0</v>
      </c>
      <c r="IG54" s="24">
        <v>0</v>
      </c>
      <c r="IH54" s="24">
        <v>0</v>
      </c>
      <c r="II54" s="24">
        <v>0</v>
      </c>
      <c r="IJ54" s="24">
        <v>5281</v>
      </c>
      <c r="IK54" s="24">
        <v>0</v>
      </c>
      <c r="IL54" s="24">
        <v>0</v>
      </c>
      <c r="IM54" s="24">
        <v>0</v>
      </c>
      <c r="IN54" s="24">
        <v>0</v>
      </c>
      <c r="IO54" s="24">
        <v>2504</v>
      </c>
      <c r="IP54" s="24">
        <v>0</v>
      </c>
      <c r="IQ54" s="24">
        <v>0</v>
      </c>
      <c r="IR54" s="24">
        <v>22901</v>
      </c>
      <c r="IS54" s="24">
        <v>0</v>
      </c>
      <c r="IT54" s="24">
        <v>0</v>
      </c>
      <c r="IU54" s="24">
        <v>0</v>
      </c>
      <c r="IV54" s="24">
        <v>0</v>
      </c>
      <c r="IW54" s="24">
        <v>0</v>
      </c>
      <c r="IX54" s="24">
        <v>0</v>
      </c>
      <c r="IY54" s="24">
        <v>0</v>
      </c>
      <c r="IZ54" s="24">
        <v>19991</v>
      </c>
      <c r="JA54" s="24">
        <v>0</v>
      </c>
      <c r="JB54" s="24">
        <v>0</v>
      </c>
      <c r="JC54" s="24">
        <v>0</v>
      </c>
      <c r="JD54" s="24">
        <v>0</v>
      </c>
      <c r="JE54" s="24">
        <v>0</v>
      </c>
      <c r="JF54" s="24">
        <v>0</v>
      </c>
      <c r="JG54" s="24">
        <v>0</v>
      </c>
      <c r="JH54" s="24">
        <v>0</v>
      </c>
      <c r="JI54" s="24">
        <v>0</v>
      </c>
      <c r="JJ54" s="24">
        <v>0</v>
      </c>
      <c r="JK54" s="24">
        <v>0</v>
      </c>
      <c r="JL54" s="24">
        <v>0</v>
      </c>
      <c r="JM54" s="24">
        <v>0</v>
      </c>
      <c r="JN54" s="24">
        <v>0</v>
      </c>
      <c r="JO54" s="24">
        <v>0</v>
      </c>
      <c r="JP54" s="24">
        <v>0</v>
      </c>
      <c r="JQ54" s="24">
        <v>0</v>
      </c>
      <c r="JR54" s="24">
        <v>0</v>
      </c>
      <c r="JS54" s="24">
        <v>0</v>
      </c>
      <c r="JT54" s="24">
        <v>0</v>
      </c>
      <c r="JU54" s="24">
        <v>0</v>
      </c>
      <c r="JV54" s="24">
        <v>0</v>
      </c>
      <c r="JW54" s="24">
        <v>0</v>
      </c>
      <c r="JX54" s="24">
        <v>0</v>
      </c>
      <c r="JY54" s="24">
        <v>0</v>
      </c>
      <c r="JZ54" s="24">
        <v>0</v>
      </c>
      <c r="KA54" s="24">
        <v>0</v>
      </c>
      <c r="KB54" s="24">
        <v>0</v>
      </c>
      <c r="KC54" s="24">
        <v>0</v>
      </c>
      <c r="KD54" s="24">
        <v>0</v>
      </c>
      <c r="KE54" s="24">
        <v>0</v>
      </c>
      <c r="KF54" s="24">
        <v>0</v>
      </c>
      <c r="KG54" s="24">
        <v>28874</v>
      </c>
      <c r="KH54" s="24">
        <v>0</v>
      </c>
      <c r="KI54" s="24">
        <v>0</v>
      </c>
      <c r="KJ54" s="24">
        <v>0</v>
      </c>
      <c r="KK54" s="24">
        <v>0</v>
      </c>
      <c r="KL54" s="24">
        <v>0</v>
      </c>
      <c r="KM54" s="24">
        <v>0</v>
      </c>
      <c r="KN54" s="24">
        <v>0</v>
      </c>
      <c r="KO54" s="24">
        <v>0</v>
      </c>
      <c r="KP54" s="24">
        <v>0</v>
      </c>
      <c r="KQ54" s="24">
        <v>0</v>
      </c>
      <c r="KR54" s="24">
        <v>0</v>
      </c>
      <c r="KS54" s="24">
        <v>0</v>
      </c>
      <c r="KT54" s="24">
        <v>0</v>
      </c>
      <c r="KU54" s="24">
        <v>0</v>
      </c>
      <c r="KV54" s="24">
        <v>0</v>
      </c>
      <c r="KW54" s="24">
        <v>0</v>
      </c>
      <c r="KX54" s="24">
        <v>0</v>
      </c>
      <c r="KY54" s="24">
        <v>0</v>
      </c>
      <c r="KZ54" s="24">
        <v>0</v>
      </c>
      <c r="LA54" s="24">
        <v>0</v>
      </c>
      <c r="LB54" s="24">
        <v>0</v>
      </c>
      <c r="LC54" s="24">
        <v>0</v>
      </c>
      <c r="LD54" s="24">
        <v>0</v>
      </c>
      <c r="LE54" s="24">
        <v>0</v>
      </c>
      <c r="LF54" s="24">
        <v>0</v>
      </c>
      <c r="LG54" s="24">
        <v>0</v>
      </c>
      <c r="LH54" s="24">
        <v>0</v>
      </c>
      <c r="LI54" s="24">
        <v>0</v>
      </c>
      <c r="LJ54" s="24">
        <v>0</v>
      </c>
      <c r="LK54" s="24">
        <v>0</v>
      </c>
      <c r="LL54" s="24">
        <v>0</v>
      </c>
      <c r="LM54" s="24">
        <v>0</v>
      </c>
      <c r="LN54" s="24">
        <v>0</v>
      </c>
      <c r="LO54" s="24">
        <v>0</v>
      </c>
      <c r="LP54" s="24">
        <v>0</v>
      </c>
      <c r="LQ54" s="24">
        <v>184891</v>
      </c>
      <c r="LR54" s="24">
        <v>9601</v>
      </c>
      <c r="LS54" s="24">
        <v>0</v>
      </c>
      <c r="LT54" s="24">
        <v>0</v>
      </c>
      <c r="LU54" s="24">
        <v>0</v>
      </c>
      <c r="LV54" s="24">
        <v>0</v>
      </c>
      <c r="LW54" s="24">
        <v>0</v>
      </c>
      <c r="LX54" s="24">
        <v>0</v>
      </c>
      <c r="LY54" s="24">
        <v>0</v>
      </c>
      <c r="LZ54" s="24">
        <v>0</v>
      </c>
      <c r="MA54" s="24">
        <v>0</v>
      </c>
      <c r="MB54" s="24">
        <v>0</v>
      </c>
      <c r="MC54" s="24">
        <v>0</v>
      </c>
      <c r="MD54" s="24">
        <v>0</v>
      </c>
      <c r="ME54" s="24">
        <v>0</v>
      </c>
      <c r="MF54" s="24">
        <v>0</v>
      </c>
      <c r="MG54" s="24">
        <v>12025</v>
      </c>
      <c r="MH54" s="24">
        <v>0</v>
      </c>
      <c r="MI54" s="24">
        <v>0</v>
      </c>
      <c r="MJ54" s="24">
        <v>0</v>
      </c>
      <c r="MK54" s="24">
        <v>0</v>
      </c>
      <c r="ML54" s="24">
        <v>0</v>
      </c>
      <c r="MM54" s="24">
        <v>0</v>
      </c>
      <c r="MN54" s="24">
        <v>0</v>
      </c>
      <c r="MO54" s="24">
        <v>4353</v>
      </c>
      <c r="MP54" s="24">
        <v>0</v>
      </c>
      <c r="MQ54" s="24">
        <v>0</v>
      </c>
      <c r="MR54" s="24">
        <v>167818</v>
      </c>
      <c r="MS54" s="24">
        <v>0</v>
      </c>
      <c r="MT54" s="24">
        <v>0</v>
      </c>
      <c r="MU54" s="24">
        <v>0</v>
      </c>
      <c r="MV54" s="24">
        <v>0</v>
      </c>
      <c r="MW54" s="24">
        <v>105789</v>
      </c>
      <c r="MX54" s="24">
        <v>5271</v>
      </c>
      <c r="MY54" s="24">
        <v>0</v>
      </c>
      <c r="MZ54" s="24">
        <v>0</v>
      </c>
      <c r="NA54" s="24">
        <v>0</v>
      </c>
      <c r="NB54" s="24">
        <v>0</v>
      </c>
      <c r="NC54" s="24">
        <v>0</v>
      </c>
      <c r="ND54" s="24">
        <v>0</v>
      </c>
      <c r="NE54" s="24">
        <v>0</v>
      </c>
      <c r="NF54" s="24">
        <v>0</v>
      </c>
      <c r="NG54" s="24">
        <v>0</v>
      </c>
      <c r="NH54" s="24">
        <v>0</v>
      </c>
      <c r="NI54" s="24">
        <v>0</v>
      </c>
      <c r="NJ54" s="24">
        <v>0</v>
      </c>
      <c r="NK54" s="24">
        <v>0</v>
      </c>
      <c r="NL54" s="24">
        <v>0</v>
      </c>
      <c r="NM54" s="24">
        <v>0</v>
      </c>
      <c r="NN54" s="24">
        <v>0</v>
      </c>
      <c r="NO54" s="24">
        <v>0</v>
      </c>
      <c r="NP54" s="24">
        <v>0</v>
      </c>
      <c r="NQ54" s="24">
        <v>0</v>
      </c>
      <c r="NR54" s="24">
        <v>0</v>
      </c>
      <c r="NS54" s="24">
        <v>0</v>
      </c>
      <c r="NT54" s="24">
        <v>0</v>
      </c>
      <c r="NU54" s="24">
        <v>0</v>
      </c>
      <c r="NV54" s="24">
        <v>31492</v>
      </c>
      <c r="NW54" s="24">
        <v>0</v>
      </c>
      <c r="NX54" s="24">
        <v>0</v>
      </c>
      <c r="NY54" s="24">
        <v>0</v>
      </c>
      <c r="NZ54" s="24">
        <v>0</v>
      </c>
      <c r="OA54" s="24">
        <v>0</v>
      </c>
      <c r="OB54" s="24">
        <v>0</v>
      </c>
      <c r="OC54" s="24">
        <v>0</v>
      </c>
      <c r="OD54" s="24">
        <v>0</v>
      </c>
      <c r="OE54" s="24">
        <v>0</v>
      </c>
      <c r="OF54" s="24">
        <v>0</v>
      </c>
      <c r="OG54" s="24">
        <v>0</v>
      </c>
      <c r="OH54" s="24">
        <v>0</v>
      </c>
      <c r="OI54" s="24">
        <v>0</v>
      </c>
      <c r="OJ54" s="24">
        <v>0</v>
      </c>
      <c r="OK54" s="24">
        <v>18430</v>
      </c>
      <c r="OL54" s="24">
        <v>0</v>
      </c>
      <c r="OM54" s="24">
        <v>0</v>
      </c>
      <c r="ON54" s="24">
        <v>0</v>
      </c>
      <c r="OO54" s="24">
        <v>0</v>
      </c>
      <c r="OP54" s="24">
        <v>0</v>
      </c>
      <c r="OQ54" s="24">
        <v>0</v>
      </c>
      <c r="OR54" s="24">
        <v>0</v>
      </c>
      <c r="OS54" s="24">
        <v>0</v>
      </c>
      <c r="OT54" s="24">
        <v>0</v>
      </c>
      <c r="OU54" s="24">
        <v>0</v>
      </c>
      <c r="OV54" s="24">
        <v>0</v>
      </c>
      <c r="OW54" s="24">
        <v>0</v>
      </c>
      <c r="OX54" s="24">
        <v>0</v>
      </c>
      <c r="OY54" s="24">
        <v>0</v>
      </c>
      <c r="OZ54" s="24">
        <v>0</v>
      </c>
      <c r="PA54" s="24">
        <v>0</v>
      </c>
      <c r="PB54" s="24">
        <v>0</v>
      </c>
      <c r="PC54" s="24">
        <v>0</v>
      </c>
      <c r="PD54" s="24">
        <v>0</v>
      </c>
      <c r="PE54" s="24">
        <v>0</v>
      </c>
      <c r="PF54" s="24">
        <v>0</v>
      </c>
      <c r="PG54" s="24">
        <v>0</v>
      </c>
      <c r="PH54" s="24">
        <v>0</v>
      </c>
      <c r="PI54" s="24">
        <v>0</v>
      </c>
      <c r="PJ54" s="24">
        <v>0</v>
      </c>
      <c r="PK54" s="24">
        <v>0</v>
      </c>
      <c r="PL54" s="24">
        <v>0</v>
      </c>
      <c r="PM54" s="24">
        <v>0</v>
      </c>
      <c r="PN54" s="24">
        <v>0</v>
      </c>
      <c r="PO54" s="24">
        <v>0</v>
      </c>
      <c r="PP54" s="24">
        <v>0</v>
      </c>
      <c r="PQ54" s="24">
        <v>0</v>
      </c>
      <c r="PR54" s="24">
        <v>0</v>
      </c>
      <c r="PS54" s="24">
        <v>0</v>
      </c>
      <c r="PT54" s="24">
        <v>0</v>
      </c>
      <c r="PU54" s="24">
        <v>0</v>
      </c>
      <c r="PV54" s="24">
        <v>0</v>
      </c>
      <c r="PW54" s="24">
        <v>5000</v>
      </c>
      <c r="PX54" s="24">
        <v>0</v>
      </c>
      <c r="PY54" s="24">
        <v>0</v>
      </c>
      <c r="PZ54" s="24">
        <v>0</v>
      </c>
      <c r="QA54" s="24">
        <v>0</v>
      </c>
      <c r="QB54" s="24">
        <v>0</v>
      </c>
      <c r="QC54" s="24">
        <v>0</v>
      </c>
      <c r="QD54" s="24">
        <v>0</v>
      </c>
      <c r="QE54" s="24">
        <v>0</v>
      </c>
      <c r="QF54" s="24">
        <v>0</v>
      </c>
      <c r="QG54" s="24">
        <v>0</v>
      </c>
      <c r="QH54" s="24">
        <v>0</v>
      </c>
      <c r="QI54" s="24">
        <v>0</v>
      </c>
      <c r="QJ54" s="24">
        <v>0</v>
      </c>
      <c r="QK54" s="24">
        <v>0</v>
      </c>
      <c r="QL54" s="24">
        <v>0</v>
      </c>
      <c r="QM54" s="24">
        <v>0</v>
      </c>
      <c r="QN54" s="24">
        <v>0</v>
      </c>
      <c r="QO54" s="24">
        <v>0</v>
      </c>
      <c r="QP54" s="24">
        <v>0</v>
      </c>
      <c r="QQ54" s="24">
        <v>0</v>
      </c>
      <c r="QR54" s="24">
        <v>0</v>
      </c>
      <c r="QS54" s="24">
        <v>0</v>
      </c>
      <c r="QT54" s="24">
        <v>0</v>
      </c>
      <c r="QU54" s="24">
        <v>0</v>
      </c>
      <c r="QV54" s="24">
        <v>67377</v>
      </c>
      <c r="QW54" s="24">
        <v>34036</v>
      </c>
      <c r="QX54" s="24">
        <v>0</v>
      </c>
      <c r="QY54" s="24">
        <v>0</v>
      </c>
      <c r="QZ54" s="24">
        <v>0</v>
      </c>
      <c r="RA54" s="24">
        <v>0</v>
      </c>
      <c r="RB54" s="24">
        <v>0</v>
      </c>
      <c r="RG54" s="39">
        <f t="shared" si="126"/>
        <v>2045912</v>
      </c>
      <c r="RH54" s="39">
        <f t="shared" si="126"/>
        <v>175160</v>
      </c>
      <c r="RI54" s="39">
        <f t="shared" si="126"/>
        <v>0</v>
      </c>
      <c r="RJ54" s="39">
        <f t="shared" si="126"/>
        <v>0</v>
      </c>
      <c r="RK54" s="39">
        <f t="shared" si="126"/>
        <v>0</v>
      </c>
      <c r="RL54" s="39">
        <f t="shared" si="126"/>
        <v>272796</v>
      </c>
      <c r="RM54" s="39">
        <f t="shared" si="126"/>
        <v>173761</v>
      </c>
      <c r="RN54" s="39">
        <f t="shared" si="126"/>
        <v>2504</v>
      </c>
      <c r="RO54" s="39">
        <f t="shared" si="126"/>
        <v>22901</v>
      </c>
      <c r="RP54" s="39">
        <f t="shared" si="126"/>
        <v>19991</v>
      </c>
      <c r="RQ54" s="39">
        <f t="shared" si="126"/>
        <v>0</v>
      </c>
      <c r="RR54" s="39">
        <f t="shared" si="126"/>
        <v>0</v>
      </c>
      <c r="RS54" s="39"/>
      <c r="RT54" s="182"/>
      <c r="RU54" s="39"/>
      <c r="RV54" s="39">
        <f t="shared" si="127"/>
        <v>568544</v>
      </c>
      <c r="RW54" s="39">
        <f t="shared" si="127"/>
        <v>2713025</v>
      </c>
      <c r="RX54" s="39">
        <f t="shared" si="127"/>
        <v>820132</v>
      </c>
      <c r="RY54" s="39">
        <f t="shared" si="127"/>
        <v>106413</v>
      </c>
      <c r="RZ54" s="39"/>
      <c r="SA54" s="182"/>
      <c r="SB54" s="39"/>
      <c r="SC54" s="25">
        <f t="shared" si="50"/>
        <v>2119.2041343669252</v>
      </c>
      <c r="SD54" s="39">
        <f>IFERROR(VLOOKUP(A54, 'Levy Data 15-16'!$B:$O, 3, FALSE), 0)</f>
        <v>265934820</v>
      </c>
      <c r="SE54" s="39">
        <f t="shared" si="88"/>
        <v>687170.07751937979</v>
      </c>
      <c r="SF54" s="631">
        <f>IFERROR(VLOOKUP(A54, 'Levy Data 15-16'!$B:$O, 14, FALSE), 0)*1000</f>
        <v>1.326441</v>
      </c>
      <c r="SG54" s="39">
        <f t="shared" si="89"/>
        <v>0</v>
      </c>
      <c r="SH54" s="39">
        <f t="shared" si="90"/>
        <v>0</v>
      </c>
      <c r="SI54" s="39">
        <f t="shared" si="91"/>
        <v>820132</v>
      </c>
      <c r="SM54" s="39">
        <f t="shared" si="92"/>
        <v>2713025</v>
      </c>
      <c r="SN54" s="39">
        <f t="shared" si="93"/>
        <v>0</v>
      </c>
      <c r="SO54" s="39">
        <f t="shared" si="51"/>
        <v>2713025</v>
      </c>
      <c r="SP54" s="50">
        <f t="shared" si="52"/>
        <v>1</v>
      </c>
      <c r="ST54" s="124">
        <f>IFERROR(VLOOKUP(A54,'Grade Enroll 15-16'!B:AC,27,FALSE),"")</f>
        <v>387</v>
      </c>
      <c r="SU54" s="124">
        <f t="shared" si="53"/>
        <v>261</v>
      </c>
      <c r="SV54" s="131">
        <f>IFERROR(VLOOKUP($A54, 'Title I Enroll 16-17'!S:V, 4, FALSE), 0)</f>
        <v>0.67441860465116277</v>
      </c>
      <c r="SW54" s="729">
        <f>IFERROR(VLOOKUP(A54, 'ELL Enroll 15-16'!$N:$S, 6, FALSE), 0)</f>
        <v>130</v>
      </c>
      <c r="SX54" s="131">
        <f t="shared" si="54"/>
        <v>0.33591731266149871</v>
      </c>
      <c r="SY54" s="124">
        <f>IFERROR(VLOOKUP(A54, 'SPED enroll 2015-16'!$M:$O, 3, FALSE), 0)</f>
        <v>61</v>
      </c>
      <c r="SZ54" s="131">
        <f t="shared" si="55"/>
        <v>0.15762273901808785</v>
      </c>
      <c r="TA54" s="142">
        <f t="shared" si="87"/>
        <v>42.699999999999996</v>
      </c>
      <c r="TB54" s="142">
        <f t="shared" si="87"/>
        <v>12.200000000000001</v>
      </c>
      <c r="TC54" s="142">
        <f t="shared" si="87"/>
        <v>4.2700000000000005</v>
      </c>
      <c r="TD54" s="142">
        <f t="shared" si="87"/>
        <v>1.8299999999999998</v>
      </c>
      <c r="TE54" s="124">
        <f>VLOOKUP($A54, 'Grade Enroll 15-16'!$B:$AB, 20, FALSE)</f>
        <v>15</v>
      </c>
      <c r="TF54" s="124">
        <f>VLOOKUP($A54, 'Grade Enroll 15-16'!$B:$AB, 21, FALSE)</f>
        <v>24</v>
      </c>
      <c r="TG54" s="124">
        <f>VLOOKUP($A54, 'Grade Enroll 15-16'!$B:$AB, 22, FALSE)</f>
        <v>100</v>
      </c>
      <c r="TH54" s="124">
        <f>VLOOKUP($A54, 'Grade Enroll 15-16'!$B:$AB, 23, FALSE)</f>
        <v>104</v>
      </c>
      <c r="TI54" s="124">
        <f>VLOOKUP($A54, 'Grade Enroll 15-16'!$B:$AB, 24, FALSE)</f>
        <v>61</v>
      </c>
      <c r="TJ54" s="124">
        <f>VLOOKUP($A54, 'Grade Enroll 15-16'!$B:$AB, 25, FALSE)</f>
        <v>122</v>
      </c>
      <c r="TK54" s="124">
        <f>VLOOKUP($A54, 'Grade Enroll 15-16'!$B:$AB, 26, FALSE)</f>
        <v>260</v>
      </c>
      <c r="TL54" s="131">
        <f>SUMIFS('Student Achievement 15-16'!N:N, 'Student Achievement 15-16'!B:B, 'Idaho Data'!A54, 'Student Achievement 15-16'!D:D, "math")/100</f>
        <v>0.45200000000000001</v>
      </c>
      <c r="TM54" s="134">
        <f t="shared" si="57"/>
        <v>174.92400000000001</v>
      </c>
      <c r="TN54" s="131">
        <f>SUMIFS('Student Achievement 15-16'!N:N, 'Student Achievement 15-16'!B:B, 'Idaho Data'!A54, 'Student Achievement 15-16'!D:D, "ela")/100</f>
        <v>0.309</v>
      </c>
      <c r="TO54" s="134">
        <f t="shared" si="58"/>
        <v>119.583</v>
      </c>
      <c r="TP54" s="688">
        <f>IFERROR(VLOOKUP(A54, 'G&amp;T 15-16'!B:G, 6, FALSE), 0)*1</f>
        <v>5</v>
      </c>
      <c r="TQ54" s="168">
        <f t="shared" si="59"/>
        <v>23.22</v>
      </c>
      <c r="TU54" s="168">
        <f t="shared" si="60"/>
        <v>119.583</v>
      </c>
      <c r="TV54" s="168">
        <f t="shared" si="61"/>
        <v>174.92400000000001</v>
      </c>
      <c r="TW54" s="205">
        <f t="shared" si="62"/>
        <v>174.92400000000001</v>
      </c>
      <c r="TX54" s="144"/>
      <c r="TY54" s="129"/>
      <c r="TZ54" s="127">
        <f t="shared" si="63"/>
        <v>5</v>
      </c>
      <c r="UA54" s="127">
        <f t="shared" si="64"/>
        <v>23.22</v>
      </c>
      <c r="UB54" s="205">
        <f t="shared" si="65"/>
        <v>23.22</v>
      </c>
      <c r="UE54" s="853" t="str">
        <f>IF(ST54&lt;='1. Simulator Input'!$E$104, "yes", "")</f>
        <v/>
      </c>
      <c r="UI54" s="199">
        <f t="shared" si="66"/>
        <v>0</v>
      </c>
      <c r="UJ54" s="200">
        <f>IF('Idaho Data'!SI54&gt;=0, ((1-'1. Simulator Input'!$E$39)*'Idaho Data'!SI54), 0)</f>
        <v>0</v>
      </c>
      <c r="UK54" s="200">
        <f t="shared" si="67"/>
        <v>2713025</v>
      </c>
      <c r="UL54" s="39"/>
      <c r="UM54" s="182"/>
      <c r="UN54" s="39"/>
      <c r="UO54" s="39" t="str">
        <f>IF(AND('1. Simulator Input'!$E$96="yes", '1. Simulator Input'!$E$98="yes", '1. Simulator Input'!$E$100="hold harmless"), 'Idaho Data'!WN54, IF(AND('1. Simulator Input'!$E$96="yes", '1. Simulator Input'!$E$98="no", '1. Simulator Input'!$E$100="hold harmless"), 'Idaho Data'!WM54, IF(AND('1. Simulator Input'!$E$96="yes", '1. Simulator Input'!$E$98="yes", '1. Simulator Input'!$E$100="small district grant"), WL54,IF(AND('1. Simulator Input'!$E$96="yes", '1. Simulator Input'!$E$98="no", '1. Simulator Input'!$E$100="small district grant"), WK54, ""))))</f>
        <v/>
      </c>
      <c r="UP54" s="200">
        <f>'1. Simulator Input'!$D$56*('Idaho Data'!ST54)</f>
        <v>2138562</v>
      </c>
      <c r="UQ54" s="204">
        <f>'1. Simulator Input'!$D$65*'1. Simulator Input'!$D$56*'Idaho Data'!SU54</f>
        <v>0</v>
      </c>
      <c r="UR54" s="204">
        <f>'1. Simulator Input'!$D$66*'1. Simulator Input'!$D$56*'Idaho Data'!SW54</f>
        <v>0</v>
      </c>
      <c r="US54" s="200">
        <f>'1. Simulator Input'!$D$67*'1. Simulator Input'!$D$56*'Idaho Data'!TA54</f>
        <v>0</v>
      </c>
      <c r="UT54" s="200">
        <f>'1. Simulator Input'!$D$68*'1. Simulator Input'!$D$56*'Idaho Data'!TB54</f>
        <v>0</v>
      </c>
      <c r="UU54" s="200">
        <f>'1. Simulator Input'!$D$69*'1. Simulator Input'!$D$56*'Idaho Data'!TC54</f>
        <v>0</v>
      </c>
      <c r="UV54" s="200">
        <f>'1. Simulator Input'!$D$70*'1. Simulator Input'!$D$56*TD54</f>
        <v>0</v>
      </c>
      <c r="UW54" s="200">
        <f>'1. Simulator Input'!$D$80*'1. Simulator Input'!$D$56*TW54</f>
        <v>0</v>
      </c>
      <c r="UX54" s="200">
        <f>'1. Simulator Input'!$D$79*'1. Simulator Input'!$D$56*UB54</f>
        <v>0</v>
      </c>
      <c r="UY54" s="200">
        <f>'1. Simulator Input'!$D$87*'1. Simulator Input'!$D$56*TF54</f>
        <v>66312</v>
      </c>
      <c r="UZ54" s="200">
        <f>'1. Simulator Input'!$D$73*'1. Simulator Input'!$D$56*'Idaho Data'!TG54</f>
        <v>0</v>
      </c>
      <c r="VA54" s="200">
        <f>'1. Simulator Input'!$D$56*'1. Simulator Input'!$D$74*'Idaho Data'!TH54</f>
        <v>0</v>
      </c>
      <c r="VB54" s="200">
        <f>'1. Simulator Input'!$D$56*'1. Simulator Input'!$D$75*'Idaho Data'!TI49</f>
        <v>0</v>
      </c>
      <c r="VC54" s="200">
        <f>'1. Simulator Input'!$D$76*'1. Simulator Input'!$D$56*'Idaho Data'!TJ54</f>
        <v>0</v>
      </c>
      <c r="VD54" s="200">
        <f t="shared" si="68"/>
        <v>2204874</v>
      </c>
      <c r="VE54" s="200"/>
      <c r="VF54" s="182"/>
      <c r="VG54" s="200"/>
      <c r="VH54" s="200">
        <f t="shared" si="69"/>
        <v>0</v>
      </c>
      <c r="VI54" s="200">
        <f t="shared" si="70"/>
        <v>0</v>
      </c>
      <c r="VJ54" s="200">
        <f t="shared" si="94"/>
        <v>2204874</v>
      </c>
      <c r="VK54" s="200">
        <f t="shared" si="95"/>
        <v>2204874</v>
      </c>
      <c r="VL54" s="200"/>
      <c r="VM54" s="182"/>
      <c r="VN54" s="200"/>
      <c r="VO54" s="200">
        <f t="shared" si="71"/>
        <v>568544</v>
      </c>
      <c r="VP54" s="200">
        <f t="shared" si="72"/>
        <v>2713025</v>
      </c>
      <c r="VQ54" s="200">
        <f t="shared" si="73"/>
        <v>820132</v>
      </c>
      <c r="VR54" s="200">
        <f t="shared" si="74"/>
        <v>568544</v>
      </c>
      <c r="VS54" s="200">
        <f t="shared" si="96"/>
        <v>2204874</v>
      </c>
      <c r="VT54" s="200">
        <f t="shared" si="97"/>
        <v>820132</v>
      </c>
      <c r="VU54" s="200">
        <f t="shared" si="98"/>
        <v>0</v>
      </c>
      <c r="VV54" s="200"/>
      <c r="VW54" s="182"/>
      <c r="VX54" s="200"/>
      <c r="VZ54" s="199">
        <f t="shared" si="75"/>
        <v>-508151</v>
      </c>
      <c r="WA54" s="199">
        <f t="shared" si="76"/>
        <v>-1313.0516795865633</v>
      </c>
      <c r="WB54" s="131">
        <f t="shared" si="77"/>
        <v>-0.18730052247952009</v>
      </c>
      <c r="WC54" s="131"/>
      <c r="WD54" s="461"/>
      <c r="WE54" s="893"/>
      <c r="WF54" s="893">
        <f t="shared" si="78"/>
        <v>10598.710594315246</v>
      </c>
      <c r="WG54" s="893">
        <f t="shared" si="79"/>
        <v>9285.6589147286813</v>
      </c>
      <c r="WH54" s="893"/>
      <c r="WI54" s="893">
        <f t="shared" si="80"/>
        <v>2713025</v>
      </c>
      <c r="WJ54" s="893">
        <f t="shared" si="99"/>
        <v>2204874</v>
      </c>
      <c r="WK54" s="39" t="str">
        <f t="shared" si="100"/>
        <v/>
      </c>
      <c r="WL54" s="39" t="str">
        <f t="shared" si="101"/>
        <v/>
      </c>
      <c r="WM54" s="200" t="str">
        <f t="shared" si="102"/>
        <v/>
      </c>
      <c r="WN54" s="39" t="str">
        <f t="shared" si="103"/>
        <v/>
      </c>
      <c r="WO54" s="39"/>
      <c r="WP54" s="182"/>
      <c r="WQ54" s="39"/>
      <c r="WR54" s="305">
        <f t="shared" si="104"/>
        <v>0.65700000000000003</v>
      </c>
      <c r="WT54" s="200">
        <f t="shared" si="105"/>
        <v>7010.4005167958658</v>
      </c>
      <c r="WU54" s="131">
        <f t="shared" si="81"/>
        <v>0.6</v>
      </c>
      <c r="WW54" s="199">
        <f t="shared" si="106"/>
        <v>568544</v>
      </c>
      <c r="WX54" s="199">
        <f t="shared" si="107"/>
        <v>2204874</v>
      </c>
      <c r="WY54" s="199">
        <f t="shared" si="108"/>
        <v>0</v>
      </c>
      <c r="WZ54" s="199">
        <f t="shared" si="82"/>
        <v>2204874</v>
      </c>
      <c r="XA54" s="199">
        <f t="shared" si="109"/>
        <v>0</v>
      </c>
      <c r="XB54" s="199">
        <f t="shared" si="110"/>
        <v>820132</v>
      </c>
      <c r="XC54" s="199">
        <f t="shared" si="111"/>
        <v>820132</v>
      </c>
      <c r="XD54" s="199" t="str">
        <f t="shared" si="112"/>
        <v/>
      </c>
      <c r="XE54" s="199"/>
      <c r="XF54" s="199"/>
      <c r="XG54" s="199"/>
      <c r="XH54" s="199"/>
      <c r="XI54" s="199"/>
      <c r="XJ54" s="199">
        <f t="shared" si="83"/>
        <v>2204874</v>
      </c>
      <c r="XP54" s="199">
        <f t="shared" si="113"/>
        <v>2204874</v>
      </c>
      <c r="XQ54" s="199">
        <f t="shared" si="114"/>
        <v>5697.3488372093025</v>
      </c>
      <c r="XR54" s="199">
        <f t="shared" si="115"/>
        <v>2204874</v>
      </c>
      <c r="XS54" s="199">
        <f t="shared" si="116"/>
        <v>2204874</v>
      </c>
      <c r="XT54" s="199">
        <f t="shared" si="117"/>
        <v>5697.3488372093025</v>
      </c>
      <c r="XU54" s="199">
        <f t="shared" si="118"/>
        <v>2713025</v>
      </c>
      <c r="XV54" s="199">
        <f t="shared" si="119"/>
        <v>7010.4005167958658</v>
      </c>
      <c r="XW54" s="199">
        <f t="shared" si="120"/>
        <v>2713025</v>
      </c>
      <c r="XX54" s="199">
        <f t="shared" si="121"/>
        <v>7010.4005167958658</v>
      </c>
      <c r="XY54" s="199">
        <f t="shared" si="84"/>
        <v>-508151</v>
      </c>
      <c r="XZ54" s="199">
        <f t="shared" si="85"/>
        <v>-1313.0516795865633</v>
      </c>
      <c r="YA54" s="131">
        <f t="shared" si="86"/>
        <v>-0.18730052247952009</v>
      </c>
      <c r="YB54" s="199"/>
      <c r="YC54" s="221"/>
      <c r="YD54" s="199"/>
      <c r="YE54" s="199">
        <f t="shared" si="122"/>
        <v>568544</v>
      </c>
      <c r="YF54" s="200">
        <f t="shared" si="123"/>
        <v>0</v>
      </c>
      <c r="YG54" s="199">
        <f t="shared" si="124"/>
        <v>820132</v>
      </c>
      <c r="YH54" s="199">
        <f t="shared" si="125"/>
        <v>106413</v>
      </c>
    </row>
    <row r="55" spans="1:658">
      <c r="A55" s="3">
        <v>193</v>
      </c>
      <c r="B55" s="2" t="s">
        <v>148</v>
      </c>
      <c r="C55" s="24">
        <v>2553741</v>
      </c>
      <c r="D55" s="24">
        <v>0</v>
      </c>
      <c r="E55" s="24">
        <v>0</v>
      </c>
      <c r="F55" s="24">
        <v>0</v>
      </c>
      <c r="G55" s="24">
        <v>0</v>
      </c>
      <c r="H55" s="24">
        <v>0</v>
      </c>
      <c r="I55" s="24">
        <v>11891</v>
      </c>
      <c r="J55" s="24">
        <v>19549</v>
      </c>
      <c r="K55" s="24">
        <v>0</v>
      </c>
      <c r="L55" s="24">
        <v>0</v>
      </c>
      <c r="M55" s="24">
        <v>0</v>
      </c>
      <c r="N55" s="24">
        <v>0</v>
      </c>
      <c r="O55" s="24">
        <v>0</v>
      </c>
      <c r="P55" s="24">
        <v>0</v>
      </c>
      <c r="Q55" s="24">
        <v>0</v>
      </c>
      <c r="R55" s="24">
        <v>0</v>
      </c>
      <c r="S55" s="24">
        <v>0</v>
      </c>
      <c r="T55" s="24">
        <v>979650</v>
      </c>
      <c r="U55" s="24">
        <v>0</v>
      </c>
      <c r="V55" s="24">
        <v>0</v>
      </c>
      <c r="W55" s="24">
        <v>0</v>
      </c>
      <c r="X55" s="24">
        <v>11412</v>
      </c>
      <c r="Y55" s="24">
        <v>0</v>
      </c>
      <c r="Z55" s="24">
        <v>0</v>
      </c>
      <c r="AA55" s="24">
        <v>0</v>
      </c>
      <c r="AB55" s="24">
        <v>0</v>
      </c>
      <c r="AC55" s="24">
        <v>0</v>
      </c>
      <c r="AD55" s="24">
        <v>0</v>
      </c>
      <c r="AE55" s="24">
        <v>0</v>
      </c>
      <c r="AF55" s="24">
        <v>0</v>
      </c>
      <c r="AG55" s="24">
        <v>0</v>
      </c>
      <c r="AH55" s="24">
        <v>0</v>
      </c>
      <c r="AI55" s="24">
        <v>0</v>
      </c>
      <c r="AJ55" s="24">
        <v>0</v>
      </c>
      <c r="AK55" s="24">
        <v>0</v>
      </c>
      <c r="AL55" s="24">
        <v>17584</v>
      </c>
      <c r="AM55" s="24">
        <v>0</v>
      </c>
      <c r="AN55" s="24">
        <v>0</v>
      </c>
      <c r="AO55" s="24">
        <v>0</v>
      </c>
      <c r="AP55" s="24">
        <v>0</v>
      </c>
      <c r="AQ55" s="24">
        <v>0</v>
      </c>
      <c r="AR55" s="24">
        <v>0</v>
      </c>
      <c r="AS55" s="24">
        <v>0</v>
      </c>
      <c r="AT55" s="24">
        <v>0</v>
      </c>
      <c r="AU55" s="24">
        <v>0</v>
      </c>
      <c r="AV55" s="24">
        <v>0</v>
      </c>
      <c r="AW55" s="24">
        <v>0</v>
      </c>
      <c r="AX55" s="24">
        <v>0</v>
      </c>
      <c r="AY55" s="24">
        <v>0</v>
      </c>
      <c r="AZ55" s="24">
        <v>0</v>
      </c>
      <c r="BA55" s="24">
        <v>0</v>
      </c>
      <c r="BB55" s="24">
        <v>0</v>
      </c>
      <c r="BC55" s="24">
        <v>0</v>
      </c>
      <c r="BD55" s="24">
        <v>1116</v>
      </c>
      <c r="BE55" s="24">
        <v>0</v>
      </c>
      <c r="BF55" s="24">
        <v>0</v>
      </c>
      <c r="BG55" s="24">
        <v>0</v>
      </c>
      <c r="BH55" s="24">
        <v>0</v>
      </c>
      <c r="BI55" s="24">
        <v>0</v>
      </c>
      <c r="BJ55" s="24">
        <v>0</v>
      </c>
      <c r="BK55" s="24">
        <v>0</v>
      </c>
      <c r="BL55" s="24">
        <v>0</v>
      </c>
      <c r="BM55" s="24">
        <v>0</v>
      </c>
      <c r="BN55" s="24">
        <v>0</v>
      </c>
      <c r="BO55" s="24">
        <v>0</v>
      </c>
      <c r="BP55" s="24">
        <v>0</v>
      </c>
      <c r="BQ55" s="24">
        <v>0</v>
      </c>
      <c r="BR55" s="24">
        <v>0</v>
      </c>
      <c r="BS55" s="24">
        <v>0</v>
      </c>
      <c r="BT55" s="24">
        <v>0</v>
      </c>
      <c r="BU55" s="24">
        <v>0</v>
      </c>
      <c r="BV55" s="24">
        <v>0</v>
      </c>
      <c r="BW55" s="24">
        <v>0</v>
      </c>
      <c r="BX55" s="24">
        <v>0</v>
      </c>
      <c r="BY55" s="24">
        <v>0</v>
      </c>
      <c r="BZ55" s="24">
        <v>0</v>
      </c>
      <c r="CA55" s="24">
        <v>0</v>
      </c>
      <c r="CB55" s="24">
        <v>0</v>
      </c>
      <c r="CC55" s="24">
        <v>0</v>
      </c>
      <c r="CD55" s="24">
        <v>244324</v>
      </c>
      <c r="CE55" s="24">
        <v>62629</v>
      </c>
      <c r="CF55" s="24">
        <v>0</v>
      </c>
      <c r="CG55" s="24">
        <v>11828</v>
      </c>
      <c r="CH55" s="24">
        <v>0</v>
      </c>
      <c r="CI55" s="24">
        <v>0</v>
      </c>
      <c r="CJ55" s="24">
        <v>0</v>
      </c>
      <c r="CK55" s="24">
        <v>0</v>
      </c>
      <c r="CL55" s="24">
        <v>0</v>
      </c>
      <c r="CM55" s="24">
        <v>0</v>
      </c>
      <c r="CN55" s="24">
        <v>0</v>
      </c>
      <c r="CO55" s="24">
        <v>0</v>
      </c>
      <c r="CP55" s="24">
        <v>0</v>
      </c>
      <c r="CQ55" s="24">
        <v>0</v>
      </c>
      <c r="CR55" s="24">
        <v>0</v>
      </c>
      <c r="CS55" s="24">
        <v>24539</v>
      </c>
      <c r="CT55" s="24">
        <v>0</v>
      </c>
      <c r="CU55" s="24">
        <v>0</v>
      </c>
      <c r="CV55" s="24">
        <v>0</v>
      </c>
      <c r="CW55" s="24">
        <v>0</v>
      </c>
      <c r="CX55" s="24">
        <v>0</v>
      </c>
      <c r="CY55" s="24">
        <v>0</v>
      </c>
      <c r="CZ55" s="24">
        <v>0</v>
      </c>
      <c r="DA55" s="24">
        <v>0</v>
      </c>
      <c r="DB55" s="24">
        <v>25364</v>
      </c>
      <c r="DC55" s="24">
        <v>0</v>
      </c>
      <c r="DD55" s="24">
        <v>0</v>
      </c>
      <c r="DE55" s="24">
        <v>0</v>
      </c>
      <c r="DF55" s="24">
        <v>0</v>
      </c>
      <c r="DG55" s="24">
        <v>0</v>
      </c>
      <c r="DH55" s="24">
        <v>0</v>
      </c>
      <c r="DI55" s="24">
        <v>0</v>
      </c>
      <c r="DJ55" s="24">
        <v>0</v>
      </c>
      <c r="DK55" s="24">
        <v>0</v>
      </c>
      <c r="DL55" s="24">
        <v>0</v>
      </c>
      <c r="DM55" s="24">
        <v>0</v>
      </c>
      <c r="DN55" s="24">
        <v>0</v>
      </c>
      <c r="DO55" s="24">
        <v>0</v>
      </c>
      <c r="DP55" s="24">
        <v>0</v>
      </c>
      <c r="DQ55" s="24">
        <v>0</v>
      </c>
      <c r="DR55" s="24">
        <v>0</v>
      </c>
      <c r="DS55" s="24">
        <v>0</v>
      </c>
      <c r="DT55" s="24">
        <v>0</v>
      </c>
      <c r="DU55" s="24">
        <v>10</v>
      </c>
      <c r="DV55" s="24">
        <v>0</v>
      </c>
      <c r="DW55" s="24">
        <v>0</v>
      </c>
      <c r="DX55" s="24">
        <v>0</v>
      </c>
      <c r="DY55" s="24">
        <v>0</v>
      </c>
      <c r="DZ55" s="24">
        <v>0</v>
      </c>
      <c r="EA55" s="24">
        <v>0</v>
      </c>
      <c r="EB55" s="24">
        <v>0</v>
      </c>
      <c r="EC55" s="24">
        <v>0</v>
      </c>
      <c r="ED55" s="24">
        <v>0</v>
      </c>
      <c r="EE55" s="24">
        <v>0</v>
      </c>
      <c r="EF55" s="24">
        <v>0</v>
      </c>
      <c r="EG55" s="24">
        <v>0</v>
      </c>
      <c r="EH55" s="24">
        <v>0</v>
      </c>
      <c r="EI55" s="24">
        <v>0</v>
      </c>
      <c r="EJ55" s="24">
        <v>0</v>
      </c>
      <c r="EK55" s="24">
        <v>0</v>
      </c>
      <c r="EL55" s="24">
        <v>0</v>
      </c>
      <c r="EM55" s="24">
        <v>0</v>
      </c>
      <c r="EN55" s="24">
        <v>0</v>
      </c>
      <c r="EO55" s="24">
        <v>0</v>
      </c>
      <c r="EP55" s="24">
        <v>0</v>
      </c>
      <c r="EQ55" s="24">
        <v>0</v>
      </c>
      <c r="ER55" s="24">
        <v>0</v>
      </c>
      <c r="ES55" s="24">
        <v>0</v>
      </c>
      <c r="ET55" s="24">
        <v>0</v>
      </c>
      <c r="EU55" s="24">
        <v>0</v>
      </c>
      <c r="EV55" s="24">
        <v>0</v>
      </c>
      <c r="EW55" s="24">
        <v>0</v>
      </c>
      <c r="EX55" s="24">
        <v>0</v>
      </c>
      <c r="EY55" s="24">
        <v>0</v>
      </c>
      <c r="EZ55" s="24">
        <v>0</v>
      </c>
      <c r="FA55" s="24">
        <v>0</v>
      </c>
      <c r="FB55" s="24">
        <v>0</v>
      </c>
      <c r="FC55" s="24">
        <v>0</v>
      </c>
      <c r="FD55" s="24">
        <v>0</v>
      </c>
      <c r="FE55" s="24">
        <v>0</v>
      </c>
      <c r="FF55" s="24">
        <v>0</v>
      </c>
      <c r="FG55" s="24">
        <v>0</v>
      </c>
      <c r="FH55" s="24">
        <v>0</v>
      </c>
      <c r="FI55" s="24">
        <v>0</v>
      </c>
      <c r="FJ55" s="24">
        <v>0</v>
      </c>
      <c r="FK55" s="24">
        <v>0</v>
      </c>
      <c r="FL55" s="24">
        <v>17833</v>
      </c>
      <c r="FM55" s="24">
        <v>0</v>
      </c>
      <c r="FN55" s="24">
        <v>0</v>
      </c>
      <c r="FO55" s="24">
        <v>0</v>
      </c>
      <c r="FP55" s="24">
        <v>0</v>
      </c>
      <c r="FQ55" s="24">
        <v>0</v>
      </c>
      <c r="FR55" s="24">
        <v>0</v>
      </c>
      <c r="FS55" s="24">
        <v>9123</v>
      </c>
      <c r="FT55" s="24">
        <v>0</v>
      </c>
      <c r="FU55" s="24">
        <v>0</v>
      </c>
      <c r="FV55" s="24">
        <v>0</v>
      </c>
      <c r="FW55" s="24">
        <v>0</v>
      </c>
      <c r="FX55" s="24">
        <v>0</v>
      </c>
      <c r="FY55" s="24">
        <v>0</v>
      </c>
      <c r="FZ55" s="24">
        <v>0</v>
      </c>
      <c r="GA55" s="24">
        <v>0</v>
      </c>
      <c r="GB55" s="24">
        <v>0</v>
      </c>
      <c r="GC55" s="24">
        <v>0</v>
      </c>
      <c r="GD55" s="24">
        <v>0</v>
      </c>
      <c r="GE55" s="24">
        <v>0</v>
      </c>
      <c r="GF55" s="24">
        <v>0</v>
      </c>
      <c r="GG55" s="24">
        <v>0</v>
      </c>
      <c r="GH55" s="24">
        <v>0</v>
      </c>
      <c r="GI55" s="24">
        <v>0</v>
      </c>
      <c r="GJ55" s="24">
        <v>0</v>
      </c>
      <c r="GK55" s="24">
        <v>0</v>
      </c>
      <c r="GL55" s="24">
        <v>0</v>
      </c>
      <c r="GM55" s="24">
        <v>0</v>
      </c>
      <c r="GN55" s="24">
        <v>0</v>
      </c>
      <c r="GO55" s="24">
        <v>0</v>
      </c>
      <c r="GP55" s="24">
        <v>0</v>
      </c>
      <c r="GQ55" s="24">
        <v>0</v>
      </c>
      <c r="GR55" s="24">
        <v>0</v>
      </c>
      <c r="GS55" s="24">
        <v>0</v>
      </c>
      <c r="GT55" s="24">
        <v>0</v>
      </c>
      <c r="GU55" s="24">
        <v>0</v>
      </c>
      <c r="GV55" s="24">
        <v>0</v>
      </c>
      <c r="GW55" s="24">
        <v>0</v>
      </c>
      <c r="GX55" s="24">
        <v>0</v>
      </c>
      <c r="GY55" s="24">
        <v>0</v>
      </c>
      <c r="GZ55" s="24">
        <v>0</v>
      </c>
      <c r="HA55" s="24">
        <v>0</v>
      </c>
      <c r="HB55" s="24">
        <v>0</v>
      </c>
      <c r="HC55" s="24">
        <v>0</v>
      </c>
      <c r="HD55" s="24">
        <v>16505522</v>
      </c>
      <c r="HE55" s="24">
        <v>0</v>
      </c>
      <c r="HF55" s="24">
        <v>0</v>
      </c>
      <c r="HG55" s="24">
        <v>0</v>
      </c>
      <c r="HH55" s="24">
        <v>0</v>
      </c>
      <c r="HI55" s="24">
        <v>891257</v>
      </c>
      <c r="HJ55" s="24">
        <v>0</v>
      </c>
      <c r="HK55" s="24">
        <v>0</v>
      </c>
      <c r="HL55" s="24">
        <v>0</v>
      </c>
      <c r="HM55" s="24">
        <v>0</v>
      </c>
      <c r="HN55" s="24">
        <v>0</v>
      </c>
      <c r="HO55" s="24">
        <v>0</v>
      </c>
      <c r="HP55" s="24">
        <v>1300369</v>
      </c>
      <c r="HQ55" s="24">
        <v>0</v>
      </c>
      <c r="HR55" s="24">
        <v>0</v>
      </c>
      <c r="HS55" s="24">
        <v>0</v>
      </c>
      <c r="HT55" s="24">
        <v>0</v>
      </c>
      <c r="HU55" s="24">
        <v>0</v>
      </c>
      <c r="HV55" s="24">
        <v>0</v>
      </c>
      <c r="HW55" s="24">
        <v>0</v>
      </c>
      <c r="HX55" s="24">
        <v>0</v>
      </c>
      <c r="HY55" s="24">
        <v>0</v>
      </c>
      <c r="HZ55" s="24">
        <v>0</v>
      </c>
      <c r="IA55" s="24">
        <v>32779</v>
      </c>
      <c r="IB55" s="24">
        <v>50199</v>
      </c>
      <c r="IC55" s="24">
        <v>0</v>
      </c>
      <c r="ID55" s="24">
        <v>0</v>
      </c>
      <c r="IE55" s="24">
        <v>0</v>
      </c>
      <c r="IF55" s="24">
        <v>0</v>
      </c>
      <c r="IG55" s="24">
        <v>0</v>
      </c>
      <c r="IH55" s="24">
        <v>0</v>
      </c>
      <c r="II55" s="24">
        <v>0</v>
      </c>
      <c r="IJ55" s="24">
        <v>0</v>
      </c>
      <c r="IK55" s="24">
        <v>0</v>
      </c>
      <c r="IL55" s="24">
        <v>0</v>
      </c>
      <c r="IM55" s="24">
        <v>0</v>
      </c>
      <c r="IN55" s="24">
        <v>0</v>
      </c>
      <c r="IO55" s="24">
        <v>10042</v>
      </c>
      <c r="IP55" s="24">
        <v>0</v>
      </c>
      <c r="IQ55" s="24">
        <v>0</v>
      </c>
      <c r="IR55" s="24">
        <v>53920</v>
      </c>
      <c r="IS55" s="24">
        <v>0</v>
      </c>
      <c r="IT55" s="24">
        <v>0</v>
      </c>
      <c r="IU55" s="24">
        <v>0</v>
      </c>
      <c r="IV55" s="24">
        <v>0</v>
      </c>
      <c r="IW55" s="24">
        <v>224986</v>
      </c>
      <c r="IX55" s="24">
        <v>0</v>
      </c>
      <c r="IY55" s="24">
        <v>0</v>
      </c>
      <c r="IZ55" s="24">
        <v>0</v>
      </c>
      <c r="JA55" s="24">
        <v>0</v>
      </c>
      <c r="JB55" s="24">
        <v>23455</v>
      </c>
      <c r="JC55" s="24">
        <v>0</v>
      </c>
      <c r="JD55" s="24">
        <v>0</v>
      </c>
      <c r="JE55" s="24">
        <v>0</v>
      </c>
      <c r="JF55" s="24">
        <v>0</v>
      </c>
      <c r="JG55" s="24">
        <v>0</v>
      </c>
      <c r="JH55" s="24">
        <v>0</v>
      </c>
      <c r="JI55" s="24">
        <v>0</v>
      </c>
      <c r="JJ55" s="24">
        <v>0</v>
      </c>
      <c r="JK55" s="24">
        <v>0</v>
      </c>
      <c r="JL55" s="24">
        <v>0</v>
      </c>
      <c r="JM55" s="24">
        <v>0</v>
      </c>
      <c r="JN55" s="24">
        <v>0</v>
      </c>
      <c r="JO55" s="24">
        <v>0</v>
      </c>
      <c r="JP55" s="24">
        <v>0</v>
      </c>
      <c r="JQ55" s="24">
        <v>0</v>
      </c>
      <c r="JR55" s="24">
        <v>0</v>
      </c>
      <c r="JS55" s="24">
        <v>0</v>
      </c>
      <c r="JT55" s="24">
        <v>0</v>
      </c>
      <c r="JU55" s="24">
        <v>0</v>
      </c>
      <c r="JV55" s="24">
        <v>0</v>
      </c>
      <c r="JW55" s="24">
        <v>0</v>
      </c>
      <c r="JX55" s="24">
        <v>0</v>
      </c>
      <c r="JY55" s="24">
        <v>0</v>
      </c>
      <c r="JZ55" s="24">
        <v>0</v>
      </c>
      <c r="KA55" s="24">
        <v>0</v>
      </c>
      <c r="KB55" s="24">
        <v>0</v>
      </c>
      <c r="KC55" s="24">
        <v>0</v>
      </c>
      <c r="KD55" s="24">
        <v>0</v>
      </c>
      <c r="KE55" s="24">
        <v>0</v>
      </c>
      <c r="KF55" s="24">
        <v>0</v>
      </c>
      <c r="KG55" s="24">
        <v>397640</v>
      </c>
      <c r="KH55" s="24">
        <v>0</v>
      </c>
      <c r="KI55" s="24">
        <v>0</v>
      </c>
      <c r="KJ55" s="24">
        <v>0</v>
      </c>
      <c r="KK55" s="24">
        <v>0</v>
      </c>
      <c r="KL55" s="24">
        <v>0</v>
      </c>
      <c r="KM55" s="24">
        <v>0</v>
      </c>
      <c r="KN55" s="24">
        <v>0</v>
      </c>
      <c r="KO55" s="24">
        <v>0</v>
      </c>
      <c r="KP55" s="24">
        <v>0</v>
      </c>
      <c r="KQ55" s="24">
        <v>0</v>
      </c>
      <c r="KR55" s="24">
        <v>0</v>
      </c>
      <c r="KS55" s="24">
        <v>0</v>
      </c>
      <c r="KT55" s="24">
        <v>0</v>
      </c>
      <c r="KU55" s="24">
        <v>0</v>
      </c>
      <c r="KV55" s="24">
        <v>0</v>
      </c>
      <c r="KW55" s="24">
        <v>0</v>
      </c>
      <c r="KX55" s="24">
        <v>0</v>
      </c>
      <c r="KY55" s="24">
        <v>0</v>
      </c>
      <c r="KZ55" s="24">
        <v>0</v>
      </c>
      <c r="LA55" s="24">
        <v>0</v>
      </c>
      <c r="LB55" s="24">
        <v>0</v>
      </c>
      <c r="LC55" s="24">
        <v>0</v>
      </c>
      <c r="LD55" s="24">
        <v>0</v>
      </c>
      <c r="LE55" s="24">
        <v>0</v>
      </c>
      <c r="LF55" s="24">
        <v>0</v>
      </c>
      <c r="LG55" s="24">
        <v>0</v>
      </c>
      <c r="LH55" s="24">
        <v>0</v>
      </c>
      <c r="LI55" s="24">
        <v>0</v>
      </c>
      <c r="LJ55" s="24">
        <v>0</v>
      </c>
      <c r="LK55" s="24">
        <v>0</v>
      </c>
      <c r="LL55" s="24">
        <v>0</v>
      </c>
      <c r="LM55" s="24">
        <v>0</v>
      </c>
      <c r="LN55" s="24">
        <v>0</v>
      </c>
      <c r="LO55" s="24">
        <v>0</v>
      </c>
      <c r="LP55" s="24">
        <v>0</v>
      </c>
      <c r="LQ55" s="24">
        <v>787004</v>
      </c>
      <c r="LR55" s="24">
        <v>48529</v>
      </c>
      <c r="LS55" s="24">
        <v>0</v>
      </c>
      <c r="LT55" s="24">
        <v>106059</v>
      </c>
      <c r="LU55" s="24">
        <v>0</v>
      </c>
      <c r="LV55" s="24">
        <v>0</v>
      </c>
      <c r="LW55" s="24">
        <v>0</v>
      </c>
      <c r="LX55" s="24">
        <v>0</v>
      </c>
      <c r="LY55" s="24">
        <v>0</v>
      </c>
      <c r="LZ55" s="24">
        <v>0</v>
      </c>
      <c r="MA55" s="24">
        <v>0</v>
      </c>
      <c r="MB55" s="24">
        <v>0</v>
      </c>
      <c r="MC55" s="24">
        <v>0</v>
      </c>
      <c r="MD55" s="24">
        <v>0</v>
      </c>
      <c r="ME55" s="24">
        <v>0</v>
      </c>
      <c r="MF55" s="24">
        <v>0</v>
      </c>
      <c r="MG55" s="24">
        <v>0</v>
      </c>
      <c r="MH55" s="24">
        <v>0</v>
      </c>
      <c r="MI55" s="24">
        <v>0</v>
      </c>
      <c r="MJ55" s="24">
        <v>0</v>
      </c>
      <c r="MK55" s="24">
        <v>0</v>
      </c>
      <c r="ML55" s="24">
        <v>0</v>
      </c>
      <c r="MM55" s="24">
        <v>0</v>
      </c>
      <c r="MN55" s="24">
        <v>0</v>
      </c>
      <c r="MO55" s="24">
        <v>73184</v>
      </c>
      <c r="MP55" s="24">
        <v>0</v>
      </c>
      <c r="MQ55" s="24">
        <v>0</v>
      </c>
      <c r="MR55" s="24">
        <v>887123</v>
      </c>
      <c r="MS55" s="24">
        <v>0</v>
      </c>
      <c r="MT55" s="24">
        <v>0</v>
      </c>
      <c r="MU55" s="24">
        <v>0</v>
      </c>
      <c r="MV55" s="24">
        <v>0</v>
      </c>
      <c r="MW55" s="24">
        <v>751578</v>
      </c>
      <c r="MX55" s="24">
        <v>38143</v>
      </c>
      <c r="MY55" s="24">
        <v>0</v>
      </c>
      <c r="MZ55" s="24">
        <v>0</v>
      </c>
      <c r="NA55" s="24">
        <v>0</v>
      </c>
      <c r="NB55" s="24">
        <v>0</v>
      </c>
      <c r="NC55" s="24">
        <v>0</v>
      </c>
      <c r="ND55" s="24">
        <v>0</v>
      </c>
      <c r="NE55" s="24">
        <v>0</v>
      </c>
      <c r="NF55" s="24">
        <v>0</v>
      </c>
      <c r="NG55" s="24">
        <v>0</v>
      </c>
      <c r="NH55" s="24">
        <v>0</v>
      </c>
      <c r="NI55" s="24">
        <v>0</v>
      </c>
      <c r="NJ55" s="24">
        <v>0</v>
      </c>
      <c r="NK55" s="24">
        <v>0</v>
      </c>
      <c r="NL55" s="24">
        <v>0</v>
      </c>
      <c r="NM55" s="24">
        <v>0</v>
      </c>
      <c r="NN55" s="24">
        <v>0</v>
      </c>
      <c r="NO55" s="24">
        <v>0</v>
      </c>
      <c r="NP55" s="24">
        <v>0</v>
      </c>
      <c r="NQ55" s="24">
        <v>94121</v>
      </c>
      <c r="NR55" s="24">
        <v>0</v>
      </c>
      <c r="NS55" s="24">
        <v>0</v>
      </c>
      <c r="NT55" s="24">
        <v>0</v>
      </c>
      <c r="NU55" s="24">
        <v>18460</v>
      </c>
      <c r="NV55" s="24">
        <v>171934</v>
      </c>
      <c r="NW55" s="24">
        <v>0</v>
      </c>
      <c r="NX55" s="24">
        <v>0</v>
      </c>
      <c r="NY55" s="24">
        <v>0</v>
      </c>
      <c r="NZ55" s="24">
        <v>0</v>
      </c>
      <c r="OA55" s="24">
        <v>0</v>
      </c>
      <c r="OB55" s="24">
        <v>0</v>
      </c>
      <c r="OC55" s="24">
        <v>0</v>
      </c>
      <c r="OD55" s="24">
        <v>0</v>
      </c>
      <c r="OE55" s="24">
        <v>0</v>
      </c>
      <c r="OF55" s="24">
        <v>0</v>
      </c>
      <c r="OG55" s="24">
        <v>0</v>
      </c>
      <c r="OH55" s="24">
        <v>0</v>
      </c>
      <c r="OI55" s="24">
        <v>0</v>
      </c>
      <c r="OJ55" s="24">
        <v>0</v>
      </c>
      <c r="OK55" s="24">
        <v>71045</v>
      </c>
      <c r="OL55" s="24">
        <v>0</v>
      </c>
      <c r="OM55" s="24">
        <v>0</v>
      </c>
      <c r="ON55" s="24">
        <v>892464</v>
      </c>
      <c r="OO55" s="24">
        <v>0</v>
      </c>
      <c r="OP55" s="24">
        <v>56671</v>
      </c>
      <c r="OQ55" s="24">
        <v>0</v>
      </c>
      <c r="OR55" s="24">
        <v>0</v>
      </c>
      <c r="OS55" s="24">
        <v>0</v>
      </c>
      <c r="OT55" s="24">
        <v>0</v>
      </c>
      <c r="OU55" s="24">
        <v>0</v>
      </c>
      <c r="OV55" s="24">
        <v>0</v>
      </c>
      <c r="OW55" s="24">
        <v>0</v>
      </c>
      <c r="OX55" s="24">
        <v>687</v>
      </c>
      <c r="OY55" s="24">
        <v>0</v>
      </c>
      <c r="OZ55" s="24">
        <v>0</v>
      </c>
      <c r="PA55" s="24">
        <v>0</v>
      </c>
      <c r="PB55" s="24">
        <v>0</v>
      </c>
      <c r="PC55" s="24">
        <v>0</v>
      </c>
      <c r="PD55" s="24">
        <v>0</v>
      </c>
      <c r="PE55" s="24">
        <v>0</v>
      </c>
      <c r="PF55" s="24">
        <v>0</v>
      </c>
      <c r="PG55" s="24">
        <v>0</v>
      </c>
      <c r="PH55" s="24">
        <v>526847</v>
      </c>
      <c r="PI55" s="24">
        <v>0</v>
      </c>
      <c r="PJ55" s="24">
        <v>0</v>
      </c>
      <c r="PK55" s="24">
        <v>0</v>
      </c>
      <c r="PL55" s="24">
        <v>0</v>
      </c>
      <c r="PM55" s="24">
        <v>0</v>
      </c>
      <c r="PN55" s="24">
        <v>0</v>
      </c>
      <c r="PO55" s="24">
        <v>0</v>
      </c>
      <c r="PP55" s="24">
        <v>0</v>
      </c>
      <c r="PQ55" s="24">
        <v>0</v>
      </c>
      <c r="PR55" s="24">
        <v>0</v>
      </c>
      <c r="PS55" s="24">
        <v>0</v>
      </c>
      <c r="PT55" s="24">
        <v>0</v>
      </c>
      <c r="PU55" s="24">
        <v>0</v>
      </c>
      <c r="PV55" s="24">
        <v>0</v>
      </c>
      <c r="PW55" s="24">
        <v>0</v>
      </c>
      <c r="PX55" s="24">
        <v>0</v>
      </c>
      <c r="PY55" s="24">
        <v>0</v>
      </c>
      <c r="PZ55" s="24">
        <v>0</v>
      </c>
      <c r="QA55" s="24">
        <v>0</v>
      </c>
      <c r="QB55" s="24">
        <v>0</v>
      </c>
      <c r="QC55" s="24">
        <v>0</v>
      </c>
      <c r="QD55" s="24">
        <v>0</v>
      </c>
      <c r="QE55" s="24">
        <v>0</v>
      </c>
      <c r="QF55" s="24">
        <v>0</v>
      </c>
      <c r="QG55" s="24">
        <v>0</v>
      </c>
      <c r="QH55" s="24">
        <v>0</v>
      </c>
      <c r="QI55" s="24">
        <v>0</v>
      </c>
      <c r="QJ55" s="24">
        <v>0</v>
      </c>
      <c r="QK55" s="24">
        <v>0</v>
      </c>
      <c r="QL55" s="24">
        <v>0</v>
      </c>
      <c r="QM55" s="24">
        <v>0</v>
      </c>
      <c r="QN55" s="24">
        <v>0</v>
      </c>
      <c r="QO55" s="24">
        <v>0</v>
      </c>
      <c r="QP55" s="24">
        <v>0</v>
      </c>
      <c r="QQ55" s="24">
        <v>0</v>
      </c>
      <c r="QR55" s="24">
        <v>0</v>
      </c>
      <c r="QS55" s="24">
        <v>26500</v>
      </c>
      <c r="QT55" s="24">
        <v>0</v>
      </c>
      <c r="QU55" s="24">
        <v>0</v>
      </c>
      <c r="QV55" s="24">
        <v>0</v>
      </c>
      <c r="QW55" s="24">
        <v>0</v>
      </c>
      <c r="QX55" s="24">
        <v>0</v>
      </c>
      <c r="QY55" s="24">
        <v>0</v>
      </c>
      <c r="QZ55" s="24">
        <v>0</v>
      </c>
      <c r="RA55" s="24">
        <v>0</v>
      </c>
      <c r="RB55" s="24">
        <v>0</v>
      </c>
      <c r="RG55" s="39">
        <f t="shared" si="126"/>
        <v>16505522</v>
      </c>
      <c r="RH55" s="39">
        <f t="shared" si="126"/>
        <v>891257</v>
      </c>
      <c r="RI55" s="39">
        <f t="shared" si="126"/>
        <v>0</v>
      </c>
      <c r="RJ55" s="39">
        <f t="shared" si="126"/>
        <v>0</v>
      </c>
      <c r="RK55" s="39">
        <f t="shared" si="126"/>
        <v>0</v>
      </c>
      <c r="RL55" s="39">
        <f t="shared" si="126"/>
        <v>0</v>
      </c>
      <c r="RM55" s="39">
        <f t="shared" si="126"/>
        <v>1383347</v>
      </c>
      <c r="RN55" s="39">
        <f t="shared" si="126"/>
        <v>10042</v>
      </c>
      <c r="RO55" s="39">
        <f t="shared" si="126"/>
        <v>53920</v>
      </c>
      <c r="RP55" s="39">
        <f t="shared" si="126"/>
        <v>224986</v>
      </c>
      <c r="RQ55" s="39">
        <f t="shared" si="126"/>
        <v>23455</v>
      </c>
      <c r="RR55" s="39">
        <f t="shared" si="126"/>
        <v>0</v>
      </c>
      <c r="RS55" s="39"/>
      <c r="RT55" s="182"/>
      <c r="RU55" s="39"/>
      <c r="RV55" s="39">
        <f t="shared" si="127"/>
        <v>4393955</v>
      </c>
      <c r="RW55" s="39">
        <f t="shared" si="127"/>
        <v>19092529</v>
      </c>
      <c r="RX55" s="39">
        <f t="shared" si="127"/>
        <v>3990593</v>
      </c>
      <c r="RY55" s="39">
        <f t="shared" si="127"/>
        <v>554034</v>
      </c>
      <c r="RZ55" s="39"/>
      <c r="SA55" s="182"/>
      <c r="SB55" s="39"/>
      <c r="SC55" s="25">
        <f t="shared" si="50"/>
        <v>1149.3643433179723</v>
      </c>
      <c r="SD55" s="39">
        <f>IFERROR(VLOOKUP(A55, 'Levy Data 15-16'!$B:$O, 3, FALSE), 0)</f>
        <v>1072524193</v>
      </c>
      <c r="SE55" s="39">
        <f t="shared" si="88"/>
        <v>308906.73761520738</v>
      </c>
      <c r="SF55" s="631">
        <f>IFERROR(VLOOKUP(A55, 'Levy Data 15-16'!$B:$O, 14, FALSE), 0)*1000</f>
        <v>3.3565319999999996</v>
      </c>
      <c r="SG55" s="39">
        <f t="shared" si="89"/>
        <v>0</v>
      </c>
      <c r="SH55" s="39">
        <f t="shared" si="90"/>
        <v>0</v>
      </c>
      <c r="SI55" s="39">
        <f t="shared" si="91"/>
        <v>3990593</v>
      </c>
      <c r="SM55" s="39">
        <f t="shared" si="92"/>
        <v>19092529</v>
      </c>
      <c r="SN55" s="39">
        <f t="shared" si="93"/>
        <v>0</v>
      </c>
      <c r="SO55" s="39">
        <f t="shared" si="51"/>
        <v>19092529</v>
      </c>
      <c r="SP55" s="50">
        <f t="shared" si="52"/>
        <v>1</v>
      </c>
      <c r="ST55" s="124">
        <f>IFERROR(VLOOKUP(A55,'Grade Enroll 15-16'!B:AC,27,FALSE),"")</f>
        <v>3472</v>
      </c>
      <c r="SU55" s="124">
        <f t="shared" si="53"/>
        <v>1810.5902813299231</v>
      </c>
      <c r="SV55" s="131">
        <f>IFERROR(VLOOKUP($A55, 'Title I Enroll 16-17'!S:V, 4, FALSE), 0)</f>
        <v>0.52148337595907923</v>
      </c>
      <c r="SW55" s="729">
        <f>IFERROR(VLOOKUP(A55, 'ELL Enroll 15-16'!$N:$S, 6, FALSE), 0)</f>
        <v>348</v>
      </c>
      <c r="SX55" s="131">
        <f t="shared" si="54"/>
        <v>0.10023041474654378</v>
      </c>
      <c r="SY55" s="124">
        <f>IFERROR(VLOOKUP(A55, 'SPED enroll 2015-16'!$M:$O, 3, FALSE), 0)</f>
        <v>427</v>
      </c>
      <c r="SZ55" s="131">
        <f t="shared" si="55"/>
        <v>0.12298387096774194</v>
      </c>
      <c r="TA55" s="142">
        <f t="shared" si="87"/>
        <v>298.89999999999998</v>
      </c>
      <c r="TB55" s="142">
        <f t="shared" si="87"/>
        <v>85.4</v>
      </c>
      <c r="TC55" s="142">
        <f t="shared" si="87"/>
        <v>29.890000000000004</v>
      </c>
      <c r="TD55" s="142">
        <f t="shared" si="87"/>
        <v>12.809999999999999</v>
      </c>
      <c r="TE55" s="124">
        <f>VLOOKUP($A55, 'Grade Enroll 15-16'!$B:$AB, 20, FALSE)</f>
        <v>28</v>
      </c>
      <c r="TF55" s="124">
        <f>VLOOKUP($A55, 'Grade Enroll 15-16'!$B:$AB, 21, FALSE)</f>
        <v>323</v>
      </c>
      <c r="TG55" s="124">
        <f>VLOOKUP($A55, 'Grade Enroll 15-16'!$B:$AB, 22, FALSE)</f>
        <v>978</v>
      </c>
      <c r="TH55" s="124">
        <f>VLOOKUP($A55, 'Grade Enroll 15-16'!$B:$AB, 23, FALSE)</f>
        <v>931</v>
      </c>
      <c r="TI55" s="124">
        <f>VLOOKUP($A55, 'Grade Enroll 15-16'!$B:$AB, 24, FALSE)</f>
        <v>560</v>
      </c>
      <c r="TJ55" s="124">
        <f>VLOOKUP($A55, 'Grade Enroll 15-16'!$B:$AB, 25, FALSE)</f>
        <v>1003</v>
      </c>
      <c r="TK55" s="124">
        <f>VLOOKUP($A55, 'Grade Enroll 15-16'!$B:$AB, 26, FALSE)</f>
        <v>2368</v>
      </c>
      <c r="TL55" s="131">
        <f>SUMIFS('Student Achievement 15-16'!N:N, 'Student Achievement 15-16'!B:B, 'Idaho Data'!A55, 'Student Achievement 15-16'!D:D, "math")/100</f>
        <v>0.34299999999999997</v>
      </c>
      <c r="TM55" s="134">
        <f t="shared" si="57"/>
        <v>1190.896</v>
      </c>
      <c r="TN55" s="131">
        <f>SUMIFS('Student Achievement 15-16'!N:N, 'Student Achievement 15-16'!B:B, 'Idaho Data'!A55, 'Student Achievement 15-16'!D:D, "ela")/100</f>
        <v>0.312</v>
      </c>
      <c r="TO55" s="134">
        <f t="shared" si="58"/>
        <v>1083.2639999999999</v>
      </c>
      <c r="TP55" s="688">
        <f>IFERROR(VLOOKUP(A55, 'G&amp;T 15-16'!B:G, 6, FALSE), 0)*1</f>
        <v>64</v>
      </c>
      <c r="TQ55" s="168">
        <f t="shared" si="59"/>
        <v>208.32</v>
      </c>
      <c r="TU55" s="168">
        <f t="shared" si="60"/>
        <v>1083.2639999999999</v>
      </c>
      <c r="TV55" s="168">
        <f t="shared" si="61"/>
        <v>1190.896</v>
      </c>
      <c r="TW55" s="205">
        <f t="shared" si="62"/>
        <v>1190.896</v>
      </c>
      <c r="TX55" s="144"/>
      <c r="TY55" s="129"/>
      <c r="TZ55" s="127">
        <f t="shared" si="63"/>
        <v>64</v>
      </c>
      <c r="UA55" s="127">
        <f t="shared" si="64"/>
        <v>208.32</v>
      </c>
      <c r="UB55" s="205">
        <f t="shared" si="65"/>
        <v>208.32</v>
      </c>
      <c r="UE55" s="853" t="str">
        <f>IF(ST55&lt;='1. Simulator Input'!$E$104, "yes", "")</f>
        <v/>
      </c>
      <c r="UI55" s="199">
        <f t="shared" si="66"/>
        <v>0</v>
      </c>
      <c r="UJ55" s="200">
        <f>IF('Idaho Data'!SI55&gt;=0, ((1-'1. Simulator Input'!$E$39)*'Idaho Data'!SI55), 0)</f>
        <v>0</v>
      </c>
      <c r="UK55" s="200">
        <f t="shared" si="67"/>
        <v>19092529</v>
      </c>
      <c r="UL55" s="39"/>
      <c r="UM55" s="182"/>
      <c r="UN55" s="39"/>
      <c r="UO55" s="39" t="str">
        <f>IF(AND('1. Simulator Input'!$E$96="yes", '1. Simulator Input'!$E$98="yes", '1. Simulator Input'!$E$100="hold harmless"), 'Idaho Data'!WN55, IF(AND('1. Simulator Input'!$E$96="yes", '1. Simulator Input'!$E$98="no", '1. Simulator Input'!$E$100="hold harmless"), 'Idaho Data'!WM55, IF(AND('1. Simulator Input'!$E$96="yes", '1. Simulator Input'!$E$98="yes", '1. Simulator Input'!$E$100="small district grant"), WL55,IF(AND('1. Simulator Input'!$E$96="yes", '1. Simulator Input'!$E$98="no", '1. Simulator Input'!$E$100="small district grant"), WK55, ""))))</f>
        <v/>
      </c>
      <c r="UP55" s="200">
        <f>'1. Simulator Input'!$D$56*('Idaho Data'!ST55)</f>
        <v>19186272</v>
      </c>
      <c r="UQ55" s="204">
        <f>'1. Simulator Input'!$D$65*'1. Simulator Input'!$D$56*'Idaho Data'!SU55</f>
        <v>0</v>
      </c>
      <c r="UR55" s="204">
        <f>'1. Simulator Input'!$D$66*'1. Simulator Input'!$D$56*'Idaho Data'!SW55</f>
        <v>0</v>
      </c>
      <c r="US55" s="200">
        <f>'1. Simulator Input'!$D$67*'1. Simulator Input'!$D$56*'Idaho Data'!TA55</f>
        <v>0</v>
      </c>
      <c r="UT55" s="200">
        <f>'1. Simulator Input'!$D$68*'1. Simulator Input'!$D$56*'Idaho Data'!TB55</f>
        <v>0</v>
      </c>
      <c r="UU55" s="200">
        <f>'1. Simulator Input'!$D$69*'1. Simulator Input'!$D$56*'Idaho Data'!TC55</f>
        <v>0</v>
      </c>
      <c r="UV55" s="200">
        <f>'1. Simulator Input'!$D$70*'1. Simulator Input'!$D$56*TD55</f>
        <v>0</v>
      </c>
      <c r="UW55" s="200">
        <f>'1. Simulator Input'!$D$80*'1. Simulator Input'!$D$56*TW55</f>
        <v>0</v>
      </c>
      <c r="UX55" s="200">
        <f>'1. Simulator Input'!$D$79*'1. Simulator Input'!$D$56*UB55</f>
        <v>0</v>
      </c>
      <c r="UY55" s="200">
        <f>'1. Simulator Input'!$D$87*'1. Simulator Input'!$D$56*TF55</f>
        <v>892449</v>
      </c>
      <c r="UZ55" s="200">
        <f>'1. Simulator Input'!$D$73*'1. Simulator Input'!$D$56*'Idaho Data'!TG55</f>
        <v>0</v>
      </c>
      <c r="VA55" s="200">
        <f>'1. Simulator Input'!$D$56*'1. Simulator Input'!$D$74*'Idaho Data'!TH55</f>
        <v>0</v>
      </c>
      <c r="VB55" s="200">
        <f>'1. Simulator Input'!$D$56*'1. Simulator Input'!$D$75*'Idaho Data'!TI50</f>
        <v>0</v>
      </c>
      <c r="VC55" s="200">
        <f>'1. Simulator Input'!$D$76*'1. Simulator Input'!$D$56*'Idaho Data'!TJ55</f>
        <v>0</v>
      </c>
      <c r="VD55" s="200">
        <f t="shared" si="68"/>
        <v>20078721</v>
      </c>
      <c r="VE55" s="200"/>
      <c r="VF55" s="182"/>
      <c r="VG55" s="200"/>
      <c r="VH55" s="200">
        <f t="shared" si="69"/>
        <v>0</v>
      </c>
      <c r="VI55" s="200">
        <f t="shared" si="70"/>
        <v>0</v>
      </c>
      <c r="VJ55" s="200">
        <f t="shared" si="94"/>
        <v>20078721</v>
      </c>
      <c r="VK55" s="200">
        <f t="shared" si="95"/>
        <v>20078721</v>
      </c>
      <c r="VL55" s="200"/>
      <c r="VM55" s="182"/>
      <c r="VN55" s="200"/>
      <c r="VO55" s="200">
        <f t="shared" si="71"/>
        <v>4393955</v>
      </c>
      <c r="VP55" s="200">
        <f t="shared" si="72"/>
        <v>19092529</v>
      </c>
      <c r="VQ55" s="200">
        <f t="shared" si="73"/>
        <v>3990593</v>
      </c>
      <c r="VR55" s="200">
        <f t="shared" si="74"/>
        <v>4393955</v>
      </c>
      <c r="VS55" s="200">
        <f t="shared" si="96"/>
        <v>20078721</v>
      </c>
      <c r="VT55" s="200">
        <f t="shared" si="97"/>
        <v>3990593</v>
      </c>
      <c r="VU55" s="200">
        <f t="shared" si="98"/>
        <v>0</v>
      </c>
      <c r="VV55" s="200"/>
      <c r="VW55" s="182"/>
      <c r="VX55" s="200"/>
      <c r="VZ55" s="199">
        <f t="shared" si="75"/>
        <v>986192</v>
      </c>
      <c r="WA55" s="199">
        <f t="shared" si="76"/>
        <v>284.04147465437791</v>
      </c>
      <c r="WB55" s="131">
        <f t="shared" si="77"/>
        <v>5.165329328555688E-2</v>
      </c>
      <c r="WC55" s="131"/>
      <c r="WD55" s="461"/>
      <c r="WE55" s="893"/>
      <c r="WF55" s="893">
        <f t="shared" si="78"/>
        <v>7913.9046658986172</v>
      </c>
      <c r="WG55" s="893">
        <f t="shared" si="79"/>
        <v>8197.9461405529946</v>
      </c>
      <c r="WH55" s="893"/>
      <c r="WI55" s="893">
        <f t="shared" si="80"/>
        <v>19092529</v>
      </c>
      <c r="WJ55" s="893">
        <f t="shared" si="99"/>
        <v>20078721</v>
      </c>
      <c r="WK55" s="39" t="str">
        <f t="shared" si="100"/>
        <v/>
      </c>
      <c r="WL55" s="39" t="str">
        <f t="shared" si="101"/>
        <v/>
      </c>
      <c r="WM55" s="200" t="str">
        <f t="shared" si="102"/>
        <v/>
      </c>
      <c r="WN55" s="39" t="str">
        <f t="shared" si="103"/>
        <v/>
      </c>
      <c r="WO55" s="39"/>
      <c r="WP55" s="182"/>
      <c r="WQ55" s="39"/>
      <c r="WR55" s="305">
        <f t="shared" si="104"/>
        <v>0.28000000000000003</v>
      </c>
      <c r="WT55" s="200">
        <f t="shared" si="105"/>
        <v>5499.0002880184329</v>
      </c>
      <c r="WU55" s="131">
        <f t="shared" si="81"/>
        <v>0.14000000000000001</v>
      </c>
      <c r="WW55" s="199">
        <f t="shared" si="106"/>
        <v>4393955</v>
      </c>
      <c r="WX55" s="199">
        <f t="shared" si="107"/>
        <v>20078721</v>
      </c>
      <c r="WY55" s="199">
        <f t="shared" si="108"/>
        <v>0</v>
      </c>
      <c r="WZ55" s="199">
        <f t="shared" si="82"/>
        <v>20078721</v>
      </c>
      <c r="XA55" s="199">
        <f t="shared" si="109"/>
        <v>0</v>
      </c>
      <c r="XB55" s="199">
        <f t="shared" si="110"/>
        <v>3990593</v>
      </c>
      <c r="XC55" s="199">
        <f t="shared" si="111"/>
        <v>3990593</v>
      </c>
      <c r="XD55" s="199" t="str">
        <f t="shared" si="112"/>
        <v/>
      </c>
      <c r="XE55" s="199"/>
      <c r="XF55" s="199"/>
      <c r="XG55" s="199"/>
      <c r="XH55" s="199"/>
      <c r="XI55" s="199"/>
      <c r="XJ55" s="199">
        <f t="shared" si="83"/>
        <v>20078721</v>
      </c>
      <c r="XP55" s="199">
        <f t="shared" si="113"/>
        <v>20078721</v>
      </c>
      <c r="XQ55" s="199">
        <f t="shared" si="114"/>
        <v>5783.0417626728113</v>
      </c>
      <c r="XR55" s="199">
        <f t="shared" si="115"/>
        <v>20078721</v>
      </c>
      <c r="XS55" s="199">
        <f t="shared" si="116"/>
        <v>20078721</v>
      </c>
      <c r="XT55" s="199">
        <f t="shared" si="117"/>
        <v>5783.0417626728113</v>
      </c>
      <c r="XU55" s="199">
        <f t="shared" si="118"/>
        <v>19092529</v>
      </c>
      <c r="XV55" s="199">
        <f t="shared" si="119"/>
        <v>5499.0002880184329</v>
      </c>
      <c r="XW55" s="199">
        <f t="shared" si="120"/>
        <v>19092529</v>
      </c>
      <c r="XX55" s="199">
        <f t="shared" si="121"/>
        <v>5499.0002880184329</v>
      </c>
      <c r="XY55" s="199">
        <f t="shared" si="84"/>
        <v>986192</v>
      </c>
      <c r="XZ55" s="199">
        <f t="shared" si="85"/>
        <v>284.04147465437836</v>
      </c>
      <c r="YA55" s="131">
        <f t="shared" si="86"/>
        <v>5.165329328555697E-2</v>
      </c>
      <c r="YB55" s="199"/>
      <c r="YC55" s="221"/>
      <c r="YD55" s="199"/>
      <c r="YE55" s="199">
        <f t="shared" si="122"/>
        <v>4393955</v>
      </c>
      <c r="YF55" s="200">
        <f t="shared" si="123"/>
        <v>0</v>
      </c>
      <c r="YG55" s="199">
        <f t="shared" si="124"/>
        <v>3990593</v>
      </c>
      <c r="YH55" s="199">
        <f t="shared" si="125"/>
        <v>554034</v>
      </c>
    </row>
    <row r="56" spans="1:658">
      <c r="A56" s="3">
        <v>201</v>
      </c>
      <c r="B56" s="2" t="s">
        <v>149</v>
      </c>
      <c r="C56" s="400">
        <v>0</v>
      </c>
      <c r="D56" s="400">
        <v>0</v>
      </c>
      <c r="E56" s="400">
        <v>0</v>
      </c>
      <c r="F56" s="400">
        <v>0</v>
      </c>
      <c r="G56" s="400">
        <v>0</v>
      </c>
      <c r="H56" s="400">
        <v>0</v>
      </c>
      <c r="I56" s="400">
        <v>0</v>
      </c>
      <c r="J56" s="400">
        <v>34391</v>
      </c>
      <c r="K56" s="400">
        <v>0</v>
      </c>
      <c r="L56" s="24">
        <v>0</v>
      </c>
      <c r="M56" s="400">
        <v>0</v>
      </c>
      <c r="N56" s="400">
        <v>941</v>
      </c>
      <c r="O56" s="400">
        <v>0</v>
      </c>
      <c r="P56" s="400">
        <v>0</v>
      </c>
      <c r="Q56" s="400">
        <v>0</v>
      </c>
      <c r="R56" s="400">
        <v>0</v>
      </c>
      <c r="S56" s="400">
        <v>0</v>
      </c>
      <c r="T56" s="400">
        <v>902584</v>
      </c>
      <c r="U56" s="400">
        <v>0</v>
      </c>
      <c r="V56" s="400">
        <v>0</v>
      </c>
      <c r="W56" s="400">
        <v>0</v>
      </c>
      <c r="X56" s="400">
        <v>7342</v>
      </c>
      <c r="Y56" s="400">
        <v>8846</v>
      </c>
      <c r="Z56" s="400">
        <v>0</v>
      </c>
      <c r="AA56" s="400">
        <v>0</v>
      </c>
      <c r="AB56" s="400">
        <v>0</v>
      </c>
      <c r="AC56" s="400">
        <v>0</v>
      </c>
      <c r="AD56" s="400">
        <v>0</v>
      </c>
      <c r="AE56" s="400">
        <v>0</v>
      </c>
      <c r="AF56" s="400">
        <v>0</v>
      </c>
      <c r="AG56" s="400">
        <v>0</v>
      </c>
      <c r="AH56" s="400">
        <v>12720</v>
      </c>
      <c r="AI56" s="400">
        <v>0</v>
      </c>
      <c r="AJ56" s="400">
        <v>0</v>
      </c>
      <c r="AK56" s="400">
        <v>0</v>
      </c>
      <c r="AL56" s="400">
        <v>11607</v>
      </c>
      <c r="AM56" s="400">
        <v>0</v>
      </c>
      <c r="AN56" s="400">
        <v>0</v>
      </c>
      <c r="AO56" s="400">
        <v>0</v>
      </c>
      <c r="AP56" s="400">
        <v>0</v>
      </c>
      <c r="AQ56" s="400">
        <v>0</v>
      </c>
      <c r="AR56" s="400">
        <v>0</v>
      </c>
      <c r="AS56" s="400">
        <v>0</v>
      </c>
      <c r="AT56" s="400">
        <v>0</v>
      </c>
      <c r="AU56" s="400">
        <v>0</v>
      </c>
      <c r="AV56" s="400">
        <v>0</v>
      </c>
      <c r="AW56" s="400">
        <v>0</v>
      </c>
      <c r="AX56" s="400">
        <v>0</v>
      </c>
      <c r="AY56" s="400">
        <v>0</v>
      </c>
      <c r="AZ56" s="400">
        <v>0</v>
      </c>
      <c r="BA56" s="400">
        <v>0</v>
      </c>
      <c r="BB56" s="400">
        <v>0</v>
      </c>
      <c r="BC56" s="400">
        <v>1722</v>
      </c>
      <c r="BD56" s="400">
        <v>0</v>
      </c>
      <c r="BE56" s="400">
        <v>0</v>
      </c>
      <c r="BF56" s="400">
        <v>0</v>
      </c>
      <c r="BG56" s="400">
        <v>0</v>
      </c>
      <c r="BH56" s="400">
        <v>0</v>
      </c>
      <c r="BI56" s="400">
        <v>0</v>
      </c>
      <c r="BJ56" s="400">
        <v>0</v>
      </c>
      <c r="BK56" s="400">
        <v>0</v>
      </c>
      <c r="BL56" s="400">
        <v>0</v>
      </c>
      <c r="BM56" s="400">
        <v>0</v>
      </c>
      <c r="BN56" s="400">
        <v>0</v>
      </c>
      <c r="BO56" s="400">
        <v>0</v>
      </c>
      <c r="BP56" s="400">
        <v>0</v>
      </c>
      <c r="BQ56" s="400">
        <v>0</v>
      </c>
      <c r="BR56" s="400">
        <v>0</v>
      </c>
      <c r="BS56" s="400">
        <v>5432</v>
      </c>
      <c r="BT56" s="400">
        <v>0</v>
      </c>
      <c r="BU56" s="400">
        <v>0</v>
      </c>
      <c r="BV56" s="400">
        <v>0</v>
      </c>
      <c r="BW56" s="400">
        <v>0</v>
      </c>
      <c r="BX56" s="400">
        <v>0</v>
      </c>
      <c r="BY56" s="400">
        <v>0</v>
      </c>
      <c r="BZ56" s="400">
        <v>0</v>
      </c>
      <c r="CA56" s="400">
        <v>0</v>
      </c>
      <c r="CB56" s="400">
        <v>0</v>
      </c>
      <c r="CC56" s="400">
        <v>0</v>
      </c>
      <c r="CD56" s="400">
        <v>207635</v>
      </c>
      <c r="CE56" s="400">
        <v>11623</v>
      </c>
      <c r="CF56" s="400">
        <v>0</v>
      </c>
      <c r="CG56" s="400">
        <v>0</v>
      </c>
      <c r="CH56" s="400">
        <v>0</v>
      </c>
      <c r="CI56" s="400">
        <v>0</v>
      </c>
      <c r="CJ56" s="400">
        <v>0</v>
      </c>
      <c r="CK56" s="400">
        <v>0</v>
      </c>
      <c r="CL56" s="400">
        <v>0</v>
      </c>
      <c r="CM56" s="400">
        <v>0</v>
      </c>
      <c r="CN56" s="400">
        <v>0</v>
      </c>
      <c r="CO56" s="400">
        <v>0</v>
      </c>
      <c r="CP56" s="400">
        <v>0</v>
      </c>
      <c r="CQ56" s="400">
        <v>0</v>
      </c>
      <c r="CR56" s="400">
        <v>0</v>
      </c>
      <c r="CS56" s="400">
        <v>0</v>
      </c>
      <c r="CT56" s="400">
        <v>0</v>
      </c>
      <c r="CU56" s="400">
        <v>0</v>
      </c>
      <c r="CV56" s="400">
        <v>0</v>
      </c>
      <c r="CW56" s="400">
        <v>0</v>
      </c>
      <c r="CX56" s="400">
        <v>0</v>
      </c>
      <c r="CY56" s="400">
        <v>0</v>
      </c>
      <c r="CZ56" s="400">
        <v>0</v>
      </c>
      <c r="DA56" s="400">
        <v>0</v>
      </c>
      <c r="DB56" s="400">
        <v>0</v>
      </c>
      <c r="DC56" s="400">
        <v>0</v>
      </c>
      <c r="DD56" s="400">
        <v>0</v>
      </c>
      <c r="DE56" s="400">
        <v>0</v>
      </c>
      <c r="DF56" s="400">
        <v>0</v>
      </c>
      <c r="DG56" s="400">
        <v>0</v>
      </c>
      <c r="DH56" s="400">
        <v>0</v>
      </c>
      <c r="DI56" s="400">
        <v>0</v>
      </c>
      <c r="DJ56" s="400">
        <v>0</v>
      </c>
      <c r="DK56" s="400">
        <v>0</v>
      </c>
      <c r="DL56" s="400">
        <v>0</v>
      </c>
      <c r="DM56" s="400">
        <v>0</v>
      </c>
      <c r="DN56" s="400">
        <v>0</v>
      </c>
      <c r="DO56" s="400">
        <v>0</v>
      </c>
      <c r="DP56" s="400">
        <v>0</v>
      </c>
      <c r="DQ56" s="400">
        <v>0</v>
      </c>
      <c r="DR56" s="400">
        <v>0</v>
      </c>
      <c r="DS56" s="400">
        <v>0</v>
      </c>
      <c r="DT56" s="400">
        <v>0</v>
      </c>
      <c r="DU56" s="400">
        <v>0</v>
      </c>
      <c r="DV56" s="400">
        <v>0</v>
      </c>
      <c r="DW56" s="400">
        <v>0</v>
      </c>
      <c r="DX56" s="400">
        <v>0</v>
      </c>
      <c r="DY56" s="400">
        <v>0</v>
      </c>
      <c r="DZ56" s="400">
        <v>0</v>
      </c>
      <c r="EA56" s="400">
        <v>0</v>
      </c>
      <c r="EB56" s="400">
        <v>0</v>
      </c>
      <c r="EC56" s="400">
        <v>0</v>
      </c>
      <c r="ED56" s="400">
        <v>0</v>
      </c>
      <c r="EE56" s="400">
        <v>0</v>
      </c>
      <c r="EF56" s="400">
        <v>0</v>
      </c>
      <c r="EG56" s="400">
        <v>10703</v>
      </c>
      <c r="EH56" s="400">
        <v>0</v>
      </c>
      <c r="EI56" s="400">
        <v>0</v>
      </c>
      <c r="EJ56" s="400">
        <v>0</v>
      </c>
      <c r="EK56" s="400">
        <v>0</v>
      </c>
      <c r="EL56" s="400">
        <v>0</v>
      </c>
      <c r="EM56" s="400">
        <v>0</v>
      </c>
      <c r="EN56" s="400">
        <v>0</v>
      </c>
      <c r="EO56" s="400">
        <v>0</v>
      </c>
      <c r="EP56" s="400">
        <v>0</v>
      </c>
      <c r="EQ56" s="400">
        <v>0</v>
      </c>
      <c r="ER56" s="400">
        <v>0</v>
      </c>
      <c r="ES56" s="400">
        <v>0</v>
      </c>
      <c r="ET56" s="400">
        <v>0</v>
      </c>
      <c r="EU56" s="400">
        <v>0</v>
      </c>
      <c r="EV56" s="400">
        <v>0</v>
      </c>
      <c r="EW56" s="400">
        <v>0</v>
      </c>
      <c r="EX56" s="400">
        <v>0</v>
      </c>
      <c r="EY56" s="400">
        <v>0</v>
      </c>
      <c r="EZ56" s="400">
        <v>0</v>
      </c>
      <c r="FA56" s="400">
        <v>0</v>
      </c>
      <c r="FB56" s="400">
        <v>0</v>
      </c>
      <c r="FC56" s="400">
        <v>0</v>
      </c>
      <c r="FD56" s="400">
        <v>0</v>
      </c>
      <c r="FE56" s="400">
        <v>0</v>
      </c>
      <c r="FF56" s="400">
        <v>0</v>
      </c>
      <c r="FG56" s="400">
        <v>456</v>
      </c>
      <c r="FH56" s="400">
        <v>0</v>
      </c>
      <c r="FI56" s="400">
        <v>0</v>
      </c>
      <c r="FJ56" s="400">
        <v>0</v>
      </c>
      <c r="FK56" s="400">
        <v>0</v>
      </c>
      <c r="FL56" s="400">
        <v>0</v>
      </c>
      <c r="FM56" s="400">
        <v>0</v>
      </c>
      <c r="FN56" s="400">
        <v>0</v>
      </c>
      <c r="FO56" s="400">
        <v>0</v>
      </c>
      <c r="FP56" s="400">
        <v>0</v>
      </c>
      <c r="FQ56" s="400">
        <v>0</v>
      </c>
      <c r="FR56" s="400">
        <v>0</v>
      </c>
      <c r="FS56" s="400">
        <v>200029</v>
      </c>
      <c r="FT56" s="400">
        <v>0</v>
      </c>
      <c r="FU56" s="400">
        <v>0</v>
      </c>
      <c r="FV56" s="400">
        <v>0</v>
      </c>
      <c r="FW56" s="400">
        <v>0</v>
      </c>
      <c r="FX56" s="400">
        <v>0</v>
      </c>
      <c r="FY56" s="400">
        <v>0</v>
      </c>
      <c r="FZ56" s="400">
        <v>0</v>
      </c>
      <c r="GA56" s="400">
        <v>0</v>
      </c>
      <c r="GB56" s="400">
        <v>0</v>
      </c>
      <c r="GC56" s="400">
        <v>0</v>
      </c>
      <c r="GD56" s="400">
        <v>0</v>
      </c>
      <c r="GE56" s="400">
        <v>0</v>
      </c>
      <c r="GF56" s="400">
        <v>0</v>
      </c>
      <c r="GG56" s="400">
        <v>0</v>
      </c>
      <c r="GH56" s="400">
        <v>0</v>
      </c>
      <c r="GI56" s="400">
        <v>0</v>
      </c>
      <c r="GJ56" s="400">
        <v>0</v>
      </c>
      <c r="GK56" s="400">
        <v>0</v>
      </c>
      <c r="GL56" s="400">
        <v>0</v>
      </c>
      <c r="GM56" s="400">
        <v>0</v>
      </c>
      <c r="GN56" s="400">
        <v>0</v>
      </c>
      <c r="GO56" s="400">
        <v>0</v>
      </c>
      <c r="GP56" s="400">
        <v>0</v>
      </c>
      <c r="GQ56" s="400">
        <v>0</v>
      </c>
      <c r="GR56" s="400">
        <v>0</v>
      </c>
      <c r="GS56" s="400">
        <v>0</v>
      </c>
      <c r="GT56" s="400">
        <v>0</v>
      </c>
      <c r="GU56" s="400">
        <v>0</v>
      </c>
      <c r="GV56" s="400">
        <v>0</v>
      </c>
      <c r="GW56" s="400">
        <v>0</v>
      </c>
      <c r="GX56" s="400">
        <v>0</v>
      </c>
      <c r="GY56" s="400">
        <v>0</v>
      </c>
      <c r="GZ56" s="400">
        <v>0</v>
      </c>
      <c r="HA56" s="400">
        <v>0</v>
      </c>
      <c r="HB56" s="400">
        <v>0</v>
      </c>
      <c r="HC56" s="400">
        <v>0</v>
      </c>
      <c r="HD56" s="400">
        <v>10456545</v>
      </c>
      <c r="HE56" s="400">
        <v>0</v>
      </c>
      <c r="HF56" s="400">
        <v>0</v>
      </c>
      <c r="HG56" s="400">
        <v>0</v>
      </c>
      <c r="HH56" s="400">
        <v>0</v>
      </c>
      <c r="HI56" s="400">
        <v>417256</v>
      </c>
      <c r="HJ56" s="400">
        <v>0</v>
      </c>
      <c r="HK56" s="400">
        <v>0</v>
      </c>
      <c r="HL56" s="400">
        <v>7803</v>
      </c>
      <c r="HM56" s="400">
        <v>0</v>
      </c>
      <c r="HN56" s="400">
        <v>0</v>
      </c>
      <c r="HO56" s="400">
        <v>1355177</v>
      </c>
      <c r="HP56" s="400">
        <v>477447</v>
      </c>
      <c r="HQ56" s="400">
        <v>0</v>
      </c>
      <c r="HR56" s="400">
        <v>0</v>
      </c>
      <c r="HS56" s="400">
        <v>0</v>
      </c>
      <c r="HT56" s="400">
        <v>0</v>
      </c>
      <c r="HU56" s="400">
        <v>0</v>
      </c>
      <c r="HV56" s="400">
        <v>0</v>
      </c>
      <c r="HW56" s="400">
        <v>0</v>
      </c>
      <c r="HX56" s="400">
        <v>0</v>
      </c>
      <c r="HY56" s="400">
        <v>0</v>
      </c>
      <c r="HZ56" s="400">
        <v>0</v>
      </c>
      <c r="IA56" s="400">
        <v>120809</v>
      </c>
      <c r="IB56" s="400">
        <v>37773</v>
      </c>
      <c r="IC56" s="400">
        <v>0</v>
      </c>
      <c r="ID56" s="400">
        <v>0</v>
      </c>
      <c r="IE56" s="400">
        <v>0</v>
      </c>
      <c r="IF56" s="400">
        <v>0</v>
      </c>
      <c r="IG56" s="400">
        <v>0</v>
      </c>
      <c r="IH56" s="400">
        <v>0</v>
      </c>
      <c r="II56" s="400">
        <v>0</v>
      </c>
      <c r="IJ56" s="400">
        <v>0</v>
      </c>
      <c r="IK56" s="400">
        <v>0</v>
      </c>
      <c r="IL56" s="400">
        <v>0</v>
      </c>
      <c r="IM56" s="400">
        <v>0</v>
      </c>
      <c r="IN56" s="400">
        <v>0</v>
      </c>
      <c r="IO56" s="400">
        <v>24434</v>
      </c>
      <c r="IP56" s="400">
        <v>0</v>
      </c>
      <c r="IQ56" s="400">
        <v>0</v>
      </c>
      <c r="IR56" s="400">
        <v>104527</v>
      </c>
      <c r="IS56" s="400">
        <v>0</v>
      </c>
      <c r="IT56" s="400">
        <v>0</v>
      </c>
      <c r="IU56" s="400">
        <v>0</v>
      </c>
      <c r="IV56" s="400">
        <v>0</v>
      </c>
      <c r="IW56" s="400">
        <v>189113</v>
      </c>
      <c r="IX56" s="400">
        <v>0</v>
      </c>
      <c r="IY56" s="400">
        <v>0</v>
      </c>
      <c r="IZ56" s="400">
        <v>0</v>
      </c>
      <c r="JA56" s="400">
        <v>0</v>
      </c>
      <c r="JB56" s="400">
        <v>12121</v>
      </c>
      <c r="JC56" s="400">
        <v>0</v>
      </c>
      <c r="JD56" s="400">
        <v>0</v>
      </c>
      <c r="JE56" s="400">
        <v>0</v>
      </c>
      <c r="JF56" s="400">
        <v>0</v>
      </c>
      <c r="JG56" s="400">
        <v>0</v>
      </c>
      <c r="JH56" s="400">
        <v>0</v>
      </c>
      <c r="JI56" s="400">
        <v>0</v>
      </c>
      <c r="JJ56" s="400">
        <v>0</v>
      </c>
      <c r="JK56" s="400">
        <v>0</v>
      </c>
      <c r="JL56" s="400">
        <v>0</v>
      </c>
      <c r="JM56" s="400">
        <v>0</v>
      </c>
      <c r="JN56" s="400">
        <v>0</v>
      </c>
      <c r="JO56" s="400">
        <v>0</v>
      </c>
      <c r="JP56" s="400">
        <v>0</v>
      </c>
      <c r="JQ56" s="400">
        <v>0</v>
      </c>
      <c r="JR56" s="400">
        <v>0</v>
      </c>
      <c r="JS56" s="400">
        <v>0</v>
      </c>
      <c r="JT56" s="400">
        <v>0</v>
      </c>
      <c r="JU56" s="400">
        <v>0</v>
      </c>
      <c r="JV56" s="400">
        <v>0</v>
      </c>
      <c r="JW56" s="400">
        <v>0</v>
      </c>
      <c r="JX56" s="400">
        <v>0</v>
      </c>
      <c r="JY56" s="400">
        <v>0</v>
      </c>
      <c r="JZ56" s="400">
        <v>0</v>
      </c>
      <c r="KA56" s="400">
        <v>0</v>
      </c>
      <c r="KB56" s="400">
        <v>0</v>
      </c>
      <c r="KC56" s="400">
        <v>0</v>
      </c>
      <c r="KD56" s="400">
        <v>0</v>
      </c>
      <c r="KE56" s="400">
        <v>0</v>
      </c>
      <c r="KF56" s="400">
        <v>0</v>
      </c>
      <c r="KG56" s="400">
        <v>33247</v>
      </c>
      <c r="KH56" s="400">
        <v>0</v>
      </c>
      <c r="KI56" s="400">
        <v>0</v>
      </c>
      <c r="KJ56" s="400">
        <v>0</v>
      </c>
      <c r="KK56" s="400">
        <v>0</v>
      </c>
      <c r="KL56" s="400">
        <v>0</v>
      </c>
      <c r="KM56" s="400">
        <v>0</v>
      </c>
      <c r="KN56" s="400">
        <v>0</v>
      </c>
      <c r="KO56" s="400">
        <v>0</v>
      </c>
      <c r="KP56" s="400">
        <v>0</v>
      </c>
      <c r="KQ56" s="400">
        <v>0</v>
      </c>
      <c r="KR56" s="400">
        <v>0</v>
      </c>
      <c r="KS56" s="400">
        <v>0</v>
      </c>
      <c r="KT56" s="400">
        <v>0</v>
      </c>
      <c r="KU56" s="400">
        <v>0</v>
      </c>
      <c r="KV56" s="400">
        <v>0</v>
      </c>
      <c r="KW56" s="400">
        <v>0</v>
      </c>
      <c r="KX56" s="400">
        <v>0</v>
      </c>
      <c r="KY56" s="400">
        <v>0</v>
      </c>
      <c r="KZ56" s="400">
        <v>0</v>
      </c>
      <c r="LA56" s="400">
        <v>0</v>
      </c>
      <c r="LB56" s="400">
        <v>0</v>
      </c>
      <c r="LC56" s="400">
        <v>0</v>
      </c>
      <c r="LD56" s="400">
        <v>0</v>
      </c>
      <c r="LE56" s="400">
        <v>0</v>
      </c>
      <c r="LF56" s="400">
        <v>0</v>
      </c>
      <c r="LG56" s="400">
        <v>0</v>
      </c>
      <c r="LH56" s="400">
        <v>0</v>
      </c>
      <c r="LI56" s="400">
        <v>0</v>
      </c>
      <c r="LJ56" s="400">
        <v>0</v>
      </c>
      <c r="LK56" s="400">
        <v>0</v>
      </c>
      <c r="LL56" s="400">
        <v>0</v>
      </c>
      <c r="LM56" s="400">
        <v>88124</v>
      </c>
      <c r="LN56" s="400">
        <v>0</v>
      </c>
      <c r="LO56" s="400">
        <v>0</v>
      </c>
      <c r="LP56" s="400">
        <v>0</v>
      </c>
      <c r="LQ56" s="400">
        <v>292441</v>
      </c>
      <c r="LR56" s="400">
        <v>0</v>
      </c>
      <c r="LS56" s="400">
        <v>0</v>
      </c>
      <c r="LT56" s="400">
        <v>0</v>
      </c>
      <c r="LU56" s="400">
        <v>0</v>
      </c>
      <c r="LV56" s="400">
        <v>0</v>
      </c>
      <c r="LW56" s="400">
        <v>0</v>
      </c>
      <c r="LX56" s="400">
        <v>0</v>
      </c>
      <c r="LY56" s="400">
        <v>0</v>
      </c>
      <c r="LZ56" s="400">
        <v>0</v>
      </c>
      <c r="MA56" s="400">
        <v>0</v>
      </c>
      <c r="MB56" s="400">
        <v>0</v>
      </c>
      <c r="MC56" s="400">
        <v>0</v>
      </c>
      <c r="MD56" s="400">
        <v>0</v>
      </c>
      <c r="ME56" s="400">
        <v>0</v>
      </c>
      <c r="MF56" s="400">
        <v>0</v>
      </c>
      <c r="MG56" s="400">
        <v>0</v>
      </c>
      <c r="MH56" s="400">
        <v>0</v>
      </c>
      <c r="MI56" s="400">
        <v>0</v>
      </c>
      <c r="MJ56" s="400">
        <v>0</v>
      </c>
      <c r="MK56" s="400">
        <v>0</v>
      </c>
      <c r="ML56" s="400">
        <v>0</v>
      </c>
      <c r="MM56" s="400">
        <v>0</v>
      </c>
      <c r="MN56" s="400">
        <v>0</v>
      </c>
      <c r="MO56" s="400">
        <v>23478</v>
      </c>
      <c r="MP56" s="400">
        <v>0</v>
      </c>
      <c r="MQ56" s="400">
        <v>0</v>
      </c>
      <c r="MR56" s="400">
        <v>771196</v>
      </c>
      <c r="MS56" s="400">
        <v>0</v>
      </c>
      <c r="MT56" s="400">
        <v>0</v>
      </c>
      <c r="MU56" s="400">
        <v>0</v>
      </c>
      <c r="MV56" s="400">
        <v>0</v>
      </c>
      <c r="MW56" s="400">
        <v>405047</v>
      </c>
      <c r="MX56" s="400">
        <v>13079</v>
      </c>
      <c r="MY56" s="400">
        <v>0</v>
      </c>
      <c r="MZ56" s="400">
        <v>0</v>
      </c>
      <c r="NA56" s="400">
        <v>0</v>
      </c>
      <c r="NB56" s="400">
        <v>0</v>
      </c>
      <c r="NC56" s="400">
        <v>0</v>
      </c>
      <c r="ND56" s="400">
        <v>0</v>
      </c>
      <c r="NE56" s="400">
        <v>0</v>
      </c>
      <c r="NF56" s="400">
        <v>0</v>
      </c>
      <c r="NG56" s="400">
        <v>0</v>
      </c>
      <c r="NH56" s="400">
        <v>0</v>
      </c>
      <c r="NI56" s="400">
        <v>0</v>
      </c>
      <c r="NJ56" s="400">
        <v>0</v>
      </c>
      <c r="NK56" s="400">
        <v>0</v>
      </c>
      <c r="NL56" s="400">
        <v>0</v>
      </c>
      <c r="NM56" s="400">
        <v>0</v>
      </c>
      <c r="NN56" s="400">
        <v>0</v>
      </c>
      <c r="NO56" s="400">
        <v>0</v>
      </c>
      <c r="NP56" s="400">
        <v>0</v>
      </c>
      <c r="NQ56" s="400">
        <v>0</v>
      </c>
      <c r="NR56" s="400">
        <v>0</v>
      </c>
      <c r="NS56" s="400">
        <v>0</v>
      </c>
      <c r="NT56" s="400">
        <v>0</v>
      </c>
      <c r="NU56" s="400">
        <v>0</v>
      </c>
      <c r="NV56" s="400">
        <v>91588</v>
      </c>
      <c r="NW56" s="400">
        <v>0</v>
      </c>
      <c r="NX56" s="400">
        <v>134103</v>
      </c>
      <c r="NY56" s="400">
        <v>0</v>
      </c>
      <c r="NZ56" s="400">
        <v>0</v>
      </c>
      <c r="OA56" s="400">
        <v>0</v>
      </c>
      <c r="OB56" s="400">
        <v>0</v>
      </c>
      <c r="OC56" s="400">
        <v>0</v>
      </c>
      <c r="OD56" s="400">
        <v>0</v>
      </c>
      <c r="OE56" s="400">
        <v>0</v>
      </c>
      <c r="OF56" s="400">
        <v>0</v>
      </c>
      <c r="OG56" s="400">
        <v>0</v>
      </c>
      <c r="OH56" s="400">
        <v>0</v>
      </c>
      <c r="OI56" s="400">
        <v>0</v>
      </c>
      <c r="OJ56" s="400">
        <v>0</v>
      </c>
      <c r="OK56" s="400">
        <v>0</v>
      </c>
      <c r="OL56" s="400">
        <v>0</v>
      </c>
      <c r="OM56" s="400">
        <v>0</v>
      </c>
      <c r="ON56" s="400">
        <v>0</v>
      </c>
      <c r="OO56" s="400">
        <v>0</v>
      </c>
      <c r="OP56" s="400">
        <v>0</v>
      </c>
      <c r="OQ56" s="400">
        <v>0</v>
      </c>
      <c r="OR56" s="400">
        <v>0</v>
      </c>
      <c r="OS56" s="400">
        <v>0</v>
      </c>
      <c r="OT56" s="400">
        <v>0</v>
      </c>
      <c r="OU56" s="400">
        <v>0</v>
      </c>
      <c r="OV56" s="400">
        <v>0</v>
      </c>
      <c r="OW56" s="400">
        <v>0</v>
      </c>
      <c r="OX56" s="400">
        <v>0</v>
      </c>
      <c r="OY56" s="400">
        <v>0</v>
      </c>
      <c r="OZ56" s="400">
        <v>0</v>
      </c>
      <c r="PA56" s="400">
        <v>0</v>
      </c>
      <c r="PB56" s="400">
        <v>0</v>
      </c>
      <c r="PC56" s="400">
        <v>0</v>
      </c>
      <c r="PD56" s="400">
        <v>64698</v>
      </c>
      <c r="PE56" s="400">
        <v>0</v>
      </c>
      <c r="PF56" s="400">
        <v>0</v>
      </c>
      <c r="PG56" s="400">
        <v>0</v>
      </c>
      <c r="PH56" s="400">
        <v>0</v>
      </c>
      <c r="PI56" s="400">
        <v>0</v>
      </c>
      <c r="PJ56" s="400">
        <v>0</v>
      </c>
      <c r="PK56" s="400">
        <v>0</v>
      </c>
      <c r="PL56" s="400">
        <v>0</v>
      </c>
      <c r="PM56" s="400">
        <v>0</v>
      </c>
      <c r="PN56" s="400">
        <v>0</v>
      </c>
      <c r="PO56" s="400">
        <v>0</v>
      </c>
      <c r="PP56" s="400">
        <v>0</v>
      </c>
      <c r="PQ56" s="400">
        <v>0</v>
      </c>
      <c r="PR56" s="400">
        <v>0</v>
      </c>
      <c r="PS56" s="400">
        <v>0</v>
      </c>
      <c r="PT56" s="400">
        <v>0</v>
      </c>
      <c r="PU56" s="400">
        <v>0</v>
      </c>
      <c r="PV56" s="400">
        <v>0</v>
      </c>
      <c r="PW56" s="400">
        <v>0</v>
      </c>
      <c r="PX56" s="400">
        <v>0</v>
      </c>
      <c r="PY56" s="400">
        <v>0</v>
      </c>
      <c r="PZ56" s="400">
        <v>0</v>
      </c>
      <c r="QA56" s="400">
        <v>0</v>
      </c>
      <c r="QB56" s="400">
        <v>0</v>
      </c>
      <c r="QC56" s="400">
        <v>0</v>
      </c>
      <c r="QD56" s="400">
        <v>0</v>
      </c>
      <c r="QE56" s="400">
        <v>0</v>
      </c>
      <c r="QF56" s="400">
        <v>0</v>
      </c>
      <c r="QG56" s="400">
        <v>0</v>
      </c>
      <c r="QH56" s="400">
        <v>0</v>
      </c>
      <c r="QI56" s="400">
        <v>0</v>
      </c>
      <c r="QJ56" s="400">
        <v>0</v>
      </c>
      <c r="QK56" s="400">
        <v>0</v>
      </c>
      <c r="QL56" s="400">
        <v>0</v>
      </c>
      <c r="QM56" s="400">
        <v>0</v>
      </c>
      <c r="QN56" s="400">
        <v>0</v>
      </c>
      <c r="QO56" s="400">
        <v>0</v>
      </c>
      <c r="QP56" s="400">
        <v>0</v>
      </c>
      <c r="QQ56" s="400">
        <v>0</v>
      </c>
      <c r="QR56" s="400">
        <v>0</v>
      </c>
      <c r="QS56" s="400">
        <v>88308</v>
      </c>
      <c r="QT56" s="400">
        <v>0</v>
      </c>
      <c r="QU56" s="400">
        <v>633955</v>
      </c>
      <c r="QV56" s="400">
        <v>878</v>
      </c>
      <c r="QW56" s="400">
        <v>180000</v>
      </c>
      <c r="QX56" s="400">
        <v>0</v>
      </c>
      <c r="QY56" s="400">
        <v>0</v>
      </c>
      <c r="QZ56" s="400">
        <v>0</v>
      </c>
      <c r="RA56" s="400">
        <v>0</v>
      </c>
      <c r="RB56" s="400">
        <v>0</v>
      </c>
      <c r="RG56" s="39">
        <f t="shared" si="126"/>
        <v>10456545</v>
      </c>
      <c r="RH56" s="39">
        <f t="shared" si="126"/>
        <v>417256</v>
      </c>
      <c r="RI56" s="39">
        <f t="shared" si="126"/>
        <v>7803</v>
      </c>
      <c r="RJ56" s="39">
        <f t="shared" si="126"/>
        <v>0</v>
      </c>
      <c r="RK56" s="39">
        <f t="shared" si="126"/>
        <v>0</v>
      </c>
      <c r="RL56" s="39">
        <f t="shared" si="126"/>
        <v>1355177</v>
      </c>
      <c r="RM56" s="39">
        <f t="shared" si="126"/>
        <v>636029</v>
      </c>
      <c r="RN56" s="39">
        <f t="shared" si="126"/>
        <v>24434</v>
      </c>
      <c r="RO56" s="39">
        <f t="shared" si="126"/>
        <v>104527</v>
      </c>
      <c r="RP56" s="39">
        <f t="shared" si="126"/>
        <v>189113</v>
      </c>
      <c r="RQ56" s="39">
        <f t="shared" si="126"/>
        <v>12121</v>
      </c>
      <c r="RR56" s="39">
        <f t="shared" si="126"/>
        <v>0</v>
      </c>
      <c r="RS56" s="39"/>
      <c r="RT56" s="182"/>
      <c r="RU56" s="39"/>
      <c r="RV56" s="39">
        <f t="shared" si="127"/>
        <v>1852303</v>
      </c>
      <c r="RW56" s="39">
        <f t="shared" si="127"/>
        <v>13203005</v>
      </c>
      <c r="RX56" s="39">
        <f t="shared" si="127"/>
        <v>1416031</v>
      </c>
      <c r="RY56" s="39">
        <f t="shared" si="127"/>
        <v>967839</v>
      </c>
      <c r="RZ56" s="39"/>
      <c r="SA56" s="182"/>
      <c r="SB56" s="39"/>
      <c r="SC56" s="25">
        <f t="shared" si="50"/>
        <v>583.44911413267414</v>
      </c>
      <c r="SD56" s="39">
        <f>IFERROR(VLOOKUP(A56, 'Levy Data 15-16'!$B:$O, 3, FALSE), 0)</f>
        <v>465632152</v>
      </c>
      <c r="SE56" s="39">
        <f t="shared" si="88"/>
        <v>191855.02760609807</v>
      </c>
      <c r="SF56" s="631">
        <f>IFERROR(VLOOKUP(A56, 'Levy Data 15-16'!$B:$O, 14, FALSE), 0)*1000</f>
        <v>2.0028229999999998</v>
      </c>
      <c r="SG56" s="39">
        <f t="shared" si="89"/>
        <v>0</v>
      </c>
      <c r="SH56" s="39">
        <f t="shared" si="90"/>
        <v>0</v>
      </c>
      <c r="SI56" s="39">
        <f t="shared" si="91"/>
        <v>1416031</v>
      </c>
      <c r="SM56" s="39">
        <f t="shared" si="92"/>
        <v>13203005</v>
      </c>
      <c r="SN56" s="39">
        <f t="shared" si="93"/>
        <v>0</v>
      </c>
      <c r="SO56" s="39">
        <f t="shared" si="51"/>
        <v>13203005</v>
      </c>
      <c r="SP56" s="50">
        <f t="shared" si="52"/>
        <v>1</v>
      </c>
      <c r="ST56" s="124">
        <f>IFERROR(VLOOKUP(A56,'Grade Enroll 15-16'!B:AC,27,FALSE),"")</f>
        <v>2427</v>
      </c>
      <c r="SU56" s="124">
        <f t="shared" si="53"/>
        <v>1048.295792079208</v>
      </c>
      <c r="SV56" s="131">
        <f>IFERROR(VLOOKUP($A56, 'Title I Enroll 16-17'!S:V, 4, FALSE), 0)</f>
        <v>0.43193069306930693</v>
      </c>
      <c r="SW56" s="729">
        <f>IFERROR(VLOOKUP(A56, 'ELL Enroll 15-16'!$N:$S, 6, FALSE), 0)</f>
        <v>121</v>
      </c>
      <c r="SX56" s="131">
        <f t="shared" si="54"/>
        <v>4.9855789039967034E-2</v>
      </c>
      <c r="SY56" s="124">
        <f>IFERROR(VLOOKUP(A56, 'SPED enroll 2015-16'!$M:$O, 3, FALSE), 0)</f>
        <v>259</v>
      </c>
      <c r="SZ56" s="131">
        <f t="shared" si="55"/>
        <v>0.10671611042439226</v>
      </c>
      <c r="TA56" s="142">
        <f t="shared" si="87"/>
        <v>181.29999999999998</v>
      </c>
      <c r="TB56" s="142">
        <f t="shared" si="87"/>
        <v>51.800000000000004</v>
      </c>
      <c r="TC56" s="142">
        <f t="shared" si="87"/>
        <v>18.130000000000003</v>
      </c>
      <c r="TD56" s="142">
        <f t="shared" si="87"/>
        <v>7.77</v>
      </c>
      <c r="TE56" s="124">
        <f>VLOOKUP($A56, 'Grade Enroll 15-16'!$B:$AB, 20, FALSE)</f>
        <v>19</v>
      </c>
      <c r="TF56" s="124">
        <f>VLOOKUP($A56, 'Grade Enroll 15-16'!$B:$AB, 21, FALSE)</f>
        <v>160</v>
      </c>
      <c r="TG56" s="124">
        <f>VLOOKUP($A56, 'Grade Enroll 15-16'!$B:$AB, 22, FALSE)</f>
        <v>548</v>
      </c>
      <c r="TH56" s="124">
        <f>VLOOKUP($A56, 'Grade Enroll 15-16'!$B:$AB, 23, FALSE)</f>
        <v>591</v>
      </c>
      <c r="TI56" s="124">
        <f>VLOOKUP($A56, 'Grade Enroll 15-16'!$B:$AB, 24, FALSE)</f>
        <v>380</v>
      </c>
      <c r="TJ56" s="124">
        <f>VLOOKUP($A56, 'Grade Enroll 15-16'!$B:$AB, 25, FALSE)</f>
        <v>908</v>
      </c>
      <c r="TK56" s="124">
        <f>VLOOKUP($A56, 'Grade Enroll 15-16'!$B:$AB, 26, FALSE)</f>
        <v>1574</v>
      </c>
      <c r="TL56" s="131">
        <f>SUMIFS('Student Achievement 15-16'!N:N, 'Student Achievement 15-16'!B:B, 'Idaho Data'!A56, 'Student Achievement 15-16'!D:D, "math")/100</f>
        <v>0.3</v>
      </c>
      <c r="TM56" s="134">
        <f t="shared" si="57"/>
        <v>728.1</v>
      </c>
      <c r="TN56" s="131">
        <f>SUMIFS('Student Achievement 15-16'!N:N, 'Student Achievement 15-16'!B:B, 'Idaho Data'!A56, 'Student Achievement 15-16'!D:D, "ela")/100</f>
        <v>0.20800000000000002</v>
      </c>
      <c r="TO56" s="134">
        <f t="shared" si="58"/>
        <v>504.81600000000003</v>
      </c>
      <c r="TP56" s="688">
        <f>IFERROR(VLOOKUP(A56, 'G&amp;T 15-16'!B:G, 6, FALSE), 0)*1</f>
        <v>0</v>
      </c>
      <c r="TQ56" s="168">
        <f t="shared" si="59"/>
        <v>145.62</v>
      </c>
      <c r="TU56" s="168">
        <f t="shared" si="60"/>
        <v>504.81600000000003</v>
      </c>
      <c r="TV56" s="168">
        <f t="shared" si="61"/>
        <v>728.1</v>
      </c>
      <c r="TW56" s="205">
        <f t="shared" si="62"/>
        <v>728.1</v>
      </c>
      <c r="TX56" s="144"/>
      <c r="TY56" s="129"/>
      <c r="TZ56" s="127">
        <f t="shared" si="63"/>
        <v>0</v>
      </c>
      <c r="UA56" s="127">
        <f t="shared" si="64"/>
        <v>145.62</v>
      </c>
      <c r="UB56" s="205">
        <f t="shared" si="65"/>
        <v>145.62</v>
      </c>
      <c r="UE56" s="853" t="str">
        <f>IF(ST56&lt;='1. Simulator Input'!$E$104, "yes", "")</f>
        <v/>
      </c>
      <c r="UI56" s="199">
        <f t="shared" si="66"/>
        <v>0</v>
      </c>
      <c r="UJ56" s="200">
        <f>IF('Idaho Data'!SI56&gt;=0, ((1-'1. Simulator Input'!$E$39)*'Idaho Data'!SI56), 0)</f>
        <v>0</v>
      </c>
      <c r="UK56" s="200">
        <f t="shared" si="67"/>
        <v>13203005</v>
      </c>
      <c r="UL56" s="39"/>
      <c r="UM56" s="182"/>
      <c r="UN56" s="39"/>
      <c r="UO56" s="39" t="str">
        <f>IF(AND('1. Simulator Input'!$E$96="yes", '1. Simulator Input'!$E$98="yes", '1. Simulator Input'!$E$100="hold harmless"), 'Idaho Data'!WN56, IF(AND('1. Simulator Input'!$E$96="yes", '1. Simulator Input'!$E$98="no", '1. Simulator Input'!$E$100="hold harmless"), 'Idaho Data'!WM56, IF(AND('1. Simulator Input'!$E$96="yes", '1. Simulator Input'!$E$98="yes", '1. Simulator Input'!$E$100="small district grant"), WL56,IF(AND('1. Simulator Input'!$E$96="yes", '1. Simulator Input'!$E$98="no", '1. Simulator Input'!$E$100="small district grant"), WK56, ""))))</f>
        <v/>
      </c>
      <c r="UP56" s="200">
        <f>'1. Simulator Input'!$D$56*('Idaho Data'!ST56)</f>
        <v>13411602</v>
      </c>
      <c r="UQ56" s="204">
        <f>'1. Simulator Input'!$D$65*'1. Simulator Input'!$D$56*'Idaho Data'!SU56</f>
        <v>0</v>
      </c>
      <c r="UR56" s="204">
        <f>'1. Simulator Input'!$D$66*'1. Simulator Input'!$D$56*'Idaho Data'!SW56</f>
        <v>0</v>
      </c>
      <c r="US56" s="200">
        <f>'1. Simulator Input'!$D$67*'1. Simulator Input'!$D$56*'Idaho Data'!TA56</f>
        <v>0</v>
      </c>
      <c r="UT56" s="200">
        <f>'1. Simulator Input'!$D$68*'1. Simulator Input'!$D$56*'Idaho Data'!TB56</f>
        <v>0</v>
      </c>
      <c r="UU56" s="200">
        <f>'1. Simulator Input'!$D$69*'1. Simulator Input'!$D$56*'Idaho Data'!TC56</f>
        <v>0</v>
      </c>
      <c r="UV56" s="200">
        <f>'1. Simulator Input'!$D$70*'1. Simulator Input'!$D$56*TD56</f>
        <v>0</v>
      </c>
      <c r="UW56" s="200">
        <f>'1. Simulator Input'!$D$80*'1. Simulator Input'!$D$56*TW56</f>
        <v>0</v>
      </c>
      <c r="UX56" s="200">
        <f>'1. Simulator Input'!$D$79*'1. Simulator Input'!$D$56*UB56</f>
        <v>0</v>
      </c>
      <c r="UY56" s="200">
        <f>'1. Simulator Input'!$D$87*'1. Simulator Input'!$D$56*TF56</f>
        <v>442080</v>
      </c>
      <c r="UZ56" s="200">
        <f>'1. Simulator Input'!$D$73*'1. Simulator Input'!$D$56*'Idaho Data'!TG56</f>
        <v>0</v>
      </c>
      <c r="VA56" s="200">
        <f>'1. Simulator Input'!$D$56*'1. Simulator Input'!$D$74*'Idaho Data'!TH56</f>
        <v>0</v>
      </c>
      <c r="VB56" s="200">
        <f>'1. Simulator Input'!$D$56*'1. Simulator Input'!$D$75*'Idaho Data'!TI51</f>
        <v>0</v>
      </c>
      <c r="VC56" s="200">
        <f>'1. Simulator Input'!$D$76*'1. Simulator Input'!$D$56*'Idaho Data'!TJ56</f>
        <v>0</v>
      </c>
      <c r="VD56" s="200">
        <f t="shared" si="68"/>
        <v>13853682</v>
      </c>
      <c r="VE56" s="200"/>
      <c r="VF56" s="182"/>
      <c r="VG56" s="200"/>
      <c r="VH56" s="200">
        <f t="shared" si="69"/>
        <v>0</v>
      </c>
      <c r="VI56" s="200">
        <f t="shared" si="70"/>
        <v>0</v>
      </c>
      <c r="VJ56" s="200">
        <f t="shared" si="94"/>
        <v>13853682</v>
      </c>
      <c r="VK56" s="200">
        <f t="shared" si="95"/>
        <v>13853682</v>
      </c>
      <c r="VL56" s="200"/>
      <c r="VM56" s="182"/>
      <c r="VN56" s="200"/>
      <c r="VO56" s="200">
        <f t="shared" si="71"/>
        <v>1852303</v>
      </c>
      <c r="VP56" s="200">
        <f t="shared" si="72"/>
        <v>13203005</v>
      </c>
      <c r="VQ56" s="200">
        <f t="shared" si="73"/>
        <v>1416031</v>
      </c>
      <c r="VR56" s="200">
        <f t="shared" si="74"/>
        <v>1852303</v>
      </c>
      <c r="VS56" s="200">
        <f t="shared" si="96"/>
        <v>13853682</v>
      </c>
      <c r="VT56" s="200">
        <f t="shared" si="97"/>
        <v>1416031</v>
      </c>
      <c r="VU56" s="200">
        <f t="shared" si="98"/>
        <v>0</v>
      </c>
      <c r="VV56" s="200"/>
      <c r="VW56" s="182"/>
      <c r="VX56" s="200"/>
      <c r="VZ56" s="199">
        <f t="shared" si="75"/>
        <v>650677</v>
      </c>
      <c r="WA56" s="199">
        <f t="shared" si="76"/>
        <v>268.09929954676556</v>
      </c>
      <c r="WB56" s="131">
        <f t="shared" si="77"/>
        <v>4.9282492887035942E-2</v>
      </c>
      <c r="WC56" s="131"/>
      <c r="WD56" s="461"/>
      <c r="WE56" s="893"/>
      <c r="WF56" s="893">
        <f t="shared" si="78"/>
        <v>6786.70745776679</v>
      </c>
      <c r="WG56" s="893">
        <f t="shared" si="79"/>
        <v>7054.8067573135559</v>
      </c>
      <c r="WH56" s="893"/>
      <c r="WI56" s="893">
        <f t="shared" si="80"/>
        <v>13203005</v>
      </c>
      <c r="WJ56" s="893">
        <f t="shared" si="99"/>
        <v>13853682</v>
      </c>
      <c r="WK56" s="39" t="str">
        <f t="shared" si="100"/>
        <v/>
      </c>
      <c r="WL56" s="39" t="str">
        <f t="shared" si="101"/>
        <v/>
      </c>
      <c r="WM56" s="200" t="str">
        <f t="shared" si="102"/>
        <v/>
      </c>
      <c r="WN56" s="39" t="str">
        <f t="shared" si="103"/>
        <v/>
      </c>
      <c r="WO56" s="39"/>
      <c r="WP56" s="182"/>
      <c r="WQ56" s="39"/>
      <c r="WR56" s="305">
        <f t="shared" si="104"/>
        <v>1.7000000000000001E-2</v>
      </c>
      <c r="WT56" s="200">
        <f t="shared" si="105"/>
        <v>5440.0515039142974</v>
      </c>
      <c r="WU56" s="131">
        <f t="shared" si="81"/>
        <v>0.09</v>
      </c>
      <c r="WW56" s="199">
        <f t="shared" si="106"/>
        <v>1852303</v>
      </c>
      <c r="WX56" s="199">
        <f t="shared" si="107"/>
        <v>13853682</v>
      </c>
      <c r="WY56" s="199">
        <f t="shared" si="108"/>
        <v>0</v>
      </c>
      <c r="WZ56" s="199">
        <f t="shared" si="82"/>
        <v>13853682</v>
      </c>
      <c r="XA56" s="199">
        <f t="shared" si="109"/>
        <v>0</v>
      </c>
      <c r="XB56" s="199">
        <f t="shared" si="110"/>
        <v>1416031</v>
      </c>
      <c r="XC56" s="199">
        <f t="shared" si="111"/>
        <v>1416031</v>
      </c>
      <c r="XD56" s="199" t="str">
        <f t="shared" si="112"/>
        <v/>
      </c>
      <c r="XE56" s="199"/>
      <c r="XF56" s="199"/>
      <c r="XG56" s="199"/>
      <c r="XH56" s="199"/>
      <c r="XI56" s="199"/>
      <c r="XJ56" s="199">
        <f t="shared" si="83"/>
        <v>13853682</v>
      </c>
      <c r="XP56" s="199">
        <f t="shared" si="113"/>
        <v>13853682</v>
      </c>
      <c r="XQ56" s="199">
        <f t="shared" si="114"/>
        <v>5708.1508034610633</v>
      </c>
      <c r="XR56" s="199">
        <f t="shared" si="115"/>
        <v>13853682</v>
      </c>
      <c r="XS56" s="199">
        <f t="shared" si="116"/>
        <v>13853682</v>
      </c>
      <c r="XT56" s="199">
        <f t="shared" si="117"/>
        <v>5708.1508034610633</v>
      </c>
      <c r="XU56" s="199">
        <f t="shared" si="118"/>
        <v>13203005</v>
      </c>
      <c r="XV56" s="199">
        <f t="shared" si="119"/>
        <v>5440.0515039142974</v>
      </c>
      <c r="XW56" s="199">
        <f t="shared" si="120"/>
        <v>13203005</v>
      </c>
      <c r="XX56" s="199">
        <f t="shared" si="121"/>
        <v>5440.0515039142974</v>
      </c>
      <c r="XY56" s="199">
        <f t="shared" si="84"/>
        <v>650677</v>
      </c>
      <c r="XZ56" s="199">
        <f t="shared" si="85"/>
        <v>268.09929954676591</v>
      </c>
      <c r="YA56" s="131">
        <f t="shared" si="86"/>
        <v>4.9282492887036011E-2</v>
      </c>
      <c r="YB56" s="199"/>
      <c r="YC56" s="221"/>
      <c r="YD56" s="199"/>
      <c r="YE56" s="199">
        <f t="shared" si="122"/>
        <v>1852303</v>
      </c>
      <c r="YF56" s="200">
        <f t="shared" si="123"/>
        <v>0</v>
      </c>
      <c r="YG56" s="199">
        <f t="shared" si="124"/>
        <v>1416031</v>
      </c>
      <c r="YH56" s="199">
        <f t="shared" si="125"/>
        <v>967839</v>
      </c>
    </row>
    <row r="57" spans="1:658">
      <c r="A57" s="3">
        <v>202</v>
      </c>
      <c r="B57" s="2" t="s">
        <v>151</v>
      </c>
      <c r="C57" s="24">
        <v>0</v>
      </c>
      <c r="D57" s="24">
        <v>0</v>
      </c>
      <c r="E57" s="24">
        <v>0</v>
      </c>
      <c r="F57" s="24">
        <v>0</v>
      </c>
      <c r="G57" s="24">
        <v>81987</v>
      </c>
      <c r="H57" s="24">
        <v>0</v>
      </c>
      <c r="I57" s="24">
        <v>0</v>
      </c>
      <c r="J57" s="24">
        <v>45974</v>
      </c>
      <c r="K57" s="24">
        <v>0</v>
      </c>
      <c r="L57" s="24">
        <v>0</v>
      </c>
      <c r="M57" s="24">
        <v>0</v>
      </c>
      <c r="N57" s="24">
        <v>1190</v>
      </c>
      <c r="O57" s="24">
        <v>0</v>
      </c>
      <c r="P57" s="24">
        <v>0</v>
      </c>
      <c r="Q57" s="24">
        <v>0</v>
      </c>
      <c r="R57" s="24">
        <v>0</v>
      </c>
      <c r="S57" s="24">
        <v>0</v>
      </c>
      <c r="T57" s="24">
        <v>40416</v>
      </c>
      <c r="U57" s="24">
        <v>0</v>
      </c>
      <c r="V57" s="24">
        <v>0</v>
      </c>
      <c r="W57" s="24">
        <v>0</v>
      </c>
      <c r="X57" s="24">
        <v>0</v>
      </c>
      <c r="Y57" s="24">
        <v>1893</v>
      </c>
      <c r="Z57" s="24">
        <v>0</v>
      </c>
      <c r="AA57" s="24">
        <v>0</v>
      </c>
      <c r="AB57" s="24">
        <v>0</v>
      </c>
      <c r="AC57" s="24">
        <v>0</v>
      </c>
      <c r="AD57" s="24">
        <v>0</v>
      </c>
      <c r="AE57" s="24">
        <v>0</v>
      </c>
      <c r="AF57" s="24">
        <v>0</v>
      </c>
      <c r="AG57" s="24">
        <v>0</v>
      </c>
      <c r="AH57" s="24">
        <v>0</v>
      </c>
      <c r="AI57" s="24">
        <v>0</v>
      </c>
      <c r="AJ57" s="24">
        <v>0</v>
      </c>
      <c r="AK57" s="24">
        <v>0</v>
      </c>
      <c r="AL57" s="24">
        <v>6654</v>
      </c>
      <c r="AM57" s="24">
        <v>0</v>
      </c>
      <c r="AN57" s="24">
        <v>0</v>
      </c>
      <c r="AO57" s="24">
        <v>0</v>
      </c>
      <c r="AP57" s="24">
        <v>0</v>
      </c>
      <c r="AQ57" s="24">
        <v>0</v>
      </c>
      <c r="AR57" s="24">
        <v>0</v>
      </c>
      <c r="AS57" s="24">
        <v>0</v>
      </c>
      <c r="AT57" s="24">
        <v>0</v>
      </c>
      <c r="AU57" s="24">
        <v>0</v>
      </c>
      <c r="AV57" s="24">
        <v>0</v>
      </c>
      <c r="AW57" s="24">
        <v>0</v>
      </c>
      <c r="AX57" s="24">
        <v>0</v>
      </c>
      <c r="AY57" s="24">
        <v>0</v>
      </c>
      <c r="AZ57" s="24">
        <v>0</v>
      </c>
      <c r="BA57" s="24">
        <v>0</v>
      </c>
      <c r="BB57" s="24">
        <v>0</v>
      </c>
      <c r="BC57" s="24">
        <v>117</v>
      </c>
      <c r="BD57" s="24">
        <v>0</v>
      </c>
      <c r="BE57" s="24">
        <v>0</v>
      </c>
      <c r="BF57" s="24">
        <v>0</v>
      </c>
      <c r="BG57" s="24">
        <v>0</v>
      </c>
      <c r="BH57" s="24">
        <v>0</v>
      </c>
      <c r="BI57" s="24">
        <v>0</v>
      </c>
      <c r="BJ57" s="24">
        <v>0</v>
      </c>
      <c r="BK57" s="24">
        <v>0</v>
      </c>
      <c r="BL57" s="24">
        <v>0</v>
      </c>
      <c r="BM57" s="24">
        <v>0</v>
      </c>
      <c r="BN57" s="24">
        <v>0</v>
      </c>
      <c r="BO57" s="24">
        <v>0</v>
      </c>
      <c r="BP57" s="24">
        <v>0</v>
      </c>
      <c r="BQ57" s="24">
        <v>0</v>
      </c>
      <c r="BR57" s="24">
        <v>0</v>
      </c>
      <c r="BS57" s="24">
        <v>0</v>
      </c>
      <c r="BT57" s="24">
        <v>0</v>
      </c>
      <c r="BU57" s="24">
        <v>0</v>
      </c>
      <c r="BV57" s="24">
        <v>0</v>
      </c>
      <c r="BW57" s="24">
        <v>0</v>
      </c>
      <c r="BX57" s="24">
        <v>0</v>
      </c>
      <c r="BY57" s="24">
        <v>0</v>
      </c>
      <c r="BZ57" s="24">
        <v>0</v>
      </c>
      <c r="CA57" s="24">
        <v>0</v>
      </c>
      <c r="CB57" s="24">
        <v>0</v>
      </c>
      <c r="CC57" s="24">
        <v>0</v>
      </c>
      <c r="CD57" s="24">
        <v>69476</v>
      </c>
      <c r="CE57" s="24">
        <v>0</v>
      </c>
      <c r="CF57" s="24">
        <v>0</v>
      </c>
      <c r="CG57" s="24">
        <v>0</v>
      </c>
      <c r="CH57" s="24">
        <v>0</v>
      </c>
      <c r="CI57" s="24">
        <v>0</v>
      </c>
      <c r="CJ57" s="24">
        <v>0</v>
      </c>
      <c r="CK57" s="24">
        <v>0</v>
      </c>
      <c r="CL57" s="24">
        <v>0</v>
      </c>
      <c r="CM57" s="24">
        <v>0</v>
      </c>
      <c r="CN57" s="24">
        <v>0</v>
      </c>
      <c r="CO57" s="24">
        <v>0</v>
      </c>
      <c r="CP57" s="24">
        <v>0</v>
      </c>
      <c r="CQ57" s="24">
        <v>0</v>
      </c>
      <c r="CR57" s="24">
        <v>0</v>
      </c>
      <c r="CS57" s="24">
        <v>0</v>
      </c>
      <c r="CT57" s="24">
        <v>0</v>
      </c>
      <c r="CU57" s="24">
        <v>0</v>
      </c>
      <c r="CV57" s="24">
        <v>0</v>
      </c>
      <c r="CW57" s="24">
        <v>0</v>
      </c>
      <c r="CX57" s="24">
        <v>0</v>
      </c>
      <c r="CY57" s="24">
        <v>0</v>
      </c>
      <c r="CZ57" s="24">
        <v>0</v>
      </c>
      <c r="DA57" s="24">
        <v>0</v>
      </c>
      <c r="DB57" s="24">
        <v>4360</v>
      </c>
      <c r="DC57" s="24">
        <v>0</v>
      </c>
      <c r="DD57" s="24">
        <v>0</v>
      </c>
      <c r="DE57" s="24">
        <v>0</v>
      </c>
      <c r="DF57" s="24">
        <v>0</v>
      </c>
      <c r="DG57" s="24">
        <v>0</v>
      </c>
      <c r="DH57" s="24">
        <v>0</v>
      </c>
      <c r="DI57" s="24">
        <v>0</v>
      </c>
      <c r="DJ57" s="24">
        <v>0</v>
      </c>
      <c r="DK57" s="24">
        <v>0</v>
      </c>
      <c r="DL57" s="24">
        <v>0</v>
      </c>
      <c r="DM57" s="24">
        <v>0</v>
      </c>
      <c r="DN57" s="24">
        <v>0</v>
      </c>
      <c r="DO57" s="24">
        <v>0</v>
      </c>
      <c r="DP57" s="24">
        <v>0</v>
      </c>
      <c r="DQ57" s="24">
        <v>0</v>
      </c>
      <c r="DR57" s="24">
        <v>0</v>
      </c>
      <c r="DS57" s="24">
        <v>0</v>
      </c>
      <c r="DT57" s="24">
        <v>0</v>
      </c>
      <c r="DU57" s="24">
        <v>0</v>
      </c>
      <c r="DV57" s="24">
        <v>0</v>
      </c>
      <c r="DW57" s="24">
        <v>0</v>
      </c>
      <c r="DX57" s="24">
        <v>0</v>
      </c>
      <c r="DY57" s="24">
        <v>0</v>
      </c>
      <c r="DZ57" s="24">
        <v>0</v>
      </c>
      <c r="EA57" s="24">
        <v>0</v>
      </c>
      <c r="EB57" s="24">
        <v>0</v>
      </c>
      <c r="EC57" s="24">
        <v>0</v>
      </c>
      <c r="ED57" s="24">
        <v>0</v>
      </c>
      <c r="EE57" s="24">
        <v>0</v>
      </c>
      <c r="EF57" s="24">
        <v>0</v>
      </c>
      <c r="EG57" s="24">
        <v>0</v>
      </c>
      <c r="EH57" s="24">
        <v>0</v>
      </c>
      <c r="EI57" s="24">
        <v>0</v>
      </c>
      <c r="EJ57" s="24">
        <v>0</v>
      </c>
      <c r="EK57" s="24">
        <v>0</v>
      </c>
      <c r="EL57" s="24">
        <v>0</v>
      </c>
      <c r="EM57" s="24">
        <v>0</v>
      </c>
      <c r="EN57" s="24">
        <v>0</v>
      </c>
      <c r="EO57" s="24">
        <v>0</v>
      </c>
      <c r="EP57" s="24">
        <v>0</v>
      </c>
      <c r="EQ57" s="24">
        <v>0</v>
      </c>
      <c r="ER57" s="24">
        <v>0</v>
      </c>
      <c r="ES57" s="24">
        <v>0</v>
      </c>
      <c r="ET57" s="24">
        <v>0</v>
      </c>
      <c r="EU57" s="24">
        <v>0</v>
      </c>
      <c r="EV57" s="24">
        <v>0</v>
      </c>
      <c r="EW57" s="24">
        <v>0</v>
      </c>
      <c r="EX57" s="24">
        <v>0</v>
      </c>
      <c r="EY57" s="24">
        <v>0</v>
      </c>
      <c r="EZ57" s="24">
        <v>0</v>
      </c>
      <c r="FA57" s="24">
        <v>0</v>
      </c>
      <c r="FB57" s="24">
        <v>0</v>
      </c>
      <c r="FC57" s="24">
        <v>0</v>
      </c>
      <c r="FD57" s="24">
        <v>0</v>
      </c>
      <c r="FE57" s="24">
        <v>0</v>
      </c>
      <c r="FF57" s="24">
        <v>0</v>
      </c>
      <c r="FG57" s="24">
        <v>0</v>
      </c>
      <c r="FH57" s="24">
        <v>0</v>
      </c>
      <c r="FI57" s="24">
        <v>0</v>
      </c>
      <c r="FJ57" s="24">
        <v>0</v>
      </c>
      <c r="FK57" s="24">
        <v>0</v>
      </c>
      <c r="FL57" s="24">
        <v>0</v>
      </c>
      <c r="FM57" s="24">
        <v>0</v>
      </c>
      <c r="FN57" s="24">
        <v>0</v>
      </c>
      <c r="FO57" s="24">
        <v>0</v>
      </c>
      <c r="FP57" s="24">
        <v>0</v>
      </c>
      <c r="FQ57" s="24">
        <v>0</v>
      </c>
      <c r="FR57" s="24">
        <v>0</v>
      </c>
      <c r="FS57" s="24">
        <v>36838</v>
      </c>
      <c r="FT57" s="24">
        <v>0</v>
      </c>
      <c r="FU57" s="24">
        <v>0</v>
      </c>
      <c r="FV57" s="24">
        <v>0</v>
      </c>
      <c r="FW57" s="24">
        <v>0</v>
      </c>
      <c r="FX57" s="24">
        <v>0</v>
      </c>
      <c r="FY57" s="24">
        <v>0</v>
      </c>
      <c r="FZ57" s="24">
        <v>0</v>
      </c>
      <c r="GA57" s="24">
        <v>0</v>
      </c>
      <c r="GB57" s="24">
        <v>0</v>
      </c>
      <c r="GC57" s="24">
        <v>0</v>
      </c>
      <c r="GD57" s="24">
        <v>0</v>
      </c>
      <c r="GE57" s="24">
        <v>0</v>
      </c>
      <c r="GF57" s="24">
        <v>0</v>
      </c>
      <c r="GG57" s="24">
        <v>0</v>
      </c>
      <c r="GH57" s="24">
        <v>0</v>
      </c>
      <c r="GI57" s="24">
        <v>0</v>
      </c>
      <c r="GJ57" s="24">
        <v>0</v>
      </c>
      <c r="GK57" s="24">
        <v>0</v>
      </c>
      <c r="GL57" s="24">
        <v>0</v>
      </c>
      <c r="GM57" s="24">
        <v>0</v>
      </c>
      <c r="GN57" s="24">
        <v>0</v>
      </c>
      <c r="GO57" s="24">
        <v>0</v>
      </c>
      <c r="GP57" s="24">
        <v>0</v>
      </c>
      <c r="GQ57" s="24">
        <v>0</v>
      </c>
      <c r="GR57" s="24">
        <v>-532</v>
      </c>
      <c r="GS57" s="24">
        <v>0</v>
      </c>
      <c r="GT57" s="24">
        <v>0</v>
      </c>
      <c r="GU57" s="24">
        <v>60970</v>
      </c>
      <c r="GV57" s="24">
        <v>0</v>
      </c>
      <c r="GW57" s="24">
        <v>0</v>
      </c>
      <c r="GX57" s="24">
        <v>0</v>
      </c>
      <c r="GY57" s="24">
        <v>0</v>
      </c>
      <c r="GZ57" s="24">
        <v>0</v>
      </c>
      <c r="HA57" s="24">
        <v>0</v>
      </c>
      <c r="HB57" s="24">
        <v>0</v>
      </c>
      <c r="HC57" s="24">
        <v>0</v>
      </c>
      <c r="HD57" s="24">
        <v>2800058</v>
      </c>
      <c r="HE57" s="24">
        <v>0</v>
      </c>
      <c r="HF57" s="24">
        <v>0</v>
      </c>
      <c r="HG57" s="24">
        <v>0</v>
      </c>
      <c r="HH57" s="24">
        <v>0</v>
      </c>
      <c r="HI57" s="24">
        <v>154304</v>
      </c>
      <c r="HJ57" s="24">
        <v>0</v>
      </c>
      <c r="HK57" s="24">
        <v>0</v>
      </c>
      <c r="HL57" s="24">
        <v>0</v>
      </c>
      <c r="HM57" s="24">
        <v>0</v>
      </c>
      <c r="HN57" s="24">
        <v>0</v>
      </c>
      <c r="HO57" s="24">
        <v>353690</v>
      </c>
      <c r="HP57" s="24">
        <v>158658</v>
      </c>
      <c r="HQ57" s="24">
        <v>0</v>
      </c>
      <c r="HR57" s="24">
        <v>0</v>
      </c>
      <c r="HS57" s="24">
        <v>0</v>
      </c>
      <c r="HT57" s="24">
        <v>0</v>
      </c>
      <c r="HU57" s="24">
        <v>0</v>
      </c>
      <c r="HV57" s="24">
        <v>0</v>
      </c>
      <c r="HW57" s="24">
        <v>0</v>
      </c>
      <c r="HX57" s="24">
        <v>0</v>
      </c>
      <c r="HY57" s="24">
        <v>0</v>
      </c>
      <c r="HZ57" s="24">
        <v>0</v>
      </c>
      <c r="IA57" s="24">
        <v>38243</v>
      </c>
      <c r="IB57" s="24">
        <v>9765</v>
      </c>
      <c r="IC57" s="24">
        <v>0</v>
      </c>
      <c r="ID57" s="24">
        <v>0</v>
      </c>
      <c r="IE57" s="24">
        <v>0</v>
      </c>
      <c r="IF57" s="24">
        <v>0</v>
      </c>
      <c r="IG57" s="24">
        <v>0</v>
      </c>
      <c r="IH57" s="24">
        <v>0</v>
      </c>
      <c r="II57" s="24">
        <v>0</v>
      </c>
      <c r="IJ57" s="24">
        <v>0</v>
      </c>
      <c r="IK57" s="24">
        <v>0</v>
      </c>
      <c r="IL57" s="24">
        <v>0</v>
      </c>
      <c r="IM57" s="24">
        <v>0</v>
      </c>
      <c r="IN57" s="24">
        <v>0</v>
      </c>
      <c r="IO57" s="24">
        <v>5125</v>
      </c>
      <c r="IP57" s="24">
        <v>0</v>
      </c>
      <c r="IQ57" s="24">
        <v>0</v>
      </c>
      <c r="IR57" s="24">
        <v>44973</v>
      </c>
      <c r="IS57" s="24">
        <v>0</v>
      </c>
      <c r="IT57" s="24">
        <v>0</v>
      </c>
      <c r="IU57" s="24">
        <v>0</v>
      </c>
      <c r="IV57" s="24">
        <v>0</v>
      </c>
      <c r="IW57" s="24">
        <v>0</v>
      </c>
      <c r="IX57" s="24">
        <v>0</v>
      </c>
      <c r="IY57" s="24">
        <v>36117</v>
      </c>
      <c r="IZ57" s="24">
        <v>0</v>
      </c>
      <c r="JA57" s="24">
        <v>0</v>
      </c>
      <c r="JB57" s="24">
        <v>9825</v>
      </c>
      <c r="JC57" s="24">
        <v>0</v>
      </c>
      <c r="JD57" s="24">
        <v>0</v>
      </c>
      <c r="JE57" s="24">
        <v>0</v>
      </c>
      <c r="JF57" s="24">
        <v>0</v>
      </c>
      <c r="JG57" s="24">
        <v>0</v>
      </c>
      <c r="JH57" s="24">
        <v>0</v>
      </c>
      <c r="JI57" s="24">
        <v>0</v>
      </c>
      <c r="JJ57" s="24">
        <v>10200</v>
      </c>
      <c r="JK57" s="24">
        <v>0</v>
      </c>
      <c r="JL57" s="24">
        <v>0</v>
      </c>
      <c r="JM57" s="24">
        <v>0</v>
      </c>
      <c r="JN57" s="24">
        <v>0</v>
      </c>
      <c r="JO57" s="24">
        <v>0</v>
      </c>
      <c r="JP57" s="24">
        <v>0</v>
      </c>
      <c r="JQ57" s="24">
        <v>0</v>
      </c>
      <c r="JR57" s="24">
        <v>0</v>
      </c>
      <c r="JS57" s="24">
        <v>0</v>
      </c>
      <c r="JT57" s="24">
        <v>0</v>
      </c>
      <c r="JU57" s="24">
        <v>0</v>
      </c>
      <c r="JV57" s="24">
        <v>0</v>
      </c>
      <c r="JW57" s="24">
        <v>0</v>
      </c>
      <c r="JX57" s="24">
        <v>0</v>
      </c>
      <c r="JY57" s="24">
        <v>0</v>
      </c>
      <c r="JZ57" s="24">
        <v>0</v>
      </c>
      <c r="KA57" s="24">
        <v>0</v>
      </c>
      <c r="KB57" s="24">
        <v>0</v>
      </c>
      <c r="KC57" s="24">
        <v>0</v>
      </c>
      <c r="KD57" s="24">
        <v>0</v>
      </c>
      <c r="KE57" s="24">
        <v>0</v>
      </c>
      <c r="KF57" s="24">
        <v>0</v>
      </c>
      <c r="KG57" s="24">
        <v>15742</v>
      </c>
      <c r="KH57" s="24">
        <v>0</v>
      </c>
      <c r="KI57" s="24">
        <v>0</v>
      </c>
      <c r="KJ57" s="24">
        <v>0</v>
      </c>
      <c r="KK57" s="24">
        <v>0</v>
      </c>
      <c r="KL57" s="24">
        <v>0</v>
      </c>
      <c r="KM57" s="24">
        <v>0</v>
      </c>
      <c r="KN57" s="24">
        <v>0</v>
      </c>
      <c r="KO57" s="24">
        <v>0</v>
      </c>
      <c r="KP57" s="24">
        <v>0</v>
      </c>
      <c r="KQ57" s="24">
        <v>0</v>
      </c>
      <c r="KR57" s="24">
        <v>0</v>
      </c>
      <c r="KS57" s="24">
        <v>0</v>
      </c>
      <c r="KT57" s="24">
        <v>0</v>
      </c>
      <c r="KU57" s="24">
        <v>0</v>
      </c>
      <c r="KV57" s="24">
        <v>0</v>
      </c>
      <c r="KW57" s="24">
        <v>0</v>
      </c>
      <c r="KX57" s="24">
        <v>0</v>
      </c>
      <c r="KY57" s="24">
        <v>0</v>
      </c>
      <c r="KZ57" s="24">
        <v>0</v>
      </c>
      <c r="LA57" s="24">
        <v>0</v>
      </c>
      <c r="LB57" s="24">
        <v>0</v>
      </c>
      <c r="LC57" s="24">
        <v>0</v>
      </c>
      <c r="LD57" s="24">
        <v>0</v>
      </c>
      <c r="LE57" s="24">
        <v>0</v>
      </c>
      <c r="LF57" s="24">
        <v>0</v>
      </c>
      <c r="LG57" s="24">
        <v>0</v>
      </c>
      <c r="LH57" s="24">
        <v>0</v>
      </c>
      <c r="LI57" s="24">
        <v>0</v>
      </c>
      <c r="LJ57" s="24">
        <v>0</v>
      </c>
      <c r="LK57" s="24">
        <v>0</v>
      </c>
      <c r="LL57" s="24">
        <v>0</v>
      </c>
      <c r="LM57" s="24">
        <v>0</v>
      </c>
      <c r="LN57" s="24">
        <v>0</v>
      </c>
      <c r="LO57" s="24">
        <v>0</v>
      </c>
      <c r="LP57" s="24">
        <v>0</v>
      </c>
      <c r="LQ57" s="24">
        <v>119710</v>
      </c>
      <c r="LR57" s="24">
        <v>0</v>
      </c>
      <c r="LS57" s="24">
        <v>0</v>
      </c>
      <c r="LT57" s="24">
        <v>0</v>
      </c>
      <c r="LU57" s="24">
        <v>0</v>
      </c>
      <c r="LV57" s="24">
        <v>0</v>
      </c>
      <c r="LW57" s="24">
        <v>0</v>
      </c>
      <c r="LX57" s="24">
        <v>0</v>
      </c>
      <c r="LY57" s="24">
        <v>0</v>
      </c>
      <c r="LZ57" s="24">
        <v>0</v>
      </c>
      <c r="MA57" s="24">
        <v>0</v>
      </c>
      <c r="MB57" s="24">
        <v>0</v>
      </c>
      <c r="MC57" s="24">
        <v>0</v>
      </c>
      <c r="MD57" s="24">
        <v>0</v>
      </c>
      <c r="ME57" s="24">
        <v>0</v>
      </c>
      <c r="MF57" s="24">
        <v>0</v>
      </c>
      <c r="MG57" s="24">
        <v>0</v>
      </c>
      <c r="MH57" s="24">
        <v>0</v>
      </c>
      <c r="MI57" s="24">
        <v>0</v>
      </c>
      <c r="MJ57" s="24">
        <v>0</v>
      </c>
      <c r="MK57" s="24">
        <v>0</v>
      </c>
      <c r="ML57" s="24">
        <v>0</v>
      </c>
      <c r="MM57" s="24">
        <v>0</v>
      </c>
      <c r="MN57" s="24">
        <v>0</v>
      </c>
      <c r="MO57" s="24">
        <v>14751</v>
      </c>
      <c r="MP57" s="24">
        <v>0</v>
      </c>
      <c r="MQ57" s="24">
        <v>0</v>
      </c>
      <c r="MR57" s="24">
        <v>246859</v>
      </c>
      <c r="MS57" s="24">
        <v>0</v>
      </c>
      <c r="MT57" s="24">
        <v>0</v>
      </c>
      <c r="MU57" s="24">
        <v>0</v>
      </c>
      <c r="MV57" s="24">
        <v>0</v>
      </c>
      <c r="MW57" s="24">
        <v>89610</v>
      </c>
      <c r="MX57" s="24">
        <v>0</v>
      </c>
      <c r="MY57" s="24">
        <v>0</v>
      </c>
      <c r="MZ57" s="24">
        <v>0</v>
      </c>
      <c r="NA57" s="24">
        <v>0</v>
      </c>
      <c r="NB57" s="24">
        <v>0</v>
      </c>
      <c r="NC57" s="24">
        <v>0</v>
      </c>
      <c r="ND57" s="24">
        <v>0</v>
      </c>
      <c r="NE57" s="24">
        <v>0</v>
      </c>
      <c r="NF57" s="24">
        <v>0</v>
      </c>
      <c r="NG57" s="24">
        <v>0</v>
      </c>
      <c r="NH57" s="24">
        <v>0</v>
      </c>
      <c r="NI57" s="24">
        <v>0</v>
      </c>
      <c r="NJ57" s="24">
        <v>0</v>
      </c>
      <c r="NK57" s="24">
        <v>0</v>
      </c>
      <c r="NL57" s="24">
        <v>0</v>
      </c>
      <c r="NM57" s="24">
        <v>0</v>
      </c>
      <c r="NN57" s="24">
        <v>0</v>
      </c>
      <c r="NO57" s="24">
        <v>0</v>
      </c>
      <c r="NP57" s="24">
        <v>0</v>
      </c>
      <c r="NQ57" s="24">
        <v>39478</v>
      </c>
      <c r="NR57" s="24">
        <v>0</v>
      </c>
      <c r="NS57" s="24">
        <v>0</v>
      </c>
      <c r="NT57" s="24">
        <v>0</v>
      </c>
      <c r="NU57" s="24">
        <v>0</v>
      </c>
      <c r="NV57" s="24">
        <v>20280</v>
      </c>
      <c r="NW57" s="24">
        <v>0</v>
      </c>
      <c r="NX57" s="24">
        <v>168186</v>
      </c>
      <c r="NY57" s="24">
        <v>0</v>
      </c>
      <c r="NZ57" s="24">
        <v>0</v>
      </c>
      <c r="OA57" s="24">
        <v>0</v>
      </c>
      <c r="OB57" s="24">
        <v>0</v>
      </c>
      <c r="OC57" s="24">
        <v>0</v>
      </c>
      <c r="OD57" s="24">
        <v>0</v>
      </c>
      <c r="OE57" s="24">
        <v>0</v>
      </c>
      <c r="OF57" s="24">
        <v>0</v>
      </c>
      <c r="OG57" s="24">
        <v>29068</v>
      </c>
      <c r="OH57" s="24">
        <v>0</v>
      </c>
      <c r="OI57" s="24">
        <v>0</v>
      </c>
      <c r="OJ57" s="24">
        <v>0</v>
      </c>
      <c r="OK57" s="24">
        <v>0</v>
      </c>
      <c r="OL57" s="24">
        <v>0</v>
      </c>
      <c r="OM57" s="24">
        <v>0</v>
      </c>
      <c r="ON57" s="24">
        <v>0</v>
      </c>
      <c r="OO57" s="24">
        <v>0</v>
      </c>
      <c r="OP57" s="24">
        <v>0</v>
      </c>
      <c r="OQ57" s="24">
        <v>0</v>
      </c>
      <c r="OR57" s="24">
        <v>0</v>
      </c>
      <c r="OS57" s="24">
        <v>0</v>
      </c>
      <c r="OT57" s="24">
        <v>0</v>
      </c>
      <c r="OU57" s="24">
        <v>0</v>
      </c>
      <c r="OV57" s="24">
        <v>0</v>
      </c>
      <c r="OW57" s="24">
        <v>0</v>
      </c>
      <c r="OX57" s="24">
        <v>0</v>
      </c>
      <c r="OY57" s="24">
        <v>0</v>
      </c>
      <c r="OZ57" s="24">
        <v>0</v>
      </c>
      <c r="PA57" s="24">
        <v>0</v>
      </c>
      <c r="PB57" s="24">
        <v>0</v>
      </c>
      <c r="PC57" s="24">
        <v>1300</v>
      </c>
      <c r="PD57" s="24">
        <v>0</v>
      </c>
      <c r="PE57" s="24">
        <v>0</v>
      </c>
      <c r="PF57" s="24">
        <v>0</v>
      </c>
      <c r="PG57" s="24">
        <v>0</v>
      </c>
      <c r="PH57" s="24">
        <v>0</v>
      </c>
      <c r="PI57" s="24">
        <v>0</v>
      </c>
      <c r="PJ57" s="24">
        <v>0</v>
      </c>
      <c r="PK57" s="24">
        <v>0</v>
      </c>
      <c r="PL57" s="24">
        <v>0</v>
      </c>
      <c r="PM57" s="24">
        <v>0</v>
      </c>
      <c r="PN57" s="24">
        <v>0</v>
      </c>
      <c r="PO57" s="24">
        <v>0</v>
      </c>
      <c r="PP57" s="24">
        <v>0</v>
      </c>
      <c r="PQ57" s="24">
        <v>0</v>
      </c>
      <c r="PR57" s="24">
        <v>0</v>
      </c>
      <c r="PS57" s="24">
        <v>0</v>
      </c>
      <c r="PT57" s="24">
        <v>0</v>
      </c>
      <c r="PU57" s="24">
        <v>0</v>
      </c>
      <c r="PV57" s="24">
        <v>0</v>
      </c>
      <c r="PW57" s="24">
        <v>0</v>
      </c>
      <c r="PX57" s="24">
        <v>0</v>
      </c>
      <c r="PY57" s="24">
        <v>0</v>
      </c>
      <c r="PZ57" s="24">
        <v>0</v>
      </c>
      <c r="QA57" s="24">
        <v>0</v>
      </c>
      <c r="QB57" s="24">
        <v>0</v>
      </c>
      <c r="QC57" s="24">
        <v>0</v>
      </c>
      <c r="QD57" s="24">
        <v>0</v>
      </c>
      <c r="QE57" s="24">
        <v>0</v>
      </c>
      <c r="QF57" s="24">
        <v>0</v>
      </c>
      <c r="QG57" s="24">
        <v>0</v>
      </c>
      <c r="QH57" s="24">
        <v>0</v>
      </c>
      <c r="QI57" s="24">
        <v>0</v>
      </c>
      <c r="QJ57" s="24">
        <v>0</v>
      </c>
      <c r="QK57" s="24">
        <v>0</v>
      </c>
      <c r="QL57" s="24">
        <v>0</v>
      </c>
      <c r="QM57" s="24">
        <v>0</v>
      </c>
      <c r="QN57" s="24">
        <v>0</v>
      </c>
      <c r="QO57" s="24">
        <v>0</v>
      </c>
      <c r="QP57" s="24">
        <v>0</v>
      </c>
      <c r="QQ57" s="24">
        <v>0</v>
      </c>
      <c r="QR57" s="24">
        <v>0</v>
      </c>
      <c r="QS57" s="24">
        <v>0</v>
      </c>
      <c r="QT57" s="24">
        <v>0</v>
      </c>
      <c r="QU57" s="24">
        <v>0</v>
      </c>
      <c r="QV57" s="24">
        <v>35000</v>
      </c>
      <c r="QW57" s="24">
        <v>65000</v>
      </c>
      <c r="QX57" s="24">
        <v>0</v>
      </c>
      <c r="QY57" s="24">
        <v>0</v>
      </c>
      <c r="QZ57" s="24">
        <v>0</v>
      </c>
      <c r="RA57" s="24">
        <v>0</v>
      </c>
      <c r="RB57" s="24">
        <v>0</v>
      </c>
      <c r="RG57" s="39">
        <f t="shared" si="126"/>
        <v>2800058</v>
      </c>
      <c r="RH57" s="39">
        <f t="shared" si="126"/>
        <v>154304</v>
      </c>
      <c r="RI57" s="39">
        <f t="shared" si="126"/>
        <v>0</v>
      </c>
      <c r="RJ57" s="39">
        <f t="shared" si="126"/>
        <v>0</v>
      </c>
      <c r="RK57" s="39">
        <f t="shared" si="126"/>
        <v>0</v>
      </c>
      <c r="RL57" s="39">
        <f t="shared" si="126"/>
        <v>353690</v>
      </c>
      <c r="RM57" s="39">
        <f t="shared" si="126"/>
        <v>206666</v>
      </c>
      <c r="RN57" s="39">
        <f t="shared" si="126"/>
        <v>5125</v>
      </c>
      <c r="RO57" s="39">
        <f t="shared" si="126"/>
        <v>44973</v>
      </c>
      <c r="RP57" s="39">
        <f t="shared" si="126"/>
        <v>36117</v>
      </c>
      <c r="RQ57" s="39">
        <f t="shared" si="126"/>
        <v>9825</v>
      </c>
      <c r="RR57" s="39">
        <f t="shared" si="126"/>
        <v>10200</v>
      </c>
      <c r="RS57" s="39"/>
      <c r="RT57" s="182"/>
      <c r="RU57" s="39"/>
      <c r="RV57" s="39">
        <f t="shared" si="127"/>
        <v>743684</v>
      </c>
      <c r="RW57" s="39">
        <f t="shared" si="127"/>
        <v>3620958</v>
      </c>
      <c r="RX57" s="39">
        <f t="shared" si="127"/>
        <v>349343</v>
      </c>
      <c r="RY57" s="39">
        <f t="shared" si="127"/>
        <v>101300</v>
      </c>
      <c r="RZ57" s="39"/>
      <c r="SA57" s="182"/>
      <c r="SB57" s="39"/>
      <c r="SC57" s="25">
        <f t="shared" si="50"/>
        <v>596.1484641638225</v>
      </c>
      <c r="SD57" s="39">
        <f>IFERROR(VLOOKUP(A57, 'Levy Data 15-16'!$B:$O, 3, FALSE), 0)</f>
        <v>139001602</v>
      </c>
      <c r="SE57" s="39">
        <f t="shared" si="88"/>
        <v>237204.09897610921</v>
      </c>
      <c r="SF57" s="631">
        <f>IFERROR(VLOOKUP(A57, 'Levy Data 15-16'!$B:$O, 14, FALSE), 0)*1000</f>
        <v>1.1995110000000002</v>
      </c>
      <c r="SG57" s="39">
        <f t="shared" si="89"/>
        <v>0</v>
      </c>
      <c r="SH57" s="39">
        <f t="shared" si="90"/>
        <v>0</v>
      </c>
      <c r="SI57" s="39">
        <f t="shared" si="91"/>
        <v>349343</v>
      </c>
      <c r="SM57" s="39">
        <f t="shared" si="92"/>
        <v>3620958</v>
      </c>
      <c r="SN57" s="39">
        <f t="shared" si="93"/>
        <v>0</v>
      </c>
      <c r="SO57" s="39">
        <f t="shared" si="51"/>
        <v>3620958</v>
      </c>
      <c r="SP57" s="50">
        <f t="shared" si="52"/>
        <v>1</v>
      </c>
      <c r="ST57" s="124">
        <f>IFERROR(VLOOKUP(A57,'Grade Enroll 15-16'!B:AC,27,FALSE),"")</f>
        <v>586</v>
      </c>
      <c r="SU57" s="124">
        <f t="shared" si="53"/>
        <v>280.14912280701753</v>
      </c>
      <c r="SV57" s="131">
        <f>IFERROR(VLOOKUP($A57, 'Title I Enroll 16-17'!S:V, 4, FALSE), 0)</f>
        <v>0.47807017543859648</v>
      </c>
      <c r="SW57" s="729">
        <f>IFERROR(VLOOKUP(A57, 'ELL Enroll 15-16'!$N:$S, 6, FALSE), 0)</f>
        <v>5</v>
      </c>
      <c r="SX57" s="131">
        <f t="shared" si="54"/>
        <v>8.5324232081911266E-3</v>
      </c>
      <c r="SY57" s="124">
        <f>IFERROR(VLOOKUP(A57, 'SPED enroll 2015-16'!$M:$O, 3, FALSE), 0)</f>
        <v>44</v>
      </c>
      <c r="SZ57" s="131">
        <f t="shared" si="55"/>
        <v>7.5085324232081918E-2</v>
      </c>
      <c r="TA57" s="142">
        <f t="shared" si="87"/>
        <v>30.799999999999997</v>
      </c>
      <c r="TB57" s="142">
        <f t="shared" si="87"/>
        <v>8.8000000000000007</v>
      </c>
      <c r="TC57" s="142">
        <f t="shared" si="87"/>
        <v>3.08</v>
      </c>
      <c r="TD57" s="142">
        <f t="shared" si="87"/>
        <v>1.3199999999999998</v>
      </c>
      <c r="TE57" s="124">
        <f>VLOOKUP($A57, 'Grade Enroll 15-16'!$B:$AB, 20, FALSE)</f>
        <v>4</v>
      </c>
      <c r="TF57" s="124">
        <f>VLOOKUP($A57, 'Grade Enroll 15-16'!$B:$AB, 21, FALSE)</f>
        <v>53</v>
      </c>
      <c r="TG57" s="124">
        <f>VLOOKUP($A57, 'Grade Enroll 15-16'!$B:$AB, 22, FALSE)</f>
        <v>153</v>
      </c>
      <c r="TH57" s="124">
        <f>VLOOKUP($A57, 'Grade Enroll 15-16'!$B:$AB, 23, FALSE)</f>
        <v>185</v>
      </c>
      <c r="TI57" s="124">
        <f>VLOOKUP($A57, 'Grade Enroll 15-16'!$B:$AB, 24, FALSE)</f>
        <v>102</v>
      </c>
      <c r="TJ57" s="124">
        <f>VLOOKUP($A57, 'Grade Enroll 15-16'!$B:$AB, 25, FALSE)</f>
        <v>146</v>
      </c>
      <c r="TK57" s="124">
        <f>VLOOKUP($A57, 'Grade Enroll 15-16'!$B:$AB, 26, FALSE)</f>
        <v>410</v>
      </c>
      <c r="TL57" s="131">
        <f>SUMIFS('Student Achievement 15-16'!N:N, 'Student Achievement 15-16'!B:B, 'Idaho Data'!A57, 'Student Achievement 15-16'!D:D, "math")/100</f>
        <v>0.13800000000000001</v>
      </c>
      <c r="TM57" s="134">
        <f t="shared" si="57"/>
        <v>80.868000000000009</v>
      </c>
      <c r="TN57" s="131">
        <f>SUMIFS('Student Achievement 15-16'!N:N, 'Student Achievement 15-16'!B:B, 'Idaho Data'!A57, 'Student Achievement 15-16'!D:D, "ela")/100</f>
        <v>0.154</v>
      </c>
      <c r="TO57" s="134">
        <f t="shared" si="58"/>
        <v>90.244</v>
      </c>
      <c r="TP57" s="688">
        <f>IFERROR(VLOOKUP(A57, 'G&amp;T 15-16'!B:G, 6, FALSE), 0)*1</f>
        <v>0</v>
      </c>
      <c r="TQ57" s="168">
        <f t="shared" si="59"/>
        <v>35.159999999999997</v>
      </c>
      <c r="TU57" s="168">
        <f t="shared" si="60"/>
        <v>80.868000000000009</v>
      </c>
      <c r="TV57" s="168">
        <f t="shared" si="61"/>
        <v>90.244</v>
      </c>
      <c r="TW57" s="205">
        <f t="shared" si="62"/>
        <v>90.244</v>
      </c>
      <c r="TX57" s="144"/>
      <c r="TY57" s="129"/>
      <c r="TZ57" s="127">
        <f t="shared" si="63"/>
        <v>0</v>
      </c>
      <c r="UA57" s="127">
        <f t="shared" si="64"/>
        <v>35.159999999999997</v>
      </c>
      <c r="UB57" s="205">
        <f t="shared" si="65"/>
        <v>35.159999999999997</v>
      </c>
      <c r="UE57" s="853" t="str">
        <f>IF(ST57&lt;='1. Simulator Input'!$E$104, "yes", "")</f>
        <v/>
      </c>
      <c r="UI57" s="199">
        <f t="shared" si="66"/>
        <v>0</v>
      </c>
      <c r="UJ57" s="200">
        <f>IF('Idaho Data'!SI57&gt;=0, ((1-'1. Simulator Input'!$E$39)*'Idaho Data'!SI57), 0)</f>
        <v>0</v>
      </c>
      <c r="UK57" s="200">
        <f t="shared" si="67"/>
        <v>3620958</v>
      </c>
      <c r="UL57" s="39"/>
      <c r="UM57" s="182"/>
      <c r="UN57" s="39"/>
      <c r="UO57" s="39" t="str">
        <f>IF(AND('1. Simulator Input'!$E$96="yes", '1. Simulator Input'!$E$98="yes", '1. Simulator Input'!$E$100="hold harmless"), 'Idaho Data'!WN57, IF(AND('1. Simulator Input'!$E$96="yes", '1. Simulator Input'!$E$98="no", '1. Simulator Input'!$E$100="hold harmless"), 'Idaho Data'!WM57, IF(AND('1. Simulator Input'!$E$96="yes", '1. Simulator Input'!$E$98="yes", '1. Simulator Input'!$E$100="small district grant"), WL57,IF(AND('1. Simulator Input'!$E$96="yes", '1. Simulator Input'!$E$98="no", '1. Simulator Input'!$E$100="small district grant"), WK57, ""))))</f>
        <v/>
      </c>
      <c r="UP57" s="200">
        <f>'1. Simulator Input'!$D$56*('Idaho Data'!ST57)</f>
        <v>3238236</v>
      </c>
      <c r="UQ57" s="204">
        <f>'1. Simulator Input'!$D$65*'1. Simulator Input'!$D$56*'Idaho Data'!SU57</f>
        <v>0</v>
      </c>
      <c r="UR57" s="204">
        <f>'1. Simulator Input'!$D$66*'1. Simulator Input'!$D$56*'Idaho Data'!SW57</f>
        <v>0</v>
      </c>
      <c r="US57" s="200">
        <f>'1. Simulator Input'!$D$67*'1. Simulator Input'!$D$56*'Idaho Data'!TA57</f>
        <v>0</v>
      </c>
      <c r="UT57" s="200">
        <f>'1. Simulator Input'!$D$68*'1. Simulator Input'!$D$56*'Idaho Data'!TB57</f>
        <v>0</v>
      </c>
      <c r="UU57" s="200">
        <f>'1. Simulator Input'!$D$69*'1. Simulator Input'!$D$56*'Idaho Data'!TC57</f>
        <v>0</v>
      </c>
      <c r="UV57" s="200">
        <f>'1. Simulator Input'!$D$70*'1. Simulator Input'!$D$56*TD57</f>
        <v>0</v>
      </c>
      <c r="UW57" s="200">
        <f>'1. Simulator Input'!$D$80*'1. Simulator Input'!$D$56*TW57</f>
        <v>0</v>
      </c>
      <c r="UX57" s="200">
        <f>'1. Simulator Input'!$D$79*'1. Simulator Input'!$D$56*UB57</f>
        <v>0</v>
      </c>
      <c r="UY57" s="200">
        <f>'1. Simulator Input'!$D$87*'1. Simulator Input'!$D$56*TF57</f>
        <v>146439</v>
      </c>
      <c r="UZ57" s="200">
        <f>'1. Simulator Input'!$D$73*'1. Simulator Input'!$D$56*'Idaho Data'!TG57</f>
        <v>0</v>
      </c>
      <c r="VA57" s="200">
        <f>'1. Simulator Input'!$D$56*'1. Simulator Input'!$D$74*'Idaho Data'!TH57</f>
        <v>0</v>
      </c>
      <c r="VB57" s="200">
        <f>'1. Simulator Input'!$D$56*'1. Simulator Input'!$D$75*'Idaho Data'!TI52</f>
        <v>0</v>
      </c>
      <c r="VC57" s="200">
        <f>'1. Simulator Input'!$D$76*'1. Simulator Input'!$D$56*'Idaho Data'!TJ57</f>
        <v>0</v>
      </c>
      <c r="VD57" s="200">
        <f t="shared" si="68"/>
        <v>3384675</v>
      </c>
      <c r="VE57" s="200"/>
      <c r="VF57" s="182"/>
      <c r="VG57" s="200"/>
      <c r="VH57" s="200">
        <f t="shared" si="69"/>
        <v>0</v>
      </c>
      <c r="VI57" s="200">
        <f t="shared" si="70"/>
        <v>0</v>
      </c>
      <c r="VJ57" s="200">
        <f t="shared" si="94"/>
        <v>3384675</v>
      </c>
      <c r="VK57" s="200">
        <f t="shared" si="95"/>
        <v>3384675</v>
      </c>
      <c r="VL57" s="200"/>
      <c r="VM57" s="182"/>
      <c r="VN57" s="200"/>
      <c r="VO57" s="200">
        <f t="shared" si="71"/>
        <v>743684</v>
      </c>
      <c r="VP57" s="200">
        <f t="shared" si="72"/>
        <v>3620958</v>
      </c>
      <c r="VQ57" s="200">
        <f t="shared" si="73"/>
        <v>349343</v>
      </c>
      <c r="VR57" s="200">
        <f t="shared" si="74"/>
        <v>743684</v>
      </c>
      <c r="VS57" s="200">
        <f t="shared" si="96"/>
        <v>3384675</v>
      </c>
      <c r="VT57" s="200">
        <f t="shared" si="97"/>
        <v>349343</v>
      </c>
      <c r="VU57" s="200">
        <f t="shared" si="98"/>
        <v>0</v>
      </c>
      <c r="VV57" s="200"/>
      <c r="VW57" s="182"/>
      <c r="VX57" s="200"/>
      <c r="VZ57" s="199">
        <f t="shared" si="75"/>
        <v>-236283</v>
      </c>
      <c r="WA57" s="199">
        <f t="shared" si="76"/>
        <v>-403.21331058020479</v>
      </c>
      <c r="WB57" s="131">
        <f t="shared" si="77"/>
        <v>-6.5254278011509667E-2</v>
      </c>
      <c r="WC57" s="131"/>
      <c r="WD57" s="461"/>
      <c r="WE57" s="893"/>
      <c r="WF57" s="893">
        <f t="shared" si="78"/>
        <v>8044.3430034129697</v>
      </c>
      <c r="WG57" s="893">
        <f t="shared" si="79"/>
        <v>7641.1296928327647</v>
      </c>
      <c r="WH57" s="893"/>
      <c r="WI57" s="893">
        <f t="shared" si="80"/>
        <v>3620958</v>
      </c>
      <c r="WJ57" s="893">
        <f t="shared" si="99"/>
        <v>3384675</v>
      </c>
      <c r="WK57" s="39" t="str">
        <f t="shared" si="100"/>
        <v/>
      </c>
      <c r="WL57" s="39" t="str">
        <f t="shared" si="101"/>
        <v/>
      </c>
      <c r="WM57" s="200" t="str">
        <f t="shared" si="102"/>
        <v/>
      </c>
      <c r="WN57" s="39" t="str">
        <f t="shared" si="103"/>
        <v/>
      </c>
      <c r="WO57" s="39"/>
      <c r="WP57" s="182"/>
      <c r="WQ57" s="39"/>
      <c r="WR57" s="305">
        <f t="shared" si="104"/>
        <v>9.6000000000000002E-2</v>
      </c>
      <c r="WT57" s="200">
        <f t="shared" si="105"/>
        <v>6179.1092150170653</v>
      </c>
      <c r="WU57" s="131">
        <f t="shared" si="81"/>
        <v>0.43</v>
      </c>
      <c r="WW57" s="199">
        <f t="shared" si="106"/>
        <v>743684</v>
      </c>
      <c r="WX57" s="199">
        <f t="shared" si="107"/>
        <v>3384675</v>
      </c>
      <c r="WY57" s="199">
        <f t="shared" si="108"/>
        <v>0</v>
      </c>
      <c r="WZ57" s="199">
        <f t="shared" si="82"/>
        <v>3384675</v>
      </c>
      <c r="XA57" s="199">
        <f t="shared" si="109"/>
        <v>0</v>
      </c>
      <c r="XB57" s="199">
        <f t="shared" si="110"/>
        <v>349343</v>
      </c>
      <c r="XC57" s="199">
        <f t="shared" si="111"/>
        <v>349343</v>
      </c>
      <c r="XD57" s="199" t="str">
        <f t="shared" si="112"/>
        <v/>
      </c>
      <c r="XE57" s="199"/>
      <c r="XF57" s="199"/>
      <c r="XG57" s="199"/>
      <c r="XH57" s="199"/>
      <c r="XI57" s="199"/>
      <c r="XJ57" s="199">
        <f t="shared" si="83"/>
        <v>3384675</v>
      </c>
      <c r="XP57" s="199">
        <f t="shared" si="113"/>
        <v>3384675</v>
      </c>
      <c r="XQ57" s="199">
        <f t="shared" si="114"/>
        <v>5775.8959044368603</v>
      </c>
      <c r="XR57" s="199">
        <f t="shared" si="115"/>
        <v>3384675</v>
      </c>
      <c r="XS57" s="199">
        <f t="shared" si="116"/>
        <v>3384675</v>
      </c>
      <c r="XT57" s="199">
        <f t="shared" si="117"/>
        <v>5775.8959044368603</v>
      </c>
      <c r="XU57" s="199">
        <f t="shared" si="118"/>
        <v>3620958</v>
      </c>
      <c r="XV57" s="199">
        <f t="shared" si="119"/>
        <v>6179.1092150170653</v>
      </c>
      <c r="XW57" s="199">
        <f t="shared" si="120"/>
        <v>3620958</v>
      </c>
      <c r="XX57" s="199">
        <f t="shared" si="121"/>
        <v>6179.1092150170653</v>
      </c>
      <c r="XY57" s="199">
        <f t="shared" si="84"/>
        <v>-236283</v>
      </c>
      <c r="XZ57" s="199">
        <f t="shared" si="85"/>
        <v>-403.21331058020496</v>
      </c>
      <c r="YA57" s="131">
        <f t="shared" si="86"/>
        <v>-6.5254278011509681E-2</v>
      </c>
      <c r="YB57" s="199"/>
      <c r="YC57" s="221"/>
      <c r="YD57" s="199"/>
      <c r="YE57" s="199">
        <f t="shared" si="122"/>
        <v>743684</v>
      </c>
      <c r="YF57" s="200">
        <f t="shared" si="123"/>
        <v>0</v>
      </c>
      <c r="YG57" s="199">
        <f t="shared" si="124"/>
        <v>349343</v>
      </c>
      <c r="YH57" s="199">
        <f t="shared" si="125"/>
        <v>101300</v>
      </c>
    </row>
    <row r="58" spans="1:658">
      <c r="A58" s="3">
        <v>215</v>
      </c>
      <c r="B58" s="2" t="s">
        <v>152</v>
      </c>
      <c r="C58" s="24">
        <v>0</v>
      </c>
      <c r="D58" s="24">
        <v>0</v>
      </c>
      <c r="E58" s="24">
        <v>0</v>
      </c>
      <c r="F58" s="24">
        <v>0</v>
      </c>
      <c r="G58" s="24">
        <v>1548098</v>
      </c>
      <c r="H58" s="24">
        <v>0</v>
      </c>
      <c r="I58" s="24">
        <v>0</v>
      </c>
      <c r="J58" s="24">
        <v>25951</v>
      </c>
      <c r="K58" s="24">
        <v>0</v>
      </c>
      <c r="L58" s="24">
        <v>0</v>
      </c>
      <c r="M58" s="24">
        <v>0</v>
      </c>
      <c r="N58" s="24">
        <v>0</v>
      </c>
      <c r="O58" s="24">
        <v>0</v>
      </c>
      <c r="P58" s="24">
        <v>0</v>
      </c>
      <c r="Q58" s="24">
        <v>0</v>
      </c>
      <c r="R58" s="24">
        <v>0</v>
      </c>
      <c r="S58" s="24">
        <v>0</v>
      </c>
      <c r="T58" s="24">
        <v>159551</v>
      </c>
      <c r="U58" s="24">
        <v>0</v>
      </c>
      <c r="V58" s="24">
        <v>0</v>
      </c>
      <c r="W58" s="24">
        <v>0</v>
      </c>
      <c r="X58" s="24">
        <v>2165896</v>
      </c>
      <c r="Y58" s="24">
        <v>44887</v>
      </c>
      <c r="Z58" s="24">
        <v>0</v>
      </c>
      <c r="AA58" s="24">
        <v>0</v>
      </c>
      <c r="AB58" s="24">
        <v>0</v>
      </c>
      <c r="AC58" s="24">
        <v>0</v>
      </c>
      <c r="AD58" s="24">
        <v>0</v>
      </c>
      <c r="AE58" s="24">
        <v>0</v>
      </c>
      <c r="AF58" s="24">
        <v>0</v>
      </c>
      <c r="AG58" s="24">
        <v>0</v>
      </c>
      <c r="AH58" s="24">
        <v>0</v>
      </c>
      <c r="AI58" s="24">
        <v>0</v>
      </c>
      <c r="AJ58" s="24">
        <v>0</v>
      </c>
      <c r="AK58" s="24">
        <v>0</v>
      </c>
      <c r="AL58" s="24">
        <v>22116</v>
      </c>
      <c r="AM58" s="24">
        <v>0</v>
      </c>
      <c r="AN58" s="24">
        <v>0</v>
      </c>
      <c r="AO58" s="24">
        <v>0</v>
      </c>
      <c r="AP58" s="24">
        <v>0</v>
      </c>
      <c r="AQ58" s="24">
        <v>0</v>
      </c>
      <c r="AR58" s="24">
        <v>0</v>
      </c>
      <c r="AS58" s="24">
        <v>0</v>
      </c>
      <c r="AT58" s="24">
        <v>0</v>
      </c>
      <c r="AU58" s="24">
        <v>0</v>
      </c>
      <c r="AV58" s="24">
        <v>0</v>
      </c>
      <c r="AW58" s="24">
        <v>0</v>
      </c>
      <c r="AX58" s="24">
        <v>0</v>
      </c>
      <c r="AY58" s="24">
        <v>0</v>
      </c>
      <c r="AZ58" s="24">
        <v>0</v>
      </c>
      <c r="BA58" s="24">
        <v>0</v>
      </c>
      <c r="BB58" s="24">
        <v>0</v>
      </c>
      <c r="BC58" s="24">
        <v>0</v>
      </c>
      <c r="BD58" s="24">
        <v>0</v>
      </c>
      <c r="BE58" s="24">
        <v>0</v>
      </c>
      <c r="BF58" s="24">
        <v>0</v>
      </c>
      <c r="BG58" s="24">
        <v>0</v>
      </c>
      <c r="BH58" s="24">
        <v>0</v>
      </c>
      <c r="BI58" s="24">
        <v>0</v>
      </c>
      <c r="BJ58" s="24">
        <v>0</v>
      </c>
      <c r="BK58" s="24">
        <v>0</v>
      </c>
      <c r="BL58" s="24">
        <v>0</v>
      </c>
      <c r="BM58" s="24">
        <v>0</v>
      </c>
      <c r="BN58" s="24">
        <v>0</v>
      </c>
      <c r="BO58" s="24">
        <v>0</v>
      </c>
      <c r="BP58" s="24">
        <v>0</v>
      </c>
      <c r="BQ58" s="24">
        <v>0</v>
      </c>
      <c r="BR58" s="24">
        <v>0</v>
      </c>
      <c r="BS58" s="24">
        <v>0</v>
      </c>
      <c r="BT58" s="24">
        <v>0</v>
      </c>
      <c r="BU58" s="24">
        <v>0</v>
      </c>
      <c r="BV58" s="24">
        <v>0</v>
      </c>
      <c r="BW58" s="24">
        <v>0</v>
      </c>
      <c r="BX58" s="24">
        <v>0</v>
      </c>
      <c r="BY58" s="24">
        <v>0</v>
      </c>
      <c r="BZ58" s="24">
        <v>0</v>
      </c>
      <c r="CA58" s="24">
        <v>0</v>
      </c>
      <c r="CB58" s="24">
        <v>0</v>
      </c>
      <c r="CC58" s="24">
        <v>0</v>
      </c>
      <c r="CD58" s="24">
        <v>145827</v>
      </c>
      <c r="CE58" s="24">
        <v>0</v>
      </c>
      <c r="CF58" s="24">
        <v>0</v>
      </c>
      <c r="CG58" s="24">
        <v>0</v>
      </c>
      <c r="CH58" s="24">
        <v>0</v>
      </c>
      <c r="CI58" s="24">
        <v>0</v>
      </c>
      <c r="CJ58" s="24">
        <v>0</v>
      </c>
      <c r="CK58" s="24">
        <v>0</v>
      </c>
      <c r="CL58" s="24">
        <v>0</v>
      </c>
      <c r="CM58" s="24">
        <v>0</v>
      </c>
      <c r="CN58" s="24">
        <v>0</v>
      </c>
      <c r="CO58" s="24">
        <v>0</v>
      </c>
      <c r="CP58" s="24">
        <v>0</v>
      </c>
      <c r="CQ58" s="24">
        <v>0</v>
      </c>
      <c r="CR58" s="24">
        <v>0</v>
      </c>
      <c r="CS58" s="24">
        <v>0</v>
      </c>
      <c r="CT58" s="24">
        <v>0</v>
      </c>
      <c r="CU58" s="24">
        <v>0</v>
      </c>
      <c r="CV58" s="24">
        <v>0</v>
      </c>
      <c r="CW58" s="24">
        <v>0</v>
      </c>
      <c r="CX58" s="24">
        <v>0</v>
      </c>
      <c r="CY58" s="24">
        <v>0</v>
      </c>
      <c r="CZ58" s="24">
        <v>0</v>
      </c>
      <c r="DA58" s="24">
        <v>0</v>
      </c>
      <c r="DB58" s="24">
        <v>0</v>
      </c>
      <c r="DC58" s="24">
        <v>0</v>
      </c>
      <c r="DD58" s="24">
        <v>0</v>
      </c>
      <c r="DE58" s="24">
        <v>0</v>
      </c>
      <c r="DF58" s="24">
        <v>0</v>
      </c>
      <c r="DG58" s="24">
        <v>0</v>
      </c>
      <c r="DH58" s="24">
        <v>0</v>
      </c>
      <c r="DI58" s="24">
        <v>0</v>
      </c>
      <c r="DJ58" s="24">
        <v>0</v>
      </c>
      <c r="DK58" s="24">
        <v>0</v>
      </c>
      <c r="DL58" s="24">
        <v>0</v>
      </c>
      <c r="DM58" s="24">
        <v>0</v>
      </c>
      <c r="DN58" s="24">
        <v>0</v>
      </c>
      <c r="DO58" s="24">
        <v>0</v>
      </c>
      <c r="DP58" s="24">
        <v>0</v>
      </c>
      <c r="DQ58" s="24">
        <v>0</v>
      </c>
      <c r="DR58" s="24">
        <v>0</v>
      </c>
      <c r="DS58" s="24">
        <v>0</v>
      </c>
      <c r="DT58" s="24">
        <v>0</v>
      </c>
      <c r="DU58" s="24">
        <v>0</v>
      </c>
      <c r="DV58" s="24">
        <v>0</v>
      </c>
      <c r="DW58" s="24">
        <v>0</v>
      </c>
      <c r="DX58" s="24">
        <v>0</v>
      </c>
      <c r="DY58" s="24">
        <v>0</v>
      </c>
      <c r="DZ58" s="24">
        <v>0</v>
      </c>
      <c r="EA58" s="24">
        <v>0</v>
      </c>
      <c r="EB58" s="24">
        <v>0</v>
      </c>
      <c r="EC58" s="24">
        <v>0</v>
      </c>
      <c r="ED58" s="24">
        <v>0</v>
      </c>
      <c r="EE58" s="24">
        <v>0</v>
      </c>
      <c r="EF58" s="24">
        <v>0</v>
      </c>
      <c r="EG58" s="24">
        <v>0</v>
      </c>
      <c r="EH58" s="24">
        <v>0</v>
      </c>
      <c r="EI58" s="24">
        <v>0</v>
      </c>
      <c r="EJ58" s="24">
        <v>0</v>
      </c>
      <c r="EK58" s="24">
        <v>0</v>
      </c>
      <c r="EL58" s="24">
        <v>0</v>
      </c>
      <c r="EM58" s="24">
        <v>0</v>
      </c>
      <c r="EN58" s="24">
        <v>0</v>
      </c>
      <c r="EO58" s="24">
        <v>0</v>
      </c>
      <c r="EP58" s="24">
        <v>0</v>
      </c>
      <c r="EQ58" s="24">
        <v>0</v>
      </c>
      <c r="ER58" s="24">
        <v>0</v>
      </c>
      <c r="ES58" s="24">
        <v>0</v>
      </c>
      <c r="ET58" s="24">
        <v>0</v>
      </c>
      <c r="EU58" s="24">
        <v>0</v>
      </c>
      <c r="EV58" s="24">
        <v>0</v>
      </c>
      <c r="EW58" s="24">
        <v>0</v>
      </c>
      <c r="EX58" s="24">
        <v>0</v>
      </c>
      <c r="EY58" s="24">
        <v>0</v>
      </c>
      <c r="EZ58" s="24">
        <v>0</v>
      </c>
      <c r="FA58" s="24">
        <v>0</v>
      </c>
      <c r="FB58" s="24">
        <v>0</v>
      </c>
      <c r="FC58" s="24">
        <v>0</v>
      </c>
      <c r="FD58" s="24">
        <v>0</v>
      </c>
      <c r="FE58" s="24">
        <v>0</v>
      </c>
      <c r="FF58" s="24">
        <v>0</v>
      </c>
      <c r="FG58" s="24">
        <v>0</v>
      </c>
      <c r="FH58" s="24">
        <v>0</v>
      </c>
      <c r="FI58" s="24">
        <v>0</v>
      </c>
      <c r="FJ58" s="24">
        <v>0</v>
      </c>
      <c r="FK58" s="24">
        <v>0</v>
      </c>
      <c r="FL58" s="24">
        <v>0</v>
      </c>
      <c r="FM58" s="24">
        <v>0</v>
      </c>
      <c r="FN58" s="24">
        <v>0</v>
      </c>
      <c r="FO58" s="24">
        <v>0</v>
      </c>
      <c r="FP58" s="24">
        <v>0</v>
      </c>
      <c r="FQ58" s="24">
        <v>0</v>
      </c>
      <c r="FR58" s="24">
        <v>0</v>
      </c>
      <c r="FS58" s="24">
        <v>109176</v>
      </c>
      <c r="FT58" s="24">
        <v>0</v>
      </c>
      <c r="FU58" s="24">
        <v>0</v>
      </c>
      <c r="FV58" s="24">
        <v>0</v>
      </c>
      <c r="FW58" s="24">
        <v>0</v>
      </c>
      <c r="FX58" s="24">
        <v>0</v>
      </c>
      <c r="FY58" s="24">
        <v>0</v>
      </c>
      <c r="FZ58" s="24">
        <v>0</v>
      </c>
      <c r="GA58" s="24">
        <v>0</v>
      </c>
      <c r="GB58" s="24">
        <v>0</v>
      </c>
      <c r="GC58" s="24">
        <v>0</v>
      </c>
      <c r="GD58" s="24">
        <v>0</v>
      </c>
      <c r="GE58" s="24">
        <v>0</v>
      </c>
      <c r="GF58" s="24">
        <v>0</v>
      </c>
      <c r="GG58" s="24">
        <v>0</v>
      </c>
      <c r="GH58" s="24">
        <v>0</v>
      </c>
      <c r="GI58" s="24">
        <v>0</v>
      </c>
      <c r="GJ58" s="24">
        <v>0</v>
      </c>
      <c r="GK58" s="24">
        <v>0</v>
      </c>
      <c r="GL58" s="24">
        <v>0</v>
      </c>
      <c r="GM58" s="24">
        <v>0</v>
      </c>
      <c r="GN58" s="24">
        <v>0</v>
      </c>
      <c r="GO58" s="24">
        <v>0</v>
      </c>
      <c r="GP58" s="24">
        <v>0</v>
      </c>
      <c r="GQ58" s="24">
        <v>0</v>
      </c>
      <c r="GR58" s="24">
        <v>0</v>
      </c>
      <c r="GS58" s="24">
        <v>0</v>
      </c>
      <c r="GT58" s="24">
        <v>0</v>
      </c>
      <c r="GU58" s="24">
        <v>0</v>
      </c>
      <c r="GV58" s="24">
        <v>0</v>
      </c>
      <c r="GW58" s="24">
        <v>0</v>
      </c>
      <c r="GX58" s="24">
        <v>0</v>
      </c>
      <c r="GY58" s="24">
        <v>0</v>
      </c>
      <c r="GZ58" s="24">
        <v>0</v>
      </c>
      <c r="HA58" s="24">
        <v>0</v>
      </c>
      <c r="HB58" s="24">
        <v>0</v>
      </c>
      <c r="HC58" s="24">
        <v>0</v>
      </c>
      <c r="HD58" s="24">
        <v>9506633</v>
      </c>
      <c r="HE58" s="24">
        <v>0</v>
      </c>
      <c r="HF58" s="24">
        <v>0</v>
      </c>
      <c r="HG58" s="24">
        <v>0</v>
      </c>
      <c r="HH58" s="24">
        <v>0</v>
      </c>
      <c r="HI58" s="24">
        <v>550329</v>
      </c>
      <c r="HJ58" s="24">
        <v>0</v>
      </c>
      <c r="HK58" s="24">
        <v>0</v>
      </c>
      <c r="HL58" s="24">
        <v>0</v>
      </c>
      <c r="HM58" s="24">
        <v>0</v>
      </c>
      <c r="HN58" s="24">
        <v>0</v>
      </c>
      <c r="HO58" s="24">
        <v>881635</v>
      </c>
      <c r="HP58" s="24">
        <v>362500</v>
      </c>
      <c r="HQ58" s="24">
        <v>0</v>
      </c>
      <c r="HR58" s="24">
        <v>0</v>
      </c>
      <c r="HS58" s="24">
        <v>0</v>
      </c>
      <c r="HT58" s="24">
        <v>0</v>
      </c>
      <c r="HU58" s="24">
        <v>0</v>
      </c>
      <c r="HV58" s="24">
        <v>0</v>
      </c>
      <c r="HW58" s="24">
        <v>0</v>
      </c>
      <c r="HX58" s="24">
        <v>0</v>
      </c>
      <c r="HY58" s="24">
        <v>0</v>
      </c>
      <c r="HZ58" s="24">
        <v>0</v>
      </c>
      <c r="IA58" s="24">
        <v>131981</v>
      </c>
      <c r="IB58" s="24">
        <v>30208</v>
      </c>
      <c r="IC58" s="24">
        <v>0</v>
      </c>
      <c r="ID58" s="24">
        <v>0</v>
      </c>
      <c r="IE58" s="24">
        <v>0</v>
      </c>
      <c r="IF58" s="24">
        <v>0</v>
      </c>
      <c r="IG58" s="24">
        <v>0</v>
      </c>
      <c r="IH58" s="24">
        <v>0</v>
      </c>
      <c r="II58" s="24">
        <v>0</v>
      </c>
      <c r="IJ58" s="24">
        <v>0</v>
      </c>
      <c r="IK58" s="24">
        <v>0</v>
      </c>
      <c r="IL58" s="24">
        <v>0</v>
      </c>
      <c r="IM58" s="24">
        <v>0</v>
      </c>
      <c r="IN58" s="24">
        <v>0</v>
      </c>
      <c r="IO58" s="24">
        <v>31920</v>
      </c>
      <c r="IP58" s="24">
        <v>0</v>
      </c>
      <c r="IQ58" s="24">
        <v>100438</v>
      </c>
      <c r="IR58" s="24">
        <v>0</v>
      </c>
      <c r="IS58" s="24">
        <v>0</v>
      </c>
      <c r="IT58" s="24">
        <v>0</v>
      </c>
      <c r="IU58" s="24">
        <v>0</v>
      </c>
      <c r="IV58" s="24">
        <v>0</v>
      </c>
      <c r="IW58" s="24">
        <v>143967</v>
      </c>
      <c r="IX58" s="24">
        <v>0</v>
      </c>
      <c r="IY58" s="24">
        <v>0</v>
      </c>
      <c r="IZ58" s="24">
        <v>0</v>
      </c>
      <c r="JA58" s="24">
        <v>0</v>
      </c>
      <c r="JB58" s="24">
        <v>6276</v>
      </c>
      <c r="JC58" s="24">
        <v>0</v>
      </c>
      <c r="JD58" s="24">
        <v>0</v>
      </c>
      <c r="JE58" s="24">
        <v>2600</v>
      </c>
      <c r="JF58" s="24">
        <v>0</v>
      </c>
      <c r="JG58" s="24">
        <v>0</v>
      </c>
      <c r="JH58" s="24">
        <v>0</v>
      </c>
      <c r="JI58" s="24">
        <v>0</v>
      </c>
      <c r="JJ58" s="24">
        <v>0</v>
      </c>
      <c r="JK58" s="24">
        <v>0</v>
      </c>
      <c r="JL58" s="24">
        <v>0</v>
      </c>
      <c r="JM58" s="24">
        <v>0</v>
      </c>
      <c r="JN58" s="24">
        <v>0</v>
      </c>
      <c r="JO58" s="24">
        <v>0</v>
      </c>
      <c r="JP58" s="24">
        <v>0</v>
      </c>
      <c r="JQ58" s="24">
        <v>0</v>
      </c>
      <c r="JR58" s="24">
        <v>0</v>
      </c>
      <c r="JS58" s="24">
        <v>0</v>
      </c>
      <c r="JT58" s="24">
        <v>0</v>
      </c>
      <c r="JU58" s="24">
        <v>0</v>
      </c>
      <c r="JV58" s="24">
        <v>0</v>
      </c>
      <c r="JW58" s="24">
        <v>0</v>
      </c>
      <c r="JX58" s="24">
        <v>0</v>
      </c>
      <c r="JY58" s="24">
        <v>0</v>
      </c>
      <c r="JZ58" s="24">
        <v>0</v>
      </c>
      <c r="KA58" s="24">
        <v>35455</v>
      </c>
      <c r="KB58" s="24">
        <v>0</v>
      </c>
      <c r="KC58" s="24">
        <v>0</v>
      </c>
      <c r="KD58" s="24">
        <v>0</v>
      </c>
      <c r="KE58" s="24">
        <v>0</v>
      </c>
      <c r="KF58" s="24">
        <v>0</v>
      </c>
      <c r="KG58" s="24">
        <v>250749</v>
      </c>
      <c r="KH58" s="24">
        <v>0</v>
      </c>
      <c r="KI58" s="24">
        <v>0</v>
      </c>
      <c r="KJ58" s="24">
        <v>0</v>
      </c>
      <c r="KK58" s="24">
        <v>0</v>
      </c>
      <c r="KL58" s="24">
        <v>0</v>
      </c>
      <c r="KM58" s="24">
        <v>0</v>
      </c>
      <c r="KN58" s="24">
        <v>0</v>
      </c>
      <c r="KO58" s="24">
        <v>0</v>
      </c>
      <c r="KP58" s="24">
        <v>0</v>
      </c>
      <c r="KQ58" s="24">
        <v>0</v>
      </c>
      <c r="KR58" s="24">
        <v>0</v>
      </c>
      <c r="KS58" s="24">
        <v>0</v>
      </c>
      <c r="KT58" s="24">
        <v>0</v>
      </c>
      <c r="KU58" s="24">
        <v>0</v>
      </c>
      <c r="KV58" s="24">
        <v>0</v>
      </c>
      <c r="KW58" s="24">
        <v>0</v>
      </c>
      <c r="KX58" s="24">
        <v>0</v>
      </c>
      <c r="KY58" s="24">
        <v>0</v>
      </c>
      <c r="KZ58" s="24">
        <v>0</v>
      </c>
      <c r="LA58" s="24">
        <v>0</v>
      </c>
      <c r="LB58" s="24">
        <v>0</v>
      </c>
      <c r="LC58" s="24">
        <v>0</v>
      </c>
      <c r="LD58" s="24">
        <v>0</v>
      </c>
      <c r="LE58" s="24">
        <v>0</v>
      </c>
      <c r="LF58" s="24">
        <v>0</v>
      </c>
      <c r="LG58" s="24">
        <v>0</v>
      </c>
      <c r="LH58" s="24">
        <v>0</v>
      </c>
      <c r="LI58" s="24">
        <v>0</v>
      </c>
      <c r="LJ58" s="24">
        <v>0</v>
      </c>
      <c r="LK58" s="24">
        <v>0</v>
      </c>
      <c r="LL58" s="24">
        <v>0</v>
      </c>
      <c r="LM58" s="24">
        <v>0</v>
      </c>
      <c r="LN58" s="24">
        <v>0</v>
      </c>
      <c r="LO58" s="24">
        <v>0</v>
      </c>
      <c r="LP58" s="24">
        <v>0</v>
      </c>
      <c r="LQ58" s="24">
        <v>466939</v>
      </c>
      <c r="LR58" s="24">
        <v>22211</v>
      </c>
      <c r="LS58" s="24">
        <v>0</v>
      </c>
      <c r="LT58" s="24">
        <v>17452</v>
      </c>
      <c r="LU58" s="24">
        <v>0</v>
      </c>
      <c r="LV58" s="24">
        <v>0</v>
      </c>
      <c r="LW58" s="24">
        <v>0</v>
      </c>
      <c r="LX58" s="24">
        <v>0</v>
      </c>
      <c r="LY58" s="24">
        <v>0</v>
      </c>
      <c r="LZ58" s="24">
        <v>0</v>
      </c>
      <c r="MA58" s="24">
        <v>0</v>
      </c>
      <c r="MB58" s="24">
        <v>0</v>
      </c>
      <c r="MC58" s="24">
        <v>0</v>
      </c>
      <c r="MD58" s="24">
        <v>0</v>
      </c>
      <c r="ME58" s="24">
        <v>0</v>
      </c>
      <c r="MF58" s="24">
        <v>0</v>
      </c>
      <c r="MG58" s="24">
        <v>0</v>
      </c>
      <c r="MH58" s="24">
        <v>0</v>
      </c>
      <c r="MI58" s="24">
        <v>0</v>
      </c>
      <c r="MJ58" s="24">
        <v>0</v>
      </c>
      <c r="MK58" s="24">
        <v>0</v>
      </c>
      <c r="ML58" s="24">
        <v>0</v>
      </c>
      <c r="MM58" s="24">
        <v>0</v>
      </c>
      <c r="MN58" s="24">
        <v>0</v>
      </c>
      <c r="MO58" s="24">
        <v>30604</v>
      </c>
      <c r="MP58" s="24">
        <v>0</v>
      </c>
      <c r="MQ58" s="24">
        <v>0</v>
      </c>
      <c r="MR58" s="24">
        <v>629531</v>
      </c>
      <c r="MS58" s="24">
        <v>0</v>
      </c>
      <c r="MT58" s="24">
        <v>0</v>
      </c>
      <c r="MU58" s="24">
        <v>0</v>
      </c>
      <c r="MV58" s="24">
        <v>0</v>
      </c>
      <c r="MW58" s="24">
        <v>446215</v>
      </c>
      <c r="MX58" s="24">
        <v>45478</v>
      </c>
      <c r="MY58" s="24">
        <v>0</v>
      </c>
      <c r="MZ58" s="24">
        <v>0</v>
      </c>
      <c r="NA58" s="24">
        <v>0</v>
      </c>
      <c r="NB58" s="24">
        <v>0</v>
      </c>
      <c r="NC58" s="24">
        <v>0</v>
      </c>
      <c r="ND58" s="24">
        <v>0</v>
      </c>
      <c r="NE58" s="24">
        <v>0</v>
      </c>
      <c r="NF58" s="24">
        <v>0</v>
      </c>
      <c r="NG58" s="24">
        <v>0</v>
      </c>
      <c r="NH58" s="24">
        <v>0</v>
      </c>
      <c r="NI58" s="24">
        <v>0</v>
      </c>
      <c r="NJ58" s="24">
        <v>0</v>
      </c>
      <c r="NK58" s="24">
        <v>0</v>
      </c>
      <c r="NL58" s="24">
        <v>0</v>
      </c>
      <c r="NM58" s="24">
        <v>0</v>
      </c>
      <c r="NN58" s="24">
        <v>0</v>
      </c>
      <c r="NO58" s="24">
        <v>0</v>
      </c>
      <c r="NP58" s="24">
        <v>0</v>
      </c>
      <c r="NQ58" s="24">
        <v>47076</v>
      </c>
      <c r="NR58" s="24">
        <v>0</v>
      </c>
      <c r="NS58" s="24">
        <v>0</v>
      </c>
      <c r="NT58" s="24">
        <v>0</v>
      </c>
      <c r="NU58" s="24">
        <v>16662</v>
      </c>
      <c r="NV58" s="24">
        <v>119791</v>
      </c>
      <c r="NW58" s="24">
        <v>0</v>
      </c>
      <c r="NX58" s="24">
        <v>0</v>
      </c>
      <c r="NY58" s="24">
        <v>0</v>
      </c>
      <c r="NZ58" s="24">
        <v>0</v>
      </c>
      <c r="OA58" s="24">
        <v>0</v>
      </c>
      <c r="OB58" s="24">
        <v>0</v>
      </c>
      <c r="OC58" s="24">
        <v>0</v>
      </c>
      <c r="OD58" s="24">
        <v>0</v>
      </c>
      <c r="OE58" s="24">
        <v>0</v>
      </c>
      <c r="OF58" s="24">
        <v>0</v>
      </c>
      <c r="OG58" s="24">
        <v>0</v>
      </c>
      <c r="OH58" s="24">
        <v>0</v>
      </c>
      <c r="OI58" s="24">
        <v>0</v>
      </c>
      <c r="OJ58" s="24">
        <v>0</v>
      </c>
      <c r="OK58" s="24">
        <v>0</v>
      </c>
      <c r="OL58" s="24">
        <v>0</v>
      </c>
      <c r="OM58" s="24">
        <v>0</v>
      </c>
      <c r="ON58" s="24">
        <v>0</v>
      </c>
      <c r="OO58" s="24">
        <v>0</v>
      </c>
      <c r="OP58" s="24">
        <v>0</v>
      </c>
      <c r="OQ58" s="24">
        <v>73977</v>
      </c>
      <c r="OR58" s="24">
        <v>0</v>
      </c>
      <c r="OS58" s="24">
        <v>0</v>
      </c>
      <c r="OT58" s="24">
        <v>0</v>
      </c>
      <c r="OU58" s="24">
        <v>0</v>
      </c>
      <c r="OV58" s="24">
        <v>0</v>
      </c>
      <c r="OW58" s="24">
        <v>0</v>
      </c>
      <c r="OX58" s="24">
        <v>0</v>
      </c>
      <c r="OY58" s="24">
        <v>0</v>
      </c>
      <c r="OZ58" s="24">
        <v>0</v>
      </c>
      <c r="PA58" s="24">
        <v>0</v>
      </c>
      <c r="PB58" s="24">
        <v>0</v>
      </c>
      <c r="PC58" s="24">
        <v>0</v>
      </c>
      <c r="PD58" s="24">
        <v>0</v>
      </c>
      <c r="PE58" s="24">
        <v>0</v>
      </c>
      <c r="PF58" s="24">
        <v>0</v>
      </c>
      <c r="PG58" s="24">
        <v>0</v>
      </c>
      <c r="PH58" s="24">
        <v>226000</v>
      </c>
      <c r="PI58" s="24">
        <v>0</v>
      </c>
      <c r="PJ58" s="24">
        <v>0</v>
      </c>
      <c r="PK58" s="24">
        <v>0</v>
      </c>
      <c r="PL58" s="24">
        <v>0</v>
      </c>
      <c r="PM58" s="24">
        <v>0</v>
      </c>
      <c r="PN58" s="24">
        <v>0</v>
      </c>
      <c r="PO58" s="24">
        <v>0</v>
      </c>
      <c r="PP58" s="24">
        <v>0</v>
      </c>
      <c r="PQ58" s="24">
        <v>0</v>
      </c>
      <c r="PR58" s="24">
        <v>0</v>
      </c>
      <c r="PS58" s="24">
        <v>0</v>
      </c>
      <c r="PT58" s="24">
        <v>0</v>
      </c>
      <c r="PU58" s="24">
        <v>0</v>
      </c>
      <c r="PV58" s="24">
        <v>0</v>
      </c>
      <c r="PW58" s="24">
        <v>0</v>
      </c>
      <c r="PX58" s="24">
        <v>0</v>
      </c>
      <c r="PY58" s="24">
        <v>614</v>
      </c>
      <c r="PZ58" s="24">
        <v>0</v>
      </c>
      <c r="QA58" s="24">
        <v>0</v>
      </c>
      <c r="QB58" s="24">
        <v>0</v>
      </c>
      <c r="QC58" s="24">
        <v>0</v>
      </c>
      <c r="QD58" s="24">
        <v>0</v>
      </c>
      <c r="QE58" s="24">
        <v>0</v>
      </c>
      <c r="QF58" s="24">
        <v>0</v>
      </c>
      <c r="QG58" s="24">
        <v>0</v>
      </c>
      <c r="QH58" s="24">
        <v>0</v>
      </c>
      <c r="QI58" s="24">
        <v>0</v>
      </c>
      <c r="QJ58" s="24">
        <v>0</v>
      </c>
      <c r="QK58" s="24">
        <v>0</v>
      </c>
      <c r="QL58" s="24">
        <v>0</v>
      </c>
      <c r="QM58" s="24">
        <v>0</v>
      </c>
      <c r="QN58" s="24">
        <v>0</v>
      </c>
      <c r="QO58" s="24">
        <v>0</v>
      </c>
      <c r="QP58" s="24">
        <v>0</v>
      </c>
      <c r="QQ58" s="24">
        <v>0</v>
      </c>
      <c r="QR58" s="24">
        <v>0</v>
      </c>
      <c r="QS58" s="24">
        <v>20000</v>
      </c>
      <c r="QT58" s="24">
        <v>0</v>
      </c>
      <c r="QU58" s="24">
        <v>0</v>
      </c>
      <c r="QV58" s="24">
        <v>140000</v>
      </c>
      <c r="QW58" s="24">
        <v>0</v>
      </c>
      <c r="QX58" s="24">
        <v>0</v>
      </c>
      <c r="QY58" s="24">
        <v>0</v>
      </c>
      <c r="QZ58" s="24">
        <v>0</v>
      </c>
      <c r="RA58" s="24">
        <v>0</v>
      </c>
      <c r="RB58" s="24">
        <v>0</v>
      </c>
      <c r="RG58" s="39">
        <f t="shared" si="126"/>
        <v>9506633</v>
      </c>
      <c r="RH58" s="39">
        <f t="shared" si="126"/>
        <v>550329</v>
      </c>
      <c r="RI58" s="39">
        <f t="shared" si="126"/>
        <v>0</v>
      </c>
      <c r="RJ58" s="39">
        <f t="shared" si="126"/>
        <v>0</v>
      </c>
      <c r="RK58" s="39">
        <f t="shared" si="126"/>
        <v>0</v>
      </c>
      <c r="RL58" s="39">
        <f t="shared" si="126"/>
        <v>881635</v>
      </c>
      <c r="RM58" s="39">
        <f t="shared" si="126"/>
        <v>524689</v>
      </c>
      <c r="RN58" s="39">
        <f t="shared" si="126"/>
        <v>31920</v>
      </c>
      <c r="RO58" s="39">
        <f t="shared" si="126"/>
        <v>100438</v>
      </c>
      <c r="RP58" s="39">
        <f t="shared" si="126"/>
        <v>143967</v>
      </c>
      <c r="RQ58" s="39">
        <f t="shared" si="126"/>
        <v>6276</v>
      </c>
      <c r="RR58" s="39">
        <f t="shared" si="126"/>
        <v>38055</v>
      </c>
      <c r="RS58" s="39"/>
      <c r="RT58" s="182"/>
      <c r="RU58" s="39"/>
      <c r="RV58" s="39">
        <f t="shared" si="127"/>
        <v>2166685</v>
      </c>
      <c r="RW58" s="39">
        <f t="shared" si="127"/>
        <v>11783942</v>
      </c>
      <c r="RX58" s="39">
        <f t="shared" si="127"/>
        <v>4221502</v>
      </c>
      <c r="RY58" s="39">
        <f t="shared" si="127"/>
        <v>386614</v>
      </c>
      <c r="RZ58" s="39"/>
      <c r="SA58" s="182"/>
      <c r="SB58" s="39"/>
      <c r="SC58" s="25">
        <f t="shared" si="50"/>
        <v>2116.0411027568921</v>
      </c>
      <c r="SD58" s="39">
        <f>IFERROR(VLOOKUP(A58, 'Levy Data 15-16'!$B:$O, 3, FALSE), 0)</f>
        <v>1561135989</v>
      </c>
      <c r="SE58" s="39">
        <f t="shared" si="88"/>
        <v>782524.30526315793</v>
      </c>
      <c r="SF58" s="631">
        <f>IFERROR(VLOOKUP(A58, 'Levy Data 15-16'!$B:$O, 14, FALSE), 0)*1000</f>
        <v>2.4151659999999997</v>
      </c>
      <c r="SG58" s="39">
        <f t="shared" si="89"/>
        <v>0</v>
      </c>
      <c r="SH58" s="39">
        <f t="shared" si="90"/>
        <v>0</v>
      </c>
      <c r="SI58" s="39">
        <f t="shared" si="91"/>
        <v>4221502</v>
      </c>
      <c r="SM58" s="39">
        <f t="shared" si="92"/>
        <v>11783942</v>
      </c>
      <c r="SN58" s="39">
        <f t="shared" si="93"/>
        <v>0</v>
      </c>
      <c r="SO58" s="39">
        <f t="shared" si="51"/>
        <v>11783942</v>
      </c>
      <c r="SP58" s="50">
        <f t="shared" si="52"/>
        <v>1</v>
      </c>
      <c r="ST58" s="124">
        <f>IFERROR(VLOOKUP(A58,'Grade Enroll 15-16'!B:AC,27,FALSE),"")</f>
        <v>1995</v>
      </c>
      <c r="SU58" s="124">
        <f t="shared" si="53"/>
        <v>1091.7083333333335</v>
      </c>
      <c r="SV58" s="131">
        <f>IFERROR(VLOOKUP($A58, 'Title I Enroll 16-17'!S:V, 4, FALSE), 0)</f>
        <v>0.54722222222222228</v>
      </c>
      <c r="SW58" s="729">
        <f>IFERROR(VLOOKUP(A58, 'ELL Enroll 15-16'!$N:$S, 6, FALSE), 0)</f>
        <v>274</v>
      </c>
      <c r="SX58" s="131">
        <f t="shared" si="54"/>
        <v>0.13734335839598996</v>
      </c>
      <c r="SY58" s="124">
        <f>IFERROR(VLOOKUP(A58, 'SPED enroll 2015-16'!$M:$O, 3, FALSE), 0)</f>
        <v>203</v>
      </c>
      <c r="SZ58" s="131">
        <f t="shared" si="55"/>
        <v>0.10175438596491228</v>
      </c>
      <c r="TA58" s="142">
        <f t="shared" si="87"/>
        <v>142.1</v>
      </c>
      <c r="TB58" s="142">
        <f t="shared" si="87"/>
        <v>40.6</v>
      </c>
      <c r="TC58" s="142">
        <f t="shared" si="87"/>
        <v>14.21</v>
      </c>
      <c r="TD58" s="142">
        <f t="shared" si="87"/>
        <v>6.09</v>
      </c>
      <c r="TE58" s="124">
        <f>VLOOKUP($A58, 'Grade Enroll 15-16'!$B:$AB, 20, FALSE)</f>
        <v>51</v>
      </c>
      <c r="TF58" s="124">
        <f>VLOOKUP($A58, 'Grade Enroll 15-16'!$B:$AB, 21, FALSE)</f>
        <v>154</v>
      </c>
      <c r="TG58" s="124">
        <f>VLOOKUP($A58, 'Grade Enroll 15-16'!$B:$AB, 22, FALSE)</f>
        <v>523</v>
      </c>
      <c r="TH58" s="124">
        <f>VLOOKUP($A58, 'Grade Enroll 15-16'!$B:$AB, 23, FALSE)</f>
        <v>534</v>
      </c>
      <c r="TI58" s="124">
        <f>VLOOKUP($A58, 'Grade Enroll 15-16'!$B:$AB, 24, FALSE)</f>
        <v>317</v>
      </c>
      <c r="TJ58" s="124">
        <f>VLOOKUP($A58, 'Grade Enroll 15-16'!$B:$AB, 25, FALSE)</f>
        <v>621</v>
      </c>
      <c r="TK58" s="124">
        <f>VLOOKUP($A58, 'Grade Enroll 15-16'!$B:$AB, 26, FALSE)</f>
        <v>1376</v>
      </c>
      <c r="TL58" s="131">
        <f>SUMIFS('Student Achievement 15-16'!N:N, 'Student Achievement 15-16'!B:B, 'Idaho Data'!A58, 'Student Achievement 15-16'!D:D, "math")/100</f>
        <v>0.29799999999999999</v>
      </c>
      <c r="TM58" s="134">
        <f t="shared" si="57"/>
        <v>594.51</v>
      </c>
      <c r="TN58" s="131">
        <f>SUMIFS('Student Achievement 15-16'!N:N, 'Student Achievement 15-16'!B:B, 'Idaho Data'!A58, 'Student Achievement 15-16'!D:D, "ela")/100</f>
        <v>0.26899999999999996</v>
      </c>
      <c r="TO58" s="134">
        <f t="shared" si="58"/>
        <v>536.65499999999997</v>
      </c>
      <c r="TP58" s="688">
        <f>IFERROR(VLOOKUP(A58, 'G&amp;T 15-16'!B:G, 6, FALSE), 0)*1</f>
        <v>178</v>
      </c>
      <c r="TQ58" s="168">
        <f t="shared" si="59"/>
        <v>119.69999999999999</v>
      </c>
      <c r="TU58" s="168">
        <f t="shared" si="60"/>
        <v>536.65499999999997</v>
      </c>
      <c r="TV58" s="168">
        <f t="shared" si="61"/>
        <v>594.51</v>
      </c>
      <c r="TW58" s="205">
        <f t="shared" si="62"/>
        <v>594.51</v>
      </c>
      <c r="TX58" s="144"/>
      <c r="TY58" s="129"/>
      <c r="TZ58" s="127">
        <f t="shared" si="63"/>
        <v>119.69999999999999</v>
      </c>
      <c r="UA58" s="127">
        <f t="shared" si="64"/>
        <v>178</v>
      </c>
      <c r="UB58" s="205">
        <f t="shared" si="65"/>
        <v>178</v>
      </c>
      <c r="UE58" s="853" t="str">
        <f>IF(ST58&lt;='1. Simulator Input'!$E$104, "yes", "")</f>
        <v/>
      </c>
      <c r="UI58" s="199">
        <f t="shared" si="66"/>
        <v>0</v>
      </c>
      <c r="UJ58" s="200">
        <f>IF('Idaho Data'!SI58&gt;=0, ((1-'1. Simulator Input'!$E$39)*'Idaho Data'!SI58), 0)</f>
        <v>0</v>
      </c>
      <c r="UK58" s="200">
        <f t="shared" si="67"/>
        <v>11783942</v>
      </c>
      <c r="UL58" s="39"/>
      <c r="UM58" s="182"/>
      <c r="UN58" s="39"/>
      <c r="UO58" s="39" t="str">
        <f>IF(AND('1. Simulator Input'!$E$96="yes", '1. Simulator Input'!$E$98="yes", '1. Simulator Input'!$E$100="hold harmless"), 'Idaho Data'!WN58, IF(AND('1. Simulator Input'!$E$96="yes", '1. Simulator Input'!$E$98="no", '1. Simulator Input'!$E$100="hold harmless"), 'Idaho Data'!WM58, IF(AND('1. Simulator Input'!$E$96="yes", '1. Simulator Input'!$E$98="yes", '1. Simulator Input'!$E$100="small district grant"), WL58,IF(AND('1. Simulator Input'!$E$96="yes", '1. Simulator Input'!$E$98="no", '1. Simulator Input'!$E$100="small district grant"), WK58, ""))))</f>
        <v/>
      </c>
      <c r="UP58" s="200">
        <f>'1. Simulator Input'!$D$56*('Idaho Data'!ST58)</f>
        <v>11024370</v>
      </c>
      <c r="UQ58" s="204">
        <f>'1. Simulator Input'!$D$65*'1. Simulator Input'!$D$56*'Idaho Data'!SU58</f>
        <v>0</v>
      </c>
      <c r="UR58" s="204">
        <f>'1. Simulator Input'!$D$66*'1. Simulator Input'!$D$56*'Idaho Data'!SW58</f>
        <v>0</v>
      </c>
      <c r="US58" s="200">
        <f>'1. Simulator Input'!$D$67*'1. Simulator Input'!$D$56*'Idaho Data'!TA58</f>
        <v>0</v>
      </c>
      <c r="UT58" s="200">
        <f>'1. Simulator Input'!$D$68*'1. Simulator Input'!$D$56*'Idaho Data'!TB58</f>
        <v>0</v>
      </c>
      <c r="UU58" s="200">
        <f>'1. Simulator Input'!$D$69*'1. Simulator Input'!$D$56*'Idaho Data'!TC58</f>
        <v>0</v>
      </c>
      <c r="UV58" s="200">
        <f>'1. Simulator Input'!$D$70*'1. Simulator Input'!$D$56*TD58</f>
        <v>0</v>
      </c>
      <c r="UW58" s="200">
        <f>'1. Simulator Input'!$D$80*'1. Simulator Input'!$D$56*TW58</f>
        <v>0</v>
      </c>
      <c r="UX58" s="200">
        <f>'1. Simulator Input'!$D$79*'1. Simulator Input'!$D$56*UB58</f>
        <v>0</v>
      </c>
      <c r="UY58" s="200">
        <f>'1. Simulator Input'!$D$87*'1. Simulator Input'!$D$56*TF58</f>
        <v>425502</v>
      </c>
      <c r="UZ58" s="200">
        <f>'1. Simulator Input'!$D$73*'1. Simulator Input'!$D$56*'Idaho Data'!TG58</f>
        <v>0</v>
      </c>
      <c r="VA58" s="200">
        <f>'1. Simulator Input'!$D$56*'1. Simulator Input'!$D$74*'Idaho Data'!TH58</f>
        <v>0</v>
      </c>
      <c r="VB58" s="200">
        <f>'1. Simulator Input'!$D$56*'1. Simulator Input'!$D$75*'Idaho Data'!TI53</f>
        <v>0</v>
      </c>
      <c r="VC58" s="200">
        <f>'1. Simulator Input'!$D$76*'1. Simulator Input'!$D$56*'Idaho Data'!TJ58</f>
        <v>0</v>
      </c>
      <c r="VD58" s="200">
        <f t="shared" si="68"/>
        <v>11449872</v>
      </c>
      <c r="VE58" s="200"/>
      <c r="VF58" s="182"/>
      <c r="VG58" s="200"/>
      <c r="VH58" s="200">
        <f t="shared" si="69"/>
        <v>0</v>
      </c>
      <c r="VI58" s="200">
        <f t="shared" si="70"/>
        <v>0</v>
      </c>
      <c r="VJ58" s="200">
        <f t="shared" si="94"/>
        <v>11449872</v>
      </c>
      <c r="VK58" s="200">
        <f t="shared" si="95"/>
        <v>11449872</v>
      </c>
      <c r="VL58" s="200"/>
      <c r="VM58" s="182"/>
      <c r="VN58" s="200"/>
      <c r="VO58" s="200">
        <f t="shared" si="71"/>
        <v>2166685</v>
      </c>
      <c r="VP58" s="200">
        <f t="shared" si="72"/>
        <v>11783942</v>
      </c>
      <c r="VQ58" s="200">
        <f t="shared" si="73"/>
        <v>4221502</v>
      </c>
      <c r="VR58" s="200">
        <f t="shared" si="74"/>
        <v>2166685</v>
      </c>
      <c r="VS58" s="200">
        <f t="shared" si="96"/>
        <v>11449872</v>
      </c>
      <c r="VT58" s="200">
        <f t="shared" si="97"/>
        <v>4221502</v>
      </c>
      <c r="VU58" s="200">
        <f t="shared" si="98"/>
        <v>0</v>
      </c>
      <c r="VV58" s="200"/>
      <c r="VW58" s="182"/>
      <c r="VX58" s="200"/>
      <c r="VZ58" s="199">
        <f t="shared" si="75"/>
        <v>-334070</v>
      </c>
      <c r="WA58" s="199">
        <f t="shared" si="76"/>
        <v>-167.45363408521303</v>
      </c>
      <c r="WB58" s="131">
        <f t="shared" si="77"/>
        <v>-2.8349596425372766E-2</v>
      </c>
      <c r="WC58" s="131"/>
      <c r="WD58" s="461"/>
      <c r="WE58" s="893"/>
      <c r="WF58" s="893">
        <f t="shared" si="78"/>
        <v>9108.8365914786973</v>
      </c>
      <c r="WG58" s="893">
        <f t="shared" si="79"/>
        <v>8941.3829573934836</v>
      </c>
      <c r="WH58" s="893"/>
      <c r="WI58" s="893">
        <f t="shared" si="80"/>
        <v>11783942</v>
      </c>
      <c r="WJ58" s="893">
        <f t="shared" si="99"/>
        <v>11449872</v>
      </c>
      <c r="WK58" s="39" t="str">
        <f t="shared" si="100"/>
        <v/>
      </c>
      <c r="WL58" s="39" t="str">
        <f t="shared" si="101"/>
        <v/>
      </c>
      <c r="WM58" s="200" t="str">
        <f t="shared" si="102"/>
        <v/>
      </c>
      <c r="WN58" s="39" t="str">
        <f t="shared" si="103"/>
        <v/>
      </c>
      <c r="WO58" s="39"/>
      <c r="WP58" s="182"/>
      <c r="WQ58" s="39"/>
      <c r="WR58" s="305">
        <f t="shared" si="104"/>
        <v>0.745</v>
      </c>
      <c r="WT58" s="200">
        <f t="shared" si="105"/>
        <v>5906.737844611529</v>
      </c>
      <c r="WU58" s="131">
        <f t="shared" si="81"/>
        <v>0.28999999999999998</v>
      </c>
      <c r="WW58" s="199">
        <f t="shared" si="106"/>
        <v>2166685</v>
      </c>
      <c r="WX58" s="199">
        <f t="shared" si="107"/>
        <v>11449872</v>
      </c>
      <c r="WY58" s="199">
        <f t="shared" si="108"/>
        <v>0</v>
      </c>
      <c r="WZ58" s="199">
        <f t="shared" si="82"/>
        <v>11449872</v>
      </c>
      <c r="XA58" s="199">
        <f t="shared" si="109"/>
        <v>0</v>
      </c>
      <c r="XB58" s="199">
        <f t="shared" si="110"/>
        <v>4221502</v>
      </c>
      <c r="XC58" s="199">
        <f t="shared" si="111"/>
        <v>4221502</v>
      </c>
      <c r="XD58" s="199" t="str">
        <f t="shared" si="112"/>
        <v/>
      </c>
      <c r="XE58" s="199"/>
      <c r="XF58" s="199"/>
      <c r="XG58" s="199"/>
      <c r="XH58" s="199"/>
      <c r="XI58" s="199"/>
      <c r="XJ58" s="199">
        <f t="shared" si="83"/>
        <v>11449872</v>
      </c>
      <c r="XP58" s="199">
        <f t="shared" si="113"/>
        <v>11449872</v>
      </c>
      <c r="XQ58" s="199">
        <f t="shared" si="114"/>
        <v>5739.2842105263162</v>
      </c>
      <c r="XR58" s="199">
        <f t="shared" si="115"/>
        <v>11449872</v>
      </c>
      <c r="XS58" s="199">
        <f t="shared" si="116"/>
        <v>11449872</v>
      </c>
      <c r="XT58" s="199">
        <f t="shared" si="117"/>
        <v>5739.2842105263162</v>
      </c>
      <c r="XU58" s="199">
        <f t="shared" si="118"/>
        <v>11783942</v>
      </c>
      <c r="XV58" s="199">
        <f t="shared" si="119"/>
        <v>5906.737844611529</v>
      </c>
      <c r="XW58" s="199">
        <f t="shared" si="120"/>
        <v>11783942</v>
      </c>
      <c r="XX58" s="199">
        <f t="shared" si="121"/>
        <v>5906.737844611529</v>
      </c>
      <c r="XY58" s="199">
        <f t="shared" si="84"/>
        <v>-334070</v>
      </c>
      <c r="XZ58" s="199">
        <f t="shared" si="85"/>
        <v>-167.4536340852128</v>
      </c>
      <c r="YA58" s="131">
        <f t="shared" si="86"/>
        <v>-2.8349596425372724E-2</v>
      </c>
      <c r="YB58" s="199"/>
      <c r="YC58" s="221"/>
      <c r="YD58" s="199"/>
      <c r="YE58" s="199">
        <f t="shared" si="122"/>
        <v>2166685</v>
      </c>
      <c r="YF58" s="200">
        <f t="shared" si="123"/>
        <v>0</v>
      </c>
      <c r="YG58" s="199">
        <f t="shared" si="124"/>
        <v>4221502</v>
      </c>
      <c r="YH58" s="199">
        <f t="shared" si="125"/>
        <v>386614</v>
      </c>
    </row>
    <row r="59" spans="1:658">
      <c r="A59" s="3">
        <v>221</v>
      </c>
      <c r="B59" s="2" t="s">
        <v>153</v>
      </c>
      <c r="C59" s="400">
        <v>0</v>
      </c>
      <c r="D59" s="400">
        <v>0</v>
      </c>
      <c r="E59" s="400">
        <v>0</v>
      </c>
      <c r="F59" s="400">
        <v>0</v>
      </c>
      <c r="G59" s="400">
        <v>1401951</v>
      </c>
      <c r="H59" s="400">
        <v>0</v>
      </c>
      <c r="I59" s="400">
        <v>677</v>
      </c>
      <c r="J59" s="400">
        <v>18354</v>
      </c>
      <c r="K59" s="400">
        <v>0</v>
      </c>
      <c r="L59" s="24">
        <v>147</v>
      </c>
      <c r="M59" s="400">
        <v>0</v>
      </c>
      <c r="N59" s="400">
        <v>0</v>
      </c>
      <c r="O59" s="400">
        <v>0</v>
      </c>
      <c r="P59" s="400">
        <v>0</v>
      </c>
      <c r="Q59" s="400">
        <v>0</v>
      </c>
      <c r="R59" s="400">
        <v>0</v>
      </c>
      <c r="S59" s="400">
        <v>0</v>
      </c>
      <c r="T59" s="400">
        <v>0</v>
      </c>
      <c r="U59" s="400">
        <v>0</v>
      </c>
      <c r="V59" s="400">
        <v>0</v>
      </c>
      <c r="W59" s="400">
        <v>0</v>
      </c>
      <c r="X59" s="400">
        <v>960514</v>
      </c>
      <c r="Y59" s="400">
        <v>0</v>
      </c>
      <c r="Z59" s="400">
        <v>0</v>
      </c>
      <c r="AA59" s="400">
        <v>0</v>
      </c>
      <c r="AB59" s="400">
        <v>0</v>
      </c>
      <c r="AC59" s="400">
        <v>0</v>
      </c>
      <c r="AD59" s="400">
        <v>0</v>
      </c>
      <c r="AE59" s="400">
        <v>0</v>
      </c>
      <c r="AF59" s="400">
        <v>0</v>
      </c>
      <c r="AG59" s="400">
        <v>0</v>
      </c>
      <c r="AH59" s="400">
        <v>0</v>
      </c>
      <c r="AI59" s="400">
        <v>0</v>
      </c>
      <c r="AJ59" s="400">
        <v>0</v>
      </c>
      <c r="AK59" s="400">
        <v>0</v>
      </c>
      <c r="AL59" s="400">
        <v>1201</v>
      </c>
      <c r="AM59" s="400">
        <v>0</v>
      </c>
      <c r="AN59" s="400">
        <v>0</v>
      </c>
      <c r="AO59" s="400">
        <v>0</v>
      </c>
      <c r="AP59" s="400">
        <v>0</v>
      </c>
      <c r="AQ59" s="400">
        <v>0</v>
      </c>
      <c r="AR59" s="400">
        <v>0</v>
      </c>
      <c r="AS59" s="400">
        <v>0</v>
      </c>
      <c r="AT59" s="400">
        <v>0</v>
      </c>
      <c r="AU59" s="400">
        <v>0</v>
      </c>
      <c r="AV59" s="400">
        <v>0</v>
      </c>
      <c r="AW59" s="400">
        <v>0</v>
      </c>
      <c r="AX59" s="400">
        <v>0</v>
      </c>
      <c r="AY59" s="400">
        <v>0</v>
      </c>
      <c r="AZ59" s="400">
        <v>0</v>
      </c>
      <c r="BA59" s="400">
        <v>0</v>
      </c>
      <c r="BB59" s="400">
        <v>0</v>
      </c>
      <c r="BC59" s="400">
        <v>0</v>
      </c>
      <c r="BD59" s="400">
        <v>209</v>
      </c>
      <c r="BE59" s="400">
        <v>0</v>
      </c>
      <c r="BF59" s="400">
        <v>0</v>
      </c>
      <c r="BG59" s="400">
        <v>0</v>
      </c>
      <c r="BH59" s="400">
        <v>0</v>
      </c>
      <c r="BI59" s="400">
        <v>0</v>
      </c>
      <c r="BJ59" s="400">
        <v>0</v>
      </c>
      <c r="BK59" s="400">
        <v>0</v>
      </c>
      <c r="BL59" s="400">
        <v>0</v>
      </c>
      <c r="BM59" s="400">
        <v>17</v>
      </c>
      <c r="BN59" s="400">
        <v>0</v>
      </c>
      <c r="BO59" s="400">
        <v>0</v>
      </c>
      <c r="BP59" s="400">
        <v>0</v>
      </c>
      <c r="BQ59" s="400">
        <v>0</v>
      </c>
      <c r="BR59" s="400">
        <v>0</v>
      </c>
      <c r="BS59" s="400">
        <v>0</v>
      </c>
      <c r="BT59" s="400">
        <v>0</v>
      </c>
      <c r="BU59" s="400">
        <v>0</v>
      </c>
      <c r="BV59" s="400">
        <v>0</v>
      </c>
      <c r="BW59" s="400">
        <v>0</v>
      </c>
      <c r="BX59" s="400">
        <v>0</v>
      </c>
      <c r="BY59" s="400">
        <v>0</v>
      </c>
      <c r="BZ59" s="400">
        <v>0</v>
      </c>
      <c r="CA59" s="400">
        <v>0</v>
      </c>
      <c r="CB59" s="400">
        <v>0</v>
      </c>
      <c r="CC59" s="400">
        <v>0</v>
      </c>
      <c r="CD59" s="400">
        <v>166354</v>
      </c>
      <c r="CE59" s="400">
        <v>8951</v>
      </c>
      <c r="CF59" s="400">
        <v>0</v>
      </c>
      <c r="CG59" s="400">
        <v>31043</v>
      </c>
      <c r="CH59" s="400">
        <v>0</v>
      </c>
      <c r="CI59" s="400">
        <v>0</v>
      </c>
      <c r="CJ59" s="400">
        <v>0</v>
      </c>
      <c r="CK59" s="400">
        <v>0</v>
      </c>
      <c r="CL59" s="400">
        <v>0</v>
      </c>
      <c r="CM59" s="400">
        <v>0</v>
      </c>
      <c r="CN59" s="400">
        <v>0</v>
      </c>
      <c r="CO59" s="400">
        <v>0</v>
      </c>
      <c r="CP59" s="400">
        <v>0</v>
      </c>
      <c r="CQ59" s="400">
        <v>0</v>
      </c>
      <c r="CR59" s="400">
        <v>0</v>
      </c>
      <c r="CS59" s="400">
        <v>0</v>
      </c>
      <c r="CT59" s="400">
        <v>0</v>
      </c>
      <c r="CU59" s="400">
        <v>0</v>
      </c>
      <c r="CV59" s="400">
        <v>0</v>
      </c>
      <c r="CW59" s="400">
        <v>0</v>
      </c>
      <c r="CX59" s="400">
        <v>0</v>
      </c>
      <c r="CY59" s="400">
        <v>0</v>
      </c>
      <c r="CZ59" s="400">
        <v>0</v>
      </c>
      <c r="DA59" s="400">
        <v>0</v>
      </c>
      <c r="DB59" s="400">
        <v>0</v>
      </c>
      <c r="DC59" s="400">
        <v>0</v>
      </c>
      <c r="DD59" s="400">
        <v>0</v>
      </c>
      <c r="DE59" s="400">
        <v>0</v>
      </c>
      <c r="DF59" s="400">
        <v>0</v>
      </c>
      <c r="DG59" s="400">
        <v>0</v>
      </c>
      <c r="DH59" s="400">
        <v>0</v>
      </c>
      <c r="DI59" s="400">
        <v>0</v>
      </c>
      <c r="DJ59" s="400">
        <v>0</v>
      </c>
      <c r="DK59" s="400">
        <v>0</v>
      </c>
      <c r="DL59" s="400">
        <v>0</v>
      </c>
      <c r="DM59" s="400">
        <v>0</v>
      </c>
      <c r="DN59" s="400">
        <v>0</v>
      </c>
      <c r="DO59" s="400">
        <v>0</v>
      </c>
      <c r="DP59" s="400">
        <v>0</v>
      </c>
      <c r="DQ59" s="400">
        <v>0</v>
      </c>
      <c r="DR59" s="400">
        <v>0</v>
      </c>
      <c r="DS59" s="400">
        <v>0</v>
      </c>
      <c r="DT59" s="400">
        <v>0</v>
      </c>
      <c r="DU59" s="400">
        <v>0</v>
      </c>
      <c r="DV59" s="400">
        <v>0</v>
      </c>
      <c r="DW59" s="400">
        <v>0</v>
      </c>
      <c r="DX59" s="400">
        <v>0</v>
      </c>
      <c r="DY59" s="400">
        <v>0</v>
      </c>
      <c r="DZ59" s="400">
        <v>0</v>
      </c>
      <c r="EA59" s="400">
        <v>0</v>
      </c>
      <c r="EB59" s="400">
        <v>0</v>
      </c>
      <c r="EC59" s="400">
        <v>0</v>
      </c>
      <c r="ED59" s="400">
        <v>0</v>
      </c>
      <c r="EE59" s="400">
        <v>0</v>
      </c>
      <c r="EF59" s="400">
        <v>0</v>
      </c>
      <c r="EG59" s="400">
        <v>0</v>
      </c>
      <c r="EH59" s="400">
        <v>0</v>
      </c>
      <c r="EI59" s="400">
        <v>0</v>
      </c>
      <c r="EJ59" s="400">
        <v>0</v>
      </c>
      <c r="EK59" s="400">
        <v>0</v>
      </c>
      <c r="EL59" s="400">
        <v>0</v>
      </c>
      <c r="EM59" s="400">
        <v>0</v>
      </c>
      <c r="EN59" s="400">
        <v>0</v>
      </c>
      <c r="EO59" s="400">
        <v>0</v>
      </c>
      <c r="EP59" s="400">
        <v>0</v>
      </c>
      <c r="EQ59" s="400">
        <v>0</v>
      </c>
      <c r="ER59" s="400">
        <v>0</v>
      </c>
      <c r="ES59" s="400">
        <v>0</v>
      </c>
      <c r="ET59" s="400">
        <v>0</v>
      </c>
      <c r="EU59" s="400">
        <v>0</v>
      </c>
      <c r="EV59" s="400">
        <v>0</v>
      </c>
      <c r="EW59" s="400">
        <v>0</v>
      </c>
      <c r="EX59" s="400">
        <v>0</v>
      </c>
      <c r="EY59" s="400">
        <v>0</v>
      </c>
      <c r="EZ59" s="400">
        <v>0</v>
      </c>
      <c r="FA59" s="400">
        <v>0</v>
      </c>
      <c r="FB59" s="400">
        <v>0</v>
      </c>
      <c r="FC59" s="400">
        <v>0</v>
      </c>
      <c r="FD59" s="400">
        <v>0</v>
      </c>
      <c r="FE59" s="400">
        <v>0</v>
      </c>
      <c r="FF59" s="400">
        <v>0</v>
      </c>
      <c r="FG59" s="400">
        <v>0</v>
      </c>
      <c r="FH59" s="400">
        <v>0</v>
      </c>
      <c r="FI59" s="400">
        <v>0</v>
      </c>
      <c r="FJ59" s="400">
        <v>0</v>
      </c>
      <c r="FK59" s="400">
        <v>0</v>
      </c>
      <c r="FL59" s="400">
        <v>0</v>
      </c>
      <c r="FM59" s="400">
        <v>0</v>
      </c>
      <c r="FN59" s="400">
        <v>0</v>
      </c>
      <c r="FO59" s="400">
        <v>0</v>
      </c>
      <c r="FP59" s="400">
        <v>0</v>
      </c>
      <c r="FQ59" s="400">
        <v>0</v>
      </c>
      <c r="FR59" s="400">
        <v>22806</v>
      </c>
      <c r="FS59" s="400">
        <v>1239062</v>
      </c>
      <c r="FT59" s="400">
        <v>0</v>
      </c>
      <c r="FU59" s="400">
        <v>0</v>
      </c>
      <c r="FV59" s="400">
        <v>0</v>
      </c>
      <c r="FW59" s="400">
        <v>0</v>
      </c>
      <c r="FX59" s="400">
        <v>0</v>
      </c>
      <c r="FY59" s="400">
        <v>10000</v>
      </c>
      <c r="FZ59" s="400">
        <v>341</v>
      </c>
      <c r="GA59" s="400">
        <v>3500</v>
      </c>
      <c r="GB59" s="400">
        <v>0</v>
      </c>
      <c r="GC59" s="400">
        <v>0</v>
      </c>
      <c r="GD59" s="400">
        <v>50074</v>
      </c>
      <c r="GE59" s="400">
        <v>0</v>
      </c>
      <c r="GF59" s="400">
        <v>0</v>
      </c>
      <c r="GG59" s="400">
        <v>0</v>
      </c>
      <c r="GH59" s="400">
        <v>0</v>
      </c>
      <c r="GI59" s="400">
        <v>0</v>
      </c>
      <c r="GJ59" s="400">
        <v>0</v>
      </c>
      <c r="GK59" s="400">
        <v>0</v>
      </c>
      <c r="GL59" s="400">
        <v>0</v>
      </c>
      <c r="GM59" s="400">
        <v>0</v>
      </c>
      <c r="GN59" s="400">
        <v>0</v>
      </c>
      <c r="GO59" s="400">
        <v>0</v>
      </c>
      <c r="GP59" s="400">
        <v>0</v>
      </c>
      <c r="GQ59" s="400">
        <v>0</v>
      </c>
      <c r="GR59" s="400">
        <v>0</v>
      </c>
      <c r="GS59" s="400">
        <v>0</v>
      </c>
      <c r="GT59" s="400">
        <v>0</v>
      </c>
      <c r="GU59" s="400">
        <v>0</v>
      </c>
      <c r="GV59" s="400">
        <v>0</v>
      </c>
      <c r="GW59" s="400">
        <v>2304</v>
      </c>
      <c r="GX59" s="400">
        <v>0</v>
      </c>
      <c r="GY59" s="400">
        <v>0</v>
      </c>
      <c r="GZ59" s="400">
        <v>0</v>
      </c>
      <c r="HA59" s="400">
        <v>0</v>
      </c>
      <c r="HB59" s="400">
        <v>0</v>
      </c>
      <c r="HC59" s="400">
        <v>0</v>
      </c>
      <c r="HD59" s="400">
        <v>10735710</v>
      </c>
      <c r="HE59" s="400">
        <v>0</v>
      </c>
      <c r="HF59" s="400">
        <v>0</v>
      </c>
      <c r="HG59" s="400">
        <v>0</v>
      </c>
      <c r="HH59" s="400">
        <v>0</v>
      </c>
      <c r="HI59" s="400">
        <v>866967</v>
      </c>
      <c r="HJ59" s="400">
        <v>0</v>
      </c>
      <c r="HK59" s="400">
        <v>0</v>
      </c>
      <c r="HL59" s="400">
        <v>80074</v>
      </c>
      <c r="HM59" s="400">
        <v>0</v>
      </c>
      <c r="HN59" s="400">
        <v>364190</v>
      </c>
      <c r="HO59" s="400">
        <v>1214569</v>
      </c>
      <c r="HP59" s="400">
        <v>476385</v>
      </c>
      <c r="HQ59" s="400">
        <v>0</v>
      </c>
      <c r="HR59" s="400">
        <v>0</v>
      </c>
      <c r="HS59" s="400">
        <v>0</v>
      </c>
      <c r="HT59" s="400">
        <v>0</v>
      </c>
      <c r="HU59" s="400">
        <v>0</v>
      </c>
      <c r="HV59" s="400">
        <v>0</v>
      </c>
      <c r="HW59" s="400">
        <v>0</v>
      </c>
      <c r="HX59" s="400">
        <v>0</v>
      </c>
      <c r="HY59" s="400">
        <v>0</v>
      </c>
      <c r="HZ59" s="400">
        <v>25000</v>
      </c>
      <c r="IA59" s="400">
        <v>161522</v>
      </c>
      <c r="IB59" s="400">
        <v>32428</v>
      </c>
      <c r="IC59" s="400">
        <v>0</v>
      </c>
      <c r="ID59" s="400">
        <v>0</v>
      </c>
      <c r="IE59" s="400">
        <v>0</v>
      </c>
      <c r="IF59" s="400">
        <v>0</v>
      </c>
      <c r="IG59" s="400">
        <v>0</v>
      </c>
      <c r="IH59" s="400">
        <v>0</v>
      </c>
      <c r="II59" s="400">
        <v>0</v>
      </c>
      <c r="IJ59" s="400">
        <v>0</v>
      </c>
      <c r="IK59" s="400">
        <v>0</v>
      </c>
      <c r="IL59" s="400">
        <v>0</v>
      </c>
      <c r="IM59" s="400">
        <v>0</v>
      </c>
      <c r="IN59" s="400">
        <v>0</v>
      </c>
      <c r="IO59" s="400">
        <v>18250</v>
      </c>
      <c r="IP59" s="400">
        <v>0</v>
      </c>
      <c r="IQ59" s="400">
        <v>0</v>
      </c>
      <c r="IR59" s="400">
        <v>86885</v>
      </c>
      <c r="IS59" s="400">
        <v>0</v>
      </c>
      <c r="IT59" s="400">
        <v>0</v>
      </c>
      <c r="IU59" s="400">
        <v>0</v>
      </c>
      <c r="IV59" s="400">
        <v>0</v>
      </c>
      <c r="IW59" s="400">
        <v>197092</v>
      </c>
      <c r="IX59" s="400">
        <v>0</v>
      </c>
      <c r="IY59" s="400">
        <v>0</v>
      </c>
      <c r="IZ59" s="400">
        <v>0</v>
      </c>
      <c r="JA59" s="400">
        <v>0</v>
      </c>
      <c r="JB59" s="400">
        <v>59565</v>
      </c>
      <c r="JC59" s="400">
        <v>0</v>
      </c>
      <c r="JD59" s="400">
        <v>0</v>
      </c>
      <c r="JE59" s="400">
        <v>413693</v>
      </c>
      <c r="JF59" s="400">
        <v>0</v>
      </c>
      <c r="JG59" s="400">
        <v>0</v>
      </c>
      <c r="JH59" s="400">
        <v>0</v>
      </c>
      <c r="JI59" s="400">
        <v>0</v>
      </c>
      <c r="JJ59" s="400">
        <v>0</v>
      </c>
      <c r="JK59" s="400">
        <v>0</v>
      </c>
      <c r="JL59" s="400">
        <v>0</v>
      </c>
      <c r="JM59" s="400">
        <v>0</v>
      </c>
      <c r="JN59" s="400">
        <v>0</v>
      </c>
      <c r="JO59" s="400">
        <v>0</v>
      </c>
      <c r="JP59" s="400">
        <v>0</v>
      </c>
      <c r="JQ59" s="400">
        <v>0</v>
      </c>
      <c r="JR59" s="400">
        <v>86299</v>
      </c>
      <c r="JS59" s="400">
        <v>0</v>
      </c>
      <c r="JT59" s="400">
        <v>0</v>
      </c>
      <c r="JU59" s="400">
        <v>0</v>
      </c>
      <c r="JV59" s="400">
        <v>0</v>
      </c>
      <c r="JW59" s="400">
        <v>0</v>
      </c>
      <c r="JX59" s="400">
        <v>0</v>
      </c>
      <c r="JY59" s="400">
        <v>0</v>
      </c>
      <c r="JZ59" s="400">
        <v>0</v>
      </c>
      <c r="KA59" s="400">
        <v>0</v>
      </c>
      <c r="KB59" s="400">
        <v>0</v>
      </c>
      <c r="KC59" s="400">
        <v>0</v>
      </c>
      <c r="KD59" s="400">
        <v>0</v>
      </c>
      <c r="KE59" s="400">
        <v>0</v>
      </c>
      <c r="KF59" s="400">
        <v>0</v>
      </c>
      <c r="KG59" s="400">
        <v>0</v>
      </c>
      <c r="KH59" s="400">
        <v>0</v>
      </c>
      <c r="KI59" s="400">
        <v>0</v>
      </c>
      <c r="KJ59" s="400">
        <v>0</v>
      </c>
      <c r="KK59" s="400">
        <v>0</v>
      </c>
      <c r="KL59" s="400">
        <v>0</v>
      </c>
      <c r="KM59" s="400">
        <v>0</v>
      </c>
      <c r="KN59" s="400">
        <v>0</v>
      </c>
      <c r="KO59" s="400">
        <v>0</v>
      </c>
      <c r="KP59" s="400">
        <v>0</v>
      </c>
      <c r="KQ59" s="400">
        <v>0</v>
      </c>
      <c r="KR59" s="400">
        <v>0</v>
      </c>
      <c r="KS59" s="400">
        <v>0</v>
      </c>
      <c r="KT59" s="400">
        <v>0</v>
      </c>
      <c r="KU59" s="400">
        <v>0</v>
      </c>
      <c r="KV59" s="400">
        <v>176909</v>
      </c>
      <c r="KW59" s="400">
        <v>0</v>
      </c>
      <c r="KX59" s="400">
        <v>0</v>
      </c>
      <c r="KY59" s="400">
        <v>0</v>
      </c>
      <c r="KZ59" s="400">
        <v>0</v>
      </c>
      <c r="LA59" s="400">
        <v>0</v>
      </c>
      <c r="LB59" s="400">
        <v>0</v>
      </c>
      <c r="LC59" s="400">
        <v>0</v>
      </c>
      <c r="LD59" s="400">
        <v>0</v>
      </c>
      <c r="LE59" s="400">
        <v>0</v>
      </c>
      <c r="LF59" s="400">
        <v>0</v>
      </c>
      <c r="LG59" s="400">
        <v>0</v>
      </c>
      <c r="LH59" s="400">
        <v>0</v>
      </c>
      <c r="LI59" s="400">
        <v>0</v>
      </c>
      <c r="LJ59" s="400">
        <v>0</v>
      </c>
      <c r="LK59" s="400">
        <v>0</v>
      </c>
      <c r="LL59" s="400">
        <v>0</v>
      </c>
      <c r="LM59" s="400">
        <v>0</v>
      </c>
      <c r="LN59" s="400">
        <v>0</v>
      </c>
      <c r="LO59" s="400">
        <v>0</v>
      </c>
      <c r="LP59" s="400">
        <v>0</v>
      </c>
      <c r="LQ59" s="400">
        <v>611870</v>
      </c>
      <c r="LR59" s="400">
        <v>22275</v>
      </c>
      <c r="LS59" s="400">
        <v>0</v>
      </c>
      <c r="LT59" s="400">
        <v>34910</v>
      </c>
      <c r="LU59" s="400">
        <v>0</v>
      </c>
      <c r="LV59" s="400">
        <v>0</v>
      </c>
      <c r="LW59" s="400">
        <v>0</v>
      </c>
      <c r="LX59" s="400">
        <v>0</v>
      </c>
      <c r="LY59" s="400">
        <v>0</v>
      </c>
      <c r="LZ59" s="400">
        <v>0</v>
      </c>
      <c r="MA59" s="400">
        <v>0</v>
      </c>
      <c r="MB59" s="400">
        <v>0</v>
      </c>
      <c r="MC59" s="400">
        <v>0</v>
      </c>
      <c r="MD59" s="400">
        <v>0</v>
      </c>
      <c r="ME59" s="400">
        <v>0</v>
      </c>
      <c r="MF59" s="400">
        <v>0</v>
      </c>
      <c r="MG59" s="400">
        <v>0</v>
      </c>
      <c r="MH59" s="400">
        <v>0</v>
      </c>
      <c r="MI59" s="400">
        <v>0</v>
      </c>
      <c r="MJ59" s="400">
        <v>0</v>
      </c>
      <c r="MK59" s="400">
        <v>0</v>
      </c>
      <c r="ML59" s="400">
        <v>0</v>
      </c>
      <c r="MM59" s="400">
        <v>0</v>
      </c>
      <c r="MN59" s="400">
        <v>0</v>
      </c>
      <c r="MO59" s="400">
        <v>37328</v>
      </c>
      <c r="MP59" s="400">
        <v>0</v>
      </c>
      <c r="MQ59" s="400">
        <v>0</v>
      </c>
      <c r="MR59" s="400">
        <v>714700</v>
      </c>
      <c r="MS59" s="400">
        <v>0</v>
      </c>
      <c r="MT59" s="400">
        <v>0</v>
      </c>
      <c r="MU59" s="400">
        <v>0</v>
      </c>
      <c r="MV59" s="400">
        <v>0</v>
      </c>
      <c r="MW59" s="400">
        <v>483374</v>
      </c>
      <c r="MX59" s="400">
        <v>18271</v>
      </c>
      <c r="MY59" s="400">
        <v>0</v>
      </c>
      <c r="MZ59" s="400">
        <v>0</v>
      </c>
      <c r="NA59" s="400">
        <v>0</v>
      </c>
      <c r="NB59" s="400">
        <v>33081</v>
      </c>
      <c r="NC59" s="400">
        <v>0</v>
      </c>
      <c r="ND59" s="400">
        <v>0</v>
      </c>
      <c r="NE59" s="400">
        <v>0</v>
      </c>
      <c r="NF59" s="400">
        <v>0</v>
      </c>
      <c r="NG59" s="400">
        <v>0</v>
      </c>
      <c r="NH59" s="400">
        <v>0</v>
      </c>
      <c r="NI59" s="400">
        <v>0</v>
      </c>
      <c r="NJ59" s="400">
        <v>0</v>
      </c>
      <c r="NK59" s="400">
        <v>0</v>
      </c>
      <c r="NL59" s="400">
        <v>0</v>
      </c>
      <c r="NM59" s="400">
        <v>0</v>
      </c>
      <c r="NN59" s="400">
        <v>0</v>
      </c>
      <c r="NO59" s="400">
        <v>0</v>
      </c>
      <c r="NP59" s="400">
        <v>0</v>
      </c>
      <c r="NQ59" s="400">
        <v>0</v>
      </c>
      <c r="NR59" s="400">
        <v>0</v>
      </c>
      <c r="NS59" s="400">
        <v>0</v>
      </c>
      <c r="NT59" s="400">
        <v>0</v>
      </c>
      <c r="NU59" s="400">
        <v>0</v>
      </c>
      <c r="NV59" s="400">
        <v>129472</v>
      </c>
      <c r="NW59" s="400">
        <v>0</v>
      </c>
      <c r="NX59" s="400">
        <v>254905</v>
      </c>
      <c r="NY59" s="400">
        <v>0</v>
      </c>
      <c r="NZ59" s="400">
        <v>0</v>
      </c>
      <c r="OA59" s="400">
        <v>0</v>
      </c>
      <c r="OB59" s="400">
        <v>0</v>
      </c>
      <c r="OC59" s="400">
        <v>0</v>
      </c>
      <c r="OD59" s="400">
        <v>0</v>
      </c>
      <c r="OE59" s="400">
        <v>0</v>
      </c>
      <c r="OF59" s="400">
        <v>60327</v>
      </c>
      <c r="OG59" s="400">
        <v>0</v>
      </c>
      <c r="OH59" s="400">
        <v>0</v>
      </c>
      <c r="OI59" s="400">
        <v>0</v>
      </c>
      <c r="OJ59" s="400">
        <v>0</v>
      </c>
      <c r="OK59" s="400">
        <v>0</v>
      </c>
      <c r="OL59" s="400">
        <v>0</v>
      </c>
      <c r="OM59" s="400">
        <v>0</v>
      </c>
      <c r="ON59" s="400">
        <v>0</v>
      </c>
      <c r="OO59" s="400">
        <v>0</v>
      </c>
      <c r="OP59" s="400">
        <v>0</v>
      </c>
      <c r="OQ59" s="400">
        <v>0</v>
      </c>
      <c r="OR59" s="400">
        <v>0</v>
      </c>
      <c r="OS59" s="400">
        <v>0</v>
      </c>
      <c r="OT59" s="400">
        <v>0</v>
      </c>
      <c r="OU59" s="400">
        <v>0</v>
      </c>
      <c r="OV59" s="400">
        <v>0</v>
      </c>
      <c r="OW59" s="400">
        <v>0</v>
      </c>
      <c r="OX59" s="400">
        <v>0</v>
      </c>
      <c r="OY59" s="400">
        <v>0</v>
      </c>
      <c r="OZ59" s="400">
        <v>0</v>
      </c>
      <c r="PA59" s="400">
        <v>0</v>
      </c>
      <c r="PB59" s="400">
        <v>0</v>
      </c>
      <c r="PC59" s="400">
        <v>0</v>
      </c>
      <c r="PD59" s="400">
        <v>0</v>
      </c>
      <c r="PE59" s="400">
        <v>0</v>
      </c>
      <c r="PF59" s="400">
        <v>0</v>
      </c>
      <c r="PG59" s="400">
        <v>0</v>
      </c>
      <c r="PH59" s="400">
        <v>80067</v>
      </c>
      <c r="PI59" s="400">
        <v>0</v>
      </c>
      <c r="PJ59" s="400">
        <v>0</v>
      </c>
      <c r="PK59" s="400">
        <v>0</v>
      </c>
      <c r="PL59" s="400">
        <v>0</v>
      </c>
      <c r="PM59" s="400">
        <v>0</v>
      </c>
      <c r="PN59" s="400">
        <v>0</v>
      </c>
      <c r="PO59" s="400">
        <v>0</v>
      </c>
      <c r="PP59" s="400">
        <v>0</v>
      </c>
      <c r="PQ59" s="400">
        <v>0</v>
      </c>
      <c r="PR59" s="400">
        <v>0</v>
      </c>
      <c r="PS59" s="400">
        <v>0</v>
      </c>
      <c r="PT59" s="400">
        <v>0</v>
      </c>
      <c r="PU59" s="400">
        <v>0</v>
      </c>
      <c r="PV59" s="400">
        <v>0</v>
      </c>
      <c r="PW59" s="400">
        <v>0</v>
      </c>
      <c r="PX59" s="400">
        <v>0</v>
      </c>
      <c r="PY59" s="400">
        <v>0</v>
      </c>
      <c r="PZ59" s="400">
        <v>0</v>
      </c>
      <c r="QA59" s="400">
        <v>0</v>
      </c>
      <c r="QB59" s="400">
        <v>0</v>
      </c>
      <c r="QC59" s="400">
        <v>0</v>
      </c>
      <c r="QD59" s="400">
        <v>0</v>
      </c>
      <c r="QE59" s="400">
        <v>0</v>
      </c>
      <c r="QF59" s="400">
        <v>0</v>
      </c>
      <c r="QG59" s="400">
        <v>0</v>
      </c>
      <c r="QH59" s="400">
        <v>0</v>
      </c>
      <c r="QI59" s="400">
        <v>0</v>
      </c>
      <c r="QJ59" s="400">
        <v>0</v>
      </c>
      <c r="QK59" s="400">
        <v>0</v>
      </c>
      <c r="QL59" s="400">
        <v>0</v>
      </c>
      <c r="QM59" s="400">
        <v>0</v>
      </c>
      <c r="QN59" s="400">
        <v>0</v>
      </c>
      <c r="QO59" s="400">
        <v>0</v>
      </c>
      <c r="QP59" s="400">
        <v>0</v>
      </c>
      <c r="QQ59" s="400">
        <v>0</v>
      </c>
      <c r="QR59" s="400">
        <v>0</v>
      </c>
      <c r="QS59" s="400">
        <v>0</v>
      </c>
      <c r="QT59" s="400">
        <v>0</v>
      </c>
      <c r="QU59" s="400">
        <v>0</v>
      </c>
      <c r="QV59" s="400">
        <v>0</v>
      </c>
      <c r="QW59" s="400">
        <v>53820</v>
      </c>
      <c r="QX59" s="400">
        <v>0</v>
      </c>
      <c r="QY59" s="400">
        <v>0</v>
      </c>
      <c r="QZ59" s="400">
        <v>0</v>
      </c>
      <c r="RA59" s="400">
        <v>0</v>
      </c>
      <c r="RB59" s="400">
        <v>0</v>
      </c>
      <c r="RG59" s="39">
        <f t="shared" si="126"/>
        <v>10735710</v>
      </c>
      <c r="RH59" s="39">
        <f t="shared" si="126"/>
        <v>866967</v>
      </c>
      <c r="RI59" s="39">
        <f t="shared" si="126"/>
        <v>80074</v>
      </c>
      <c r="RJ59" s="39">
        <f t="shared" si="126"/>
        <v>0</v>
      </c>
      <c r="RK59" s="39">
        <f t="shared" si="126"/>
        <v>364190</v>
      </c>
      <c r="RL59" s="39">
        <f t="shared" si="126"/>
        <v>1214569</v>
      </c>
      <c r="RM59" s="39">
        <f t="shared" si="126"/>
        <v>695335</v>
      </c>
      <c r="RN59" s="39">
        <f t="shared" si="126"/>
        <v>18250</v>
      </c>
      <c r="RO59" s="39">
        <f t="shared" si="126"/>
        <v>86885</v>
      </c>
      <c r="RP59" s="39">
        <f t="shared" si="126"/>
        <v>197092</v>
      </c>
      <c r="RQ59" s="39">
        <f t="shared" si="126"/>
        <v>59565</v>
      </c>
      <c r="RR59" s="39">
        <f t="shared" si="126"/>
        <v>499992</v>
      </c>
      <c r="RS59" s="39"/>
      <c r="RT59" s="182"/>
      <c r="RU59" s="39"/>
      <c r="RV59" s="39">
        <f t="shared" si="127"/>
        <v>2577422</v>
      </c>
      <c r="RW59" s="39">
        <f t="shared" si="127"/>
        <v>14818629</v>
      </c>
      <c r="RX59" s="39">
        <f t="shared" si="127"/>
        <v>3917505</v>
      </c>
      <c r="RY59" s="39">
        <f t="shared" si="127"/>
        <v>133887</v>
      </c>
      <c r="RZ59" s="39"/>
      <c r="SA59" s="182"/>
      <c r="SB59" s="39"/>
      <c r="SC59" s="25">
        <f t="shared" si="50"/>
        <v>1695.8896103896104</v>
      </c>
      <c r="SD59" s="39">
        <f>IFERROR(VLOOKUP(A59, 'Levy Data 15-16'!$B:$O, 3, FALSE), 0)</f>
        <v>834117801</v>
      </c>
      <c r="SE59" s="39">
        <f t="shared" si="88"/>
        <v>361089.95714285714</v>
      </c>
      <c r="SF59" s="631">
        <f>IFERROR(VLOOKUP(A59, 'Levy Data 15-16'!$B:$O, 14, FALSE), 0)*1000</f>
        <v>2.8371279999999999</v>
      </c>
      <c r="SG59" s="39">
        <f t="shared" si="89"/>
        <v>0</v>
      </c>
      <c r="SH59" s="39">
        <f t="shared" si="90"/>
        <v>0</v>
      </c>
      <c r="SI59" s="39">
        <f t="shared" si="91"/>
        <v>3917505</v>
      </c>
      <c r="SM59" s="39">
        <f t="shared" si="92"/>
        <v>14818629</v>
      </c>
      <c r="SN59" s="39">
        <f t="shared" si="93"/>
        <v>0</v>
      </c>
      <c r="SO59" s="39">
        <f t="shared" si="51"/>
        <v>14818629</v>
      </c>
      <c r="SP59" s="50">
        <f t="shared" si="52"/>
        <v>1</v>
      </c>
      <c r="ST59" s="124">
        <f>IFERROR(VLOOKUP(A59,'Grade Enroll 15-16'!B:AC,27,FALSE),"")</f>
        <v>2310</v>
      </c>
      <c r="SU59" s="124">
        <f t="shared" si="53"/>
        <v>1327.8098676293623</v>
      </c>
      <c r="SV59" s="131">
        <f>IFERROR(VLOOKUP($A59, 'Title I Enroll 16-17'!S:V, 4, FALSE), 0)</f>
        <v>0.57480946650621745</v>
      </c>
      <c r="SW59" s="729">
        <f>IFERROR(VLOOKUP(A59, 'ELL Enroll 15-16'!$N:$S, 6, FALSE), 0)</f>
        <v>153</v>
      </c>
      <c r="SX59" s="131">
        <f t="shared" si="54"/>
        <v>6.6233766233766228E-2</v>
      </c>
      <c r="SY59" s="124">
        <f>IFERROR(VLOOKUP(A59, 'SPED enroll 2015-16'!$M:$O, 3, FALSE), 0)</f>
        <v>325</v>
      </c>
      <c r="SZ59" s="131">
        <f t="shared" si="55"/>
        <v>0.1406926406926407</v>
      </c>
      <c r="TA59" s="142">
        <f t="shared" si="87"/>
        <v>227.49999999999997</v>
      </c>
      <c r="TB59" s="142">
        <f t="shared" si="87"/>
        <v>65</v>
      </c>
      <c r="TC59" s="142">
        <f t="shared" si="87"/>
        <v>22.750000000000004</v>
      </c>
      <c r="TD59" s="142">
        <f t="shared" si="87"/>
        <v>9.75</v>
      </c>
      <c r="TE59" s="124">
        <f>VLOOKUP($A59, 'Grade Enroll 15-16'!$B:$AB, 20, FALSE)</f>
        <v>33</v>
      </c>
      <c r="TF59" s="124">
        <f>VLOOKUP($A59, 'Grade Enroll 15-16'!$B:$AB, 21, FALSE)</f>
        <v>167</v>
      </c>
      <c r="TG59" s="124">
        <f>VLOOKUP($A59, 'Grade Enroll 15-16'!$B:$AB, 22, FALSE)</f>
        <v>564</v>
      </c>
      <c r="TH59" s="124">
        <f>VLOOKUP($A59, 'Grade Enroll 15-16'!$B:$AB, 23, FALSE)</f>
        <v>590</v>
      </c>
      <c r="TI59" s="124">
        <f>VLOOKUP($A59, 'Grade Enroll 15-16'!$B:$AB, 24, FALSE)</f>
        <v>375</v>
      </c>
      <c r="TJ59" s="124">
        <f>VLOOKUP($A59, 'Grade Enroll 15-16'!$B:$AB, 25, FALSE)</f>
        <v>781</v>
      </c>
      <c r="TK59" s="124">
        <f>VLOOKUP($A59, 'Grade Enroll 15-16'!$B:$AB, 26, FALSE)</f>
        <v>1562</v>
      </c>
      <c r="TL59" s="131">
        <f>SUMIFS('Student Achievement 15-16'!N:N, 'Student Achievement 15-16'!B:B, 'Idaho Data'!A59, 'Student Achievement 15-16'!D:D, "math")/100</f>
        <v>0.30299999999999999</v>
      </c>
      <c r="TM59" s="134">
        <f t="shared" si="57"/>
        <v>699.93</v>
      </c>
      <c r="TN59" s="131">
        <f>SUMIFS('Student Achievement 15-16'!N:N, 'Student Achievement 15-16'!B:B, 'Idaho Data'!A59, 'Student Achievement 15-16'!D:D, "ela")/100</f>
        <v>0.29699999999999999</v>
      </c>
      <c r="TO59" s="134">
        <f t="shared" si="58"/>
        <v>686.06999999999994</v>
      </c>
      <c r="TP59" s="688">
        <f>IFERROR(VLOOKUP(A59, 'G&amp;T 15-16'!B:G, 6, FALSE), 0)*1</f>
        <v>56</v>
      </c>
      <c r="TQ59" s="168">
        <f t="shared" si="59"/>
        <v>138.6</v>
      </c>
      <c r="TU59" s="168">
        <f t="shared" si="60"/>
        <v>686.06999999999994</v>
      </c>
      <c r="TV59" s="168">
        <f t="shared" si="61"/>
        <v>699.93</v>
      </c>
      <c r="TW59" s="205">
        <f t="shared" si="62"/>
        <v>699.93</v>
      </c>
      <c r="TX59" s="144"/>
      <c r="TY59" s="129"/>
      <c r="TZ59" s="127">
        <f t="shared" si="63"/>
        <v>56</v>
      </c>
      <c r="UA59" s="127">
        <f t="shared" si="64"/>
        <v>138.6</v>
      </c>
      <c r="UB59" s="205">
        <f t="shared" si="65"/>
        <v>138.6</v>
      </c>
      <c r="UE59" s="853" t="str">
        <f>IF(ST59&lt;='1. Simulator Input'!$E$104, "yes", "")</f>
        <v/>
      </c>
      <c r="UI59" s="199">
        <f t="shared" si="66"/>
        <v>0</v>
      </c>
      <c r="UJ59" s="200">
        <f>IF('Idaho Data'!SI59&gt;=0, ((1-'1. Simulator Input'!$E$39)*'Idaho Data'!SI59), 0)</f>
        <v>0</v>
      </c>
      <c r="UK59" s="200">
        <f t="shared" si="67"/>
        <v>14818629</v>
      </c>
      <c r="UL59" s="39"/>
      <c r="UM59" s="182"/>
      <c r="UN59" s="39"/>
      <c r="UO59" s="39" t="str">
        <f>IF(AND('1. Simulator Input'!$E$96="yes", '1. Simulator Input'!$E$98="yes", '1. Simulator Input'!$E$100="hold harmless"), 'Idaho Data'!WN59, IF(AND('1. Simulator Input'!$E$96="yes", '1. Simulator Input'!$E$98="no", '1. Simulator Input'!$E$100="hold harmless"), 'Idaho Data'!WM59, IF(AND('1. Simulator Input'!$E$96="yes", '1. Simulator Input'!$E$98="yes", '1. Simulator Input'!$E$100="small district grant"), WL59,IF(AND('1. Simulator Input'!$E$96="yes", '1. Simulator Input'!$E$98="no", '1. Simulator Input'!$E$100="small district grant"), WK59, ""))))</f>
        <v/>
      </c>
      <c r="UP59" s="200">
        <f>'1. Simulator Input'!$D$56*('Idaho Data'!ST59)</f>
        <v>12765060</v>
      </c>
      <c r="UQ59" s="204">
        <f>'1. Simulator Input'!$D$65*'1. Simulator Input'!$D$56*'Idaho Data'!SU59</f>
        <v>0</v>
      </c>
      <c r="UR59" s="204">
        <f>'1. Simulator Input'!$D$66*'1. Simulator Input'!$D$56*'Idaho Data'!SW59</f>
        <v>0</v>
      </c>
      <c r="US59" s="200">
        <f>'1. Simulator Input'!$D$67*'1. Simulator Input'!$D$56*'Idaho Data'!TA59</f>
        <v>0</v>
      </c>
      <c r="UT59" s="200">
        <f>'1. Simulator Input'!$D$68*'1. Simulator Input'!$D$56*'Idaho Data'!TB59</f>
        <v>0</v>
      </c>
      <c r="UU59" s="200">
        <f>'1. Simulator Input'!$D$69*'1. Simulator Input'!$D$56*'Idaho Data'!TC59</f>
        <v>0</v>
      </c>
      <c r="UV59" s="200">
        <f>'1. Simulator Input'!$D$70*'1. Simulator Input'!$D$56*TD59</f>
        <v>0</v>
      </c>
      <c r="UW59" s="200">
        <f>'1. Simulator Input'!$D$80*'1. Simulator Input'!$D$56*TW59</f>
        <v>0</v>
      </c>
      <c r="UX59" s="200">
        <f>'1. Simulator Input'!$D$79*'1. Simulator Input'!$D$56*UB59</f>
        <v>0</v>
      </c>
      <c r="UY59" s="200">
        <f>'1. Simulator Input'!$D$87*'1. Simulator Input'!$D$56*TF59</f>
        <v>461421</v>
      </c>
      <c r="UZ59" s="200">
        <f>'1. Simulator Input'!$D$73*'1. Simulator Input'!$D$56*'Idaho Data'!TG59</f>
        <v>0</v>
      </c>
      <c r="VA59" s="200">
        <f>'1. Simulator Input'!$D$56*'1. Simulator Input'!$D$74*'Idaho Data'!TH59</f>
        <v>0</v>
      </c>
      <c r="VB59" s="200">
        <f>'1. Simulator Input'!$D$56*'1. Simulator Input'!$D$75*'Idaho Data'!TI54</f>
        <v>0</v>
      </c>
      <c r="VC59" s="200">
        <f>'1. Simulator Input'!$D$76*'1. Simulator Input'!$D$56*'Idaho Data'!TJ59</f>
        <v>0</v>
      </c>
      <c r="VD59" s="200">
        <f t="shared" si="68"/>
        <v>13226481</v>
      </c>
      <c r="VE59" s="200"/>
      <c r="VF59" s="182"/>
      <c r="VG59" s="200"/>
      <c r="VH59" s="200">
        <f t="shared" si="69"/>
        <v>0</v>
      </c>
      <c r="VI59" s="200">
        <f t="shared" si="70"/>
        <v>0</v>
      </c>
      <c r="VJ59" s="200">
        <f t="shared" si="94"/>
        <v>13226481</v>
      </c>
      <c r="VK59" s="200">
        <f t="shared" si="95"/>
        <v>13226481</v>
      </c>
      <c r="VL59" s="200"/>
      <c r="VM59" s="182"/>
      <c r="VN59" s="200"/>
      <c r="VO59" s="200">
        <f t="shared" si="71"/>
        <v>2577422</v>
      </c>
      <c r="VP59" s="200">
        <f t="shared" si="72"/>
        <v>14818629</v>
      </c>
      <c r="VQ59" s="200">
        <f t="shared" si="73"/>
        <v>3917505</v>
      </c>
      <c r="VR59" s="200">
        <f t="shared" si="74"/>
        <v>2577422</v>
      </c>
      <c r="VS59" s="200">
        <f t="shared" si="96"/>
        <v>13226481</v>
      </c>
      <c r="VT59" s="200">
        <f t="shared" si="97"/>
        <v>3917505</v>
      </c>
      <c r="VU59" s="200">
        <f t="shared" si="98"/>
        <v>0</v>
      </c>
      <c r="VV59" s="200"/>
      <c r="VW59" s="182"/>
      <c r="VX59" s="200"/>
      <c r="VZ59" s="199">
        <f t="shared" si="75"/>
        <v>-1592148</v>
      </c>
      <c r="WA59" s="199">
        <f t="shared" si="76"/>
        <v>-689.24155844155848</v>
      </c>
      <c r="WB59" s="131">
        <f t="shared" si="77"/>
        <v>-0.107442328166796</v>
      </c>
      <c r="WC59" s="131"/>
      <c r="WD59" s="461"/>
      <c r="WE59" s="893"/>
      <c r="WF59" s="893">
        <f t="shared" si="78"/>
        <v>9226.6476190476187</v>
      </c>
      <c r="WG59" s="893">
        <f t="shared" si="79"/>
        <v>8537.4060606060611</v>
      </c>
      <c r="WH59" s="893"/>
      <c r="WI59" s="893">
        <f t="shared" si="80"/>
        <v>14818629</v>
      </c>
      <c r="WJ59" s="893">
        <f t="shared" si="99"/>
        <v>13226481</v>
      </c>
      <c r="WK59" s="39" t="str">
        <f t="shared" si="100"/>
        <v/>
      </c>
      <c r="WL59" s="39" t="str">
        <f t="shared" si="101"/>
        <v/>
      </c>
      <c r="WM59" s="200" t="str">
        <f t="shared" si="102"/>
        <v/>
      </c>
      <c r="WN59" s="39" t="str">
        <f t="shared" si="103"/>
        <v/>
      </c>
      <c r="WO59" s="39"/>
      <c r="WP59" s="182"/>
      <c r="WQ59" s="39"/>
      <c r="WR59" s="305">
        <f t="shared" si="104"/>
        <v>0.36799999999999999</v>
      </c>
      <c r="WT59" s="200">
        <f t="shared" si="105"/>
        <v>6414.9909090909086</v>
      </c>
      <c r="WU59" s="131">
        <f t="shared" si="81"/>
        <v>0.5</v>
      </c>
      <c r="WW59" s="199">
        <f t="shared" si="106"/>
        <v>2577422</v>
      </c>
      <c r="WX59" s="199">
        <f t="shared" si="107"/>
        <v>13226481</v>
      </c>
      <c r="WY59" s="199">
        <f t="shared" si="108"/>
        <v>0</v>
      </c>
      <c r="WZ59" s="199">
        <f t="shared" si="82"/>
        <v>13226481</v>
      </c>
      <c r="XA59" s="199">
        <f t="shared" si="109"/>
        <v>0</v>
      </c>
      <c r="XB59" s="199">
        <f t="shared" si="110"/>
        <v>3917505</v>
      </c>
      <c r="XC59" s="199">
        <f t="shared" si="111"/>
        <v>3917505</v>
      </c>
      <c r="XD59" s="199" t="str">
        <f t="shared" si="112"/>
        <v/>
      </c>
      <c r="XE59" s="199"/>
      <c r="XF59" s="199"/>
      <c r="XG59" s="199"/>
      <c r="XH59" s="199"/>
      <c r="XI59" s="199"/>
      <c r="XJ59" s="199">
        <f t="shared" si="83"/>
        <v>13226481</v>
      </c>
      <c r="XP59" s="199">
        <f t="shared" si="113"/>
        <v>13226481</v>
      </c>
      <c r="XQ59" s="199">
        <f t="shared" si="114"/>
        <v>5725.7493506493511</v>
      </c>
      <c r="XR59" s="199">
        <f t="shared" si="115"/>
        <v>13226481</v>
      </c>
      <c r="XS59" s="199">
        <f t="shared" si="116"/>
        <v>13226481</v>
      </c>
      <c r="XT59" s="199">
        <f t="shared" si="117"/>
        <v>5725.7493506493511</v>
      </c>
      <c r="XU59" s="199">
        <f t="shared" si="118"/>
        <v>14818629</v>
      </c>
      <c r="XV59" s="199">
        <f t="shared" si="119"/>
        <v>6414.9909090909086</v>
      </c>
      <c r="XW59" s="199">
        <f t="shared" si="120"/>
        <v>14818629</v>
      </c>
      <c r="XX59" s="199">
        <f t="shared" si="121"/>
        <v>6414.9909090909086</v>
      </c>
      <c r="XY59" s="199">
        <f t="shared" si="84"/>
        <v>-1592148</v>
      </c>
      <c r="XZ59" s="199">
        <f t="shared" si="85"/>
        <v>-689.24155844155757</v>
      </c>
      <c r="YA59" s="131">
        <f t="shared" si="86"/>
        <v>-0.10744232816679587</v>
      </c>
      <c r="YB59" s="199"/>
      <c r="YC59" s="221"/>
      <c r="YD59" s="199"/>
      <c r="YE59" s="199">
        <f t="shared" si="122"/>
        <v>2577422</v>
      </c>
      <c r="YF59" s="200">
        <f t="shared" si="123"/>
        <v>0</v>
      </c>
      <c r="YG59" s="199">
        <f t="shared" si="124"/>
        <v>3917505</v>
      </c>
      <c r="YH59" s="199">
        <f t="shared" si="125"/>
        <v>133887</v>
      </c>
    </row>
    <row r="60" spans="1:658">
      <c r="A60" s="3">
        <v>231</v>
      </c>
      <c r="B60" s="2" t="s">
        <v>155</v>
      </c>
      <c r="C60" s="24">
        <v>0</v>
      </c>
      <c r="D60" s="24">
        <v>0</v>
      </c>
      <c r="E60" s="24">
        <v>0</v>
      </c>
      <c r="F60" s="24">
        <v>0</v>
      </c>
      <c r="G60" s="24">
        <v>512161</v>
      </c>
      <c r="H60" s="24">
        <v>0</v>
      </c>
      <c r="I60" s="24">
        <v>75</v>
      </c>
      <c r="J60" s="24">
        <v>3</v>
      </c>
      <c r="K60" s="24">
        <v>0</v>
      </c>
      <c r="L60" s="24">
        <v>0</v>
      </c>
      <c r="M60" s="24">
        <v>0</v>
      </c>
      <c r="N60" s="24">
        <v>0</v>
      </c>
      <c r="O60" s="24">
        <v>0</v>
      </c>
      <c r="P60" s="24">
        <v>0</v>
      </c>
      <c r="Q60" s="24">
        <v>0</v>
      </c>
      <c r="R60" s="24">
        <v>0</v>
      </c>
      <c r="S60" s="24">
        <v>0</v>
      </c>
      <c r="T60" s="24">
        <v>381719</v>
      </c>
      <c r="U60" s="24">
        <v>0</v>
      </c>
      <c r="V60" s="24">
        <v>0</v>
      </c>
      <c r="W60" s="24">
        <v>0</v>
      </c>
      <c r="X60" s="24">
        <v>266702</v>
      </c>
      <c r="Y60" s="24">
        <v>4047</v>
      </c>
      <c r="Z60" s="24">
        <v>0</v>
      </c>
      <c r="AA60" s="24">
        <v>5199</v>
      </c>
      <c r="AB60" s="24">
        <v>0</v>
      </c>
      <c r="AC60" s="24">
        <v>0</v>
      </c>
      <c r="AD60" s="24">
        <v>0</v>
      </c>
      <c r="AE60" s="24">
        <v>0</v>
      </c>
      <c r="AF60" s="24">
        <v>0</v>
      </c>
      <c r="AG60" s="24">
        <v>0</v>
      </c>
      <c r="AH60" s="24">
        <v>0</v>
      </c>
      <c r="AI60" s="24">
        <v>0</v>
      </c>
      <c r="AJ60" s="24">
        <v>0</v>
      </c>
      <c r="AK60" s="24">
        <v>0</v>
      </c>
      <c r="AL60" s="24">
        <v>23230</v>
      </c>
      <c r="AM60" s="24">
        <v>0</v>
      </c>
      <c r="AN60" s="24">
        <v>0</v>
      </c>
      <c r="AO60" s="24">
        <v>0</v>
      </c>
      <c r="AP60" s="24">
        <v>0</v>
      </c>
      <c r="AQ60" s="24">
        <v>0</v>
      </c>
      <c r="AR60" s="24">
        <v>0</v>
      </c>
      <c r="AS60" s="24">
        <v>0</v>
      </c>
      <c r="AT60" s="24">
        <v>0</v>
      </c>
      <c r="AU60" s="24">
        <v>0</v>
      </c>
      <c r="AV60" s="24">
        <v>0</v>
      </c>
      <c r="AW60" s="24">
        <v>0</v>
      </c>
      <c r="AX60" s="24">
        <v>0</v>
      </c>
      <c r="AY60" s="24">
        <v>0</v>
      </c>
      <c r="AZ60" s="24">
        <v>0</v>
      </c>
      <c r="BA60" s="24">
        <v>0</v>
      </c>
      <c r="BB60" s="24">
        <v>0</v>
      </c>
      <c r="BC60" s="24">
        <v>0</v>
      </c>
      <c r="BD60" s="24">
        <v>24618</v>
      </c>
      <c r="BE60" s="24">
        <v>0</v>
      </c>
      <c r="BF60" s="24">
        <v>525</v>
      </c>
      <c r="BG60" s="24">
        <v>0</v>
      </c>
      <c r="BH60" s="24">
        <v>0</v>
      </c>
      <c r="BI60" s="24">
        <v>0</v>
      </c>
      <c r="BJ60" s="24">
        <v>0</v>
      </c>
      <c r="BK60" s="24">
        <v>0</v>
      </c>
      <c r="BL60" s="24">
        <v>0</v>
      </c>
      <c r="BM60" s="24">
        <v>0</v>
      </c>
      <c r="BN60" s="24">
        <v>0</v>
      </c>
      <c r="BO60" s="24">
        <v>0</v>
      </c>
      <c r="BP60" s="24">
        <v>0</v>
      </c>
      <c r="BQ60" s="24">
        <v>0</v>
      </c>
      <c r="BR60" s="24">
        <v>0</v>
      </c>
      <c r="BS60" s="24">
        <v>0</v>
      </c>
      <c r="BT60" s="24">
        <v>0</v>
      </c>
      <c r="BU60" s="24">
        <v>0</v>
      </c>
      <c r="BV60" s="24">
        <v>0</v>
      </c>
      <c r="BW60" s="24">
        <v>0</v>
      </c>
      <c r="BX60" s="24">
        <v>0</v>
      </c>
      <c r="BY60" s="24">
        <v>0</v>
      </c>
      <c r="BZ60" s="24">
        <v>0</v>
      </c>
      <c r="CA60" s="24">
        <v>0</v>
      </c>
      <c r="CB60" s="24">
        <v>0</v>
      </c>
      <c r="CC60" s="24">
        <v>0</v>
      </c>
      <c r="CD60" s="24">
        <v>1685</v>
      </c>
      <c r="CE60" s="24">
        <v>15743</v>
      </c>
      <c r="CF60" s="24">
        <v>0</v>
      </c>
      <c r="CG60" s="24">
        <v>15881</v>
      </c>
      <c r="CH60" s="24">
        <v>0</v>
      </c>
      <c r="CI60" s="24">
        <v>0</v>
      </c>
      <c r="CJ60" s="24">
        <v>0</v>
      </c>
      <c r="CK60" s="24">
        <v>0</v>
      </c>
      <c r="CL60" s="24">
        <v>0</v>
      </c>
      <c r="CM60" s="24">
        <v>0</v>
      </c>
      <c r="CN60" s="24">
        <v>0</v>
      </c>
      <c r="CO60" s="24">
        <v>0</v>
      </c>
      <c r="CP60" s="24">
        <v>0</v>
      </c>
      <c r="CQ60" s="24">
        <v>0</v>
      </c>
      <c r="CR60" s="24">
        <v>0</v>
      </c>
      <c r="CS60" s="24">
        <v>0</v>
      </c>
      <c r="CT60" s="24">
        <v>0</v>
      </c>
      <c r="CU60" s="24">
        <v>0</v>
      </c>
      <c r="CV60" s="24">
        <v>0</v>
      </c>
      <c r="CW60" s="24">
        <v>0</v>
      </c>
      <c r="CX60" s="24">
        <v>0</v>
      </c>
      <c r="CY60" s="24">
        <v>0</v>
      </c>
      <c r="CZ60" s="24">
        <v>0</v>
      </c>
      <c r="DA60" s="24">
        <v>0</v>
      </c>
      <c r="DB60" s="24">
        <v>10050</v>
      </c>
      <c r="DC60" s="24">
        <v>0</v>
      </c>
      <c r="DD60" s="24">
        <v>0</v>
      </c>
      <c r="DE60" s="24">
        <v>0</v>
      </c>
      <c r="DF60" s="24">
        <v>0</v>
      </c>
      <c r="DG60" s="24">
        <v>0</v>
      </c>
      <c r="DH60" s="24">
        <v>0</v>
      </c>
      <c r="DI60" s="24">
        <v>0</v>
      </c>
      <c r="DJ60" s="24">
        <v>0</v>
      </c>
      <c r="DK60" s="24">
        <v>0</v>
      </c>
      <c r="DL60" s="24">
        <v>0</v>
      </c>
      <c r="DM60" s="24">
        <v>0</v>
      </c>
      <c r="DN60" s="24">
        <v>0</v>
      </c>
      <c r="DO60" s="24">
        <v>0</v>
      </c>
      <c r="DP60" s="24">
        <v>0</v>
      </c>
      <c r="DQ60" s="24">
        <v>0</v>
      </c>
      <c r="DR60" s="24">
        <v>0</v>
      </c>
      <c r="DS60" s="24">
        <v>0</v>
      </c>
      <c r="DT60" s="24">
        <v>0</v>
      </c>
      <c r="DU60" s="24">
        <v>9300</v>
      </c>
      <c r="DV60" s="24">
        <v>0</v>
      </c>
      <c r="DW60" s="24">
        <v>0</v>
      </c>
      <c r="DX60" s="24">
        <v>0</v>
      </c>
      <c r="DY60" s="24">
        <v>0</v>
      </c>
      <c r="DZ60" s="24">
        <v>0</v>
      </c>
      <c r="EA60" s="24">
        <v>0</v>
      </c>
      <c r="EB60" s="24">
        <v>0</v>
      </c>
      <c r="EC60" s="24">
        <v>0</v>
      </c>
      <c r="ED60" s="24">
        <v>0</v>
      </c>
      <c r="EE60" s="24">
        <v>0</v>
      </c>
      <c r="EF60" s="24">
        <v>0</v>
      </c>
      <c r="EG60" s="24">
        <v>0</v>
      </c>
      <c r="EH60" s="24">
        <v>0</v>
      </c>
      <c r="EI60" s="24">
        <v>0</v>
      </c>
      <c r="EJ60" s="24">
        <v>0</v>
      </c>
      <c r="EK60" s="24">
        <v>0</v>
      </c>
      <c r="EL60" s="24">
        <v>0</v>
      </c>
      <c r="EM60" s="24">
        <v>0</v>
      </c>
      <c r="EN60" s="24">
        <v>0</v>
      </c>
      <c r="EO60" s="24">
        <v>0</v>
      </c>
      <c r="EP60" s="24">
        <v>0</v>
      </c>
      <c r="EQ60" s="24">
        <v>0</v>
      </c>
      <c r="ER60" s="24">
        <v>0</v>
      </c>
      <c r="ES60" s="24">
        <v>0</v>
      </c>
      <c r="ET60" s="24">
        <v>0</v>
      </c>
      <c r="EU60" s="24">
        <v>0</v>
      </c>
      <c r="EV60" s="24">
        <v>0</v>
      </c>
      <c r="EW60" s="24">
        <v>0</v>
      </c>
      <c r="EX60" s="24">
        <v>0</v>
      </c>
      <c r="EY60" s="24">
        <v>0</v>
      </c>
      <c r="EZ60" s="24">
        <v>0</v>
      </c>
      <c r="FA60" s="24">
        <v>0</v>
      </c>
      <c r="FB60" s="24">
        <v>0</v>
      </c>
      <c r="FC60" s="24">
        <v>0</v>
      </c>
      <c r="FD60" s="24">
        <v>0</v>
      </c>
      <c r="FE60" s="24">
        <v>0</v>
      </c>
      <c r="FF60" s="24">
        <v>0</v>
      </c>
      <c r="FG60" s="24">
        <v>0</v>
      </c>
      <c r="FH60" s="24">
        <v>0</v>
      </c>
      <c r="FI60" s="24">
        <v>0</v>
      </c>
      <c r="FJ60" s="24">
        <v>0</v>
      </c>
      <c r="FK60" s="24">
        <v>0</v>
      </c>
      <c r="FL60" s="24">
        <v>0</v>
      </c>
      <c r="FM60" s="24">
        <v>0</v>
      </c>
      <c r="FN60" s="24">
        <v>0</v>
      </c>
      <c r="FO60" s="24">
        <v>0</v>
      </c>
      <c r="FP60" s="24">
        <v>0</v>
      </c>
      <c r="FQ60" s="24">
        <v>0</v>
      </c>
      <c r="FR60" s="24">
        <v>0</v>
      </c>
      <c r="FS60" s="24">
        <v>102100</v>
      </c>
      <c r="FT60" s="24">
        <v>0</v>
      </c>
      <c r="FU60" s="24">
        <v>38126</v>
      </c>
      <c r="FV60" s="24">
        <v>0</v>
      </c>
      <c r="FW60" s="24">
        <v>0</v>
      </c>
      <c r="FX60" s="24">
        <v>0</v>
      </c>
      <c r="FY60" s="24">
        <v>0</v>
      </c>
      <c r="FZ60" s="24">
        <v>0</v>
      </c>
      <c r="GA60" s="24">
        <v>0</v>
      </c>
      <c r="GB60" s="24">
        <v>0</v>
      </c>
      <c r="GC60" s="24">
        <v>0</v>
      </c>
      <c r="GD60" s="24">
        <v>0</v>
      </c>
      <c r="GE60" s="24">
        <v>0</v>
      </c>
      <c r="GF60" s="24">
        <v>0</v>
      </c>
      <c r="GG60" s="24">
        <v>0</v>
      </c>
      <c r="GH60" s="24">
        <v>0</v>
      </c>
      <c r="GI60" s="24">
        <v>0</v>
      </c>
      <c r="GJ60" s="24">
        <v>0</v>
      </c>
      <c r="GK60" s="24">
        <v>0</v>
      </c>
      <c r="GL60" s="24">
        <v>0</v>
      </c>
      <c r="GM60" s="24">
        <v>0</v>
      </c>
      <c r="GN60" s="24">
        <v>0</v>
      </c>
      <c r="GO60" s="24">
        <v>0</v>
      </c>
      <c r="GP60" s="24">
        <v>0</v>
      </c>
      <c r="GQ60" s="24">
        <v>0</v>
      </c>
      <c r="GR60" s="24">
        <v>25261</v>
      </c>
      <c r="GS60" s="24">
        <v>0</v>
      </c>
      <c r="GT60" s="24">
        <v>0</v>
      </c>
      <c r="GU60" s="24">
        <v>0</v>
      </c>
      <c r="GV60" s="24">
        <v>0</v>
      </c>
      <c r="GW60" s="24">
        <v>0</v>
      </c>
      <c r="GX60" s="24">
        <v>0</v>
      </c>
      <c r="GY60" s="24">
        <v>0</v>
      </c>
      <c r="GZ60" s="24">
        <v>0</v>
      </c>
      <c r="HA60" s="24">
        <v>0</v>
      </c>
      <c r="HB60" s="24">
        <v>0</v>
      </c>
      <c r="HC60" s="24">
        <v>0</v>
      </c>
      <c r="HD60" s="24">
        <v>4973186</v>
      </c>
      <c r="HE60" s="24">
        <v>0</v>
      </c>
      <c r="HF60" s="24">
        <v>0</v>
      </c>
      <c r="HG60" s="24">
        <v>0</v>
      </c>
      <c r="HH60" s="24">
        <v>0</v>
      </c>
      <c r="HI60" s="24">
        <v>301175</v>
      </c>
      <c r="HJ60" s="24">
        <v>0</v>
      </c>
      <c r="HK60" s="24">
        <v>0</v>
      </c>
      <c r="HL60" s="24">
        <v>120528</v>
      </c>
      <c r="HM60" s="24">
        <v>0</v>
      </c>
      <c r="HN60" s="24">
        <v>0</v>
      </c>
      <c r="HO60" s="24">
        <v>654057</v>
      </c>
      <c r="HP60" s="24">
        <v>348663</v>
      </c>
      <c r="HQ60" s="24">
        <v>0</v>
      </c>
      <c r="HR60" s="24">
        <v>0</v>
      </c>
      <c r="HS60" s="24">
        <v>0</v>
      </c>
      <c r="HT60" s="24">
        <v>0</v>
      </c>
      <c r="HU60" s="24">
        <v>0</v>
      </c>
      <c r="HV60" s="24">
        <v>0</v>
      </c>
      <c r="HW60" s="24">
        <v>0</v>
      </c>
      <c r="HX60" s="24">
        <v>0</v>
      </c>
      <c r="HY60" s="24">
        <v>0</v>
      </c>
      <c r="HZ60" s="24">
        <v>0</v>
      </c>
      <c r="IA60" s="24">
        <v>0</v>
      </c>
      <c r="IB60" s="24">
        <v>18152</v>
      </c>
      <c r="IC60" s="24">
        <v>0</v>
      </c>
      <c r="ID60" s="24">
        <v>0</v>
      </c>
      <c r="IE60" s="24">
        <v>0</v>
      </c>
      <c r="IF60" s="24">
        <v>0</v>
      </c>
      <c r="IG60" s="24">
        <v>0</v>
      </c>
      <c r="IH60" s="24">
        <v>0</v>
      </c>
      <c r="II60" s="24">
        <v>0</v>
      </c>
      <c r="IJ60" s="24">
        <v>1370</v>
      </c>
      <c r="IK60" s="24">
        <v>0</v>
      </c>
      <c r="IL60" s="24">
        <v>0</v>
      </c>
      <c r="IM60" s="24">
        <v>0</v>
      </c>
      <c r="IN60" s="24">
        <v>0</v>
      </c>
      <c r="IO60" s="24">
        <v>6455</v>
      </c>
      <c r="IP60" s="24">
        <v>0</v>
      </c>
      <c r="IQ60" s="24">
        <v>0</v>
      </c>
      <c r="IR60" s="24">
        <v>40837</v>
      </c>
      <c r="IS60" s="24">
        <v>0</v>
      </c>
      <c r="IT60" s="24">
        <v>0</v>
      </c>
      <c r="IU60" s="24">
        <v>0</v>
      </c>
      <c r="IV60" s="24">
        <v>0</v>
      </c>
      <c r="IW60" s="24">
        <v>75218</v>
      </c>
      <c r="IX60" s="24">
        <v>0</v>
      </c>
      <c r="IY60" s="24">
        <v>0</v>
      </c>
      <c r="IZ60" s="24">
        <v>0</v>
      </c>
      <c r="JA60" s="24">
        <v>0</v>
      </c>
      <c r="JB60" s="24">
        <v>45214</v>
      </c>
      <c r="JC60" s="24">
        <v>0</v>
      </c>
      <c r="JD60" s="24">
        <v>0</v>
      </c>
      <c r="JE60" s="24">
        <v>0</v>
      </c>
      <c r="JF60" s="24">
        <v>0</v>
      </c>
      <c r="JG60" s="24">
        <v>0</v>
      </c>
      <c r="JH60" s="24">
        <v>0</v>
      </c>
      <c r="JI60" s="24">
        <v>0</v>
      </c>
      <c r="JJ60" s="24">
        <v>0</v>
      </c>
      <c r="JK60" s="24">
        <v>0</v>
      </c>
      <c r="JL60" s="24">
        <v>0</v>
      </c>
      <c r="JM60" s="24">
        <v>0</v>
      </c>
      <c r="JN60" s="24">
        <v>0</v>
      </c>
      <c r="JO60" s="24">
        <v>0</v>
      </c>
      <c r="JP60" s="24">
        <v>0</v>
      </c>
      <c r="JQ60" s="24">
        <v>0</v>
      </c>
      <c r="JR60" s="24">
        <v>0</v>
      </c>
      <c r="JS60" s="24">
        <v>0</v>
      </c>
      <c r="JT60" s="24">
        <v>0</v>
      </c>
      <c r="JU60" s="24">
        <v>0</v>
      </c>
      <c r="JV60" s="24">
        <v>0</v>
      </c>
      <c r="JW60" s="24">
        <v>0</v>
      </c>
      <c r="JX60" s="24">
        <v>0</v>
      </c>
      <c r="JY60" s="24">
        <v>554075</v>
      </c>
      <c r="JZ60" s="24">
        <v>0</v>
      </c>
      <c r="KA60" s="24">
        <v>0</v>
      </c>
      <c r="KB60" s="24">
        <v>0</v>
      </c>
      <c r="KC60" s="24">
        <v>0</v>
      </c>
      <c r="KD60" s="24">
        <v>0</v>
      </c>
      <c r="KE60" s="24">
        <v>0</v>
      </c>
      <c r="KF60" s="24">
        <v>0</v>
      </c>
      <c r="KG60" s="24">
        <v>0</v>
      </c>
      <c r="KH60" s="24">
        <v>0</v>
      </c>
      <c r="KI60" s="24">
        <v>0</v>
      </c>
      <c r="KJ60" s="24">
        <v>0</v>
      </c>
      <c r="KK60" s="24">
        <v>0</v>
      </c>
      <c r="KL60" s="24">
        <v>0</v>
      </c>
      <c r="KM60" s="24">
        <v>0</v>
      </c>
      <c r="KN60" s="24">
        <v>0</v>
      </c>
      <c r="KO60" s="24">
        <v>0</v>
      </c>
      <c r="KP60" s="24">
        <v>0</v>
      </c>
      <c r="KQ60" s="24">
        <v>0</v>
      </c>
      <c r="KR60" s="24">
        <v>0</v>
      </c>
      <c r="KS60" s="24">
        <v>0</v>
      </c>
      <c r="KT60" s="24">
        <v>0</v>
      </c>
      <c r="KU60" s="24">
        <v>0</v>
      </c>
      <c r="KV60" s="24">
        <v>0</v>
      </c>
      <c r="KW60" s="24">
        <v>0</v>
      </c>
      <c r="KX60" s="24">
        <v>0</v>
      </c>
      <c r="KY60" s="24">
        <v>0</v>
      </c>
      <c r="KZ60" s="24">
        <v>0</v>
      </c>
      <c r="LA60" s="24">
        <v>0</v>
      </c>
      <c r="LB60" s="24">
        <v>0</v>
      </c>
      <c r="LC60" s="24">
        <v>0</v>
      </c>
      <c r="LD60" s="24">
        <v>0</v>
      </c>
      <c r="LE60" s="24">
        <v>0</v>
      </c>
      <c r="LF60" s="24">
        <v>0</v>
      </c>
      <c r="LG60" s="24">
        <v>0</v>
      </c>
      <c r="LH60" s="24">
        <v>0</v>
      </c>
      <c r="LI60" s="24">
        <v>0</v>
      </c>
      <c r="LJ60" s="24">
        <v>0</v>
      </c>
      <c r="LK60" s="24">
        <v>0</v>
      </c>
      <c r="LL60" s="24">
        <v>0</v>
      </c>
      <c r="LM60" s="24">
        <v>0</v>
      </c>
      <c r="LN60" s="24">
        <v>0</v>
      </c>
      <c r="LO60" s="24">
        <v>0</v>
      </c>
      <c r="LP60" s="24">
        <v>0</v>
      </c>
      <c r="LQ60" s="24">
        <v>257570</v>
      </c>
      <c r="LR60" s="24">
        <v>21820</v>
      </c>
      <c r="LS60" s="24">
        <v>0</v>
      </c>
      <c r="LT60" s="24">
        <v>0</v>
      </c>
      <c r="LU60" s="24">
        <v>0</v>
      </c>
      <c r="LV60" s="24">
        <v>0</v>
      </c>
      <c r="LW60" s="24">
        <v>0</v>
      </c>
      <c r="LX60" s="24">
        <v>0</v>
      </c>
      <c r="LY60" s="24">
        <v>0</v>
      </c>
      <c r="LZ60" s="24">
        <v>0</v>
      </c>
      <c r="MA60" s="24">
        <v>0</v>
      </c>
      <c r="MB60" s="24">
        <v>0</v>
      </c>
      <c r="MC60" s="24">
        <v>0</v>
      </c>
      <c r="MD60" s="24">
        <v>0</v>
      </c>
      <c r="ME60" s="24">
        <v>0</v>
      </c>
      <c r="MF60" s="24">
        <v>0</v>
      </c>
      <c r="MG60" s="24">
        <v>0</v>
      </c>
      <c r="MH60" s="24">
        <v>0</v>
      </c>
      <c r="MI60" s="24">
        <v>0</v>
      </c>
      <c r="MJ60" s="24">
        <v>0</v>
      </c>
      <c r="MK60" s="24">
        <v>0</v>
      </c>
      <c r="ML60" s="24">
        <v>0</v>
      </c>
      <c r="MM60" s="24">
        <v>0</v>
      </c>
      <c r="MN60" s="24">
        <v>0</v>
      </c>
      <c r="MO60" s="24">
        <v>13594</v>
      </c>
      <c r="MP60" s="24">
        <v>0</v>
      </c>
      <c r="MQ60" s="24">
        <v>0</v>
      </c>
      <c r="MR60" s="24">
        <v>670978</v>
      </c>
      <c r="MS60" s="24">
        <v>0</v>
      </c>
      <c r="MT60" s="24">
        <v>0</v>
      </c>
      <c r="MU60" s="24">
        <v>0</v>
      </c>
      <c r="MV60" s="24">
        <v>0</v>
      </c>
      <c r="MW60" s="24">
        <v>255458</v>
      </c>
      <c r="MX60" s="24">
        <v>10949</v>
      </c>
      <c r="MY60" s="24">
        <v>0</v>
      </c>
      <c r="MZ60" s="24">
        <v>0</v>
      </c>
      <c r="NA60" s="24">
        <v>21514</v>
      </c>
      <c r="NB60" s="24">
        <v>0</v>
      </c>
      <c r="NC60" s="24">
        <v>0</v>
      </c>
      <c r="ND60" s="24">
        <v>0</v>
      </c>
      <c r="NE60" s="24">
        <v>0</v>
      </c>
      <c r="NF60" s="24">
        <v>0</v>
      </c>
      <c r="NG60" s="24">
        <v>0</v>
      </c>
      <c r="NH60" s="24">
        <v>0</v>
      </c>
      <c r="NI60" s="24">
        <v>0</v>
      </c>
      <c r="NJ60" s="24">
        <v>0</v>
      </c>
      <c r="NK60" s="24">
        <v>0</v>
      </c>
      <c r="NL60" s="24">
        <v>0</v>
      </c>
      <c r="NM60" s="24">
        <v>0</v>
      </c>
      <c r="NN60" s="24">
        <v>0</v>
      </c>
      <c r="NO60" s="24">
        <v>47638</v>
      </c>
      <c r="NP60" s="24">
        <v>0</v>
      </c>
      <c r="NQ60" s="24">
        <v>26554</v>
      </c>
      <c r="NR60" s="24">
        <v>0</v>
      </c>
      <c r="NS60" s="24">
        <v>0</v>
      </c>
      <c r="NT60" s="24">
        <v>0</v>
      </c>
      <c r="NU60" s="24">
        <v>20068</v>
      </c>
      <c r="NV60" s="24">
        <v>38752</v>
      </c>
      <c r="NW60" s="24">
        <v>0</v>
      </c>
      <c r="NX60" s="24">
        <v>0</v>
      </c>
      <c r="NY60" s="24">
        <v>0</v>
      </c>
      <c r="NZ60" s="24">
        <v>0</v>
      </c>
      <c r="OA60" s="24">
        <v>0</v>
      </c>
      <c r="OB60" s="24">
        <v>0</v>
      </c>
      <c r="OC60" s="24">
        <v>0</v>
      </c>
      <c r="OD60" s="24">
        <v>0</v>
      </c>
      <c r="OE60" s="24">
        <v>0</v>
      </c>
      <c r="OF60" s="24">
        <v>0</v>
      </c>
      <c r="OG60" s="24">
        <v>0</v>
      </c>
      <c r="OH60" s="24">
        <v>0</v>
      </c>
      <c r="OI60" s="24">
        <v>0</v>
      </c>
      <c r="OJ60" s="24">
        <v>0</v>
      </c>
      <c r="OK60" s="24">
        <v>0</v>
      </c>
      <c r="OL60" s="24">
        <v>62649</v>
      </c>
      <c r="OM60" s="24">
        <v>0</v>
      </c>
      <c r="ON60" s="24">
        <v>0</v>
      </c>
      <c r="OO60" s="24">
        <v>0</v>
      </c>
      <c r="OP60" s="24">
        <v>0</v>
      </c>
      <c r="OQ60" s="24">
        <v>0</v>
      </c>
      <c r="OR60" s="24">
        <v>0</v>
      </c>
      <c r="OS60" s="24">
        <v>0</v>
      </c>
      <c r="OT60" s="24">
        <v>0</v>
      </c>
      <c r="OU60" s="24">
        <v>0</v>
      </c>
      <c r="OV60" s="24">
        <v>0</v>
      </c>
      <c r="OW60" s="24">
        <v>0</v>
      </c>
      <c r="OX60" s="24">
        <v>0</v>
      </c>
      <c r="OY60" s="24">
        <v>0</v>
      </c>
      <c r="OZ60" s="24">
        <v>0</v>
      </c>
      <c r="PA60" s="24">
        <v>0</v>
      </c>
      <c r="PB60" s="24">
        <v>0</v>
      </c>
      <c r="PC60" s="24">
        <v>0</v>
      </c>
      <c r="PD60" s="24">
        <v>0</v>
      </c>
      <c r="PE60" s="24">
        <v>0</v>
      </c>
      <c r="PF60" s="24">
        <v>0</v>
      </c>
      <c r="PG60" s="24">
        <v>0</v>
      </c>
      <c r="PH60" s="24">
        <v>0</v>
      </c>
      <c r="PI60" s="24">
        <v>0</v>
      </c>
      <c r="PJ60" s="24">
        <v>0</v>
      </c>
      <c r="PK60" s="24">
        <v>0</v>
      </c>
      <c r="PL60" s="24">
        <v>0</v>
      </c>
      <c r="PM60" s="24">
        <v>0</v>
      </c>
      <c r="PN60" s="24">
        <v>0</v>
      </c>
      <c r="PO60" s="24">
        <v>0</v>
      </c>
      <c r="PP60" s="24">
        <v>0</v>
      </c>
      <c r="PQ60" s="24">
        <v>0</v>
      </c>
      <c r="PR60" s="24">
        <v>0</v>
      </c>
      <c r="PS60" s="24">
        <v>0</v>
      </c>
      <c r="PT60" s="24">
        <v>0</v>
      </c>
      <c r="PU60" s="24">
        <v>0</v>
      </c>
      <c r="PV60" s="24">
        <v>0</v>
      </c>
      <c r="PW60" s="24">
        <v>0</v>
      </c>
      <c r="PX60" s="24">
        <v>0</v>
      </c>
      <c r="PY60" s="24">
        <v>0</v>
      </c>
      <c r="PZ60" s="24">
        <v>0</v>
      </c>
      <c r="QA60" s="24">
        <v>0</v>
      </c>
      <c r="QB60" s="24">
        <v>0</v>
      </c>
      <c r="QC60" s="24">
        <v>0</v>
      </c>
      <c r="QD60" s="24">
        <v>0</v>
      </c>
      <c r="QE60" s="24">
        <v>0</v>
      </c>
      <c r="QF60" s="24">
        <v>692</v>
      </c>
      <c r="QG60" s="24">
        <v>64</v>
      </c>
      <c r="QH60" s="24">
        <v>0</v>
      </c>
      <c r="QI60" s="24">
        <v>0</v>
      </c>
      <c r="QJ60" s="24">
        <v>0</v>
      </c>
      <c r="QK60" s="24">
        <v>0</v>
      </c>
      <c r="QL60" s="24">
        <v>0</v>
      </c>
      <c r="QM60" s="24">
        <v>0</v>
      </c>
      <c r="QN60" s="24">
        <v>0</v>
      </c>
      <c r="QO60" s="24">
        <v>0</v>
      </c>
      <c r="QP60" s="24">
        <v>0</v>
      </c>
      <c r="QQ60" s="24">
        <v>0</v>
      </c>
      <c r="QR60" s="24">
        <v>0</v>
      </c>
      <c r="QS60" s="24">
        <v>14919</v>
      </c>
      <c r="QT60" s="24">
        <v>0</v>
      </c>
      <c r="QU60" s="24">
        <v>0</v>
      </c>
      <c r="QV60" s="24">
        <v>0</v>
      </c>
      <c r="QW60" s="24">
        <v>0</v>
      </c>
      <c r="QX60" s="24">
        <v>0</v>
      </c>
      <c r="QY60" s="24">
        <v>0</v>
      </c>
      <c r="QZ60" s="24">
        <v>0</v>
      </c>
      <c r="RA60" s="24">
        <v>0</v>
      </c>
      <c r="RB60" s="24">
        <v>0</v>
      </c>
      <c r="RG60" s="39">
        <f t="shared" si="126"/>
        <v>4973186</v>
      </c>
      <c r="RH60" s="39">
        <f t="shared" si="126"/>
        <v>301175</v>
      </c>
      <c r="RI60" s="39">
        <f t="shared" si="126"/>
        <v>120528</v>
      </c>
      <c r="RJ60" s="39">
        <f t="shared" si="126"/>
        <v>0</v>
      </c>
      <c r="RK60" s="39">
        <f t="shared" si="126"/>
        <v>0</v>
      </c>
      <c r="RL60" s="39">
        <f t="shared" si="126"/>
        <v>654057</v>
      </c>
      <c r="RM60" s="39">
        <f t="shared" si="126"/>
        <v>368185</v>
      </c>
      <c r="RN60" s="39">
        <f t="shared" si="126"/>
        <v>6455</v>
      </c>
      <c r="RO60" s="39">
        <f t="shared" si="126"/>
        <v>40837</v>
      </c>
      <c r="RP60" s="39">
        <f t="shared" si="126"/>
        <v>75218</v>
      </c>
      <c r="RQ60" s="39">
        <f t="shared" si="126"/>
        <v>45214</v>
      </c>
      <c r="RR60" s="39">
        <f t="shared" si="126"/>
        <v>554075</v>
      </c>
      <c r="RS60" s="39"/>
      <c r="RT60" s="182"/>
      <c r="RU60" s="39"/>
      <c r="RV60" s="39">
        <f t="shared" si="127"/>
        <v>1447544</v>
      </c>
      <c r="RW60" s="39">
        <f t="shared" si="127"/>
        <v>7138930</v>
      </c>
      <c r="RX60" s="39">
        <f t="shared" si="127"/>
        <v>1436425</v>
      </c>
      <c r="RY60" s="39">
        <f t="shared" si="127"/>
        <v>15675</v>
      </c>
      <c r="RZ60" s="39"/>
      <c r="SA60" s="182"/>
      <c r="SB60" s="39"/>
      <c r="SC60" s="25">
        <f t="shared" si="50"/>
        <v>1225.6186006825938</v>
      </c>
      <c r="SD60" s="39">
        <f>IFERROR(VLOOKUP(A60, 'Levy Data 15-16'!$B:$O, 3, FALSE), 0)</f>
        <v>414805547</v>
      </c>
      <c r="SE60" s="39">
        <f t="shared" si="88"/>
        <v>353929.64761092153</v>
      </c>
      <c r="SF60" s="631">
        <f>IFERROR(VLOOKUP(A60, 'Levy Data 15-16'!$B:$O, 14, FALSE), 0)*1000</f>
        <v>2.7761880000000003</v>
      </c>
      <c r="SG60" s="39">
        <f t="shared" si="89"/>
        <v>0</v>
      </c>
      <c r="SH60" s="39">
        <f t="shared" si="90"/>
        <v>0</v>
      </c>
      <c r="SI60" s="39">
        <f t="shared" si="91"/>
        <v>1436425</v>
      </c>
      <c r="SM60" s="39">
        <f t="shared" si="92"/>
        <v>7138930</v>
      </c>
      <c r="SN60" s="39">
        <f t="shared" si="93"/>
        <v>0</v>
      </c>
      <c r="SO60" s="39">
        <f t="shared" si="51"/>
        <v>7138930</v>
      </c>
      <c r="SP60" s="50">
        <f t="shared" si="52"/>
        <v>1</v>
      </c>
      <c r="ST60" s="124">
        <f>IFERROR(VLOOKUP(A60,'Grade Enroll 15-16'!B:AC,27,FALSE),"")</f>
        <v>1172</v>
      </c>
      <c r="SU60" s="124">
        <f t="shared" si="53"/>
        <v>793.5799373040752</v>
      </c>
      <c r="SV60" s="131">
        <f>IFERROR(VLOOKUP($A60, 'Title I Enroll 16-17'!S:V, 4, FALSE), 0)</f>
        <v>0.67711598746081503</v>
      </c>
      <c r="SW60" s="729">
        <f>IFERROR(VLOOKUP(A60, 'ELL Enroll 15-16'!$N:$S, 6, FALSE), 0)</f>
        <v>214</v>
      </c>
      <c r="SX60" s="131">
        <f t="shared" si="54"/>
        <v>0.1825938566552901</v>
      </c>
      <c r="SY60" s="124">
        <f>IFERROR(VLOOKUP(A60, 'SPED enroll 2015-16'!$M:$O, 3, FALSE), 0)</f>
        <v>131</v>
      </c>
      <c r="SZ60" s="131">
        <f t="shared" si="55"/>
        <v>0.11177474402730375</v>
      </c>
      <c r="TA60" s="142">
        <f t="shared" si="87"/>
        <v>91.699999999999989</v>
      </c>
      <c r="TB60" s="142">
        <f t="shared" si="87"/>
        <v>26.200000000000003</v>
      </c>
      <c r="TC60" s="142">
        <f t="shared" si="87"/>
        <v>9.1700000000000017</v>
      </c>
      <c r="TD60" s="142">
        <f t="shared" si="87"/>
        <v>3.9299999999999997</v>
      </c>
      <c r="TE60" s="124">
        <f>VLOOKUP($A60, 'Grade Enroll 15-16'!$B:$AB, 20, FALSE)</f>
        <v>8</v>
      </c>
      <c r="TF60" s="124">
        <f>VLOOKUP($A60, 'Grade Enroll 15-16'!$B:$AB, 21, FALSE)</f>
        <v>92</v>
      </c>
      <c r="TG60" s="124">
        <f>VLOOKUP($A60, 'Grade Enroll 15-16'!$B:$AB, 22, FALSE)</f>
        <v>306</v>
      </c>
      <c r="TH60" s="124">
        <f>VLOOKUP($A60, 'Grade Enroll 15-16'!$B:$AB, 23, FALSE)</f>
        <v>305</v>
      </c>
      <c r="TI60" s="124">
        <f>VLOOKUP($A60, 'Grade Enroll 15-16'!$B:$AB, 24, FALSE)</f>
        <v>205</v>
      </c>
      <c r="TJ60" s="124">
        <f>VLOOKUP($A60, 'Grade Enroll 15-16'!$B:$AB, 25, FALSE)</f>
        <v>356</v>
      </c>
      <c r="TK60" s="124">
        <f>VLOOKUP($A60, 'Grade Enroll 15-16'!$B:$AB, 26, FALSE)</f>
        <v>799</v>
      </c>
      <c r="TL60" s="131">
        <f>SUMIFS('Student Achievement 15-16'!N:N, 'Student Achievement 15-16'!B:B, 'Idaho Data'!A60, 'Student Achievement 15-16'!D:D, "math")/100</f>
        <v>0.42599999999999999</v>
      </c>
      <c r="TM60" s="134">
        <f t="shared" si="57"/>
        <v>499.27199999999999</v>
      </c>
      <c r="TN60" s="131">
        <f>SUMIFS('Student Achievement 15-16'!N:N, 'Student Achievement 15-16'!B:B, 'Idaho Data'!A60, 'Student Achievement 15-16'!D:D, "ela")/100</f>
        <v>0.36099999999999999</v>
      </c>
      <c r="TO60" s="134">
        <f t="shared" si="58"/>
        <v>423.09199999999998</v>
      </c>
      <c r="TP60" s="688">
        <f>IFERROR(VLOOKUP(A60, 'G&amp;T 15-16'!B:G, 6, FALSE), 0)*1</f>
        <v>0</v>
      </c>
      <c r="TQ60" s="168">
        <f t="shared" si="59"/>
        <v>70.319999999999993</v>
      </c>
      <c r="TU60" s="168">
        <f t="shared" si="60"/>
        <v>423.09199999999998</v>
      </c>
      <c r="TV60" s="168">
        <f t="shared" si="61"/>
        <v>499.27199999999999</v>
      </c>
      <c r="TW60" s="205">
        <f t="shared" si="62"/>
        <v>499.27199999999999</v>
      </c>
      <c r="TX60" s="144"/>
      <c r="TY60" s="129"/>
      <c r="TZ60" s="127">
        <f t="shared" si="63"/>
        <v>0</v>
      </c>
      <c r="UA60" s="127">
        <f t="shared" si="64"/>
        <v>70.319999999999993</v>
      </c>
      <c r="UB60" s="205">
        <f t="shared" si="65"/>
        <v>70.319999999999993</v>
      </c>
      <c r="UE60" s="853" t="str">
        <f>IF(ST60&lt;='1. Simulator Input'!$E$104, "yes", "")</f>
        <v/>
      </c>
      <c r="UI60" s="199">
        <f t="shared" si="66"/>
        <v>0</v>
      </c>
      <c r="UJ60" s="200">
        <f>IF('Idaho Data'!SI60&gt;=0, ((1-'1. Simulator Input'!$E$39)*'Idaho Data'!SI60), 0)</f>
        <v>0</v>
      </c>
      <c r="UK60" s="200">
        <f t="shared" si="67"/>
        <v>7138930</v>
      </c>
      <c r="UL60" s="39"/>
      <c r="UM60" s="182"/>
      <c r="UN60" s="39"/>
      <c r="UO60" s="39" t="str">
        <f>IF(AND('1. Simulator Input'!$E$96="yes", '1. Simulator Input'!$E$98="yes", '1. Simulator Input'!$E$100="hold harmless"), 'Idaho Data'!WN60, IF(AND('1. Simulator Input'!$E$96="yes", '1. Simulator Input'!$E$98="no", '1. Simulator Input'!$E$100="hold harmless"), 'Idaho Data'!WM60, IF(AND('1. Simulator Input'!$E$96="yes", '1. Simulator Input'!$E$98="yes", '1. Simulator Input'!$E$100="small district grant"), WL60,IF(AND('1. Simulator Input'!$E$96="yes", '1. Simulator Input'!$E$98="no", '1. Simulator Input'!$E$100="small district grant"), WK60, ""))))</f>
        <v/>
      </c>
      <c r="UP60" s="200">
        <f>'1. Simulator Input'!$D$56*('Idaho Data'!ST60)</f>
        <v>6476472</v>
      </c>
      <c r="UQ60" s="204">
        <f>'1. Simulator Input'!$D$65*'1. Simulator Input'!$D$56*'Idaho Data'!SU60</f>
        <v>0</v>
      </c>
      <c r="UR60" s="204">
        <f>'1. Simulator Input'!$D$66*'1. Simulator Input'!$D$56*'Idaho Data'!SW60</f>
        <v>0</v>
      </c>
      <c r="US60" s="200">
        <f>'1. Simulator Input'!$D$67*'1. Simulator Input'!$D$56*'Idaho Data'!TA60</f>
        <v>0</v>
      </c>
      <c r="UT60" s="200">
        <f>'1. Simulator Input'!$D$68*'1. Simulator Input'!$D$56*'Idaho Data'!TB60</f>
        <v>0</v>
      </c>
      <c r="UU60" s="200">
        <f>'1. Simulator Input'!$D$69*'1. Simulator Input'!$D$56*'Idaho Data'!TC60</f>
        <v>0</v>
      </c>
      <c r="UV60" s="200">
        <f>'1. Simulator Input'!$D$70*'1. Simulator Input'!$D$56*TD60</f>
        <v>0</v>
      </c>
      <c r="UW60" s="200">
        <f>'1. Simulator Input'!$D$80*'1. Simulator Input'!$D$56*TW60</f>
        <v>0</v>
      </c>
      <c r="UX60" s="200">
        <f>'1. Simulator Input'!$D$79*'1. Simulator Input'!$D$56*UB60</f>
        <v>0</v>
      </c>
      <c r="UY60" s="200">
        <f>'1. Simulator Input'!$D$87*'1. Simulator Input'!$D$56*TF60</f>
        <v>254196</v>
      </c>
      <c r="UZ60" s="200">
        <f>'1. Simulator Input'!$D$73*'1. Simulator Input'!$D$56*'Idaho Data'!TG60</f>
        <v>0</v>
      </c>
      <c r="VA60" s="200">
        <f>'1. Simulator Input'!$D$56*'1. Simulator Input'!$D$74*'Idaho Data'!TH60</f>
        <v>0</v>
      </c>
      <c r="VB60" s="200">
        <f>'1. Simulator Input'!$D$56*'1. Simulator Input'!$D$75*'Idaho Data'!TI55</f>
        <v>0</v>
      </c>
      <c r="VC60" s="200">
        <f>'1. Simulator Input'!$D$76*'1. Simulator Input'!$D$56*'Idaho Data'!TJ60</f>
        <v>0</v>
      </c>
      <c r="VD60" s="200">
        <f t="shared" si="68"/>
        <v>6730668</v>
      </c>
      <c r="VE60" s="200"/>
      <c r="VF60" s="182"/>
      <c r="VG60" s="200"/>
      <c r="VH60" s="200">
        <f t="shared" si="69"/>
        <v>0</v>
      </c>
      <c r="VI60" s="200">
        <f t="shared" si="70"/>
        <v>0</v>
      </c>
      <c r="VJ60" s="200">
        <f t="shared" si="94"/>
        <v>6730668</v>
      </c>
      <c r="VK60" s="200">
        <f t="shared" si="95"/>
        <v>6730668</v>
      </c>
      <c r="VL60" s="200"/>
      <c r="VM60" s="182"/>
      <c r="VN60" s="200"/>
      <c r="VO60" s="200">
        <f t="shared" si="71"/>
        <v>1447544</v>
      </c>
      <c r="VP60" s="200">
        <f t="shared" si="72"/>
        <v>7138930</v>
      </c>
      <c r="VQ60" s="200">
        <f t="shared" si="73"/>
        <v>1436425</v>
      </c>
      <c r="VR60" s="200">
        <f t="shared" si="74"/>
        <v>1447544</v>
      </c>
      <c r="VS60" s="200">
        <f t="shared" si="96"/>
        <v>6730668</v>
      </c>
      <c r="VT60" s="200">
        <f t="shared" si="97"/>
        <v>1436425</v>
      </c>
      <c r="VU60" s="200">
        <f t="shared" si="98"/>
        <v>0</v>
      </c>
      <c r="VV60" s="200"/>
      <c r="VW60" s="182"/>
      <c r="VX60" s="200"/>
      <c r="VZ60" s="199">
        <f t="shared" si="75"/>
        <v>-408262</v>
      </c>
      <c r="WA60" s="199">
        <f t="shared" si="76"/>
        <v>-348.34641638225258</v>
      </c>
      <c r="WB60" s="131">
        <f t="shared" si="77"/>
        <v>-5.7188122029491813E-2</v>
      </c>
      <c r="WC60" s="131"/>
      <c r="WD60" s="461"/>
      <c r="WE60" s="893"/>
      <c r="WF60" s="893">
        <f t="shared" si="78"/>
        <v>8551.9616040955625</v>
      </c>
      <c r="WG60" s="893">
        <f t="shared" si="79"/>
        <v>8203.6151877133107</v>
      </c>
      <c r="WH60" s="893"/>
      <c r="WI60" s="893">
        <f t="shared" si="80"/>
        <v>7138930</v>
      </c>
      <c r="WJ60" s="893">
        <f t="shared" si="99"/>
        <v>6730668</v>
      </c>
      <c r="WK60" s="39" t="str">
        <f t="shared" si="100"/>
        <v/>
      </c>
      <c r="WL60" s="39" t="str">
        <f t="shared" si="101"/>
        <v/>
      </c>
      <c r="WM60" s="200" t="str">
        <f t="shared" si="102"/>
        <v/>
      </c>
      <c r="WN60" s="39" t="str">
        <f t="shared" si="103"/>
        <v/>
      </c>
      <c r="WO60" s="39"/>
      <c r="WP60" s="182"/>
      <c r="WQ60" s="39"/>
      <c r="WR60" s="305">
        <f t="shared" si="104"/>
        <v>0.35899999999999999</v>
      </c>
      <c r="WT60" s="200">
        <f t="shared" si="105"/>
        <v>6091.2372013651875</v>
      </c>
      <c r="WU60" s="131">
        <f t="shared" si="81"/>
        <v>0.4</v>
      </c>
      <c r="WW60" s="199">
        <f t="shared" si="106"/>
        <v>1447544</v>
      </c>
      <c r="WX60" s="199">
        <f t="shared" si="107"/>
        <v>6730668</v>
      </c>
      <c r="WY60" s="199">
        <f t="shared" si="108"/>
        <v>0</v>
      </c>
      <c r="WZ60" s="199">
        <f t="shared" si="82"/>
        <v>6730668</v>
      </c>
      <c r="XA60" s="199">
        <f t="shared" si="109"/>
        <v>0</v>
      </c>
      <c r="XB60" s="199">
        <f t="shared" si="110"/>
        <v>1436425</v>
      </c>
      <c r="XC60" s="199">
        <f t="shared" si="111"/>
        <v>1436425</v>
      </c>
      <c r="XD60" s="199" t="str">
        <f t="shared" si="112"/>
        <v/>
      </c>
      <c r="XE60" s="199"/>
      <c r="XF60" s="199"/>
      <c r="XG60" s="199"/>
      <c r="XH60" s="199"/>
      <c r="XI60" s="199"/>
      <c r="XJ60" s="199">
        <f t="shared" si="83"/>
        <v>6730668</v>
      </c>
      <c r="XP60" s="199">
        <f t="shared" si="113"/>
        <v>6730668</v>
      </c>
      <c r="XQ60" s="199">
        <f t="shared" si="114"/>
        <v>5742.8907849829347</v>
      </c>
      <c r="XR60" s="199">
        <f t="shared" si="115"/>
        <v>6730668</v>
      </c>
      <c r="XS60" s="199">
        <f t="shared" si="116"/>
        <v>6730668</v>
      </c>
      <c r="XT60" s="199">
        <f t="shared" si="117"/>
        <v>5742.8907849829347</v>
      </c>
      <c r="XU60" s="199">
        <f t="shared" si="118"/>
        <v>7138930</v>
      </c>
      <c r="XV60" s="199">
        <f t="shared" si="119"/>
        <v>6091.2372013651875</v>
      </c>
      <c r="XW60" s="199">
        <f t="shared" si="120"/>
        <v>7138930</v>
      </c>
      <c r="XX60" s="199">
        <f t="shared" si="121"/>
        <v>6091.2372013651875</v>
      </c>
      <c r="XY60" s="199">
        <f t="shared" si="84"/>
        <v>-408262</v>
      </c>
      <c r="XZ60" s="199">
        <f t="shared" si="85"/>
        <v>-348.34641638225276</v>
      </c>
      <c r="YA60" s="131">
        <f t="shared" si="86"/>
        <v>-5.7188122029491847E-2</v>
      </c>
      <c r="YB60" s="199"/>
      <c r="YC60" s="221"/>
      <c r="YD60" s="199"/>
      <c r="YE60" s="199">
        <f t="shared" si="122"/>
        <v>1447544</v>
      </c>
      <c r="YF60" s="200">
        <f t="shared" si="123"/>
        <v>0</v>
      </c>
      <c r="YG60" s="199">
        <f t="shared" si="124"/>
        <v>1436425</v>
      </c>
      <c r="YH60" s="199">
        <f t="shared" si="125"/>
        <v>15675</v>
      </c>
    </row>
    <row r="61" spans="1:658">
      <c r="A61" s="3">
        <v>232</v>
      </c>
      <c r="B61" s="2" t="s">
        <v>156</v>
      </c>
      <c r="C61" s="24">
        <v>0</v>
      </c>
      <c r="D61" s="24">
        <v>0</v>
      </c>
      <c r="E61" s="24">
        <v>0</v>
      </c>
      <c r="F61" s="24">
        <v>0</v>
      </c>
      <c r="G61" s="24">
        <v>156678</v>
      </c>
      <c r="H61" s="24">
        <v>0</v>
      </c>
      <c r="I61" s="24">
        <v>0</v>
      </c>
      <c r="J61" s="24">
        <v>632</v>
      </c>
      <c r="K61" s="24">
        <v>0</v>
      </c>
      <c r="L61" s="24">
        <v>0</v>
      </c>
      <c r="M61" s="24">
        <v>0</v>
      </c>
      <c r="N61" s="24">
        <v>0</v>
      </c>
      <c r="O61" s="24">
        <v>0</v>
      </c>
      <c r="P61" s="24">
        <v>0</v>
      </c>
      <c r="Q61" s="24">
        <v>0</v>
      </c>
      <c r="R61" s="24">
        <v>0</v>
      </c>
      <c r="S61" s="24">
        <v>0</v>
      </c>
      <c r="T61" s="24">
        <v>0</v>
      </c>
      <c r="U61" s="24">
        <v>0</v>
      </c>
      <c r="V61" s="24">
        <v>0</v>
      </c>
      <c r="W61" s="24">
        <v>0</v>
      </c>
      <c r="X61" s="24">
        <v>909085</v>
      </c>
      <c r="Y61" s="24">
        <v>1447</v>
      </c>
      <c r="Z61" s="24">
        <v>0</v>
      </c>
      <c r="AA61" s="24">
        <v>6359</v>
      </c>
      <c r="AB61" s="24">
        <v>0</v>
      </c>
      <c r="AC61" s="24">
        <v>0</v>
      </c>
      <c r="AD61" s="24">
        <v>0</v>
      </c>
      <c r="AE61" s="24">
        <v>0</v>
      </c>
      <c r="AF61" s="24">
        <v>0</v>
      </c>
      <c r="AG61" s="24">
        <v>0</v>
      </c>
      <c r="AH61" s="24">
        <v>5895</v>
      </c>
      <c r="AI61" s="24">
        <v>0</v>
      </c>
      <c r="AJ61" s="24">
        <v>0</v>
      </c>
      <c r="AK61" s="24">
        <v>0</v>
      </c>
      <c r="AL61" s="24">
        <v>3586</v>
      </c>
      <c r="AM61" s="24">
        <v>0</v>
      </c>
      <c r="AN61" s="24">
        <v>0</v>
      </c>
      <c r="AO61" s="24">
        <v>0</v>
      </c>
      <c r="AP61" s="24">
        <v>0</v>
      </c>
      <c r="AQ61" s="24">
        <v>0</v>
      </c>
      <c r="AR61" s="24">
        <v>0</v>
      </c>
      <c r="AS61" s="24">
        <v>0</v>
      </c>
      <c r="AT61" s="24">
        <v>0</v>
      </c>
      <c r="AU61" s="24">
        <v>0</v>
      </c>
      <c r="AV61" s="24">
        <v>0</v>
      </c>
      <c r="AW61" s="24">
        <v>0</v>
      </c>
      <c r="AX61" s="24">
        <v>0</v>
      </c>
      <c r="AY61" s="24">
        <v>0</v>
      </c>
      <c r="AZ61" s="24">
        <v>0</v>
      </c>
      <c r="BA61" s="24">
        <v>0</v>
      </c>
      <c r="BB61" s="24">
        <v>0</v>
      </c>
      <c r="BC61" s="24">
        <v>42</v>
      </c>
      <c r="BD61" s="24">
        <v>1624</v>
      </c>
      <c r="BE61" s="24">
        <v>2</v>
      </c>
      <c r="BF61" s="24">
        <v>0</v>
      </c>
      <c r="BG61" s="24">
        <v>0</v>
      </c>
      <c r="BH61" s="24">
        <v>0</v>
      </c>
      <c r="BI61" s="24">
        <v>0</v>
      </c>
      <c r="BJ61" s="24">
        <v>0</v>
      </c>
      <c r="BK61" s="24">
        <v>0</v>
      </c>
      <c r="BL61" s="24">
        <v>0</v>
      </c>
      <c r="BM61" s="24">
        <v>0</v>
      </c>
      <c r="BN61" s="24">
        <v>0</v>
      </c>
      <c r="BO61" s="24">
        <v>0</v>
      </c>
      <c r="BP61" s="24">
        <v>0</v>
      </c>
      <c r="BQ61" s="24">
        <v>0</v>
      </c>
      <c r="BR61" s="24">
        <v>0</v>
      </c>
      <c r="BS61" s="24">
        <v>0</v>
      </c>
      <c r="BT61" s="24">
        <v>0</v>
      </c>
      <c r="BU61" s="24">
        <v>0</v>
      </c>
      <c r="BV61" s="24">
        <v>0</v>
      </c>
      <c r="BW61" s="24">
        <v>0</v>
      </c>
      <c r="BX61" s="24">
        <v>0</v>
      </c>
      <c r="BY61" s="24">
        <v>0</v>
      </c>
      <c r="BZ61" s="24">
        <v>0</v>
      </c>
      <c r="CA61" s="24">
        <v>0</v>
      </c>
      <c r="CB61" s="24">
        <v>0</v>
      </c>
      <c r="CC61" s="24">
        <v>0</v>
      </c>
      <c r="CD61" s="24">
        <v>0</v>
      </c>
      <c r="CE61" s="24">
        <v>7697</v>
      </c>
      <c r="CF61" s="24">
        <v>0</v>
      </c>
      <c r="CG61" s="24">
        <v>0</v>
      </c>
      <c r="CH61" s="24">
        <v>0</v>
      </c>
      <c r="CI61" s="24">
        <v>0</v>
      </c>
      <c r="CJ61" s="24">
        <v>0</v>
      </c>
      <c r="CK61" s="24">
        <v>0</v>
      </c>
      <c r="CL61" s="24">
        <v>0</v>
      </c>
      <c r="CM61" s="24">
        <v>0</v>
      </c>
      <c r="CN61" s="24">
        <v>0</v>
      </c>
      <c r="CO61" s="24">
        <v>0</v>
      </c>
      <c r="CP61" s="24">
        <v>0</v>
      </c>
      <c r="CQ61" s="24">
        <v>0</v>
      </c>
      <c r="CR61" s="24">
        <v>0</v>
      </c>
      <c r="CS61" s="24">
        <v>0</v>
      </c>
      <c r="CT61" s="24">
        <v>0</v>
      </c>
      <c r="CU61" s="24">
        <v>0</v>
      </c>
      <c r="CV61" s="24">
        <v>0</v>
      </c>
      <c r="CW61" s="24">
        <v>0</v>
      </c>
      <c r="CX61" s="24">
        <v>0</v>
      </c>
      <c r="CY61" s="24">
        <v>0</v>
      </c>
      <c r="CZ61" s="24">
        <v>0</v>
      </c>
      <c r="DA61" s="24">
        <v>0</v>
      </c>
      <c r="DB61" s="24">
        <v>0</v>
      </c>
      <c r="DC61" s="24">
        <v>0</v>
      </c>
      <c r="DD61" s="24">
        <v>0</v>
      </c>
      <c r="DE61" s="24">
        <v>0</v>
      </c>
      <c r="DF61" s="24">
        <v>0</v>
      </c>
      <c r="DG61" s="24">
        <v>0</v>
      </c>
      <c r="DH61" s="24">
        <v>0</v>
      </c>
      <c r="DI61" s="24">
        <v>0</v>
      </c>
      <c r="DJ61" s="24">
        <v>0</v>
      </c>
      <c r="DK61" s="24">
        <v>0</v>
      </c>
      <c r="DL61" s="24">
        <v>0</v>
      </c>
      <c r="DM61" s="24">
        <v>0</v>
      </c>
      <c r="DN61" s="24">
        <v>0</v>
      </c>
      <c r="DO61" s="24">
        <v>0</v>
      </c>
      <c r="DP61" s="24">
        <v>0</v>
      </c>
      <c r="DQ61" s="24">
        <v>0</v>
      </c>
      <c r="DR61" s="24">
        <v>0</v>
      </c>
      <c r="DS61" s="24">
        <v>0</v>
      </c>
      <c r="DT61" s="24">
        <v>0</v>
      </c>
      <c r="DU61" s="24">
        <v>0</v>
      </c>
      <c r="DV61" s="24">
        <v>0</v>
      </c>
      <c r="DW61" s="24">
        <v>0</v>
      </c>
      <c r="DX61" s="24">
        <v>0</v>
      </c>
      <c r="DY61" s="24">
        <v>0</v>
      </c>
      <c r="DZ61" s="24">
        <v>0</v>
      </c>
      <c r="EA61" s="24">
        <v>0</v>
      </c>
      <c r="EB61" s="24">
        <v>0</v>
      </c>
      <c r="EC61" s="24">
        <v>0</v>
      </c>
      <c r="ED61" s="24">
        <v>0</v>
      </c>
      <c r="EE61" s="24">
        <v>0</v>
      </c>
      <c r="EF61" s="24">
        <v>0</v>
      </c>
      <c r="EG61" s="24">
        <v>10100</v>
      </c>
      <c r="EH61" s="24">
        <v>0</v>
      </c>
      <c r="EI61" s="24">
        <v>0</v>
      </c>
      <c r="EJ61" s="24">
        <v>0</v>
      </c>
      <c r="EK61" s="24">
        <v>0</v>
      </c>
      <c r="EL61" s="24">
        <v>0</v>
      </c>
      <c r="EM61" s="24">
        <v>0</v>
      </c>
      <c r="EN61" s="24">
        <v>0</v>
      </c>
      <c r="EO61" s="24">
        <v>0</v>
      </c>
      <c r="EP61" s="24">
        <v>0</v>
      </c>
      <c r="EQ61" s="24">
        <v>0</v>
      </c>
      <c r="ER61" s="24">
        <v>0</v>
      </c>
      <c r="ES61" s="24">
        <v>0</v>
      </c>
      <c r="ET61" s="24">
        <v>0</v>
      </c>
      <c r="EU61" s="24">
        <v>0</v>
      </c>
      <c r="EV61" s="24">
        <v>0</v>
      </c>
      <c r="EW61" s="24">
        <v>0</v>
      </c>
      <c r="EX61" s="24">
        <v>0</v>
      </c>
      <c r="EY61" s="24">
        <v>0</v>
      </c>
      <c r="EZ61" s="24">
        <v>0</v>
      </c>
      <c r="FA61" s="24">
        <v>0</v>
      </c>
      <c r="FB61" s="24">
        <v>0</v>
      </c>
      <c r="FC61" s="24">
        <v>0</v>
      </c>
      <c r="FD61" s="24">
        <v>0</v>
      </c>
      <c r="FE61" s="24">
        <v>0</v>
      </c>
      <c r="FF61" s="24">
        <v>0</v>
      </c>
      <c r="FG61" s="24">
        <v>0</v>
      </c>
      <c r="FH61" s="24">
        <v>0</v>
      </c>
      <c r="FI61" s="24">
        <v>0</v>
      </c>
      <c r="FJ61" s="24">
        <v>0</v>
      </c>
      <c r="FK61" s="24">
        <v>0</v>
      </c>
      <c r="FL61" s="24">
        <v>0</v>
      </c>
      <c r="FM61" s="24">
        <v>0</v>
      </c>
      <c r="FN61" s="24">
        <v>0</v>
      </c>
      <c r="FO61" s="24">
        <v>0</v>
      </c>
      <c r="FP61" s="24">
        <v>0</v>
      </c>
      <c r="FQ61" s="24">
        <v>0</v>
      </c>
      <c r="FR61" s="24">
        <v>0</v>
      </c>
      <c r="FS61" s="24">
        <v>49008</v>
      </c>
      <c r="FT61" s="24">
        <v>0</v>
      </c>
      <c r="FU61" s="24">
        <v>0</v>
      </c>
      <c r="FV61" s="24">
        <v>0</v>
      </c>
      <c r="FW61" s="24">
        <v>0</v>
      </c>
      <c r="FX61" s="24">
        <v>0</v>
      </c>
      <c r="FY61" s="24">
        <v>0</v>
      </c>
      <c r="FZ61" s="24">
        <v>0</v>
      </c>
      <c r="GA61" s="24">
        <v>0</v>
      </c>
      <c r="GB61" s="24">
        <v>0</v>
      </c>
      <c r="GC61" s="24">
        <v>0</v>
      </c>
      <c r="GD61" s="24">
        <v>0</v>
      </c>
      <c r="GE61" s="24">
        <v>0</v>
      </c>
      <c r="GF61" s="24">
        <v>0</v>
      </c>
      <c r="GG61" s="24">
        <v>0</v>
      </c>
      <c r="GH61" s="24">
        <v>0</v>
      </c>
      <c r="GI61" s="24">
        <v>0</v>
      </c>
      <c r="GJ61" s="24">
        <v>0</v>
      </c>
      <c r="GK61" s="24">
        <v>0</v>
      </c>
      <c r="GL61" s="24">
        <v>0</v>
      </c>
      <c r="GM61" s="24">
        <v>0</v>
      </c>
      <c r="GN61" s="24">
        <v>0</v>
      </c>
      <c r="GO61" s="24">
        <v>0</v>
      </c>
      <c r="GP61" s="24">
        <v>0</v>
      </c>
      <c r="GQ61" s="24">
        <v>0</v>
      </c>
      <c r="GR61" s="24">
        <v>11300</v>
      </c>
      <c r="GS61" s="24">
        <v>0</v>
      </c>
      <c r="GT61" s="24">
        <v>0</v>
      </c>
      <c r="GU61" s="24">
        <v>0</v>
      </c>
      <c r="GV61" s="24">
        <v>0</v>
      </c>
      <c r="GW61" s="24">
        <v>0</v>
      </c>
      <c r="GX61" s="24">
        <v>0</v>
      </c>
      <c r="GY61" s="24">
        <v>0</v>
      </c>
      <c r="GZ61" s="24">
        <v>0</v>
      </c>
      <c r="HA61" s="24">
        <v>0</v>
      </c>
      <c r="HB61" s="24">
        <v>0</v>
      </c>
      <c r="HC61" s="24">
        <v>0</v>
      </c>
      <c r="HD61" s="24">
        <v>4769368</v>
      </c>
      <c r="HE61" s="24">
        <v>0</v>
      </c>
      <c r="HF61" s="24">
        <v>0</v>
      </c>
      <c r="HG61" s="24">
        <v>0</v>
      </c>
      <c r="HH61" s="24">
        <v>0</v>
      </c>
      <c r="HI61" s="24">
        <v>240197</v>
      </c>
      <c r="HJ61" s="24">
        <v>0</v>
      </c>
      <c r="HK61" s="24">
        <v>0</v>
      </c>
      <c r="HL61" s="24">
        <v>0</v>
      </c>
      <c r="HM61" s="24">
        <v>0</v>
      </c>
      <c r="HN61" s="24">
        <v>0</v>
      </c>
      <c r="HO61" s="24">
        <v>630729</v>
      </c>
      <c r="HP61" s="24">
        <v>226952</v>
      </c>
      <c r="HQ61" s="24">
        <v>0</v>
      </c>
      <c r="HR61" s="24">
        <v>0</v>
      </c>
      <c r="HS61" s="24">
        <v>0</v>
      </c>
      <c r="HT61" s="24">
        <v>0</v>
      </c>
      <c r="HU61" s="24">
        <v>0</v>
      </c>
      <c r="HV61" s="24">
        <v>0</v>
      </c>
      <c r="HW61" s="24">
        <v>0</v>
      </c>
      <c r="HX61" s="24">
        <v>0</v>
      </c>
      <c r="HY61" s="24">
        <v>0</v>
      </c>
      <c r="HZ61" s="24">
        <v>0</v>
      </c>
      <c r="IA61" s="24">
        <v>78697</v>
      </c>
      <c r="IB61" s="24">
        <v>0</v>
      </c>
      <c r="IC61" s="24">
        <v>0</v>
      </c>
      <c r="ID61" s="24">
        <v>0</v>
      </c>
      <c r="IE61" s="24">
        <v>0</v>
      </c>
      <c r="IF61" s="24">
        <v>0</v>
      </c>
      <c r="IG61" s="24">
        <v>0</v>
      </c>
      <c r="IH61" s="24">
        <v>0</v>
      </c>
      <c r="II61" s="24">
        <v>0</v>
      </c>
      <c r="IJ61" s="24">
        <v>0</v>
      </c>
      <c r="IK61" s="24">
        <v>0</v>
      </c>
      <c r="IL61" s="24">
        <v>0</v>
      </c>
      <c r="IM61" s="24">
        <v>0</v>
      </c>
      <c r="IN61" s="24">
        <v>0</v>
      </c>
      <c r="IO61" s="24">
        <v>4446</v>
      </c>
      <c r="IP61" s="24">
        <v>0</v>
      </c>
      <c r="IQ61" s="24">
        <v>0</v>
      </c>
      <c r="IR61" s="24">
        <v>22943</v>
      </c>
      <c r="IS61" s="24">
        <v>0</v>
      </c>
      <c r="IT61" s="24">
        <v>0</v>
      </c>
      <c r="IU61" s="24">
        <v>0</v>
      </c>
      <c r="IV61" s="24">
        <v>0</v>
      </c>
      <c r="IW61" s="24">
        <v>0</v>
      </c>
      <c r="IX61" s="24">
        <v>0</v>
      </c>
      <c r="IY61" s="24">
        <v>82711</v>
      </c>
      <c r="IZ61" s="24">
        <v>0</v>
      </c>
      <c r="JA61" s="24">
        <v>0</v>
      </c>
      <c r="JB61" s="24">
        <v>27321</v>
      </c>
      <c r="JC61" s="24">
        <v>20822</v>
      </c>
      <c r="JD61" s="24">
        <v>0</v>
      </c>
      <c r="JE61" s="24">
        <v>138</v>
      </c>
      <c r="JF61" s="24">
        <v>0</v>
      </c>
      <c r="JG61" s="24">
        <v>0</v>
      </c>
      <c r="JH61" s="24">
        <v>0</v>
      </c>
      <c r="JI61" s="24">
        <v>0</v>
      </c>
      <c r="JJ61" s="24">
        <v>0</v>
      </c>
      <c r="JK61" s="24">
        <v>0</v>
      </c>
      <c r="JL61" s="24">
        <v>0</v>
      </c>
      <c r="JM61" s="24">
        <v>0</v>
      </c>
      <c r="JN61" s="24">
        <v>0</v>
      </c>
      <c r="JO61" s="24">
        <v>0</v>
      </c>
      <c r="JP61" s="24">
        <v>0</v>
      </c>
      <c r="JQ61" s="24">
        <v>0</v>
      </c>
      <c r="JR61" s="24">
        <v>0</v>
      </c>
      <c r="JS61" s="24">
        <v>0</v>
      </c>
      <c r="JT61" s="24">
        <v>0</v>
      </c>
      <c r="JU61" s="24">
        <v>16638</v>
      </c>
      <c r="JV61" s="24">
        <v>0</v>
      </c>
      <c r="JW61" s="24">
        <v>0</v>
      </c>
      <c r="JX61" s="24">
        <v>0</v>
      </c>
      <c r="JY61" s="24">
        <v>0</v>
      </c>
      <c r="JZ61" s="24">
        <v>0</v>
      </c>
      <c r="KA61" s="24">
        <v>83170</v>
      </c>
      <c r="KB61" s="24">
        <v>0</v>
      </c>
      <c r="KC61" s="24">
        <v>0</v>
      </c>
      <c r="KD61" s="24">
        <v>0</v>
      </c>
      <c r="KE61" s="24">
        <v>0</v>
      </c>
      <c r="KF61" s="24">
        <v>0</v>
      </c>
      <c r="KG61" s="24">
        <v>0</v>
      </c>
      <c r="KH61" s="24">
        <v>0</v>
      </c>
      <c r="KI61" s="24">
        <v>7183</v>
      </c>
      <c r="KJ61" s="24">
        <v>0</v>
      </c>
      <c r="KK61" s="24">
        <v>0</v>
      </c>
      <c r="KL61" s="24">
        <v>0</v>
      </c>
      <c r="KM61" s="24">
        <v>0</v>
      </c>
      <c r="KN61" s="24">
        <v>0</v>
      </c>
      <c r="KO61" s="24">
        <v>0</v>
      </c>
      <c r="KP61" s="24">
        <v>0</v>
      </c>
      <c r="KQ61" s="24">
        <v>0</v>
      </c>
      <c r="KR61" s="24">
        <v>0</v>
      </c>
      <c r="KS61" s="24">
        <v>0</v>
      </c>
      <c r="KT61" s="24">
        <v>0</v>
      </c>
      <c r="KU61" s="24">
        <v>0</v>
      </c>
      <c r="KV61" s="24">
        <v>0</v>
      </c>
      <c r="KW61" s="24">
        <v>0</v>
      </c>
      <c r="KX61" s="24">
        <v>0</v>
      </c>
      <c r="KY61" s="24">
        <v>0</v>
      </c>
      <c r="KZ61" s="24">
        <v>0</v>
      </c>
      <c r="LA61" s="24">
        <v>0</v>
      </c>
      <c r="LB61" s="24">
        <v>0</v>
      </c>
      <c r="LC61" s="24">
        <v>0</v>
      </c>
      <c r="LD61" s="24">
        <v>0</v>
      </c>
      <c r="LE61" s="24">
        <v>0</v>
      </c>
      <c r="LF61" s="24">
        <v>0</v>
      </c>
      <c r="LG61" s="24">
        <v>0</v>
      </c>
      <c r="LH61" s="24">
        <v>0</v>
      </c>
      <c r="LI61" s="24">
        <v>0</v>
      </c>
      <c r="LJ61" s="24">
        <v>0</v>
      </c>
      <c r="LK61" s="24">
        <v>0</v>
      </c>
      <c r="LL61" s="24">
        <v>0</v>
      </c>
      <c r="LM61" s="24">
        <v>0</v>
      </c>
      <c r="LN61" s="24">
        <v>0</v>
      </c>
      <c r="LO61" s="24">
        <v>0</v>
      </c>
      <c r="LP61" s="24">
        <v>0</v>
      </c>
      <c r="LQ61" s="24">
        <v>322977</v>
      </c>
      <c r="LR61" s="24">
        <v>43711</v>
      </c>
      <c r="LS61" s="24">
        <v>0</v>
      </c>
      <c r="LT61" s="24">
        <v>0</v>
      </c>
      <c r="LU61" s="24">
        <v>0</v>
      </c>
      <c r="LV61" s="24">
        <v>0</v>
      </c>
      <c r="LW61" s="24">
        <v>0</v>
      </c>
      <c r="LX61" s="24">
        <v>0</v>
      </c>
      <c r="LY61" s="24">
        <v>0</v>
      </c>
      <c r="LZ61" s="24">
        <v>0</v>
      </c>
      <c r="MA61" s="24">
        <v>0</v>
      </c>
      <c r="MB61" s="24">
        <v>0</v>
      </c>
      <c r="MC61" s="24">
        <v>0</v>
      </c>
      <c r="MD61" s="24">
        <v>0</v>
      </c>
      <c r="ME61" s="24">
        <v>0</v>
      </c>
      <c r="MF61" s="24">
        <v>0</v>
      </c>
      <c r="MG61" s="24">
        <v>0</v>
      </c>
      <c r="MH61" s="24">
        <v>0</v>
      </c>
      <c r="MI61" s="24">
        <v>0</v>
      </c>
      <c r="MJ61" s="24">
        <v>0</v>
      </c>
      <c r="MK61" s="24">
        <v>0</v>
      </c>
      <c r="ML61" s="24">
        <v>0</v>
      </c>
      <c r="MM61" s="24">
        <v>0</v>
      </c>
      <c r="MN61" s="24">
        <v>0</v>
      </c>
      <c r="MO61" s="24">
        <v>15971</v>
      </c>
      <c r="MP61" s="24">
        <v>0</v>
      </c>
      <c r="MQ61" s="24">
        <v>0</v>
      </c>
      <c r="MR61" s="24">
        <v>429357</v>
      </c>
      <c r="MS61" s="24">
        <v>0</v>
      </c>
      <c r="MT61" s="24">
        <v>0</v>
      </c>
      <c r="MU61" s="24">
        <v>0</v>
      </c>
      <c r="MV61" s="24">
        <v>0</v>
      </c>
      <c r="MW61" s="24">
        <v>263166</v>
      </c>
      <c r="MX61" s="24">
        <v>10418</v>
      </c>
      <c r="MY61" s="24">
        <v>0</v>
      </c>
      <c r="MZ61" s="24">
        <v>0</v>
      </c>
      <c r="NA61" s="24">
        <v>0</v>
      </c>
      <c r="NB61" s="24">
        <v>0</v>
      </c>
      <c r="NC61" s="24">
        <v>0</v>
      </c>
      <c r="ND61" s="24">
        <v>0</v>
      </c>
      <c r="NE61" s="24">
        <v>0</v>
      </c>
      <c r="NF61" s="24">
        <v>0</v>
      </c>
      <c r="NG61" s="24">
        <v>0</v>
      </c>
      <c r="NH61" s="24">
        <v>0</v>
      </c>
      <c r="NI61" s="24">
        <v>0</v>
      </c>
      <c r="NJ61" s="24">
        <v>0</v>
      </c>
      <c r="NK61" s="24">
        <v>0</v>
      </c>
      <c r="NL61" s="24">
        <v>0</v>
      </c>
      <c r="NM61" s="24">
        <v>0</v>
      </c>
      <c r="NN61" s="24">
        <v>0</v>
      </c>
      <c r="NO61" s="24">
        <v>0</v>
      </c>
      <c r="NP61" s="24">
        <v>0</v>
      </c>
      <c r="NQ61" s="24">
        <v>24112</v>
      </c>
      <c r="NR61" s="24">
        <v>0</v>
      </c>
      <c r="NS61" s="24">
        <v>0</v>
      </c>
      <c r="NT61" s="24">
        <v>0</v>
      </c>
      <c r="NU61" s="24">
        <v>32576</v>
      </c>
      <c r="NV61" s="24">
        <v>61738</v>
      </c>
      <c r="NW61" s="24">
        <v>0</v>
      </c>
      <c r="NX61" s="24">
        <v>0</v>
      </c>
      <c r="NY61" s="24">
        <v>0</v>
      </c>
      <c r="NZ61" s="24">
        <v>0</v>
      </c>
      <c r="OA61" s="24">
        <v>0</v>
      </c>
      <c r="OB61" s="24">
        <v>0</v>
      </c>
      <c r="OC61" s="24">
        <v>0</v>
      </c>
      <c r="OD61" s="24">
        <v>0</v>
      </c>
      <c r="OE61" s="24">
        <v>0</v>
      </c>
      <c r="OF61" s="24">
        <v>0</v>
      </c>
      <c r="OG61" s="24">
        <v>0</v>
      </c>
      <c r="OH61" s="24">
        <v>0</v>
      </c>
      <c r="OI61" s="24">
        <v>0</v>
      </c>
      <c r="OJ61" s="24">
        <v>0</v>
      </c>
      <c r="OK61" s="24">
        <v>19020</v>
      </c>
      <c r="OL61" s="24">
        <v>0</v>
      </c>
      <c r="OM61" s="24">
        <v>0</v>
      </c>
      <c r="ON61" s="24">
        <v>0</v>
      </c>
      <c r="OO61" s="24">
        <v>0</v>
      </c>
      <c r="OP61" s="24">
        <v>0</v>
      </c>
      <c r="OQ61" s="24">
        <v>0</v>
      </c>
      <c r="OR61" s="24">
        <v>0</v>
      </c>
      <c r="OS61" s="24">
        <v>0</v>
      </c>
      <c r="OT61" s="24">
        <v>0</v>
      </c>
      <c r="OU61" s="24">
        <v>0</v>
      </c>
      <c r="OV61" s="24">
        <v>0</v>
      </c>
      <c r="OW61" s="24">
        <v>0</v>
      </c>
      <c r="OX61" s="24">
        <v>0</v>
      </c>
      <c r="OY61" s="24">
        <v>0</v>
      </c>
      <c r="OZ61" s="24">
        <v>0</v>
      </c>
      <c r="PA61" s="24">
        <v>0</v>
      </c>
      <c r="PB61" s="24">
        <v>0</v>
      </c>
      <c r="PC61" s="24">
        <v>0</v>
      </c>
      <c r="PD61" s="24">
        <v>0</v>
      </c>
      <c r="PE61" s="24">
        <v>0</v>
      </c>
      <c r="PF61" s="24">
        <v>0</v>
      </c>
      <c r="PG61" s="24">
        <v>0</v>
      </c>
      <c r="PH61" s="24">
        <v>0</v>
      </c>
      <c r="PI61" s="24">
        <v>0</v>
      </c>
      <c r="PJ61" s="24">
        <v>0</v>
      </c>
      <c r="PK61" s="24">
        <v>0</v>
      </c>
      <c r="PL61" s="24">
        <v>0</v>
      </c>
      <c r="PM61" s="24">
        <v>0</v>
      </c>
      <c r="PN61" s="24">
        <v>0</v>
      </c>
      <c r="PO61" s="24">
        <v>0</v>
      </c>
      <c r="PP61" s="24">
        <v>0</v>
      </c>
      <c r="PQ61" s="24">
        <v>0</v>
      </c>
      <c r="PR61" s="24">
        <v>0</v>
      </c>
      <c r="PS61" s="24">
        <v>0</v>
      </c>
      <c r="PT61" s="24">
        <v>0</v>
      </c>
      <c r="PU61" s="24">
        <v>0</v>
      </c>
      <c r="PV61" s="24">
        <v>0</v>
      </c>
      <c r="PW61" s="24">
        <v>0</v>
      </c>
      <c r="PX61" s="24">
        <v>0</v>
      </c>
      <c r="PY61" s="24">
        <v>0</v>
      </c>
      <c r="PZ61" s="24">
        <v>0</v>
      </c>
      <c r="QA61" s="24">
        <v>0</v>
      </c>
      <c r="QB61" s="24">
        <v>0</v>
      </c>
      <c r="QC61" s="24">
        <v>0</v>
      </c>
      <c r="QD61" s="24">
        <v>0</v>
      </c>
      <c r="QE61" s="24">
        <v>0</v>
      </c>
      <c r="QF61" s="24">
        <v>0</v>
      </c>
      <c r="QG61" s="24">
        <v>0</v>
      </c>
      <c r="QH61" s="24">
        <v>0</v>
      </c>
      <c r="QI61" s="24">
        <v>0</v>
      </c>
      <c r="QJ61" s="24">
        <v>0</v>
      </c>
      <c r="QK61" s="24">
        <v>0</v>
      </c>
      <c r="QL61" s="24">
        <v>0</v>
      </c>
      <c r="QM61" s="24">
        <v>0</v>
      </c>
      <c r="QN61" s="24">
        <v>0</v>
      </c>
      <c r="QO61" s="24">
        <v>0</v>
      </c>
      <c r="QP61" s="24">
        <v>0</v>
      </c>
      <c r="QQ61" s="24">
        <v>0</v>
      </c>
      <c r="QR61" s="24">
        <v>0</v>
      </c>
      <c r="QS61" s="24">
        <v>0</v>
      </c>
      <c r="QT61" s="24">
        <v>0</v>
      </c>
      <c r="QU61" s="24">
        <v>0</v>
      </c>
      <c r="QV61" s="24">
        <v>1463</v>
      </c>
      <c r="QW61" s="24">
        <v>0</v>
      </c>
      <c r="QX61" s="24">
        <v>0</v>
      </c>
      <c r="QY61" s="24">
        <v>0</v>
      </c>
      <c r="QZ61" s="24">
        <v>0</v>
      </c>
      <c r="RA61" s="24">
        <v>0</v>
      </c>
      <c r="RB61" s="24">
        <v>0</v>
      </c>
      <c r="RG61" s="39">
        <f t="shared" si="126"/>
        <v>4769368</v>
      </c>
      <c r="RH61" s="39">
        <f t="shared" si="126"/>
        <v>240197</v>
      </c>
      <c r="RI61" s="39">
        <f t="shared" si="126"/>
        <v>0</v>
      </c>
      <c r="RJ61" s="39">
        <f t="shared" si="126"/>
        <v>0</v>
      </c>
      <c r="RK61" s="39">
        <f t="shared" si="126"/>
        <v>0</v>
      </c>
      <c r="RL61" s="39">
        <f t="shared" si="126"/>
        <v>630729</v>
      </c>
      <c r="RM61" s="39">
        <f t="shared" si="126"/>
        <v>305649</v>
      </c>
      <c r="RN61" s="39">
        <f t="shared" si="126"/>
        <v>4446</v>
      </c>
      <c r="RO61" s="39">
        <f t="shared" si="126"/>
        <v>22943</v>
      </c>
      <c r="RP61" s="39">
        <f t="shared" si="126"/>
        <v>82711</v>
      </c>
      <c r="RQ61" s="39">
        <f t="shared" si="126"/>
        <v>48143</v>
      </c>
      <c r="RR61" s="39">
        <f t="shared" si="126"/>
        <v>99946</v>
      </c>
      <c r="RS61" s="39"/>
      <c r="RT61" s="182"/>
      <c r="RU61" s="39"/>
      <c r="RV61" s="39">
        <f t="shared" si="127"/>
        <v>1230229</v>
      </c>
      <c r="RW61" s="39">
        <f t="shared" si="127"/>
        <v>6204132</v>
      </c>
      <c r="RX61" s="39">
        <f t="shared" si="127"/>
        <v>1163455</v>
      </c>
      <c r="RY61" s="39">
        <f t="shared" si="127"/>
        <v>1463</v>
      </c>
      <c r="RZ61" s="39"/>
      <c r="SA61" s="182"/>
      <c r="SB61" s="39"/>
      <c r="SC61" s="25">
        <f t="shared" si="50"/>
        <v>1117.6320845341018</v>
      </c>
      <c r="SD61" s="39">
        <f>IFERROR(VLOOKUP(A61, 'Levy Data 15-16'!$B:$O, 3, FALSE), 0)</f>
        <v>270450233</v>
      </c>
      <c r="SE61" s="39">
        <f t="shared" si="88"/>
        <v>259798.49471661865</v>
      </c>
      <c r="SF61" s="631">
        <f>IFERROR(VLOOKUP(A61, 'Levy Data 15-16'!$B:$O, 14, FALSE), 0)*1000</f>
        <v>3.9260529999999996</v>
      </c>
      <c r="SG61" s="39">
        <f t="shared" si="89"/>
        <v>0</v>
      </c>
      <c r="SH61" s="39">
        <f t="shared" si="90"/>
        <v>0</v>
      </c>
      <c r="SI61" s="39">
        <f t="shared" si="91"/>
        <v>1163455</v>
      </c>
      <c r="SM61" s="39">
        <f t="shared" si="92"/>
        <v>6204132</v>
      </c>
      <c r="SN61" s="39">
        <f t="shared" si="93"/>
        <v>0</v>
      </c>
      <c r="SO61" s="39">
        <f t="shared" si="51"/>
        <v>6204132</v>
      </c>
      <c r="SP61" s="50">
        <f t="shared" si="52"/>
        <v>1</v>
      </c>
      <c r="ST61" s="124">
        <f>IFERROR(VLOOKUP(A61,'Grade Enroll 15-16'!B:AC,27,FALSE),"")</f>
        <v>1041</v>
      </c>
      <c r="SU61" s="124">
        <f t="shared" si="53"/>
        <v>808.68892645815731</v>
      </c>
      <c r="SV61" s="131">
        <f>IFERROR(VLOOKUP($A61, 'Title I Enroll 16-17'!S:V, 4, FALSE), 0)</f>
        <v>0.77683854606931535</v>
      </c>
      <c r="SW61" s="729">
        <f>IFERROR(VLOOKUP(A61, 'ELL Enroll 15-16'!$N:$S, 6, FALSE), 0)</f>
        <v>454</v>
      </c>
      <c r="SX61" s="131">
        <f t="shared" si="54"/>
        <v>0.43611911623439004</v>
      </c>
      <c r="SY61" s="124">
        <f>IFERROR(VLOOKUP(A61, 'SPED enroll 2015-16'!$M:$O, 3, FALSE), 0)</f>
        <v>127</v>
      </c>
      <c r="SZ61" s="131">
        <f t="shared" si="55"/>
        <v>0.12199807877041306</v>
      </c>
      <c r="TA61" s="142">
        <f t="shared" si="87"/>
        <v>88.899999999999991</v>
      </c>
      <c r="TB61" s="142">
        <f t="shared" si="87"/>
        <v>25.400000000000002</v>
      </c>
      <c r="TC61" s="142">
        <f t="shared" si="87"/>
        <v>8.89</v>
      </c>
      <c r="TD61" s="142">
        <f t="shared" si="87"/>
        <v>3.81</v>
      </c>
      <c r="TE61" s="124">
        <f>VLOOKUP($A61, 'Grade Enroll 15-16'!$B:$AB, 20, FALSE)</f>
        <v>22</v>
      </c>
      <c r="TF61" s="124">
        <f>VLOOKUP($A61, 'Grade Enroll 15-16'!$B:$AB, 21, FALSE)</f>
        <v>91</v>
      </c>
      <c r="TG61" s="124">
        <f>VLOOKUP($A61, 'Grade Enroll 15-16'!$B:$AB, 22, FALSE)</f>
        <v>278</v>
      </c>
      <c r="TH61" s="124">
        <f>VLOOKUP($A61, 'Grade Enroll 15-16'!$B:$AB, 23, FALSE)</f>
        <v>284</v>
      </c>
      <c r="TI61" s="124">
        <f>VLOOKUP($A61, 'Grade Enroll 15-16'!$B:$AB, 24, FALSE)</f>
        <v>166</v>
      </c>
      <c r="TJ61" s="124">
        <f>VLOOKUP($A61, 'Grade Enroll 15-16'!$B:$AB, 25, FALSE)</f>
        <v>313</v>
      </c>
      <c r="TK61" s="124">
        <f>VLOOKUP($A61, 'Grade Enroll 15-16'!$B:$AB, 26, FALSE)</f>
        <v>691</v>
      </c>
      <c r="TL61" s="131">
        <f>SUMIFS('Student Achievement 15-16'!N:N, 'Student Achievement 15-16'!B:B, 'Idaho Data'!A61, 'Student Achievement 15-16'!D:D, "math")/100</f>
        <v>0.48399999999999999</v>
      </c>
      <c r="TM61" s="134">
        <f t="shared" si="57"/>
        <v>503.84399999999999</v>
      </c>
      <c r="TN61" s="131">
        <f>SUMIFS('Student Achievement 15-16'!N:N, 'Student Achievement 15-16'!B:B, 'Idaho Data'!A61, 'Student Achievement 15-16'!D:D, "ela")/100</f>
        <v>0.36299999999999999</v>
      </c>
      <c r="TO61" s="134">
        <f t="shared" si="58"/>
        <v>377.88299999999998</v>
      </c>
      <c r="TP61" s="688">
        <f>IFERROR(VLOOKUP(A61, 'G&amp;T 15-16'!B:G, 6, FALSE), 0)*1</f>
        <v>62</v>
      </c>
      <c r="TQ61" s="168">
        <f t="shared" si="59"/>
        <v>62.46</v>
      </c>
      <c r="TU61" s="168">
        <f t="shared" si="60"/>
        <v>377.88299999999998</v>
      </c>
      <c r="TV61" s="168">
        <f t="shared" si="61"/>
        <v>503.84399999999999</v>
      </c>
      <c r="TW61" s="205">
        <f t="shared" si="62"/>
        <v>503.84399999999999</v>
      </c>
      <c r="TX61" s="144"/>
      <c r="TY61" s="129"/>
      <c r="TZ61" s="127">
        <f t="shared" si="63"/>
        <v>62</v>
      </c>
      <c r="UA61" s="127">
        <f t="shared" si="64"/>
        <v>62.46</v>
      </c>
      <c r="UB61" s="205">
        <f t="shared" si="65"/>
        <v>62.46</v>
      </c>
      <c r="UE61" s="853" t="str">
        <f>IF(ST61&lt;='1. Simulator Input'!$E$104, "yes", "")</f>
        <v/>
      </c>
      <c r="UI61" s="199">
        <f t="shared" si="66"/>
        <v>0</v>
      </c>
      <c r="UJ61" s="200">
        <f>IF('Idaho Data'!SI61&gt;=0, ((1-'1. Simulator Input'!$E$39)*'Idaho Data'!SI61), 0)</f>
        <v>0</v>
      </c>
      <c r="UK61" s="200">
        <f t="shared" si="67"/>
        <v>6204132</v>
      </c>
      <c r="UL61" s="39"/>
      <c r="UM61" s="182"/>
      <c r="UN61" s="39"/>
      <c r="UO61" s="39" t="str">
        <f>IF(AND('1. Simulator Input'!$E$96="yes", '1. Simulator Input'!$E$98="yes", '1. Simulator Input'!$E$100="hold harmless"), 'Idaho Data'!WN61, IF(AND('1. Simulator Input'!$E$96="yes", '1. Simulator Input'!$E$98="no", '1. Simulator Input'!$E$100="hold harmless"), 'Idaho Data'!WM61, IF(AND('1. Simulator Input'!$E$96="yes", '1. Simulator Input'!$E$98="yes", '1. Simulator Input'!$E$100="small district grant"), WL61,IF(AND('1. Simulator Input'!$E$96="yes", '1. Simulator Input'!$E$98="no", '1. Simulator Input'!$E$100="small district grant"), WK61, ""))))</f>
        <v/>
      </c>
      <c r="UP61" s="200">
        <f>'1. Simulator Input'!$D$56*('Idaho Data'!ST61)</f>
        <v>5752566</v>
      </c>
      <c r="UQ61" s="204">
        <f>'1. Simulator Input'!$D$65*'1. Simulator Input'!$D$56*'Idaho Data'!SU61</f>
        <v>0</v>
      </c>
      <c r="UR61" s="204">
        <f>'1. Simulator Input'!$D$66*'1. Simulator Input'!$D$56*'Idaho Data'!SW61</f>
        <v>0</v>
      </c>
      <c r="US61" s="200">
        <f>'1. Simulator Input'!$D$67*'1. Simulator Input'!$D$56*'Idaho Data'!TA61</f>
        <v>0</v>
      </c>
      <c r="UT61" s="200">
        <f>'1. Simulator Input'!$D$68*'1. Simulator Input'!$D$56*'Idaho Data'!TB61</f>
        <v>0</v>
      </c>
      <c r="UU61" s="200">
        <f>'1. Simulator Input'!$D$69*'1. Simulator Input'!$D$56*'Idaho Data'!TC61</f>
        <v>0</v>
      </c>
      <c r="UV61" s="200">
        <f>'1. Simulator Input'!$D$70*'1. Simulator Input'!$D$56*TD61</f>
        <v>0</v>
      </c>
      <c r="UW61" s="200">
        <f>'1. Simulator Input'!$D$80*'1. Simulator Input'!$D$56*TW61</f>
        <v>0</v>
      </c>
      <c r="UX61" s="200">
        <f>'1. Simulator Input'!$D$79*'1. Simulator Input'!$D$56*UB61</f>
        <v>0</v>
      </c>
      <c r="UY61" s="200">
        <f>'1. Simulator Input'!$D$87*'1. Simulator Input'!$D$56*TF61</f>
        <v>251433</v>
      </c>
      <c r="UZ61" s="200">
        <f>'1. Simulator Input'!$D$73*'1. Simulator Input'!$D$56*'Idaho Data'!TG61</f>
        <v>0</v>
      </c>
      <c r="VA61" s="200">
        <f>'1. Simulator Input'!$D$56*'1. Simulator Input'!$D$74*'Idaho Data'!TH61</f>
        <v>0</v>
      </c>
      <c r="VB61" s="200">
        <f>'1. Simulator Input'!$D$56*'1. Simulator Input'!$D$75*'Idaho Data'!TI56</f>
        <v>0</v>
      </c>
      <c r="VC61" s="200">
        <f>'1. Simulator Input'!$D$76*'1. Simulator Input'!$D$56*'Idaho Data'!TJ61</f>
        <v>0</v>
      </c>
      <c r="VD61" s="200">
        <f t="shared" si="68"/>
        <v>6003999</v>
      </c>
      <c r="VE61" s="200"/>
      <c r="VF61" s="182"/>
      <c r="VG61" s="200"/>
      <c r="VH61" s="200">
        <f t="shared" si="69"/>
        <v>0</v>
      </c>
      <c r="VI61" s="200">
        <f t="shared" si="70"/>
        <v>0</v>
      </c>
      <c r="VJ61" s="200">
        <f t="shared" si="94"/>
        <v>6003999</v>
      </c>
      <c r="VK61" s="200">
        <f t="shared" si="95"/>
        <v>6003999</v>
      </c>
      <c r="VL61" s="200"/>
      <c r="VM61" s="182"/>
      <c r="VN61" s="200"/>
      <c r="VO61" s="200">
        <f t="shared" si="71"/>
        <v>1230229</v>
      </c>
      <c r="VP61" s="200">
        <f t="shared" si="72"/>
        <v>6204132</v>
      </c>
      <c r="VQ61" s="200">
        <f t="shared" si="73"/>
        <v>1163455</v>
      </c>
      <c r="VR61" s="200">
        <f t="shared" si="74"/>
        <v>1230229</v>
      </c>
      <c r="VS61" s="200">
        <f t="shared" si="96"/>
        <v>6003999</v>
      </c>
      <c r="VT61" s="200">
        <f t="shared" si="97"/>
        <v>1163455</v>
      </c>
      <c r="VU61" s="200">
        <f t="shared" si="98"/>
        <v>0</v>
      </c>
      <c r="VV61" s="200"/>
      <c r="VW61" s="182"/>
      <c r="VX61" s="200"/>
      <c r="VZ61" s="199">
        <f t="shared" si="75"/>
        <v>-200133</v>
      </c>
      <c r="WA61" s="199">
        <f t="shared" si="76"/>
        <v>-192.25072046109511</v>
      </c>
      <c r="WB61" s="131">
        <f t="shared" si="77"/>
        <v>-3.2258017721092977E-2</v>
      </c>
      <c r="WC61" s="131"/>
      <c r="WD61" s="461"/>
      <c r="WE61" s="893"/>
      <c r="WF61" s="893">
        <f t="shared" si="78"/>
        <v>8259.1892411143126</v>
      </c>
      <c r="WG61" s="893">
        <f t="shared" si="79"/>
        <v>8066.9385206532179</v>
      </c>
      <c r="WH61" s="893"/>
      <c r="WI61" s="893">
        <f t="shared" si="80"/>
        <v>6204132</v>
      </c>
      <c r="WJ61" s="893">
        <f t="shared" si="99"/>
        <v>6003999</v>
      </c>
      <c r="WK61" s="39" t="str">
        <f t="shared" si="100"/>
        <v/>
      </c>
      <c r="WL61" s="39" t="str">
        <f t="shared" si="101"/>
        <v/>
      </c>
      <c r="WM61" s="200" t="str">
        <f t="shared" si="102"/>
        <v/>
      </c>
      <c r="WN61" s="39" t="str">
        <f t="shared" si="103"/>
        <v/>
      </c>
      <c r="WO61" s="39"/>
      <c r="WP61" s="182"/>
      <c r="WQ61" s="39"/>
      <c r="WR61" s="305">
        <f t="shared" si="104"/>
        <v>0.14899999999999999</v>
      </c>
      <c r="WT61" s="200">
        <f t="shared" si="105"/>
        <v>5959.7809798270891</v>
      </c>
      <c r="WU61" s="131">
        <f t="shared" si="81"/>
        <v>0.32</v>
      </c>
      <c r="WW61" s="199">
        <f t="shared" si="106"/>
        <v>1230229</v>
      </c>
      <c r="WX61" s="199">
        <f t="shared" si="107"/>
        <v>6003999</v>
      </c>
      <c r="WY61" s="199">
        <f t="shared" si="108"/>
        <v>0</v>
      </c>
      <c r="WZ61" s="199">
        <f t="shared" si="82"/>
        <v>6003999</v>
      </c>
      <c r="XA61" s="199">
        <f t="shared" si="109"/>
        <v>0</v>
      </c>
      <c r="XB61" s="199">
        <f t="shared" si="110"/>
        <v>1163455</v>
      </c>
      <c r="XC61" s="199">
        <f t="shared" si="111"/>
        <v>1163455</v>
      </c>
      <c r="XD61" s="199" t="str">
        <f t="shared" si="112"/>
        <v/>
      </c>
      <c r="XE61" s="199"/>
      <c r="XF61" s="199"/>
      <c r="XG61" s="199"/>
      <c r="XH61" s="199"/>
      <c r="XI61" s="199"/>
      <c r="XJ61" s="199">
        <f t="shared" si="83"/>
        <v>6003999</v>
      </c>
      <c r="XP61" s="199">
        <f t="shared" si="113"/>
        <v>6003999</v>
      </c>
      <c r="XQ61" s="199">
        <f t="shared" si="114"/>
        <v>5767.5302593659944</v>
      </c>
      <c r="XR61" s="199">
        <f t="shared" si="115"/>
        <v>6003999</v>
      </c>
      <c r="XS61" s="199">
        <f t="shared" si="116"/>
        <v>6003999</v>
      </c>
      <c r="XT61" s="199">
        <f t="shared" si="117"/>
        <v>5767.5302593659944</v>
      </c>
      <c r="XU61" s="199">
        <f t="shared" si="118"/>
        <v>6204132</v>
      </c>
      <c r="XV61" s="199">
        <f t="shared" si="119"/>
        <v>5959.7809798270891</v>
      </c>
      <c r="XW61" s="199">
        <f t="shared" si="120"/>
        <v>6204132</v>
      </c>
      <c r="XX61" s="199">
        <f t="shared" si="121"/>
        <v>5959.7809798270891</v>
      </c>
      <c r="XY61" s="199">
        <f t="shared" si="84"/>
        <v>-200133</v>
      </c>
      <c r="XZ61" s="199">
        <f t="shared" si="85"/>
        <v>-192.25072046109472</v>
      </c>
      <c r="YA61" s="131">
        <f t="shared" si="86"/>
        <v>-3.2258017721092914E-2</v>
      </c>
      <c r="YB61" s="199"/>
      <c r="YC61" s="221"/>
      <c r="YD61" s="199"/>
      <c r="YE61" s="199">
        <f t="shared" si="122"/>
        <v>1230229</v>
      </c>
      <c r="YF61" s="200">
        <f t="shared" si="123"/>
        <v>0</v>
      </c>
      <c r="YG61" s="199">
        <f t="shared" si="124"/>
        <v>1163455</v>
      </c>
      <c r="YH61" s="199">
        <f t="shared" si="125"/>
        <v>1463</v>
      </c>
    </row>
    <row r="62" spans="1:658">
      <c r="A62" s="3">
        <v>233</v>
      </c>
      <c r="B62" s="2" t="s">
        <v>157</v>
      </c>
      <c r="C62" s="24">
        <v>0</v>
      </c>
      <c r="D62" s="24">
        <v>0</v>
      </c>
      <c r="E62" s="24">
        <v>0</v>
      </c>
      <c r="F62" s="24">
        <v>0</v>
      </c>
      <c r="G62" s="24">
        <v>149428</v>
      </c>
      <c r="H62" s="24">
        <v>0</v>
      </c>
      <c r="I62" s="24">
        <v>0</v>
      </c>
      <c r="J62" s="24">
        <v>3721</v>
      </c>
      <c r="K62" s="24">
        <v>0</v>
      </c>
      <c r="L62" s="24">
        <v>0</v>
      </c>
      <c r="M62" s="24">
        <v>0</v>
      </c>
      <c r="N62" s="24">
        <v>3415</v>
      </c>
      <c r="O62" s="24">
        <v>0</v>
      </c>
      <c r="P62" s="24">
        <v>0</v>
      </c>
      <c r="Q62" s="24">
        <v>0</v>
      </c>
      <c r="R62" s="24">
        <v>0</v>
      </c>
      <c r="S62" s="24">
        <v>0</v>
      </c>
      <c r="T62" s="24">
        <v>20195</v>
      </c>
      <c r="U62" s="24">
        <v>0</v>
      </c>
      <c r="V62" s="24">
        <v>0</v>
      </c>
      <c r="W62" s="24">
        <v>0</v>
      </c>
      <c r="X62" s="24">
        <v>256267</v>
      </c>
      <c r="Y62" s="24">
        <v>3137</v>
      </c>
      <c r="Z62" s="24">
        <v>0</v>
      </c>
      <c r="AA62" s="24">
        <v>0</v>
      </c>
      <c r="AB62" s="24">
        <v>0</v>
      </c>
      <c r="AC62" s="24">
        <v>0</v>
      </c>
      <c r="AD62" s="24">
        <v>0</v>
      </c>
      <c r="AE62" s="24">
        <v>0</v>
      </c>
      <c r="AF62" s="24">
        <v>0</v>
      </c>
      <c r="AG62" s="24">
        <v>0</v>
      </c>
      <c r="AH62" s="24">
        <v>0</v>
      </c>
      <c r="AI62" s="24">
        <v>0</v>
      </c>
      <c r="AJ62" s="24">
        <v>0</v>
      </c>
      <c r="AK62" s="24">
        <v>0</v>
      </c>
      <c r="AL62" s="24">
        <v>4247</v>
      </c>
      <c r="AM62" s="24">
        <v>0</v>
      </c>
      <c r="AN62" s="24">
        <v>0</v>
      </c>
      <c r="AO62" s="24">
        <v>0</v>
      </c>
      <c r="AP62" s="24">
        <v>0</v>
      </c>
      <c r="AQ62" s="24">
        <v>0</v>
      </c>
      <c r="AR62" s="24">
        <v>0</v>
      </c>
      <c r="AS62" s="24">
        <v>0</v>
      </c>
      <c r="AT62" s="24">
        <v>0</v>
      </c>
      <c r="AU62" s="24">
        <v>0</v>
      </c>
      <c r="AV62" s="24">
        <v>0</v>
      </c>
      <c r="AW62" s="24">
        <v>0</v>
      </c>
      <c r="AX62" s="24">
        <v>0</v>
      </c>
      <c r="AY62" s="24">
        <v>0</v>
      </c>
      <c r="AZ62" s="24">
        <v>0</v>
      </c>
      <c r="BA62" s="24">
        <v>0</v>
      </c>
      <c r="BB62" s="24">
        <v>0</v>
      </c>
      <c r="BC62" s="24">
        <v>1</v>
      </c>
      <c r="BD62" s="24">
        <v>127</v>
      </c>
      <c r="BE62" s="24">
        <v>0</v>
      </c>
      <c r="BF62" s="24">
        <v>541</v>
      </c>
      <c r="BG62" s="24">
        <v>0</v>
      </c>
      <c r="BH62" s="24">
        <v>0</v>
      </c>
      <c r="BI62" s="24">
        <v>0</v>
      </c>
      <c r="BJ62" s="24">
        <v>0</v>
      </c>
      <c r="BK62" s="24">
        <v>0</v>
      </c>
      <c r="BL62" s="24">
        <v>0</v>
      </c>
      <c r="BM62" s="24">
        <v>305</v>
      </c>
      <c r="BN62" s="24">
        <v>0</v>
      </c>
      <c r="BO62" s="24">
        <v>0</v>
      </c>
      <c r="BP62" s="24">
        <v>0</v>
      </c>
      <c r="BQ62" s="24">
        <v>0</v>
      </c>
      <c r="BR62" s="24">
        <v>0</v>
      </c>
      <c r="BS62" s="24">
        <v>0</v>
      </c>
      <c r="BT62" s="24">
        <v>0</v>
      </c>
      <c r="BU62" s="24">
        <v>0</v>
      </c>
      <c r="BV62" s="24">
        <v>0</v>
      </c>
      <c r="BW62" s="24">
        <v>0</v>
      </c>
      <c r="BX62" s="24">
        <v>0</v>
      </c>
      <c r="BY62" s="24">
        <v>0</v>
      </c>
      <c r="BZ62" s="24">
        <v>0</v>
      </c>
      <c r="CA62" s="24">
        <v>0</v>
      </c>
      <c r="CB62" s="24">
        <v>0</v>
      </c>
      <c r="CC62" s="24">
        <v>0</v>
      </c>
      <c r="CD62" s="24">
        <v>17910</v>
      </c>
      <c r="CE62" s="24">
        <v>5230</v>
      </c>
      <c r="CF62" s="24">
        <v>0</v>
      </c>
      <c r="CG62" s="24">
        <v>0</v>
      </c>
      <c r="CH62" s="24">
        <v>0</v>
      </c>
      <c r="CI62" s="24">
        <v>0</v>
      </c>
      <c r="CJ62" s="24">
        <v>0</v>
      </c>
      <c r="CK62" s="24">
        <v>0</v>
      </c>
      <c r="CL62" s="24">
        <v>0</v>
      </c>
      <c r="CM62" s="24">
        <v>0</v>
      </c>
      <c r="CN62" s="24">
        <v>0</v>
      </c>
      <c r="CO62" s="24">
        <v>0</v>
      </c>
      <c r="CP62" s="24">
        <v>0</v>
      </c>
      <c r="CQ62" s="24">
        <v>0</v>
      </c>
      <c r="CR62" s="24">
        <v>0</v>
      </c>
      <c r="CS62" s="24">
        <v>0</v>
      </c>
      <c r="CT62" s="24">
        <v>0</v>
      </c>
      <c r="CU62" s="24">
        <v>0</v>
      </c>
      <c r="CV62" s="24">
        <v>0</v>
      </c>
      <c r="CW62" s="24">
        <v>0</v>
      </c>
      <c r="CX62" s="24">
        <v>0</v>
      </c>
      <c r="CY62" s="24">
        <v>0</v>
      </c>
      <c r="CZ62" s="24">
        <v>0</v>
      </c>
      <c r="DA62" s="24">
        <v>0</v>
      </c>
      <c r="DB62" s="24">
        <v>0</v>
      </c>
      <c r="DC62" s="24">
        <v>0</v>
      </c>
      <c r="DD62" s="24">
        <v>0</v>
      </c>
      <c r="DE62" s="24">
        <v>0</v>
      </c>
      <c r="DF62" s="24">
        <v>0</v>
      </c>
      <c r="DG62" s="24">
        <v>0</v>
      </c>
      <c r="DH62" s="24">
        <v>0</v>
      </c>
      <c r="DI62" s="24">
        <v>0</v>
      </c>
      <c r="DJ62" s="24">
        <v>0</v>
      </c>
      <c r="DK62" s="24">
        <v>0</v>
      </c>
      <c r="DL62" s="24">
        <v>0</v>
      </c>
      <c r="DM62" s="24">
        <v>0</v>
      </c>
      <c r="DN62" s="24">
        <v>0</v>
      </c>
      <c r="DO62" s="24">
        <v>0</v>
      </c>
      <c r="DP62" s="24">
        <v>0</v>
      </c>
      <c r="DQ62" s="24">
        <v>0</v>
      </c>
      <c r="DR62" s="24">
        <v>0</v>
      </c>
      <c r="DS62" s="24">
        <v>0</v>
      </c>
      <c r="DT62" s="24">
        <v>0</v>
      </c>
      <c r="DU62" s="24">
        <v>0</v>
      </c>
      <c r="DV62" s="24">
        <v>0</v>
      </c>
      <c r="DW62" s="24">
        <v>0</v>
      </c>
      <c r="DX62" s="24">
        <v>0</v>
      </c>
      <c r="DY62" s="24">
        <v>0</v>
      </c>
      <c r="DZ62" s="24">
        <v>0</v>
      </c>
      <c r="EA62" s="24">
        <v>0</v>
      </c>
      <c r="EB62" s="24">
        <v>0</v>
      </c>
      <c r="EC62" s="24">
        <v>0</v>
      </c>
      <c r="ED62" s="24">
        <v>0</v>
      </c>
      <c r="EE62" s="24">
        <v>0</v>
      </c>
      <c r="EF62" s="24">
        <v>0</v>
      </c>
      <c r="EG62" s="24">
        <v>4078</v>
      </c>
      <c r="EH62" s="24">
        <v>0</v>
      </c>
      <c r="EI62" s="24">
        <v>0</v>
      </c>
      <c r="EJ62" s="24">
        <v>0</v>
      </c>
      <c r="EK62" s="24">
        <v>0</v>
      </c>
      <c r="EL62" s="24">
        <v>0</v>
      </c>
      <c r="EM62" s="24">
        <v>0</v>
      </c>
      <c r="EN62" s="24">
        <v>0</v>
      </c>
      <c r="EO62" s="24">
        <v>0</v>
      </c>
      <c r="EP62" s="24">
        <v>0</v>
      </c>
      <c r="EQ62" s="24">
        <v>0</v>
      </c>
      <c r="ER62" s="24">
        <v>0</v>
      </c>
      <c r="ES62" s="24">
        <v>0</v>
      </c>
      <c r="ET62" s="24">
        <v>0</v>
      </c>
      <c r="EU62" s="24">
        <v>0</v>
      </c>
      <c r="EV62" s="24">
        <v>0</v>
      </c>
      <c r="EW62" s="24">
        <v>0</v>
      </c>
      <c r="EX62" s="24">
        <v>0</v>
      </c>
      <c r="EY62" s="24">
        <v>0</v>
      </c>
      <c r="EZ62" s="24">
        <v>0</v>
      </c>
      <c r="FA62" s="24">
        <v>0</v>
      </c>
      <c r="FB62" s="24">
        <v>5000</v>
      </c>
      <c r="FC62" s="24">
        <v>0</v>
      </c>
      <c r="FD62" s="24">
        <v>0</v>
      </c>
      <c r="FE62" s="24">
        <v>0</v>
      </c>
      <c r="FF62" s="24">
        <v>0</v>
      </c>
      <c r="FG62" s="24">
        <v>0</v>
      </c>
      <c r="FH62" s="24">
        <v>0</v>
      </c>
      <c r="FI62" s="24">
        <v>0</v>
      </c>
      <c r="FJ62" s="24">
        <v>0</v>
      </c>
      <c r="FK62" s="24">
        <v>0</v>
      </c>
      <c r="FL62" s="24">
        <v>0</v>
      </c>
      <c r="FM62" s="24">
        <v>0</v>
      </c>
      <c r="FN62" s="24">
        <v>0</v>
      </c>
      <c r="FO62" s="24">
        <v>0</v>
      </c>
      <c r="FP62" s="24">
        <v>0</v>
      </c>
      <c r="FQ62" s="24">
        <v>0</v>
      </c>
      <c r="FR62" s="24">
        <v>0</v>
      </c>
      <c r="FS62" s="24">
        <v>29089</v>
      </c>
      <c r="FT62" s="24">
        <v>0</v>
      </c>
      <c r="FU62" s="24">
        <v>0</v>
      </c>
      <c r="FV62" s="24">
        <v>0</v>
      </c>
      <c r="FW62" s="24">
        <v>0</v>
      </c>
      <c r="FX62" s="24">
        <v>0</v>
      </c>
      <c r="FY62" s="24">
        <v>0</v>
      </c>
      <c r="FZ62" s="24">
        <v>0</v>
      </c>
      <c r="GA62" s="24">
        <v>0</v>
      </c>
      <c r="GB62" s="24">
        <v>0</v>
      </c>
      <c r="GC62" s="24">
        <v>0</v>
      </c>
      <c r="GD62" s="24">
        <v>0</v>
      </c>
      <c r="GE62" s="24">
        <v>3570</v>
      </c>
      <c r="GF62" s="24">
        <v>0</v>
      </c>
      <c r="GG62" s="24">
        <v>0</v>
      </c>
      <c r="GH62" s="24">
        <v>0</v>
      </c>
      <c r="GI62" s="24">
        <v>0</v>
      </c>
      <c r="GJ62" s="24">
        <v>0</v>
      </c>
      <c r="GK62" s="24">
        <v>0</v>
      </c>
      <c r="GL62" s="24">
        <v>0</v>
      </c>
      <c r="GM62" s="24">
        <v>0</v>
      </c>
      <c r="GN62" s="24">
        <v>0</v>
      </c>
      <c r="GO62" s="24">
        <v>0</v>
      </c>
      <c r="GP62" s="24">
        <v>0</v>
      </c>
      <c r="GQ62" s="24">
        <v>0</v>
      </c>
      <c r="GR62" s="24">
        <v>274</v>
      </c>
      <c r="GS62" s="24">
        <v>0</v>
      </c>
      <c r="GT62" s="24">
        <v>0</v>
      </c>
      <c r="GU62" s="24">
        <v>3500</v>
      </c>
      <c r="GV62" s="24">
        <v>0</v>
      </c>
      <c r="GW62" s="24">
        <v>0</v>
      </c>
      <c r="GX62" s="24">
        <v>0</v>
      </c>
      <c r="GY62" s="24">
        <v>0</v>
      </c>
      <c r="GZ62" s="24">
        <v>0</v>
      </c>
      <c r="HA62" s="24">
        <v>0</v>
      </c>
      <c r="HB62" s="24">
        <v>0</v>
      </c>
      <c r="HC62" s="24">
        <v>0</v>
      </c>
      <c r="HD62" s="24">
        <v>1819258</v>
      </c>
      <c r="HE62" s="24">
        <v>0</v>
      </c>
      <c r="HF62" s="24">
        <v>0</v>
      </c>
      <c r="HG62" s="24">
        <v>0</v>
      </c>
      <c r="HH62" s="24">
        <v>0</v>
      </c>
      <c r="HI62" s="24">
        <v>77926</v>
      </c>
      <c r="HJ62" s="24">
        <v>0</v>
      </c>
      <c r="HK62" s="24">
        <v>0</v>
      </c>
      <c r="HL62" s="24">
        <v>13234</v>
      </c>
      <c r="HM62" s="24">
        <v>0</v>
      </c>
      <c r="HN62" s="24">
        <v>0</v>
      </c>
      <c r="HO62" s="24">
        <v>249759</v>
      </c>
      <c r="HP62" s="24">
        <v>222097</v>
      </c>
      <c r="HQ62" s="24">
        <v>0</v>
      </c>
      <c r="HR62" s="24">
        <v>0</v>
      </c>
      <c r="HS62" s="24">
        <v>0</v>
      </c>
      <c r="HT62" s="24">
        <v>0</v>
      </c>
      <c r="HU62" s="24">
        <v>0</v>
      </c>
      <c r="HV62" s="24">
        <v>0</v>
      </c>
      <c r="HW62" s="24">
        <v>0</v>
      </c>
      <c r="HX62" s="24">
        <v>0</v>
      </c>
      <c r="HY62" s="24">
        <v>0</v>
      </c>
      <c r="HZ62" s="24">
        <v>0</v>
      </c>
      <c r="IA62" s="24">
        <v>10000</v>
      </c>
      <c r="IB62" s="24">
        <v>6386</v>
      </c>
      <c r="IC62" s="24">
        <v>0</v>
      </c>
      <c r="ID62" s="24">
        <v>0</v>
      </c>
      <c r="IE62" s="24">
        <v>0</v>
      </c>
      <c r="IF62" s="24">
        <v>0</v>
      </c>
      <c r="IG62" s="24">
        <v>0</v>
      </c>
      <c r="IH62" s="24">
        <v>0</v>
      </c>
      <c r="II62" s="24">
        <v>0</v>
      </c>
      <c r="IJ62" s="24">
        <v>0</v>
      </c>
      <c r="IK62" s="24">
        <v>0</v>
      </c>
      <c r="IL62" s="24">
        <v>0</v>
      </c>
      <c r="IM62" s="24">
        <v>0</v>
      </c>
      <c r="IN62" s="24">
        <v>0</v>
      </c>
      <c r="IO62" s="24">
        <v>2250</v>
      </c>
      <c r="IP62" s="24">
        <v>0</v>
      </c>
      <c r="IQ62" s="24">
        <v>0</v>
      </c>
      <c r="IR62" s="24">
        <v>45034</v>
      </c>
      <c r="IS62" s="24">
        <v>0</v>
      </c>
      <c r="IT62" s="24">
        <v>0</v>
      </c>
      <c r="IU62" s="24">
        <v>0</v>
      </c>
      <c r="IV62" s="24">
        <v>0</v>
      </c>
      <c r="IW62" s="24">
        <v>0</v>
      </c>
      <c r="IX62" s="24">
        <v>0</v>
      </c>
      <c r="IY62" s="24">
        <v>0</v>
      </c>
      <c r="IZ62" s="24">
        <v>0</v>
      </c>
      <c r="JA62" s="24">
        <v>0</v>
      </c>
      <c r="JB62" s="24">
        <v>8624</v>
      </c>
      <c r="JC62" s="24">
        <v>0</v>
      </c>
      <c r="JD62" s="24">
        <v>0</v>
      </c>
      <c r="JE62" s="24">
        <v>0</v>
      </c>
      <c r="JF62" s="24">
        <v>0</v>
      </c>
      <c r="JG62" s="24">
        <v>0</v>
      </c>
      <c r="JH62" s="24">
        <v>0</v>
      </c>
      <c r="JI62" s="24">
        <v>0</v>
      </c>
      <c r="JJ62" s="24">
        <v>0</v>
      </c>
      <c r="JK62" s="24">
        <v>0</v>
      </c>
      <c r="JL62" s="24">
        <v>0</v>
      </c>
      <c r="JM62" s="24">
        <v>0</v>
      </c>
      <c r="JN62" s="24">
        <v>0</v>
      </c>
      <c r="JO62" s="24">
        <v>0</v>
      </c>
      <c r="JP62" s="24">
        <v>0</v>
      </c>
      <c r="JQ62" s="24">
        <v>0</v>
      </c>
      <c r="JR62" s="24">
        <v>0</v>
      </c>
      <c r="JS62" s="24">
        <v>0</v>
      </c>
      <c r="JT62" s="24">
        <v>0</v>
      </c>
      <c r="JU62" s="24">
        <v>0</v>
      </c>
      <c r="JV62" s="24">
        <v>0</v>
      </c>
      <c r="JW62" s="24">
        <v>0</v>
      </c>
      <c r="JX62" s="24">
        <v>0</v>
      </c>
      <c r="JY62" s="24">
        <v>0</v>
      </c>
      <c r="JZ62" s="24">
        <v>0</v>
      </c>
      <c r="KA62" s="24">
        <v>0</v>
      </c>
      <c r="KB62" s="24">
        <v>20431</v>
      </c>
      <c r="KC62" s="24">
        <v>0</v>
      </c>
      <c r="KD62" s="24">
        <v>0</v>
      </c>
      <c r="KE62" s="24">
        <v>0</v>
      </c>
      <c r="KF62" s="24">
        <v>0</v>
      </c>
      <c r="KG62" s="24">
        <v>0</v>
      </c>
      <c r="KH62" s="24">
        <v>0</v>
      </c>
      <c r="KI62" s="24">
        <v>0</v>
      </c>
      <c r="KJ62" s="24">
        <v>0</v>
      </c>
      <c r="KK62" s="24">
        <v>0</v>
      </c>
      <c r="KL62" s="24">
        <v>0</v>
      </c>
      <c r="KM62" s="24">
        <v>0</v>
      </c>
      <c r="KN62" s="24">
        <v>0</v>
      </c>
      <c r="KO62" s="24">
        <v>0</v>
      </c>
      <c r="KP62" s="24">
        <v>0</v>
      </c>
      <c r="KQ62" s="24">
        <v>0</v>
      </c>
      <c r="KR62" s="24">
        <v>0</v>
      </c>
      <c r="KS62" s="24">
        <v>0</v>
      </c>
      <c r="KT62" s="24">
        <v>0</v>
      </c>
      <c r="KU62" s="24">
        <v>0</v>
      </c>
      <c r="KV62" s="24">
        <v>0</v>
      </c>
      <c r="KW62" s="24">
        <v>0</v>
      </c>
      <c r="KX62" s="24">
        <v>0</v>
      </c>
      <c r="KY62" s="24">
        <v>0</v>
      </c>
      <c r="KZ62" s="24">
        <v>0</v>
      </c>
      <c r="LA62" s="24">
        <v>0</v>
      </c>
      <c r="LB62" s="24">
        <v>0</v>
      </c>
      <c r="LC62" s="24">
        <v>0</v>
      </c>
      <c r="LD62" s="24">
        <v>0</v>
      </c>
      <c r="LE62" s="24">
        <v>0</v>
      </c>
      <c r="LF62" s="24">
        <v>0</v>
      </c>
      <c r="LG62" s="24">
        <v>0</v>
      </c>
      <c r="LH62" s="24">
        <v>0</v>
      </c>
      <c r="LI62" s="24">
        <v>0</v>
      </c>
      <c r="LJ62" s="24">
        <v>0</v>
      </c>
      <c r="LK62" s="24">
        <v>0</v>
      </c>
      <c r="LL62" s="24">
        <v>0</v>
      </c>
      <c r="LM62" s="24">
        <v>0</v>
      </c>
      <c r="LN62" s="24">
        <v>0</v>
      </c>
      <c r="LO62" s="24">
        <v>0</v>
      </c>
      <c r="LP62" s="24">
        <v>0</v>
      </c>
      <c r="LQ62" s="24">
        <v>73659</v>
      </c>
      <c r="LR62" s="24">
        <v>0</v>
      </c>
      <c r="LS62" s="24">
        <v>0</v>
      </c>
      <c r="LT62" s="24">
        <v>0</v>
      </c>
      <c r="LU62" s="24">
        <v>0</v>
      </c>
      <c r="LV62" s="24">
        <v>0</v>
      </c>
      <c r="LW62" s="24">
        <v>0</v>
      </c>
      <c r="LX62" s="24">
        <v>0</v>
      </c>
      <c r="LY62" s="24">
        <v>0</v>
      </c>
      <c r="LZ62" s="24">
        <v>0</v>
      </c>
      <c r="MA62" s="24">
        <v>0</v>
      </c>
      <c r="MB62" s="24">
        <v>0</v>
      </c>
      <c r="MC62" s="24">
        <v>0</v>
      </c>
      <c r="MD62" s="24">
        <v>0</v>
      </c>
      <c r="ME62" s="24">
        <v>0</v>
      </c>
      <c r="MF62" s="24">
        <v>0</v>
      </c>
      <c r="MG62" s="24">
        <v>0</v>
      </c>
      <c r="MH62" s="24">
        <v>0</v>
      </c>
      <c r="MI62" s="24">
        <v>0</v>
      </c>
      <c r="MJ62" s="24">
        <v>0</v>
      </c>
      <c r="MK62" s="24">
        <v>0</v>
      </c>
      <c r="ML62" s="24">
        <v>0</v>
      </c>
      <c r="MM62" s="24">
        <v>0</v>
      </c>
      <c r="MN62" s="24">
        <v>0</v>
      </c>
      <c r="MO62" s="24">
        <v>0</v>
      </c>
      <c r="MP62" s="24">
        <v>0</v>
      </c>
      <c r="MQ62" s="24">
        <v>0</v>
      </c>
      <c r="MR62" s="24">
        <v>128021</v>
      </c>
      <c r="MS62" s="24">
        <v>0</v>
      </c>
      <c r="MT62" s="24">
        <v>0</v>
      </c>
      <c r="MU62" s="24">
        <v>0</v>
      </c>
      <c r="MV62" s="24">
        <v>0</v>
      </c>
      <c r="MW62" s="24">
        <v>64370</v>
      </c>
      <c r="MX62" s="24">
        <v>3558</v>
      </c>
      <c r="MY62" s="24">
        <v>0</v>
      </c>
      <c r="MZ62" s="24">
        <v>0</v>
      </c>
      <c r="NA62" s="24">
        <v>88</v>
      </c>
      <c r="NB62" s="24">
        <v>0</v>
      </c>
      <c r="NC62" s="24">
        <v>0</v>
      </c>
      <c r="ND62" s="24">
        <v>0</v>
      </c>
      <c r="NE62" s="24">
        <v>0</v>
      </c>
      <c r="NF62" s="24">
        <v>0</v>
      </c>
      <c r="NG62" s="24">
        <v>0</v>
      </c>
      <c r="NH62" s="24">
        <v>0</v>
      </c>
      <c r="NI62" s="24">
        <v>0</v>
      </c>
      <c r="NJ62" s="24">
        <v>0</v>
      </c>
      <c r="NK62" s="24">
        <v>0</v>
      </c>
      <c r="NL62" s="24">
        <v>0</v>
      </c>
      <c r="NM62" s="24">
        <v>0</v>
      </c>
      <c r="NN62" s="24">
        <v>0</v>
      </c>
      <c r="NO62" s="24">
        <v>0</v>
      </c>
      <c r="NP62" s="24">
        <v>0</v>
      </c>
      <c r="NQ62" s="24">
        <v>25756</v>
      </c>
      <c r="NR62" s="24">
        <v>6042</v>
      </c>
      <c r="NS62" s="24">
        <v>0</v>
      </c>
      <c r="NT62" s="24">
        <v>0</v>
      </c>
      <c r="NU62" s="24">
        <v>0</v>
      </c>
      <c r="NV62" s="24">
        <v>14554</v>
      </c>
      <c r="NW62" s="24">
        <v>0</v>
      </c>
      <c r="NX62" s="24">
        <v>0</v>
      </c>
      <c r="NY62" s="24">
        <v>0</v>
      </c>
      <c r="NZ62" s="24">
        <v>0</v>
      </c>
      <c r="OA62" s="24">
        <v>0</v>
      </c>
      <c r="OB62" s="24">
        <v>0</v>
      </c>
      <c r="OC62" s="24">
        <v>0</v>
      </c>
      <c r="OD62" s="24">
        <v>0</v>
      </c>
      <c r="OE62" s="24">
        <v>0</v>
      </c>
      <c r="OF62" s="24">
        <v>0</v>
      </c>
      <c r="OG62" s="24">
        <v>0</v>
      </c>
      <c r="OH62" s="24">
        <v>0</v>
      </c>
      <c r="OI62" s="24">
        <v>0</v>
      </c>
      <c r="OJ62" s="24">
        <v>0</v>
      </c>
      <c r="OK62" s="24">
        <v>9564</v>
      </c>
      <c r="OL62" s="24">
        <v>0</v>
      </c>
      <c r="OM62" s="24">
        <v>0</v>
      </c>
      <c r="ON62" s="24">
        <v>0</v>
      </c>
      <c r="OO62" s="24">
        <v>0</v>
      </c>
      <c r="OP62" s="24">
        <v>0</v>
      </c>
      <c r="OQ62" s="24">
        <v>0</v>
      </c>
      <c r="OR62" s="24">
        <v>0</v>
      </c>
      <c r="OS62" s="24">
        <v>0</v>
      </c>
      <c r="OT62" s="24">
        <v>0</v>
      </c>
      <c r="OU62" s="24">
        <v>0</v>
      </c>
      <c r="OV62" s="24">
        <v>0</v>
      </c>
      <c r="OW62" s="24">
        <v>0</v>
      </c>
      <c r="OX62" s="24">
        <v>0</v>
      </c>
      <c r="OY62" s="24">
        <v>0</v>
      </c>
      <c r="OZ62" s="24">
        <v>0</v>
      </c>
      <c r="PA62" s="24">
        <v>0</v>
      </c>
      <c r="PB62" s="24">
        <v>0</v>
      </c>
      <c r="PC62" s="24">
        <v>0</v>
      </c>
      <c r="PD62" s="24">
        <v>0</v>
      </c>
      <c r="PE62" s="24">
        <v>0</v>
      </c>
      <c r="PF62" s="24">
        <v>0</v>
      </c>
      <c r="PG62" s="24">
        <v>0</v>
      </c>
      <c r="PH62" s="24">
        <v>0</v>
      </c>
      <c r="PI62" s="24">
        <v>0</v>
      </c>
      <c r="PJ62" s="24">
        <v>0</v>
      </c>
      <c r="PK62" s="24">
        <v>0</v>
      </c>
      <c r="PL62" s="24">
        <v>0</v>
      </c>
      <c r="PM62" s="24">
        <v>0</v>
      </c>
      <c r="PN62" s="24">
        <v>0</v>
      </c>
      <c r="PO62" s="24">
        <v>0</v>
      </c>
      <c r="PP62" s="24">
        <v>0</v>
      </c>
      <c r="PQ62" s="24">
        <v>0</v>
      </c>
      <c r="PR62" s="24">
        <v>0</v>
      </c>
      <c r="PS62" s="24">
        <v>0</v>
      </c>
      <c r="PT62" s="24">
        <v>0</v>
      </c>
      <c r="PU62" s="24">
        <v>0</v>
      </c>
      <c r="PV62" s="24">
        <v>0</v>
      </c>
      <c r="PW62" s="24">
        <v>0</v>
      </c>
      <c r="PX62" s="24">
        <v>0</v>
      </c>
      <c r="PY62" s="24">
        <v>0</v>
      </c>
      <c r="PZ62" s="24">
        <v>0</v>
      </c>
      <c r="QA62" s="24">
        <v>0</v>
      </c>
      <c r="QB62" s="24">
        <v>0</v>
      </c>
      <c r="QC62" s="24">
        <v>0</v>
      </c>
      <c r="QD62" s="24">
        <v>0</v>
      </c>
      <c r="QE62" s="24">
        <v>0</v>
      </c>
      <c r="QF62" s="24">
        <v>0</v>
      </c>
      <c r="QG62" s="24">
        <v>0</v>
      </c>
      <c r="QH62" s="24">
        <v>0</v>
      </c>
      <c r="QI62" s="24">
        <v>0</v>
      </c>
      <c r="QJ62" s="24">
        <v>0</v>
      </c>
      <c r="QK62" s="24">
        <v>0</v>
      </c>
      <c r="QL62" s="24">
        <v>0</v>
      </c>
      <c r="QM62" s="24">
        <v>0</v>
      </c>
      <c r="QN62" s="24">
        <v>0</v>
      </c>
      <c r="QO62" s="24">
        <v>0</v>
      </c>
      <c r="QP62" s="24">
        <v>0</v>
      </c>
      <c r="QQ62" s="24">
        <v>0</v>
      </c>
      <c r="QR62" s="24">
        <v>0</v>
      </c>
      <c r="QS62" s="24">
        <v>0</v>
      </c>
      <c r="QT62" s="24">
        <v>0</v>
      </c>
      <c r="QU62" s="24">
        <v>0</v>
      </c>
      <c r="QV62" s="24">
        <v>100</v>
      </c>
      <c r="QW62" s="24">
        <v>0</v>
      </c>
      <c r="QX62" s="24">
        <v>0</v>
      </c>
      <c r="QY62" s="24">
        <v>0</v>
      </c>
      <c r="QZ62" s="24">
        <v>0</v>
      </c>
      <c r="RA62" s="24">
        <v>0</v>
      </c>
      <c r="RB62" s="24">
        <v>0</v>
      </c>
      <c r="RG62" s="39">
        <f t="shared" si="126"/>
        <v>1819258</v>
      </c>
      <c r="RH62" s="39">
        <f t="shared" si="126"/>
        <v>77926</v>
      </c>
      <c r="RI62" s="39">
        <f t="shared" si="126"/>
        <v>13234</v>
      </c>
      <c r="RJ62" s="39">
        <f t="shared" si="126"/>
        <v>0</v>
      </c>
      <c r="RK62" s="39">
        <f t="shared" si="126"/>
        <v>0</v>
      </c>
      <c r="RL62" s="39">
        <f t="shared" si="126"/>
        <v>249759</v>
      </c>
      <c r="RM62" s="39">
        <f t="shared" si="126"/>
        <v>238483</v>
      </c>
      <c r="RN62" s="39">
        <f t="shared" si="126"/>
        <v>2250</v>
      </c>
      <c r="RO62" s="39">
        <f t="shared" si="126"/>
        <v>45034</v>
      </c>
      <c r="RP62" s="39">
        <f t="shared" si="126"/>
        <v>0</v>
      </c>
      <c r="RQ62" s="39">
        <f t="shared" si="126"/>
        <v>8624</v>
      </c>
      <c r="RR62" s="39">
        <f t="shared" si="126"/>
        <v>20431</v>
      </c>
      <c r="RS62" s="39"/>
      <c r="RT62" s="182"/>
      <c r="RU62" s="39"/>
      <c r="RV62" s="39">
        <f t="shared" si="127"/>
        <v>325612</v>
      </c>
      <c r="RW62" s="39">
        <f t="shared" si="127"/>
        <v>2474999</v>
      </c>
      <c r="RX62" s="39">
        <f t="shared" si="127"/>
        <v>510035</v>
      </c>
      <c r="RY62" s="39">
        <f t="shared" si="127"/>
        <v>100</v>
      </c>
      <c r="RZ62" s="39"/>
      <c r="SA62" s="182"/>
      <c r="SB62" s="39"/>
      <c r="SC62" s="25">
        <f t="shared" si="50"/>
        <v>1661.3517915309446</v>
      </c>
      <c r="SD62" s="39">
        <f>IFERROR(VLOOKUP(A62, 'Levy Data 15-16'!$B:$O, 3, FALSE), 0)</f>
        <v>158043156</v>
      </c>
      <c r="SE62" s="39">
        <f t="shared" si="88"/>
        <v>514798.55374592834</v>
      </c>
      <c r="SF62" s="631">
        <f>IFERROR(VLOOKUP(A62, 'Levy Data 15-16'!$B:$O, 14, FALSE), 0)*1000</f>
        <v>2.6978010000000001</v>
      </c>
      <c r="SG62" s="39">
        <f t="shared" si="89"/>
        <v>0</v>
      </c>
      <c r="SH62" s="39">
        <f t="shared" si="90"/>
        <v>0</v>
      </c>
      <c r="SI62" s="39">
        <f t="shared" si="91"/>
        <v>510035</v>
      </c>
      <c r="SM62" s="39">
        <f t="shared" si="92"/>
        <v>2474999</v>
      </c>
      <c r="SN62" s="39">
        <f t="shared" si="93"/>
        <v>0</v>
      </c>
      <c r="SO62" s="39">
        <f t="shared" si="51"/>
        <v>2474999</v>
      </c>
      <c r="SP62" s="50">
        <f t="shared" si="52"/>
        <v>1</v>
      </c>
      <c r="ST62" s="124">
        <f>IFERROR(VLOOKUP(A62,'Grade Enroll 15-16'!B:AC,27,FALSE),"")</f>
        <v>307</v>
      </c>
      <c r="SU62" s="124">
        <f t="shared" si="53"/>
        <v>218.22891566265059</v>
      </c>
      <c r="SV62" s="131">
        <f>IFERROR(VLOOKUP($A62, 'Title I Enroll 16-17'!S:V, 4, FALSE), 0)</f>
        <v>0.71084337349397586</v>
      </c>
      <c r="SW62" s="729">
        <f>IFERROR(VLOOKUP(A62, 'ELL Enroll 15-16'!$N:$S, 6, FALSE), 0)</f>
        <v>30</v>
      </c>
      <c r="SX62" s="131">
        <f t="shared" si="54"/>
        <v>9.7719869706840393E-2</v>
      </c>
      <c r="SY62" s="124">
        <f>IFERROR(VLOOKUP(A62, 'SPED enroll 2015-16'!$M:$O, 3, FALSE), 0)</f>
        <v>42</v>
      </c>
      <c r="SZ62" s="131">
        <f t="shared" si="55"/>
        <v>0.13680781758957655</v>
      </c>
      <c r="TA62" s="142">
        <f t="shared" si="87"/>
        <v>29.4</v>
      </c>
      <c r="TB62" s="142">
        <f t="shared" si="87"/>
        <v>8.4</v>
      </c>
      <c r="TC62" s="142">
        <f t="shared" si="87"/>
        <v>2.9400000000000004</v>
      </c>
      <c r="TD62" s="142">
        <f t="shared" si="87"/>
        <v>1.26</v>
      </c>
      <c r="TE62" s="124">
        <f>VLOOKUP($A62, 'Grade Enroll 15-16'!$B:$AB, 20, FALSE)</f>
        <v>5</v>
      </c>
      <c r="TF62" s="124">
        <f>VLOOKUP($A62, 'Grade Enroll 15-16'!$B:$AB, 21, FALSE)</f>
        <v>35</v>
      </c>
      <c r="TG62" s="124">
        <f>VLOOKUP($A62, 'Grade Enroll 15-16'!$B:$AB, 22, FALSE)</f>
        <v>79</v>
      </c>
      <c r="TH62" s="124">
        <f>VLOOKUP($A62, 'Grade Enroll 15-16'!$B:$AB, 23, FALSE)</f>
        <v>80</v>
      </c>
      <c r="TI62" s="124">
        <f>VLOOKUP($A62, 'Grade Enroll 15-16'!$B:$AB, 24, FALSE)</f>
        <v>50</v>
      </c>
      <c r="TJ62" s="124">
        <f>VLOOKUP($A62, 'Grade Enroll 15-16'!$B:$AB, 25, FALSE)</f>
        <v>98</v>
      </c>
      <c r="TK62" s="124">
        <f>VLOOKUP($A62, 'Grade Enroll 15-16'!$B:$AB, 26, FALSE)</f>
        <v>206</v>
      </c>
      <c r="TL62" s="131">
        <f>SUMIFS('Student Achievement 15-16'!N:N, 'Student Achievement 15-16'!B:B, 'Idaho Data'!A62, 'Student Achievement 15-16'!D:D, "math")/100</f>
        <v>0.43099999999999999</v>
      </c>
      <c r="TM62" s="134">
        <f t="shared" si="57"/>
        <v>132.31700000000001</v>
      </c>
      <c r="TN62" s="131">
        <f>SUMIFS('Student Achievement 15-16'!N:N, 'Student Achievement 15-16'!B:B, 'Idaho Data'!A62, 'Student Achievement 15-16'!D:D, "ela")/100</f>
        <v>0.29499999999999998</v>
      </c>
      <c r="TO62" s="134">
        <f t="shared" si="58"/>
        <v>90.564999999999998</v>
      </c>
      <c r="TP62" s="688">
        <f>IFERROR(VLOOKUP(A62, 'G&amp;T 15-16'!B:G, 6, FALSE), 0)*1</f>
        <v>0</v>
      </c>
      <c r="TQ62" s="168">
        <f t="shared" si="59"/>
        <v>18.419999999999998</v>
      </c>
      <c r="TU62" s="168">
        <f t="shared" si="60"/>
        <v>90.564999999999998</v>
      </c>
      <c r="TV62" s="168">
        <f t="shared" si="61"/>
        <v>132.31700000000001</v>
      </c>
      <c r="TW62" s="205">
        <f t="shared" si="62"/>
        <v>132.31700000000001</v>
      </c>
      <c r="TX62" s="144"/>
      <c r="TY62" s="129"/>
      <c r="TZ62" s="127">
        <f t="shared" si="63"/>
        <v>0</v>
      </c>
      <c r="UA62" s="127">
        <f t="shared" si="64"/>
        <v>18.419999999999998</v>
      </c>
      <c r="UB62" s="205">
        <f t="shared" si="65"/>
        <v>18.419999999999998</v>
      </c>
      <c r="UE62" s="853" t="str">
        <f>IF(ST62&lt;='1. Simulator Input'!$E$104, "yes", "")</f>
        <v/>
      </c>
      <c r="UI62" s="199">
        <f t="shared" si="66"/>
        <v>0</v>
      </c>
      <c r="UJ62" s="200">
        <f>IF('Idaho Data'!SI62&gt;=0, ((1-'1. Simulator Input'!$E$39)*'Idaho Data'!SI62), 0)</f>
        <v>0</v>
      </c>
      <c r="UK62" s="200">
        <f t="shared" si="67"/>
        <v>2474999</v>
      </c>
      <c r="UL62" s="39"/>
      <c r="UM62" s="182"/>
      <c r="UN62" s="39"/>
      <c r="UO62" s="39" t="str">
        <f>IF(AND('1. Simulator Input'!$E$96="yes", '1. Simulator Input'!$E$98="yes", '1. Simulator Input'!$E$100="hold harmless"), 'Idaho Data'!WN62, IF(AND('1. Simulator Input'!$E$96="yes", '1. Simulator Input'!$E$98="no", '1. Simulator Input'!$E$100="hold harmless"), 'Idaho Data'!WM62, IF(AND('1. Simulator Input'!$E$96="yes", '1. Simulator Input'!$E$98="yes", '1. Simulator Input'!$E$100="small district grant"), WL62,IF(AND('1. Simulator Input'!$E$96="yes", '1. Simulator Input'!$E$98="no", '1. Simulator Input'!$E$100="small district grant"), WK62, ""))))</f>
        <v/>
      </c>
      <c r="UP62" s="200">
        <f>'1. Simulator Input'!$D$56*('Idaho Data'!ST62)</f>
        <v>1696482</v>
      </c>
      <c r="UQ62" s="204">
        <f>'1. Simulator Input'!$D$65*'1. Simulator Input'!$D$56*'Idaho Data'!SU62</f>
        <v>0</v>
      </c>
      <c r="UR62" s="204">
        <f>'1. Simulator Input'!$D$66*'1. Simulator Input'!$D$56*'Idaho Data'!SW62</f>
        <v>0</v>
      </c>
      <c r="US62" s="200">
        <f>'1. Simulator Input'!$D$67*'1. Simulator Input'!$D$56*'Idaho Data'!TA62</f>
        <v>0</v>
      </c>
      <c r="UT62" s="200">
        <f>'1. Simulator Input'!$D$68*'1. Simulator Input'!$D$56*'Idaho Data'!TB62</f>
        <v>0</v>
      </c>
      <c r="UU62" s="200">
        <f>'1. Simulator Input'!$D$69*'1. Simulator Input'!$D$56*'Idaho Data'!TC62</f>
        <v>0</v>
      </c>
      <c r="UV62" s="200">
        <f>'1. Simulator Input'!$D$70*'1. Simulator Input'!$D$56*TD62</f>
        <v>0</v>
      </c>
      <c r="UW62" s="200">
        <f>'1. Simulator Input'!$D$80*'1. Simulator Input'!$D$56*TW62</f>
        <v>0</v>
      </c>
      <c r="UX62" s="200">
        <f>'1. Simulator Input'!$D$79*'1. Simulator Input'!$D$56*UB62</f>
        <v>0</v>
      </c>
      <c r="UY62" s="200">
        <f>'1. Simulator Input'!$D$87*'1. Simulator Input'!$D$56*TF62</f>
        <v>96705</v>
      </c>
      <c r="UZ62" s="200">
        <f>'1. Simulator Input'!$D$73*'1. Simulator Input'!$D$56*'Idaho Data'!TG62</f>
        <v>0</v>
      </c>
      <c r="VA62" s="200">
        <f>'1. Simulator Input'!$D$56*'1. Simulator Input'!$D$74*'Idaho Data'!TH62</f>
        <v>0</v>
      </c>
      <c r="VB62" s="200">
        <f>'1. Simulator Input'!$D$56*'1. Simulator Input'!$D$75*'Idaho Data'!TI57</f>
        <v>0</v>
      </c>
      <c r="VC62" s="200">
        <f>'1. Simulator Input'!$D$76*'1. Simulator Input'!$D$56*'Idaho Data'!TJ62</f>
        <v>0</v>
      </c>
      <c r="VD62" s="200">
        <f t="shared" si="68"/>
        <v>1793187</v>
      </c>
      <c r="VE62" s="200"/>
      <c r="VF62" s="182"/>
      <c r="VG62" s="200"/>
      <c r="VH62" s="200">
        <f t="shared" si="69"/>
        <v>0</v>
      </c>
      <c r="VI62" s="200">
        <f t="shared" si="70"/>
        <v>0</v>
      </c>
      <c r="VJ62" s="200">
        <f t="shared" si="94"/>
        <v>1793187</v>
      </c>
      <c r="VK62" s="200">
        <f t="shared" si="95"/>
        <v>1793187</v>
      </c>
      <c r="VL62" s="200"/>
      <c r="VM62" s="182"/>
      <c r="VN62" s="200"/>
      <c r="VO62" s="200">
        <f t="shared" si="71"/>
        <v>325612</v>
      </c>
      <c r="VP62" s="200">
        <f t="shared" si="72"/>
        <v>2474999</v>
      </c>
      <c r="VQ62" s="200">
        <f t="shared" si="73"/>
        <v>510035</v>
      </c>
      <c r="VR62" s="200">
        <f t="shared" si="74"/>
        <v>325612</v>
      </c>
      <c r="VS62" s="200">
        <f t="shared" si="96"/>
        <v>1793187</v>
      </c>
      <c r="VT62" s="200">
        <f t="shared" si="97"/>
        <v>510035</v>
      </c>
      <c r="VU62" s="200">
        <f t="shared" si="98"/>
        <v>0</v>
      </c>
      <c r="VV62" s="200"/>
      <c r="VW62" s="182"/>
      <c r="VX62" s="200"/>
      <c r="VZ62" s="199">
        <f t="shared" si="75"/>
        <v>-681812</v>
      </c>
      <c r="WA62" s="199">
        <f t="shared" si="76"/>
        <v>-2220.8859934853422</v>
      </c>
      <c r="WB62" s="131">
        <f t="shared" si="77"/>
        <v>-0.2754797072645282</v>
      </c>
      <c r="WC62" s="131"/>
      <c r="WD62" s="461"/>
      <c r="WE62" s="893"/>
      <c r="WF62" s="893">
        <f t="shared" si="78"/>
        <v>10783.863192182411</v>
      </c>
      <c r="WG62" s="893">
        <f t="shared" si="79"/>
        <v>8562.9771986970682</v>
      </c>
      <c r="WH62" s="893"/>
      <c r="WI62" s="893">
        <f t="shared" si="80"/>
        <v>2474999</v>
      </c>
      <c r="WJ62" s="893">
        <f t="shared" si="99"/>
        <v>1793187</v>
      </c>
      <c r="WK62" s="39" t="str">
        <f t="shared" si="100"/>
        <v/>
      </c>
      <c r="WL62" s="39" t="str">
        <f t="shared" si="101"/>
        <v/>
      </c>
      <c r="WM62" s="200" t="str">
        <f t="shared" si="102"/>
        <v/>
      </c>
      <c r="WN62" s="39" t="str">
        <f t="shared" si="103"/>
        <v/>
      </c>
      <c r="WO62" s="39"/>
      <c r="WP62" s="182"/>
      <c r="WQ62" s="39"/>
      <c r="WR62" s="305">
        <f t="shared" si="104"/>
        <v>0.5</v>
      </c>
      <c r="WT62" s="200">
        <f t="shared" si="105"/>
        <v>8061.8859934853417</v>
      </c>
      <c r="WU62" s="131">
        <f t="shared" si="81"/>
        <v>0.76</v>
      </c>
      <c r="WW62" s="199">
        <f t="shared" si="106"/>
        <v>325612</v>
      </c>
      <c r="WX62" s="199">
        <f t="shared" si="107"/>
        <v>1793187</v>
      </c>
      <c r="WY62" s="199">
        <f t="shared" si="108"/>
        <v>0</v>
      </c>
      <c r="WZ62" s="199">
        <f t="shared" si="82"/>
        <v>1793187</v>
      </c>
      <c r="XA62" s="199">
        <f t="shared" si="109"/>
        <v>0</v>
      </c>
      <c r="XB62" s="199">
        <f t="shared" si="110"/>
        <v>510035</v>
      </c>
      <c r="XC62" s="199">
        <f t="shared" si="111"/>
        <v>510035</v>
      </c>
      <c r="XD62" s="199" t="str">
        <f t="shared" si="112"/>
        <v/>
      </c>
      <c r="XE62" s="199"/>
      <c r="XF62" s="199"/>
      <c r="XG62" s="199"/>
      <c r="XH62" s="199"/>
      <c r="XI62" s="199"/>
      <c r="XJ62" s="199">
        <f t="shared" si="83"/>
        <v>1793187</v>
      </c>
      <c r="XP62" s="199">
        <f t="shared" si="113"/>
        <v>1793187</v>
      </c>
      <c r="XQ62" s="199">
        <f t="shared" si="114"/>
        <v>5841</v>
      </c>
      <c r="XR62" s="199">
        <f t="shared" si="115"/>
        <v>1793187</v>
      </c>
      <c r="XS62" s="199">
        <f t="shared" si="116"/>
        <v>1793187</v>
      </c>
      <c r="XT62" s="199">
        <f t="shared" si="117"/>
        <v>5841</v>
      </c>
      <c r="XU62" s="199">
        <f t="shared" si="118"/>
        <v>2474999</v>
      </c>
      <c r="XV62" s="199">
        <f t="shared" si="119"/>
        <v>8061.8859934853417</v>
      </c>
      <c r="XW62" s="199">
        <f t="shared" si="120"/>
        <v>2474999</v>
      </c>
      <c r="XX62" s="199">
        <f t="shared" si="121"/>
        <v>8061.8859934853417</v>
      </c>
      <c r="XY62" s="199">
        <f t="shared" si="84"/>
        <v>-681812</v>
      </c>
      <c r="XZ62" s="199">
        <f t="shared" si="85"/>
        <v>-2220.8859934853417</v>
      </c>
      <c r="YA62" s="131">
        <f t="shared" si="86"/>
        <v>-0.27547970726452814</v>
      </c>
      <c r="YB62" s="199"/>
      <c r="YC62" s="221"/>
      <c r="YD62" s="199"/>
      <c r="YE62" s="199">
        <f t="shared" si="122"/>
        <v>325612</v>
      </c>
      <c r="YF62" s="200">
        <f t="shared" si="123"/>
        <v>0</v>
      </c>
      <c r="YG62" s="199">
        <f t="shared" si="124"/>
        <v>510035</v>
      </c>
      <c r="YH62" s="199">
        <f t="shared" si="125"/>
        <v>100</v>
      </c>
    </row>
    <row r="63" spans="1:658">
      <c r="A63" s="3">
        <v>234</v>
      </c>
      <c r="B63" s="2" t="s">
        <v>158</v>
      </c>
      <c r="C63" s="24">
        <v>13411</v>
      </c>
      <c r="D63" s="24">
        <v>-7388</v>
      </c>
      <c r="E63" s="24">
        <v>40296</v>
      </c>
      <c r="F63" s="24">
        <v>0</v>
      </c>
      <c r="G63" s="24">
        <v>7953</v>
      </c>
      <c r="H63" s="24">
        <v>0</v>
      </c>
      <c r="I63" s="24">
        <v>0</v>
      </c>
      <c r="J63" s="24">
        <v>0</v>
      </c>
      <c r="K63" s="24">
        <v>0</v>
      </c>
      <c r="L63" s="24">
        <v>0</v>
      </c>
      <c r="M63" s="24">
        <v>0</v>
      </c>
      <c r="N63" s="24">
        <v>0</v>
      </c>
      <c r="O63" s="24">
        <v>0</v>
      </c>
      <c r="P63" s="24">
        <v>0</v>
      </c>
      <c r="Q63" s="24">
        <v>0</v>
      </c>
      <c r="R63" s="24">
        <v>0</v>
      </c>
      <c r="S63" s="24">
        <v>0</v>
      </c>
      <c r="T63" s="24">
        <v>0</v>
      </c>
      <c r="U63" s="24">
        <v>0</v>
      </c>
      <c r="V63" s="24">
        <v>0</v>
      </c>
      <c r="W63" s="24">
        <v>0</v>
      </c>
      <c r="X63" s="24">
        <v>99437</v>
      </c>
      <c r="Y63" s="24">
        <v>40</v>
      </c>
      <c r="Z63" s="24">
        <v>0</v>
      </c>
      <c r="AA63" s="24">
        <v>444</v>
      </c>
      <c r="AB63" s="24">
        <v>206</v>
      </c>
      <c r="AC63" s="24">
        <v>0</v>
      </c>
      <c r="AD63" s="24">
        <v>0</v>
      </c>
      <c r="AE63" s="24">
        <v>0</v>
      </c>
      <c r="AF63" s="24">
        <v>0</v>
      </c>
      <c r="AG63" s="24">
        <v>0</v>
      </c>
      <c r="AH63" s="24">
        <v>0</v>
      </c>
      <c r="AI63" s="24">
        <v>0</v>
      </c>
      <c r="AJ63" s="24">
        <v>0</v>
      </c>
      <c r="AK63" s="24">
        <v>0</v>
      </c>
      <c r="AL63" s="24">
        <v>2421</v>
      </c>
      <c r="AM63" s="24">
        <v>0</v>
      </c>
      <c r="AN63" s="24">
        <v>0</v>
      </c>
      <c r="AO63" s="24">
        <v>0</v>
      </c>
      <c r="AP63" s="24">
        <v>0</v>
      </c>
      <c r="AQ63" s="24">
        <v>0</v>
      </c>
      <c r="AR63" s="24">
        <v>0</v>
      </c>
      <c r="AS63" s="24">
        <v>0</v>
      </c>
      <c r="AT63" s="24">
        <v>0</v>
      </c>
      <c r="AU63" s="24">
        <v>0</v>
      </c>
      <c r="AV63" s="24">
        <v>0</v>
      </c>
      <c r="AW63" s="24">
        <v>0</v>
      </c>
      <c r="AX63" s="24">
        <v>0</v>
      </c>
      <c r="AY63" s="24">
        <v>0</v>
      </c>
      <c r="AZ63" s="24">
        <v>0</v>
      </c>
      <c r="BA63" s="24">
        <v>0</v>
      </c>
      <c r="BB63" s="24">
        <v>0</v>
      </c>
      <c r="BC63" s="24">
        <v>0</v>
      </c>
      <c r="BD63" s="24">
        <v>382</v>
      </c>
      <c r="BE63" s="24">
        <v>0</v>
      </c>
      <c r="BF63" s="24">
        <v>7</v>
      </c>
      <c r="BG63" s="24">
        <v>0</v>
      </c>
      <c r="BH63" s="24">
        <v>0</v>
      </c>
      <c r="BI63" s="24">
        <v>0</v>
      </c>
      <c r="BJ63" s="24">
        <v>0</v>
      </c>
      <c r="BK63" s="24">
        <v>0</v>
      </c>
      <c r="BL63" s="24">
        <v>0</v>
      </c>
      <c r="BM63" s="24">
        <v>0</v>
      </c>
      <c r="BN63" s="24">
        <v>0</v>
      </c>
      <c r="BO63" s="24">
        <v>0</v>
      </c>
      <c r="BP63" s="24">
        <v>0</v>
      </c>
      <c r="BQ63" s="24">
        <v>0</v>
      </c>
      <c r="BR63" s="24">
        <v>0</v>
      </c>
      <c r="BS63" s="24">
        <v>0</v>
      </c>
      <c r="BT63" s="24">
        <v>0</v>
      </c>
      <c r="BU63" s="24">
        <v>0</v>
      </c>
      <c r="BV63" s="24">
        <v>0</v>
      </c>
      <c r="BW63" s="24">
        <v>0</v>
      </c>
      <c r="BX63" s="24">
        <v>0</v>
      </c>
      <c r="BY63" s="24">
        <v>0</v>
      </c>
      <c r="BZ63" s="24">
        <v>0</v>
      </c>
      <c r="CA63" s="24">
        <v>0</v>
      </c>
      <c r="CB63" s="24">
        <v>0</v>
      </c>
      <c r="CC63" s="24">
        <v>0</v>
      </c>
      <c r="CD63" s="24">
        <v>6949</v>
      </c>
      <c r="CE63" s="24">
        <v>1807</v>
      </c>
      <c r="CF63" s="24">
        <v>0</v>
      </c>
      <c r="CG63" s="24">
        <v>0</v>
      </c>
      <c r="CH63" s="24">
        <v>0</v>
      </c>
      <c r="CI63" s="24">
        <v>0</v>
      </c>
      <c r="CJ63" s="24">
        <v>0</v>
      </c>
      <c r="CK63" s="24">
        <v>0</v>
      </c>
      <c r="CL63" s="24">
        <v>0</v>
      </c>
      <c r="CM63" s="24">
        <v>0</v>
      </c>
      <c r="CN63" s="24">
        <v>0</v>
      </c>
      <c r="CO63" s="24">
        <v>0</v>
      </c>
      <c r="CP63" s="24">
        <v>0</v>
      </c>
      <c r="CQ63" s="24">
        <v>0</v>
      </c>
      <c r="CR63" s="24">
        <v>0</v>
      </c>
      <c r="CS63" s="24">
        <v>0</v>
      </c>
      <c r="CT63" s="24">
        <v>0</v>
      </c>
      <c r="CU63" s="24">
        <v>0</v>
      </c>
      <c r="CV63" s="24">
        <v>0</v>
      </c>
      <c r="CW63" s="24">
        <v>0</v>
      </c>
      <c r="CX63" s="24">
        <v>0</v>
      </c>
      <c r="CY63" s="24">
        <v>0</v>
      </c>
      <c r="CZ63" s="24">
        <v>0</v>
      </c>
      <c r="DA63" s="24">
        <v>0</v>
      </c>
      <c r="DB63" s="24">
        <v>0</v>
      </c>
      <c r="DC63" s="24">
        <v>0</v>
      </c>
      <c r="DD63" s="24">
        <v>0</v>
      </c>
      <c r="DE63" s="24">
        <v>0</v>
      </c>
      <c r="DF63" s="24">
        <v>0</v>
      </c>
      <c r="DG63" s="24">
        <v>0</v>
      </c>
      <c r="DH63" s="24">
        <v>0</v>
      </c>
      <c r="DI63" s="24">
        <v>0</v>
      </c>
      <c r="DJ63" s="24">
        <v>0</v>
      </c>
      <c r="DK63" s="24">
        <v>0</v>
      </c>
      <c r="DL63" s="24">
        <v>0</v>
      </c>
      <c r="DM63" s="24">
        <v>0</v>
      </c>
      <c r="DN63" s="24">
        <v>0</v>
      </c>
      <c r="DO63" s="24">
        <v>0</v>
      </c>
      <c r="DP63" s="24">
        <v>0</v>
      </c>
      <c r="DQ63" s="24">
        <v>0</v>
      </c>
      <c r="DR63" s="24">
        <v>0</v>
      </c>
      <c r="DS63" s="24">
        <v>0</v>
      </c>
      <c r="DT63" s="24">
        <v>0</v>
      </c>
      <c r="DU63" s="24">
        <v>31265</v>
      </c>
      <c r="DV63" s="24">
        <v>0</v>
      </c>
      <c r="DW63" s="24">
        <v>0</v>
      </c>
      <c r="DX63" s="24">
        <v>0</v>
      </c>
      <c r="DY63" s="24">
        <v>0</v>
      </c>
      <c r="DZ63" s="24">
        <v>0</v>
      </c>
      <c r="EA63" s="24">
        <v>0</v>
      </c>
      <c r="EB63" s="24">
        <v>3247</v>
      </c>
      <c r="EC63" s="24">
        <v>0</v>
      </c>
      <c r="ED63" s="24">
        <v>0</v>
      </c>
      <c r="EE63" s="24">
        <v>0</v>
      </c>
      <c r="EF63" s="24">
        <v>0</v>
      </c>
      <c r="EG63" s="24">
        <v>0</v>
      </c>
      <c r="EH63" s="24">
        <v>0</v>
      </c>
      <c r="EI63" s="24">
        <v>0</v>
      </c>
      <c r="EJ63" s="24">
        <v>0</v>
      </c>
      <c r="EK63" s="24">
        <v>0</v>
      </c>
      <c r="EL63" s="24">
        <v>0</v>
      </c>
      <c r="EM63" s="24">
        <v>0</v>
      </c>
      <c r="EN63" s="24">
        <v>0</v>
      </c>
      <c r="EO63" s="24">
        <v>0</v>
      </c>
      <c r="EP63" s="24">
        <v>0</v>
      </c>
      <c r="EQ63" s="24">
        <v>0</v>
      </c>
      <c r="ER63" s="24">
        <v>0</v>
      </c>
      <c r="ES63" s="24">
        <v>0</v>
      </c>
      <c r="ET63" s="24">
        <v>0</v>
      </c>
      <c r="EU63" s="24">
        <v>0</v>
      </c>
      <c r="EV63" s="24">
        <v>0</v>
      </c>
      <c r="EW63" s="24">
        <v>0</v>
      </c>
      <c r="EX63" s="24">
        <v>0</v>
      </c>
      <c r="EY63" s="24">
        <v>0</v>
      </c>
      <c r="EZ63" s="24">
        <v>0</v>
      </c>
      <c r="FA63" s="24">
        <v>0</v>
      </c>
      <c r="FB63" s="24">
        <v>0</v>
      </c>
      <c r="FC63" s="24">
        <v>0</v>
      </c>
      <c r="FD63" s="24">
        <v>0</v>
      </c>
      <c r="FE63" s="24">
        <v>0</v>
      </c>
      <c r="FF63" s="24">
        <v>0</v>
      </c>
      <c r="FG63" s="24">
        <v>0</v>
      </c>
      <c r="FH63" s="24">
        <v>0</v>
      </c>
      <c r="FI63" s="24">
        <v>0</v>
      </c>
      <c r="FJ63" s="24">
        <v>0</v>
      </c>
      <c r="FK63" s="24">
        <v>0</v>
      </c>
      <c r="FL63" s="24">
        <v>0</v>
      </c>
      <c r="FM63" s="24">
        <v>0</v>
      </c>
      <c r="FN63" s="24">
        <v>0</v>
      </c>
      <c r="FO63" s="24">
        <v>0</v>
      </c>
      <c r="FP63" s="24">
        <v>0</v>
      </c>
      <c r="FQ63" s="24">
        <v>0</v>
      </c>
      <c r="FR63" s="24">
        <v>0</v>
      </c>
      <c r="FS63" s="24">
        <v>8852</v>
      </c>
      <c r="FT63" s="24">
        <v>0</v>
      </c>
      <c r="FU63" s="24">
        <v>0</v>
      </c>
      <c r="FV63" s="24">
        <v>0</v>
      </c>
      <c r="FW63" s="24">
        <v>0</v>
      </c>
      <c r="FX63" s="24">
        <v>0</v>
      </c>
      <c r="FY63" s="24">
        <v>0</v>
      </c>
      <c r="FZ63" s="24">
        <v>0</v>
      </c>
      <c r="GA63" s="24">
        <v>0</v>
      </c>
      <c r="GB63" s="24">
        <v>0</v>
      </c>
      <c r="GC63" s="24">
        <v>0</v>
      </c>
      <c r="GD63" s="24">
        <v>0</v>
      </c>
      <c r="GE63" s="24">
        <v>0</v>
      </c>
      <c r="GF63" s="24">
        <v>0</v>
      </c>
      <c r="GG63" s="24">
        <v>0</v>
      </c>
      <c r="GH63" s="24">
        <v>0</v>
      </c>
      <c r="GI63" s="24">
        <v>0</v>
      </c>
      <c r="GJ63" s="24">
        <v>0</v>
      </c>
      <c r="GK63" s="24">
        <v>0</v>
      </c>
      <c r="GL63" s="24">
        <v>0</v>
      </c>
      <c r="GM63" s="24">
        <v>0</v>
      </c>
      <c r="GN63" s="24">
        <v>0</v>
      </c>
      <c r="GO63" s="24">
        <v>0</v>
      </c>
      <c r="GP63" s="24">
        <v>0</v>
      </c>
      <c r="GQ63" s="24">
        <v>0</v>
      </c>
      <c r="GR63" s="24">
        <v>0</v>
      </c>
      <c r="GS63" s="24">
        <v>0</v>
      </c>
      <c r="GT63" s="24">
        <v>0</v>
      </c>
      <c r="GU63" s="24">
        <v>0</v>
      </c>
      <c r="GV63" s="24">
        <v>0</v>
      </c>
      <c r="GW63" s="24">
        <v>0</v>
      </c>
      <c r="GX63" s="24">
        <v>0</v>
      </c>
      <c r="GY63" s="24">
        <v>0</v>
      </c>
      <c r="GZ63" s="24">
        <v>0</v>
      </c>
      <c r="HA63" s="24">
        <v>0</v>
      </c>
      <c r="HB63" s="24">
        <v>0</v>
      </c>
      <c r="HC63" s="24">
        <v>0</v>
      </c>
      <c r="HD63" s="24">
        <v>1145732</v>
      </c>
      <c r="HE63" s="24">
        <v>0</v>
      </c>
      <c r="HF63" s="24">
        <v>0</v>
      </c>
      <c r="HG63" s="24">
        <v>0</v>
      </c>
      <c r="HH63" s="24">
        <v>0</v>
      </c>
      <c r="HI63" s="24">
        <v>65788</v>
      </c>
      <c r="HJ63" s="24">
        <v>0</v>
      </c>
      <c r="HK63" s="24">
        <v>0</v>
      </c>
      <c r="HL63" s="24">
        <v>0</v>
      </c>
      <c r="HM63" s="24">
        <v>0</v>
      </c>
      <c r="HN63" s="24">
        <v>0</v>
      </c>
      <c r="HO63" s="24">
        <v>155957</v>
      </c>
      <c r="HP63" s="24">
        <v>0</v>
      </c>
      <c r="HQ63" s="24">
        <v>0</v>
      </c>
      <c r="HR63" s="24">
        <v>0</v>
      </c>
      <c r="HS63" s="24">
        <v>0</v>
      </c>
      <c r="HT63" s="24">
        <v>0</v>
      </c>
      <c r="HU63" s="24">
        <v>0</v>
      </c>
      <c r="HV63" s="24">
        <v>0</v>
      </c>
      <c r="HW63" s="24">
        <v>0</v>
      </c>
      <c r="HX63" s="24">
        <v>0</v>
      </c>
      <c r="HY63" s="24">
        <v>0</v>
      </c>
      <c r="HZ63" s="24">
        <v>0</v>
      </c>
      <c r="IA63" s="24">
        <v>15715</v>
      </c>
      <c r="IB63" s="24">
        <v>3657</v>
      </c>
      <c r="IC63" s="24">
        <v>0</v>
      </c>
      <c r="ID63" s="24">
        <v>0</v>
      </c>
      <c r="IE63" s="24">
        <v>0</v>
      </c>
      <c r="IF63" s="24">
        <v>0</v>
      </c>
      <c r="IG63" s="24">
        <v>0</v>
      </c>
      <c r="IH63" s="24">
        <v>0</v>
      </c>
      <c r="II63" s="24">
        <v>0</v>
      </c>
      <c r="IJ63" s="24">
        <v>0</v>
      </c>
      <c r="IK63" s="24">
        <v>0</v>
      </c>
      <c r="IL63" s="24">
        <v>0</v>
      </c>
      <c r="IM63" s="24">
        <v>0</v>
      </c>
      <c r="IN63" s="24">
        <v>0</v>
      </c>
      <c r="IO63" s="24">
        <v>750</v>
      </c>
      <c r="IP63" s="24">
        <v>0</v>
      </c>
      <c r="IQ63" s="24">
        <v>0</v>
      </c>
      <c r="IR63" s="24">
        <v>20925</v>
      </c>
      <c r="IS63" s="24">
        <v>0</v>
      </c>
      <c r="IT63" s="24">
        <v>0</v>
      </c>
      <c r="IU63" s="24">
        <v>0</v>
      </c>
      <c r="IV63" s="24">
        <v>0</v>
      </c>
      <c r="IW63" s="24">
        <v>0</v>
      </c>
      <c r="IX63" s="24">
        <v>0</v>
      </c>
      <c r="IY63" s="24">
        <v>0</v>
      </c>
      <c r="IZ63" s="24">
        <v>0</v>
      </c>
      <c r="JA63" s="24">
        <v>0</v>
      </c>
      <c r="JB63" s="24">
        <v>0</v>
      </c>
      <c r="JC63" s="24">
        <v>0</v>
      </c>
      <c r="JD63" s="24">
        <v>0</v>
      </c>
      <c r="JE63" s="24">
        <v>101036</v>
      </c>
      <c r="JF63" s="24">
        <v>0</v>
      </c>
      <c r="JG63" s="24">
        <v>0</v>
      </c>
      <c r="JH63" s="24">
        <v>0</v>
      </c>
      <c r="JI63" s="24">
        <v>0</v>
      </c>
      <c r="JJ63" s="24">
        <v>0</v>
      </c>
      <c r="JK63" s="24">
        <v>0</v>
      </c>
      <c r="JL63" s="24">
        <v>0</v>
      </c>
      <c r="JM63" s="24">
        <v>0</v>
      </c>
      <c r="JN63" s="24">
        <v>0</v>
      </c>
      <c r="JO63" s="24">
        <v>0</v>
      </c>
      <c r="JP63" s="24">
        <v>0</v>
      </c>
      <c r="JQ63" s="24">
        <v>0</v>
      </c>
      <c r="JR63" s="24">
        <v>1954</v>
      </c>
      <c r="JS63" s="24">
        <v>0</v>
      </c>
      <c r="JT63" s="24">
        <v>0</v>
      </c>
      <c r="JU63" s="24">
        <v>0</v>
      </c>
      <c r="JV63" s="24">
        <v>0</v>
      </c>
      <c r="JW63" s="24">
        <v>0</v>
      </c>
      <c r="JX63" s="24">
        <v>0</v>
      </c>
      <c r="JY63" s="24">
        <v>0</v>
      </c>
      <c r="JZ63" s="24">
        <v>0</v>
      </c>
      <c r="KA63" s="24">
        <v>4660</v>
      </c>
      <c r="KB63" s="24">
        <v>0</v>
      </c>
      <c r="KC63" s="24">
        <v>0</v>
      </c>
      <c r="KD63" s="24">
        <v>0</v>
      </c>
      <c r="KE63" s="24">
        <v>0</v>
      </c>
      <c r="KF63" s="24">
        <v>0</v>
      </c>
      <c r="KG63" s="24">
        <v>0</v>
      </c>
      <c r="KH63" s="24">
        <v>0</v>
      </c>
      <c r="KI63" s="24">
        <v>0</v>
      </c>
      <c r="KJ63" s="24">
        <v>0</v>
      </c>
      <c r="KK63" s="24">
        <v>0</v>
      </c>
      <c r="KL63" s="24">
        <v>0</v>
      </c>
      <c r="KM63" s="24">
        <v>0</v>
      </c>
      <c r="KN63" s="24">
        <v>0</v>
      </c>
      <c r="KO63" s="24">
        <v>0</v>
      </c>
      <c r="KP63" s="24">
        <v>0</v>
      </c>
      <c r="KQ63" s="24">
        <v>0</v>
      </c>
      <c r="KR63" s="24">
        <v>0</v>
      </c>
      <c r="KS63" s="24">
        <v>0</v>
      </c>
      <c r="KT63" s="24">
        <v>0</v>
      </c>
      <c r="KU63" s="24">
        <v>0</v>
      </c>
      <c r="KV63" s="24">
        <v>0</v>
      </c>
      <c r="KW63" s="24">
        <v>0</v>
      </c>
      <c r="KX63" s="24">
        <v>0</v>
      </c>
      <c r="KY63" s="24">
        <v>0</v>
      </c>
      <c r="KZ63" s="24">
        <v>0</v>
      </c>
      <c r="LA63" s="24">
        <v>0</v>
      </c>
      <c r="LB63" s="24">
        <v>0</v>
      </c>
      <c r="LC63" s="24">
        <v>0</v>
      </c>
      <c r="LD63" s="24">
        <v>0</v>
      </c>
      <c r="LE63" s="24">
        <v>0</v>
      </c>
      <c r="LF63" s="24">
        <v>0</v>
      </c>
      <c r="LG63" s="24">
        <v>0</v>
      </c>
      <c r="LH63" s="24">
        <v>0</v>
      </c>
      <c r="LI63" s="24">
        <v>0</v>
      </c>
      <c r="LJ63" s="24">
        <v>0</v>
      </c>
      <c r="LK63" s="24">
        <v>0</v>
      </c>
      <c r="LL63" s="24">
        <v>0</v>
      </c>
      <c r="LM63" s="24">
        <v>0</v>
      </c>
      <c r="LN63" s="24">
        <v>0</v>
      </c>
      <c r="LO63" s="24">
        <v>0</v>
      </c>
      <c r="LP63" s="24">
        <v>0</v>
      </c>
      <c r="LQ63" s="24">
        <v>50052</v>
      </c>
      <c r="LR63" s="24">
        <v>0</v>
      </c>
      <c r="LS63" s="24">
        <v>0</v>
      </c>
      <c r="LT63" s="24">
        <v>0</v>
      </c>
      <c r="LU63" s="24">
        <v>32837</v>
      </c>
      <c r="LV63" s="24">
        <v>45</v>
      </c>
      <c r="LW63" s="24">
        <v>5436</v>
      </c>
      <c r="LX63" s="24">
        <v>0</v>
      </c>
      <c r="LY63" s="24">
        <v>0</v>
      </c>
      <c r="LZ63" s="24">
        <v>0</v>
      </c>
      <c r="MA63" s="24">
        <v>0</v>
      </c>
      <c r="MB63" s="24">
        <v>0</v>
      </c>
      <c r="MC63" s="24">
        <v>0</v>
      </c>
      <c r="MD63" s="24">
        <v>0</v>
      </c>
      <c r="ME63" s="24">
        <v>0</v>
      </c>
      <c r="MF63" s="24">
        <v>0</v>
      </c>
      <c r="MG63" s="24">
        <v>0</v>
      </c>
      <c r="MH63" s="24">
        <v>0</v>
      </c>
      <c r="MI63" s="24">
        <v>0</v>
      </c>
      <c r="MJ63" s="24">
        <v>0</v>
      </c>
      <c r="MK63" s="24">
        <v>0</v>
      </c>
      <c r="ML63" s="24">
        <v>0</v>
      </c>
      <c r="MM63" s="24">
        <v>0</v>
      </c>
      <c r="MN63" s="24">
        <v>0</v>
      </c>
      <c r="MO63" s="24">
        <v>0</v>
      </c>
      <c r="MP63" s="24">
        <v>0</v>
      </c>
      <c r="MQ63" s="24">
        <v>0</v>
      </c>
      <c r="MR63" s="24">
        <v>55391</v>
      </c>
      <c r="MS63" s="24">
        <v>0</v>
      </c>
      <c r="MT63" s="24">
        <v>0</v>
      </c>
      <c r="MU63" s="24">
        <v>0</v>
      </c>
      <c r="MV63" s="24">
        <v>0</v>
      </c>
      <c r="MW63" s="24">
        <v>0</v>
      </c>
      <c r="MX63" s="24">
        <v>0</v>
      </c>
      <c r="MY63" s="24">
        <v>0</v>
      </c>
      <c r="MZ63" s="24">
        <v>0</v>
      </c>
      <c r="NA63" s="24">
        <v>0</v>
      </c>
      <c r="NB63" s="24">
        <v>0</v>
      </c>
      <c r="NC63" s="24">
        <v>0</v>
      </c>
      <c r="ND63" s="24">
        <v>0</v>
      </c>
      <c r="NE63" s="24">
        <v>0</v>
      </c>
      <c r="NF63" s="24">
        <v>0</v>
      </c>
      <c r="NG63" s="24">
        <v>0</v>
      </c>
      <c r="NH63" s="24">
        <v>0</v>
      </c>
      <c r="NI63" s="24">
        <v>0</v>
      </c>
      <c r="NJ63" s="24">
        <v>0</v>
      </c>
      <c r="NK63" s="24">
        <v>0</v>
      </c>
      <c r="NL63" s="24">
        <v>0</v>
      </c>
      <c r="NM63" s="24">
        <v>0</v>
      </c>
      <c r="NN63" s="24">
        <v>0</v>
      </c>
      <c r="NO63" s="24">
        <v>0</v>
      </c>
      <c r="NP63" s="24">
        <v>0</v>
      </c>
      <c r="NQ63" s="24">
        <v>0</v>
      </c>
      <c r="NR63" s="24">
        <v>0</v>
      </c>
      <c r="NS63" s="24">
        <v>0</v>
      </c>
      <c r="NT63" s="24">
        <v>0</v>
      </c>
      <c r="NU63" s="24">
        <v>0</v>
      </c>
      <c r="NV63" s="24">
        <v>5109</v>
      </c>
      <c r="NW63" s="24">
        <v>0</v>
      </c>
      <c r="NX63" s="24">
        <v>0</v>
      </c>
      <c r="NY63" s="24">
        <v>0</v>
      </c>
      <c r="NZ63" s="24">
        <v>0</v>
      </c>
      <c r="OA63" s="24">
        <v>0</v>
      </c>
      <c r="OB63" s="24">
        <v>0</v>
      </c>
      <c r="OC63" s="24">
        <v>0</v>
      </c>
      <c r="OD63" s="24">
        <v>0</v>
      </c>
      <c r="OE63" s="24">
        <v>0</v>
      </c>
      <c r="OF63" s="24">
        <v>0</v>
      </c>
      <c r="OG63" s="24">
        <v>0</v>
      </c>
      <c r="OH63" s="24">
        <v>0</v>
      </c>
      <c r="OI63" s="24">
        <v>0</v>
      </c>
      <c r="OJ63" s="24">
        <v>0</v>
      </c>
      <c r="OK63" s="24">
        <v>2496</v>
      </c>
      <c r="OL63" s="24">
        <v>0</v>
      </c>
      <c r="OM63" s="24">
        <v>0</v>
      </c>
      <c r="ON63" s="24">
        <v>0</v>
      </c>
      <c r="OO63" s="24">
        <v>0</v>
      </c>
      <c r="OP63" s="24">
        <v>0</v>
      </c>
      <c r="OQ63" s="24">
        <v>0</v>
      </c>
      <c r="OR63" s="24">
        <v>0</v>
      </c>
      <c r="OS63" s="24">
        <v>0</v>
      </c>
      <c r="OT63" s="24">
        <v>0</v>
      </c>
      <c r="OU63" s="24">
        <v>0</v>
      </c>
      <c r="OV63" s="24">
        <v>90940</v>
      </c>
      <c r="OW63" s="24">
        <v>0</v>
      </c>
      <c r="OX63" s="24">
        <v>0</v>
      </c>
      <c r="OY63" s="24">
        <v>0</v>
      </c>
      <c r="OZ63" s="24">
        <v>0</v>
      </c>
      <c r="PA63" s="24">
        <v>0</v>
      </c>
      <c r="PB63" s="24">
        <v>0</v>
      </c>
      <c r="PC63" s="24">
        <v>0</v>
      </c>
      <c r="PD63" s="24">
        <v>0</v>
      </c>
      <c r="PE63" s="24">
        <v>0</v>
      </c>
      <c r="PF63" s="24">
        <v>0</v>
      </c>
      <c r="PG63" s="24">
        <v>0</v>
      </c>
      <c r="PH63" s="24">
        <v>0</v>
      </c>
      <c r="PI63" s="24">
        <v>0</v>
      </c>
      <c r="PJ63" s="24">
        <v>0</v>
      </c>
      <c r="PK63" s="24">
        <v>0</v>
      </c>
      <c r="PL63" s="24">
        <v>0</v>
      </c>
      <c r="PM63" s="24">
        <v>0</v>
      </c>
      <c r="PN63" s="24">
        <v>0</v>
      </c>
      <c r="PO63" s="24">
        <v>0</v>
      </c>
      <c r="PP63" s="24">
        <v>0</v>
      </c>
      <c r="PQ63" s="24">
        <v>0</v>
      </c>
      <c r="PR63" s="24">
        <v>0</v>
      </c>
      <c r="PS63" s="24">
        <v>0</v>
      </c>
      <c r="PT63" s="24">
        <v>0</v>
      </c>
      <c r="PU63" s="24">
        <v>3322</v>
      </c>
      <c r="PV63" s="24">
        <v>0</v>
      </c>
      <c r="PW63" s="24">
        <v>0</v>
      </c>
      <c r="PX63" s="24">
        <v>0</v>
      </c>
      <c r="PY63" s="24">
        <v>0</v>
      </c>
      <c r="PZ63" s="24">
        <v>0</v>
      </c>
      <c r="QA63" s="24">
        <v>0</v>
      </c>
      <c r="QB63" s="24">
        <v>0</v>
      </c>
      <c r="QC63" s="24">
        <v>1495</v>
      </c>
      <c r="QD63" s="24">
        <v>0</v>
      </c>
      <c r="QE63" s="24">
        <v>0</v>
      </c>
      <c r="QF63" s="24">
        <v>0</v>
      </c>
      <c r="QG63" s="24">
        <v>0</v>
      </c>
      <c r="QH63" s="24">
        <v>0</v>
      </c>
      <c r="QI63" s="24">
        <v>0</v>
      </c>
      <c r="QJ63" s="24">
        <v>0</v>
      </c>
      <c r="QK63" s="24">
        <v>0</v>
      </c>
      <c r="QL63" s="24">
        <v>0</v>
      </c>
      <c r="QM63" s="24">
        <v>0</v>
      </c>
      <c r="QN63" s="24">
        <v>0</v>
      </c>
      <c r="QO63" s="24">
        <v>0</v>
      </c>
      <c r="QP63" s="24">
        <v>0</v>
      </c>
      <c r="QQ63" s="24">
        <v>0</v>
      </c>
      <c r="QR63" s="24">
        <v>0</v>
      </c>
      <c r="QS63" s="24">
        <v>0</v>
      </c>
      <c r="QT63" s="24">
        <v>0</v>
      </c>
      <c r="QU63" s="24">
        <v>0</v>
      </c>
      <c r="QV63" s="24">
        <v>52162</v>
      </c>
      <c r="QW63" s="24">
        <v>0</v>
      </c>
      <c r="QX63" s="24">
        <v>0</v>
      </c>
      <c r="QY63" s="24">
        <v>0</v>
      </c>
      <c r="QZ63" s="24">
        <v>0</v>
      </c>
      <c r="RA63" s="24">
        <v>0</v>
      </c>
      <c r="RB63" s="24">
        <v>0</v>
      </c>
      <c r="RG63" s="39">
        <f t="shared" si="126"/>
        <v>1145732</v>
      </c>
      <c r="RH63" s="39">
        <f t="shared" si="126"/>
        <v>65788</v>
      </c>
      <c r="RI63" s="39">
        <f t="shared" si="126"/>
        <v>0</v>
      </c>
      <c r="RJ63" s="39">
        <f t="shared" si="126"/>
        <v>0</v>
      </c>
      <c r="RK63" s="39">
        <f t="shared" si="126"/>
        <v>0</v>
      </c>
      <c r="RL63" s="39">
        <f t="shared" si="126"/>
        <v>155957</v>
      </c>
      <c r="RM63" s="39">
        <f t="shared" si="126"/>
        <v>19372</v>
      </c>
      <c r="RN63" s="39">
        <f t="shared" si="126"/>
        <v>750</v>
      </c>
      <c r="RO63" s="39">
        <f t="shared" si="126"/>
        <v>20925</v>
      </c>
      <c r="RP63" s="39">
        <f t="shared" si="126"/>
        <v>0</v>
      </c>
      <c r="RQ63" s="39">
        <f t="shared" si="126"/>
        <v>0</v>
      </c>
      <c r="RR63" s="39">
        <f t="shared" si="126"/>
        <v>107650</v>
      </c>
      <c r="RS63" s="39"/>
      <c r="RT63" s="182"/>
      <c r="RU63" s="39"/>
      <c r="RV63" s="39">
        <f t="shared" si="127"/>
        <v>151366</v>
      </c>
      <c r="RW63" s="39">
        <f t="shared" si="127"/>
        <v>1516174</v>
      </c>
      <c r="RX63" s="39">
        <f t="shared" si="127"/>
        <v>209329</v>
      </c>
      <c r="RY63" s="39">
        <f t="shared" si="127"/>
        <v>147919</v>
      </c>
      <c r="RZ63" s="39"/>
      <c r="SA63" s="182"/>
      <c r="SB63" s="39"/>
      <c r="SC63" s="25">
        <f t="shared" si="50"/>
        <v>1820.2521739130434</v>
      </c>
      <c r="SD63" s="39">
        <f>IFERROR(VLOOKUP(A63, 'Levy Data 15-16'!$B:$O, 3, FALSE), 0)</f>
        <v>79186106</v>
      </c>
      <c r="SE63" s="39">
        <f t="shared" si="88"/>
        <v>688574.83478260867</v>
      </c>
      <c r="SF63" s="631">
        <f>IFERROR(VLOOKUP(A63, 'Levy Data 15-16'!$B:$O, 14, FALSE), 0)*1000</f>
        <v>1.7244690000000003</v>
      </c>
      <c r="SG63" s="39">
        <f t="shared" si="89"/>
        <v>0</v>
      </c>
      <c r="SH63" s="39">
        <f t="shared" si="90"/>
        <v>0</v>
      </c>
      <c r="SI63" s="39">
        <f t="shared" si="91"/>
        <v>209329</v>
      </c>
      <c r="SM63" s="39">
        <f t="shared" si="92"/>
        <v>1516174</v>
      </c>
      <c r="SN63" s="39">
        <f t="shared" si="93"/>
        <v>0</v>
      </c>
      <c r="SO63" s="39">
        <f t="shared" si="51"/>
        <v>1516174</v>
      </c>
      <c r="SP63" s="50">
        <f t="shared" si="52"/>
        <v>1</v>
      </c>
      <c r="ST63" s="124">
        <f>IFERROR(VLOOKUP(A63,'Grade Enroll 15-16'!B:AC,27,FALSE),"")</f>
        <v>115</v>
      </c>
      <c r="SU63" s="124">
        <f t="shared" si="53"/>
        <v>94.26229508196721</v>
      </c>
      <c r="SV63" s="131">
        <f>IFERROR(VLOOKUP($A63, 'Title I Enroll 16-17'!S:V, 4, FALSE), 0)</f>
        <v>0.81967213114754101</v>
      </c>
      <c r="SW63" s="729">
        <f>IFERROR(VLOOKUP(A63, 'ELL Enroll 15-16'!$N:$S, 6, FALSE), 0)</f>
        <v>33</v>
      </c>
      <c r="SX63" s="131">
        <f t="shared" si="54"/>
        <v>0.28695652173913044</v>
      </c>
      <c r="SY63" s="124">
        <f>IFERROR(VLOOKUP(A63, 'SPED enroll 2015-16'!$M:$O, 3, FALSE), 0)</f>
        <v>13</v>
      </c>
      <c r="SZ63" s="131">
        <f t="shared" si="55"/>
        <v>0.11304347826086956</v>
      </c>
      <c r="TA63" s="142">
        <f t="shared" si="87"/>
        <v>9.1</v>
      </c>
      <c r="TB63" s="142">
        <f t="shared" si="87"/>
        <v>2.6</v>
      </c>
      <c r="TC63" s="142">
        <f t="shared" si="87"/>
        <v>0.91000000000000014</v>
      </c>
      <c r="TD63" s="142">
        <f t="shared" si="87"/>
        <v>0.39</v>
      </c>
      <c r="TE63" s="124">
        <f>VLOOKUP($A63, 'Grade Enroll 15-16'!$B:$AB, 20, FALSE)</f>
        <v>0</v>
      </c>
      <c r="TF63" s="124">
        <f>VLOOKUP($A63, 'Grade Enroll 15-16'!$B:$AB, 21, FALSE)</f>
        <v>13</v>
      </c>
      <c r="TG63" s="124">
        <f>VLOOKUP($A63, 'Grade Enroll 15-16'!$B:$AB, 22, FALSE)</f>
        <v>30</v>
      </c>
      <c r="TH63" s="124">
        <f>VLOOKUP($A63, 'Grade Enroll 15-16'!$B:$AB, 23, FALSE)</f>
        <v>32</v>
      </c>
      <c r="TI63" s="124">
        <f>VLOOKUP($A63, 'Grade Enroll 15-16'!$B:$AB, 24, FALSE)</f>
        <v>18</v>
      </c>
      <c r="TJ63" s="124">
        <f>VLOOKUP($A63, 'Grade Enroll 15-16'!$B:$AB, 25, FALSE)</f>
        <v>35</v>
      </c>
      <c r="TK63" s="124">
        <f>VLOOKUP($A63, 'Grade Enroll 15-16'!$B:$AB, 26, FALSE)</f>
        <v>77</v>
      </c>
      <c r="TL63" s="131">
        <f>SUMIFS('Student Achievement 15-16'!N:N, 'Student Achievement 15-16'!B:B, 'Idaho Data'!A63, 'Student Achievement 15-16'!D:D, "math")/100</f>
        <v>0.24299999999999999</v>
      </c>
      <c r="TM63" s="134">
        <f t="shared" si="57"/>
        <v>27.945</v>
      </c>
      <c r="TN63" s="131">
        <f>SUMIFS('Student Achievement 15-16'!N:N, 'Student Achievement 15-16'!B:B, 'Idaho Data'!A63, 'Student Achievement 15-16'!D:D, "ela")/100</f>
        <v>0.23</v>
      </c>
      <c r="TO63" s="134">
        <f t="shared" si="58"/>
        <v>26.450000000000003</v>
      </c>
      <c r="TP63" s="688">
        <f>IFERROR(VLOOKUP(A63, 'G&amp;T 15-16'!B:G, 6, FALSE), 0)*1</f>
        <v>0</v>
      </c>
      <c r="TQ63" s="168">
        <f t="shared" si="59"/>
        <v>6.8999999999999995</v>
      </c>
      <c r="TU63" s="168">
        <f t="shared" si="60"/>
        <v>26.450000000000003</v>
      </c>
      <c r="TV63" s="168">
        <f t="shared" si="61"/>
        <v>27.945</v>
      </c>
      <c r="TW63" s="205">
        <f t="shared" si="62"/>
        <v>27.945</v>
      </c>
      <c r="TX63" s="144"/>
      <c r="TY63" s="129"/>
      <c r="TZ63" s="127">
        <f t="shared" si="63"/>
        <v>0</v>
      </c>
      <c r="UA63" s="127">
        <f t="shared" si="64"/>
        <v>6.8999999999999995</v>
      </c>
      <c r="UB63" s="205">
        <f t="shared" si="65"/>
        <v>6.8999999999999995</v>
      </c>
      <c r="UE63" s="853" t="str">
        <f>IF(ST63&lt;='1. Simulator Input'!$E$104, "yes", "")</f>
        <v>yes</v>
      </c>
      <c r="UI63" s="199">
        <f t="shared" si="66"/>
        <v>0</v>
      </c>
      <c r="UJ63" s="200">
        <f>IF('Idaho Data'!SI63&gt;=0, ((1-'1. Simulator Input'!$E$39)*'Idaho Data'!SI63), 0)</f>
        <v>0</v>
      </c>
      <c r="UK63" s="200">
        <f t="shared" si="67"/>
        <v>1516174</v>
      </c>
      <c r="UL63" s="39"/>
      <c r="UM63" s="182"/>
      <c r="UN63" s="39"/>
      <c r="UO63" s="39">
        <f>IF(AND('1. Simulator Input'!$E$96="yes", '1. Simulator Input'!$E$98="yes", '1. Simulator Input'!$E$100="hold harmless"), 'Idaho Data'!WN63, IF(AND('1. Simulator Input'!$E$96="yes", '1. Simulator Input'!$E$98="no", '1. Simulator Input'!$E$100="hold harmless"), 'Idaho Data'!WM63, IF(AND('1. Simulator Input'!$E$96="yes", '1. Simulator Input'!$E$98="yes", '1. Simulator Input'!$E$100="small district grant"), WL63,IF(AND('1. Simulator Input'!$E$96="yes", '1. Simulator Input'!$E$98="no", '1. Simulator Input'!$E$100="small district grant"), WK63, ""))))</f>
        <v>0</v>
      </c>
      <c r="UP63" s="200">
        <f>'1. Simulator Input'!$D$56*('Idaho Data'!ST63)</f>
        <v>635490</v>
      </c>
      <c r="UQ63" s="204">
        <f>'1. Simulator Input'!$D$65*'1. Simulator Input'!$D$56*'Idaho Data'!SU63</f>
        <v>0</v>
      </c>
      <c r="UR63" s="204">
        <f>'1. Simulator Input'!$D$66*'1. Simulator Input'!$D$56*'Idaho Data'!SW63</f>
        <v>0</v>
      </c>
      <c r="US63" s="200">
        <f>'1. Simulator Input'!$D$67*'1. Simulator Input'!$D$56*'Idaho Data'!TA63</f>
        <v>0</v>
      </c>
      <c r="UT63" s="200">
        <f>'1. Simulator Input'!$D$68*'1. Simulator Input'!$D$56*'Idaho Data'!TB63</f>
        <v>0</v>
      </c>
      <c r="UU63" s="200">
        <f>'1. Simulator Input'!$D$69*'1. Simulator Input'!$D$56*'Idaho Data'!TC63</f>
        <v>0</v>
      </c>
      <c r="UV63" s="200">
        <f>'1. Simulator Input'!$D$70*'1. Simulator Input'!$D$56*TD63</f>
        <v>0</v>
      </c>
      <c r="UW63" s="200">
        <f>'1. Simulator Input'!$D$80*'1. Simulator Input'!$D$56*TW63</f>
        <v>0</v>
      </c>
      <c r="UX63" s="200">
        <f>'1. Simulator Input'!$D$79*'1. Simulator Input'!$D$56*UB63</f>
        <v>0</v>
      </c>
      <c r="UY63" s="200">
        <f>'1. Simulator Input'!$D$87*'1. Simulator Input'!$D$56*TF63</f>
        <v>35919</v>
      </c>
      <c r="UZ63" s="200">
        <f>'1. Simulator Input'!$D$73*'1. Simulator Input'!$D$56*'Idaho Data'!TG63</f>
        <v>0</v>
      </c>
      <c r="VA63" s="200">
        <f>'1. Simulator Input'!$D$56*'1. Simulator Input'!$D$74*'Idaho Data'!TH63</f>
        <v>0</v>
      </c>
      <c r="VB63" s="200">
        <f>'1. Simulator Input'!$D$56*'1. Simulator Input'!$D$75*'Idaho Data'!TI58</f>
        <v>0</v>
      </c>
      <c r="VC63" s="200">
        <f>'1. Simulator Input'!$D$76*'1. Simulator Input'!$D$56*'Idaho Data'!TJ63</f>
        <v>0</v>
      </c>
      <c r="VD63" s="200">
        <f t="shared" si="68"/>
        <v>671409</v>
      </c>
      <c r="VE63" s="200"/>
      <c r="VF63" s="182"/>
      <c r="VG63" s="200"/>
      <c r="VH63" s="200">
        <f t="shared" si="69"/>
        <v>0</v>
      </c>
      <c r="VI63" s="200">
        <f t="shared" si="70"/>
        <v>0</v>
      </c>
      <c r="VJ63" s="200">
        <f t="shared" si="94"/>
        <v>671409</v>
      </c>
      <c r="VK63" s="200">
        <f t="shared" si="95"/>
        <v>671409</v>
      </c>
      <c r="VL63" s="200"/>
      <c r="VM63" s="182"/>
      <c r="VN63" s="200"/>
      <c r="VO63" s="200">
        <f t="shared" si="71"/>
        <v>151366</v>
      </c>
      <c r="VP63" s="200">
        <f t="shared" si="72"/>
        <v>1516174</v>
      </c>
      <c r="VQ63" s="200">
        <f t="shared" si="73"/>
        <v>209329</v>
      </c>
      <c r="VR63" s="200">
        <f t="shared" si="74"/>
        <v>151366</v>
      </c>
      <c r="VS63" s="200">
        <f t="shared" si="96"/>
        <v>671409</v>
      </c>
      <c r="VT63" s="200">
        <f t="shared" si="97"/>
        <v>209329</v>
      </c>
      <c r="VU63" s="200">
        <f t="shared" si="98"/>
        <v>0</v>
      </c>
      <c r="VV63" s="200"/>
      <c r="VW63" s="182"/>
      <c r="VX63" s="200"/>
      <c r="VZ63" s="199">
        <f t="shared" si="75"/>
        <v>-844765</v>
      </c>
      <c r="WA63" s="199">
        <f t="shared" si="76"/>
        <v>-7345.782608695652</v>
      </c>
      <c r="WB63" s="131">
        <f t="shared" si="77"/>
        <v>-0.55716890013942988</v>
      </c>
      <c r="WC63" s="131"/>
      <c r="WD63" s="461"/>
      <c r="WE63" s="893"/>
      <c r="WF63" s="893">
        <f t="shared" si="78"/>
        <v>16320.6</v>
      </c>
      <c r="WG63" s="893">
        <f t="shared" si="79"/>
        <v>8974.8173913043483</v>
      </c>
      <c r="WH63" s="893"/>
      <c r="WI63" s="893">
        <f t="shared" si="80"/>
        <v>1516174</v>
      </c>
      <c r="WJ63" s="893">
        <f t="shared" si="99"/>
        <v>671409</v>
      </c>
      <c r="WK63" s="39">
        <f t="shared" si="100"/>
        <v>0</v>
      </c>
      <c r="WL63" s="39">
        <f t="shared" si="101"/>
        <v>0</v>
      </c>
      <c r="WM63" s="200">
        <f t="shared" si="102"/>
        <v>844765</v>
      </c>
      <c r="WN63" s="39">
        <f t="shared" si="103"/>
        <v>844765</v>
      </c>
      <c r="WO63" s="39"/>
      <c r="WP63" s="182"/>
      <c r="WQ63" s="39"/>
      <c r="WR63" s="305">
        <f t="shared" si="104"/>
        <v>0.66600000000000004</v>
      </c>
      <c r="WT63" s="200">
        <f t="shared" si="105"/>
        <v>13184.121739130434</v>
      </c>
      <c r="WU63" s="131">
        <f t="shared" si="81"/>
        <v>0.93</v>
      </c>
      <c r="WW63" s="199">
        <f t="shared" si="106"/>
        <v>151366</v>
      </c>
      <c r="WX63" s="199">
        <f t="shared" si="107"/>
        <v>671409</v>
      </c>
      <c r="WY63" s="199">
        <f t="shared" si="108"/>
        <v>0</v>
      </c>
      <c r="WZ63" s="199">
        <f t="shared" si="82"/>
        <v>671409</v>
      </c>
      <c r="XA63" s="199">
        <f t="shared" si="109"/>
        <v>0</v>
      </c>
      <c r="XB63" s="199">
        <f t="shared" si="110"/>
        <v>209329</v>
      </c>
      <c r="XC63" s="199">
        <f t="shared" si="111"/>
        <v>209329</v>
      </c>
      <c r="XD63" s="199" t="str">
        <f t="shared" si="112"/>
        <v/>
      </c>
      <c r="XE63" s="199"/>
      <c r="XF63" s="199"/>
      <c r="XG63" s="199"/>
      <c r="XH63" s="199"/>
      <c r="XI63" s="199"/>
      <c r="XJ63" s="199">
        <f t="shared" si="83"/>
        <v>671409</v>
      </c>
      <c r="XP63" s="199">
        <f t="shared" si="113"/>
        <v>671409</v>
      </c>
      <c r="XQ63" s="199">
        <f t="shared" si="114"/>
        <v>5838.3391304347824</v>
      </c>
      <c r="XR63" s="199">
        <f t="shared" si="115"/>
        <v>671409</v>
      </c>
      <c r="XS63" s="199">
        <f t="shared" si="116"/>
        <v>671409</v>
      </c>
      <c r="XT63" s="199">
        <f t="shared" si="117"/>
        <v>5838.3391304347824</v>
      </c>
      <c r="XU63" s="199">
        <f t="shared" si="118"/>
        <v>1516174</v>
      </c>
      <c r="XV63" s="199">
        <f t="shared" si="119"/>
        <v>13184.121739130434</v>
      </c>
      <c r="XW63" s="199">
        <f t="shared" si="120"/>
        <v>1516174</v>
      </c>
      <c r="XX63" s="199">
        <f t="shared" si="121"/>
        <v>13184.121739130434</v>
      </c>
      <c r="XY63" s="199">
        <f t="shared" si="84"/>
        <v>-844765</v>
      </c>
      <c r="XZ63" s="199">
        <f t="shared" si="85"/>
        <v>-7345.782608695652</v>
      </c>
      <c r="YA63" s="131">
        <f t="shared" si="86"/>
        <v>-0.55716890013942988</v>
      </c>
      <c r="YB63" s="199"/>
      <c r="YC63" s="221"/>
      <c r="YD63" s="199"/>
      <c r="YE63" s="199">
        <f t="shared" si="122"/>
        <v>151366</v>
      </c>
      <c r="YF63" s="200">
        <f t="shared" si="123"/>
        <v>0</v>
      </c>
      <c r="YG63" s="199">
        <f t="shared" si="124"/>
        <v>209329</v>
      </c>
      <c r="YH63" s="199">
        <f t="shared" si="125"/>
        <v>147919</v>
      </c>
    </row>
    <row r="64" spans="1:658">
      <c r="A64" s="3">
        <v>242</v>
      </c>
      <c r="B64" s="2" t="s">
        <v>159</v>
      </c>
      <c r="C64" s="24">
        <v>0</v>
      </c>
      <c r="D64" s="24">
        <v>0</v>
      </c>
      <c r="E64" s="24">
        <v>0</v>
      </c>
      <c r="F64" s="24">
        <v>0</v>
      </c>
      <c r="G64" s="24">
        <v>357813</v>
      </c>
      <c r="H64" s="24">
        <v>0</v>
      </c>
      <c r="I64" s="24">
        <v>0</v>
      </c>
      <c r="J64" s="24">
        <v>17223</v>
      </c>
      <c r="K64" s="24">
        <v>0</v>
      </c>
      <c r="L64" s="24">
        <v>0</v>
      </c>
      <c r="M64" s="24">
        <v>0</v>
      </c>
      <c r="N64" s="24">
        <v>12644</v>
      </c>
      <c r="O64" s="24">
        <v>0</v>
      </c>
      <c r="P64" s="24">
        <v>0</v>
      </c>
      <c r="Q64" s="24">
        <v>0</v>
      </c>
      <c r="R64" s="24">
        <v>0</v>
      </c>
      <c r="S64" s="24">
        <v>0</v>
      </c>
      <c r="T64" s="24">
        <v>0</v>
      </c>
      <c r="U64" s="24">
        <v>0</v>
      </c>
      <c r="V64" s="24">
        <v>0</v>
      </c>
      <c r="W64" s="24">
        <v>0</v>
      </c>
      <c r="X64" s="24">
        <v>0</v>
      </c>
      <c r="Y64" s="24">
        <v>1577</v>
      </c>
      <c r="Z64" s="24">
        <v>0</v>
      </c>
      <c r="AA64" s="24">
        <v>0</v>
      </c>
      <c r="AB64" s="24">
        <v>0</v>
      </c>
      <c r="AC64" s="24">
        <v>0</v>
      </c>
      <c r="AD64" s="24">
        <v>0</v>
      </c>
      <c r="AE64" s="24">
        <v>0</v>
      </c>
      <c r="AF64" s="24">
        <v>0</v>
      </c>
      <c r="AG64" s="24">
        <v>0</v>
      </c>
      <c r="AH64" s="24">
        <v>0</v>
      </c>
      <c r="AI64" s="24">
        <v>0</v>
      </c>
      <c r="AJ64" s="24">
        <v>0</v>
      </c>
      <c r="AK64" s="24">
        <v>0</v>
      </c>
      <c r="AL64" s="24">
        <v>2178</v>
      </c>
      <c r="AM64" s="24">
        <v>519</v>
      </c>
      <c r="AN64" s="24">
        <v>0</v>
      </c>
      <c r="AO64" s="24">
        <v>0</v>
      </c>
      <c r="AP64" s="24">
        <v>0</v>
      </c>
      <c r="AQ64" s="24">
        <v>0</v>
      </c>
      <c r="AR64" s="24">
        <v>0</v>
      </c>
      <c r="AS64" s="24">
        <v>0</v>
      </c>
      <c r="AT64" s="24">
        <v>0</v>
      </c>
      <c r="AU64" s="24">
        <v>0</v>
      </c>
      <c r="AV64" s="24">
        <v>0</v>
      </c>
      <c r="AW64" s="24">
        <v>0</v>
      </c>
      <c r="AX64" s="24">
        <v>0</v>
      </c>
      <c r="AY64" s="24">
        <v>0</v>
      </c>
      <c r="AZ64" s="24">
        <v>0</v>
      </c>
      <c r="BA64" s="24">
        <v>0</v>
      </c>
      <c r="BB64" s="24">
        <v>0</v>
      </c>
      <c r="BC64" s="24">
        <v>0</v>
      </c>
      <c r="BD64" s="24">
        <v>0</v>
      </c>
      <c r="BE64" s="24">
        <v>0</v>
      </c>
      <c r="BF64" s="24">
        <v>0</v>
      </c>
      <c r="BG64" s="24">
        <v>0</v>
      </c>
      <c r="BH64" s="24">
        <v>0</v>
      </c>
      <c r="BI64" s="24">
        <v>0</v>
      </c>
      <c r="BJ64" s="24">
        <v>0</v>
      </c>
      <c r="BK64" s="24">
        <v>0</v>
      </c>
      <c r="BL64" s="24">
        <v>11</v>
      </c>
      <c r="BM64" s="24">
        <v>0</v>
      </c>
      <c r="BN64" s="24">
        <v>0</v>
      </c>
      <c r="BO64" s="24">
        <v>0</v>
      </c>
      <c r="BP64" s="24">
        <v>0</v>
      </c>
      <c r="BQ64" s="24">
        <v>0</v>
      </c>
      <c r="BR64" s="24">
        <v>0</v>
      </c>
      <c r="BS64" s="24">
        <v>18</v>
      </c>
      <c r="BT64" s="24">
        <v>0</v>
      </c>
      <c r="BU64" s="24">
        <v>0</v>
      </c>
      <c r="BV64" s="24">
        <v>0</v>
      </c>
      <c r="BW64" s="24">
        <v>0</v>
      </c>
      <c r="BX64" s="24">
        <v>0</v>
      </c>
      <c r="BY64" s="24">
        <v>0</v>
      </c>
      <c r="BZ64" s="24">
        <v>0</v>
      </c>
      <c r="CA64" s="24">
        <v>0</v>
      </c>
      <c r="CB64" s="24">
        <v>0</v>
      </c>
      <c r="CC64" s="24">
        <v>0</v>
      </c>
      <c r="CD64" s="24">
        <v>71645</v>
      </c>
      <c r="CE64" s="24">
        <v>3841</v>
      </c>
      <c r="CF64" s="24">
        <v>0</v>
      </c>
      <c r="CG64" s="24">
        <v>0</v>
      </c>
      <c r="CH64" s="24">
        <v>0</v>
      </c>
      <c r="CI64" s="24">
        <v>0</v>
      </c>
      <c r="CJ64" s="24">
        <v>0</v>
      </c>
      <c r="CK64" s="24">
        <v>0</v>
      </c>
      <c r="CL64" s="24">
        <v>0</v>
      </c>
      <c r="CM64" s="24">
        <v>0</v>
      </c>
      <c r="CN64" s="24">
        <v>0</v>
      </c>
      <c r="CO64" s="24">
        <v>0</v>
      </c>
      <c r="CP64" s="24">
        <v>0</v>
      </c>
      <c r="CQ64" s="24">
        <v>0</v>
      </c>
      <c r="CR64" s="24">
        <v>0</v>
      </c>
      <c r="CS64" s="24">
        <v>0</v>
      </c>
      <c r="CT64" s="24">
        <v>0</v>
      </c>
      <c r="CU64" s="24">
        <v>0</v>
      </c>
      <c r="CV64" s="24">
        <v>0</v>
      </c>
      <c r="CW64" s="24">
        <v>0</v>
      </c>
      <c r="CX64" s="24">
        <v>0</v>
      </c>
      <c r="CY64" s="24">
        <v>0</v>
      </c>
      <c r="CZ64" s="24">
        <v>0</v>
      </c>
      <c r="DA64" s="24">
        <v>0</v>
      </c>
      <c r="DB64" s="24">
        <v>0</v>
      </c>
      <c r="DC64" s="24">
        <v>0</v>
      </c>
      <c r="DD64" s="24">
        <v>0</v>
      </c>
      <c r="DE64" s="24">
        <v>0</v>
      </c>
      <c r="DF64" s="24">
        <v>0</v>
      </c>
      <c r="DG64" s="24">
        <v>0</v>
      </c>
      <c r="DH64" s="24">
        <v>0</v>
      </c>
      <c r="DI64" s="24">
        <v>0</v>
      </c>
      <c r="DJ64" s="24">
        <v>0</v>
      </c>
      <c r="DK64" s="24">
        <v>0</v>
      </c>
      <c r="DL64" s="24">
        <v>0</v>
      </c>
      <c r="DM64" s="24">
        <v>0</v>
      </c>
      <c r="DN64" s="24">
        <v>0</v>
      </c>
      <c r="DO64" s="24">
        <v>0</v>
      </c>
      <c r="DP64" s="24">
        <v>0</v>
      </c>
      <c r="DQ64" s="24">
        <v>0</v>
      </c>
      <c r="DR64" s="24">
        <v>0</v>
      </c>
      <c r="DS64" s="24">
        <v>0</v>
      </c>
      <c r="DT64" s="24">
        <v>0</v>
      </c>
      <c r="DU64" s="24">
        <v>7278</v>
      </c>
      <c r="DV64" s="24">
        <v>0</v>
      </c>
      <c r="DW64" s="24">
        <v>0</v>
      </c>
      <c r="DX64" s="24">
        <v>0</v>
      </c>
      <c r="DY64" s="24">
        <v>0</v>
      </c>
      <c r="DZ64" s="24">
        <v>0</v>
      </c>
      <c r="EA64" s="24">
        <v>0</v>
      </c>
      <c r="EB64" s="24">
        <v>0</v>
      </c>
      <c r="EC64" s="24">
        <v>0</v>
      </c>
      <c r="ED64" s="24">
        <v>0</v>
      </c>
      <c r="EE64" s="24">
        <v>0</v>
      </c>
      <c r="EF64" s="24">
        <v>0</v>
      </c>
      <c r="EG64" s="24">
        <v>0</v>
      </c>
      <c r="EH64" s="24">
        <v>6825</v>
      </c>
      <c r="EI64" s="24">
        <v>0</v>
      </c>
      <c r="EJ64" s="24">
        <v>0</v>
      </c>
      <c r="EK64" s="24">
        <v>0</v>
      </c>
      <c r="EL64" s="24">
        <v>0</v>
      </c>
      <c r="EM64" s="24">
        <v>0</v>
      </c>
      <c r="EN64" s="24">
        <v>0</v>
      </c>
      <c r="EO64" s="24">
        <v>0</v>
      </c>
      <c r="EP64" s="24">
        <v>0</v>
      </c>
      <c r="EQ64" s="24">
        <v>0</v>
      </c>
      <c r="ER64" s="24">
        <v>0</v>
      </c>
      <c r="ES64" s="24">
        <v>0</v>
      </c>
      <c r="ET64" s="24">
        <v>0</v>
      </c>
      <c r="EU64" s="24">
        <v>0</v>
      </c>
      <c r="EV64" s="24">
        <v>0</v>
      </c>
      <c r="EW64" s="24">
        <v>0</v>
      </c>
      <c r="EX64" s="24">
        <v>0</v>
      </c>
      <c r="EY64" s="24">
        <v>0</v>
      </c>
      <c r="EZ64" s="24">
        <v>0</v>
      </c>
      <c r="FA64" s="24">
        <v>0</v>
      </c>
      <c r="FB64" s="24">
        <v>46988</v>
      </c>
      <c r="FC64" s="24">
        <v>0</v>
      </c>
      <c r="FD64" s="24">
        <v>0</v>
      </c>
      <c r="FE64" s="24">
        <v>0</v>
      </c>
      <c r="FF64" s="24">
        <v>0</v>
      </c>
      <c r="FG64" s="24">
        <v>0</v>
      </c>
      <c r="FH64" s="24">
        <v>0</v>
      </c>
      <c r="FI64" s="24">
        <v>0</v>
      </c>
      <c r="FJ64" s="24">
        <v>0</v>
      </c>
      <c r="FK64" s="24">
        <v>0</v>
      </c>
      <c r="FL64" s="24">
        <v>0</v>
      </c>
      <c r="FM64" s="24">
        <v>0</v>
      </c>
      <c r="FN64" s="24">
        <v>0</v>
      </c>
      <c r="FO64" s="24">
        <v>0</v>
      </c>
      <c r="FP64" s="24">
        <v>0</v>
      </c>
      <c r="FQ64" s="24">
        <v>0</v>
      </c>
      <c r="FR64" s="24">
        <v>0</v>
      </c>
      <c r="FS64" s="24">
        <v>9448</v>
      </c>
      <c r="FT64" s="24">
        <v>0</v>
      </c>
      <c r="FU64" s="24">
        <v>0</v>
      </c>
      <c r="FV64" s="24">
        <v>0</v>
      </c>
      <c r="FW64" s="24">
        <v>49959</v>
      </c>
      <c r="FX64" s="24">
        <v>0</v>
      </c>
      <c r="FY64" s="24">
        <v>0</v>
      </c>
      <c r="FZ64" s="24">
        <v>685</v>
      </c>
      <c r="GA64" s="24">
        <v>0</v>
      </c>
      <c r="GB64" s="24">
        <v>0</v>
      </c>
      <c r="GC64" s="24">
        <v>0</v>
      </c>
      <c r="GD64" s="24">
        <v>0</v>
      </c>
      <c r="GE64" s="24">
        <v>2700</v>
      </c>
      <c r="GF64" s="24">
        <v>0</v>
      </c>
      <c r="GG64" s="24">
        <v>0</v>
      </c>
      <c r="GH64" s="24">
        <v>0</v>
      </c>
      <c r="GI64" s="24">
        <v>0</v>
      </c>
      <c r="GJ64" s="24">
        <v>0</v>
      </c>
      <c r="GK64" s="24">
        <v>0</v>
      </c>
      <c r="GL64" s="24">
        <v>0</v>
      </c>
      <c r="GM64" s="24">
        <v>0</v>
      </c>
      <c r="GN64" s="24">
        <v>0</v>
      </c>
      <c r="GO64" s="24">
        <v>0</v>
      </c>
      <c r="GP64" s="24">
        <v>0</v>
      </c>
      <c r="GQ64" s="24">
        <v>0</v>
      </c>
      <c r="GR64" s="24">
        <v>0</v>
      </c>
      <c r="GS64" s="24">
        <v>0</v>
      </c>
      <c r="GT64" s="24">
        <v>0</v>
      </c>
      <c r="GU64" s="24">
        <v>0</v>
      </c>
      <c r="GV64" s="24">
        <v>0</v>
      </c>
      <c r="GW64" s="24">
        <v>0</v>
      </c>
      <c r="GX64" s="24">
        <v>0</v>
      </c>
      <c r="GY64" s="24">
        <v>0</v>
      </c>
      <c r="GZ64" s="24">
        <v>562661</v>
      </c>
      <c r="HA64" s="24">
        <v>0</v>
      </c>
      <c r="HB64" s="24">
        <v>0</v>
      </c>
      <c r="HC64" s="24">
        <v>0</v>
      </c>
      <c r="HD64" s="24">
        <v>2156236</v>
      </c>
      <c r="HE64" s="24">
        <v>0</v>
      </c>
      <c r="HF64" s="24">
        <v>0</v>
      </c>
      <c r="HG64" s="24">
        <v>28291</v>
      </c>
      <c r="HH64" s="24">
        <v>0</v>
      </c>
      <c r="HI64" s="24">
        <v>126310</v>
      </c>
      <c r="HJ64" s="24">
        <v>0</v>
      </c>
      <c r="HK64" s="24">
        <v>0</v>
      </c>
      <c r="HL64" s="24">
        <v>0</v>
      </c>
      <c r="HM64" s="24">
        <v>0</v>
      </c>
      <c r="HN64" s="24">
        <v>0</v>
      </c>
      <c r="HO64" s="24">
        <v>291022</v>
      </c>
      <c r="HP64" s="24">
        <v>72984</v>
      </c>
      <c r="HQ64" s="24">
        <v>37312</v>
      </c>
      <c r="HR64" s="24">
        <v>0</v>
      </c>
      <c r="HS64" s="24">
        <v>0</v>
      </c>
      <c r="HT64" s="24">
        <v>0</v>
      </c>
      <c r="HU64" s="24">
        <v>0</v>
      </c>
      <c r="HV64" s="24">
        <v>0</v>
      </c>
      <c r="HW64" s="24">
        <v>0</v>
      </c>
      <c r="HX64" s="24">
        <v>0</v>
      </c>
      <c r="HY64" s="24">
        <v>0</v>
      </c>
      <c r="HZ64" s="24">
        <v>0</v>
      </c>
      <c r="IA64" s="24">
        <v>0</v>
      </c>
      <c r="IB64" s="24">
        <v>6986</v>
      </c>
      <c r="IC64" s="24">
        <v>0</v>
      </c>
      <c r="ID64" s="24">
        <v>0</v>
      </c>
      <c r="IE64" s="24">
        <v>0</v>
      </c>
      <c r="IF64" s="24">
        <v>0</v>
      </c>
      <c r="IG64" s="24">
        <v>0</v>
      </c>
      <c r="IH64" s="24">
        <v>0</v>
      </c>
      <c r="II64" s="24">
        <v>0</v>
      </c>
      <c r="IJ64" s="24">
        <v>0</v>
      </c>
      <c r="IK64" s="24">
        <v>0</v>
      </c>
      <c r="IL64" s="24">
        <v>0</v>
      </c>
      <c r="IM64" s="24">
        <v>0</v>
      </c>
      <c r="IN64" s="24">
        <v>0</v>
      </c>
      <c r="IO64" s="24">
        <v>2500</v>
      </c>
      <c r="IP64" s="24">
        <v>0</v>
      </c>
      <c r="IQ64" s="24">
        <v>0</v>
      </c>
      <c r="IR64" s="24">
        <v>32776</v>
      </c>
      <c r="IS64" s="24">
        <v>0</v>
      </c>
      <c r="IT64" s="24">
        <v>0</v>
      </c>
      <c r="IU64" s="24">
        <v>0</v>
      </c>
      <c r="IV64" s="24">
        <v>0</v>
      </c>
      <c r="IW64" s="24">
        <v>0</v>
      </c>
      <c r="IX64" s="24">
        <v>0</v>
      </c>
      <c r="IY64" s="24">
        <v>0</v>
      </c>
      <c r="IZ64" s="24">
        <v>0</v>
      </c>
      <c r="JA64" s="24">
        <v>0</v>
      </c>
      <c r="JB64" s="24">
        <v>7890</v>
      </c>
      <c r="JC64" s="24">
        <v>0</v>
      </c>
      <c r="JD64" s="24">
        <v>0</v>
      </c>
      <c r="JE64" s="24">
        <v>64319</v>
      </c>
      <c r="JF64" s="24">
        <v>0</v>
      </c>
      <c r="JG64" s="24">
        <v>0</v>
      </c>
      <c r="JH64" s="24">
        <v>0</v>
      </c>
      <c r="JI64" s="24">
        <v>0</v>
      </c>
      <c r="JJ64" s="24">
        <v>0</v>
      </c>
      <c r="JK64" s="24">
        <v>0</v>
      </c>
      <c r="JL64" s="24">
        <v>285798</v>
      </c>
      <c r="JM64" s="24">
        <v>0</v>
      </c>
      <c r="JN64" s="24">
        <v>0</v>
      </c>
      <c r="JO64" s="24">
        <v>0</v>
      </c>
      <c r="JP64" s="24">
        <v>0</v>
      </c>
      <c r="JQ64" s="24">
        <v>0</v>
      </c>
      <c r="JR64" s="24">
        <v>0</v>
      </c>
      <c r="JS64" s="24">
        <v>0</v>
      </c>
      <c r="JT64" s="24">
        <v>0</v>
      </c>
      <c r="JU64" s="24">
        <v>0</v>
      </c>
      <c r="JV64" s="24">
        <v>0</v>
      </c>
      <c r="JW64" s="24">
        <v>0</v>
      </c>
      <c r="JX64" s="24">
        <v>0</v>
      </c>
      <c r="JY64" s="24">
        <v>0</v>
      </c>
      <c r="JZ64" s="24">
        <v>0</v>
      </c>
      <c r="KA64" s="24">
        <v>0</v>
      </c>
      <c r="KB64" s="24">
        <v>0</v>
      </c>
      <c r="KC64" s="24">
        <v>0</v>
      </c>
      <c r="KD64" s="24">
        <v>0</v>
      </c>
      <c r="KE64" s="24">
        <v>0</v>
      </c>
      <c r="KF64" s="24">
        <v>0</v>
      </c>
      <c r="KG64" s="24">
        <v>354994</v>
      </c>
      <c r="KH64" s="24">
        <v>0</v>
      </c>
      <c r="KI64" s="24">
        <v>0</v>
      </c>
      <c r="KJ64" s="24">
        <v>0</v>
      </c>
      <c r="KK64" s="24">
        <v>0</v>
      </c>
      <c r="KL64" s="24">
        <v>0</v>
      </c>
      <c r="KM64" s="24">
        <v>0</v>
      </c>
      <c r="KN64" s="24">
        <v>0</v>
      </c>
      <c r="KO64" s="24">
        <v>51288</v>
      </c>
      <c r="KP64" s="24">
        <v>0</v>
      </c>
      <c r="KQ64" s="24">
        <v>0</v>
      </c>
      <c r="KR64" s="24">
        <v>0</v>
      </c>
      <c r="KS64" s="24">
        <v>0</v>
      </c>
      <c r="KT64" s="24">
        <v>0</v>
      </c>
      <c r="KU64" s="24">
        <v>0</v>
      </c>
      <c r="KV64" s="24">
        <v>0</v>
      </c>
      <c r="KW64" s="24">
        <v>0</v>
      </c>
      <c r="KX64" s="24">
        <v>0</v>
      </c>
      <c r="KY64" s="24">
        <v>0</v>
      </c>
      <c r="KZ64" s="24">
        <v>0</v>
      </c>
      <c r="LA64" s="24">
        <v>0</v>
      </c>
      <c r="LB64" s="24">
        <v>0</v>
      </c>
      <c r="LC64" s="24">
        <v>0</v>
      </c>
      <c r="LD64" s="24">
        <v>0</v>
      </c>
      <c r="LE64" s="24">
        <v>0</v>
      </c>
      <c r="LF64" s="24">
        <v>0</v>
      </c>
      <c r="LG64" s="24">
        <v>0</v>
      </c>
      <c r="LH64" s="24">
        <v>0</v>
      </c>
      <c r="LI64" s="24">
        <v>0</v>
      </c>
      <c r="LJ64" s="24">
        <v>0</v>
      </c>
      <c r="LK64" s="24">
        <v>0</v>
      </c>
      <c r="LL64" s="24">
        <v>0</v>
      </c>
      <c r="LM64" s="24">
        <v>0</v>
      </c>
      <c r="LN64" s="24">
        <v>0</v>
      </c>
      <c r="LO64" s="24">
        <v>0</v>
      </c>
      <c r="LP64" s="24">
        <v>0</v>
      </c>
      <c r="LQ64" s="24">
        <v>80487</v>
      </c>
      <c r="LR64" s="24">
        <v>0</v>
      </c>
      <c r="LS64" s="24">
        <v>0</v>
      </c>
      <c r="LT64" s="24">
        <v>0</v>
      </c>
      <c r="LU64" s="24">
        <v>0</v>
      </c>
      <c r="LV64" s="24">
        <v>0</v>
      </c>
      <c r="LW64" s="24">
        <v>0</v>
      </c>
      <c r="LX64" s="24">
        <v>0</v>
      </c>
      <c r="LY64" s="24">
        <v>0</v>
      </c>
      <c r="LZ64" s="24">
        <v>0</v>
      </c>
      <c r="MA64" s="24">
        <v>0</v>
      </c>
      <c r="MB64" s="24">
        <v>0</v>
      </c>
      <c r="MC64" s="24">
        <v>0</v>
      </c>
      <c r="MD64" s="24">
        <v>0</v>
      </c>
      <c r="ME64" s="24">
        <v>0</v>
      </c>
      <c r="MF64" s="24">
        <v>0</v>
      </c>
      <c r="MG64" s="24">
        <v>0</v>
      </c>
      <c r="MH64" s="24">
        <v>0</v>
      </c>
      <c r="MI64" s="24">
        <v>0</v>
      </c>
      <c r="MJ64" s="24">
        <v>0</v>
      </c>
      <c r="MK64" s="24">
        <v>0</v>
      </c>
      <c r="ML64" s="24">
        <v>0</v>
      </c>
      <c r="MM64" s="24">
        <v>0</v>
      </c>
      <c r="MN64" s="24">
        <v>0</v>
      </c>
      <c r="MO64" s="24">
        <v>0</v>
      </c>
      <c r="MP64" s="24">
        <v>0</v>
      </c>
      <c r="MQ64" s="24">
        <v>0</v>
      </c>
      <c r="MR64" s="24">
        <v>165007</v>
      </c>
      <c r="MS64" s="24">
        <v>0</v>
      </c>
      <c r="MT64" s="24">
        <v>0</v>
      </c>
      <c r="MU64" s="24">
        <v>0</v>
      </c>
      <c r="MV64" s="24">
        <v>0</v>
      </c>
      <c r="MW64" s="24">
        <v>82086</v>
      </c>
      <c r="MX64" s="24">
        <v>6296</v>
      </c>
      <c r="MY64" s="24">
        <v>0</v>
      </c>
      <c r="MZ64" s="24">
        <v>0</v>
      </c>
      <c r="NA64" s="24">
        <v>0</v>
      </c>
      <c r="NB64" s="24">
        <v>0</v>
      </c>
      <c r="NC64" s="24">
        <v>0</v>
      </c>
      <c r="ND64" s="24">
        <v>0</v>
      </c>
      <c r="NE64" s="24">
        <v>0</v>
      </c>
      <c r="NF64" s="24">
        <v>0</v>
      </c>
      <c r="NG64" s="24">
        <v>0</v>
      </c>
      <c r="NH64" s="24">
        <v>0</v>
      </c>
      <c r="NI64" s="24">
        <v>0</v>
      </c>
      <c r="NJ64" s="24">
        <v>0</v>
      </c>
      <c r="NK64" s="24">
        <v>0</v>
      </c>
      <c r="NL64" s="24">
        <v>0</v>
      </c>
      <c r="NM64" s="24">
        <v>0</v>
      </c>
      <c r="NN64" s="24">
        <v>0</v>
      </c>
      <c r="NO64" s="24">
        <v>0</v>
      </c>
      <c r="NP64" s="24">
        <v>0</v>
      </c>
      <c r="NQ64" s="24">
        <v>11670</v>
      </c>
      <c r="NR64" s="24">
        <v>0</v>
      </c>
      <c r="NS64" s="24">
        <v>0</v>
      </c>
      <c r="NT64" s="24">
        <v>0</v>
      </c>
      <c r="NU64" s="24">
        <v>0</v>
      </c>
      <c r="NV64" s="24">
        <v>23446</v>
      </c>
      <c r="NW64" s="24">
        <v>0</v>
      </c>
      <c r="NX64" s="24">
        <v>0</v>
      </c>
      <c r="NY64" s="24">
        <v>0</v>
      </c>
      <c r="NZ64" s="24">
        <v>37330</v>
      </c>
      <c r="OA64" s="24">
        <v>0</v>
      </c>
      <c r="OB64" s="24">
        <v>0</v>
      </c>
      <c r="OC64" s="24">
        <v>0</v>
      </c>
      <c r="OD64" s="24">
        <v>0</v>
      </c>
      <c r="OE64" s="24">
        <v>0</v>
      </c>
      <c r="OF64" s="24">
        <v>0</v>
      </c>
      <c r="OG64" s="24">
        <v>0</v>
      </c>
      <c r="OH64" s="24">
        <v>0</v>
      </c>
      <c r="OI64" s="24">
        <v>0</v>
      </c>
      <c r="OJ64" s="24">
        <v>0</v>
      </c>
      <c r="OK64" s="24">
        <v>0</v>
      </c>
      <c r="OL64" s="24">
        <v>0</v>
      </c>
      <c r="OM64" s="24">
        <v>0</v>
      </c>
      <c r="ON64" s="24">
        <v>0</v>
      </c>
      <c r="OO64" s="24">
        <v>0</v>
      </c>
      <c r="OP64" s="24">
        <v>0</v>
      </c>
      <c r="OQ64" s="24">
        <v>0</v>
      </c>
      <c r="OR64" s="24">
        <v>0</v>
      </c>
      <c r="OS64" s="24">
        <v>0</v>
      </c>
      <c r="OT64" s="24">
        <v>0</v>
      </c>
      <c r="OU64" s="24">
        <v>0</v>
      </c>
      <c r="OV64" s="24">
        <v>0</v>
      </c>
      <c r="OW64" s="24">
        <v>0</v>
      </c>
      <c r="OX64" s="24">
        <v>0</v>
      </c>
      <c r="OY64" s="24">
        <v>0</v>
      </c>
      <c r="OZ64" s="24">
        <v>0</v>
      </c>
      <c r="PA64" s="24">
        <v>0</v>
      </c>
      <c r="PB64" s="24">
        <v>0</v>
      </c>
      <c r="PC64" s="24">
        <v>0</v>
      </c>
      <c r="PD64" s="24">
        <v>0</v>
      </c>
      <c r="PE64" s="24">
        <v>0</v>
      </c>
      <c r="PF64" s="24">
        <v>0</v>
      </c>
      <c r="PG64" s="24">
        <v>0</v>
      </c>
      <c r="PH64" s="24">
        <v>37000</v>
      </c>
      <c r="PI64" s="24">
        <v>0</v>
      </c>
      <c r="PJ64" s="24">
        <v>0</v>
      </c>
      <c r="PK64" s="24">
        <v>0</v>
      </c>
      <c r="PL64" s="24">
        <v>0</v>
      </c>
      <c r="PM64" s="24">
        <v>0</v>
      </c>
      <c r="PN64" s="24">
        <v>0</v>
      </c>
      <c r="PO64" s="24">
        <v>0</v>
      </c>
      <c r="PP64" s="24">
        <v>0</v>
      </c>
      <c r="PQ64" s="24">
        <v>0</v>
      </c>
      <c r="PR64" s="24">
        <v>0</v>
      </c>
      <c r="PS64" s="24">
        <v>0</v>
      </c>
      <c r="PT64" s="24">
        <v>0</v>
      </c>
      <c r="PU64" s="24">
        <v>0</v>
      </c>
      <c r="PV64" s="24">
        <v>0</v>
      </c>
      <c r="PW64" s="24">
        <v>0</v>
      </c>
      <c r="PX64" s="24">
        <v>0</v>
      </c>
      <c r="PY64" s="24">
        <v>0</v>
      </c>
      <c r="PZ64" s="24">
        <v>0</v>
      </c>
      <c r="QA64" s="24">
        <v>0</v>
      </c>
      <c r="QB64" s="24">
        <v>0</v>
      </c>
      <c r="QC64" s="24">
        <v>0</v>
      </c>
      <c r="QD64" s="24">
        <v>0</v>
      </c>
      <c r="QE64" s="24">
        <v>0</v>
      </c>
      <c r="QF64" s="24">
        <v>0</v>
      </c>
      <c r="QG64" s="24">
        <v>0</v>
      </c>
      <c r="QH64" s="24">
        <v>0</v>
      </c>
      <c r="QI64" s="24">
        <v>0</v>
      </c>
      <c r="QJ64" s="24">
        <v>0</v>
      </c>
      <c r="QK64" s="24">
        <v>0</v>
      </c>
      <c r="QL64" s="24">
        <v>0</v>
      </c>
      <c r="QM64" s="24">
        <v>0</v>
      </c>
      <c r="QN64" s="24">
        <v>0</v>
      </c>
      <c r="QO64" s="24">
        <v>0</v>
      </c>
      <c r="QP64" s="24">
        <v>0</v>
      </c>
      <c r="QQ64" s="24">
        <v>0</v>
      </c>
      <c r="QR64" s="24">
        <v>0</v>
      </c>
      <c r="QS64" s="24">
        <v>29225</v>
      </c>
      <c r="QT64" s="24">
        <v>0</v>
      </c>
      <c r="QU64" s="24">
        <v>0</v>
      </c>
      <c r="QV64" s="24">
        <v>0</v>
      </c>
      <c r="QW64" s="24">
        <v>27252</v>
      </c>
      <c r="QX64" s="24">
        <v>0</v>
      </c>
      <c r="QY64" s="24">
        <v>0</v>
      </c>
      <c r="QZ64" s="24">
        <v>0</v>
      </c>
      <c r="RA64" s="24">
        <v>0</v>
      </c>
      <c r="RB64" s="24">
        <v>0</v>
      </c>
      <c r="RG64" s="39">
        <f t="shared" si="126"/>
        <v>2184527</v>
      </c>
      <c r="RH64" s="39">
        <f t="shared" si="126"/>
        <v>126310</v>
      </c>
      <c r="RI64" s="39">
        <f t="shared" si="126"/>
        <v>0</v>
      </c>
      <c r="RJ64" s="39">
        <f t="shared" ref="RH64:RR87" si="128">SUMIFS($C64:$RB64,$C$7:$RB$7,RJ$3)</f>
        <v>0</v>
      </c>
      <c r="RK64" s="39">
        <f t="shared" si="128"/>
        <v>0</v>
      </c>
      <c r="RL64" s="39">
        <f t="shared" si="128"/>
        <v>291022</v>
      </c>
      <c r="RM64" s="39">
        <f t="shared" si="128"/>
        <v>117282</v>
      </c>
      <c r="RN64" s="39">
        <f t="shared" si="128"/>
        <v>2500</v>
      </c>
      <c r="RO64" s="39">
        <f t="shared" si="128"/>
        <v>32776</v>
      </c>
      <c r="RP64" s="39">
        <f t="shared" si="128"/>
        <v>0</v>
      </c>
      <c r="RQ64" s="39">
        <f t="shared" si="128"/>
        <v>7890</v>
      </c>
      <c r="RR64" s="39">
        <f t="shared" si="128"/>
        <v>350117</v>
      </c>
      <c r="RS64" s="39"/>
      <c r="RT64" s="182"/>
      <c r="RU64" s="39"/>
      <c r="RV64" s="39">
        <f t="shared" si="127"/>
        <v>812604</v>
      </c>
      <c r="RW64" s="39">
        <f t="shared" si="127"/>
        <v>3112424</v>
      </c>
      <c r="RX64" s="39">
        <f t="shared" si="127"/>
        <v>1154013</v>
      </c>
      <c r="RY64" s="39">
        <f t="shared" si="127"/>
        <v>93477</v>
      </c>
      <c r="RZ64" s="39"/>
      <c r="SA64" s="182"/>
      <c r="SB64" s="39"/>
      <c r="SC64" s="25">
        <f t="shared" si="50"/>
        <v>3061.0424403183024</v>
      </c>
      <c r="SD64" s="39">
        <f>IFERROR(VLOOKUP(A64, 'Levy Data 15-16'!$B:$O, 3, FALSE), 0)</f>
        <v>152311650</v>
      </c>
      <c r="SE64" s="39">
        <f t="shared" si="88"/>
        <v>404009.68169761274</v>
      </c>
      <c r="SF64" s="631">
        <f>IFERROR(VLOOKUP(A64, 'Levy Data 15-16'!$B:$O, 14, FALSE), 0)*1000</f>
        <v>2.4086080000000001</v>
      </c>
      <c r="SG64" s="39">
        <f t="shared" si="89"/>
        <v>0</v>
      </c>
      <c r="SH64" s="39">
        <f t="shared" si="90"/>
        <v>0</v>
      </c>
      <c r="SI64" s="39">
        <f t="shared" si="91"/>
        <v>1154013</v>
      </c>
      <c r="SM64" s="39">
        <f t="shared" si="92"/>
        <v>3112424</v>
      </c>
      <c r="SN64" s="39">
        <f t="shared" si="93"/>
        <v>0</v>
      </c>
      <c r="SO64" s="39">
        <f t="shared" si="51"/>
        <v>3112424</v>
      </c>
      <c r="SP64" s="50">
        <f t="shared" si="52"/>
        <v>1</v>
      </c>
      <c r="ST64" s="124">
        <f>IFERROR(VLOOKUP(A64,'Grade Enroll 15-16'!B:AC,27,FALSE),"")</f>
        <v>377</v>
      </c>
      <c r="SU64" s="124">
        <f t="shared" si="53"/>
        <v>143.79462102689484</v>
      </c>
      <c r="SV64" s="131">
        <f>IFERROR(VLOOKUP($A64, 'Title I Enroll 16-17'!S:V, 4, FALSE), 0)</f>
        <v>0.38141809290953543</v>
      </c>
      <c r="SW64" s="729">
        <f>IFERROR(VLOOKUP(A64, 'ELL Enroll 15-16'!$N:$S, 6, FALSE), 0)</f>
        <v>5</v>
      </c>
      <c r="SX64" s="131">
        <f t="shared" si="54"/>
        <v>1.3262599469496022E-2</v>
      </c>
      <c r="SY64" s="124">
        <f>IFERROR(VLOOKUP(A64, 'SPED enroll 2015-16'!$M:$O, 3, FALSE), 0)</f>
        <v>35</v>
      </c>
      <c r="SZ64" s="131">
        <f t="shared" si="55"/>
        <v>9.2838196286472149E-2</v>
      </c>
      <c r="TA64" s="142">
        <f t="shared" si="87"/>
        <v>24.5</v>
      </c>
      <c r="TB64" s="142">
        <f t="shared" si="87"/>
        <v>7</v>
      </c>
      <c r="TC64" s="142">
        <f t="shared" si="87"/>
        <v>2.4500000000000002</v>
      </c>
      <c r="TD64" s="142">
        <f t="shared" si="87"/>
        <v>1.05</v>
      </c>
      <c r="TE64" s="124">
        <f>VLOOKUP($A64, 'Grade Enroll 15-16'!$B:$AB, 20, FALSE)</f>
        <v>0</v>
      </c>
      <c r="TF64" s="124">
        <f>VLOOKUP($A64, 'Grade Enroll 15-16'!$B:$AB, 21, FALSE)</f>
        <v>28</v>
      </c>
      <c r="TG64" s="124">
        <f>VLOOKUP($A64, 'Grade Enroll 15-16'!$B:$AB, 22, FALSE)</f>
        <v>103</v>
      </c>
      <c r="TH64" s="124">
        <f>VLOOKUP($A64, 'Grade Enroll 15-16'!$B:$AB, 23, FALSE)</f>
        <v>79</v>
      </c>
      <c r="TI64" s="124">
        <f>VLOOKUP($A64, 'Grade Enroll 15-16'!$B:$AB, 24, FALSE)</f>
        <v>58</v>
      </c>
      <c r="TJ64" s="124">
        <f>VLOOKUP($A64, 'Grade Enroll 15-16'!$B:$AB, 25, FALSE)</f>
        <v>137</v>
      </c>
      <c r="TK64" s="124">
        <f>VLOOKUP($A64, 'Grade Enroll 15-16'!$B:$AB, 26, FALSE)</f>
        <v>241</v>
      </c>
      <c r="TL64" s="131">
        <f>SUMIFS('Student Achievement 15-16'!N:N, 'Student Achievement 15-16'!B:B, 'Idaho Data'!A64, 'Student Achievement 15-16'!D:D, "math")/100</f>
        <v>0.193</v>
      </c>
      <c r="TM64" s="134">
        <f t="shared" si="57"/>
        <v>72.760999999999996</v>
      </c>
      <c r="TN64" s="131">
        <f>SUMIFS('Student Achievement 15-16'!N:N, 'Student Achievement 15-16'!B:B, 'Idaho Data'!A64, 'Student Achievement 15-16'!D:D, "ela")/100</f>
        <v>0.153</v>
      </c>
      <c r="TO64" s="134">
        <f t="shared" si="58"/>
        <v>57.680999999999997</v>
      </c>
      <c r="TP64" s="688">
        <f>IFERROR(VLOOKUP(A64, 'G&amp;T 15-16'!B:G, 6, FALSE), 0)*1</f>
        <v>0</v>
      </c>
      <c r="TQ64" s="168">
        <f t="shared" si="59"/>
        <v>22.619999999999997</v>
      </c>
      <c r="TU64" s="168">
        <f t="shared" si="60"/>
        <v>57.680999999999997</v>
      </c>
      <c r="TV64" s="168">
        <f t="shared" si="61"/>
        <v>72.760999999999996</v>
      </c>
      <c r="TW64" s="205">
        <f t="shared" si="62"/>
        <v>72.760999999999996</v>
      </c>
      <c r="TX64" s="144"/>
      <c r="TY64" s="129"/>
      <c r="TZ64" s="127">
        <f t="shared" si="63"/>
        <v>0</v>
      </c>
      <c r="UA64" s="127">
        <f t="shared" si="64"/>
        <v>22.619999999999997</v>
      </c>
      <c r="UB64" s="205">
        <f t="shared" si="65"/>
        <v>22.619999999999997</v>
      </c>
      <c r="UE64" s="853" t="str">
        <f>IF(ST64&lt;='1. Simulator Input'!$E$104, "yes", "")</f>
        <v/>
      </c>
      <c r="UI64" s="199">
        <f t="shared" si="66"/>
        <v>0</v>
      </c>
      <c r="UJ64" s="200">
        <f>IF('Idaho Data'!SI64&gt;=0, ((1-'1. Simulator Input'!$E$39)*'Idaho Data'!SI64), 0)</f>
        <v>0</v>
      </c>
      <c r="UK64" s="200">
        <f t="shared" si="67"/>
        <v>3112424</v>
      </c>
      <c r="UL64" s="39"/>
      <c r="UM64" s="182"/>
      <c r="UN64" s="39"/>
      <c r="UO64" s="39" t="str">
        <f>IF(AND('1. Simulator Input'!$E$96="yes", '1. Simulator Input'!$E$98="yes", '1. Simulator Input'!$E$100="hold harmless"), 'Idaho Data'!WN64, IF(AND('1. Simulator Input'!$E$96="yes", '1. Simulator Input'!$E$98="no", '1. Simulator Input'!$E$100="hold harmless"), 'Idaho Data'!WM64, IF(AND('1. Simulator Input'!$E$96="yes", '1. Simulator Input'!$E$98="yes", '1. Simulator Input'!$E$100="small district grant"), WL64,IF(AND('1. Simulator Input'!$E$96="yes", '1. Simulator Input'!$E$98="no", '1. Simulator Input'!$E$100="small district grant"), WK64, ""))))</f>
        <v/>
      </c>
      <c r="UP64" s="200">
        <f>'1. Simulator Input'!$D$56*('Idaho Data'!ST64)</f>
        <v>2083302</v>
      </c>
      <c r="UQ64" s="204">
        <f>'1. Simulator Input'!$D$65*'1. Simulator Input'!$D$56*'Idaho Data'!SU64</f>
        <v>0</v>
      </c>
      <c r="UR64" s="204">
        <f>'1. Simulator Input'!$D$66*'1. Simulator Input'!$D$56*'Idaho Data'!SW64</f>
        <v>0</v>
      </c>
      <c r="US64" s="200">
        <f>'1. Simulator Input'!$D$67*'1. Simulator Input'!$D$56*'Idaho Data'!TA64</f>
        <v>0</v>
      </c>
      <c r="UT64" s="200">
        <f>'1. Simulator Input'!$D$68*'1. Simulator Input'!$D$56*'Idaho Data'!TB64</f>
        <v>0</v>
      </c>
      <c r="UU64" s="200">
        <f>'1. Simulator Input'!$D$69*'1. Simulator Input'!$D$56*'Idaho Data'!TC64</f>
        <v>0</v>
      </c>
      <c r="UV64" s="200">
        <f>'1. Simulator Input'!$D$70*'1. Simulator Input'!$D$56*TD64</f>
        <v>0</v>
      </c>
      <c r="UW64" s="200">
        <f>'1. Simulator Input'!$D$80*'1. Simulator Input'!$D$56*TW64</f>
        <v>0</v>
      </c>
      <c r="UX64" s="200">
        <f>'1. Simulator Input'!$D$79*'1. Simulator Input'!$D$56*UB64</f>
        <v>0</v>
      </c>
      <c r="UY64" s="200">
        <f>'1. Simulator Input'!$D$87*'1. Simulator Input'!$D$56*TF64</f>
        <v>77364</v>
      </c>
      <c r="UZ64" s="200">
        <f>'1. Simulator Input'!$D$73*'1. Simulator Input'!$D$56*'Idaho Data'!TG64</f>
        <v>0</v>
      </c>
      <c r="VA64" s="200">
        <f>'1. Simulator Input'!$D$56*'1. Simulator Input'!$D$74*'Idaho Data'!TH64</f>
        <v>0</v>
      </c>
      <c r="VB64" s="200">
        <f>'1. Simulator Input'!$D$56*'1. Simulator Input'!$D$75*'Idaho Data'!TI59</f>
        <v>0</v>
      </c>
      <c r="VC64" s="200">
        <f>'1. Simulator Input'!$D$76*'1. Simulator Input'!$D$56*'Idaho Data'!TJ64</f>
        <v>0</v>
      </c>
      <c r="VD64" s="200">
        <f t="shared" si="68"/>
        <v>2160666</v>
      </c>
      <c r="VE64" s="200"/>
      <c r="VF64" s="182"/>
      <c r="VG64" s="200"/>
      <c r="VH64" s="200">
        <f t="shared" si="69"/>
        <v>0</v>
      </c>
      <c r="VI64" s="200">
        <f t="shared" si="70"/>
        <v>0</v>
      </c>
      <c r="VJ64" s="200">
        <f t="shared" si="94"/>
        <v>2160666</v>
      </c>
      <c r="VK64" s="200">
        <f t="shared" si="95"/>
        <v>2160666</v>
      </c>
      <c r="VL64" s="200"/>
      <c r="VM64" s="182"/>
      <c r="VN64" s="200"/>
      <c r="VO64" s="200">
        <f t="shared" si="71"/>
        <v>812604</v>
      </c>
      <c r="VP64" s="200">
        <f t="shared" si="72"/>
        <v>3112424</v>
      </c>
      <c r="VQ64" s="200">
        <f t="shared" si="73"/>
        <v>1154013</v>
      </c>
      <c r="VR64" s="200">
        <f t="shared" si="74"/>
        <v>812604</v>
      </c>
      <c r="VS64" s="200">
        <f t="shared" si="96"/>
        <v>2160666</v>
      </c>
      <c r="VT64" s="200">
        <f t="shared" si="97"/>
        <v>1154013</v>
      </c>
      <c r="VU64" s="200">
        <f t="shared" si="98"/>
        <v>0</v>
      </c>
      <c r="VV64" s="200"/>
      <c r="VW64" s="182"/>
      <c r="VX64" s="200"/>
      <c r="VZ64" s="199">
        <f t="shared" si="75"/>
        <v>-951758</v>
      </c>
      <c r="WA64" s="199">
        <f t="shared" si="76"/>
        <v>-2524.557029177719</v>
      </c>
      <c r="WB64" s="131">
        <f t="shared" si="77"/>
        <v>-0.3057931695681565</v>
      </c>
      <c r="WC64" s="131"/>
      <c r="WD64" s="461"/>
      <c r="WE64" s="893"/>
      <c r="WF64" s="893">
        <f t="shared" si="78"/>
        <v>13472.257294429708</v>
      </c>
      <c r="WG64" s="893">
        <f t="shared" si="79"/>
        <v>10947.70026525199</v>
      </c>
      <c r="WH64" s="893"/>
      <c r="WI64" s="893">
        <f t="shared" si="80"/>
        <v>3112424</v>
      </c>
      <c r="WJ64" s="893">
        <f t="shared" si="99"/>
        <v>2160666</v>
      </c>
      <c r="WK64" s="39" t="str">
        <f t="shared" si="100"/>
        <v/>
      </c>
      <c r="WL64" s="39" t="str">
        <f t="shared" si="101"/>
        <v/>
      </c>
      <c r="WM64" s="200" t="str">
        <f t="shared" si="102"/>
        <v/>
      </c>
      <c r="WN64" s="39" t="str">
        <f t="shared" si="103"/>
        <v/>
      </c>
      <c r="WO64" s="39"/>
      <c r="WP64" s="182"/>
      <c r="WQ64" s="39"/>
      <c r="WR64" s="305">
        <f t="shared" si="104"/>
        <v>0.41199999999999998</v>
      </c>
      <c r="WT64" s="200">
        <f t="shared" si="105"/>
        <v>8255.7665782493368</v>
      </c>
      <c r="WU64" s="131">
        <f t="shared" si="81"/>
        <v>0.77</v>
      </c>
      <c r="WW64" s="199">
        <f t="shared" si="106"/>
        <v>812604</v>
      </c>
      <c r="WX64" s="199">
        <f t="shared" si="107"/>
        <v>2160666</v>
      </c>
      <c r="WY64" s="199">
        <f t="shared" si="108"/>
        <v>0</v>
      </c>
      <c r="WZ64" s="199">
        <f t="shared" si="82"/>
        <v>2160666</v>
      </c>
      <c r="XA64" s="199">
        <f t="shared" si="109"/>
        <v>0</v>
      </c>
      <c r="XB64" s="199">
        <f t="shared" si="110"/>
        <v>1154013</v>
      </c>
      <c r="XC64" s="199">
        <f t="shared" si="111"/>
        <v>1154013</v>
      </c>
      <c r="XD64" s="199" t="str">
        <f t="shared" si="112"/>
        <v/>
      </c>
      <c r="XE64" s="199"/>
      <c r="XF64" s="199"/>
      <c r="XG64" s="199"/>
      <c r="XH64" s="199"/>
      <c r="XI64" s="199"/>
      <c r="XJ64" s="199">
        <f t="shared" si="83"/>
        <v>2160666</v>
      </c>
      <c r="XP64" s="199">
        <f t="shared" si="113"/>
        <v>2160666</v>
      </c>
      <c r="XQ64" s="199">
        <f t="shared" si="114"/>
        <v>5731.2095490716183</v>
      </c>
      <c r="XR64" s="199">
        <f t="shared" si="115"/>
        <v>2160666</v>
      </c>
      <c r="XS64" s="199">
        <f t="shared" si="116"/>
        <v>2160666</v>
      </c>
      <c r="XT64" s="199">
        <f t="shared" si="117"/>
        <v>5731.2095490716183</v>
      </c>
      <c r="XU64" s="199">
        <f t="shared" si="118"/>
        <v>3112424</v>
      </c>
      <c r="XV64" s="199">
        <f t="shared" si="119"/>
        <v>8255.7665782493368</v>
      </c>
      <c r="XW64" s="199">
        <f t="shared" si="120"/>
        <v>3112424</v>
      </c>
      <c r="XX64" s="199">
        <f t="shared" si="121"/>
        <v>8255.7665782493368</v>
      </c>
      <c r="XY64" s="199">
        <f t="shared" si="84"/>
        <v>-951758</v>
      </c>
      <c r="XZ64" s="199">
        <f t="shared" si="85"/>
        <v>-2524.5570291777185</v>
      </c>
      <c r="YA64" s="131">
        <f t="shared" si="86"/>
        <v>-0.3057931695681565</v>
      </c>
      <c r="YB64" s="199"/>
      <c r="YC64" s="221"/>
      <c r="YD64" s="199"/>
      <c r="YE64" s="199">
        <f t="shared" si="122"/>
        <v>812604</v>
      </c>
      <c r="YF64" s="200">
        <f t="shared" si="123"/>
        <v>0</v>
      </c>
      <c r="YG64" s="199">
        <f t="shared" si="124"/>
        <v>1154013</v>
      </c>
      <c r="YH64" s="199">
        <f t="shared" si="125"/>
        <v>93477</v>
      </c>
    </row>
    <row r="65" spans="1:658">
      <c r="A65" s="3">
        <v>243</v>
      </c>
      <c r="B65" s="2" t="s">
        <v>1187</v>
      </c>
      <c r="C65" s="24">
        <v>0</v>
      </c>
      <c r="D65" s="24">
        <v>0</v>
      </c>
      <c r="E65" s="24">
        <v>0</v>
      </c>
      <c r="F65" s="24">
        <v>0</v>
      </c>
      <c r="G65" s="24">
        <v>349270</v>
      </c>
      <c r="H65" s="24">
        <v>0</v>
      </c>
      <c r="I65" s="24">
        <v>0</v>
      </c>
      <c r="J65" s="24">
        <v>236252</v>
      </c>
      <c r="K65" s="24">
        <v>0</v>
      </c>
      <c r="L65" s="24">
        <v>0</v>
      </c>
      <c r="M65" s="24">
        <v>0</v>
      </c>
      <c r="N65" s="24">
        <v>0</v>
      </c>
      <c r="O65" s="24">
        <v>0</v>
      </c>
      <c r="P65" s="24">
        <v>0</v>
      </c>
      <c r="Q65" s="24">
        <v>0</v>
      </c>
      <c r="R65" s="24">
        <v>0</v>
      </c>
      <c r="S65" s="24">
        <v>0</v>
      </c>
      <c r="T65" s="24">
        <v>0</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1259</v>
      </c>
      <c r="AM65" s="24">
        <v>2244</v>
      </c>
      <c r="AN65" s="24">
        <v>0</v>
      </c>
      <c r="AO65" s="24">
        <v>0</v>
      </c>
      <c r="AP65" s="24">
        <v>0</v>
      </c>
      <c r="AQ65" s="24">
        <v>0</v>
      </c>
      <c r="AR65" s="24">
        <v>0</v>
      </c>
      <c r="AS65" s="24">
        <v>0</v>
      </c>
      <c r="AT65" s="24">
        <v>0</v>
      </c>
      <c r="AU65" s="24">
        <v>0</v>
      </c>
      <c r="AV65" s="24">
        <v>0</v>
      </c>
      <c r="AW65" s="24">
        <v>0</v>
      </c>
      <c r="AX65" s="24">
        <v>0</v>
      </c>
      <c r="AY65" s="24">
        <v>0</v>
      </c>
      <c r="AZ65" s="24">
        <v>0</v>
      </c>
      <c r="BA65" s="24">
        <v>0</v>
      </c>
      <c r="BB65" s="24">
        <v>0</v>
      </c>
      <c r="BC65" s="24">
        <v>0</v>
      </c>
      <c r="BD65" s="24">
        <v>0</v>
      </c>
      <c r="BE65" s="24">
        <v>0</v>
      </c>
      <c r="BF65" s="24">
        <v>118</v>
      </c>
      <c r="BG65" s="24">
        <v>0</v>
      </c>
      <c r="BH65" s="24">
        <v>0</v>
      </c>
      <c r="BI65" s="24">
        <v>0</v>
      </c>
      <c r="BJ65" s="24">
        <v>0</v>
      </c>
      <c r="BK65" s="24">
        <v>0</v>
      </c>
      <c r="BL65" s="24">
        <v>0</v>
      </c>
      <c r="BM65" s="24">
        <v>0</v>
      </c>
      <c r="BN65" s="24">
        <v>0</v>
      </c>
      <c r="BO65" s="24">
        <v>0</v>
      </c>
      <c r="BP65" s="24">
        <v>0</v>
      </c>
      <c r="BQ65" s="24">
        <v>0</v>
      </c>
      <c r="BR65" s="24">
        <v>0</v>
      </c>
      <c r="BS65" s="24">
        <v>0</v>
      </c>
      <c r="BT65" s="24">
        <v>0</v>
      </c>
      <c r="BU65" s="24">
        <v>0</v>
      </c>
      <c r="BV65" s="24">
        <v>0</v>
      </c>
      <c r="BW65" s="24">
        <v>1</v>
      </c>
      <c r="BX65" s="24">
        <v>0</v>
      </c>
      <c r="BY65" s="24">
        <v>0</v>
      </c>
      <c r="BZ65" s="24">
        <v>16</v>
      </c>
      <c r="CA65" s="24">
        <v>0</v>
      </c>
      <c r="CB65" s="24">
        <v>0</v>
      </c>
      <c r="CC65" s="24">
        <v>0</v>
      </c>
      <c r="CD65" s="24">
        <v>10369</v>
      </c>
      <c r="CE65" s="24">
        <v>-67</v>
      </c>
      <c r="CF65" s="24">
        <v>0</v>
      </c>
      <c r="CG65" s="24">
        <v>0</v>
      </c>
      <c r="CH65" s="24">
        <v>0</v>
      </c>
      <c r="CI65" s="24">
        <v>0</v>
      </c>
      <c r="CJ65" s="24">
        <v>0</v>
      </c>
      <c r="CK65" s="24">
        <v>0</v>
      </c>
      <c r="CL65" s="24">
        <v>0</v>
      </c>
      <c r="CM65" s="24">
        <v>0</v>
      </c>
      <c r="CN65" s="24">
        <v>0</v>
      </c>
      <c r="CO65" s="24">
        <v>0</v>
      </c>
      <c r="CP65" s="24">
        <v>0</v>
      </c>
      <c r="CQ65" s="24">
        <v>0</v>
      </c>
      <c r="CR65" s="24">
        <v>0</v>
      </c>
      <c r="CS65" s="24">
        <v>16452</v>
      </c>
      <c r="CT65" s="24">
        <v>0</v>
      </c>
      <c r="CU65" s="24">
        <v>0</v>
      </c>
      <c r="CV65" s="24">
        <v>0</v>
      </c>
      <c r="CW65" s="24">
        <v>0</v>
      </c>
      <c r="CX65" s="24">
        <v>0</v>
      </c>
      <c r="CY65" s="24">
        <v>0</v>
      </c>
      <c r="CZ65" s="24">
        <v>0</v>
      </c>
      <c r="DA65" s="24">
        <v>0</v>
      </c>
      <c r="DB65" s="24">
        <v>0</v>
      </c>
      <c r="DC65" s="24">
        <v>0</v>
      </c>
      <c r="DD65" s="24">
        <v>0</v>
      </c>
      <c r="DE65" s="24">
        <v>0</v>
      </c>
      <c r="DF65" s="24">
        <v>0</v>
      </c>
      <c r="DG65" s="24">
        <v>0</v>
      </c>
      <c r="DH65" s="24">
        <v>0</v>
      </c>
      <c r="DI65" s="24">
        <v>0</v>
      </c>
      <c r="DJ65" s="24">
        <v>0</v>
      </c>
      <c r="DK65" s="24">
        <v>0</v>
      </c>
      <c r="DL65" s="24">
        <v>0</v>
      </c>
      <c r="DM65" s="24">
        <v>1100</v>
      </c>
      <c r="DN65" s="24">
        <v>0</v>
      </c>
      <c r="DO65" s="24">
        <v>0</v>
      </c>
      <c r="DP65" s="24">
        <v>0</v>
      </c>
      <c r="DQ65" s="24">
        <v>0</v>
      </c>
      <c r="DR65" s="24">
        <v>0</v>
      </c>
      <c r="DS65" s="24">
        <v>0</v>
      </c>
      <c r="DT65" s="24">
        <v>0</v>
      </c>
      <c r="DU65" s="24">
        <v>0</v>
      </c>
      <c r="DV65" s="24">
        <v>0</v>
      </c>
      <c r="DW65" s="24">
        <v>0</v>
      </c>
      <c r="DX65" s="24">
        <v>0</v>
      </c>
      <c r="DY65" s="24">
        <v>0</v>
      </c>
      <c r="DZ65" s="24">
        <v>0</v>
      </c>
      <c r="EA65" s="24">
        <v>0</v>
      </c>
      <c r="EB65" s="24">
        <v>0</v>
      </c>
      <c r="EC65" s="24">
        <v>0</v>
      </c>
      <c r="ED65" s="24">
        <v>0</v>
      </c>
      <c r="EE65" s="24">
        <v>0</v>
      </c>
      <c r="EF65" s="24">
        <v>0</v>
      </c>
      <c r="EG65" s="24">
        <v>265</v>
      </c>
      <c r="EH65" s="24">
        <v>0</v>
      </c>
      <c r="EI65" s="24">
        <v>0</v>
      </c>
      <c r="EJ65" s="24">
        <v>0</v>
      </c>
      <c r="EK65" s="24">
        <v>0</v>
      </c>
      <c r="EL65" s="24">
        <v>0</v>
      </c>
      <c r="EM65" s="24">
        <v>0</v>
      </c>
      <c r="EN65" s="24">
        <v>0</v>
      </c>
      <c r="EO65" s="24">
        <v>0</v>
      </c>
      <c r="EP65" s="24">
        <v>0</v>
      </c>
      <c r="EQ65" s="24">
        <v>0</v>
      </c>
      <c r="ER65" s="24">
        <v>0</v>
      </c>
      <c r="ES65" s="24">
        <v>0</v>
      </c>
      <c r="ET65" s="24">
        <v>0</v>
      </c>
      <c r="EU65" s="24">
        <v>0</v>
      </c>
      <c r="EV65" s="24">
        <v>0</v>
      </c>
      <c r="EW65" s="24">
        <v>0</v>
      </c>
      <c r="EX65" s="24">
        <v>0</v>
      </c>
      <c r="EY65" s="24">
        <v>0</v>
      </c>
      <c r="EZ65" s="24">
        <v>0</v>
      </c>
      <c r="FA65" s="24">
        <v>0</v>
      </c>
      <c r="FB65" s="24">
        <v>0</v>
      </c>
      <c r="FC65" s="24">
        <v>0</v>
      </c>
      <c r="FD65" s="24">
        <v>0</v>
      </c>
      <c r="FE65" s="24">
        <v>0</v>
      </c>
      <c r="FF65" s="24">
        <v>0</v>
      </c>
      <c r="FG65" s="24">
        <v>0</v>
      </c>
      <c r="FH65" s="24">
        <v>0</v>
      </c>
      <c r="FI65" s="24">
        <v>0</v>
      </c>
      <c r="FJ65" s="24">
        <v>0</v>
      </c>
      <c r="FK65" s="24">
        <v>0</v>
      </c>
      <c r="FL65" s="24">
        <v>0</v>
      </c>
      <c r="FM65" s="24">
        <v>0</v>
      </c>
      <c r="FN65" s="24">
        <v>0</v>
      </c>
      <c r="FO65" s="24">
        <v>0</v>
      </c>
      <c r="FP65" s="24">
        <v>0</v>
      </c>
      <c r="FQ65" s="24">
        <v>0</v>
      </c>
      <c r="FR65" s="24">
        <v>0</v>
      </c>
      <c r="FS65" s="24">
        <v>1634</v>
      </c>
      <c r="FT65" s="24">
        <v>0</v>
      </c>
      <c r="FU65" s="24">
        <v>0</v>
      </c>
      <c r="FV65" s="24">
        <v>0</v>
      </c>
      <c r="FW65" s="24">
        <v>0</v>
      </c>
      <c r="FX65" s="24">
        <v>0</v>
      </c>
      <c r="FY65" s="24">
        <v>0</v>
      </c>
      <c r="FZ65" s="24">
        <v>0</v>
      </c>
      <c r="GA65" s="24">
        <v>0</v>
      </c>
      <c r="GB65" s="24">
        <v>0</v>
      </c>
      <c r="GC65" s="24">
        <v>0</v>
      </c>
      <c r="GD65" s="24">
        <v>0</v>
      </c>
      <c r="GE65" s="24">
        <v>0</v>
      </c>
      <c r="GF65" s="24">
        <v>0</v>
      </c>
      <c r="GG65" s="24">
        <v>0</v>
      </c>
      <c r="GH65" s="24">
        <v>0</v>
      </c>
      <c r="GI65" s="24">
        <v>0</v>
      </c>
      <c r="GJ65" s="24">
        <v>0</v>
      </c>
      <c r="GK65" s="24">
        <v>0</v>
      </c>
      <c r="GL65" s="24">
        <v>0</v>
      </c>
      <c r="GM65" s="24">
        <v>0</v>
      </c>
      <c r="GN65" s="24">
        <v>0</v>
      </c>
      <c r="GO65" s="24">
        <v>0</v>
      </c>
      <c r="GP65" s="24">
        <v>0</v>
      </c>
      <c r="GQ65" s="24">
        <v>0</v>
      </c>
      <c r="GR65" s="24">
        <v>0</v>
      </c>
      <c r="GS65" s="24">
        <v>0</v>
      </c>
      <c r="GT65" s="24">
        <v>0</v>
      </c>
      <c r="GU65" s="24">
        <v>0</v>
      </c>
      <c r="GV65" s="24">
        <v>0</v>
      </c>
      <c r="GW65" s="24">
        <v>0</v>
      </c>
      <c r="GX65" s="24">
        <v>0</v>
      </c>
      <c r="GY65" s="24">
        <v>0</v>
      </c>
      <c r="GZ65" s="24">
        <v>0</v>
      </c>
      <c r="HA65" s="24">
        <v>0</v>
      </c>
      <c r="HB65" s="24">
        <v>0</v>
      </c>
      <c r="HC65" s="24">
        <v>0</v>
      </c>
      <c r="HD65" s="24">
        <v>1186945</v>
      </c>
      <c r="HE65" s="24">
        <v>0</v>
      </c>
      <c r="HF65" s="24">
        <v>0</v>
      </c>
      <c r="HG65" s="24">
        <v>0</v>
      </c>
      <c r="HH65" s="24">
        <v>0</v>
      </c>
      <c r="HI65" s="24">
        <v>0</v>
      </c>
      <c r="HJ65" s="24">
        <v>0</v>
      </c>
      <c r="HK65" s="24">
        <v>0</v>
      </c>
      <c r="HL65" s="24">
        <v>0</v>
      </c>
      <c r="HM65" s="24">
        <v>0</v>
      </c>
      <c r="HN65" s="24">
        <v>0</v>
      </c>
      <c r="HO65" s="24">
        <v>0</v>
      </c>
      <c r="HP65" s="24">
        <v>77907</v>
      </c>
      <c r="HQ65" s="24">
        <v>0</v>
      </c>
      <c r="HR65" s="24">
        <v>0</v>
      </c>
      <c r="HS65" s="24">
        <v>0</v>
      </c>
      <c r="HT65" s="24">
        <v>0</v>
      </c>
      <c r="HU65" s="24">
        <v>0</v>
      </c>
      <c r="HV65" s="24">
        <v>0</v>
      </c>
      <c r="HW65" s="24">
        <v>0</v>
      </c>
      <c r="HX65" s="24">
        <v>0</v>
      </c>
      <c r="HY65" s="24">
        <v>0</v>
      </c>
      <c r="HZ65" s="24">
        <v>0</v>
      </c>
      <c r="IA65" s="24">
        <v>0</v>
      </c>
      <c r="IB65" s="24">
        <v>0</v>
      </c>
      <c r="IC65" s="24">
        <v>0</v>
      </c>
      <c r="ID65" s="24">
        <v>0</v>
      </c>
      <c r="IE65" s="24">
        <v>0</v>
      </c>
      <c r="IF65" s="24">
        <v>0</v>
      </c>
      <c r="IG65" s="24">
        <v>0</v>
      </c>
      <c r="IH65" s="24">
        <v>0</v>
      </c>
      <c r="II65" s="24">
        <v>0</v>
      </c>
      <c r="IJ65" s="24">
        <v>0</v>
      </c>
      <c r="IK65" s="24">
        <v>0</v>
      </c>
      <c r="IL65" s="24">
        <v>0</v>
      </c>
      <c r="IM65" s="24">
        <v>0</v>
      </c>
      <c r="IN65" s="24">
        <v>0</v>
      </c>
      <c r="IO65" s="24">
        <v>1375</v>
      </c>
      <c r="IP65" s="24">
        <v>0</v>
      </c>
      <c r="IQ65" s="24">
        <v>10993</v>
      </c>
      <c r="IR65" s="24">
        <v>0</v>
      </c>
      <c r="IS65" s="24">
        <v>0</v>
      </c>
      <c r="IT65" s="24">
        <v>0</v>
      </c>
      <c r="IU65" s="24">
        <v>0</v>
      </c>
      <c r="IV65" s="24">
        <v>0</v>
      </c>
      <c r="IW65" s="24">
        <v>21417</v>
      </c>
      <c r="IX65" s="24">
        <v>0</v>
      </c>
      <c r="IY65" s="24">
        <v>0</v>
      </c>
      <c r="IZ65" s="24">
        <v>0</v>
      </c>
      <c r="JA65" s="24">
        <v>0</v>
      </c>
      <c r="JB65" s="24">
        <v>6373</v>
      </c>
      <c r="JC65" s="24">
        <v>0</v>
      </c>
      <c r="JD65" s="24">
        <v>0</v>
      </c>
      <c r="JE65" s="24">
        <v>1572</v>
      </c>
      <c r="JF65" s="24">
        <v>0</v>
      </c>
      <c r="JG65" s="24">
        <v>0</v>
      </c>
      <c r="JH65" s="24">
        <v>0</v>
      </c>
      <c r="JI65" s="24">
        <v>0</v>
      </c>
      <c r="JJ65" s="24">
        <v>0</v>
      </c>
      <c r="JK65" s="24">
        <v>0</v>
      </c>
      <c r="JL65" s="24">
        <v>0</v>
      </c>
      <c r="JM65" s="24">
        <v>0</v>
      </c>
      <c r="JN65" s="24">
        <v>0</v>
      </c>
      <c r="JO65" s="24">
        <v>0</v>
      </c>
      <c r="JP65" s="24">
        <v>0</v>
      </c>
      <c r="JQ65" s="24">
        <v>0</v>
      </c>
      <c r="JR65" s="24">
        <v>14922</v>
      </c>
      <c r="JS65" s="24">
        <v>0</v>
      </c>
      <c r="JT65" s="24">
        <v>0</v>
      </c>
      <c r="JU65" s="24">
        <v>3339</v>
      </c>
      <c r="JV65" s="24">
        <v>0</v>
      </c>
      <c r="JW65" s="24">
        <v>0</v>
      </c>
      <c r="JX65" s="24">
        <v>0</v>
      </c>
      <c r="JY65" s="24">
        <v>0</v>
      </c>
      <c r="JZ65" s="24">
        <v>0</v>
      </c>
      <c r="KA65" s="24">
        <v>0</v>
      </c>
      <c r="KB65" s="24">
        <v>0</v>
      </c>
      <c r="KC65" s="24">
        <v>0</v>
      </c>
      <c r="KD65" s="24">
        <v>0</v>
      </c>
      <c r="KE65" s="24">
        <v>0</v>
      </c>
      <c r="KF65" s="24">
        <v>0</v>
      </c>
      <c r="KG65" s="24">
        <v>0</v>
      </c>
      <c r="KH65" s="24">
        <v>0</v>
      </c>
      <c r="KI65" s="24">
        <v>0</v>
      </c>
      <c r="KJ65" s="24">
        <v>0</v>
      </c>
      <c r="KK65" s="24">
        <v>0</v>
      </c>
      <c r="KL65" s="24">
        <v>0</v>
      </c>
      <c r="KM65" s="24">
        <v>0</v>
      </c>
      <c r="KN65" s="24">
        <v>0</v>
      </c>
      <c r="KO65" s="24">
        <v>0</v>
      </c>
      <c r="KP65" s="24">
        <v>0</v>
      </c>
      <c r="KQ65" s="24">
        <v>0</v>
      </c>
      <c r="KR65" s="24">
        <v>0</v>
      </c>
      <c r="KS65" s="24">
        <v>0</v>
      </c>
      <c r="KT65" s="24">
        <v>0</v>
      </c>
      <c r="KU65" s="24">
        <v>0</v>
      </c>
      <c r="KV65" s="24">
        <v>0</v>
      </c>
      <c r="KW65" s="24">
        <v>0</v>
      </c>
      <c r="KX65" s="24">
        <v>0</v>
      </c>
      <c r="KY65" s="24">
        <v>0</v>
      </c>
      <c r="KZ65" s="24">
        <v>0</v>
      </c>
      <c r="LA65" s="24">
        <v>0</v>
      </c>
      <c r="LB65" s="24">
        <v>0</v>
      </c>
      <c r="LC65" s="24">
        <v>0</v>
      </c>
      <c r="LD65" s="24">
        <v>0</v>
      </c>
      <c r="LE65" s="24">
        <v>0</v>
      </c>
      <c r="LF65" s="24">
        <v>0</v>
      </c>
      <c r="LG65" s="24">
        <v>0</v>
      </c>
      <c r="LH65" s="24">
        <v>0</v>
      </c>
      <c r="LI65" s="24">
        <v>0</v>
      </c>
      <c r="LJ65" s="24">
        <v>0</v>
      </c>
      <c r="LK65" s="24">
        <v>0</v>
      </c>
      <c r="LL65" s="24">
        <v>0</v>
      </c>
      <c r="LM65" s="24">
        <v>0</v>
      </c>
      <c r="LN65" s="24">
        <v>0</v>
      </c>
      <c r="LO65" s="24">
        <v>0</v>
      </c>
      <c r="LP65" s="24">
        <v>0</v>
      </c>
      <c r="LQ65" s="24">
        <v>80830</v>
      </c>
      <c r="LR65" s="24">
        <v>0</v>
      </c>
      <c r="LS65" s="24">
        <v>0</v>
      </c>
      <c r="LT65" s="24">
        <v>0</v>
      </c>
      <c r="LU65" s="24">
        <v>0</v>
      </c>
      <c r="LV65" s="24">
        <v>0</v>
      </c>
      <c r="LW65" s="24">
        <v>0</v>
      </c>
      <c r="LX65" s="24">
        <v>0</v>
      </c>
      <c r="LY65" s="24">
        <v>0</v>
      </c>
      <c r="LZ65" s="24">
        <v>0</v>
      </c>
      <c r="MA65" s="24">
        <v>0</v>
      </c>
      <c r="MB65" s="24">
        <v>0</v>
      </c>
      <c r="MC65" s="24">
        <v>0</v>
      </c>
      <c r="MD65" s="24">
        <v>0</v>
      </c>
      <c r="ME65" s="24">
        <v>0</v>
      </c>
      <c r="MF65" s="24">
        <v>0</v>
      </c>
      <c r="MG65" s="24">
        <v>0</v>
      </c>
      <c r="MH65" s="24">
        <v>0</v>
      </c>
      <c r="MI65" s="24">
        <v>0</v>
      </c>
      <c r="MJ65" s="24">
        <v>0</v>
      </c>
      <c r="MK65" s="24">
        <v>0</v>
      </c>
      <c r="ML65" s="24">
        <v>0</v>
      </c>
      <c r="MM65" s="24">
        <v>0</v>
      </c>
      <c r="MN65" s="24">
        <v>0</v>
      </c>
      <c r="MO65" s="24">
        <v>2269</v>
      </c>
      <c r="MP65" s="24">
        <v>0</v>
      </c>
      <c r="MQ65" s="24">
        <v>0</v>
      </c>
      <c r="MR65" s="24">
        <v>52092</v>
      </c>
      <c r="MS65" s="24">
        <v>0</v>
      </c>
      <c r="MT65" s="24">
        <v>0</v>
      </c>
      <c r="MU65" s="24">
        <v>0</v>
      </c>
      <c r="MV65" s="24">
        <v>0</v>
      </c>
      <c r="MW65" s="24">
        <v>24794</v>
      </c>
      <c r="MX65" s="24">
        <v>3493</v>
      </c>
      <c r="MY65" s="24">
        <v>0</v>
      </c>
      <c r="MZ65" s="24">
        <v>0</v>
      </c>
      <c r="NA65" s="24">
        <v>8993</v>
      </c>
      <c r="NB65" s="24">
        <v>90240</v>
      </c>
      <c r="NC65" s="24">
        <v>0</v>
      </c>
      <c r="ND65" s="24">
        <v>0</v>
      </c>
      <c r="NE65" s="24">
        <v>0</v>
      </c>
      <c r="NF65" s="24">
        <v>0</v>
      </c>
      <c r="NG65" s="24">
        <v>0</v>
      </c>
      <c r="NH65" s="24">
        <v>0</v>
      </c>
      <c r="NI65" s="24">
        <v>0</v>
      </c>
      <c r="NJ65" s="24">
        <v>0</v>
      </c>
      <c r="NK65" s="24">
        <v>0</v>
      </c>
      <c r="NL65" s="24">
        <v>0</v>
      </c>
      <c r="NM65" s="24">
        <v>0</v>
      </c>
      <c r="NN65" s="24">
        <v>0</v>
      </c>
      <c r="NO65" s="24">
        <v>0</v>
      </c>
      <c r="NP65" s="24">
        <v>0</v>
      </c>
      <c r="NQ65" s="24">
        <v>5442</v>
      </c>
      <c r="NR65" s="24">
        <v>0</v>
      </c>
      <c r="NS65" s="24">
        <v>0</v>
      </c>
      <c r="NT65" s="24">
        <v>0</v>
      </c>
      <c r="NU65" s="24">
        <v>0</v>
      </c>
      <c r="NV65" s="24">
        <v>12337</v>
      </c>
      <c r="NW65" s="24">
        <v>0</v>
      </c>
      <c r="NX65" s="24">
        <v>104819</v>
      </c>
      <c r="NY65" s="24">
        <v>0</v>
      </c>
      <c r="NZ65" s="24">
        <v>0</v>
      </c>
      <c r="OA65" s="24">
        <v>0</v>
      </c>
      <c r="OB65" s="24">
        <v>0</v>
      </c>
      <c r="OC65" s="24">
        <v>0</v>
      </c>
      <c r="OD65" s="24">
        <v>0</v>
      </c>
      <c r="OE65" s="24">
        <v>0</v>
      </c>
      <c r="OF65" s="24">
        <v>0</v>
      </c>
      <c r="OG65" s="24">
        <v>0</v>
      </c>
      <c r="OH65" s="24">
        <v>0</v>
      </c>
      <c r="OI65" s="24">
        <v>0</v>
      </c>
      <c r="OJ65" s="24">
        <v>0</v>
      </c>
      <c r="OK65" s="24">
        <v>5659</v>
      </c>
      <c r="OL65" s="24">
        <v>0</v>
      </c>
      <c r="OM65" s="24">
        <v>0</v>
      </c>
      <c r="ON65" s="24">
        <v>0</v>
      </c>
      <c r="OO65" s="24">
        <v>0</v>
      </c>
      <c r="OP65" s="24">
        <v>0</v>
      </c>
      <c r="OQ65" s="24">
        <v>0</v>
      </c>
      <c r="OR65" s="24">
        <v>0</v>
      </c>
      <c r="OS65" s="24">
        <v>0</v>
      </c>
      <c r="OT65" s="24">
        <v>0</v>
      </c>
      <c r="OU65" s="24">
        <v>0</v>
      </c>
      <c r="OV65" s="24">
        <v>0</v>
      </c>
      <c r="OW65" s="24">
        <v>0</v>
      </c>
      <c r="OX65" s="24">
        <v>0</v>
      </c>
      <c r="OY65" s="24">
        <v>0</v>
      </c>
      <c r="OZ65" s="24">
        <v>0</v>
      </c>
      <c r="PA65" s="24">
        <v>0</v>
      </c>
      <c r="PB65" s="24">
        <v>0</v>
      </c>
      <c r="PC65" s="24">
        <v>0</v>
      </c>
      <c r="PD65" s="24">
        <v>0</v>
      </c>
      <c r="PE65" s="24">
        <v>0</v>
      </c>
      <c r="PF65" s="24">
        <v>0</v>
      </c>
      <c r="PG65" s="24">
        <v>0</v>
      </c>
      <c r="PH65" s="24">
        <v>2905</v>
      </c>
      <c r="PI65" s="24">
        <v>0</v>
      </c>
      <c r="PJ65" s="24">
        <v>0</v>
      </c>
      <c r="PK65" s="24">
        <v>0</v>
      </c>
      <c r="PL65" s="24">
        <v>0</v>
      </c>
      <c r="PM65" s="24">
        <v>0</v>
      </c>
      <c r="PN65" s="24">
        <v>0</v>
      </c>
      <c r="PO65" s="24">
        <v>0</v>
      </c>
      <c r="PP65" s="24">
        <v>0</v>
      </c>
      <c r="PQ65" s="24">
        <v>0</v>
      </c>
      <c r="PR65" s="24">
        <v>0</v>
      </c>
      <c r="PS65" s="24">
        <v>0</v>
      </c>
      <c r="PT65" s="24">
        <v>0</v>
      </c>
      <c r="PU65" s="24">
        <v>0</v>
      </c>
      <c r="PV65" s="24">
        <v>0</v>
      </c>
      <c r="PW65" s="24">
        <v>0</v>
      </c>
      <c r="PX65" s="24">
        <v>0</v>
      </c>
      <c r="PY65" s="24">
        <v>0</v>
      </c>
      <c r="PZ65" s="24">
        <v>0</v>
      </c>
      <c r="QA65" s="24">
        <v>0</v>
      </c>
      <c r="QB65" s="24">
        <v>0</v>
      </c>
      <c r="QC65" s="24">
        <v>0</v>
      </c>
      <c r="QD65" s="24">
        <v>0</v>
      </c>
      <c r="QE65" s="24">
        <v>0</v>
      </c>
      <c r="QF65" s="24">
        <v>0</v>
      </c>
      <c r="QG65" s="24">
        <v>0</v>
      </c>
      <c r="QH65" s="24">
        <v>0</v>
      </c>
      <c r="QI65" s="24">
        <v>0</v>
      </c>
      <c r="QJ65" s="24">
        <v>0</v>
      </c>
      <c r="QK65" s="24">
        <v>0</v>
      </c>
      <c r="QL65" s="24">
        <v>0</v>
      </c>
      <c r="QM65" s="24">
        <v>0</v>
      </c>
      <c r="QN65" s="24">
        <v>0</v>
      </c>
      <c r="QO65" s="24">
        <v>0</v>
      </c>
      <c r="QP65" s="24">
        <v>0</v>
      </c>
      <c r="QQ65" s="24">
        <v>0</v>
      </c>
      <c r="QR65" s="24">
        <v>0</v>
      </c>
      <c r="QS65" s="24">
        <v>19889</v>
      </c>
      <c r="QT65" s="24">
        <v>0</v>
      </c>
      <c r="QU65" s="24">
        <v>0</v>
      </c>
      <c r="QV65" s="24">
        <v>19284</v>
      </c>
      <c r="QW65" s="24">
        <v>0</v>
      </c>
      <c r="QX65" s="24">
        <v>0</v>
      </c>
      <c r="QY65" s="24">
        <v>0</v>
      </c>
      <c r="QZ65" s="24">
        <v>0</v>
      </c>
      <c r="RA65" s="24">
        <v>0</v>
      </c>
      <c r="RB65" s="24">
        <v>0</v>
      </c>
      <c r="RG65" s="39">
        <f t="shared" ref="RG65:RG124" si="129">SUMIFS($C65:$RB65,$C$7:$RB$7,RG$3)</f>
        <v>1186945</v>
      </c>
      <c r="RH65" s="39">
        <f t="shared" si="128"/>
        <v>0</v>
      </c>
      <c r="RI65" s="39">
        <f t="shared" si="128"/>
        <v>0</v>
      </c>
      <c r="RJ65" s="39">
        <f t="shared" si="128"/>
        <v>0</v>
      </c>
      <c r="RK65" s="39">
        <f t="shared" si="128"/>
        <v>0</v>
      </c>
      <c r="RL65" s="39">
        <f t="shared" si="128"/>
        <v>0</v>
      </c>
      <c r="RM65" s="39">
        <f t="shared" si="128"/>
        <v>77907</v>
      </c>
      <c r="RN65" s="39">
        <f t="shared" si="128"/>
        <v>1375</v>
      </c>
      <c r="RO65" s="39">
        <f t="shared" si="128"/>
        <v>10993</v>
      </c>
      <c r="RP65" s="39">
        <f t="shared" si="128"/>
        <v>21417</v>
      </c>
      <c r="RQ65" s="39">
        <f t="shared" si="128"/>
        <v>6373</v>
      </c>
      <c r="RR65" s="39">
        <f t="shared" si="128"/>
        <v>19833</v>
      </c>
      <c r="RS65" s="39"/>
      <c r="RT65" s="182"/>
      <c r="RU65" s="39"/>
      <c r="RV65" s="39">
        <f t="shared" si="127"/>
        <v>390968</v>
      </c>
      <c r="RW65" s="39">
        <f t="shared" si="127"/>
        <v>1324843</v>
      </c>
      <c r="RX65" s="39">
        <f t="shared" si="127"/>
        <v>618913</v>
      </c>
      <c r="RY65" s="39">
        <f t="shared" si="127"/>
        <v>42078</v>
      </c>
      <c r="RZ65" s="39"/>
      <c r="SA65" s="182"/>
      <c r="SB65" s="39"/>
      <c r="SC65" s="25">
        <f t="shared" si="50"/>
        <v>5838.8018867924529</v>
      </c>
      <c r="SD65" s="39">
        <f>IFERROR(VLOOKUP(A65, 'Levy Data 15-16'!$B:$O, 3, FALSE), 0)</f>
        <v>130870691</v>
      </c>
      <c r="SE65" s="39">
        <f t="shared" si="88"/>
        <v>1234629.1603773586</v>
      </c>
      <c r="SF65" s="631">
        <f>IFERROR(VLOOKUP(A65, 'Levy Data 15-16'!$B:$O, 14, FALSE), 0)*1000</f>
        <v>4.0676740000000002</v>
      </c>
      <c r="SG65" s="39">
        <f t="shared" si="89"/>
        <v>0</v>
      </c>
      <c r="SH65" s="39">
        <f t="shared" si="90"/>
        <v>0</v>
      </c>
      <c r="SI65" s="39">
        <f t="shared" si="91"/>
        <v>618913</v>
      </c>
      <c r="SM65" s="39">
        <f t="shared" si="92"/>
        <v>1324843</v>
      </c>
      <c r="SN65" s="39">
        <f t="shared" si="93"/>
        <v>0</v>
      </c>
      <c r="SO65" s="39">
        <f t="shared" si="51"/>
        <v>1324843</v>
      </c>
      <c r="SP65" s="50">
        <f t="shared" si="52"/>
        <v>1</v>
      </c>
      <c r="ST65" s="124">
        <f>IFERROR(VLOOKUP(A65,'Grade Enroll 15-16'!B:AC,27,FALSE),"")</f>
        <v>106</v>
      </c>
      <c r="SU65" s="124">
        <f t="shared" si="53"/>
        <v>64.057553956834539</v>
      </c>
      <c r="SV65" s="131">
        <f>IFERROR(VLOOKUP($A65, 'Title I Enroll 16-17'!S:V, 4, FALSE), 0)</f>
        <v>0.60431654676258995</v>
      </c>
      <c r="SW65" s="729">
        <f>IFERROR(VLOOKUP(A65, 'ELL Enroll 15-16'!$N:$S, 6, FALSE), 0)</f>
        <v>5</v>
      </c>
      <c r="SX65" s="131">
        <f t="shared" si="54"/>
        <v>4.716981132075472E-2</v>
      </c>
      <c r="SY65" s="124">
        <f>IFERROR(VLOOKUP(A65, 'SPED enroll 2015-16'!$M:$O, 3, FALSE), 0)</f>
        <v>19</v>
      </c>
      <c r="SZ65" s="131">
        <f t="shared" si="55"/>
        <v>0.17924528301886791</v>
      </c>
      <c r="TA65" s="142">
        <f t="shared" si="87"/>
        <v>13.299999999999999</v>
      </c>
      <c r="TB65" s="142">
        <f t="shared" si="87"/>
        <v>3.8000000000000003</v>
      </c>
      <c r="TC65" s="142">
        <f t="shared" si="87"/>
        <v>1.33</v>
      </c>
      <c r="TD65" s="142">
        <f t="shared" si="87"/>
        <v>0.56999999999999995</v>
      </c>
      <c r="TE65" s="124">
        <f>VLOOKUP($A65, 'Grade Enroll 15-16'!$B:$AB, 20, FALSE)</f>
        <v>4</v>
      </c>
      <c r="TF65" s="124">
        <f>VLOOKUP($A65, 'Grade Enroll 15-16'!$B:$AB, 21, FALSE)</f>
        <v>7</v>
      </c>
      <c r="TG65" s="124">
        <f>VLOOKUP($A65, 'Grade Enroll 15-16'!$B:$AB, 22, FALSE)</f>
        <v>21</v>
      </c>
      <c r="TH65" s="124">
        <f>VLOOKUP($A65, 'Grade Enroll 15-16'!$B:$AB, 23, FALSE)</f>
        <v>29</v>
      </c>
      <c r="TI65" s="124">
        <f>VLOOKUP($A65, 'Grade Enroll 15-16'!$B:$AB, 24, FALSE)</f>
        <v>20</v>
      </c>
      <c r="TJ65" s="124">
        <f>VLOOKUP($A65, 'Grade Enroll 15-16'!$B:$AB, 25, FALSE)</f>
        <v>36</v>
      </c>
      <c r="TK65" s="124">
        <f>VLOOKUP($A65, 'Grade Enroll 15-16'!$B:$AB, 26, FALSE)</f>
        <v>72</v>
      </c>
      <c r="TL65" s="131">
        <f>SUMIFS('Student Achievement 15-16'!N:N, 'Student Achievement 15-16'!B:B, 'Idaho Data'!A65, 'Student Achievement 15-16'!D:D, "math")/100</f>
        <v>0.05</v>
      </c>
      <c r="TM65" s="134">
        <f t="shared" si="57"/>
        <v>5.3000000000000007</v>
      </c>
      <c r="TN65" s="131">
        <f>SUMIFS('Student Achievement 15-16'!N:N, 'Student Achievement 15-16'!B:B, 'Idaho Data'!A65, 'Student Achievement 15-16'!D:D, "ela")/100</f>
        <v>0.05</v>
      </c>
      <c r="TO65" s="134">
        <f t="shared" si="58"/>
        <v>5.3000000000000007</v>
      </c>
      <c r="TP65" s="688">
        <f>IFERROR(VLOOKUP(A65, 'G&amp;T 15-16'!B:G, 6, FALSE), 0)*1</f>
        <v>0</v>
      </c>
      <c r="TQ65" s="168">
        <f t="shared" si="59"/>
        <v>6.3599999999999994</v>
      </c>
      <c r="TU65" s="168">
        <f t="shared" si="60"/>
        <v>5.3000000000000007</v>
      </c>
      <c r="TV65" s="168">
        <f t="shared" si="61"/>
        <v>5.3000000000000007</v>
      </c>
      <c r="TW65" s="205">
        <f t="shared" si="62"/>
        <v>5.3000000000000007</v>
      </c>
      <c r="TX65" s="144"/>
      <c r="TY65" s="129"/>
      <c r="TZ65" s="127">
        <f t="shared" si="63"/>
        <v>0</v>
      </c>
      <c r="UA65" s="127">
        <f t="shared" si="64"/>
        <v>6.3599999999999994</v>
      </c>
      <c r="UB65" s="205">
        <f t="shared" si="65"/>
        <v>6.3599999999999994</v>
      </c>
      <c r="UE65" s="853" t="str">
        <f>IF(ST65&lt;='1. Simulator Input'!$E$104, "yes", "")</f>
        <v>yes</v>
      </c>
      <c r="UI65" s="199">
        <f t="shared" si="66"/>
        <v>0</v>
      </c>
      <c r="UJ65" s="200">
        <f>IF('Idaho Data'!SI65&gt;=0, ((1-'1. Simulator Input'!$E$39)*'Idaho Data'!SI65), 0)</f>
        <v>0</v>
      </c>
      <c r="UK65" s="200">
        <f t="shared" si="67"/>
        <v>1324843</v>
      </c>
      <c r="UL65" s="39"/>
      <c r="UM65" s="182"/>
      <c r="UN65" s="39"/>
      <c r="UO65" s="39">
        <f>IF(AND('1. Simulator Input'!$E$96="yes", '1. Simulator Input'!$E$98="yes", '1. Simulator Input'!$E$100="hold harmless"), 'Idaho Data'!WN65, IF(AND('1. Simulator Input'!$E$96="yes", '1. Simulator Input'!$E$98="no", '1. Simulator Input'!$E$100="hold harmless"), 'Idaho Data'!WM65, IF(AND('1. Simulator Input'!$E$96="yes", '1. Simulator Input'!$E$98="yes", '1. Simulator Input'!$E$100="small district grant"), WL65,IF(AND('1. Simulator Input'!$E$96="yes", '1. Simulator Input'!$E$98="no", '1. Simulator Input'!$E$100="small district grant"), WK65, ""))))</f>
        <v>0</v>
      </c>
      <c r="UP65" s="200">
        <f>'1. Simulator Input'!$D$56*('Idaho Data'!ST65)</f>
        <v>585756</v>
      </c>
      <c r="UQ65" s="204">
        <f>'1. Simulator Input'!$D$65*'1. Simulator Input'!$D$56*'Idaho Data'!SU65</f>
        <v>0</v>
      </c>
      <c r="UR65" s="204">
        <f>'1. Simulator Input'!$D$66*'1. Simulator Input'!$D$56*'Idaho Data'!SW65</f>
        <v>0</v>
      </c>
      <c r="US65" s="200">
        <f>'1. Simulator Input'!$D$67*'1. Simulator Input'!$D$56*'Idaho Data'!TA65</f>
        <v>0</v>
      </c>
      <c r="UT65" s="200">
        <f>'1. Simulator Input'!$D$68*'1. Simulator Input'!$D$56*'Idaho Data'!TB65</f>
        <v>0</v>
      </c>
      <c r="UU65" s="200">
        <f>'1. Simulator Input'!$D$69*'1. Simulator Input'!$D$56*'Idaho Data'!TC65</f>
        <v>0</v>
      </c>
      <c r="UV65" s="200">
        <f>'1. Simulator Input'!$D$70*'1. Simulator Input'!$D$56*TD65</f>
        <v>0</v>
      </c>
      <c r="UW65" s="200">
        <f>'1. Simulator Input'!$D$80*'1. Simulator Input'!$D$56*TW65</f>
        <v>0</v>
      </c>
      <c r="UX65" s="200">
        <f>'1. Simulator Input'!$D$79*'1. Simulator Input'!$D$56*UB65</f>
        <v>0</v>
      </c>
      <c r="UY65" s="200">
        <f>'1. Simulator Input'!$D$87*'1. Simulator Input'!$D$56*TF65</f>
        <v>19341</v>
      </c>
      <c r="UZ65" s="200">
        <f>'1. Simulator Input'!$D$73*'1. Simulator Input'!$D$56*'Idaho Data'!TG65</f>
        <v>0</v>
      </c>
      <c r="VA65" s="200">
        <f>'1. Simulator Input'!$D$56*'1. Simulator Input'!$D$74*'Idaho Data'!TH65</f>
        <v>0</v>
      </c>
      <c r="VB65" s="200">
        <f>'1. Simulator Input'!$D$56*'1. Simulator Input'!$D$75*'Idaho Data'!TI60</f>
        <v>0</v>
      </c>
      <c r="VC65" s="200">
        <f>'1. Simulator Input'!$D$76*'1. Simulator Input'!$D$56*'Idaho Data'!TJ65</f>
        <v>0</v>
      </c>
      <c r="VD65" s="200">
        <f t="shared" si="68"/>
        <v>605097</v>
      </c>
      <c r="VE65" s="200"/>
      <c r="VF65" s="182"/>
      <c r="VG65" s="200"/>
      <c r="VH65" s="200">
        <f t="shared" si="69"/>
        <v>0</v>
      </c>
      <c r="VI65" s="200">
        <f t="shared" si="70"/>
        <v>0</v>
      </c>
      <c r="VJ65" s="200">
        <f t="shared" si="94"/>
        <v>605097</v>
      </c>
      <c r="VK65" s="200">
        <f t="shared" si="95"/>
        <v>605097</v>
      </c>
      <c r="VL65" s="200"/>
      <c r="VM65" s="182"/>
      <c r="VN65" s="200"/>
      <c r="VO65" s="200">
        <f t="shared" si="71"/>
        <v>390968</v>
      </c>
      <c r="VP65" s="200">
        <f t="shared" si="72"/>
        <v>1324843</v>
      </c>
      <c r="VQ65" s="200">
        <f t="shared" si="73"/>
        <v>618913</v>
      </c>
      <c r="VR65" s="200">
        <f t="shared" si="74"/>
        <v>390968</v>
      </c>
      <c r="VS65" s="200">
        <f t="shared" si="96"/>
        <v>605097</v>
      </c>
      <c r="VT65" s="200">
        <f t="shared" si="97"/>
        <v>618913</v>
      </c>
      <c r="VU65" s="200">
        <f t="shared" si="98"/>
        <v>0</v>
      </c>
      <c r="VV65" s="200"/>
      <c r="VW65" s="182"/>
      <c r="VX65" s="200"/>
      <c r="VZ65" s="199">
        <f t="shared" si="75"/>
        <v>-719746</v>
      </c>
      <c r="WA65" s="199">
        <f t="shared" si="76"/>
        <v>-6790.0566037735853</v>
      </c>
      <c r="WB65" s="131">
        <f t="shared" si="77"/>
        <v>-0.54326890054142263</v>
      </c>
      <c r="WC65" s="131"/>
      <c r="WD65" s="461"/>
      <c r="WE65" s="893"/>
      <c r="WF65" s="893">
        <f t="shared" si="78"/>
        <v>22025.698113207549</v>
      </c>
      <c r="WG65" s="893">
        <f t="shared" si="79"/>
        <v>15235.641509433963</v>
      </c>
      <c r="WH65" s="893"/>
      <c r="WI65" s="893">
        <f t="shared" si="80"/>
        <v>1324843</v>
      </c>
      <c r="WJ65" s="893">
        <f t="shared" si="99"/>
        <v>605097</v>
      </c>
      <c r="WK65" s="39">
        <f t="shared" si="100"/>
        <v>0</v>
      </c>
      <c r="WL65" s="39">
        <f t="shared" si="101"/>
        <v>0</v>
      </c>
      <c r="WM65" s="200">
        <f t="shared" si="102"/>
        <v>719746</v>
      </c>
      <c r="WN65" s="39">
        <f t="shared" si="103"/>
        <v>719746</v>
      </c>
      <c r="WO65" s="39"/>
      <c r="WP65" s="182"/>
      <c r="WQ65" s="39"/>
      <c r="WR65" s="305">
        <f t="shared" si="104"/>
        <v>0.85</v>
      </c>
      <c r="WT65" s="200">
        <f t="shared" si="105"/>
        <v>12498.518867924528</v>
      </c>
      <c r="WU65" s="131">
        <f t="shared" si="81"/>
        <v>0.92</v>
      </c>
      <c r="WW65" s="199">
        <f t="shared" si="106"/>
        <v>390968</v>
      </c>
      <c r="WX65" s="199">
        <f t="shared" si="107"/>
        <v>605097</v>
      </c>
      <c r="WY65" s="199">
        <f t="shared" si="108"/>
        <v>0</v>
      </c>
      <c r="WZ65" s="199">
        <f t="shared" si="82"/>
        <v>605097</v>
      </c>
      <c r="XA65" s="199">
        <f t="shared" si="109"/>
        <v>0</v>
      </c>
      <c r="XB65" s="199">
        <f t="shared" si="110"/>
        <v>618913</v>
      </c>
      <c r="XC65" s="199">
        <f t="shared" si="111"/>
        <v>618913</v>
      </c>
      <c r="XD65" s="199" t="str">
        <f t="shared" si="112"/>
        <v/>
      </c>
      <c r="XE65" s="199"/>
      <c r="XF65" s="199"/>
      <c r="XG65" s="199"/>
      <c r="XH65" s="199"/>
      <c r="XI65" s="199"/>
      <c r="XJ65" s="199">
        <f t="shared" si="83"/>
        <v>605097</v>
      </c>
      <c r="XP65" s="199">
        <f t="shared" si="113"/>
        <v>605097</v>
      </c>
      <c r="XQ65" s="199">
        <f t="shared" si="114"/>
        <v>5708.4622641509432</v>
      </c>
      <c r="XR65" s="199">
        <f t="shared" si="115"/>
        <v>605097</v>
      </c>
      <c r="XS65" s="199">
        <f t="shared" si="116"/>
        <v>605097</v>
      </c>
      <c r="XT65" s="199">
        <f t="shared" si="117"/>
        <v>5708.4622641509432</v>
      </c>
      <c r="XU65" s="199">
        <f t="shared" si="118"/>
        <v>1324843</v>
      </c>
      <c r="XV65" s="199">
        <f t="shared" si="119"/>
        <v>12498.518867924528</v>
      </c>
      <c r="XW65" s="199">
        <f t="shared" si="120"/>
        <v>1324843</v>
      </c>
      <c r="XX65" s="199">
        <f t="shared" si="121"/>
        <v>12498.518867924528</v>
      </c>
      <c r="XY65" s="199">
        <f t="shared" si="84"/>
        <v>-719746</v>
      </c>
      <c r="XZ65" s="199">
        <f t="shared" si="85"/>
        <v>-6790.0566037735844</v>
      </c>
      <c r="YA65" s="131">
        <f t="shared" si="86"/>
        <v>-0.54326890054142263</v>
      </c>
      <c r="YB65" s="199"/>
      <c r="YC65" s="221"/>
      <c r="YD65" s="199"/>
      <c r="YE65" s="199">
        <f t="shared" si="122"/>
        <v>390968</v>
      </c>
      <c r="YF65" s="200">
        <f t="shared" si="123"/>
        <v>0</v>
      </c>
      <c r="YG65" s="199">
        <f t="shared" si="124"/>
        <v>618913</v>
      </c>
      <c r="YH65" s="199">
        <f t="shared" si="125"/>
        <v>42078</v>
      </c>
    </row>
    <row r="66" spans="1:658">
      <c r="A66" s="3">
        <v>244</v>
      </c>
      <c r="B66" s="2" t="s">
        <v>161</v>
      </c>
      <c r="C66" s="24">
        <v>0</v>
      </c>
      <c r="D66" s="24">
        <v>0</v>
      </c>
      <c r="E66" s="24">
        <v>0</v>
      </c>
      <c r="F66" s="24">
        <v>0</v>
      </c>
      <c r="G66" s="24">
        <v>2709311</v>
      </c>
      <c r="H66" s="24">
        <v>0</v>
      </c>
      <c r="I66" s="24">
        <v>0</v>
      </c>
      <c r="J66" s="24">
        <v>16085</v>
      </c>
      <c r="K66" s="24">
        <v>0</v>
      </c>
      <c r="L66" s="24">
        <v>26</v>
      </c>
      <c r="M66" s="24">
        <v>0</v>
      </c>
      <c r="N66" s="24">
        <v>65595</v>
      </c>
      <c r="O66" s="24">
        <v>0</v>
      </c>
      <c r="P66" s="24">
        <v>0</v>
      </c>
      <c r="Q66" s="24">
        <v>0</v>
      </c>
      <c r="R66" s="24">
        <v>0</v>
      </c>
      <c r="S66" s="24">
        <v>0</v>
      </c>
      <c r="T66" s="24">
        <v>0</v>
      </c>
      <c r="U66" s="24">
        <v>0</v>
      </c>
      <c r="V66" s="24">
        <v>0</v>
      </c>
      <c r="W66" s="24">
        <v>0</v>
      </c>
      <c r="X66" s="24">
        <v>0</v>
      </c>
      <c r="Y66" s="24">
        <v>21079</v>
      </c>
      <c r="Z66" s="24">
        <v>0</v>
      </c>
      <c r="AA66" s="24">
        <v>0</v>
      </c>
      <c r="AB66" s="24">
        <v>0</v>
      </c>
      <c r="AC66" s="24">
        <v>0</v>
      </c>
      <c r="AD66" s="24">
        <v>225</v>
      </c>
      <c r="AE66" s="24">
        <v>0</v>
      </c>
      <c r="AF66" s="24">
        <v>0</v>
      </c>
      <c r="AG66" s="24">
        <v>0</v>
      </c>
      <c r="AH66" s="24">
        <v>0</v>
      </c>
      <c r="AI66" s="24">
        <v>0</v>
      </c>
      <c r="AJ66" s="24">
        <v>0</v>
      </c>
      <c r="AK66" s="24">
        <v>0</v>
      </c>
      <c r="AL66" s="24">
        <v>9648</v>
      </c>
      <c r="AM66" s="24">
        <v>15626</v>
      </c>
      <c r="AN66" s="24">
        <v>0</v>
      </c>
      <c r="AO66" s="24">
        <v>0</v>
      </c>
      <c r="AP66" s="24">
        <v>0</v>
      </c>
      <c r="AQ66" s="24">
        <v>0</v>
      </c>
      <c r="AR66" s="24">
        <v>0</v>
      </c>
      <c r="AS66" s="24">
        <v>0</v>
      </c>
      <c r="AT66" s="24">
        <v>0</v>
      </c>
      <c r="AU66" s="24">
        <v>0</v>
      </c>
      <c r="AV66" s="24">
        <v>0</v>
      </c>
      <c r="AW66" s="24">
        <v>0</v>
      </c>
      <c r="AX66" s="24">
        <v>0</v>
      </c>
      <c r="AY66" s="24">
        <v>0</v>
      </c>
      <c r="AZ66" s="24">
        <v>0</v>
      </c>
      <c r="BA66" s="24">
        <v>0</v>
      </c>
      <c r="BB66" s="24">
        <v>0</v>
      </c>
      <c r="BC66" s="24">
        <v>0</v>
      </c>
      <c r="BD66" s="24">
        <v>0</v>
      </c>
      <c r="BE66" s="24">
        <v>0</v>
      </c>
      <c r="BF66" s="24">
        <v>814</v>
      </c>
      <c r="BG66" s="24">
        <v>0</v>
      </c>
      <c r="BH66" s="24">
        <v>0</v>
      </c>
      <c r="BI66" s="24">
        <v>0</v>
      </c>
      <c r="BJ66" s="24">
        <v>0</v>
      </c>
      <c r="BK66" s="24">
        <v>0</v>
      </c>
      <c r="BL66" s="24">
        <v>0</v>
      </c>
      <c r="BM66" s="24">
        <v>0</v>
      </c>
      <c r="BN66" s="24">
        <v>0</v>
      </c>
      <c r="BO66" s="24">
        <v>0</v>
      </c>
      <c r="BP66" s="24">
        <v>0</v>
      </c>
      <c r="BQ66" s="24">
        <v>0</v>
      </c>
      <c r="BR66" s="24">
        <v>0</v>
      </c>
      <c r="BS66" s="24">
        <v>994</v>
      </c>
      <c r="BT66" s="24">
        <v>15</v>
      </c>
      <c r="BU66" s="24">
        <v>64</v>
      </c>
      <c r="BV66" s="24">
        <v>3</v>
      </c>
      <c r="BW66" s="24">
        <v>0</v>
      </c>
      <c r="BX66" s="24">
        <v>56</v>
      </c>
      <c r="BY66" s="24">
        <v>140</v>
      </c>
      <c r="BZ66" s="24">
        <v>0</v>
      </c>
      <c r="CA66" s="24">
        <v>126</v>
      </c>
      <c r="CB66" s="24">
        <v>0</v>
      </c>
      <c r="CC66" s="24">
        <v>0</v>
      </c>
      <c r="CD66" s="24">
        <v>87871</v>
      </c>
      <c r="CE66" s="24">
        <v>34437</v>
      </c>
      <c r="CF66" s="24">
        <v>0</v>
      </c>
      <c r="CG66" s="24">
        <v>0</v>
      </c>
      <c r="CH66" s="24">
        <v>0</v>
      </c>
      <c r="CI66" s="24">
        <v>53630</v>
      </c>
      <c r="CJ66" s="24">
        <v>0</v>
      </c>
      <c r="CK66" s="24">
        <v>0</v>
      </c>
      <c r="CL66" s="24">
        <v>0</v>
      </c>
      <c r="CM66" s="24">
        <v>0</v>
      </c>
      <c r="CN66" s="24">
        <v>0</v>
      </c>
      <c r="CO66" s="24">
        <v>0</v>
      </c>
      <c r="CP66" s="24">
        <v>0</v>
      </c>
      <c r="CQ66" s="24">
        <v>0</v>
      </c>
      <c r="CR66" s="24">
        <v>0</v>
      </c>
      <c r="CS66" s="24">
        <v>53262</v>
      </c>
      <c r="CT66" s="24">
        <v>0</v>
      </c>
      <c r="CU66" s="24">
        <v>0</v>
      </c>
      <c r="CV66" s="24">
        <v>0</v>
      </c>
      <c r="CW66" s="24">
        <v>0</v>
      </c>
      <c r="CX66" s="24">
        <v>0</v>
      </c>
      <c r="CY66" s="24">
        <v>0</v>
      </c>
      <c r="CZ66" s="24">
        <v>0</v>
      </c>
      <c r="DA66" s="24">
        <v>0</v>
      </c>
      <c r="DB66" s="24">
        <v>18360</v>
      </c>
      <c r="DC66" s="24">
        <v>0</v>
      </c>
      <c r="DD66" s="24">
        <v>0</v>
      </c>
      <c r="DE66" s="24">
        <v>0</v>
      </c>
      <c r="DF66" s="24">
        <v>27113</v>
      </c>
      <c r="DG66" s="24">
        <v>0</v>
      </c>
      <c r="DH66" s="24">
        <v>0</v>
      </c>
      <c r="DI66" s="24">
        <v>0</v>
      </c>
      <c r="DJ66" s="24">
        <v>0</v>
      </c>
      <c r="DK66" s="24">
        <v>0</v>
      </c>
      <c r="DL66" s="24">
        <v>0</v>
      </c>
      <c r="DM66" s="24">
        <v>0</v>
      </c>
      <c r="DN66" s="24">
        <v>0</v>
      </c>
      <c r="DO66" s="24">
        <v>0</v>
      </c>
      <c r="DP66" s="24">
        <v>0</v>
      </c>
      <c r="DQ66" s="24">
        <v>0</v>
      </c>
      <c r="DR66" s="24">
        <v>0</v>
      </c>
      <c r="DS66" s="24">
        <v>0</v>
      </c>
      <c r="DT66" s="24">
        <v>0</v>
      </c>
      <c r="DU66" s="24">
        <v>61324</v>
      </c>
      <c r="DV66" s="24">
        <v>0</v>
      </c>
      <c r="DW66" s="24">
        <v>0</v>
      </c>
      <c r="DX66" s="24">
        <v>0</v>
      </c>
      <c r="DY66" s="24">
        <v>0</v>
      </c>
      <c r="DZ66" s="24">
        <v>0</v>
      </c>
      <c r="EA66" s="24">
        <v>0</v>
      </c>
      <c r="EB66" s="24">
        <v>500</v>
      </c>
      <c r="EC66" s="24">
        <v>0</v>
      </c>
      <c r="ED66" s="24">
        <v>0</v>
      </c>
      <c r="EE66" s="24">
        <v>0</v>
      </c>
      <c r="EF66" s="24">
        <v>0</v>
      </c>
      <c r="EG66" s="24">
        <v>8180</v>
      </c>
      <c r="EH66" s="24">
        <v>0</v>
      </c>
      <c r="EI66" s="24">
        <v>0</v>
      </c>
      <c r="EJ66" s="24">
        <v>110872</v>
      </c>
      <c r="EK66" s="24">
        <v>0</v>
      </c>
      <c r="EL66" s="24">
        <v>0</v>
      </c>
      <c r="EM66" s="24">
        <v>0</v>
      </c>
      <c r="EN66" s="24">
        <v>0</v>
      </c>
      <c r="EO66" s="24">
        <v>0</v>
      </c>
      <c r="EP66" s="24">
        <v>0</v>
      </c>
      <c r="EQ66" s="24">
        <v>0</v>
      </c>
      <c r="ER66" s="24">
        <v>0</v>
      </c>
      <c r="ES66" s="24">
        <v>0</v>
      </c>
      <c r="ET66" s="24">
        <v>0</v>
      </c>
      <c r="EU66" s="24">
        <v>0</v>
      </c>
      <c r="EV66" s="24">
        <v>0</v>
      </c>
      <c r="EW66" s="24">
        <v>0</v>
      </c>
      <c r="EX66" s="24">
        <v>0</v>
      </c>
      <c r="EY66" s="24">
        <v>0</v>
      </c>
      <c r="EZ66" s="24">
        <v>0</v>
      </c>
      <c r="FA66" s="24">
        <v>0</v>
      </c>
      <c r="FB66" s="24">
        <v>0</v>
      </c>
      <c r="FC66" s="24">
        <v>0</v>
      </c>
      <c r="FD66" s="24">
        <v>0</v>
      </c>
      <c r="FE66" s="24">
        <v>0</v>
      </c>
      <c r="FF66" s="24">
        <v>0</v>
      </c>
      <c r="FG66" s="24">
        <v>122</v>
      </c>
      <c r="FH66" s="24">
        <v>130</v>
      </c>
      <c r="FI66" s="24">
        <v>0</v>
      </c>
      <c r="FJ66" s="24">
        <v>500</v>
      </c>
      <c r="FK66" s="24">
        <v>595</v>
      </c>
      <c r="FL66" s="24">
        <v>124934</v>
      </c>
      <c r="FM66" s="24">
        <v>0</v>
      </c>
      <c r="FN66" s="24">
        <v>2430</v>
      </c>
      <c r="FO66" s="24">
        <v>0</v>
      </c>
      <c r="FP66" s="24">
        <v>0</v>
      </c>
      <c r="FQ66" s="24">
        <v>0</v>
      </c>
      <c r="FR66" s="24">
        <v>0</v>
      </c>
      <c r="FS66" s="24">
        <v>11294</v>
      </c>
      <c r="FT66" s="24">
        <v>0</v>
      </c>
      <c r="FU66" s="24">
        <v>0</v>
      </c>
      <c r="FV66" s="24">
        <v>0</v>
      </c>
      <c r="FW66" s="24">
        <v>0</v>
      </c>
      <c r="FX66" s="24">
        <v>0</v>
      </c>
      <c r="FY66" s="24">
        <v>0</v>
      </c>
      <c r="FZ66" s="24">
        <v>0</v>
      </c>
      <c r="GA66" s="24">
        <v>0</v>
      </c>
      <c r="GB66" s="24">
        <v>0</v>
      </c>
      <c r="GC66" s="24">
        <v>0</v>
      </c>
      <c r="GD66" s="24">
        <v>0</v>
      </c>
      <c r="GE66" s="24">
        <v>0</v>
      </c>
      <c r="GF66" s="24">
        <v>0</v>
      </c>
      <c r="GG66" s="24">
        <v>0</v>
      </c>
      <c r="GH66" s="24">
        <v>0</v>
      </c>
      <c r="GI66" s="24">
        <v>0</v>
      </c>
      <c r="GJ66" s="24">
        <v>0</v>
      </c>
      <c r="GK66" s="24">
        <v>0</v>
      </c>
      <c r="GL66" s="24">
        <v>0</v>
      </c>
      <c r="GM66" s="24">
        <v>0</v>
      </c>
      <c r="GN66" s="24">
        <v>0</v>
      </c>
      <c r="GO66" s="24">
        <v>0</v>
      </c>
      <c r="GP66" s="24">
        <v>0</v>
      </c>
      <c r="GQ66" s="24">
        <v>0</v>
      </c>
      <c r="GR66" s="24">
        <v>0</v>
      </c>
      <c r="GS66" s="24">
        <v>0</v>
      </c>
      <c r="GT66" s="24">
        <v>0</v>
      </c>
      <c r="GU66" s="24">
        <v>0</v>
      </c>
      <c r="GV66" s="24">
        <v>0</v>
      </c>
      <c r="GW66" s="24">
        <v>0</v>
      </c>
      <c r="GX66" s="24">
        <v>0</v>
      </c>
      <c r="GY66" s="24">
        <v>0</v>
      </c>
      <c r="GZ66" s="24">
        <v>0</v>
      </c>
      <c r="HA66" s="24">
        <v>0</v>
      </c>
      <c r="HB66" s="24">
        <v>0</v>
      </c>
      <c r="HC66" s="24">
        <v>0</v>
      </c>
      <c r="HD66" s="24">
        <v>5520933</v>
      </c>
      <c r="HE66" s="24">
        <v>0</v>
      </c>
      <c r="HF66" s="24">
        <v>0</v>
      </c>
      <c r="HG66" s="24">
        <v>0</v>
      </c>
      <c r="HH66" s="24">
        <v>0</v>
      </c>
      <c r="HI66" s="24">
        <v>631259</v>
      </c>
      <c r="HJ66" s="24">
        <v>0</v>
      </c>
      <c r="HK66" s="24">
        <v>0</v>
      </c>
      <c r="HL66" s="24">
        <v>810</v>
      </c>
      <c r="HM66" s="24">
        <v>0</v>
      </c>
      <c r="HN66" s="24">
        <v>0</v>
      </c>
      <c r="HO66" s="24">
        <v>741199</v>
      </c>
      <c r="HP66" s="24">
        <v>255006</v>
      </c>
      <c r="HQ66" s="24">
        <v>0</v>
      </c>
      <c r="HR66" s="24">
        <v>26621</v>
      </c>
      <c r="HS66" s="24">
        <v>0</v>
      </c>
      <c r="HT66" s="24">
        <v>0</v>
      </c>
      <c r="HU66" s="24">
        <v>0</v>
      </c>
      <c r="HV66" s="24">
        <v>0</v>
      </c>
      <c r="HW66" s="24">
        <v>0</v>
      </c>
      <c r="HX66" s="24">
        <v>0</v>
      </c>
      <c r="HY66" s="24">
        <v>0</v>
      </c>
      <c r="HZ66" s="24">
        <v>0</v>
      </c>
      <c r="IA66" s="24">
        <v>0</v>
      </c>
      <c r="IB66" s="24">
        <v>15092</v>
      </c>
      <c r="IC66" s="24">
        <v>0</v>
      </c>
      <c r="ID66" s="24">
        <v>0</v>
      </c>
      <c r="IE66" s="24">
        <v>0</v>
      </c>
      <c r="IF66" s="24">
        <v>0</v>
      </c>
      <c r="IG66" s="24">
        <v>0</v>
      </c>
      <c r="IH66" s="24">
        <v>0</v>
      </c>
      <c r="II66" s="24">
        <v>0</v>
      </c>
      <c r="IJ66" s="24">
        <v>0</v>
      </c>
      <c r="IK66" s="24">
        <v>0</v>
      </c>
      <c r="IL66" s="24">
        <v>0</v>
      </c>
      <c r="IM66" s="24">
        <v>0</v>
      </c>
      <c r="IN66" s="24">
        <v>0</v>
      </c>
      <c r="IO66" s="24">
        <v>12375</v>
      </c>
      <c r="IP66" s="24">
        <v>0</v>
      </c>
      <c r="IQ66" s="24">
        <v>65302</v>
      </c>
      <c r="IR66" s="24">
        <v>0</v>
      </c>
      <c r="IS66" s="24">
        <v>0</v>
      </c>
      <c r="IT66" s="24">
        <v>0</v>
      </c>
      <c r="IU66" s="24">
        <v>0</v>
      </c>
      <c r="IV66" s="24">
        <v>0</v>
      </c>
      <c r="IW66" s="24">
        <v>117845</v>
      </c>
      <c r="IX66" s="24">
        <v>0</v>
      </c>
      <c r="IY66" s="24">
        <v>0</v>
      </c>
      <c r="IZ66" s="24">
        <v>0</v>
      </c>
      <c r="JA66" s="24">
        <v>0</v>
      </c>
      <c r="JB66" s="24">
        <v>52071</v>
      </c>
      <c r="JC66" s="24">
        <v>0</v>
      </c>
      <c r="JD66" s="24">
        <v>0</v>
      </c>
      <c r="JE66" s="24">
        <v>2581</v>
      </c>
      <c r="JF66" s="24">
        <v>0</v>
      </c>
      <c r="JG66" s="24">
        <v>0</v>
      </c>
      <c r="JH66" s="24">
        <v>0</v>
      </c>
      <c r="JI66" s="24">
        <v>0</v>
      </c>
      <c r="JJ66" s="24">
        <v>0</v>
      </c>
      <c r="JK66" s="24">
        <v>0</v>
      </c>
      <c r="JL66" s="24">
        <v>0</v>
      </c>
      <c r="JM66" s="24">
        <v>0</v>
      </c>
      <c r="JN66" s="24">
        <v>0</v>
      </c>
      <c r="JO66" s="24">
        <v>0</v>
      </c>
      <c r="JP66" s="24">
        <v>0</v>
      </c>
      <c r="JQ66" s="24">
        <v>0</v>
      </c>
      <c r="JR66" s="24">
        <v>0</v>
      </c>
      <c r="JS66" s="24">
        <v>0</v>
      </c>
      <c r="JT66" s="24">
        <v>0</v>
      </c>
      <c r="JU66" s="24">
        <v>0</v>
      </c>
      <c r="JV66" s="24">
        <v>0</v>
      </c>
      <c r="JW66" s="24">
        <v>0</v>
      </c>
      <c r="JX66" s="24">
        <v>0</v>
      </c>
      <c r="JY66" s="24">
        <v>0</v>
      </c>
      <c r="JZ66" s="24">
        <v>100</v>
      </c>
      <c r="KA66" s="24">
        <v>0</v>
      </c>
      <c r="KB66" s="24">
        <v>0</v>
      </c>
      <c r="KC66" s="24">
        <v>0</v>
      </c>
      <c r="KD66" s="24">
        <v>0</v>
      </c>
      <c r="KE66" s="24">
        <v>0</v>
      </c>
      <c r="KF66" s="24">
        <v>0</v>
      </c>
      <c r="KG66" s="24">
        <v>0</v>
      </c>
      <c r="KH66" s="24">
        <v>0</v>
      </c>
      <c r="KI66" s="24">
        <v>0</v>
      </c>
      <c r="KJ66" s="24">
        <v>0</v>
      </c>
      <c r="KK66" s="24">
        <v>0</v>
      </c>
      <c r="KL66" s="24">
        <v>0</v>
      </c>
      <c r="KM66" s="24">
        <v>0</v>
      </c>
      <c r="KN66" s="24">
        <v>0</v>
      </c>
      <c r="KO66" s="24">
        <v>0</v>
      </c>
      <c r="KP66" s="24">
        <v>0</v>
      </c>
      <c r="KQ66" s="24">
        <v>0</v>
      </c>
      <c r="KR66" s="24">
        <v>0</v>
      </c>
      <c r="KS66" s="24">
        <v>0</v>
      </c>
      <c r="KT66" s="24">
        <v>0</v>
      </c>
      <c r="KU66" s="24">
        <v>0</v>
      </c>
      <c r="KV66" s="24">
        <v>0</v>
      </c>
      <c r="KW66" s="24">
        <v>0</v>
      </c>
      <c r="KX66" s="24">
        <v>0</v>
      </c>
      <c r="KY66" s="24">
        <v>0</v>
      </c>
      <c r="KZ66" s="24">
        <v>0</v>
      </c>
      <c r="LA66" s="24">
        <v>0</v>
      </c>
      <c r="LB66" s="24">
        <v>0</v>
      </c>
      <c r="LC66" s="24">
        <v>0</v>
      </c>
      <c r="LD66" s="24">
        <v>0</v>
      </c>
      <c r="LE66" s="24">
        <v>0</v>
      </c>
      <c r="LF66" s="24">
        <v>0</v>
      </c>
      <c r="LG66" s="24">
        <v>0</v>
      </c>
      <c r="LH66" s="24">
        <v>0</v>
      </c>
      <c r="LI66" s="24">
        <v>0</v>
      </c>
      <c r="LJ66" s="24">
        <v>0</v>
      </c>
      <c r="LK66" s="24">
        <v>0</v>
      </c>
      <c r="LL66" s="24">
        <v>0</v>
      </c>
      <c r="LM66" s="24">
        <v>0</v>
      </c>
      <c r="LN66" s="24">
        <v>0</v>
      </c>
      <c r="LO66" s="24">
        <v>0</v>
      </c>
      <c r="LP66" s="24">
        <v>0</v>
      </c>
      <c r="LQ66" s="24">
        <v>319112</v>
      </c>
      <c r="LR66" s="24">
        <v>0</v>
      </c>
      <c r="LS66" s="24">
        <v>0</v>
      </c>
      <c r="LT66" s="24">
        <v>0</v>
      </c>
      <c r="LU66" s="24">
        <v>0</v>
      </c>
      <c r="LV66" s="24">
        <v>0</v>
      </c>
      <c r="LW66" s="24">
        <v>0</v>
      </c>
      <c r="LX66" s="24">
        <v>0</v>
      </c>
      <c r="LY66" s="24">
        <v>0</v>
      </c>
      <c r="LZ66" s="24">
        <v>0</v>
      </c>
      <c r="MA66" s="24">
        <v>0</v>
      </c>
      <c r="MB66" s="24">
        <v>0</v>
      </c>
      <c r="MC66" s="24">
        <v>0</v>
      </c>
      <c r="MD66" s="24">
        <v>0</v>
      </c>
      <c r="ME66" s="24">
        <v>0</v>
      </c>
      <c r="MF66" s="24">
        <v>0</v>
      </c>
      <c r="MG66" s="24">
        <v>0</v>
      </c>
      <c r="MH66" s="24">
        <v>0</v>
      </c>
      <c r="MI66" s="24">
        <v>0</v>
      </c>
      <c r="MJ66" s="24">
        <v>0</v>
      </c>
      <c r="MK66" s="24">
        <v>0</v>
      </c>
      <c r="ML66" s="24">
        <v>0</v>
      </c>
      <c r="MM66" s="24">
        <v>0</v>
      </c>
      <c r="MN66" s="24">
        <v>0</v>
      </c>
      <c r="MO66" s="24">
        <v>16701</v>
      </c>
      <c r="MP66" s="24">
        <v>0</v>
      </c>
      <c r="MQ66" s="24">
        <v>0</v>
      </c>
      <c r="MR66" s="24">
        <v>339651</v>
      </c>
      <c r="MS66" s="24">
        <v>0</v>
      </c>
      <c r="MT66" s="24">
        <v>0</v>
      </c>
      <c r="MU66" s="24">
        <v>0</v>
      </c>
      <c r="MV66" s="24">
        <v>0</v>
      </c>
      <c r="MW66" s="24">
        <v>340486</v>
      </c>
      <c r="MX66" s="24">
        <v>11775</v>
      </c>
      <c r="MY66" s="24">
        <v>0</v>
      </c>
      <c r="MZ66" s="24">
        <v>0</v>
      </c>
      <c r="NA66" s="24">
        <v>160716</v>
      </c>
      <c r="NB66" s="24">
        <v>1042521</v>
      </c>
      <c r="NC66" s="24">
        <v>0</v>
      </c>
      <c r="ND66" s="24">
        <v>0</v>
      </c>
      <c r="NE66" s="24">
        <v>0</v>
      </c>
      <c r="NF66" s="24">
        <v>0</v>
      </c>
      <c r="NG66" s="24">
        <v>0</v>
      </c>
      <c r="NH66" s="24">
        <v>0</v>
      </c>
      <c r="NI66" s="24">
        <v>0</v>
      </c>
      <c r="NJ66" s="24">
        <v>0</v>
      </c>
      <c r="NK66" s="24">
        <v>0</v>
      </c>
      <c r="NL66" s="24">
        <v>0</v>
      </c>
      <c r="NM66" s="24">
        <v>0</v>
      </c>
      <c r="NN66" s="24">
        <v>0</v>
      </c>
      <c r="NO66" s="24">
        <v>0</v>
      </c>
      <c r="NP66" s="24">
        <v>0</v>
      </c>
      <c r="NQ66" s="24">
        <v>22535</v>
      </c>
      <c r="NR66" s="24">
        <v>0</v>
      </c>
      <c r="NS66" s="24">
        <v>0</v>
      </c>
      <c r="NT66" s="24">
        <v>929</v>
      </c>
      <c r="NU66" s="24">
        <v>0</v>
      </c>
      <c r="NV66" s="24">
        <v>77208</v>
      </c>
      <c r="NW66" s="24">
        <v>0</v>
      </c>
      <c r="NX66" s="24">
        <v>125550</v>
      </c>
      <c r="NY66" s="24">
        <v>0</v>
      </c>
      <c r="NZ66" s="24">
        <v>0</v>
      </c>
      <c r="OA66" s="24">
        <v>0</v>
      </c>
      <c r="OB66" s="24">
        <v>0</v>
      </c>
      <c r="OC66" s="24">
        <v>0</v>
      </c>
      <c r="OD66" s="24">
        <v>0</v>
      </c>
      <c r="OE66" s="24">
        <v>0</v>
      </c>
      <c r="OF66" s="24">
        <v>0</v>
      </c>
      <c r="OG66" s="24">
        <v>0</v>
      </c>
      <c r="OH66" s="24">
        <v>0</v>
      </c>
      <c r="OI66" s="24">
        <v>0</v>
      </c>
      <c r="OJ66" s="24">
        <v>0</v>
      </c>
      <c r="OK66" s="24">
        <v>42613</v>
      </c>
      <c r="OL66" s="24">
        <v>0</v>
      </c>
      <c r="OM66" s="24">
        <v>0</v>
      </c>
      <c r="ON66" s="24">
        <v>0</v>
      </c>
      <c r="OO66" s="24">
        <v>0</v>
      </c>
      <c r="OP66" s="24">
        <v>0</v>
      </c>
      <c r="OQ66" s="24">
        <v>0</v>
      </c>
      <c r="OR66" s="24">
        <v>0</v>
      </c>
      <c r="OS66" s="24">
        <v>0</v>
      </c>
      <c r="OT66" s="24">
        <v>0</v>
      </c>
      <c r="OU66" s="24">
        <v>0</v>
      </c>
      <c r="OV66" s="24">
        <v>0</v>
      </c>
      <c r="OW66" s="24">
        <v>0</v>
      </c>
      <c r="OX66" s="24">
        <v>3198</v>
      </c>
      <c r="OY66" s="24">
        <v>0</v>
      </c>
      <c r="OZ66" s="24">
        <v>0</v>
      </c>
      <c r="PA66" s="24">
        <v>0</v>
      </c>
      <c r="PB66" s="24">
        <v>0</v>
      </c>
      <c r="PC66" s="24">
        <v>0</v>
      </c>
      <c r="PD66" s="24">
        <v>0</v>
      </c>
      <c r="PE66" s="24">
        <v>0</v>
      </c>
      <c r="PF66" s="24">
        <v>0</v>
      </c>
      <c r="PG66" s="24">
        <v>0</v>
      </c>
      <c r="PH66" s="24">
        <v>296371</v>
      </c>
      <c r="PI66" s="24">
        <v>0</v>
      </c>
      <c r="PJ66" s="24">
        <v>0</v>
      </c>
      <c r="PK66" s="24">
        <v>0</v>
      </c>
      <c r="PL66" s="24">
        <v>0</v>
      </c>
      <c r="PM66" s="24">
        <v>0</v>
      </c>
      <c r="PN66" s="24">
        <v>0</v>
      </c>
      <c r="PO66" s="24">
        <v>0</v>
      </c>
      <c r="PP66" s="24">
        <v>37924</v>
      </c>
      <c r="PQ66" s="24">
        <v>0</v>
      </c>
      <c r="PR66" s="24">
        <v>0</v>
      </c>
      <c r="PS66" s="24">
        <v>0</v>
      </c>
      <c r="PT66" s="24">
        <v>4543</v>
      </c>
      <c r="PU66" s="24">
        <v>1025</v>
      </c>
      <c r="PV66" s="24">
        <v>0</v>
      </c>
      <c r="PW66" s="24">
        <v>0</v>
      </c>
      <c r="PX66" s="24">
        <v>0</v>
      </c>
      <c r="PY66" s="24">
        <v>0</v>
      </c>
      <c r="PZ66" s="24">
        <v>0</v>
      </c>
      <c r="QA66" s="24">
        <v>0</v>
      </c>
      <c r="QB66" s="24">
        <v>0</v>
      </c>
      <c r="QC66" s="24">
        <v>0</v>
      </c>
      <c r="QD66" s="24">
        <v>0</v>
      </c>
      <c r="QE66" s="24">
        <v>0</v>
      </c>
      <c r="QF66" s="24">
        <v>0</v>
      </c>
      <c r="QG66" s="24">
        <v>0</v>
      </c>
      <c r="QH66" s="24">
        <v>0</v>
      </c>
      <c r="QI66" s="24">
        <v>0</v>
      </c>
      <c r="QJ66" s="24">
        <v>0</v>
      </c>
      <c r="QK66" s="24">
        <v>0</v>
      </c>
      <c r="QL66" s="24">
        <v>0</v>
      </c>
      <c r="QM66" s="24">
        <v>0</v>
      </c>
      <c r="QN66" s="24">
        <v>0</v>
      </c>
      <c r="QO66" s="24">
        <v>0</v>
      </c>
      <c r="QP66" s="24">
        <v>0</v>
      </c>
      <c r="QQ66" s="24">
        <v>0</v>
      </c>
      <c r="QR66" s="24">
        <v>0</v>
      </c>
      <c r="QS66" s="24">
        <v>11915</v>
      </c>
      <c r="QT66" s="24">
        <v>0</v>
      </c>
      <c r="QU66" s="24">
        <v>0</v>
      </c>
      <c r="QV66" s="24">
        <v>101961</v>
      </c>
      <c r="QW66" s="24">
        <v>0</v>
      </c>
      <c r="QX66" s="24">
        <v>0</v>
      </c>
      <c r="QY66" s="24">
        <v>0</v>
      </c>
      <c r="QZ66" s="24">
        <v>0</v>
      </c>
      <c r="RA66" s="24">
        <v>0</v>
      </c>
      <c r="RB66" s="24">
        <v>0</v>
      </c>
      <c r="RG66" s="39">
        <f t="shared" si="129"/>
        <v>5520933</v>
      </c>
      <c r="RH66" s="39">
        <f t="shared" si="128"/>
        <v>631259</v>
      </c>
      <c r="RI66" s="39">
        <f t="shared" si="128"/>
        <v>810</v>
      </c>
      <c r="RJ66" s="39">
        <f t="shared" si="128"/>
        <v>0</v>
      </c>
      <c r="RK66" s="39">
        <f t="shared" si="128"/>
        <v>0</v>
      </c>
      <c r="RL66" s="39">
        <f t="shared" si="128"/>
        <v>741199</v>
      </c>
      <c r="RM66" s="39">
        <f t="shared" si="128"/>
        <v>296719</v>
      </c>
      <c r="RN66" s="39">
        <f t="shared" si="128"/>
        <v>12375</v>
      </c>
      <c r="RO66" s="39">
        <f t="shared" si="128"/>
        <v>65302</v>
      </c>
      <c r="RP66" s="39">
        <f t="shared" si="128"/>
        <v>117845</v>
      </c>
      <c r="RQ66" s="39">
        <f t="shared" si="128"/>
        <v>52071</v>
      </c>
      <c r="RR66" s="39">
        <f t="shared" si="128"/>
        <v>2681</v>
      </c>
      <c r="RS66" s="39"/>
      <c r="RT66" s="182"/>
      <c r="RU66" s="39"/>
      <c r="RV66" s="39">
        <f t="shared" si="127"/>
        <v>2499797</v>
      </c>
      <c r="RW66" s="39">
        <f t="shared" si="127"/>
        <v>7441194</v>
      </c>
      <c r="RX66" s="39">
        <f t="shared" si="127"/>
        <v>3435361</v>
      </c>
      <c r="RY66" s="39">
        <f t="shared" si="127"/>
        <v>456937</v>
      </c>
      <c r="RZ66" s="39"/>
      <c r="SA66" s="182"/>
      <c r="SB66" s="39"/>
      <c r="SC66" s="25">
        <f t="shared" si="50"/>
        <v>3092.1341134113413</v>
      </c>
      <c r="SD66" s="39">
        <f>IFERROR(VLOOKUP(A66, 'Levy Data 15-16'!$B:$O, 3, FALSE), 0)</f>
        <v>826165208</v>
      </c>
      <c r="SE66" s="39">
        <f t="shared" si="88"/>
        <v>743623.04950495053</v>
      </c>
      <c r="SF66" s="631">
        <f>IFERROR(VLOOKUP(A66, 'Levy Data 15-16'!$B:$O, 14, FALSE), 0)*1000</f>
        <v>3.2440250000000002</v>
      </c>
      <c r="SG66" s="39">
        <f t="shared" si="89"/>
        <v>0</v>
      </c>
      <c r="SH66" s="39">
        <f t="shared" si="90"/>
        <v>0</v>
      </c>
      <c r="SI66" s="39">
        <f t="shared" si="91"/>
        <v>3435361</v>
      </c>
      <c r="SM66" s="39">
        <f t="shared" si="92"/>
        <v>7441194</v>
      </c>
      <c r="SN66" s="39">
        <f t="shared" si="93"/>
        <v>0</v>
      </c>
      <c r="SO66" s="39">
        <f t="shared" si="51"/>
        <v>7441194</v>
      </c>
      <c r="SP66" s="50">
        <f t="shared" si="52"/>
        <v>1</v>
      </c>
      <c r="ST66" s="124">
        <f>IFERROR(VLOOKUP(A66,'Grade Enroll 15-16'!B:AC,27,FALSE),"")</f>
        <v>1111</v>
      </c>
      <c r="SU66" s="124">
        <f t="shared" si="53"/>
        <v>573.1069730586371</v>
      </c>
      <c r="SV66" s="131">
        <f>IFERROR(VLOOKUP($A66, 'Title I Enroll 16-17'!S:V, 4, FALSE), 0)</f>
        <v>0.51584786053882725</v>
      </c>
      <c r="SW66" s="729">
        <f>IFERROR(VLOOKUP(A66, 'ELL Enroll 15-16'!$N:$S, 6, FALSE), 0)</f>
        <v>5</v>
      </c>
      <c r="SX66" s="131">
        <f t="shared" si="54"/>
        <v>4.5004500450045006E-3</v>
      </c>
      <c r="SY66" s="124">
        <f>IFERROR(VLOOKUP(A66, 'SPED enroll 2015-16'!$M:$O, 3, FALSE), 0)</f>
        <v>169</v>
      </c>
      <c r="SZ66" s="131">
        <f t="shared" si="55"/>
        <v>0.15211521152115212</v>
      </c>
      <c r="TA66" s="142">
        <f t="shared" si="87"/>
        <v>118.3</v>
      </c>
      <c r="TB66" s="142">
        <f t="shared" si="87"/>
        <v>33.800000000000004</v>
      </c>
      <c r="TC66" s="142">
        <f t="shared" si="87"/>
        <v>11.830000000000002</v>
      </c>
      <c r="TD66" s="142">
        <f t="shared" si="87"/>
        <v>5.0699999999999994</v>
      </c>
      <c r="TE66" s="124">
        <f>VLOOKUP($A66, 'Grade Enroll 15-16'!$B:$AB, 20, FALSE)</f>
        <v>20</v>
      </c>
      <c r="TF66" s="124">
        <f>VLOOKUP($A66, 'Grade Enroll 15-16'!$B:$AB, 21, FALSE)</f>
        <v>98</v>
      </c>
      <c r="TG66" s="124">
        <f>VLOOKUP($A66, 'Grade Enroll 15-16'!$B:$AB, 22, FALSE)</f>
        <v>284</v>
      </c>
      <c r="TH66" s="124">
        <f>VLOOKUP($A66, 'Grade Enroll 15-16'!$B:$AB, 23, FALSE)</f>
        <v>252</v>
      </c>
      <c r="TI66" s="124">
        <f>VLOOKUP($A66, 'Grade Enroll 15-16'!$B:$AB, 24, FALSE)</f>
        <v>193</v>
      </c>
      <c r="TJ66" s="124">
        <f>VLOOKUP($A66, 'Grade Enroll 15-16'!$B:$AB, 25, FALSE)</f>
        <v>382</v>
      </c>
      <c r="TK66" s="124">
        <f>VLOOKUP($A66, 'Grade Enroll 15-16'!$B:$AB, 26, FALSE)</f>
        <v>743</v>
      </c>
      <c r="TL66" s="131">
        <f>SUMIFS('Student Achievement 15-16'!N:N, 'Student Achievement 15-16'!B:B, 'Idaho Data'!A66, 'Student Achievement 15-16'!D:D, "math")/100</f>
        <v>0.24399999999999999</v>
      </c>
      <c r="TM66" s="134">
        <f t="shared" si="57"/>
        <v>271.084</v>
      </c>
      <c r="TN66" s="131">
        <f>SUMIFS('Student Achievement 15-16'!N:N, 'Student Achievement 15-16'!B:B, 'Idaho Data'!A66, 'Student Achievement 15-16'!D:D, "ela")/100</f>
        <v>0.19399999999999998</v>
      </c>
      <c r="TO66" s="134">
        <f t="shared" si="58"/>
        <v>215.53399999999996</v>
      </c>
      <c r="TP66" s="688">
        <f>IFERROR(VLOOKUP(A66, 'G&amp;T 15-16'!B:G, 6, FALSE), 0)*1</f>
        <v>0</v>
      </c>
      <c r="TQ66" s="168">
        <f t="shared" si="59"/>
        <v>66.66</v>
      </c>
      <c r="TU66" s="168">
        <f t="shared" si="60"/>
        <v>215.53399999999996</v>
      </c>
      <c r="TV66" s="168">
        <f t="shared" si="61"/>
        <v>271.084</v>
      </c>
      <c r="TW66" s="205">
        <f t="shared" si="62"/>
        <v>271.084</v>
      </c>
      <c r="TX66" s="144"/>
      <c r="TY66" s="129"/>
      <c r="TZ66" s="127">
        <f t="shared" si="63"/>
        <v>0</v>
      </c>
      <c r="UA66" s="127">
        <f t="shared" si="64"/>
        <v>66.66</v>
      </c>
      <c r="UB66" s="205">
        <f t="shared" si="65"/>
        <v>66.66</v>
      </c>
      <c r="UE66" s="853" t="str">
        <f>IF(ST66&lt;='1. Simulator Input'!$E$104, "yes", "")</f>
        <v/>
      </c>
      <c r="UI66" s="199">
        <f t="shared" si="66"/>
        <v>0</v>
      </c>
      <c r="UJ66" s="200">
        <f>IF('Idaho Data'!SI66&gt;=0, ((1-'1. Simulator Input'!$E$39)*'Idaho Data'!SI66), 0)</f>
        <v>0</v>
      </c>
      <c r="UK66" s="200">
        <f t="shared" si="67"/>
        <v>7441194</v>
      </c>
      <c r="UL66" s="39"/>
      <c r="UM66" s="182"/>
      <c r="UN66" s="39"/>
      <c r="UO66" s="39" t="str">
        <f>IF(AND('1. Simulator Input'!$E$96="yes", '1. Simulator Input'!$E$98="yes", '1. Simulator Input'!$E$100="hold harmless"), 'Idaho Data'!WN66, IF(AND('1. Simulator Input'!$E$96="yes", '1. Simulator Input'!$E$98="no", '1. Simulator Input'!$E$100="hold harmless"), 'Idaho Data'!WM66, IF(AND('1. Simulator Input'!$E$96="yes", '1. Simulator Input'!$E$98="yes", '1. Simulator Input'!$E$100="small district grant"), WL66,IF(AND('1. Simulator Input'!$E$96="yes", '1. Simulator Input'!$E$98="no", '1. Simulator Input'!$E$100="small district grant"), WK66, ""))))</f>
        <v/>
      </c>
      <c r="UP66" s="200">
        <f>'1. Simulator Input'!$D$56*('Idaho Data'!ST66)</f>
        <v>6139386</v>
      </c>
      <c r="UQ66" s="204">
        <f>'1. Simulator Input'!$D$65*'1. Simulator Input'!$D$56*'Idaho Data'!SU66</f>
        <v>0</v>
      </c>
      <c r="UR66" s="204">
        <f>'1. Simulator Input'!$D$66*'1. Simulator Input'!$D$56*'Idaho Data'!SW66</f>
        <v>0</v>
      </c>
      <c r="US66" s="200">
        <f>'1. Simulator Input'!$D$67*'1. Simulator Input'!$D$56*'Idaho Data'!TA66</f>
        <v>0</v>
      </c>
      <c r="UT66" s="200">
        <f>'1. Simulator Input'!$D$68*'1. Simulator Input'!$D$56*'Idaho Data'!TB66</f>
        <v>0</v>
      </c>
      <c r="UU66" s="200">
        <f>'1. Simulator Input'!$D$69*'1. Simulator Input'!$D$56*'Idaho Data'!TC66</f>
        <v>0</v>
      </c>
      <c r="UV66" s="200">
        <f>'1. Simulator Input'!$D$70*'1. Simulator Input'!$D$56*TD66</f>
        <v>0</v>
      </c>
      <c r="UW66" s="200">
        <f>'1. Simulator Input'!$D$80*'1. Simulator Input'!$D$56*TW66</f>
        <v>0</v>
      </c>
      <c r="UX66" s="200">
        <f>'1. Simulator Input'!$D$79*'1. Simulator Input'!$D$56*UB66</f>
        <v>0</v>
      </c>
      <c r="UY66" s="200">
        <f>'1. Simulator Input'!$D$87*'1. Simulator Input'!$D$56*TF66</f>
        <v>270774</v>
      </c>
      <c r="UZ66" s="200">
        <f>'1. Simulator Input'!$D$73*'1. Simulator Input'!$D$56*'Idaho Data'!TG66</f>
        <v>0</v>
      </c>
      <c r="VA66" s="200">
        <f>'1. Simulator Input'!$D$56*'1. Simulator Input'!$D$74*'Idaho Data'!TH66</f>
        <v>0</v>
      </c>
      <c r="VB66" s="200">
        <f>'1. Simulator Input'!$D$56*'1. Simulator Input'!$D$75*'Idaho Data'!TI61</f>
        <v>0</v>
      </c>
      <c r="VC66" s="200">
        <f>'1. Simulator Input'!$D$76*'1. Simulator Input'!$D$56*'Idaho Data'!TJ66</f>
        <v>0</v>
      </c>
      <c r="VD66" s="200">
        <f t="shared" si="68"/>
        <v>6410160</v>
      </c>
      <c r="VE66" s="200"/>
      <c r="VF66" s="182"/>
      <c r="VG66" s="200"/>
      <c r="VH66" s="200">
        <f t="shared" si="69"/>
        <v>0</v>
      </c>
      <c r="VI66" s="200">
        <f t="shared" si="70"/>
        <v>0</v>
      </c>
      <c r="VJ66" s="200">
        <f t="shared" si="94"/>
        <v>6410160</v>
      </c>
      <c r="VK66" s="200">
        <f t="shared" si="95"/>
        <v>6410160</v>
      </c>
      <c r="VL66" s="200"/>
      <c r="VM66" s="182"/>
      <c r="VN66" s="200"/>
      <c r="VO66" s="200">
        <f t="shared" si="71"/>
        <v>2499797</v>
      </c>
      <c r="VP66" s="200">
        <f t="shared" si="72"/>
        <v>7441194</v>
      </c>
      <c r="VQ66" s="200">
        <f t="shared" si="73"/>
        <v>3435361</v>
      </c>
      <c r="VR66" s="200">
        <f t="shared" si="74"/>
        <v>2499797</v>
      </c>
      <c r="VS66" s="200">
        <f t="shared" si="96"/>
        <v>6410160</v>
      </c>
      <c r="VT66" s="200">
        <f t="shared" si="97"/>
        <v>3435361</v>
      </c>
      <c r="VU66" s="200">
        <f t="shared" si="98"/>
        <v>0</v>
      </c>
      <c r="VV66" s="200"/>
      <c r="VW66" s="182"/>
      <c r="VX66" s="200"/>
      <c r="VZ66" s="199">
        <f t="shared" si="75"/>
        <v>-1031034</v>
      </c>
      <c r="WA66" s="199">
        <f t="shared" si="76"/>
        <v>-928.02340234023404</v>
      </c>
      <c r="WB66" s="131">
        <f t="shared" si="77"/>
        <v>-0.13855760244928436</v>
      </c>
      <c r="WC66" s="131"/>
      <c r="WD66" s="461"/>
      <c r="WE66" s="893"/>
      <c r="WF66" s="893">
        <f t="shared" si="78"/>
        <v>12039.920792079209</v>
      </c>
      <c r="WG66" s="893">
        <f t="shared" si="79"/>
        <v>11111.897389738973</v>
      </c>
      <c r="WH66" s="893"/>
      <c r="WI66" s="893">
        <f t="shared" si="80"/>
        <v>7441194</v>
      </c>
      <c r="WJ66" s="893">
        <f t="shared" si="99"/>
        <v>6410160</v>
      </c>
      <c r="WK66" s="39" t="str">
        <f t="shared" si="100"/>
        <v/>
      </c>
      <c r="WL66" s="39" t="str">
        <f t="shared" si="101"/>
        <v/>
      </c>
      <c r="WM66" s="200" t="str">
        <f t="shared" si="102"/>
        <v/>
      </c>
      <c r="WN66" s="39" t="str">
        <f t="shared" si="103"/>
        <v/>
      </c>
      <c r="WO66" s="39"/>
      <c r="WP66" s="182"/>
      <c r="WQ66" s="39"/>
      <c r="WR66" s="305">
        <f t="shared" si="104"/>
        <v>0.69199999999999995</v>
      </c>
      <c r="WT66" s="200">
        <f t="shared" si="105"/>
        <v>6697.7443744374441</v>
      </c>
      <c r="WU66" s="131">
        <f t="shared" si="81"/>
        <v>0.54</v>
      </c>
      <c r="WW66" s="199">
        <f t="shared" si="106"/>
        <v>2499797</v>
      </c>
      <c r="WX66" s="199">
        <f t="shared" si="107"/>
        <v>6410160</v>
      </c>
      <c r="WY66" s="199">
        <f t="shared" si="108"/>
        <v>0</v>
      </c>
      <c r="WZ66" s="199">
        <f t="shared" si="82"/>
        <v>6410160</v>
      </c>
      <c r="XA66" s="199">
        <f t="shared" si="109"/>
        <v>0</v>
      </c>
      <c r="XB66" s="199">
        <f t="shared" si="110"/>
        <v>3435361</v>
      </c>
      <c r="XC66" s="199">
        <f t="shared" si="111"/>
        <v>3435361</v>
      </c>
      <c r="XD66" s="199" t="str">
        <f t="shared" si="112"/>
        <v/>
      </c>
      <c r="XE66" s="199"/>
      <c r="XF66" s="199"/>
      <c r="XG66" s="199"/>
      <c r="XH66" s="199"/>
      <c r="XI66" s="199"/>
      <c r="XJ66" s="199">
        <f t="shared" si="83"/>
        <v>6410160</v>
      </c>
      <c r="XP66" s="199">
        <f t="shared" si="113"/>
        <v>6410160</v>
      </c>
      <c r="XQ66" s="199">
        <f t="shared" si="114"/>
        <v>5769.7209720972096</v>
      </c>
      <c r="XR66" s="199">
        <f t="shared" si="115"/>
        <v>6410160</v>
      </c>
      <c r="XS66" s="199">
        <f t="shared" si="116"/>
        <v>6410160</v>
      </c>
      <c r="XT66" s="199">
        <f t="shared" si="117"/>
        <v>5769.7209720972096</v>
      </c>
      <c r="XU66" s="199">
        <f t="shared" si="118"/>
        <v>7441194</v>
      </c>
      <c r="XV66" s="199">
        <f t="shared" si="119"/>
        <v>6697.7443744374441</v>
      </c>
      <c r="XW66" s="199">
        <f t="shared" si="120"/>
        <v>7441194</v>
      </c>
      <c r="XX66" s="199">
        <f t="shared" si="121"/>
        <v>6697.7443744374441</v>
      </c>
      <c r="XY66" s="199">
        <f t="shared" si="84"/>
        <v>-1031034</v>
      </c>
      <c r="XZ66" s="199">
        <f t="shared" si="85"/>
        <v>-928.0234023402345</v>
      </c>
      <c r="YA66" s="131">
        <f t="shared" si="86"/>
        <v>-0.13855760244928442</v>
      </c>
      <c r="YB66" s="199"/>
      <c r="YC66" s="221"/>
      <c r="YD66" s="199"/>
      <c r="YE66" s="199">
        <f t="shared" si="122"/>
        <v>2499797</v>
      </c>
      <c r="YF66" s="200">
        <f t="shared" si="123"/>
        <v>0</v>
      </c>
      <c r="YG66" s="199">
        <f t="shared" si="124"/>
        <v>3435361</v>
      </c>
      <c r="YH66" s="199">
        <f t="shared" si="125"/>
        <v>456937</v>
      </c>
    </row>
    <row r="67" spans="1:658">
      <c r="A67" s="3">
        <v>251</v>
      </c>
      <c r="B67" s="2" t="s">
        <v>162</v>
      </c>
      <c r="C67" s="24">
        <v>0</v>
      </c>
      <c r="D67" s="24">
        <v>0</v>
      </c>
      <c r="E67" s="24">
        <v>0</v>
      </c>
      <c r="F67" s="24">
        <v>0</v>
      </c>
      <c r="G67" s="24">
        <v>0</v>
      </c>
      <c r="H67" s="24">
        <v>0</v>
      </c>
      <c r="I67" s="24">
        <v>489117</v>
      </c>
      <c r="J67" s="24">
        <v>2306</v>
      </c>
      <c r="K67" s="24">
        <v>1698</v>
      </c>
      <c r="L67" s="24">
        <v>0</v>
      </c>
      <c r="M67" s="24">
        <v>0</v>
      </c>
      <c r="N67" s="24">
        <v>0</v>
      </c>
      <c r="O67" s="24">
        <v>0</v>
      </c>
      <c r="P67" s="24">
        <v>0</v>
      </c>
      <c r="Q67" s="24">
        <v>0</v>
      </c>
      <c r="R67" s="24">
        <v>0</v>
      </c>
      <c r="S67" s="24">
        <v>0</v>
      </c>
      <c r="T67" s="24">
        <v>0</v>
      </c>
      <c r="U67" s="24">
        <v>0</v>
      </c>
      <c r="V67" s="24">
        <v>0</v>
      </c>
      <c r="W67" s="24">
        <v>0</v>
      </c>
      <c r="X67" s="24">
        <v>3640397</v>
      </c>
      <c r="Y67" s="24">
        <v>4175</v>
      </c>
      <c r="Z67" s="24">
        <v>0</v>
      </c>
      <c r="AA67" s="24">
        <v>0</v>
      </c>
      <c r="AB67" s="24">
        <v>0</v>
      </c>
      <c r="AC67" s="24">
        <v>0</v>
      </c>
      <c r="AD67" s="24">
        <v>4763</v>
      </c>
      <c r="AE67" s="24">
        <v>0</v>
      </c>
      <c r="AF67" s="24">
        <v>0</v>
      </c>
      <c r="AG67" s="24">
        <v>0</v>
      </c>
      <c r="AH67" s="24">
        <v>35904</v>
      </c>
      <c r="AI67" s="24">
        <v>0</v>
      </c>
      <c r="AJ67" s="24">
        <v>0</v>
      </c>
      <c r="AK67" s="24">
        <v>0</v>
      </c>
      <c r="AL67" s="24">
        <v>26592</v>
      </c>
      <c r="AM67" s="24">
        <v>0</v>
      </c>
      <c r="AN67" s="24">
        <v>0</v>
      </c>
      <c r="AO67" s="24">
        <v>0</v>
      </c>
      <c r="AP67" s="24">
        <v>0</v>
      </c>
      <c r="AQ67" s="24">
        <v>0</v>
      </c>
      <c r="AR67" s="24">
        <v>0</v>
      </c>
      <c r="AS67" s="24">
        <v>0</v>
      </c>
      <c r="AT67" s="24">
        <v>0</v>
      </c>
      <c r="AU67" s="24">
        <v>0</v>
      </c>
      <c r="AV67" s="24">
        <v>0</v>
      </c>
      <c r="AW67" s="24">
        <v>0</v>
      </c>
      <c r="AX67" s="24">
        <v>0</v>
      </c>
      <c r="AY67" s="24">
        <v>0</v>
      </c>
      <c r="AZ67" s="24">
        <v>0</v>
      </c>
      <c r="BA67" s="24">
        <v>0</v>
      </c>
      <c r="BB67" s="24">
        <v>0</v>
      </c>
      <c r="BC67" s="24">
        <v>1330</v>
      </c>
      <c r="BD67" s="24">
        <v>153</v>
      </c>
      <c r="BE67" s="24">
        <v>652</v>
      </c>
      <c r="BF67" s="24">
        <v>6632</v>
      </c>
      <c r="BG67" s="24">
        <v>0</v>
      </c>
      <c r="BH67" s="24">
        <v>0</v>
      </c>
      <c r="BI67" s="24">
        <v>0</v>
      </c>
      <c r="BJ67" s="24">
        <v>0</v>
      </c>
      <c r="BK67" s="24">
        <v>0</v>
      </c>
      <c r="BL67" s="24">
        <v>0</v>
      </c>
      <c r="BM67" s="24">
        <v>1616</v>
      </c>
      <c r="BN67" s="24">
        <v>0</v>
      </c>
      <c r="BO67" s="24">
        <v>0</v>
      </c>
      <c r="BP67" s="24">
        <v>0</v>
      </c>
      <c r="BQ67" s="24">
        <v>0</v>
      </c>
      <c r="BR67" s="24">
        <v>0</v>
      </c>
      <c r="BS67" s="24">
        <v>0</v>
      </c>
      <c r="BT67" s="24">
        <v>0</v>
      </c>
      <c r="BU67" s="24">
        <v>0</v>
      </c>
      <c r="BV67" s="24">
        <v>0</v>
      </c>
      <c r="BW67" s="24">
        <v>0</v>
      </c>
      <c r="BX67" s="24">
        <v>0</v>
      </c>
      <c r="BY67" s="24">
        <v>0</v>
      </c>
      <c r="BZ67" s="24">
        <v>0</v>
      </c>
      <c r="CA67" s="24">
        <v>0</v>
      </c>
      <c r="CB67" s="24">
        <v>0</v>
      </c>
      <c r="CC67" s="24">
        <v>0</v>
      </c>
      <c r="CD67" s="24">
        <v>411760</v>
      </c>
      <c r="CE67" s="24">
        <v>-1247</v>
      </c>
      <c r="CF67" s="24">
        <v>0</v>
      </c>
      <c r="CG67" s="24">
        <v>2997</v>
      </c>
      <c r="CH67" s="24">
        <v>0</v>
      </c>
      <c r="CI67" s="24">
        <v>36177</v>
      </c>
      <c r="CJ67" s="24">
        <v>0</v>
      </c>
      <c r="CK67" s="24">
        <v>0</v>
      </c>
      <c r="CL67" s="24">
        <v>0</v>
      </c>
      <c r="CM67" s="24">
        <v>0</v>
      </c>
      <c r="CN67" s="24">
        <v>0</v>
      </c>
      <c r="CO67" s="24">
        <v>0</v>
      </c>
      <c r="CP67" s="24">
        <v>0</v>
      </c>
      <c r="CQ67" s="24">
        <v>0</v>
      </c>
      <c r="CR67" s="24">
        <v>0</v>
      </c>
      <c r="CS67" s="24">
        <v>0</v>
      </c>
      <c r="CT67" s="24">
        <v>0</v>
      </c>
      <c r="CU67" s="24">
        <v>0</v>
      </c>
      <c r="CV67" s="24">
        <v>0</v>
      </c>
      <c r="CW67" s="24">
        <v>0</v>
      </c>
      <c r="CX67" s="24">
        <v>0</v>
      </c>
      <c r="CY67" s="24">
        <v>0</v>
      </c>
      <c r="CZ67" s="24">
        <v>0</v>
      </c>
      <c r="DA67" s="24">
        <v>0</v>
      </c>
      <c r="DB67" s="24">
        <v>0</v>
      </c>
      <c r="DC67" s="24">
        <v>0</v>
      </c>
      <c r="DD67" s="24">
        <v>0</v>
      </c>
      <c r="DE67" s="24">
        <v>0</v>
      </c>
      <c r="DF67" s="24">
        <v>0</v>
      </c>
      <c r="DG67" s="24">
        <v>0</v>
      </c>
      <c r="DH67" s="24">
        <v>0</v>
      </c>
      <c r="DI67" s="24">
        <v>0</v>
      </c>
      <c r="DJ67" s="24">
        <v>0</v>
      </c>
      <c r="DK67" s="24">
        <v>0</v>
      </c>
      <c r="DL67" s="24">
        <v>0</v>
      </c>
      <c r="DM67" s="24">
        <v>0</v>
      </c>
      <c r="DN67" s="24">
        <v>0</v>
      </c>
      <c r="DO67" s="24">
        <v>0</v>
      </c>
      <c r="DP67" s="24">
        <v>0</v>
      </c>
      <c r="DQ67" s="24">
        <v>0</v>
      </c>
      <c r="DR67" s="24">
        <v>0</v>
      </c>
      <c r="DS67" s="24">
        <v>0</v>
      </c>
      <c r="DT67" s="24">
        <v>0</v>
      </c>
      <c r="DU67" s="24">
        <v>0</v>
      </c>
      <c r="DV67" s="24">
        <v>0</v>
      </c>
      <c r="DW67" s="24">
        <v>0</v>
      </c>
      <c r="DX67" s="24">
        <v>0</v>
      </c>
      <c r="DY67" s="24">
        <v>0</v>
      </c>
      <c r="DZ67" s="24">
        <v>0</v>
      </c>
      <c r="EA67" s="24">
        <v>0</v>
      </c>
      <c r="EB67" s="24">
        <v>29113</v>
      </c>
      <c r="EC67" s="24">
        <v>0</v>
      </c>
      <c r="ED67" s="24">
        <v>0</v>
      </c>
      <c r="EE67" s="24">
        <v>0</v>
      </c>
      <c r="EF67" s="24">
        <v>0</v>
      </c>
      <c r="EG67" s="24">
        <v>17724</v>
      </c>
      <c r="EH67" s="24">
        <v>0</v>
      </c>
      <c r="EI67" s="24">
        <v>0</v>
      </c>
      <c r="EJ67" s="24">
        <v>6450</v>
      </c>
      <c r="EK67" s="24">
        <v>0</v>
      </c>
      <c r="EL67" s="24">
        <v>0</v>
      </c>
      <c r="EM67" s="24">
        <v>0</v>
      </c>
      <c r="EN67" s="24">
        <v>73432</v>
      </c>
      <c r="EO67" s="24">
        <v>0</v>
      </c>
      <c r="EP67" s="24">
        <v>0</v>
      </c>
      <c r="EQ67" s="24">
        <v>0</v>
      </c>
      <c r="ER67" s="24">
        <v>0</v>
      </c>
      <c r="ES67" s="24">
        <v>0</v>
      </c>
      <c r="ET67" s="24">
        <v>0</v>
      </c>
      <c r="EU67" s="24">
        <v>0</v>
      </c>
      <c r="EV67" s="24">
        <v>0</v>
      </c>
      <c r="EW67" s="24">
        <v>0</v>
      </c>
      <c r="EX67" s="24">
        <v>0</v>
      </c>
      <c r="EY67" s="24">
        <v>0</v>
      </c>
      <c r="EZ67" s="24">
        <v>0</v>
      </c>
      <c r="FA67" s="24">
        <v>0</v>
      </c>
      <c r="FB67" s="24">
        <v>0</v>
      </c>
      <c r="FC67" s="24">
        <v>0</v>
      </c>
      <c r="FD67" s="24">
        <v>0</v>
      </c>
      <c r="FE67" s="24">
        <v>0</v>
      </c>
      <c r="FF67" s="24">
        <v>0</v>
      </c>
      <c r="FG67" s="24">
        <v>0</v>
      </c>
      <c r="FH67" s="24">
        <v>0</v>
      </c>
      <c r="FI67" s="24">
        <v>0</v>
      </c>
      <c r="FJ67" s="24">
        <v>0</v>
      </c>
      <c r="FK67" s="24">
        <v>0</v>
      </c>
      <c r="FL67" s="24">
        <v>46839</v>
      </c>
      <c r="FM67" s="24">
        <v>0</v>
      </c>
      <c r="FN67" s="24">
        <v>0</v>
      </c>
      <c r="FO67" s="24">
        <v>0</v>
      </c>
      <c r="FP67" s="24">
        <v>0</v>
      </c>
      <c r="FQ67" s="24">
        <v>0</v>
      </c>
      <c r="FR67" s="24">
        <v>0</v>
      </c>
      <c r="FS67" s="24">
        <v>38569</v>
      </c>
      <c r="FT67" s="24">
        <v>0</v>
      </c>
      <c r="FU67" s="24">
        <v>0</v>
      </c>
      <c r="FV67" s="24">
        <v>0</v>
      </c>
      <c r="FW67" s="24">
        <v>0</v>
      </c>
      <c r="FX67" s="24">
        <v>0</v>
      </c>
      <c r="FY67" s="24">
        <v>0</v>
      </c>
      <c r="FZ67" s="24">
        <v>0</v>
      </c>
      <c r="GA67" s="24">
        <v>0</v>
      </c>
      <c r="GB67" s="24">
        <v>0</v>
      </c>
      <c r="GC67" s="24">
        <v>0</v>
      </c>
      <c r="GD67" s="24">
        <v>0</v>
      </c>
      <c r="GE67" s="24">
        <v>0</v>
      </c>
      <c r="GF67" s="24">
        <v>0</v>
      </c>
      <c r="GG67" s="24">
        <v>0</v>
      </c>
      <c r="GH67" s="24">
        <v>0</v>
      </c>
      <c r="GI67" s="24">
        <v>0</v>
      </c>
      <c r="GJ67" s="24">
        <v>0</v>
      </c>
      <c r="GK67" s="24">
        <v>0</v>
      </c>
      <c r="GL67" s="24">
        <v>0</v>
      </c>
      <c r="GM67" s="24">
        <v>0</v>
      </c>
      <c r="GN67" s="24">
        <v>0</v>
      </c>
      <c r="GO67" s="24">
        <v>0</v>
      </c>
      <c r="GP67" s="24">
        <v>0</v>
      </c>
      <c r="GQ67" s="24">
        <v>0</v>
      </c>
      <c r="GR67" s="24">
        <v>0</v>
      </c>
      <c r="GS67" s="24">
        <v>0</v>
      </c>
      <c r="GT67" s="24">
        <v>0</v>
      </c>
      <c r="GU67" s="24">
        <v>0</v>
      </c>
      <c r="GV67" s="24">
        <v>0</v>
      </c>
      <c r="GW67" s="24">
        <v>0</v>
      </c>
      <c r="GX67" s="24">
        <v>0</v>
      </c>
      <c r="GY67" s="24">
        <v>0</v>
      </c>
      <c r="GZ67" s="24">
        <v>0</v>
      </c>
      <c r="HA67" s="24">
        <v>146640</v>
      </c>
      <c r="HB67" s="24">
        <v>0</v>
      </c>
      <c r="HC67" s="24">
        <v>0</v>
      </c>
      <c r="HD67" s="24">
        <v>19775924</v>
      </c>
      <c r="HE67" s="24">
        <v>0</v>
      </c>
      <c r="HF67" s="24">
        <v>0</v>
      </c>
      <c r="HG67" s="24">
        <v>0</v>
      </c>
      <c r="HH67" s="24">
        <v>0</v>
      </c>
      <c r="HI67" s="24">
        <v>1388459</v>
      </c>
      <c r="HJ67" s="24">
        <v>0</v>
      </c>
      <c r="HK67" s="24">
        <v>0</v>
      </c>
      <c r="HL67" s="24">
        <v>0</v>
      </c>
      <c r="HM67" s="24">
        <v>0</v>
      </c>
      <c r="HN67" s="24">
        <v>7863</v>
      </c>
      <c r="HO67" s="24">
        <v>2556261</v>
      </c>
      <c r="HP67" s="24">
        <v>804850</v>
      </c>
      <c r="HQ67" s="24">
        <v>0</v>
      </c>
      <c r="HR67" s="24">
        <v>12780</v>
      </c>
      <c r="HS67" s="24">
        <v>0</v>
      </c>
      <c r="HT67" s="24">
        <v>0</v>
      </c>
      <c r="HU67" s="24">
        <v>0</v>
      </c>
      <c r="HV67" s="24">
        <v>0</v>
      </c>
      <c r="HW67" s="24">
        <v>0</v>
      </c>
      <c r="HX67" s="24">
        <v>0</v>
      </c>
      <c r="HY67" s="24">
        <v>0</v>
      </c>
      <c r="HZ67" s="24">
        <v>0</v>
      </c>
      <c r="IA67" s="24">
        <v>317456</v>
      </c>
      <c r="IB67" s="24">
        <v>68838</v>
      </c>
      <c r="IC67" s="24">
        <v>0</v>
      </c>
      <c r="ID67" s="24">
        <v>0</v>
      </c>
      <c r="IE67" s="24">
        <v>0</v>
      </c>
      <c r="IF67" s="24">
        <v>0</v>
      </c>
      <c r="IG67" s="24">
        <v>0</v>
      </c>
      <c r="IH67" s="24">
        <v>0</v>
      </c>
      <c r="II67" s="24">
        <v>0</v>
      </c>
      <c r="IJ67" s="24">
        <v>0</v>
      </c>
      <c r="IK67" s="24">
        <v>0</v>
      </c>
      <c r="IL67" s="24">
        <v>0</v>
      </c>
      <c r="IM67" s="24">
        <v>0</v>
      </c>
      <c r="IN67" s="24">
        <v>0</v>
      </c>
      <c r="IO67" s="24">
        <v>25750</v>
      </c>
      <c r="IP67" s="24">
        <v>0</v>
      </c>
      <c r="IQ67" s="24">
        <v>0</v>
      </c>
      <c r="IR67" s="24">
        <v>136955</v>
      </c>
      <c r="IS67" s="24">
        <v>0</v>
      </c>
      <c r="IT67" s="24">
        <v>0</v>
      </c>
      <c r="IU67" s="24">
        <v>0</v>
      </c>
      <c r="IV67" s="24">
        <v>0</v>
      </c>
      <c r="IW67" s="24">
        <v>0</v>
      </c>
      <c r="IX67" s="24">
        <v>0</v>
      </c>
      <c r="IY67" s="24">
        <v>435287</v>
      </c>
      <c r="IZ67" s="24">
        <v>0</v>
      </c>
      <c r="JA67" s="24">
        <v>0</v>
      </c>
      <c r="JB67" s="24">
        <v>85052</v>
      </c>
      <c r="JC67" s="24">
        <v>17</v>
      </c>
      <c r="JD67" s="24">
        <v>0</v>
      </c>
      <c r="JE67" s="24">
        <v>0</v>
      </c>
      <c r="JF67" s="24">
        <v>0</v>
      </c>
      <c r="JG67" s="24">
        <v>0</v>
      </c>
      <c r="JH67" s="24">
        <v>0</v>
      </c>
      <c r="JI67" s="24">
        <v>0</v>
      </c>
      <c r="JJ67" s="24">
        <v>0</v>
      </c>
      <c r="JK67" s="24">
        <v>0</v>
      </c>
      <c r="JL67" s="24">
        <v>0</v>
      </c>
      <c r="JM67" s="24">
        <v>0</v>
      </c>
      <c r="JN67" s="24">
        <v>0</v>
      </c>
      <c r="JO67" s="24">
        <v>0</v>
      </c>
      <c r="JP67" s="24">
        <v>0</v>
      </c>
      <c r="JQ67" s="24">
        <v>0</v>
      </c>
      <c r="JR67" s="24">
        <v>0</v>
      </c>
      <c r="JS67" s="24">
        <v>0</v>
      </c>
      <c r="JT67" s="24">
        <v>0</v>
      </c>
      <c r="JU67" s="24">
        <v>0</v>
      </c>
      <c r="JV67" s="24">
        <v>0</v>
      </c>
      <c r="JW67" s="24">
        <v>0</v>
      </c>
      <c r="JX67" s="24">
        <v>0</v>
      </c>
      <c r="JY67" s="24">
        <v>0</v>
      </c>
      <c r="JZ67" s="24">
        <v>0</v>
      </c>
      <c r="KA67" s="24">
        <v>1244257</v>
      </c>
      <c r="KB67" s="24">
        <v>0</v>
      </c>
      <c r="KC67" s="24">
        <v>0</v>
      </c>
      <c r="KD67" s="24">
        <v>0</v>
      </c>
      <c r="KE67" s="24">
        <v>0</v>
      </c>
      <c r="KF67" s="24">
        <v>0</v>
      </c>
      <c r="KG67" s="24">
        <v>0</v>
      </c>
      <c r="KH67" s="24">
        <v>0</v>
      </c>
      <c r="KI67" s="24">
        <v>0</v>
      </c>
      <c r="KJ67" s="24">
        <v>0</v>
      </c>
      <c r="KK67" s="24">
        <v>0</v>
      </c>
      <c r="KL67" s="24">
        <v>0</v>
      </c>
      <c r="KM67" s="24">
        <v>0</v>
      </c>
      <c r="KN67" s="24">
        <v>287071</v>
      </c>
      <c r="KO67" s="24">
        <v>0</v>
      </c>
      <c r="KP67" s="24">
        <v>0</v>
      </c>
      <c r="KQ67" s="24">
        <v>0</v>
      </c>
      <c r="KR67" s="24">
        <v>0</v>
      </c>
      <c r="KS67" s="24">
        <v>0</v>
      </c>
      <c r="KT67" s="24">
        <v>0</v>
      </c>
      <c r="KU67" s="24">
        <v>0</v>
      </c>
      <c r="KV67" s="24">
        <v>0</v>
      </c>
      <c r="KW67" s="24">
        <v>0</v>
      </c>
      <c r="KX67" s="24">
        <v>0</v>
      </c>
      <c r="KY67" s="24">
        <v>0</v>
      </c>
      <c r="KZ67" s="24">
        <v>0</v>
      </c>
      <c r="LA67" s="24">
        <v>0</v>
      </c>
      <c r="LB67" s="24">
        <v>0</v>
      </c>
      <c r="LC67" s="24">
        <v>0</v>
      </c>
      <c r="LD67" s="24">
        <v>0</v>
      </c>
      <c r="LE67" s="24">
        <v>0</v>
      </c>
      <c r="LF67" s="24">
        <v>0</v>
      </c>
      <c r="LG67" s="24">
        <v>0</v>
      </c>
      <c r="LH67" s="24">
        <v>0</v>
      </c>
      <c r="LI67" s="24">
        <v>0</v>
      </c>
      <c r="LJ67" s="24">
        <v>0</v>
      </c>
      <c r="LK67" s="24">
        <v>0</v>
      </c>
      <c r="LL67" s="24">
        <v>0</v>
      </c>
      <c r="LM67" s="24">
        <v>0</v>
      </c>
      <c r="LN67" s="24">
        <v>0</v>
      </c>
      <c r="LO67" s="24">
        <v>0</v>
      </c>
      <c r="LP67" s="24">
        <v>0</v>
      </c>
      <c r="LQ67" s="24">
        <v>790030</v>
      </c>
      <c r="LR67" s="24">
        <v>20665</v>
      </c>
      <c r="LS67" s="24">
        <v>0</v>
      </c>
      <c r="LT67" s="24">
        <v>0</v>
      </c>
      <c r="LU67" s="24">
        <v>0</v>
      </c>
      <c r="LV67" s="24">
        <v>0</v>
      </c>
      <c r="LW67" s="24">
        <v>0</v>
      </c>
      <c r="LX67" s="24">
        <v>0</v>
      </c>
      <c r="LY67" s="24">
        <v>0</v>
      </c>
      <c r="LZ67" s="24">
        <v>0</v>
      </c>
      <c r="MA67" s="24">
        <v>0</v>
      </c>
      <c r="MB67" s="24">
        <v>0</v>
      </c>
      <c r="MC67" s="24">
        <v>0</v>
      </c>
      <c r="MD67" s="24">
        <v>0</v>
      </c>
      <c r="ME67" s="24">
        <v>0</v>
      </c>
      <c r="MF67" s="24">
        <v>0</v>
      </c>
      <c r="MG67" s="24">
        <v>0</v>
      </c>
      <c r="MH67" s="24">
        <v>0</v>
      </c>
      <c r="MI67" s="24">
        <v>0</v>
      </c>
      <c r="MJ67" s="24">
        <v>0</v>
      </c>
      <c r="MK67" s="24">
        <v>0</v>
      </c>
      <c r="ML67" s="24">
        <v>0</v>
      </c>
      <c r="MM67" s="24">
        <v>0</v>
      </c>
      <c r="MN67" s="24">
        <v>0</v>
      </c>
      <c r="MO67" s="24">
        <v>52837</v>
      </c>
      <c r="MP67" s="24">
        <v>0</v>
      </c>
      <c r="MQ67" s="24">
        <v>0</v>
      </c>
      <c r="MR67" s="24">
        <v>1078581</v>
      </c>
      <c r="MS67" s="24">
        <v>0</v>
      </c>
      <c r="MT67" s="24">
        <v>0</v>
      </c>
      <c r="MU67" s="24">
        <v>0</v>
      </c>
      <c r="MV67" s="24">
        <v>0</v>
      </c>
      <c r="MW67" s="24">
        <v>876439</v>
      </c>
      <c r="MX67" s="24">
        <v>25782</v>
      </c>
      <c r="MY67" s="24">
        <v>0</v>
      </c>
      <c r="MZ67" s="24">
        <v>0</v>
      </c>
      <c r="NA67" s="24">
        <v>0</v>
      </c>
      <c r="NB67" s="24">
        <v>0</v>
      </c>
      <c r="NC67" s="24">
        <v>0</v>
      </c>
      <c r="ND67" s="24">
        <v>0</v>
      </c>
      <c r="NE67" s="24">
        <v>0</v>
      </c>
      <c r="NF67" s="24">
        <v>0</v>
      </c>
      <c r="NG67" s="24">
        <v>0</v>
      </c>
      <c r="NH67" s="24">
        <v>0</v>
      </c>
      <c r="NI67" s="24">
        <v>0</v>
      </c>
      <c r="NJ67" s="24">
        <v>0</v>
      </c>
      <c r="NK67" s="24">
        <v>0</v>
      </c>
      <c r="NL67" s="24">
        <v>0</v>
      </c>
      <c r="NM67" s="24">
        <v>0</v>
      </c>
      <c r="NN67" s="24">
        <v>0</v>
      </c>
      <c r="NO67" s="24">
        <v>0</v>
      </c>
      <c r="NP67" s="24">
        <v>0</v>
      </c>
      <c r="NQ67" s="24">
        <v>0</v>
      </c>
      <c r="NR67" s="24">
        <v>0</v>
      </c>
      <c r="NS67" s="24">
        <v>0</v>
      </c>
      <c r="NT67" s="24">
        <v>0</v>
      </c>
      <c r="NU67" s="24">
        <v>48165</v>
      </c>
      <c r="NV67" s="24">
        <v>156129</v>
      </c>
      <c r="NW67" s="24">
        <v>0</v>
      </c>
      <c r="NX67" s="24">
        <v>0</v>
      </c>
      <c r="NY67" s="24">
        <v>0</v>
      </c>
      <c r="NZ67" s="24">
        <v>0</v>
      </c>
      <c r="OA67" s="24">
        <v>0</v>
      </c>
      <c r="OB67" s="24">
        <v>0</v>
      </c>
      <c r="OC67" s="24">
        <v>0</v>
      </c>
      <c r="OD67" s="24">
        <v>0</v>
      </c>
      <c r="OE67" s="24">
        <v>0</v>
      </c>
      <c r="OF67" s="24">
        <v>0</v>
      </c>
      <c r="OG67" s="24">
        <v>0</v>
      </c>
      <c r="OH67" s="24">
        <v>0</v>
      </c>
      <c r="OI67" s="24">
        <v>0</v>
      </c>
      <c r="OJ67" s="24">
        <v>0</v>
      </c>
      <c r="OK67" s="24">
        <v>94017</v>
      </c>
      <c r="OL67" s="24">
        <v>0</v>
      </c>
      <c r="OM67" s="24">
        <v>0</v>
      </c>
      <c r="ON67" s="24">
        <v>0</v>
      </c>
      <c r="OO67" s="24">
        <v>0</v>
      </c>
      <c r="OP67" s="24">
        <v>0</v>
      </c>
      <c r="OQ67" s="24">
        <v>0</v>
      </c>
      <c r="OR67" s="24">
        <v>0</v>
      </c>
      <c r="OS67" s="24">
        <v>0</v>
      </c>
      <c r="OT67" s="24">
        <v>0</v>
      </c>
      <c r="OU67" s="24">
        <v>0</v>
      </c>
      <c r="OV67" s="24">
        <v>0</v>
      </c>
      <c r="OW67" s="24">
        <v>0</v>
      </c>
      <c r="OX67" s="24">
        <v>0</v>
      </c>
      <c r="OY67" s="24">
        <v>0</v>
      </c>
      <c r="OZ67" s="24">
        <v>0</v>
      </c>
      <c r="PA67" s="24">
        <v>0</v>
      </c>
      <c r="PB67" s="24">
        <v>0</v>
      </c>
      <c r="PC67" s="24">
        <v>4016</v>
      </c>
      <c r="PD67" s="24">
        <v>0</v>
      </c>
      <c r="PE67" s="24">
        <v>0</v>
      </c>
      <c r="PF67" s="24">
        <v>0</v>
      </c>
      <c r="PG67" s="24">
        <v>0</v>
      </c>
      <c r="PH67" s="24">
        <v>60837</v>
      </c>
      <c r="PI67" s="24">
        <v>0</v>
      </c>
      <c r="PJ67" s="24">
        <v>0</v>
      </c>
      <c r="PK67" s="24">
        <v>0</v>
      </c>
      <c r="PL67" s="24">
        <v>150000</v>
      </c>
      <c r="PM67" s="24">
        <v>0</v>
      </c>
      <c r="PN67" s="24">
        <v>0</v>
      </c>
      <c r="PO67" s="24">
        <v>0</v>
      </c>
      <c r="PP67" s="24">
        <v>0</v>
      </c>
      <c r="PQ67" s="24">
        <v>0</v>
      </c>
      <c r="PR67" s="24">
        <v>0</v>
      </c>
      <c r="PS67" s="24">
        <v>0</v>
      </c>
      <c r="PT67" s="24">
        <v>0</v>
      </c>
      <c r="PU67" s="24">
        <v>0</v>
      </c>
      <c r="PV67" s="24">
        <v>0</v>
      </c>
      <c r="PW67" s="24">
        <v>0</v>
      </c>
      <c r="PX67" s="24">
        <v>0</v>
      </c>
      <c r="PY67" s="24">
        <v>0</v>
      </c>
      <c r="PZ67" s="24">
        <v>0</v>
      </c>
      <c r="QA67" s="24">
        <v>0</v>
      </c>
      <c r="QB67" s="24">
        <v>0</v>
      </c>
      <c r="QC67" s="24">
        <v>0</v>
      </c>
      <c r="QD67" s="24">
        <v>0</v>
      </c>
      <c r="QE67" s="24">
        <v>0</v>
      </c>
      <c r="QF67" s="24">
        <v>0</v>
      </c>
      <c r="QG67" s="24">
        <v>0</v>
      </c>
      <c r="QH67" s="24">
        <v>0</v>
      </c>
      <c r="QI67" s="24">
        <v>0</v>
      </c>
      <c r="QJ67" s="24">
        <v>0</v>
      </c>
      <c r="QK67" s="24">
        <v>0</v>
      </c>
      <c r="QL67" s="24">
        <v>0</v>
      </c>
      <c r="QM67" s="24">
        <v>0</v>
      </c>
      <c r="QN67" s="24">
        <v>0</v>
      </c>
      <c r="QO67" s="24">
        <v>0</v>
      </c>
      <c r="QP67" s="24">
        <v>0</v>
      </c>
      <c r="QQ67" s="24">
        <v>0</v>
      </c>
      <c r="QR67" s="24">
        <v>0</v>
      </c>
      <c r="QS67" s="24">
        <v>34292</v>
      </c>
      <c r="QT67" s="24">
        <v>0</v>
      </c>
      <c r="QU67" s="24">
        <v>0</v>
      </c>
      <c r="QV67" s="24">
        <v>119657</v>
      </c>
      <c r="QW67" s="24">
        <v>0</v>
      </c>
      <c r="QX67" s="24">
        <v>0</v>
      </c>
      <c r="QY67" s="24">
        <v>0</v>
      </c>
      <c r="QZ67" s="24">
        <v>0</v>
      </c>
      <c r="RA67" s="24">
        <v>0</v>
      </c>
      <c r="RB67" s="24">
        <v>0</v>
      </c>
      <c r="RG67" s="39">
        <f t="shared" si="129"/>
        <v>19775924</v>
      </c>
      <c r="RH67" s="39">
        <f t="shared" si="128"/>
        <v>1388459</v>
      </c>
      <c r="RI67" s="39">
        <f t="shared" si="128"/>
        <v>0</v>
      </c>
      <c r="RJ67" s="39">
        <f t="shared" si="128"/>
        <v>0</v>
      </c>
      <c r="RK67" s="39">
        <f t="shared" si="128"/>
        <v>7863</v>
      </c>
      <c r="RL67" s="39">
        <f t="shared" si="128"/>
        <v>2556261</v>
      </c>
      <c r="RM67" s="39">
        <f t="shared" si="128"/>
        <v>1203924</v>
      </c>
      <c r="RN67" s="39">
        <f t="shared" si="128"/>
        <v>25750</v>
      </c>
      <c r="RO67" s="39">
        <f t="shared" si="128"/>
        <v>136955</v>
      </c>
      <c r="RP67" s="39">
        <f t="shared" si="128"/>
        <v>435287</v>
      </c>
      <c r="RQ67" s="39">
        <f t="shared" si="128"/>
        <v>85069</v>
      </c>
      <c r="RR67" s="39">
        <f t="shared" si="128"/>
        <v>1244257</v>
      </c>
      <c r="RS67" s="39"/>
      <c r="RT67" s="182"/>
      <c r="RU67" s="39"/>
      <c r="RV67" s="39">
        <f t="shared" si="127"/>
        <v>3429716</v>
      </c>
      <c r="RW67" s="39">
        <f t="shared" si="127"/>
        <v>26859749</v>
      </c>
      <c r="RX67" s="39">
        <f t="shared" si="127"/>
        <v>5023789</v>
      </c>
      <c r="RY67" s="39">
        <f t="shared" si="127"/>
        <v>368802</v>
      </c>
      <c r="RZ67" s="39"/>
      <c r="SA67" s="182"/>
      <c r="SB67" s="39"/>
      <c r="SC67" s="25">
        <f t="shared" si="50"/>
        <v>1017.785453808752</v>
      </c>
      <c r="SD67" s="39">
        <f>IFERROR(VLOOKUP(A67, 'Levy Data 15-16'!$B:$O, 3, FALSE), 0)</f>
        <v>916596045</v>
      </c>
      <c r="SE67" s="39">
        <f t="shared" si="88"/>
        <v>185696.1193273906</v>
      </c>
      <c r="SF67" s="631">
        <f>IFERROR(VLOOKUP(A67, 'Levy Data 15-16'!$B:$O, 14, FALSE), 0)*1000</f>
        <v>4.266089</v>
      </c>
      <c r="SG67" s="39">
        <f t="shared" si="89"/>
        <v>0</v>
      </c>
      <c r="SH67" s="39">
        <f t="shared" si="90"/>
        <v>0</v>
      </c>
      <c r="SI67" s="39">
        <f t="shared" si="91"/>
        <v>5023789</v>
      </c>
      <c r="SM67" s="39">
        <f t="shared" si="92"/>
        <v>26859749</v>
      </c>
      <c r="SN67" s="39">
        <f t="shared" si="93"/>
        <v>0</v>
      </c>
      <c r="SO67" s="39">
        <f t="shared" si="51"/>
        <v>26859749</v>
      </c>
      <c r="SP67" s="50">
        <f t="shared" ref="SP67:SP124" si="130">(SM67-SN67)/SM67</f>
        <v>1</v>
      </c>
      <c r="ST67" s="124">
        <f>IFERROR(VLOOKUP(A67,'Grade Enroll 15-16'!B:AC,27,FALSE),"")</f>
        <v>4936</v>
      </c>
      <c r="SU67" s="124">
        <f t="shared" si="53"/>
        <v>2043.5373638753285</v>
      </c>
      <c r="SV67" s="131">
        <f>IFERROR(VLOOKUP($A67, 'Title I Enroll 16-17'!S:V, 4, FALSE), 0)</f>
        <v>0.4140067592940293</v>
      </c>
      <c r="SW67" s="729">
        <f>IFERROR(VLOOKUP(A67, 'ELL Enroll 15-16'!$N:$S, 6, FALSE), 0)</f>
        <v>378</v>
      </c>
      <c r="SX67" s="131">
        <f t="shared" ref="SX67:SX124" si="131">SW67/ST67</f>
        <v>7.658022690437602E-2</v>
      </c>
      <c r="SY67" s="124">
        <f>IFERROR(VLOOKUP(A67, 'SPED enroll 2015-16'!$M:$O, 3, FALSE), 0)</f>
        <v>401</v>
      </c>
      <c r="SZ67" s="131">
        <f t="shared" ref="SZ67:SZ124" si="132">SY67/ST67</f>
        <v>8.1239870340356568E-2</v>
      </c>
      <c r="TA67" s="142">
        <f t="shared" ref="TA67:TD96" si="133">$SY67*TA$8</f>
        <v>280.7</v>
      </c>
      <c r="TB67" s="142">
        <f t="shared" si="133"/>
        <v>80.2</v>
      </c>
      <c r="TC67" s="142">
        <f t="shared" si="133"/>
        <v>28.070000000000004</v>
      </c>
      <c r="TD67" s="142">
        <f t="shared" si="133"/>
        <v>12.03</v>
      </c>
      <c r="TE67" s="124">
        <f>VLOOKUP($A67, 'Grade Enroll 15-16'!$B:$AB, 20, FALSE)</f>
        <v>56</v>
      </c>
      <c r="TF67" s="124">
        <f>VLOOKUP($A67, 'Grade Enroll 15-16'!$B:$AB, 21, FALSE)</f>
        <v>435</v>
      </c>
      <c r="TG67" s="124">
        <f>VLOOKUP($A67, 'Grade Enroll 15-16'!$B:$AB, 22, FALSE)</f>
        <v>1394</v>
      </c>
      <c r="TH67" s="124">
        <f>VLOOKUP($A67, 'Grade Enroll 15-16'!$B:$AB, 23, FALSE)</f>
        <v>1298</v>
      </c>
      <c r="TI67" s="124">
        <f>VLOOKUP($A67, 'Grade Enroll 15-16'!$B:$AB, 24, FALSE)</f>
        <v>780</v>
      </c>
      <c r="TJ67" s="124">
        <f>VLOOKUP($A67, 'Grade Enroll 15-16'!$B:$AB, 25, FALSE)</f>
        <v>1464</v>
      </c>
      <c r="TK67" s="124">
        <f>VLOOKUP($A67, 'Grade Enroll 15-16'!$B:$AB, 26, FALSE)</f>
        <v>3364</v>
      </c>
      <c r="TL67" s="131">
        <f>SUMIFS('Student Achievement 15-16'!N:N, 'Student Achievement 15-16'!B:B, 'Idaho Data'!A67, 'Student Achievement 15-16'!D:D, "math")/100</f>
        <v>0.23899999999999999</v>
      </c>
      <c r="TM67" s="134">
        <f t="shared" si="57"/>
        <v>1179.704</v>
      </c>
      <c r="TN67" s="131">
        <f>SUMIFS('Student Achievement 15-16'!N:N, 'Student Achievement 15-16'!B:B, 'Idaho Data'!A67, 'Student Achievement 15-16'!D:D, "ela")/100</f>
        <v>0.23499999999999999</v>
      </c>
      <c r="TO67" s="134">
        <f t="shared" ref="TO67:TO124" si="134">TN67*$ST67</f>
        <v>1159.96</v>
      </c>
      <c r="TP67" s="688">
        <f>IFERROR(VLOOKUP(A67, 'G&amp;T 15-16'!B:G, 6, FALSE), 0)*1</f>
        <v>180</v>
      </c>
      <c r="TQ67" s="168">
        <f t="shared" ref="TQ67:TQ124" si="135">0.06*ST67</f>
        <v>296.15999999999997</v>
      </c>
      <c r="TU67" s="168">
        <f t="shared" ref="TU67:TU124" si="136">MIN(TM67,TO67)</f>
        <v>1159.96</v>
      </c>
      <c r="TV67" s="168">
        <f t="shared" ref="TV67:TV124" si="137">MAX(TM67,TO67)</f>
        <v>1179.704</v>
      </c>
      <c r="TW67" s="205">
        <f t="shared" ref="TW67:TW124" si="138">IF(TW$4="low", TU67, TV67)</f>
        <v>1179.704</v>
      </c>
      <c r="TX67" s="144"/>
      <c r="TY67" s="129"/>
      <c r="TZ67" s="127">
        <f t="shared" ref="TZ67:TZ124" si="139">MIN(TP67:TQ67)</f>
        <v>180</v>
      </c>
      <c r="UA67" s="127">
        <f t="shared" ref="UA67:UA124" si="140">MAX(TP67:TQ67)</f>
        <v>296.15999999999997</v>
      </c>
      <c r="UB67" s="205">
        <f t="shared" ref="UB67:UB124" si="141">IF(UB$4="low", TZ67, UA67)</f>
        <v>296.15999999999997</v>
      </c>
      <c r="UE67" s="853" t="str">
        <f>IF(ST67&lt;='1. Simulator Input'!$E$104, "yes", "")</f>
        <v/>
      </c>
      <c r="UI67" s="199">
        <f t="shared" si="66"/>
        <v>0</v>
      </c>
      <c r="UJ67" s="200">
        <f>IF('Idaho Data'!SI67&gt;=0, ((1-'1. Simulator Input'!$E$39)*'Idaho Data'!SI67), 0)</f>
        <v>0</v>
      </c>
      <c r="UK67" s="200">
        <f t="shared" ref="UK67:UK124" si="142">SUMIF($RG$4:$RR$4, "x", $RG67:$RR67)</f>
        <v>26859749</v>
      </c>
      <c r="UL67" s="39"/>
      <c r="UM67" s="182"/>
      <c r="UN67" s="39"/>
      <c r="UO67" s="39" t="str">
        <f>IF(AND('1. Simulator Input'!$E$96="yes", '1. Simulator Input'!$E$98="yes", '1. Simulator Input'!$E$100="hold harmless"), 'Idaho Data'!WN67, IF(AND('1. Simulator Input'!$E$96="yes", '1. Simulator Input'!$E$98="no", '1. Simulator Input'!$E$100="hold harmless"), 'Idaho Data'!WM67, IF(AND('1. Simulator Input'!$E$96="yes", '1. Simulator Input'!$E$98="yes", '1. Simulator Input'!$E$100="small district grant"), WL67,IF(AND('1. Simulator Input'!$E$96="yes", '1. Simulator Input'!$E$98="no", '1. Simulator Input'!$E$100="small district grant"), WK67, ""))))</f>
        <v/>
      </c>
      <c r="UP67" s="200">
        <f>'1. Simulator Input'!$D$56*('Idaho Data'!ST67)</f>
        <v>27276336</v>
      </c>
      <c r="UQ67" s="204">
        <f>'1. Simulator Input'!$D$65*'1. Simulator Input'!$D$56*'Idaho Data'!SU67</f>
        <v>0</v>
      </c>
      <c r="UR67" s="204">
        <f>'1. Simulator Input'!$D$66*'1. Simulator Input'!$D$56*'Idaho Data'!SW67</f>
        <v>0</v>
      </c>
      <c r="US67" s="200">
        <f>'1. Simulator Input'!$D$67*'1. Simulator Input'!$D$56*'Idaho Data'!TA67</f>
        <v>0</v>
      </c>
      <c r="UT67" s="200">
        <f>'1. Simulator Input'!$D$68*'1. Simulator Input'!$D$56*'Idaho Data'!TB67</f>
        <v>0</v>
      </c>
      <c r="UU67" s="200">
        <f>'1. Simulator Input'!$D$69*'1. Simulator Input'!$D$56*'Idaho Data'!TC67</f>
        <v>0</v>
      </c>
      <c r="UV67" s="200">
        <f>'1. Simulator Input'!$D$70*'1. Simulator Input'!$D$56*TD67</f>
        <v>0</v>
      </c>
      <c r="UW67" s="200">
        <f>'1. Simulator Input'!$D$80*'1. Simulator Input'!$D$56*TW67</f>
        <v>0</v>
      </c>
      <c r="UX67" s="200">
        <f>'1. Simulator Input'!$D$79*'1. Simulator Input'!$D$56*UB67</f>
        <v>0</v>
      </c>
      <c r="UY67" s="200">
        <f>'1. Simulator Input'!$D$87*'1. Simulator Input'!$D$56*TF67</f>
        <v>1201905</v>
      </c>
      <c r="UZ67" s="200">
        <f>'1. Simulator Input'!$D$73*'1. Simulator Input'!$D$56*'Idaho Data'!TG67</f>
        <v>0</v>
      </c>
      <c r="VA67" s="200">
        <f>'1. Simulator Input'!$D$56*'1. Simulator Input'!$D$74*'Idaho Data'!TH67</f>
        <v>0</v>
      </c>
      <c r="VB67" s="200">
        <f>'1. Simulator Input'!$D$56*'1. Simulator Input'!$D$75*'Idaho Data'!TI62</f>
        <v>0</v>
      </c>
      <c r="VC67" s="200">
        <f>'1. Simulator Input'!$D$76*'1. Simulator Input'!$D$56*'Idaho Data'!TJ67</f>
        <v>0</v>
      </c>
      <c r="VD67" s="200">
        <f t="shared" si="68"/>
        <v>28478241</v>
      </c>
      <c r="VE67" s="200"/>
      <c r="VF67" s="182"/>
      <c r="VG67" s="200"/>
      <c r="VH67" s="200">
        <f t="shared" si="69"/>
        <v>0</v>
      </c>
      <c r="VI67" s="200">
        <f t="shared" si="70"/>
        <v>0</v>
      </c>
      <c r="VJ67" s="200">
        <f t="shared" si="94"/>
        <v>28478241</v>
      </c>
      <c r="VK67" s="200">
        <f t="shared" si="95"/>
        <v>28478241</v>
      </c>
      <c r="VL67" s="200"/>
      <c r="VM67" s="182"/>
      <c r="VN67" s="200"/>
      <c r="VO67" s="200">
        <f t="shared" si="71"/>
        <v>3429716</v>
      </c>
      <c r="VP67" s="200">
        <f t="shared" si="72"/>
        <v>26859749</v>
      </c>
      <c r="VQ67" s="200">
        <f t="shared" si="73"/>
        <v>5023789</v>
      </c>
      <c r="VR67" s="200">
        <f t="shared" si="74"/>
        <v>3429716</v>
      </c>
      <c r="VS67" s="200">
        <f t="shared" si="96"/>
        <v>28478241</v>
      </c>
      <c r="VT67" s="200">
        <f t="shared" si="97"/>
        <v>5023789</v>
      </c>
      <c r="VU67" s="200">
        <f t="shared" si="98"/>
        <v>0</v>
      </c>
      <c r="VV67" s="200"/>
      <c r="VW67" s="182"/>
      <c r="VX67" s="200"/>
      <c r="VZ67" s="199">
        <f t="shared" si="75"/>
        <v>1618492</v>
      </c>
      <c r="WA67" s="199">
        <f t="shared" si="76"/>
        <v>327.89546191247973</v>
      </c>
      <c r="WB67" s="131">
        <f t="shared" si="77"/>
        <v>6.0257152812559792E-2</v>
      </c>
      <c r="WC67" s="131"/>
      <c r="WD67" s="461"/>
      <c r="WE67" s="893"/>
      <c r="WF67" s="893">
        <f t="shared" si="78"/>
        <v>7154.2248784440844</v>
      </c>
      <c r="WG67" s="893">
        <f t="shared" si="79"/>
        <v>7482.1203403565642</v>
      </c>
      <c r="WH67" s="893"/>
      <c r="WI67" s="893">
        <f t="shared" si="80"/>
        <v>26859749</v>
      </c>
      <c r="WJ67" s="893">
        <f t="shared" si="99"/>
        <v>28478241</v>
      </c>
      <c r="WK67" s="39" t="str">
        <f t="shared" si="100"/>
        <v/>
      </c>
      <c r="WL67" s="39" t="str">
        <f t="shared" si="101"/>
        <v/>
      </c>
      <c r="WM67" s="200" t="str">
        <f t="shared" si="102"/>
        <v/>
      </c>
      <c r="WN67" s="39" t="str">
        <f t="shared" si="103"/>
        <v/>
      </c>
      <c r="WO67" s="39"/>
      <c r="WP67" s="182"/>
      <c r="WQ67" s="39"/>
      <c r="WR67" s="305">
        <f t="shared" si="104"/>
        <v>8.0000000000000002E-3</v>
      </c>
      <c r="WT67" s="200">
        <f t="shared" si="105"/>
        <v>5441.6023095623987</v>
      </c>
      <c r="WU67" s="131">
        <f t="shared" si="81"/>
        <v>0.1</v>
      </c>
      <c r="WW67" s="199">
        <f t="shared" si="106"/>
        <v>3429716</v>
      </c>
      <c r="WX67" s="199">
        <f t="shared" si="107"/>
        <v>28478241</v>
      </c>
      <c r="WY67" s="199">
        <f t="shared" si="108"/>
        <v>0</v>
      </c>
      <c r="WZ67" s="199">
        <f t="shared" si="82"/>
        <v>28478241</v>
      </c>
      <c r="XA67" s="199">
        <f t="shared" si="109"/>
        <v>0</v>
      </c>
      <c r="XB67" s="199">
        <f t="shared" si="110"/>
        <v>5023789</v>
      </c>
      <c r="XC67" s="199">
        <f t="shared" si="111"/>
        <v>5023789</v>
      </c>
      <c r="XD67" s="199" t="str">
        <f t="shared" si="112"/>
        <v/>
      </c>
      <c r="XE67" s="199"/>
      <c r="XF67" s="199"/>
      <c r="XG67" s="199"/>
      <c r="XH67" s="199"/>
      <c r="XI67" s="199"/>
      <c r="XJ67" s="199">
        <f t="shared" si="83"/>
        <v>28478241</v>
      </c>
      <c r="XP67" s="199">
        <f t="shared" si="113"/>
        <v>28478241</v>
      </c>
      <c r="XQ67" s="199">
        <f t="shared" si="114"/>
        <v>5769.4977714748784</v>
      </c>
      <c r="XR67" s="199">
        <f t="shared" si="115"/>
        <v>28478241</v>
      </c>
      <c r="XS67" s="199">
        <f t="shared" si="116"/>
        <v>28478241</v>
      </c>
      <c r="XT67" s="199">
        <f t="shared" si="117"/>
        <v>5769.4977714748784</v>
      </c>
      <c r="XU67" s="199">
        <f t="shared" si="118"/>
        <v>26859749</v>
      </c>
      <c r="XV67" s="199">
        <f t="shared" si="119"/>
        <v>5441.6023095623987</v>
      </c>
      <c r="XW67" s="199">
        <f t="shared" si="120"/>
        <v>26859749</v>
      </c>
      <c r="XX67" s="199">
        <f t="shared" si="121"/>
        <v>5441.6023095623987</v>
      </c>
      <c r="XY67" s="199">
        <f t="shared" si="84"/>
        <v>1618492</v>
      </c>
      <c r="XZ67" s="199">
        <f t="shared" si="85"/>
        <v>327.89546191247973</v>
      </c>
      <c r="YA67" s="131">
        <f t="shared" ref="YA67:YA124" si="143">XZ67/XV67</f>
        <v>6.0257152812559792E-2</v>
      </c>
      <c r="YB67" s="199"/>
      <c r="YC67" s="221"/>
      <c r="YD67" s="199"/>
      <c r="YE67" s="199">
        <f t="shared" si="122"/>
        <v>3429716</v>
      </c>
      <c r="YF67" s="200">
        <f t="shared" si="123"/>
        <v>0</v>
      </c>
      <c r="YG67" s="199">
        <f t="shared" si="124"/>
        <v>5023789</v>
      </c>
      <c r="YH67" s="199">
        <f t="shared" si="125"/>
        <v>368802</v>
      </c>
    </row>
    <row r="68" spans="1:658">
      <c r="A68" s="3">
        <v>252</v>
      </c>
      <c r="B68" s="2" t="s">
        <v>163</v>
      </c>
      <c r="C68" s="24">
        <v>3633</v>
      </c>
      <c r="D68" s="24">
        <v>0</v>
      </c>
      <c r="E68" s="24">
        <v>0</v>
      </c>
      <c r="F68" s="24">
        <v>0</v>
      </c>
      <c r="G68" s="24">
        <v>392486</v>
      </c>
      <c r="H68" s="24">
        <v>0</v>
      </c>
      <c r="I68" s="24">
        <v>0</v>
      </c>
      <c r="J68" s="24">
        <v>87</v>
      </c>
      <c r="K68" s="24">
        <v>0</v>
      </c>
      <c r="L68" s="24">
        <v>0</v>
      </c>
      <c r="M68" s="24">
        <v>0</v>
      </c>
      <c r="N68" s="24">
        <v>0</v>
      </c>
      <c r="O68" s="24">
        <v>0</v>
      </c>
      <c r="P68" s="24">
        <v>0</v>
      </c>
      <c r="Q68" s="24">
        <v>0</v>
      </c>
      <c r="R68" s="24">
        <v>0</v>
      </c>
      <c r="S68" s="24">
        <v>0</v>
      </c>
      <c r="T68" s="24">
        <v>0</v>
      </c>
      <c r="U68" s="24">
        <v>0</v>
      </c>
      <c r="V68" s="24">
        <v>0</v>
      </c>
      <c r="W68" s="24">
        <v>0</v>
      </c>
      <c r="X68" s="24">
        <v>573688</v>
      </c>
      <c r="Y68" s="24">
        <v>10991</v>
      </c>
      <c r="Z68" s="24">
        <v>0</v>
      </c>
      <c r="AA68" s="24">
        <v>0</v>
      </c>
      <c r="AB68" s="24">
        <v>0</v>
      </c>
      <c r="AC68" s="24">
        <v>0</v>
      </c>
      <c r="AD68" s="24">
        <v>0</v>
      </c>
      <c r="AE68" s="24">
        <v>0</v>
      </c>
      <c r="AF68" s="24">
        <v>0</v>
      </c>
      <c r="AG68" s="24">
        <v>0</v>
      </c>
      <c r="AH68" s="24">
        <v>0</v>
      </c>
      <c r="AI68" s="24">
        <v>0</v>
      </c>
      <c r="AJ68" s="24">
        <v>0</v>
      </c>
      <c r="AK68" s="24">
        <v>0</v>
      </c>
      <c r="AL68" s="24">
        <v>5109</v>
      </c>
      <c r="AM68" s="24">
        <v>0</v>
      </c>
      <c r="AN68" s="24">
        <v>0</v>
      </c>
      <c r="AO68" s="24">
        <v>0</v>
      </c>
      <c r="AP68" s="24">
        <v>0</v>
      </c>
      <c r="AQ68" s="24">
        <v>0</v>
      </c>
      <c r="AR68" s="24">
        <v>0</v>
      </c>
      <c r="AS68" s="24">
        <v>0</v>
      </c>
      <c r="AT68" s="24">
        <v>0</v>
      </c>
      <c r="AU68" s="24">
        <v>0</v>
      </c>
      <c r="AV68" s="24">
        <v>0</v>
      </c>
      <c r="AW68" s="24">
        <v>0</v>
      </c>
      <c r="AX68" s="24">
        <v>0</v>
      </c>
      <c r="AY68" s="24">
        <v>0</v>
      </c>
      <c r="AZ68" s="24">
        <v>0</v>
      </c>
      <c r="BA68" s="24">
        <v>0</v>
      </c>
      <c r="BB68" s="24">
        <v>0</v>
      </c>
      <c r="BC68" s="24">
        <v>0</v>
      </c>
      <c r="BD68" s="24">
        <v>0</v>
      </c>
      <c r="BE68" s="24">
        <v>249</v>
      </c>
      <c r="BF68" s="24">
        <v>0</v>
      </c>
      <c r="BG68" s="24">
        <v>0</v>
      </c>
      <c r="BH68" s="24">
        <v>0</v>
      </c>
      <c r="BI68" s="24">
        <v>0</v>
      </c>
      <c r="BJ68" s="24">
        <v>0</v>
      </c>
      <c r="BK68" s="24">
        <v>0</v>
      </c>
      <c r="BL68" s="24">
        <v>0</v>
      </c>
      <c r="BM68" s="24">
        <v>0</v>
      </c>
      <c r="BN68" s="24">
        <v>0</v>
      </c>
      <c r="BO68" s="24">
        <v>0</v>
      </c>
      <c r="BP68" s="24">
        <v>0</v>
      </c>
      <c r="BQ68" s="24">
        <v>0</v>
      </c>
      <c r="BR68" s="24">
        <v>0</v>
      </c>
      <c r="BS68" s="24">
        <v>0</v>
      </c>
      <c r="BT68" s="24">
        <v>0</v>
      </c>
      <c r="BU68" s="24">
        <v>0</v>
      </c>
      <c r="BV68" s="24">
        <v>0</v>
      </c>
      <c r="BW68" s="24">
        <v>0</v>
      </c>
      <c r="BX68" s="24">
        <v>0</v>
      </c>
      <c r="BY68" s="24">
        <v>0</v>
      </c>
      <c r="BZ68" s="24">
        <v>0</v>
      </c>
      <c r="CA68" s="24">
        <v>0</v>
      </c>
      <c r="CB68" s="24">
        <v>0</v>
      </c>
      <c r="CC68" s="24">
        <v>0</v>
      </c>
      <c r="CD68" s="24">
        <v>6743</v>
      </c>
      <c r="CE68" s="24">
        <v>56380</v>
      </c>
      <c r="CF68" s="24">
        <v>0</v>
      </c>
      <c r="CG68" s="24">
        <v>0</v>
      </c>
      <c r="CH68" s="24">
        <v>0</v>
      </c>
      <c r="CI68" s="24">
        <v>0</v>
      </c>
      <c r="CJ68" s="24">
        <v>0</v>
      </c>
      <c r="CK68" s="24">
        <v>0</v>
      </c>
      <c r="CL68" s="24">
        <v>0</v>
      </c>
      <c r="CM68" s="24">
        <v>0</v>
      </c>
      <c r="CN68" s="24">
        <v>0</v>
      </c>
      <c r="CO68" s="24">
        <v>0</v>
      </c>
      <c r="CP68" s="24">
        <v>0</v>
      </c>
      <c r="CQ68" s="24">
        <v>0</v>
      </c>
      <c r="CR68" s="24">
        <v>0</v>
      </c>
      <c r="CS68" s="24">
        <v>0</v>
      </c>
      <c r="CT68" s="24">
        <v>0</v>
      </c>
      <c r="CU68" s="24">
        <v>0</v>
      </c>
      <c r="CV68" s="24">
        <v>0</v>
      </c>
      <c r="CW68" s="24">
        <v>0</v>
      </c>
      <c r="CX68" s="24">
        <v>0</v>
      </c>
      <c r="CY68" s="24">
        <v>0</v>
      </c>
      <c r="CZ68" s="24">
        <v>0</v>
      </c>
      <c r="DA68" s="24">
        <v>0</v>
      </c>
      <c r="DB68" s="24">
        <v>6900</v>
      </c>
      <c r="DC68" s="24">
        <v>0</v>
      </c>
      <c r="DD68" s="24">
        <v>0</v>
      </c>
      <c r="DE68" s="24">
        <v>0</v>
      </c>
      <c r="DF68" s="24">
        <v>0</v>
      </c>
      <c r="DG68" s="24">
        <v>0</v>
      </c>
      <c r="DH68" s="24">
        <v>0</v>
      </c>
      <c r="DI68" s="24">
        <v>0</v>
      </c>
      <c r="DJ68" s="24">
        <v>0</v>
      </c>
      <c r="DK68" s="24">
        <v>0</v>
      </c>
      <c r="DL68" s="24">
        <v>0</v>
      </c>
      <c r="DM68" s="24">
        <v>0</v>
      </c>
      <c r="DN68" s="24">
        <v>0</v>
      </c>
      <c r="DO68" s="24">
        <v>0</v>
      </c>
      <c r="DP68" s="24">
        <v>0</v>
      </c>
      <c r="DQ68" s="24">
        <v>0</v>
      </c>
      <c r="DR68" s="24">
        <v>0</v>
      </c>
      <c r="DS68" s="24">
        <v>0</v>
      </c>
      <c r="DT68" s="24">
        <v>0</v>
      </c>
      <c r="DU68" s="24">
        <v>0</v>
      </c>
      <c r="DV68" s="24">
        <v>0</v>
      </c>
      <c r="DW68" s="24">
        <v>0</v>
      </c>
      <c r="DX68" s="24">
        <v>0</v>
      </c>
      <c r="DY68" s="24">
        <v>0</v>
      </c>
      <c r="DZ68" s="24">
        <v>0</v>
      </c>
      <c r="EA68" s="24">
        <v>0</v>
      </c>
      <c r="EB68" s="24">
        <v>0</v>
      </c>
      <c r="EC68" s="24">
        <v>0</v>
      </c>
      <c r="ED68" s="24">
        <v>0</v>
      </c>
      <c r="EE68" s="24">
        <v>0</v>
      </c>
      <c r="EF68" s="24">
        <v>0</v>
      </c>
      <c r="EG68" s="24">
        <v>0</v>
      </c>
      <c r="EH68" s="24">
        <v>0</v>
      </c>
      <c r="EI68" s="24">
        <v>0</v>
      </c>
      <c r="EJ68" s="24">
        <v>0</v>
      </c>
      <c r="EK68" s="24">
        <v>0</v>
      </c>
      <c r="EL68" s="24">
        <v>0</v>
      </c>
      <c r="EM68" s="24">
        <v>0</v>
      </c>
      <c r="EN68" s="24">
        <v>0</v>
      </c>
      <c r="EO68" s="24">
        <v>0</v>
      </c>
      <c r="EP68" s="24">
        <v>0</v>
      </c>
      <c r="EQ68" s="24">
        <v>0</v>
      </c>
      <c r="ER68" s="24">
        <v>0</v>
      </c>
      <c r="ES68" s="24">
        <v>0</v>
      </c>
      <c r="ET68" s="24">
        <v>0</v>
      </c>
      <c r="EU68" s="24">
        <v>0</v>
      </c>
      <c r="EV68" s="24">
        <v>0</v>
      </c>
      <c r="EW68" s="24">
        <v>0</v>
      </c>
      <c r="EX68" s="24">
        <v>0</v>
      </c>
      <c r="EY68" s="24">
        <v>0</v>
      </c>
      <c r="EZ68" s="24">
        <v>0</v>
      </c>
      <c r="FA68" s="24">
        <v>0</v>
      </c>
      <c r="FB68" s="24">
        <v>0</v>
      </c>
      <c r="FC68" s="24">
        <v>0</v>
      </c>
      <c r="FD68" s="24">
        <v>0</v>
      </c>
      <c r="FE68" s="24">
        <v>0</v>
      </c>
      <c r="FF68" s="24">
        <v>0</v>
      </c>
      <c r="FG68" s="24">
        <v>0</v>
      </c>
      <c r="FH68" s="24">
        <v>0</v>
      </c>
      <c r="FI68" s="24">
        <v>0</v>
      </c>
      <c r="FJ68" s="24">
        <v>0</v>
      </c>
      <c r="FK68" s="24">
        <v>0</v>
      </c>
      <c r="FL68" s="24">
        <v>0</v>
      </c>
      <c r="FM68" s="24">
        <v>0</v>
      </c>
      <c r="FN68" s="24">
        <v>0</v>
      </c>
      <c r="FO68" s="24">
        <v>0</v>
      </c>
      <c r="FP68" s="24">
        <v>0</v>
      </c>
      <c r="FQ68" s="24">
        <v>0</v>
      </c>
      <c r="FR68" s="24">
        <v>0</v>
      </c>
      <c r="FS68" s="24">
        <v>116284</v>
      </c>
      <c r="FT68" s="24">
        <v>0</v>
      </c>
      <c r="FU68" s="24">
        <v>0</v>
      </c>
      <c r="FV68" s="24">
        <v>0</v>
      </c>
      <c r="FW68" s="24">
        <v>0</v>
      </c>
      <c r="FX68" s="24">
        <v>0</v>
      </c>
      <c r="FY68" s="24">
        <v>0</v>
      </c>
      <c r="FZ68" s="24">
        <v>0</v>
      </c>
      <c r="GA68" s="24">
        <v>0</v>
      </c>
      <c r="GB68" s="24">
        <v>0</v>
      </c>
      <c r="GC68" s="24">
        <v>0</v>
      </c>
      <c r="GD68" s="24">
        <v>0</v>
      </c>
      <c r="GE68" s="24">
        <v>0</v>
      </c>
      <c r="GF68" s="24">
        <v>0</v>
      </c>
      <c r="GG68" s="24">
        <v>0</v>
      </c>
      <c r="GH68" s="24">
        <v>0</v>
      </c>
      <c r="GI68" s="24">
        <v>0</v>
      </c>
      <c r="GJ68" s="24">
        <v>0</v>
      </c>
      <c r="GK68" s="24">
        <v>0</v>
      </c>
      <c r="GL68" s="24">
        <v>0</v>
      </c>
      <c r="GM68" s="24">
        <v>0</v>
      </c>
      <c r="GN68" s="24">
        <v>0</v>
      </c>
      <c r="GO68" s="24">
        <v>0</v>
      </c>
      <c r="GP68" s="24">
        <v>0</v>
      </c>
      <c r="GQ68" s="24">
        <v>0</v>
      </c>
      <c r="GR68" s="24">
        <v>0</v>
      </c>
      <c r="GS68" s="24">
        <v>0</v>
      </c>
      <c r="GT68" s="24">
        <v>0</v>
      </c>
      <c r="GU68" s="24">
        <v>0</v>
      </c>
      <c r="GV68" s="24">
        <v>0</v>
      </c>
      <c r="GW68" s="24">
        <v>0</v>
      </c>
      <c r="GX68" s="24">
        <v>0</v>
      </c>
      <c r="GY68" s="24">
        <v>0</v>
      </c>
      <c r="GZ68" s="24">
        <v>0</v>
      </c>
      <c r="HA68" s="24">
        <v>0</v>
      </c>
      <c r="HB68" s="24">
        <v>0</v>
      </c>
      <c r="HC68" s="24">
        <v>0</v>
      </c>
      <c r="HD68" s="24">
        <v>3163313</v>
      </c>
      <c r="HE68" s="24">
        <v>0</v>
      </c>
      <c r="HF68" s="24">
        <v>0</v>
      </c>
      <c r="HG68" s="24">
        <v>0</v>
      </c>
      <c r="HH68" s="24">
        <v>0</v>
      </c>
      <c r="HI68" s="24">
        <v>179926</v>
      </c>
      <c r="HJ68" s="24">
        <v>0</v>
      </c>
      <c r="HK68" s="24">
        <v>0</v>
      </c>
      <c r="HL68" s="24">
        <v>0</v>
      </c>
      <c r="HM68" s="24">
        <v>0</v>
      </c>
      <c r="HN68" s="24">
        <v>0</v>
      </c>
      <c r="HO68" s="24">
        <v>0</v>
      </c>
      <c r="HP68" s="24">
        <v>480883</v>
      </c>
      <c r="HQ68" s="24">
        <v>0</v>
      </c>
      <c r="HR68" s="24">
        <v>0</v>
      </c>
      <c r="HS68" s="24">
        <v>0</v>
      </c>
      <c r="HT68" s="24">
        <v>0</v>
      </c>
      <c r="HU68" s="24">
        <v>0</v>
      </c>
      <c r="HV68" s="24">
        <v>0</v>
      </c>
      <c r="HW68" s="24">
        <v>0</v>
      </c>
      <c r="HX68" s="24">
        <v>0</v>
      </c>
      <c r="HY68" s="24">
        <v>0</v>
      </c>
      <c r="HZ68" s="24">
        <v>2618</v>
      </c>
      <c r="IA68" s="24">
        <v>49001</v>
      </c>
      <c r="IB68" s="24">
        <v>10963</v>
      </c>
      <c r="IC68" s="24">
        <v>0</v>
      </c>
      <c r="ID68" s="24">
        <v>0</v>
      </c>
      <c r="IE68" s="24">
        <v>0</v>
      </c>
      <c r="IF68" s="24">
        <v>0</v>
      </c>
      <c r="IG68" s="24">
        <v>0</v>
      </c>
      <c r="IH68" s="24">
        <v>0</v>
      </c>
      <c r="II68" s="24">
        <v>0</v>
      </c>
      <c r="IJ68" s="24">
        <v>303787</v>
      </c>
      <c r="IK68" s="24">
        <v>0</v>
      </c>
      <c r="IL68" s="24">
        <v>0</v>
      </c>
      <c r="IM68" s="24">
        <v>0</v>
      </c>
      <c r="IN68" s="24">
        <v>0</v>
      </c>
      <c r="IO68" s="24">
        <v>5875</v>
      </c>
      <c r="IP68" s="24">
        <v>0</v>
      </c>
      <c r="IQ68" s="24">
        <v>0</v>
      </c>
      <c r="IR68" s="24">
        <v>50552</v>
      </c>
      <c r="IS68" s="24">
        <v>0</v>
      </c>
      <c r="IT68" s="24">
        <v>0</v>
      </c>
      <c r="IU68" s="24">
        <v>0</v>
      </c>
      <c r="IV68" s="24">
        <v>0</v>
      </c>
      <c r="IW68" s="24">
        <v>90266</v>
      </c>
      <c r="IX68" s="24">
        <v>0</v>
      </c>
      <c r="IY68" s="24">
        <v>0</v>
      </c>
      <c r="IZ68" s="24">
        <v>0</v>
      </c>
      <c r="JA68" s="24">
        <v>0</v>
      </c>
      <c r="JB68" s="24">
        <v>23940</v>
      </c>
      <c r="JC68" s="24">
        <v>0</v>
      </c>
      <c r="JD68" s="24">
        <v>0</v>
      </c>
      <c r="JE68" s="24">
        <v>43200</v>
      </c>
      <c r="JF68" s="24">
        <v>0</v>
      </c>
      <c r="JG68" s="24">
        <v>0</v>
      </c>
      <c r="JH68" s="24">
        <v>0</v>
      </c>
      <c r="JI68" s="24">
        <v>0</v>
      </c>
      <c r="JJ68" s="24">
        <v>0</v>
      </c>
      <c r="JK68" s="24">
        <v>0</v>
      </c>
      <c r="JL68" s="24">
        <v>0</v>
      </c>
      <c r="JM68" s="24">
        <v>0</v>
      </c>
      <c r="JN68" s="24">
        <v>0</v>
      </c>
      <c r="JO68" s="24">
        <v>0</v>
      </c>
      <c r="JP68" s="24">
        <v>0</v>
      </c>
      <c r="JQ68" s="24">
        <v>0</v>
      </c>
      <c r="JR68" s="24">
        <v>0</v>
      </c>
      <c r="JS68" s="24">
        <v>0</v>
      </c>
      <c r="JT68" s="24">
        <v>0</v>
      </c>
      <c r="JU68" s="24">
        <v>0</v>
      </c>
      <c r="JV68" s="24">
        <v>0</v>
      </c>
      <c r="JW68" s="24">
        <v>35736</v>
      </c>
      <c r="JX68" s="24">
        <v>21378</v>
      </c>
      <c r="JY68" s="24">
        <v>0</v>
      </c>
      <c r="JZ68" s="24">
        <v>0</v>
      </c>
      <c r="KA68" s="24">
        <v>0</v>
      </c>
      <c r="KB68" s="24">
        <v>0</v>
      </c>
      <c r="KC68" s="24">
        <v>0</v>
      </c>
      <c r="KD68" s="24">
        <v>0</v>
      </c>
      <c r="KE68" s="24">
        <v>0</v>
      </c>
      <c r="KF68" s="24">
        <v>0</v>
      </c>
      <c r="KG68" s="24">
        <v>1610</v>
      </c>
      <c r="KH68" s="24">
        <v>0</v>
      </c>
      <c r="KI68" s="24">
        <v>0</v>
      </c>
      <c r="KJ68" s="24">
        <v>0</v>
      </c>
      <c r="KK68" s="24">
        <v>0</v>
      </c>
      <c r="KL68" s="24">
        <v>0</v>
      </c>
      <c r="KM68" s="24">
        <v>0</v>
      </c>
      <c r="KN68" s="24">
        <v>0</v>
      </c>
      <c r="KO68" s="24">
        <v>0</v>
      </c>
      <c r="KP68" s="24">
        <v>0</v>
      </c>
      <c r="KQ68" s="24">
        <v>0</v>
      </c>
      <c r="KR68" s="24">
        <v>0</v>
      </c>
      <c r="KS68" s="24">
        <v>0</v>
      </c>
      <c r="KT68" s="24">
        <v>0</v>
      </c>
      <c r="KU68" s="24">
        <v>0</v>
      </c>
      <c r="KV68" s="24">
        <v>0</v>
      </c>
      <c r="KW68" s="24">
        <v>0</v>
      </c>
      <c r="KX68" s="24">
        <v>0</v>
      </c>
      <c r="KY68" s="24">
        <v>0</v>
      </c>
      <c r="KZ68" s="24">
        <v>0</v>
      </c>
      <c r="LA68" s="24">
        <v>0</v>
      </c>
      <c r="LB68" s="24">
        <v>0</v>
      </c>
      <c r="LC68" s="24">
        <v>0</v>
      </c>
      <c r="LD68" s="24">
        <v>0</v>
      </c>
      <c r="LE68" s="24">
        <v>0</v>
      </c>
      <c r="LF68" s="24">
        <v>0</v>
      </c>
      <c r="LG68" s="24">
        <v>0</v>
      </c>
      <c r="LH68" s="24">
        <v>0</v>
      </c>
      <c r="LI68" s="24">
        <v>0</v>
      </c>
      <c r="LJ68" s="24">
        <v>0</v>
      </c>
      <c r="LK68" s="24">
        <v>0</v>
      </c>
      <c r="LL68" s="24">
        <v>0</v>
      </c>
      <c r="LM68" s="24">
        <v>0</v>
      </c>
      <c r="LN68" s="24">
        <v>0</v>
      </c>
      <c r="LO68" s="24">
        <v>0</v>
      </c>
      <c r="LP68" s="24">
        <v>0</v>
      </c>
      <c r="LQ68" s="24">
        <v>89365</v>
      </c>
      <c r="LR68" s="24">
        <v>0</v>
      </c>
      <c r="LS68" s="24">
        <v>0</v>
      </c>
      <c r="LT68" s="24">
        <v>0</v>
      </c>
      <c r="LU68" s="24">
        <v>0</v>
      </c>
      <c r="LV68" s="24">
        <v>0</v>
      </c>
      <c r="LW68" s="24">
        <v>0</v>
      </c>
      <c r="LX68" s="24">
        <v>0</v>
      </c>
      <c r="LY68" s="24">
        <v>0</v>
      </c>
      <c r="LZ68" s="24">
        <v>0</v>
      </c>
      <c r="MA68" s="24">
        <v>0</v>
      </c>
      <c r="MB68" s="24">
        <v>0</v>
      </c>
      <c r="MC68" s="24">
        <v>0</v>
      </c>
      <c r="MD68" s="24">
        <v>0</v>
      </c>
      <c r="ME68" s="24">
        <v>0</v>
      </c>
      <c r="MF68" s="24">
        <v>0</v>
      </c>
      <c r="MG68" s="24">
        <v>0</v>
      </c>
      <c r="MH68" s="24">
        <v>0</v>
      </c>
      <c r="MI68" s="24">
        <v>0</v>
      </c>
      <c r="MJ68" s="24">
        <v>0</v>
      </c>
      <c r="MK68" s="24">
        <v>0</v>
      </c>
      <c r="ML68" s="24">
        <v>0</v>
      </c>
      <c r="MM68" s="24">
        <v>0</v>
      </c>
      <c r="MN68" s="24">
        <v>0</v>
      </c>
      <c r="MO68" s="24">
        <v>5478</v>
      </c>
      <c r="MP68" s="24">
        <v>0</v>
      </c>
      <c r="MQ68" s="24">
        <v>0</v>
      </c>
      <c r="MR68" s="24">
        <v>233046</v>
      </c>
      <c r="MS68" s="24">
        <v>0</v>
      </c>
      <c r="MT68" s="24">
        <v>0</v>
      </c>
      <c r="MU68" s="24">
        <v>0</v>
      </c>
      <c r="MV68" s="24">
        <v>0</v>
      </c>
      <c r="MW68" s="24">
        <v>130659</v>
      </c>
      <c r="MX68" s="24">
        <v>6088</v>
      </c>
      <c r="MY68" s="24">
        <v>0</v>
      </c>
      <c r="MZ68" s="24">
        <v>0</v>
      </c>
      <c r="NA68" s="24">
        <v>0</v>
      </c>
      <c r="NB68" s="24">
        <v>0</v>
      </c>
      <c r="NC68" s="24">
        <v>0</v>
      </c>
      <c r="ND68" s="24">
        <v>0</v>
      </c>
      <c r="NE68" s="24">
        <v>0</v>
      </c>
      <c r="NF68" s="24">
        <v>0</v>
      </c>
      <c r="NG68" s="24">
        <v>0</v>
      </c>
      <c r="NH68" s="24">
        <v>0</v>
      </c>
      <c r="NI68" s="24">
        <v>0</v>
      </c>
      <c r="NJ68" s="24">
        <v>0</v>
      </c>
      <c r="NK68" s="24">
        <v>0</v>
      </c>
      <c r="NL68" s="24">
        <v>0</v>
      </c>
      <c r="NM68" s="24">
        <v>0</v>
      </c>
      <c r="NN68" s="24">
        <v>0</v>
      </c>
      <c r="NO68" s="24">
        <v>0</v>
      </c>
      <c r="NP68" s="24">
        <v>0</v>
      </c>
      <c r="NQ68" s="24">
        <v>0</v>
      </c>
      <c r="NR68" s="24">
        <v>0</v>
      </c>
      <c r="NS68" s="24">
        <v>0</v>
      </c>
      <c r="NT68" s="24">
        <v>0</v>
      </c>
      <c r="NU68" s="24">
        <v>0</v>
      </c>
      <c r="NV68" s="24">
        <v>25391</v>
      </c>
      <c r="NW68" s="24">
        <v>0</v>
      </c>
      <c r="NX68" s="24">
        <v>0</v>
      </c>
      <c r="NY68" s="24">
        <v>0</v>
      </c>
      <c r="NZ68" s="24">
        <v>0</v>
      </c>
      <c r="OA68" s="24">
        <v>0</v>
      </c>
      <c r="OB68" s="24">
        <v>0</v>
      </c>
      <c r="OC68" s="24">
        <v>0</v>
      </c>
      <c r="OD68" s="24">
        <v>0</v>
      </c>
      <c r="OE68" s="24">
        <v>0</v>
      </c>
      <c r="OF68" s="24">
        <v>0</v>
      </c>
      <c r="OG68" s="24">
        <v>0</v>
      </c>
      <c r="OH68" s="24">
        <v>57597</v>
      </c>
      <c r="OI68" s="24">
        <v>0</v>
      </c>
      <c r="OJ68" s="24">
        <v>0</v>
      </c>
      <c r="OK68" s="24">
        <v>11543</v>
      </c>
      <c r="OL68" s="24">
        <v>0</v>
      </c>
      <c r="OM68" s="24">
        <v>0</v>
      </c>
      <c r="ON68" s="24">
        <v>0</v>
      </c>
      <c r="OO68" s="24">
        <v>0</v>
      </c>
      <c r="OP68" s="24">
        <v>0</v>
      </c>
      <c r="OQ68" s="24">
        <v>0</v>
      </c>
      <c r="OR68" s="24">
        <v>0</v>
      </c>
      <c r="OS68" s="24">
        <v>0</v>
      </c>
      <c r="OT68" s="24">
        <v>0</v>
      </c>
      <c r="OU68" s="24">
        <v>0</v>
      </c>
      <c r="OV68" s="24">
        <v>0</v>
      </c>
      <c r="OW68" s="24">
        <v>0</v>
      </c>
      <c r="OX68" s="24">
        <v>0</v>
      </c>
      <c r="OY68" s="24">
        <v>0</v>
      </c>
      <c r="OZ68" s="24">
        <v>0</v>
      </c>
      <c r="PA68" s="24">
        <v>0</v>
      </c>
      <c r="PB68" s="24">
        <v>0</v>
      </c>
      <c r="PC68" s="24">
        <v>0</v>
      </c>
      <c r="PD68" s="24">
        <v>0</v>
      </c>
      <c r="PE68" s="24">
        <v>0</v>
      </c>
      <c r="PF68" s="24">
        <v>0</v>
      </c>
      <c r="PG68" s="24">
        <v>0</v>
      </c>
      <c r="PH68" s="24">
        <v>0</v>
      </c>
      <c r="PI68" s="24">
        <v>0</v>
      </c>
      <c r="PJ68" s="24">
        <v>0</v>
      </c>
      <c r="PK68" s="24">
        <v>0</v>
      </c>
      <c r="PL68" s="24">
        <v>0</v>
      </c>
      <c r="PM68" s="24">
        <v>0</v>
      </c>
      <c r="PN68" s="24">
        <v>0</v>
      </c>
      <c r="PO68" s="24">
        <v>0</v>
      </c>
      <c r="PP68" s="24">
        <v>0</v>
      </c>
      <c r="PQ68" s="24">
        <v>0</v>
      </c>
      <c r="PR68" s="24">
        <v>0</v>
      </c>
      <c r="PS68" s="24">
        <v>0</v>
      </c>
      <c r="PT68" s="24">
        <v>34465</v>
      </c>
      <c r="PU68" s="24">
        <v>0</v>
      </c>
      <c r="PV68" s="24">
        <v>0</v>
      </c>
      <c r="PW68" s="24">
        <v>0</v>
      </c>
      <c r="PX68" s="24">
        <v>0</v>
      </c>
      <c r="PY68" s="24">
        <v>0</v>
      </c>
      <c r="PZ68" s="24">
        <v>0</v>
      </c>
      <c r="QA68" s="24">
        <v>0</v>
      </c>
      <c r="QB68" s="24">
        <v>0</v>
      </c>
      <c r="QC68" s="24">
        <v>0</v>
      </c>
      <c r="QD68" s="24">
        <v>0</v>
      </c>
      <c r="QE68" s="24">
        <v>0</v>
      </c>
      <c r="QF68" s="24">
        <v>0</v>
      </c>
      <c r="QG68" s="24">
        <v>0</v>
      </c>
      <c r="QH68" s="24">
        <v>0</v>
      </c>
      <c r="QI68" s="24">
        <v>0</v>
      </c>
      <c r="QJ68" s="24">
        <v>0</v>
      </c>
      <c r="QK68" s="24">
        <v>0</v>
      </c>
      <c r="QL68" s="24">
        <v>0</v>
      </c>
      <c r="QM68" s="24">
        <v>0</v>
      </c>
      <c r="QN68" s="24">
        <v>0</v>
      </c>
      <c r="QO68" s="24">
        <v>0</v>
      </c>
      <c r="QP68" s="24">
        <v>0</v>
      </c>
      <c r="QQ68" s="24">
        <v>0</v>
      </c>
      <c r="QR68" s="24">
        <v>0</v>
      </c>
      <c r="QS68" s="24">
        <v>44526</v>
      </c>
      <c r="QT68" s="24">
        <v>131524</v>
      </c>
      <c r="QU68" s="24">
        <v>41060</v>
      </c>
      <c r="QV68" s="24">
        <v>0</v>
      </c>
      <c r="QW68" s="24">
        <v>32110</v>
      </c>
      <c r="QX68" s="24">
        <v>0</v>
      </c>
      <c r="QY68" s="24">
        <v>0</v>
      </c>
      <c r="QZ68" s="24">
        <v>0</v>
      </c>
      <c r="RA68" s="24">
        <v>0</v>
      </c>
      <c r="RB68" s="24">
        <v>0</v>
      </c>
      <c r="RG68" s="39">
        <f t="shared" si="129"/>
        <v>3163313</v>
      </c>
      <c r="RH68" s="39">
        <f t="shared" si="128"/>
        <v>179926</v>
      </c>
      <c r="RI68" s="39">
        <f t="shared" si="128"/>
        <v>0</v>
      </c>
      <c r="RJ68" s="39">
        <f t="shared" si="128"/>
        <v>0</v>
      </c>
      <c r="RK68" s="39">
        <f t="shared" si="128"/>
        <v>0</v>
      </c>
      <c r="RL68" s="39">
        <f t="shared" si="128"/>
        <v>0</v>
      </c>
      <c r="RM68" s="39">
        <f t="shared" si="128"/>
        <v>847252</v>
      </c>
      <c r="RN68" s="39">
        <f t="shared" si="128"/>
        <v>5875</v>
      </c>
      <c r="RO68" s="39">
        <f t="shared" si="128"/>
        <v>50552</v>
      </c>
      <c r="RP68" s="39">
        <f t="shared" si="128"/>
        <v>90266</v>
      </c>
      <c r="RQ68" s="39">
        <f t="shared" si="128"/>
        <v>23940</v>
      </c>
      <c r="RR68" s="39">
        <f t="shared" si="128"/>
        <v>100314</v>
      </c>
      <c r="RS68" s="39"/>
      <c r="RT68" s="182"/>
      <c r="RU68" s="39"/>
      <c r="RV68" s="39">
        <f t="shared" si="127"/>
        <v>560777</v>
      </c>
      <c r="RW68" s="39">
        <f t="shared" si="127"/>
        <v>4461438</v>
      </c>
      <c r="RX68" s="39">
        <f t="shared" si="127"/>
        <v>1172550</v>
      </c>
      <c r="RY68" s="39">
        <f t="shared" si="127"/>
        <v>283685</v>
      </c>
      <c r="RZ68" s="39"/>
      <c r="SA68" s="182"/>
      <c r="SB68" s="39"/>
      <c r="SC68" s="25">
        <f t="shared" si="50"/>
        <v>1737.1111111111111</v>
      </c>
      <c r="SD68" s="39">
        <f>IFERROR(VLOOKUP(A68, 'Levy Data 15-16'!$B:$O, 3, FALSE), 0)</f>
        <v>133994278</v>
      </c>
      <c r="SE68" s="39">
        <f t="shared" si="88"/>
        <v>198510.04148148149</v>
      </c>
      <c r="SF68" s="631">
        <f>IFERROR(VLOOKUP(A68, 'Levy Data 15-16'!$B:$O, 14, FALSE), 0)*1000</f>
        <v>6.974596</v>
      </c>
      <c r="SG68" s="39">
        <f t="shared" si="89"/>
        <v>0</v>
      </c>
      <c r="SH68" s="39">
        <f t="shared" si="90"/>
        <v>0</v>
      </c>
      <c r="SI68" s="39">
        <f t="shared" si="91"/>
        <v>1172550</v>
      </c>
      <c r="SM68" s="39">
        <f t="shared" si="92"/>
        <v>4461438</v>
      </c>
      <c r="SN68" s="39">
        <f t="shared" si="93"/>
        <v>0</v>
      </c>
      <c r="SO68" s="39">
        <f t="shared" si="51"/>
        <v>4461438</v>
      </c>
      <c r="SP68" s="50">
        <f t="shared" si="130"/>
        <v>1</v>
      </c>
      <c r="ST68" s="124">
        <f>IFERROR(VLOOKUP(A68,'Grade Enroll 15-16'!B:AC,27,FALSE),"")</f>
        <v>675</v>
      </c>
      <c r="SU68" s="124">
        <f t="shared" si="53"/>
        <v>320.76446280991735</v>
      </c>
      <c r="SV68" s="131">
        <f>IFERROR(VLOOKUP($A68, 'Title I Enroll 16-17'!S:V, 4, FALSE), 0)</f>
        <v>0.47520661157024796</v>
      </c>
      <c r="SW68" s="729">
        <f>IFERROR(VLOOKUP(A68, 'ELL Enroll 15-16'!$N:$S, 6, FALSE), 0)</f>
        <v>17</v>
      </c>
      <c r="SX68" s="131">
        <f t="shared" si="131"/>
        <v>2.5185185185185185E-2</v>
      </c>
      <c r="SY68" s="124">
        <f>IFERROR(VLOOKUP(A68, 'SPED enroll 2015-16'!$M:$O, 3, FALSE), 0)</f>
        <v>61</v>
      </c>
      <c r="SZ68" s="131">
        <f t="shared" si="132"/>
        <v>9.0370370370370365E-2</v>
      </c>
      <c r="TA68" s="142">
        <f t="shared" si="133"/>
        <v>42.699999999999996</v>
      </c>
      <c r="TB68" s="142">
        <f t="shared" si="133"/>
        <v>12.200000000000001</v>
      </c>
      <c r="TC68" s="142">
        <f t="shared" si="133"/>
        <v>4.2700000000000005</v>
      </c>
      <c r="TD68" s="142">
        <f t="shared" si="133"/>
        <v>1.8299999999999998</v>
      </c>
      <c r="TE68" s="124">
        <f>VLOOKUP($A68, 'Grade Enroll 15-16'!$B:$AB, 20, FALSE)</f>
        <v>17</v>
      </c>
      <c r="TF68" s="124">
        <f>VLOOKUP($A68, 'Grade Enroll 15-16'!$B:$AB, 21, FALSE)</f>
        <v>30</v>
      </c>
      <c r="TG68" s="124">
        <f>VLOOKUP($A68, 'Grade Enroll 15-16'!$B:$AB, 22, FALSE)</f>
        <v>144</v>
      </c>
      <c r="TH68" s="124">
        <f>VLOOKUP($A68, 'Grade Enroll 15-16'!$B:$AB, 23, FALSE)</f>
        <v>159</v>
      </c>
      <c r="TI68" s="124">
        <f>VLOOKUP($A68, 'Grade Enroll 15-16'!$B:$AB, 24, FALSE)</f>
        <v>118</v>
      </c>
      <c r="TJ68" s="124">
        <f>VLOOKUP($A68, 'Grade Enroll 15-16'!$B:$AB, 25, FALSE)</f>
        <v>254</v>
      </c>
      <c r="TK68" s="124">
        <f>VLOOKUP($A68, 'Grade Enroll 15-16'!$B:$AB, 26, FALSE)</f>
        <v>457</v>
      </c>
      <c r="TL68" s="131">
        <f>SUMIFS('Student Achievement 15-16'!N:N, 'Student Achievement 15-16'!B:B, 'Idaho Data'!A68, 'Student Achievement 15-16'!D:D, "math")/100</f>
        <v>0.33100000000000002</v>
      </c>
      <c r="TM68" s="134">
        <f t="shared" si="57"/>
        <v>223.42500000000001</v>
      </c>
      <c r="TN68" s="131">
        <f>SUMIFS('Student Achievement 15-16'!N:N, 'Student Achievement 15-16'!B:B, 'Idaho Data'!A68, 'Student Achievement 15-16'!D:D, "ela")/100</f>
        <v>0.20499999999999999</v>
      </c>
      <c r="TO68" s="134">
        <f t="shared" si="134"/>
        <v>138.375</v>
      </c>
      <c r="TP68" s="688">
        <f>IFERROR(VLOOKUP(A68, 'G&amp;T 15-16'!B:G, 6, FALSE), 0)*1</f>
        <v>0</v>
      </c>
      <c r="TQ68" s="168">
        <f t="shared" si="135"/>
        <v>40.5</v>
      </c>
      <c r="TU68" s="168">
        <f t="shared" si="136"/>
        <v>138.375</v>
      </c>
      <c r="TV68" s="168">
        <f t="shared" si="137"/>
        <v>223.42500000000001</v>
      </c>
      <c r="TW68" s="205">
        <f t="shared" si="138"/>
        <v>223.42500000000001</v>
      </c>
      <c r="TX68" s="144"/>
      <c r="TY68" s="129"/>
      <c r="TZ68" s="127">
        <f t="shared" si="139"/>
        <v>0</v>
      </c>
      <c r="UA68" s="127">
        <f t="shared" si="140"/>
        <v>40.5</v>
      </c>
      <c r="UB68" s="205">
        <f t="shared" si="141"/>
        <v>40.5</v>
      </c>
      <c r="UE68" s="853" t="str">
        <f>IF(ST68&lt;='1. Simulator Input'!$E$104, "yes", "")</f>
        <v/>
      </c>
      <c r="UI68" s="199">
        <f t="shared" si="66"/>
        <v>0</v>
      </c>
      <c r="UJ68" s="200">
        <f>IF('Idaho Data'!SI68&gt;=0, ((1-'1. Simulator Input'!$E$39)*'Idaho Data'!SI68), 0)</f>
        <v>0</v>
      </c>
      <c r="UK68" s="200">
        <f t="shared" si="142"/>
        <v>4461438</v>
      </c>
      <c r="UL68" s="39"/>
      <c r="UM68" s="182"/>
      <c r="UN68" s="39"/>
      <c r="UO68" s="39" t="str">
        <f>IF(AND('1. Simulator Input'!$E$96="yes", '1. Simulator Input'!$E$98="yes", '1. Simulator Input'!$E$100="hold harmless"), 'Idaho Data'!WN68, IF(AND('1. Simulator Input'!$E$96="yes", '1. Simulator Input'!$E$98="no", '1. Simulator Input'!$E$100="hold harmless"), 'Idaho Data'!WM68, IF(AND('1. Simulator Input'!$E$96="yes", '1. Simulator Input'!$E$98="yes", '1. Simulator Input'!$E$100="small district grant"), WL68,IF(AND('1. Simulator Input'!$E$96="yes", '1. Simulator Input'!$E$98="no", '1. Simulator Input'!$E$100="small district grant"), WK68, ""))))</f>
        <v/>
      </c>
      <c r="UP68" s="200">
        <f>'1. Simulator Input'!$D$56*('Idaho Data'!ST68)</f>
        <v>3730050</v>
      </c>
      <c r="UQ68" s="204">
        <f>'1. Simulator Input'!$D$65*'1. Simulator Input'!$D$56*'Idaho Data'!SU68</f>
        <v>0</v>
      </c>
      <c r="UR68" s="204">
        <f>'1. Simulator Input'!$D$66*'1. Simulator Input'!$D$56*'Idaho Data'!SW68</f>
        <v>0</v>
      </c>
      <c r="US68" s="200">
        <f>'1. Simulator Input'!$D$67*'1. Simulator Input'!$D$56*'Idaho Data'!TA68</f>
        <v>0</v>
      </c>
      <c r="UT68" s="200">
        <f>'1. Simulator Input'!$D$68*'1. Simulator Input'!$D$56*'Idaho Data'!TB68</f>
        <v>0</v>
      </c>
      <c r="UU68" s="200">
        <f>'1. Simulator Input'!$D$69*'1. Simulator Input'!$D$56*'Idaho Data'!TC68</f>
        <v>0</v>
      </c>
      <c r="UV68" s="200">
        <f>'1. Simulator Input'!$D$70*'1. Simulator Input'!$D$56*TD68</f>
        <v>0</v>
      </c>
      <c r="UW68" s="200">
        <f>'1. Simulator Input'!$D$80*'1. Simulator Input'!$D$56*TW68</f>
        <v>0</v>
      </c>
      <c r="UX68" s="200">
        <f>'1. Simulator Input'!$D$79*'1. Simulator Input'!$D$56*UB68</f>
        <v>0</v>
      </c>
      <c r="UY68" s="200">
        <f>'1. Simulator Input'!$D$87*'1. Simulator Input'!$D$56*TF68</f>
        <v>82890</v>
      </c>
      <c r="UZ68" s="200">
        <f>'1. Simulator Input'!$D$73*'1. Simulator Input'!$D$56*'Idaho Data'!TG68</f>
        <v>0</v>
      </c>
      <c r="VA68" s="200">
        <f>'1. Simulator Input'!$D$56*'1. Simulator Input'!$D$74*'Idaho Data'!TH68</f>
        <v>0</v>
      </c>
      <c r="VB68" s="200">
        <f>'1. Simulator Input'!$D$56*'1. Simulator Input'!$D$75*'Idaho Data'!TI63</f>
        <v>0</v>
      </c>
      <c r="VC68" s="200">
        <f>'1. Simulator Input'!$D$76*'1. Simulator Input'!$D$56*'Idaho Data'!TJ68</f>
        <v>0</v>
      </c>
      <c r="VD68" s="200">
        <f t="shared" si="68"/>
        <v>3812940</v>
      </c>
      <c r="VE68" s="200"/>
      <c r="VF68" s="182"/>
      <c r="VG68" s="200"/>
      <c r="VH68" s="200">
        <f t="shared" si="69"/>
        <v>0</v>
      </c>
      <c r="VI68" s="200">
        <f t="shared" si="70"/>
        <v>0</v>
      </c>
      <c r="VJ68" s="200">
        <f t="shared" si="94"/>
        <v>3812940</v>
      </c>
      <c r="VK68" s="200">
        <f t="shared" si="95"/>
        <v>3812940</v>
      </c>
      <c r="VL68" s="200"/>
      <c r="VM68" s="182"/>
      <c r="VN68" s="200"/>
      <c r="VO68" s="200">
        <f t="shared" si="71"/>
        <v>560777</v>
      </c>
      <c r="VP68" s="200">
        <f t="shared" si="72"/>
        <v>4461438</v>
      </c>
      <c r="VQ68" s="200">
        <f t="shared" si="73"/>
        <v>1172550</v>
      </c>
      <c r="VR68" s="200">
        <f t="shared" si="74"/>
        <v>560777</v>
      </c>
      <c r="VS68" s="200">
        <f t="shared" si="96"/>
        <v>3812940</v>
      </c>
      <c r="VT68" s="200">
        <f t="shared" si="97"/>
        <v>1172550</v>
      </c>
      <c r="VU68" s="200">
        <f t="shared" si="98"/>
        <v>0</v>
      </c>
      <c r="VV68" s="200"/>
      <c r="VW68" s="182"/>
      <c r="VX68" s="200"/>
      <c r="VZ68" s="199">
        <f t="shared" si="75"/>
        <v>-648498</v>
      </c>
      <c r="WA68" s="199">
        <f t="shared" si="76"/>
        <v>-960.73777777777775</v>
      </c>
      <c r="WB68" s="131">
        <f t="shared" si="77"/>
        <v>-0.14535627302228565</v>
      </c>
      <c r="WC68" s="131"/>
      <c r="WD68" s="461"/>
      <c r="WE68" s="893"/>
      <c r="WF68" s="893">
        <f t="shared" si="78"/>
        <v>9177.4296296296288</v>
      </c>
      <c r="WG68" s="893">
        <f t="shared" si="79"/>
        <v>8216.6918518518523</v>
      </c>
      <c r="WH68" s="893"/>
      <c r="WI68" s="893">
        <f t="shared" si="80"/>
        <v>4461438</v>
      </c>
      <c r="WJ68" s="893">
        <f t="shared" si="99"/>
        <v>3812940</v>
      </c>
      <c r="WK68" s="39" t="str">
        <f t="shared" si="100"/>
        <v/>
      </c>
      <c r="WL68" s="39" t="str">
        <f t="shared" si="101"/>
        <v/>
      </c>
      <c r="WM68" s="200" t="str">
        <f t="shared" si="102"/>
        <v/>
      </c>
      <c r="WN68" s="39" t="str">
        <f t="shared" si="103"/>
        <v/>
      </c>
      <c r="WO68" s="39"/>
      <c r="WP68" s="182"/>
      <c r="WQ68" s="39"/>
      <c r="WR68" s="305">
        <f t="shared" si="104"/>
        <v>2.5999999999999999E-2</v>
      </c>
      <c r="WT68" s="200">
        <f t="shared" si="105"/>
        <v>6609.5377777777776</v>
      </c>
      <c r="WU68" s="131">
        <f t="shared" si="81"/>
        <v>0.53</v>
      </c>
      <c r="WW68" s="199">
        <f t="shared" si="106"/>
        <v>560777</v>
      </c>
      <c r="WX68" s="199">
        <f t="shared" si="107"/>
        <v>3812940</v>
      </c>
      <c r="WY68" s="199">
        <f t="shared" si="108"/>
        <v>0</v>
      </c>
      <c r="WZ68" s="199">
        <f t="shared" si="82"/>
        <v>3812940</v>
      </c>
      <c r="XA68" s="199">
        <f t="shared" si="109"/>
        <v>0</v>
      </c>
      <c r="XB68" s="199">
        <f t="shared" si="110"/>
        <v>1172550</v>
      </c>
      <c r="XC68" s="199">
        <f t="shared" si="111"/>
        <v>1172550</v>
      </c>
      <c r="XD68" s="199" t="str">
        <f t="shared" si="112"/>
        <v/>
      </c>
      <c r="XE68" s="199"/>
      <c r="XF68" s="199"/>
      <c r="XG68" s="199"/>
      <c r="XH68" s="199"/>
      <c r="XI68" s="199"/>
      <c r="XJ68" s="199">
        <f t="shared" si="83"/>
        <v>3812940</v>
      </c>
      <c r="XP68" s="199">
        <f t="shared" si="113"/>
        <v>3812940</v>
      </c>
      <c r="XQ68" s="199">
        <f t="shared" si="114"/>
        <v>5648.8</v>
      </c>
      <c r="XR68" s="199">
        <f t="shared" si="115"/>
        <v>3812940</v>
      </c>
      <c r="XS68" s="199">
        <f t="shared" si="116"/>
        <v>3812940</v>
      </c>
      <c r="XT68" s="199">
        <f t="shared" si="117"/>
        <v>5648.8</v>
      </c>
      <c r="XU68" s="199">
        <f t="shared" si="118"/>
        <v>4461438</v>
      </c>
      <c r="XV68" s="199">
        <f t="shared" si="119"/>
        <v>6609.5377777777776</v>
      </c>
      <c r="XW68" s="199">
        <f t="shared" si="120"/>
        <v>4461438</v>
      </c>
      <c r="XX68" s="199">
        <f t="shared" si="121"/>
        <v>6609.5377777777776</v>
      </c>
      <c r="XY68" s="199">
        <f t="shared" si="84"/>
        <v>-648498</v>
      </c>
      <c r="XZ68" s="199">
        <f t="shared" si="85"/>
        <v>-960.73777777777741</v>
      </c>
      <c r="YA68" s="131">
        <f t="shared" si="143"/>
        <v>-0.1453562730222856</v>
      </c>
      <c r="YB68" s="199"/>
      <c r="YC68" s="221"/>
      <c r="YD68" s="199"/>
      <c r="YE68" s="199">
        <f t="shared" si="122"/>
        <v>560777</v>
      </c>
      <c r="YF68" s="200">
        <f t="shared" si="123"/>
        <v>0</v>
      </c>
      <c r="YG68" s="199">
        <f t="shared" si="124"/>
        <v>1172550</v>
      </c>
      <c r="YH68" s="199">
        <f t="shared" si="125"/>
        <v>283685</v>
      </c>
    </row>
    <row r="69" spans="1:658">
      <c r="A69" s="3">
        <v>253</v>
      </c>
      <c r="B69" s="2" t="s">
        <v>164</v>
      </c>
      <c r="C69" s="24">
        <v>6</v>
      </c>
      <c r="D69" s="24">
        <v>0</v>
      </c>
      <c r="E69" s="24">
        <v>0</v>
      </c>
      <c r="F69" s="24">
        <v>0</v>
      </c>
      <c r="G69" s="24">
        <v>295140</v>
      </c>
      <c r="H69" s="24">
        <v>0</v>
      </c>
      <c r="I69" s="24">
        <v>0</v>
      </c>
      <c r="J69" s="24">
        <v>10</v>
      </c>
      <c r="K69" s="24">
        <v>0</v>
      </c>
      <c r="L69" s="24">
        <v>0</v>
      </c>
      <c r="M69" s="24">
        <v>0</v>
      </c>
      <c r="N69" s="24">
        <v>8670</v>
      </c>
      <c r="O69" s="24">
        <v>0</v>
      </c>
      <c r="P69" s="24">
        <v>0</v>
      </c>
      <c r="Q69" s="24">
        <v>0</v>
      </c>
      <c r="R69" s="24">
        <v>0</v>
      </c>
      <c r="S69" s="24">
        <v>0</v>
      </c>
      <c r="T69" s="24">
        <v>299728</v>
      </c>
      <c r="U69" s="24">
        <v>0</v>
      </c>
      <c r="V69" s="24">
        <v>0</v>
      </c>
      <c r="W69" s="24">
        <v>0</v>
      </c>
      <c r="X69" s="24">
        <v>217064</v>
      </c>
      <c r="Y69" s="24">
        <v>354</v>
      </c>
      <c r="Z69" s="24">
        <v>0</v>
      </c>
      <c r="AA69" s="24">
        <v>249</v>
      </c>
      <c r="AB69" s="24">
        <v>275</v>
      </c>
      <c r="AC69" s="24">
        <v>0</v>
      </c>
      <c r="AD69" s="24">
        <v>0</v>
      </c>
      <c r="AE69" s="24">
        <v>0</v>
      </c>
      <c r="AF69" s="24">
        <v>0</v>
      </c>
      <c r="AG69" s="24">
        <v>0</v>
      </c>
      <c r="AH69" s="24">
        <v>0</v>
      </c>
      <c r="AI69" s="24">
        <v>0</v>
      </c>
      <c r="AJ69" s="24">
        <v>0</v>
      </c>
      <c r="AK69" s="24">
        <v>0</v>
      </c>
      <c r="AL69" s="24">
        <v>7482</v>
      </c>
      <c r="AM69" s="24">
        <v>0</v>
      </c>
      <c r="AN69" s="24">
        <v>0</v>
      </c>
      <c r="AO69" s="24">
        <v>0</v>
      </c>
      <c r="AP69" s="24">
        <v>0</v>
      </c>
      <c r="AQ69" s="24">
        <v>0</v>
      </c>
      <c r="AR69" s="24">
        <v>0</v>
      </c>
      <c r="AS69" s="24">
        <v>0</v>
      </c>
      <c r="AT69" s="24">
        <v>0</v>
      </c>
      <c r="AU69" s="24">
        <v>0</v>
      </c>
      <c r="AV69" s="24">
        <v>0</v>
      </c>
      <c r="AW69" s="24">
        <v>0</v>
      </c>
      <c r="AX69" s="24">
        <v>0</v>
      </c>
      <c r="AY69" s="24">
        <v>0</v>
      </c>
      <c r="AZ69" s="24">
        <v>0</v>
      </c>
      <c r="BA69" s="24">
        <v>0</v>
      </c>
      <c r="BB69" s="24">
        <v>0</v>
      </c>
      <c r="BC69" s="24">
        <v>0</v>
      </c>
      <c r="BD69" s="24">
        <v>1189</v>
      </c>
      <c r="BE69" s="24">
        <v>2115</v>
      </c>
      <c r="BF69" s="24">
        <v>1115</v>
      </c>
      <c r="BG69" s="24">
        <v>0</v>
      </c>
      <c r="BH69" s="24">
        <v>0</v>
      </c>
      <c r="BI69" s="24">
        <v>0</v>
      </c>
      <c r="BJ69" s="24">
        <v>0</v>
      </c>
      <c r="BK69" s="24">
        <v>0</v>
      </c>
      <c r="BL69" s="24">
        <v>0</v>
      </c>
      <c r="BM69" s="24">
        <v>0</v>
      </c>
      <c r="BN69" s="24">
        <v>0</v>
      </c>
      <c r="BO69" s="24">
        <v>0</v>
      </c>
      <c r="BP69" s="24">
        <v>0</v>
      </c>
      <c r="BQ69" s="24">
        <v>0</v>
      </c>
      <c r="BR69" s="24">
        <v>0</v>
      </c>
      <c r="BS69" s="24">
        <v>0</v>
      </c>
      <c r="BT69" s="24">
        <v>0</v>
      </c>
      <c r="BU69" s="24">
        <v>0</v>
      </c>
      <c r="BV69" s="24">
        <v>0</v>
      </c>
      <c r="BW69" s="24">
        <v>0</v>
      </c>
      <c r="BX69" s="24">
        <v>0</v>
      </c>
      <c r="BY69" s="24">
        <v>0</v>
      </c>
      <c r="BZ69" s="24">
        <v>0</v>
      </c>
      <c r="CA69" s="24">
        <v>0</v>
      </c>
      <c r="CB69" s="24">
        <v>0</v>
      </c>
      <c r="CC69" s="24">
        <v>0</v>
      </c>
      <c r="CD69" s="24">
        <v>39737</v>
      </c>
      <c r="CE69" s="24">
        <v>107</v>
      </c>
      <c r="CF69" s="24">
        <v>0</v>
      </c>
      <c r="CG69" s="24">
        <v>1508</v>
      </c>
      <c r="CH69" s="24">
        <v>0</v>
      </c>
      <c r="CI69" s="24">
        <v>0</v>
      </c>
      <c r="CJ69" s="24">
        <v>0</v>
      </c>
      <c r="CK69" s="24">
        <v>0</v>
      </c>
      <c r="CL69" s="24">
        <v>0</v>
      </c>
      <c r="CM69" s="24">
        <v>0</v>
      </c>
      <c r="CN69" s="24">
        <v>0</v>
      </c>
      <c r="CO69" s="24">
        <v>0</v>
      </c>
      <c r="CP69" s="24">
        <v>0</v>
      </c>
      <c r="CQ69" s="24">
        <v>0</v>
      </c>
      <c r="CR69" s="24">
        <v>0</v>
      </c>
      <c r="CS69" s="24">
        <v>0</v>
      </c>
      <c r="CT69" s="24">
        <v>0</v>
      </c>
      <c r="CU69" s="24">
        <v>0</v>
      </c>
      <c r="CV69" s="24">
        <v>0</v>
      </c>
      <c r="CW69" s="24">
        <v>0</v>
      </c>
      <c r="CX69" s="24">
        <v>0</v>
      </c>
      <c r="CY69" s="24">
        <v>0</v>
      </c>
      <c r="CZ69" s="24">
        <v>0</v>
      </c>
      <c r="DA69" s="24">
        <v>0</v>
      </c>
      <c r="DB69" s="24">
        <v>0</v>
      </c>
      <c r="DC69" s="24">
        <v>0</v>
      </c>
      <c r="DD69" s="24">
        <v>0</v>
      </c>
      <c r="DE69" s="24">
        <v>0</v>
      </c>
      <c r="DF69" s="24">
        <v>0</v>
      </c>
      <c r="DG69" s="24">
        <v>0</v>
      </c>
      <c r="DH69" s="24">
        <v>0</v>
      </c>
      <c r="DI69" s="24">
        <v>0</v>
      </c>
      <c r="DJ69" s="24">
        <v>0</v>
      </c>
      <c r="DK69" s="24">
        <v>0</v>
      </c>
      <c r="DL69" s="24">
        <v>0</v>
      </c>
      <c r="DM69" s="24">
        <v>0</v>
      </c>
      <c r="DN69" s="24">
        <v>0</v>
      </c>
      <c r="DO69" s="24">
        <v>0</v>
      </c>
      <c r="DP69" s="24">
        <v>0</v>
      </c>
      <c r="DQ69" s="24">
        <v>0</v>
      </c>
      <c r="DR69" s="24">
        <v>0</v>
      </c>
      <c r="DS69" s="24">
        <v>0</v>
      </c>
      <c r="DT69" s="24">
        <v>0</v>
      </c>
      <c r="DU69" s="24">
        <v>1183</v>
      </c>
      <c r="DV69" s="24">
        <v>0</v>
      </c>
      <c r="DW69" s="24">
        <v>0</v>
      </c>
      <c r="DX69" s="24">
        <v>0</v>
      </c>
      <c r="DY69" s="24">
        <v>0</v>
      </c>
      <c r="DZ69" s="24">
        <v>0</v>
      </c>
      <c r="EA69" s="24">
        <v>0</v>
      </c>
      <c r="EB69" s="24">
        <v>0</v>
      </c>
      <c r="EC69" s="24">
        <v>0</v>
      </c>
      <c r="ED69" s="24">
        <v>0</v>
      </c>
      <c r="EE69" s="24">
        <v>0</v>
      </c>
      <c r="EF69" s="24">
        <v>0</v>
      </c>
      <c r="EG69" s="24">
        <v>100</v>
      </c>
      <c r="EH69" s="24">
        <v>0</v>
      </c>
      <c r="EI69" s="24">
        <v>0</v>
      </c>
      <c r="EJ69" s="24">
        <v>0</v>
      </c>
      <c r="EK69" s="24">
        <v>0</v>
      </c>
      <c r="EL69" s="24">
        <v>0</v>
      </c>
      <c r="EM69" s="24">
        <v>0</v>
      </c>
      <c r="EN69" s="24">
        <v>0</v>
      </c>
      <c r="EO69" s="24">
        <v>0</v>
      </c>
      <c r="EP69" s="24">
        <v>0</v>
      </c>
      <c r="EQ69" s="24">
        <v>0</v>
      </c>
      <c r="ER69" s="24">
        <v>0</v>
      </c>
      <c r="ES69" s="24">
        <v>0</v>
      </c>
      <c r="ET69" s="24">
        <v>0</v>
      </c>
      <c r="EU69" s="24">
        <v>15</v>
      </c>
      <c r="EV69" s="24">
        <v>0</v>
      </c>
      <c r="EW69" s="24">
        <v>0</v>
      </c>
      <c r="EX69" s="24">
        <v>0</v>
      </c>
      <c r="EY69" s="24">
        <v>36294</v>
      </c>
      <c r="EZ69" s="24">
        <v>0</v>
      </c>
      <c r="FA69" s="24">
        <v>0</v>
      </c>
      <c r="FB69" s="24">
        <v>0</v>
      </c>
      <c r="FC69" s="24">
        <v>0</v>
      </c>
      <c r="FD69" s="24">
        <v>0</v>
      </c>
      <c r="FE69" s="24">
        <v>0</v>
      </c>
      <c r="FF69" s="24">
        <v>0</v>
      </c>
      <c r="FG69" s="24">
        <v>0</v>
      </c>
      <c r="FH69" s="24">
        <v>0</v>
      </c>
      <c r="FI69" s="24">
        <v>0</v>
      </c>
      <c r="FJ69" s="24">
        <v>0</v>
      </c>
      <c r="FK69" s="24">
        <v>0</v>
      </c>
      <c r="FL69" s="24">
        <v>6768</v>
      </c>
      <c r="FM69" s="24">
        <v>0</v>
      </c>
      <c r="FN69" s="24">
        <v>0</v>
      </c>
      <c r="FO69" s="24">
        <v>0</v>
      </c>
      <c r="FP69" s="24">
        <v>0</v>
      </c>
      <c r="FQ69" s="24">
        <v>0</v>
      </c>
      <c r="FR69" s="24">
        <v>0</v>
      </c>
      <c r="FS69" s="24">
        <v>55566</v>
      </c>
      <c r="FT69" s="24">
        <v>0</v>
      </c>
      <c r="FU69" s="24">
        <v>0</v>
      </c>
      <c r="FV69" s="24">
        <v>0</v>
      </c>
      <c r="FW69" s="24">
        <v>0</v>
      </c>
      <c r="FX69" s="24">
        <v>0</v>
      </c>
      <c r="FY69" s="24">
        <v>0</v>
      </c>
      <c r="FZ69" s="24">
        <v>0</v>
      </c>
      <c r="GA69" s="24">
        <v>0</v>
      </c>
      <c r="GB69" s="24">
        <v>0</v>
      </c>
      <c r="GC69" s="24">
        <v>0</v>
      </c>
      <c r="GD69" s="24">
        <v>0</v>
      </c>
      <c r="GE69" s="24">
        <v>3600</v>
      </c>
      <c r="GF69" s="24">
        <v>0</v>
      </c>
      <c r="GG69" s="24">
        <v>0</v>
      </c>
      <c r="GH69" s="24">
        <v>0</v>
      </c>
      <c r="GI69" s="24">
        <v>0</v>
      </c>
      <c r="GJ69" s="24">
        <v>0</v>
      </c>
      <c r="GK69" s="24">
        <v>0</v>
      </c>
      <c r="GL69" s="24">
        <v>0</v>
      </c>
      <c r="GM69" s="24">
        <v>0</v>
      </c>
      <c r="GN69" s="24">
        <v>0</v>
      </c>
      <c r="GO69" s="24">
        <v>0</v>
      </c>
      <c r="GP69" s="24">
        <v>0</v>
      </c>
      <c r="GQ69" s="24">
        <v>0</v>
      </c>
      <c r="GR69" s="24">
        <v>6052</v>
      </c>
      <c r="GS69" s="24">
        <v>0</v>
      </c>
      <c r="GT69" s="24">
        <v>0</v>
      </c>
      <c r="GU69" s="24">
        <v>9198</v>
      </c>
      <c r="GV69" s="24">
        <v>0</v>
      </c>
      <c r="GW69" s="24">
        <v>0</v>
      </c>
      <c r="GX69" s="24">
        <v>0</v>
      </c>
      <c r="GY69" s="24">
        <v>0</v>
      </c>
      <c r="GZ69" s="24">
        <v>0</v>
      </c>
      <c r="HA69" s="24">
        <v>0</v>
      </c>
      <c r="HB69" s="24">
        <v>0</v>
      </c>
      <c r="HC69" s="24">
        <v>0</v>
      </c>
      <c r="HD69" s="24">
        <v>2998945</v>
      </c>
      <c r="HE69" s="24">
        <v>0</v>
      </c>
      <c r="HF69" s="24">
        <v>0</v>
      </c>
      <c r="HG69" s="24">
        <v>0</v>
      </c>
      <c r="HH69" s="24">
        <v>0</v>
      </c>
      <c r="HI69" s="24">
        <v>257202</v>
      </c>
      <c r="HJ69" s="24">
        <v>0</v>
      </c>
      <c r="HK69" s="24">
        <v>0</v>
      </c>
      <c r="HL69" s="24">
        <v>5696</v>
      </c>
      <c r="HM69" s="24">
        <v>0</v>
      </c>
      <c r="HN69" s="24">
        <v>0</v>
      </c>
      <c r="HO69" s="24">
        <v>395306</v>
      </c>
      <c r="HP69" s="24">
        <v>129147</v>
      </c>
      <c r="HQ69" s="24">
        <v>0</v>
      </c>
      <c r="HR69" s="24">
        <v>0</v>
      </c>
      <c r="HS69" s="24">
        <v>0</v>
      </c>
      <c r="HT69" s="24">
        <v>0</v>
      </c>
      <c r="HU69" s="24">
        <v>0</v>
      </c>
      <c r="HV69" s="24">
        <v>0</v>
      </c>
      <c r="HW69" s="24">
        <v>0</v>
      </c>
      <c r="HX69" s="24">
        <v>0</v>
      </c>
      <c r="HY69" s="24">
        <v>0</v>
      </c>
      <c r="HZ69" s="24">
        <v>0</v>
      </c>
      <c r="IA69" s="24">
        <v>41259</v>
      </c>
      <c r="IB69" s="24">
        <v>6467</v>
      </c>
      <c r="IC69" s="24">
        <v>0</v>
      </c>
      <c r="ID69" s="24">
        <v>0</v>
      </c>
      <c r="IE69" s="24">
        <v>0</v>
      </c>
      <c r="IF69" s="24">
        <v>0</v>
      </c>
      <c r="IG69" s="24">
        <v>324</v>
      </c>
      <c r="IH69" s="24">
        <v>0</v>
      </c>
      <c r="II69" s="24">
        <v>0</v>
      </c>
      <c r="IJ69" s="24">
        <v>0</v>
      </c>
      <c r="IK69" s="24">
        <v>0</v>
      </c>
      <c r="IL69" s="24">
        <v>0</v>
      </c>
      <c r="IM69" s="24">
        <v>0</v>
      </c>
      <c r="IN69" s="24">
        <v>0</v>
      </c>
      <c r="IO69" s="24">
        <v>2588</v>
      </c>
      <c r="IP69" s="24">
        <v>0</v>
      </c>
      <c r="IQ69" s="24">
        <v>0</v>
      </c>
      <c r="IR69" s="24">
        <v>35570</v>
      </c>
      <c r="IS69" s="24">
        <v>0</v>
      </c>
      <c r="IT69" s="24">
        <v>0</v>
      </c>
      <c r="IU69" s="24">
        <v>0</v>
      </c>
      <c r="IV69" s="24">
        <v>0</v>
      </c>
      <c r="IW69" s="24">
        <v>91367</v>
      </c>
      <c r="IX69" s="24">
        <v>0</v>
      </c>
      <c r="IY69" s="24">
        <v>0</v>
      </c>
      <c r="IZ69" s="24">
        <v>0</v>
      </c>
      <c r="JA69" s="24">
        <v>0</v>
      </c>
      <c r="JB69" s="24">
        <v>75570</v>
      </c>
      <c r="JC69" s="24">
        <v>0</v>
      </c>
      <c r="JD69" s="24">
        <v>0</v>
      </c>
      <c r="JE69" s="24">
        <v>22460</v>
      </c>
      <c r="JF69" s="24">
        <v>0</v>
      </c>
      <c r="JG69" s="24">
        <v>0</v>
      </c>
      <c r="JH69" s="24">
        <v>0</v>
      </c>
      <c r="JI69" s="24">
        <v>0</v>
      </c>
      <c r="JJ69" s="24">
        <v>0</v>
      </c>
      <c r="JK69" s="24">
        <v>0</v>
      </c>
      <c r="JL69" s="24">
        <v>0</v>
      </c>
      <c r="JM69" s="24">
        <v>0</v>
      </c>
      <c r="JN69" s="24">
        <v>0</v>
      </c>
      <c r="JO69" s="24">
        <v>0</v>
      </c>
      <c r="JP69" s="24">
        <v>0</v>
      </c>
      <c r="JQ69" s="24">
        <v>0</v>
      </c>
      <c r="JR69" s="24">
        <v>0</v>
      </c>
      <c r="JS69" s="24">
        <v>0</v>
      </c>
      <c r="JT69" s="24">
        <v>0</v>
      </c>
      <c r="JU69" s="24">
        <v>3332</v>
      </c>
      <c r="JV69" s="24">
        <v>0</v>
      </c>
      <c r="JW69" s="24">
        <v>0</v>
      </c>
      <c r="JX69" s="24">
        <v>0</v>
      </c>
      <c r="JY69" s="24">
        <v>0</v>
      </c>
      <c r="JZ69" s="24">
        <v>100</v>
      </c>
      <c r="KA69" s="24">
        <v>0</v>
      </c>
      <c r="KB69" s="24">
        <v>0</v>
      </c>
      <c r="KC69" s="24">
        <v>0</v>
      </c>
      <c r="KD69" s="24">
        <v>0</v>
      </c>
      <c r="KE69" s="24">
        <v>0</v>
      </c>
      <c r="KF69" s="24">
        <v>0</v>
      </c>
      <c r="KG69" s="24">
        <v>0</v>
      </c>
      <c r="KH69" s="24">
        <v>0</v>
      </c>
      <c r="KI69" s="24">
        <v>0</v>
      </c>
      <c r="KJ69" s="24">
        <v>0</v>
      </c>
      <c r="KK69" s="24">
        <v>0</v>
      </c>
      <c r="KL69" s="24">
        <v>0</v>
      </c>
      <c r="KM69" s="24">
        <v>0</v>
      </c>
      <c r="KN69" s="24">
        <v>0</v>
      </c>
      <c r="KO69" s="24">
        <v>0</v>
      </c>
      <c r="KP69" s="24">
        <v>0</v>
      </c>
      <c r="KQ69" s="24">
        <v>0</v>
      </c>
      <c r="KR69" s="24">
        <v>0</v>
      </c>
      <c r="KS69" s="24">
        <v>0</v>
      </c>
      <c r="KT69" s="24">
        <v>0</v>
      </c>
      <c r="KU69" s="24">
        <v>0</v>
      </c>
      <c r="KV69" s="24">
        <v>0</v>
      </c>
      <c r="KW69" s="24">
        <v>0</v>
      </c>
      <c r="KX69" s="24">
        <v>0</v>
      </c>
      <c r="KY69" s="24">
        <v>0</v>
      </c>
      <c r="KZ69" s="24">
        <v>0</v>
      </c>
      <c r="LA69" s="24">
        <v>0</v>
      </c>
      <c r="LB69" s="24">
        <v>0</v>
      </c>
      <c r="LC69" s="24">
        <v>0</v>
      </c>
      <c r="LD69" s="24">
        <v>0</v>
      </c>
      <c r="LE69" s="24">
        <v>0</v>
      </c>
      <c r="LF69" s="24">
        <v>0</v>
      </c>
      <c r="LG69" s="24">
        <v>0</v>
      </c>
      <c r="LH69" s="24">
        <v>0</v>
      </c>
      <c r="LI69" s="24">
        <v>0</v>
      </c>
      <c r="LJ69" s="24">
        <v>0</v>
      </c>
      <c r="LK69" s="24">
        <v>0</v>
      </c>
      <c r="LL69" s="24">
        <v>0</v>
      </c>
      <c r="LM69" s="24">
        <v>0</v>
      </c>
      <c r="LN69" s="24">
        <v>0</v>
      </c>
      <c r="LO69" s="24">
        <v>0</v>
      </c>
      <c r="LP69" s="24">
        <v>0</v>
      </c>
      <c r="LQ69" s="24">
        <v>172241</v>
      </c>
      <c r="LR69" s="24">
        <v>30932</v>
      </c>
      <c r="LS69" s="24">
        <v>0</v>
      </c>
      <c r="LT69" s="24">
        <v>0</v>
      </c>
      <c r="LU69" s="24">
        <v>0</v>
      </c>
      <c r="LV69" s="24">
        <v>0</v>
      </c>
      <c r="LW69" s="24">
        <v>0</v>
      </c>
      <c r="LX69" s="24">
        <v>0</v>
      </c>
      <c r="LY69" s="24">
        <v>0</v>
      </c>
      <c r="LZ69" s="24">
        <v>0</v>
      </c>
      <c r="MA69" s="24">
        <v>0</v>
      </c>
      <c r="MB69" s="24">
        <v>0</v>
      </c>
      <c r="MC69" s="24">
        <v>0</v>
      </c>
      <c r="MD69" s="24">
        <v>0</v>
      </c>
      <c r="ME69" s="24">
        <v>0</v>
      </c>
      <c r="MF69" s="24">
        <v>0</v>
      </c>
      <c r="MG69" s="24">
        <v>0</v>
      </c>
      <c r="MH69" s="24">
        <v>0</v>
      </c>
      <c r="MI69" s="24">
        <v>10044</v>
      </c>
      <c r="MJ69" s="24">
        <v>0</v>
      </c>
      <c r="MK69" s="24">
        <v>0</v>
      </c>
      <c r="ML69" s="24">
        <v>0</v>
      </c>
      <c r="MM69" s="24">
        <v>0</v>
      </c>
      <c r="MN69" s="24">
        <v>0</v>
      </c>
      <c r="MO69" s="24">
        <v>5920</v>
      </c>
      <c r="MP69" s="24">
        <v>0</v>
      </c>
      <c r="MQ69" s="24">
        <v>0</v>
      </c>
      <c r="MR69" s="24">
        <v>201472</v>
      </c>
      <c r="MS69" s="24">
        <v>0</v>
      </c>
      <c r="MT69" s="24">
        <v>0</v>
      </c>
      <c r="MU69" s="24">
        <v>0</v>
      </c>
      <c r="MV69" s="24">
        <v>0</v>
      </c>
      <c r="MW69" s="24">
        <v>84741</v>
      </c>
      <c r="MX69" s="24">
        <v>4028</v>
      </c>
      <c r="MY69" s="24">
        <v>0</v>
      </c>
      <c r="MZ69" s="24">
        <v>0</v>
      </c>
      <c r="NA69" s="24">
        <v>0</v>
      </c>
      <c r="NB69" s="24">
        <v>0</v>
      </c>
      <c r="NC69" s="24">
        <v>0</v>
      </c>
      <c r="ND69" s="24">
        <v>0</v>
      </c>
      <c r="NE69" s="24">
        <v>0</v>
      </c>
      <c r="NF69" s="24">
        <v>0</v>
      </c>
      <c r="NG69" s="24">
        <v>0</v>
      </c>
      <c r="NH69" s="24">
        <v>0</v>
      </c>
      <c r="NI69" s="24">
        <v>0</v>
      </c>
      <c r="NJ69" s="24">
        <v>0</v>
      </c>
      <c r="NK69" s="24">
        <v>0</v>
      </c>
      <c r="NL69" s="24">
        <v>0</v>
      </c>
      <c r="NM69" s="24">
        <v>0</v>
      </c>
      <c r="NN69" s="24">
        <v>0</v>
      </c>
      <c r="NO69" s="24">
        <v>0</v>
      </c>
      <c r="NP69" s="24">
        <v>0</v>
      </c>
      <c r="NQ69" s="24">
        <v>30848</v>
      </c>
      <c r="NR69" s="24">
        <v>0</v>
      </c>
      <c r="NS69" s="24">
        <v>0</v>
      </c>
      <c r="NT69" s="24">
        <v>0</v>
      </c>
      <c r="NU69" s="24">
        <v>0</v>
      </c>
      <c r="NV69" s="24">
        <v>41726</v>
      </c>
      <c r="NW69" s="24">
        <v>0</v>
      </c>
      <c r="NX69" s="24">
        <v>0</v>
      </c>
      <c r="NY69" s="24">
        <v>0</v>
      </c>
      <c r="NZ69" s="24">
        <v>0</v>
      </c>
      <c r="OA69" s="24">
        <v>0</v>
      </c>
      <c r="OB69" s="24">
        <v>0</v>
      </c>
      <c r="OC69" s="24">
        <v>0</v>
      </c>
      <c r="OD69" s="24">
        <v>0</v>
      </c>
      <c r="OE69" s="24">
        <v>0</v>
      </c>
      <c r="OF69" s="24">
        <v>0</v>
      </c>
      <c r="OG69" s="24">
        <v>0</v>
      </c>
      <c r="OH69" s="24">
        <v>0</v>
      </c>
      <c r="OI69" s="24">
        <v>0</v>
      </c>
      <c r="OJ69" s="24">
        <v>0</v>
      </c>
      <c r="OK69" s="24">
        <v>0</v>
      </c>
      <c r="OL69" s="24">
        <v>0</v>
      </c>
      <c r="OM69" s="24">
        <v>0</v>
      </c>
      <c r="ON69" s="24">
        <v>0</v>
      </c>
      <c r="OO69" s="24">
        <v>0</v>
      </c>
      <c r="OP69" s="24">
        <v>0</v>
      </c>
      <c r="OQ69" s="24">
        <v>0</v>
      </c>
      <c r="OR69" s="24">
        <v>0</v>
      </c>
      <c r="OS69" s="24">
        <v>0</v>
      </c>
      <c r="OT69" s="24">
        <v>0</v>
      </c>
      <c r="OU69" s="24">
        <v>684</v>
      </c>
      <c r="OV69" s="24">
        <v>0</v>
      </c>
      <c r="OW69" s="24">
        <v>0</v>
      </c>
      <c r="OX69" s="24">
        <v>0</v>
      </c>
      <c r="OY69" s="24">
        <v>0</v>
      </c>
      <c r="OZ69" s="24">
        <v>0</v>
      </c>
      <c r="PA69" s="24">
        <v>0</v>
      </c>
      <c r="PB69" s="24">
        <v>0</v>
      </c>
      <c r="PC69" s="24">
        <v>0</v>
      </c>
      <c r="PD69" s="24">
        <v>0</v>
      </c>
      <c r="PE69" s="24">
        <v>0</v>
      </c>
      <c r="PF69" s="24">
        <v>0</v>
      </c>
      <c r="PG69" s="24">
        <v>0</v>
      </c>
      <c r="PH69" s="24">
        <v>20000</v>
      </c>
      <c r="PI69" s="24">
        <v>0</v>
      </c>
      <c r="PJ69" s="24">
        <v>0</v>
      </c>
      <c r="PK69" s="24">
        <v>0</v>
      </c>
      <c r="PL69" s="24">
        <v>0</v>
      </c>
      <c r="PM69" s="24">
        <v>0</v>
      </c>
      <c r="PN69" s="24">
        <v>0</v>
      </c>
      <c r="PO69" s="24">
        <v>0</v>
      </c>
      <c r="PP69" s="24">
        <v>0</v>
      </c>
      <c r="PQ69" s="24">
        <v>0</v>
      </c>
      <c r="PR69" s="24">
        <v>0</v>
      </c>
      <c r="PS69" s="24">
        <v>0</v>
      </c>
      <c r="PT69" s="24">
        <v>0</v>
      </c>
      <c r="PU69" s="24">
        <v>0</v>
      </c>
      <c r="PV69" s="24">
        <v>0</v>
      </c>
      <c r="PW69" s="24">
        <v>110000</v>
      </c>
      <c r="PX69" s="24">
        <v>0</v>
      </c>
      <c r="PY69" s="24">
        <v>0</v>
      </c>
      <c r="PZ69" s="24">
        <v>0</v>
      </c>
      <c r="QA69" s="24">
        <v>0</v>
      </c>
      <c r="QB69" s="24">
        <v>0</v>
      </c>
      <c r="QC69" s="24">
        <v>0</v>
      </c>
      <c r="QD69" s="24">
        <v>0</v>
      </c>
      <c r="QE69" s="24">
        <v>0</v>
      </c>
      <c r="QF69" s="24">
        <v>0</v>
      </c>
      <c r="QG69" s="24">
        <v>0</v>
      </c>
      <c r="QH69" s="24">
        <v>0</v>
      </c>
      <c r="QI69" s="24">
        <v>0</v>
      </c>
      <c r="QJ69" s="24">
        <v>0</v>
      </c>
      <c r="QK69" s="24">
        <v>0</v>
      </c>
      <c r="QL69" s="24">
        <v>0</v>
      </c>
      <c r="QM69" s="24">
        <v>0</v>
      </c>
      <c r="QN69" s="24">
        <v>0</v>
      </c>
      <c r="QO69" s="24">
        <v>0</v>
      </c>
      <c r="QP69" s="24">
        <v>0</v>
      </c>
      <c r="QQ69" s="24">
        <v>0</v>
      </c>
      <c r="QR69" s="24">
        <v>0</v>
      </c>
      <c r="QS69" s="24">
        <v>5926</v>
      </c>
      <c r="QT69" s="24">
        <v>0</v>
      </c>
      <c r="QU69" s="24">
        <v>0</v>
      </c>
      <c r="QV69" s="24">
        <v>33734</v>
      </c>
      <c r="QW69" s="24">
        <v>0</v>
      </c>
      <c r="QX69" s="24">
        <v>0</v>
      </c>
      <c r="QY69" s="24">
        <v>0</v>
      </c>
      <c r="QZ69" s="24">
        <v>0</v>
      </c>
      <c r="RA69" s="24">
        <v>0</v>
      </c>
      <c r="RB69" s="24">
        <v>0</v>
      </c>
      <c r="RG69" s="39">
        <f t="shared" si="129"/>
        <v>2998945</v>
      </c>
      <c r="RH69" s="39">
        <f t="shared" si="128"/>
        <v>257202</v>
      </c>
      <c r="RI69" s="39">
        <f t="shared" si="128"/>
        <v>5696</v>
      </c>
      <c r="RJ69" s="39">
        <f t="shared" si="128"/>
        <v>0</v>
      </c>
      <c r="RK69" s="39">
        <f t="shared" si="128"/>
        <v>0</v>
      </c>
      <c r="RL69" s="39">
        <f t="shared" si="128"/>
        <v>395306</v>
      </c>
      <c r="RM69" s="39">
        <f t="shared" si="128"/>
        <v>177197</v>
      </c>
      <c r="RN69" s="39">
        <f t="shared" si="128"/>
        <v>2588</v>
      </c>
      <c r="RO69" s="39">
        <f t="shared" si="128"/>
        <v>35570</v>
      </c>
      <c r="RP69" s="39">
        <f t="shared" si="128"/>
        <v>91367</v>
      </c>
      <c r="RQ69" s="39">
        <f t="shared" si="128"/>
        <v>75570</v>
      </c>
      <c r="RR69" s="39">
        <f t="shared" si="128"/>
        <v>25892</v>
      </c>
      <c r="RS69" s="39"/>
      <c r="RT69" s="182"/>
      <c r="RU69" s="39"/>
      <c r="RV69" s="39">
        <f t="shared" si="127"/>
        <v>581952</v>
      </c>
      <c r="RW69" s="39">
        <f t="shared" si="127"/>
        <v>4065333</v>
      </c>
      <c r="RX69" s="39">
        <f t="shared" si="127"/>
        <v>993525</v>
      </c>
      <c r="RY69" s="39">
        <f t="shared" si="127"/>
        <v>170344</v>
      </c>
      <c r="RZ69" s="39"/>
      <c r="SA69" s="182"/>
      <c r="SB69" s="39"/>
      <c r="SC69" s="25">
        <f t="shared" si="50"/>
        <v>1692.5468483816014</v>
      </c>
      <c r="SD69" s="39">
        <f>IFERROR(VLOOKUP(A69, 'Levy Data 15-16'!$B:$O, 3, FALSE), 0)</f>
        <v>171162859</v>
      </c>
      <c r="SE69" s="39">
        <f t="shared" si="88"/>
        <v>291589.19761499146</v>
      </c>
      <c r="SF69" s="631">
        <f>IFERROR(VLOOKUP(A69, 'Levy Data 15-16'!$B:$O, 14, FALSE), 0)*1000</f>
        <v>4.8052719999999995</v>
      </c>
      <c r="SG69" s="39">
        <f t="shared" si="89"/>
        <v>0</v>
      </c>
      <c r="SH69" s="39">
        <f t="shared" si="90"/>
        <v>0</v>
      </c>
      <c r="SI69" s="39">
        <f t="shared" si="91"/>
        <v>993525</v>
      </c>
      <c r="SM69" s="39">
        <f t="shared" si="92"/>
        <v>4065333</v>
      </c>
      <c r="SN69" s="39">
        <f t="shared" si="93"/>
        <v>0</v>
      </c>
      <c r="SO69" s="39">
        <f t="shared" si="51"/>
        <v>4065333</v>
      </c>
      <c r="SP69" s="50">
        <f t="shared" si="130"/>
        <v>1</v>
      </c>
      <c r="ST69" s="124">
        <f>IFERROR(VLOOKUP(A69,'Grade Enroll 15-16'!B:AC,27,FALSE),"")</f>
        <v>587</v>
      </c>
      <c r="SU69" s="124">
        <f t="shared" si="53"/>
        <v>298.68218298555377</v>
      </c>
      <c r="SV69" s="131">
        <f>IFERROR(VLOOKUP($A69, 'Title I Enroll 16-17'!S:V, 4, FALSE), 0)</f>
        <v>0.5088282504012841</v>
      </c>
      <c r="SW69" s="729">
        <f>IFERROR(VLOOKUP(A69, 'ELL Enroll 15-16'!$N:$S, 6, FALSE), 0)</f>
        <v>120</v>
      </c>
      <c r="SX69" s="131">
        <f t="shared" si="131"/>
        <v>0.20442930153321975</v>
      </c>
      <c r="SY69" s="124">
        <f>IFERROR(VLOOKUP(A69, 'SPED enroll 2015-16'!$M:$O, 3, FALSE), 0)</f>
        <v>38</v>
      </c>
      <c r="SZ69" s="131">
        <f t="shared" si="132"/>
        <v>6.4735945485519586E-2</v>
      </c>
      <c r="TA69" s="142">
        <f t="shared" si="133"/>
        <v>26.599999999999998</v>
      </c>
      <c r="TB69" s="142">
        <f t="shared" si="133"/>
        <v>7.6000000000000005</v>
      </c>
      <c r="TC69" s="142">
        <f t="shared" si="133"/>
        <v>2.66</v>
      </c>
      <c r="TD69" s="142">
        <f t="shared" si="133"/>
        <v>1.1399999999999999</v>
      </c>
      <c r="TE69" s="124">
        <f>VLOOKUP($A69, 'Grade Enroll 15-16'!$B:$AB, 20, FALSE)</f>
        <v>1</v>
      </c>
      <c r="TF69" s="124">
        <f>VLOOKUP($A69, 'Grade Enroll 15-16'!$B:$AB, 21, FALSE)</f>
        <v>36</v>
      </c>
      <c r="TG69" s="124">
        <f>VLOOKUP($A69, 'Grade Enroll 15-16'!$B:$AB, 22, FALSE)</f>
        <v>122</v>
      </c>
      <c r="TH69" s="124">
        <f>VLOOKUP($A69, 'Grade Enroll 15-16'!$B:$AB, 23, FALSE)</f>
        <v>140</v>
      </c>
      <c r="TI69" s="124">
        <f>VLOOKUP($A69, 'Grade Enroll 15-16'!$B:$AB, 24, FALSE)</f>
        <v>111</v>
      </c>
      <c r="TJ69" s="124">
        <f>VLOOKUP($A69, 'Grade Enroll 15-16'!$B:$AB, 25, FALSE)</f>
        <v>214</v>
      </c>
      <c r="TK69" s="124">
        <f>VLOOKUP($A69, 'Grade Enroll 15-16'!$B:$AB, 26, FALSE)</f>
        <v>399</v>
      </c>
      <c r="TL69" s="131">
        <f>SUMIFS('Student Achievement 15-16'!N:N, 'Student Achievement 15-16'!B:B, 'Idaho Data'!A69, 'Student Achievement 15-16'!D:D, "math")/100</f>
        <v>0.192</v>
      </c>
      <c r="TM69" s="134">
        <f t="shared" si="57"/>
        <v>112.70400000000001</v>
      </c>
      <c r="TN69" s="131">
        <f>SUMIFS('Student Achievement 15-16'!N:N, 'Student Achievement 15-16'!B:B, 'Idaho Data'!A69, 'Student Achievement 15-16'!D:D, "ela")/100</f>
        <v>0.17899999999999999</v>
      </c>
      <c r="TO69" s="134">
        <f t="shared" si="134"/>
        <v>105.07299999999999</v>
      </c>
      <c r="TP69" s="688">
        <f>IFERROR(VLOOKUP(A69, 'G&amp;T 15-16'!B:G, 6, FALSE), 0)*1</f>
        <v>24</v>
      </c>
      <c r="TQ69" s="168">
        <f t="shared" si="135"/>
        <v>35.22</v>
      </c>
      <c r="TU69" s="168">
        <f t="shared" si="136"/>
        <v>105.07299999999999</v>
      </c>
      <c r="TV69" s="168">
        <f t="shared" si="137"/>
        <v>112.70400000000001</v>
      </c>
      <c r="TW69" s="205">
        <f t="shared" si="138"/>
        <v>112.70400000000001</v>
      </c>
      <c r="TX69" s="144"/>
      <c r="TY69" s="129"/>
      <c r="TZ69" s="127">
        <f t="shared" si="139"/>
        <v>24</v>
      </c>
      <c r="UA69" s="127">
        <f t="shared" si="140"/>
        <v>35.22</v>
      </c>
      <c r="UB69" s="205">
        <f t="shared" si="141"/>
        <v>35.22</v>
      </c>
      <c r="UE69" s="853" t="str">
        <f>IF(ST69&lt;='1. Simulator Input'!$E$104, "yes", "")</f>
        <v/>
      </c>
      <c r="UI69" s="199">
        <f t="shared" si="66"/>
        <v>0</v>
      </c>
      <c r="UJ69" s="200">
        <f>IF('Idaho Data'!SI69&gt;=0, ((1-'1. Simulator Input'!$E$39)*'Idaho Data'!SI69), 0)</f>
        <v>0</v>
      </c>
      <c r="UK69" s="200">
        <f t="shared" si="142"/>
        <v>4065333</v>
      </c>
      <c r="UL69" s="39"/>
      <c r="UM69" s="182"/>
      <c r="UN69" s="39"/>
      <c r="UO69" s="39" t="str">
        <f>IF(AND('1. Simulator Input'!$E$96="yes", '1. Simulator Input'!$E$98="yes", '1. Simulator Input'!$E$100="hold harmless"), 'Idaho Data'!WN69, IF(AND('1. Simulator Input'!$E$96="yes", '1. Simulator Input'!$E$98="no", '1. Simulator Input'!$E$100="hold harmless"), 'Idaho Data'!WM69, IF(AND('1. Simulator Input'!$E$96="yes", '1. Simulator Input'!$E$98="yes", '1. Simulator Input'!$E$100="small district grant"), WL69,IF(AND('1. Simulator Input'!$E$96="yes", '1. Simulator Input'!$E$98="no", '1. Simulator Input'!$E$100="small district grant"), WK69, ""))))</f>
        <v/>
      </c>
      <c r="UP69" s="200">
        <f>'1. Simulator Input'!$D$56*('Idaho Data'!ST69)</f>
        <v>3243762</v>
      </c>
      <c r="UQ69" s="204">
        <f>'1. Simulator Input'!$D$65*'1. Simulator Input'!$D$56*'Idaho Data'!SU69</f>
        <v>0</v>
      </c>
      <c r="UR69" s="204">
        <f>'1. Simulator Input'!$D$66*'1. Simulator Input'!$D$56*'Idaho Data'!SW69</f>
        <v>0</v>
      </c>
      <c r="US69" s="200">
        <f>'1. Simulator Input'!$D$67*'1. Simulator Input'!$D$56*'Idaho Data'!TA69</f>
        <v>0</v>
      </c>
      <c r="UT69" s="200">
        <f>'1. Simulator Input'!$D$68*'1. Simulator Input'!$D$56*'Idaho Data'!TB69</f>
        <v>0</v>
      </c>
      <c r="UU69" s="200">
        <f>'1. Simulator Input'!$D$69*'1. Simulator Input'!$D$56*'Idaho Data'!TC69</f>
        <v>0</v>
      </c>
      <c r="UV69" s="200">
        <f>'1. Simulator Input'!$D$70*'1. Simulator Input'!$D$56*TD69</f>
        <v>0</v>
      </c>
      <c r="UW69" s="200">
        <f>'1. Simulator Input'!$D$80*'1. Simulator Input'!$D$56*TW69</f>
        <v>0</v>
      </c>
      <c r="UX69" s="200">
        <f>'1. Simulator Input'!$D$79*'1. Simulator Input'!$D$56*UB69</f>
        <v>0</v>
      </c>
      <c r="UY69" s="200">
        <f>'1. Simulator Input'!$D$87*'1. Simulator Input'!$D$56*TF69</f>
        <v>99468</v>
      </c>
      <c r="UZ69" s="200">
        <f>'1. Simulator Input'!$D$73*'1. Simulator Input'!$D$56*'Idaho Data'!TG69</f>
        <v>0</v>
      </c>
      <c r="VA69" s="200">
        <f>'1. Simulator Input'!$D$56*'1. Simulator Input'!$D$74*'Idaho Data'!TH69</f>
        <v>0</v>
      </c>
      <c r="VB69" s="200">
        <f>'1. Simulator Input'!$D$56*'1. Simulator Input'!$D$75*'Idaho Data'!TI64</f>
        <v>0</v>
      </c>
      <c r="VC69" s="200">
        <f>'1. Simulator Input'!$D$76*'1. Simulator Input'!$D$56*'Idaho Data'!TJ69</f>
        <v>0</v>
      </c>
      <c r="VD69" s="200">
        <f t="shared" si="68"/>
        <v>3343230</v>
      </c>
      <c r="VE69" s="200"/>
      <c r="VF69" s="182"/>
      <c r="VG69" s="200"/>
      <c r="VH69" s="200">
        <f t="shared" si="69"/>
        <v>0</v>
      </c>
      <c r="VI69" s="200">
        <f t="shared" si="70"/>
        <v>0</v>
      </c>
      <c r="VJ69" s="200">
        <f t="shared" si="94"/>
        <v>3343230</v>
      </c>
      <c r="VK69" s="200">
        <f t="shared" si="95"/>
        <v>3343230</v>
      </c>
      <c r="VL69" s="200"/>
      <c r="VM69" s="182"/>
      <c r="VN69" s="200"/>
      <c r="VO69" s="200">
        <f t="shared" si="71"/>
        <v>581952</v>
      </c>
      <c r="VP69" s="200">
        <f t="shared" si="72"/>
        <v>4065333</v>
      </c>
      <c r="VQ69" s="200">
        <f t="shared" si="73"/>
        <v>993525</v>
      </c>
      <c r="VR69" s="200">
        <f t="shared" si="74"/>
        <v>581952</v>
      </c>
      <c r="VS69" s="200">
        <f t="shared" si="96"/>
        <v>3343230</v>
      </c>
      <c r="VT69" s="200">
        <f t="shared" si="97"/>
        <v>993525</v>
      </c>
      <c r="VU69" s="200">
        <f t="shared" si="98"/>
        <v>0</v>
      </c>
      <c r="VV69" s="200"/>
      <c r="VW69" s="182"/>
      <c r="VX69" s="200"/>
      <c r="VZ69" s="199">
        <f t="shared" si="75"/>
        <v>-722103</v>
      </c>
      <c r="WA69" s="199">
        <f t="shared" si="76"/>
        <v>-1230.1584327086882</v>
      </c>
      <c r="WB69" s="131">
        <f t="shared" si="77"/>
        <v>-0.17762456359663525</v>
      </c>
      <c r="WC69" s="131"/>
      <c r="WD69" s="461"/>
      <c r="WE69" s="893"/>
      <c r="WF69" s="893">
        <f t="shared" si="78"/>
        <v>9609.5570698466781</v>
      </c>
      <c r="WG69" s="893">
        <f t="shared" si="79"/>
        <v>8379.3986371379906</v>
      </c>
      <c r="WH69" s="893"/>
      <c r="WI69" s="893">
        <f t="shared" si="80"/>
        <v>4065333</v>
      </c>
      <c r="WJ69" s="893">
        <f t="shared" si="99"/>
        <v>3343230</v>
      </c>
      <c r="WK69" s="39" t="str">
        <f t="shared" si="100"/>
        <v/>
      </c>
      <c r="WL69" s="39" t="str">
        <f t="shared" si="101"/>
        <v/>
      </c>
      <c r="WM69" s="200" t="str">
        <f t="shared" si="102"/>
        <v/>
      </c>
      <c r="WN69" s="39" t="str">
        <f t="shared" si="103"/>
        <v/>
      </c>
      <c r="WO69" s="39"/>
      <c r="WP69" s="182"/>
      <c r="WQ69" s="39"/>
      <c r="WR69" s="305">
        <f t="shared" si="104"/>
        <v>0.219</v>
      </c>
      <c r="WT69" s="200">
        <f t="shared" si="105"/>
        <v>6925.6098807495737</v>
      </c>
      <c r="WU69" s="131">
        <f t="shared" si="81"/>
        <v>0.57999999999999996</v>
      </c>
      <c r="WW69" s="199">
        <f t="shared" si="106"/>
        <v>581952</v>
      </c>
      <c r="WX69" s="199">
        <f t="shared" si="107"/>
        <v>3343230</v>
      </c>
      <c r="WY69" s="199">
        <f t="shared" si="108"/>
        <v>0</v>
      </c>
      <c r="WZ69" s="199">
        <f t="shared" si="82"/>
        <v>3343230</v>
      </c>
      <c r="XA69" s="199">
        <f t="shared" si="109"/>
        <v>0</v>
      </c>
      <c r="XB69" s="199">
        <f t="shared" si="110"/>
        <v>993525</v>
      </c>
      <c r="XC69" s="199">
        <f t="shared" si="111"/>
        <v>993525</v>
      </c>
      <c r="XD69" s="199" t="str">
        <f t="shared" si="112"/>
        <v/>
      </c>
      <c r="XE69" s="199"/>
      <c r="XF69" s="199"/>
      <c r="XG69" s="199"/>
      <c r="XH69" s="199"/>
      <c r="XI69" s="199"/>
      <c r="XJ69" s="199">
        <f t="shared" si="83"/>
        <v>3343230</v>
      </c>
      <c r="XP69" s="199">
        <f t="shared" si="113"/>
        <v>3343230</v>
      </c>
      <c r="XQ69" s="199">
        <f t="shared" si="114"/>
        <v>5695.4514480408861</v>
      </c>
      <c r="XR69" s="199">
        <f t="shared" si="115"/>
        <v>3343230</v>
      </c>
      <c r="XS69" s="199">
        <f t="shared" si="116"/>
        <v>3343230</v>
      </c>
      <c r="XT69" s="199">
        <f t="shared" si="117"/>
        <v>5695.4514480408861</v>
      </c>
      <c r="XU69" s="199">
        <f t="shared" si="118"/>
        <v>4065333</v>
      </c>
      <c r="XV69" s="199">
        <f t="shared" si="119"/>
        <v>6925.6098807495737</v>
      </c>
      <c r="XW69" s="199">
        <f t="shared" si="120"/>
        <v>4065333</v>
      </c>
      <c r="XX69" s="199">
        <f t="shared" si="121"/>
        <v>6925.6098807495737</v>
      </c>
      <c r="XY69" s="199">
        <f t="shared" si="84"/>
        <v>-722103</v>
      </c>
      <c r="XZ69" s="199">
        <f t="shared" si="85"/>
        <v>-1230.1584327086875</v>
      </c>
      <c r="YA69" s="131">
        <f t="shared" si="143"/>
        <v>-0.17762456359663517</v>
      </c>
      <c r="YB69" s="199"/>
      <c r="YC69" s="221"/>
      <c r="YD69" s="199"/>
      <c r="YE69" s="199">
        <f t="shared" si="122"/>
        <v>581952</v>
      </c>
      <c r="YF69" s="200">
        <f t="shared" si="123"/>
        <v>0</v>
      </c>
      <c r="YG69" s="199">
        <f t="shared" si="124"/>
        <v>993525</v>
      </c>
      <c r="YH69" s="199">
        <f t="shared" si="125"/>
        <v>170344</v>
      </c>
    </row>
    <row r="70" spans="1:658">
      <c r="A70" s="3">
        <v>261</v>
      </c>
      <c r="B70" s="2" t="s">
        <v>165</v>
      </c>
      <c r="C70" s="24">
        <v>0</v>
      </c>
      <c r="D70" s="24">
        <v>0</v>
      </c>
      <c r="E70" s="24">
        <v>0</v>
      </c>
      <c r="F70" s="24">
        <v>0</v>
      </c>
      <c r="G70" s="24">
        <v>566328</v>
      </c>
      <c r="H70" s="24">
        <v>0</v>
      </c>
      <c r="I70" s="24">
        <v>0</v>
      </c>
      <c r="J70" s="24">
        <v>8345</v>
      </c>
      <c r="K70" s="24">
        <v>0</v>
      </c>
      <c r="L70" s="24">
        <v>0</v>
      </c>
      <c r="M70" s="24">
        <v>0</v>
      </c>
      <c r="N70" s="24">
        <v>455</v>
      </c>
      <c r="O70" s="24">
        <v>0</v>
      </c>
      <c r="P70" s="24">
        <v>0</v>
      </c>
      <c r="Q70" s="24">
        <v>0</v>
      </c>
      <c r="R70" s="24">
        <v>0</v>
      </c>
      <c r="S70" s="24">
        <v>0</v>
      </c>
      <c r="T70" s="24">
        <v>614200</v>
      </c>
      <c r="U70" s="24">
        <v>0</v>
      </c>
      <c r="V70" s="24">
        <v>0</v>
      </c>
      <c r="W70" s="24">
        <v>0</v>
      </c>
      <c r="X70" s="24">
        <v>2795558</v>
      </c>
      <c r="Y70" s="24">
        <v>4637</v>
      </c>
      <c r="Z70" s="24">
        <v>0</v>
      </c>
      <c r="AA70" s="24">
        <v>15105</v>
      </c>
      <c r="AB70" s="24">
        <v>4451</v>
      </c>
      <c r="AC70" s="24">
        <v>0</v>
      </c>
      <c r="AD70" s="24">
        <v>0</v>
      </c>
      <c r="AE70" s="24">
        <v>0</v>
      </c>
      <c r="AF70" s="24">
        <v>0</v>
      </c>
      <c r="AG70" s="24">
        <v>0</v>
      </c>
      <c r="AH70" s="24">
        <v>0</v>
      </c>
      <c r="AI70" s="24">
        <v>0</v>
      </c>
      <c r="AJ70" s="24">
        <v>0</v>
      </c>
      <c r="AK70" s="24">
        <v>0</v>
      </c>
      <c r="AL70" s="24">
        <v>29193</v>
      </c>
      <c r="AM70" s="24">
        <v>0</v>
      </c>
      <c r="AN70" s="24">
        <v>0</v>
      </c>
      <c r="AO70" s="24">
        <v>0</v>
      </c>
      <c r="AP70" s="24">
        <v>0</v>
      </c>
      <c r="AQ70" s="24">
        <v>0</v>
      </c>
      <c r="AR70" s="24">
        <v>0</v>
      </c>
      <c r="AS70" s="24">
        <v>0</v>
      </c>
      <c r="AT70" s="24">
        <v>0</v>
      </c>
      <c r="AU70" s="24">
        <v>0</v>
      </c>
      <c r="AV70" s="24">
        <v>0</v>
      </c>
      <c r="AW70" s="24">
        <v>0</v>
      </c>
      <c r="AX70" s="24">
        <v>0</v>
      </c>
      <c r="AY70" s="24">
        <v>0</v>
      </c>
      <c r="AZ70" s="24">
        <v>0</v>
      </c>
      <c r="BA70" s="24">
        <v>0</v>
      </c>
      <c r="BB70" s="24">
        <v>0</v>
      </c>
      <c r="BC70" s="24">
        <v>797</v>
      </c>
      <c r="BD70" s="24">
        <v>4892</v>
      </c>
      <c r="BE70" s="24">
        <v>66298</v>
      </c>
      <c r="BF70" s="24">
        <v>7468</v>
      </c>
      <c r="BG70" s="24">
        <v>0</v>
      </c>
      <c r="BH70" s="24">
        <v>0</v>
      </c>
      <c r="BI70" s="24">
        <v>0</v>
      </c>
      <c r="BJ70" s="24">
        <v>0</v>
      </c>
      <c r="BK70" s="24">
        <v>0</v>
      </c>
      <c r="BL70" s="24">
        <v>0</v>
      </c>
      <c r="BM70" s="24">
        <v>0</v>
      </c>
      <c r="BN70" s="24">
        <v>0</v>
      </c>
      <c r="BO70" s="24">
        <v>0</v>
      </c>
      <c r="BP70" s="24">
        <v>0</v>
      </c>
      <c r="BQ70" s="24">
        <v>0</v>
      </c>
      <c r="BR70" s="24">
        <v>0</v>
      </c>
      <c r="BS70" s="24">
        <v>0</v>
      </c>
      <c r="BT70" s="24">
        <v>0</v>
      </c>
      <c r="BU70" s="24">
        <v>0</v>
      </c>
      <c r="BV70" s="24">
        <v>0</v>
      </c>
      <c r="BW70" s="24">
        <v>0</v>
      </c>
      <c r="BX70" s="24">
        <v>0</v>
      </c>
      <c r="BY70" s="24">
        <v>0</v>
      </c>
      <c r="BZ70" s="24">
        <v>0</v>
      </c>
      <c r="CA70" s="24">
        <v>0</v>
      </c>
      <c r="CB70" s="24">
        <v>0</v>
      </c>
      <c r="CC70" s="24">
        <v>0</v>
      </c>
      <c r="CD70" s="24">
        <v>176726</v>
      </c>
      <c r="CE70" s="24">
        <v>7643</v>
      </c>
      <c r="CF70" s="24">
        <v>0</v>
      </c>
      <c r="CG70" s="24">
        <v>252</v>
      </c>
      <c r="CH70" s="24">
        <v>0</v>
      </c>
      <c r="CI70" s="24">
        <v>0</v>
      </c>
      <c r="CJ70" s="24">
        <v>0</v>
      </c>
      <c r="CK70" s="24">
        <v>0</v>
      </c>
      <c r="CL70" s="24">
        <v>0</v>
      </c>
      <c r="CM70" s="24">
        <v>0</v>
      </c>
      <c r="CN70" s="24">
        <v>0</v>
      </c>
      <c r="CO70" s="24">
        <v>0</v>
      </c>
      <c r="CP70" s="24">
        <v>0</v>
      </c>
      <c r="CQ70" s="24">
        <v>0</v>
      </c>
      <c r="CR70" s="24">
        <v>0</v>
      </c>
      <c r="CS70" s="24">
        <v>0</v>
      </c>
      <c r="CT70" s="24">
        <v>0</v>
      </c>
      <c r="CU70" s="24">
        <v>0</v>
      </c>
      <c r="CV70" s="24">
        <v>0</v>
      </c>
      <c r="CW70" s="24">
        <v>0</v>
      </c>
      <c r="CX70" s="24">
        <v>0</v>
      </c>
      <c r="CY70" s="24">
        <v>0</v>
      </c>
      <c r="CZ70" s="24">
        <v>0</v>
      </c>
      <c r="DA70" s="24">
        <v>0</v>
      </c>
      <c r="DB70" s="24">
        <v>0</v>
      </c>
      <c r="DC70" s="24">
        <v>0</v>
      </c>
      <c r="DD70" s="24">
        <v>0</v>
      </c>
      <c r="DE70" s="24">
        <v>0</v>
      </c>
      <c r="DF70" s="24">
        <v>0</v>
      </c>
      <c r="DG70" s="24">
        <v>0</v>
      </c>
      <c r="DH70" s="24">
        <v>0</v>
      </c>
      <c r="DI70" s="24">
        <v>0</v>
      </c>
      <c r="DJ70" s="24">
        <v>0</v>
      </c>
      <c r="DK70" s="24">
        <v>0</v>
      </c>
      <c r="DL70" s="24">
        <v>0</v>
      </c>
      <c r="DM70" s="24">
        <v>0</v>
      </c>
      <c r="DN70" s="24">
        <v>0</v>
      </c>
      <c r="DO70" s="24">
        <v>0</v>
      </c>
      <c r="DP70" s="24">
        <v>0</v>
      </c>
      <c r="DQ70" s="24">
        <v>0</v>
      </c>
      <c r="DR70" s="24">
        <v>0</v>
      </c>
      <c r="DS70" s="24">
        <v>0</v>
      </c>
      <c r="DT70" s="24">
        <v>0</v>
      </c>
      <c r="DU70" s="24">
        <v>210</v>
      </c>
      <c r="DV70" s="24">
        <v>0</v>
      </c>
      <c r="DW70" s="24">
        <v>0</v>
      </c>
      <c r="DX70" s="24">
        <v>0</v>
      </c>
      <c r="DY70" s="24">
        <v>0</v>
      </c>
      <c r="DZ70" s="24">
        <v>0</v>
      </c>
      <c r="EA70" s="24">
        <v>0</v>
      </c>
      <c r="EB70" s="24">
        <v>0</v>
      </c>
      <c r="EC70" s="24">
        <v>0</v>
      </c>
      <c r="ED70" s="24">
        <v>0</v>
      </c>
      <c r="EE70" s="24">
        <v>0</v>
      </c>
      <c r="EF70" s="24">
        <v>0</v>
      </c>
      <c r="EG70" s="24">
        <v>55240</v>
      </c>
      <c r="EH70" s="24">
        <v>14079</v>
      </c>
      <c r="EI70" s="24">
        <v>65929</v>
      </c>
      <c r="EJ70" s="24">
        <v>18124</v>
      </c>
      <c r="EK70" s="24">
        <v>0</v>
      </c>
      <c r="EL70" s="24">
        <v>0</v>
      </c>
      <c r="EM70" s="24">
        <v>0</v>
      </c>
      <c r="EN70" s="24">
        <v>0</v>
      </c>
      <c r="EO70" s="24">
        <v>0</v>
      </c>
      <c r="EP70" s="24">
        <v>0</v>
      </c>
      <c r="EQ70" s="24">
        <v>0</v>
      </c>
      <c r="ER70" s="24">
        <v>0</v>
      </c>
      <c r="ES70" s="24">
        <v>0</v>
      </c>
      <c r="ET70" s="24">
        <v>464</v>
      </c>
      <c r="EU70" s="24">
        <v>0</v>
      </c>
      <c r="EV70" s="24">
        <v>0</v>
      </c>
      <c r="EW70" s="24">
        <v>0</v>
      </c>
      <c r="EX70" s="24">
        <v>0</v>
      </c>
      <c r="EY70" s="24">
        <v>0</v>
      </c>
      <c r="EZ70" s="24">
        <v>17500</v>
      </c>
      <c r="FA70" s="24">
        <v>0</v>
      </c>
      <c r="FB70" s="24">
        <v>0</v>
      </c>
      <c r="FC70" s="24">
        <v>0</v>
      </c>
      <c r="FD70" s="24">
        <v>0</v>
      </c>
      <c r="FE70" s="24">
        <v>0</v>
      </c>
      <c r="FF70" s="24">
        <v>0</v>
      </c>
      <c r="FG70" s="24">
        <v>0</v>
      </c>
      <c r="FH70" s="24">
        <v>0</v>
      </c>
      <c r="FI70" s="24">
        <v>0</v>
      </c>
      <c r="FJ70" s="24">
        <v>0</v>
      </c>
      <c r="FK70" s="24">
        <v>0</v>
      </c>
      <c r="FL70" s="24">
        <v>0</v>
      </c>
      <c r="FM70" s="24">
        <v>0</v>
      </c>
      <c r="FN70" s="24">
        <v>0</v>
      </c>
      <c r="FO70" s="24">
        <v>0</v>
      </c>
      <c r="FP70" s="24">
        <v>0</v>
      </c>
      <c r="FQ70" s="24">
        <v>0</v>
      </c>
      <c r="FR70" s="24">
        <v>0</v>
      </c>
      <c r="FS70" s="24">
        <v>136594</v>
      </c>
      <c r="FT70" s="24">
        <v>0</v>
      </c>
      <c r="FU70" s="24">
        <v>0</v>
      </c>
      <c r="FV70" s="24">
        <v>0</v>
      </c>
      <c r="FW70" s="24">
        <v>0</v>
      </c>
      <c r="FX70" s="24">
        <v>0</v>
      </c>
      <c r="FY70" s="24">
        <v>0</v>
      </c>
      <c r="FZ70" s="24">
        <v>0</v>
      </c>
      <c r="GA70" s="24">
        <v>0</v>
      </c>
      <c r="GB70" s="24">
        <v>0</v>
      </c>
      <c r="GC70" s="24">
        <v>0</v>
      </c>
      <c r="GD70" s="24">
        <v>0</v>
      </c>
      <c r="GE70" s="24">
        <v>8000</v>
      </c>
      <c r="GF70" s="24">
        <v>0</v>
      </c>
      <c r="GG70" s="24">
        <v>25108</v>
      </c>
      <c r="GH70" s="24">
        <v>0</v>
      </c>
      <c r="GI70" s="24">
        <v>0</v>
      </c>
      <c r="GJ70" s="24">
        <v>0</v>
      </c>
      <c r="GK70" s="24">
        <v>0</v>
      </c>
      <c r="GL70" s="24">
        <v>0</v>
      </c>
      <c r="GM70" s="24">
        <v>0</v>
      </c>
      <c r="GN70" s="24">
        <v>0</v>
      </c>
      <c r="GO70" s="24">
        <v>0</v>
      </c>
      <c r="GP70" s="24">
        <v>0</v>
      </c>
      <c r="GQ70" s="24">
        <v>0</v>
      </c>
      <c r="GR70" s="24">
        <v>23441</v>
      </c>
      <c r="GS70" s="24">
        <v>0</v>
      </c>
      <c r="GT70" s="24">
        <v>0</v>
      </c>
      <c r="GU70" s="24">
        <v>15192</v>
      </c>
      <c r="GV70" s="24">
        <v>0</v>
      </c>
      <c r="GW70" s="24">
        <v>0</v>
      </c>
      <c r="GX70" s="24">
        <v>0</v>
      </c>
      <c r="GY70" s="24">
        <v>0</v>
      </c>
      <c r="GZ70" s="24">
        <v>0</v>
      </c>
      <c r="HA70" s="24">
        <v>0</v>
      </c>
      <c r="HB70" s="24">
        <v>0</v>
      </c>
      <c r="HC70" s="24">
        <v>0</v>
      </c>
      <c r="HD70" s="24">
        <v>14255460</v>
      </c>
      <c r="HE70" s="24">
        <v>0</v>
      </c>
      <c r="HF70" s="24">
        <v>0</v>
      </c>
      <c r="HG70" s="24">
        <v>0</v>
      </c>
      <c r="HH70" s="24">
        <v>0</v>
      </c>
      <c r="HI70" s="24">
        <v>827249</v>
      </c>
      <c r="HJ70" s="24">
        <v>0</v>
      </c>
      <c r="HK70" s="24">
        <v>0</v>
      </c>
      <c r="HL70" s="24">
        <v>139178</v>
      </c>
      <c r="HM70" s="24">
        <v>0</v>
      </c>
      <c r="HN70" s="24">
        <v>41350</v>
      </c>
      <c r="HO70" s="24">
        <v>1888540</v>
      </c>
      <c r="HP70" s="24">
        <v>460752</v>
      </c>
      <c r="HQ70" s="24">
        <v>0</v>
      </c>
      <c r="HR70" s="24">
        <v>0</v>
      </c>
      <c r="HS70" s="24">
        <v>0</v>
      </c>
      <c r="HT70" s="24">
        <v>0</v>
      </c>
      <c r="HU70" s="24">
        <v>0</v>
      </c>
      <c r="HV70" s="24">
        <v>0</v>
      </c>
      <c r="HW70" s="24">
        <v>0</v>
      </c>
      <c r="HX70" s="24">
        <v>0</v>
      </c>
      <c r="HY70" s="24">
        <v>0</v>
      </c>
      <c r="HZ70" s="24">
        <v>0</v>
      </c>
      <c r="IA70" s="24">
        <v>170322</v>
      </c>
      <c r="IB70" s="24">
        <v>50124</v>
      </c>
      <c r="IC70" s="24">
        <v>0</v>
      </c>
      <c r="ID70" s="24">
        <v>0</v>
      </c>
      <c r="IE70" s="24">
        <v>0</v>
      </c>
      <c r="IF70" s="24">
        <v>0</v>
      </c>
      <c r="IG70" s="24">
        <v>0</v>
      </c>
      <c r="IH70" s="24">
        <v>0</v>
      </c>
      <c r="II70" s="24">
        <v>0</v>
      </c>
      <c r="IJ70" s="24">
        <v>0</v>
      </c>
      <c r="IK70" s="24">
        <v>0</v>
      </c>
      <c r="IL70" s="24">
        <v>0</v>
      </c>
      <c r="IM70" s="24">
        <v>0</v>
      </c>
      <c r="IN70" s="24">
        <v>0</v>
      </c>
      <c r="IO70" s="24">
        <v>7755</v>
      </c>
      <c r="IP70" s="24">
        <v>0</v>
      </c>
      <c r="IQ70" s="24">
        <v>0</v>
      </c>
      <c r="IR70" s="24">
        <v>122535</v>
      </c>
      <c r="IS70" s="24">
        <v>0</v>
      </c>
      <c r="IT70" s="24">
        <v>0</v>
      </c>
      <c r="IU70" s="24">
        <v>0</v>
      </c>
      <c r="IV70" s="24">
        <v>0</v>
      </c>
      <c r="IW70" s="24">
        <v>0</v>
      </c>
      <c r="IX70" s="24">
        <v>0</v>
      </c>
      <c r="IY70" s="24">
        <v>240513</v>
      </c>
      <c r="IZ70" s="24">
        <v>0</v>
      </c>
      <c r="JA70" s="24">
        <v>0</v>
      </c>
      <c r="JB70" s="24">
        <v>123692</v>
      </c>
      <c r="JC70" s="24">
        <v>611321</v>
      </c>
      <c r="JD70" s="24">
        <v>0</v>
      </c>
      <c r="JE70" s="24">
        <v>750167</v>
      </c>
      <c r="JF70" s="24">
        <v>0</v>
      </c>
      <c r="JG70" s="24">
        <v>0</v>
      </c>
      <c r="JH70" s="24">
        <v>0</v>
      </c>
      <c r="JI70" s="24">
        <v>0</v>
      </c>
      <c r="JJ70" s="24">
        <v>0</v>
      </c>
      <c r="JK70" s="24">
        <v>0</v>
      </c>
      <c r="JL70" s="24">
        <v>0</v>
      </c>
      <c r="JM70" s="24">
        <v>0</v>
      </c>
      <c r="JN70" s="24">
        <v>0</v>
      </c>
      <c r="JO70" s="24">
        <v>0</v>
      </c>
      <c r="JP70" s="24">
        <v>0</v>
      </c>
      <c r="JQ70" s="24">
        <v>0</v>
      </c>
      <c r="JR70" s="24">
        <v>0</v>
      </c>
      <c r="JS70" s="24">
        <v>406648</v>
      </c>
      <c r="JT70" s="24">
        <v>0</v>
      </c>
      <c r="JU70" s="24">
        <v>0</v>
      </c>
      <c r="JV70" s="24">
        <v>0</v>
      </c>
      <c r="JW70" s="24">
        <v>0</v>
      </c>
      <c r="JX70" s="24">
        <v>0</v>
      </c>
      <c r="JY70" s="24">
        <v>0</v>
      </c>
      <c r="JZ70" s="24">
        <v>0</v>
      </c>
      <c r="KA70" s="24">
        <v>0</v>
      </c>
      <c r="KB70" s="24">
        <v>0</v>
      </c>
      <c r="KC70" s="24">
        <v>0</v>
      </c>
      <c r="KD70" s="24">
        <v>0</v>
      </c>
      <c r="KE70" s="24">
        <v>0</v>
      </c>
      <c r="KF70" s="24">
        <v>0</v>
      </c>
      <c r="KG70" s="24">
        <v>0</v>
      </c>
      <c r="KH70" s="24">
        <v>0</v>
      </c>
      <c r="KI70" s="24">
        <v>0</v>
      </c>
      <c r="KJ70" s="24">
        <v>0</v>
      </c>
      <c r="KK70" s="24">
        <v>0</v>
      </c>
      <c r="KL70" s="24">
        <v>0</v>
      </c>
      <c r="KM70" s="24">
        <v>0</v>
      </c>
      <c r="KN70" s="24">
        <v>0</v>
      </c>
      <c r="KO70" s="24">
        <v>0</v>
      </c>
      <c r="KP70" s="24">
        <v>0</v>
      </c>
      <c r="KQ70" s="24">
        <v>0</v>
      </c>
      <c r="KR70" s="24">
        <v>0</v>
      </c>
      <c r="KS70" s="24">
        <v>0</v>
      </c>
      <c r="KT70" s="24">
        <v>0</v>
      </c>
      <c r="KU70" s="24">
        <v>0</v>
      </c>
      <c r="KV70" s="24">
        <v>0</v>
      </c>
      <c r="KW70" s="24">
        <v>0</v>
      </c>
      <c r="KX70" s="24">
        <v>0</v>
      </c>
      <c r="KY70" s="24">
        <v>0</v>
      </c>
      <c r="KZ70" s="24">
        <v>0</v>
      </c>
      <c r="LA70" s="24">
        <v>0</v>
      </c>
      <c r="LB70" s="24">
        <v>0</v>
      </c>
      <c r="LC70" s="24">
        <v>0</v>
      </c>
      <c r="LD70" s="24">
        <v>0</v>
      </c>
      <c r="LE70" s="24">
        <v>0</v>
      </c>
      <c r="LF70" s="24">
        <v>0</v>
      </c>
      <c r="LG70" s="24">
        <v>0</v>
      </c>
      <c r="LH70" s="24">
        <v>0</v>
      </c>
      <c r="LI70" s="24">
        <v>0</v>
      </c>
      <c r="LJ70" s="24">
        <v>0</v>
      </c>
      <c r="LK70" s="24">
        <v>0</v>
      </c>
      <c r="LL70" s="24">
        <v>0</v>
      </c>
      <c r="LM70" s="24">
        <v>0</v>
      </c>
      <c r="LN70" s="24">
        <v>0</v>
      </c>
      <c r="LO70" s="24">
        <v>0</v>
      </c>
      <c r="LP70" s="24">
        <v>0</v>
      </c>
      <c r="LQ70" s="24">
        <v>847440</v>
      </c>
      <c r="LR70" s="24">
        <v>178634</v>
      </c>
      <c r="LS70" s="24">
        <v>0</v>
      </c>
      <c r="LT70" s="24">
        <v>0</v>
      </c>
      <c r="LU70" s="24">
        <v>0</v>
      </c>
      <c r="LV70" s="24">
        <v>0</v>
      </c>
      <c r="LW70" s="24">
        <v>0</v>
      </c>
      <c r="LX70" s="24">
        <v>51662</v>
      </c>
      <c r="LY70" s="24">
        <v>0</v>
      </c>
      <c r="LZ70" s="24">
        <v>0</v>
      </c>
      <c r="MA70" s="24">
        <v>0</v>
      </c>
      <c r="MB70" s="24">
        <v>0</v>
      </c>
      <c r="MC70" s="24">
        <v>0</v>
      </c>
      <c r="MD70" s="24">
        <v>0</v>
      </c>
      <c r="ME70" s="24">
        <v>0</v>
      </c>
      <c r="MF70" s="24">
        <v>0</v>
      </c>
      <c r="MG70" s="24">
        <v>0</v>
      </c>
      <c r="MH70" s="24">
        <v>0</v>
      </c>
      <c r="MI70" s="24">
        <v>0</v>
      </c>
      <c r="MJ70" s="24">
        <v>0</v>
      </c>
      <c r="MK70" s="24">
        <v>0</v>
      </c>
      <c r="ML70" s="24">
        <v>0</v>
      </c>
      <c r="MM70" s="24">
        <v>0</v>
      </c>
      <c r="MN70" s="24">
        <v>0</v>
      </c>
      <c r="MO70" s="24">
        <v>52075</v>
      </c>
      <c r="MP70" s="24">
        <v>0</v>
      </c>
      <c r="MQ70" s="24">
        <v>0</v>
      </c>
      <c r="MR70" s="24">
        <v>1444389</v>
      </c>
      <c r="MS70" s="24">
        <v>0</v>
      </c>
      <c r="MT70" s="24">
        <v>0</v>
      </c>
      <c r="MU70" s="24">
        <v>0</v>
      </c>
      <c r="MV70" s="24">
        <v>0</v>
      </c>
      <c r="MW70" s="24">
        <v>696212</v>
      </c>
      <c r="MX70" s="24">
        <v>32078</v>
      </c>
      <c r="MY70" s="24">
        <v>0</v>
      </c>
      <c r="MZ70" s="24">
        <v>0</v>
      </c>
      <c r="NA70" s="24">
        <v>0</v>
      </c>
      <c r="NB70" s="24">
        <v>0</v>
      </c>
      <c r="NC70" s="24">
        <v>0</v>
      </c>
      <c r="ND70" s="24">
        <v>0</v>
      </c>
      <c r="NE70" s="24">
        <v>0</v>
      </c>
      <c r="NF70" s="24">
        <v>0</v>
      </c>
      <c r="NG70" s="24">
        <v>0</v>
      </c>
      <c r="NH70" s="24">
        <v>0</v>
      </c>
      <c r="NI70" s="24">
        <v>0</v>
      </c>
      <c r="NJ70" s="24">
        <v>0</v>
      </c>
      <c r="NK70" s="24">
        <v>0</v>
      </c>
      <c r="NL70" s="24">
        <v>0</v>
      </c>
      <c r="NM70" s="24">
        <v>0</v>
      </c>
      <c r="NN70" s="24">
        <v>0</v>
      </c>
      <c r="NO70" s="24">
        <v>0</v>
      </c>
      <c r="NP70" s="24">
        <v>0</v>
      </c>
      <c r="NQ70" s="24">
        <v>0</v>
      </c>
      <c r="NR70" s="24">
        <v>0</v>
      </c>
      <c r="NS70" s="24">
        <v>0</v>
      </c>
      <c r="NT70" s="24">
        <v>0</v>
      </c>
      <c r="NU70" s="24">
        <v>0</v>
      </c>
      <c r="NV70" s="24">
        <v>146088</v>
      </c>
      <c r="NW70" s="24">
        <v>73285</v>
      </c>
      <c r="NX70" s="24">
        <v>0</v>
      </c>
      <c r="NY70" s="24">
        <v>0</v>
      </c>
      <c r="NZ70" s="24">
        <v>0</v>
      </c>
      <c r="OA70" s="24">
        <v>0</v>
      </c>
      <c r="OB70" s="24">
        <v>0</v>
      </c>
      <c r="OC70" s="24">
        <v>0</v>
      </c>
      <c r="OD70" s="24">
        <v>0</v>
      </c>
      <c r="OE70" s="24">
        <v>0</v>
      </c>
      <c r="OF70" s="24">
        <v>0</v>
      </c>
      <c r="OG70" s="24">
        <v>0</v>
      </c>
      <c r="OH70" s="24">
        <v>0</v>
      </c>
      <c r="OI70" s="24">
        <v>0</v>
      </c>
      <c r="OJ70" s="24">
        <v>0</v>
      </c>
      <c r="OK70" s="24">
        <v>0</v>
      </c>
      <c r="OL70" s="24">
        <v>0</v>
      </c>
      <c r="OM70" s="24">
        <v>0</v>
      </c>
      <c r="ON70" s="24">
        <v>0</v>
      </c>
      <c r="OO70" s="24">
        <v>0</v>
      </c>
      <c r="OP70" s="24">
        <v>0</v>
      </c>
      <c r="OQ70" s="24">
        <v>0</v>
      </c>
      <c r="OR70" s="24">
        <v>0</v>
      </c>
      <c r="OS70" s="24">
        <v>0</v>
      </c>
      <c r="OT70" s="24">
        <v>0</v>
      </c>
      <c r="OU70" s="24">
        <v>0</v>
      </c>
      <c r="OV70" s="24">
        <v>0</v>
      </c>
      <c r="OW70" s="24">
        <v>0</v>
      </c>
      <c r="OX70" s="24">
        <v>0</v>
      </c>
      <c r="OY70" s="24">
        <v>0</v>
      </c>
      <c r="OZ70" s="24">
        <v>0</v>
      </c>
      <c r="PA70" s="24">
        <v>0</v>
      </c>
      <c r="PB70" s="24">
        <v>0</v>
      </c>
      <c r="PC70" s="24">
        <v>0</v>
      </c>
      <c r="PD70" s="24">
        <v>0</v>
      </c>
      <c r="PE70" s="24">
        <v>0</v>
      </c>
      <c r="PF70" s="24">
        <v>0</v>
      </c>
      <c r="PG70" s="24">
        <v>0</v>
      </c>
      <c r="PH70" s="24">
        <v>0</v>
      </c>
      <c r="PI70" s="24">
        <v>0</v>
      </c>
      <c r="PJ70" s="24">
        <v>0</v>
      </c>
      <c r="PK70" s="24">
        <v>0</v>
      </c>
      <c r="PL70" s="24">
        <v>0</v>
      </c>
      <c r="PM70" s="24">
        <v>0</v>
      </c>
      <c r="PN70" s="24">
        <v>0</v>
      </c>
      <c r="PO70" s="24">
        <v>0</v>
      </c>
      <c r="PP70" s="24">
        <v>0</v>
      </c>
      <c r="PQ70" s="24">
        <v>0</v>
      </c>
      <c r="PR70" s="24">
        <v>0</v>
      </c>
      <c r="PS70" s="24">
        <v>0</v>
      </c>
      <c r="PT70" s="24">
        <v>0</v>
      </c>
      <c r="PU70" s="24">
        <v>0</v>
      </c>
      <c r="PV70" s="24">
        <v>0</v>
      </c>
      <c r="PW70" s="24">
        <v>0</v>
      </c>
      <c r="PX70" s="24">
        <v>0</v>
      </c>
      <c r="PY70" s="24">
        <v>0</v>
      </c>
      <c r="PZ70" s="24">
        <v>0</v>
      </c>
      <c r="QA70" s="24">
        <v>0</v>
      </c>
      <c r="QB70" s="24">
        <v>0</v>
      </c>
      <c r="QC70" s="24">
        <v>0</v>
      </c>
      <c r="QD70" s="24">
        <v>0</v>
      </c>
      <c r="QE70" s="24">
        <v>0</v>
      </c>
      <c r="QF70" s="24">
        <v>0</v>
      </c>
      <c r="QG70" s="24">
        <v>0</v>
      </c>
      <c r="QH70" s="24">
        <v>0</v>
      </c>
      <c r="QI70" s="24">
        <v>0</v>
      </c>
      <c r="QJ70" s="24">
        <v>0</v>
      </c>
      <c r="QK70" s="24">
        <v>0</v>
      </c>
      <c r="QL70" s="24">
        <v>0</v>
      </c>
      <c r="QM70" s="24">
        <v>0</v>
      </c>
      <c r="QN70" s="24">
        <v>0</v>
      </c>
      <c r="QO70" s="24">
        <v>0</v>
      </c>
      <c r="QP70" s="24">
        <v>0</v>
      </c>
      <c r="QQ70" s="24">
        <v>0</v>
      </c>
      <c r="QR70" s="24">
        <v>0</v>
      </c>
      <c r="QS70" s="24">
        <v>0</v>
      </c>
      <c r="QT70" s="24">
        <v>0</v>
      </c>
      <c r="QU70" s="24">
        <v>0</v>
      </c>
      <c r="QV70" s="24">
        <v>0</v>
      </c>
      <c r="QW70" s="24">
        <v>0</v>
      </c>
      <c r="QX70" s="24">
        <v>0</v>
      </c>
      <c r="QY70" s="24">
        <v>0</v>
      </c>
      <c r="QZ70" s="24">
        <v>0</v>
      </c>
      <c r="RA70" s="24">
        <v>0</v>
      </c>
      <c r="RB70" s="24">
        <v>0</v>
      </c>
      <c r="RG70" s="39">
        <f t="shared" si="129"/>
        <v>14255460</v>
      </c>
      <c r="RH70" s="39">
        <f t="shared" si="128"/>
        <v>827249</v>
      </c>
      <c r="RI70" s="39">
        <f t="shared" si="128"/>
        <v>139178</v>
      </c>
      <c r="RJ70" s="39">
        <f t="shared" si="128"/>
        <v>0</v>
      </c>
      <c r="RK70" s="39">
        <f t="shared" si="128"/>
        <v>41350</v>
      </c>
      <c r="RL70" s="39">
        <f t="shared" si="128"/>
        <v>1888540</v>
      </c>
      <c r="RM70" s="39">
        <f t="shared" si="128"/>
        <v>681198</v>
      </c>
      <c r="RN70" s="39">
        <f t="shared" si="128"/>
        <v>7755</v>
      </c>
      <c r="RO70" s="39">
        <f t="shared" si="128"/>
        <v>122535</v>
      </c>
      <c r="RP70" s="39">
        <f t="shared" si="128"/>
        <v>240513</v>
      </c>
      <c r="RQ70" s="39">
        <f t="shared" si="128"/>
        <v>735013</v>
      </c>
      <c r="RR70" s="39">
        <f t="shared" si="128"/>
        <v>1156815</v>
      </c>
      <c r="RS70" s="39"/>
      <c r="RT70" s="182"/>
      <c r="RU70" s="39"/>
      <c r="RV70" s="39">
        <f t="shared" si="127"/>
        <v>3521863</v>
      </c>
      <c r="RW70" s="39">
        <f t="shared" si="127"/>
        <v>20095606</v>
      </c>
      <c r="RX70" s="39">
        <f t="shared" si="127"/>
        <v>4682229</v>
      </c>
      <c r="RY70" s="39">
        <f t="shared" si="127"/>
        <v>0</v>
      </c>
      <c r="RZ70" s="39"/>
      <c r="SA70" s="182"/>
      <c r="SB70" s="39"/>
      <c r="SC70" s="25">
        <f t="shared" si="50"/>
        <v>1332.0708392603131</v>
      </c>
      <c r="SD70" s="39">
        <f>IFERROR(VLOOKUP(A70, 'Levy Data 15-16'!$B:$O, 3, FALSE), 0)</f>
        <v>1056576896</v>
      </c>
      <c r="SE70" s="39">
        <f t="shared" si="88"/>
        <v>300590.86657183501</v>
      </c>
      <c r="SF70" s="631">
        <f>IFERROR(VLOOKUP(A70, 'Levy Data 15-16'!$B:$O, 14, FALSE), 0)*1000</f>
        <v>3.4744750000000004</v>
      </c>
      <c r="SG70" s="39">
        <f t="shared" si="89"/>
        <v>0</v>
      </c>
      <c r="SH70" s="39">
        <f t="shared" si="90"/>
        <v>0</v>
      </c>
      <c r="SI70" s="39">
        <f t="shared" si="91"/>
        <v>4682229</v>
      </c>
      <c r="SM70" s="39">
        <f t="shared" si="92"/>
        <v>20095606</v>
      </c>
      <c r="SN70" s="39">
        <f t="shared" si="93"/>
        <v>0</v>
      </c>
      <c r="SO70" s="39">
        <f t="shared" si="51"/>
        <v>20095606</v>
      </c>
      <c r="SP70" s="50">
        <f t="shared" si="130"/>
        <v>1</v>
      </c>
      <c r="ST70" s="124">
        <f>IFERROR(VLOOKUP(A70,'Grade Enroll 15-16'!B:AC,27,FALSE),"")</f>
        <v>3515</v>
      </c>
      <c r="SU70" s="124">
        <f t="shared" si="53"/>
        <v>2375.7766350210968</v>
      </c>
      <c r="SV70" s="131">
        <f>IFERROR(VLOOKUP($A70, 'Title I Enroll 16-17'!S:V, 4, FALSE), 0)</f>
        <v>0.67589662447257381</v>
      </c>
      <c r="SW70" s="729">
        <f>IFERROR(VLOOKUP(A70, 'ELL Enroll 15-16'!$N:$S, 6, FALSE), 0)</f>
        <v>1357</v>
      </c>
      <c r="SX70" s="131">
        <f t="shared" si="131"/>
        <v>0.38605974395448078</v>
      </c>
      <c r="SY70" s="124">
        <f>IFERROR(VLOOKUP(A70, 'SPED enroll 2015-16'!$M:$O, 3, FALSE), 0)</f>
        <v>349</v>
      </c>
      <c r="SZ70" s="131">
        <f t="shared" si="132"/>
        <v>9.9288762446657186E-2</v>
      </c>
      <c r="TA70" s="142">
        <f t="shared" si="133"/>
        <v>244.29999999999998</v>
      </c>
      <c r="TB70" s="142">
        <f t="shared" si="133"/>
        <v>69.8</v>
      </c>
      <c r="TC70" s="142">
        <f t="shared" si="133"/>
        <v>24.430000000000003</v>
      </c>
      <c r="TD70" s="142">
        <f t="shared" si="133"/>
        <v>10.469999999999999</v>
      </c>
      <c r="TE70" s="124">
        <f>VLOOKUP($A70, 'Grade Enroll 15-16'!$B:$AB, 20, FALSE)</f>
        <v>23</v>
      </c>
      <c r="TF70" s="124">
        <f>VLOOKUP($A70, 'Grade Enroll 15-16'!$B:$AB, 21, FALSE)</f>
        <v>292</v>
      </c>
      <c r="TG70" s="124">
        <f>VLOOKUP($A70, 'Grade Enroll 15-16'!$B:$AB, 22, FALSE)</f>
        <v>983</v>
      </c>
      <c r="TH70" s="124">
        <f>VLOOKUP($A70, 'Grade Enroll 15-16'!$B:$AB, 23, FALSE)</f>
        <v>948</v>
      </c>
      <c r="TI70" s="124">
        <f>VLOOKUP($A70, 'Grade Enroll 15-16'!$B:$AB, 24, FALSE)</f>
        <v>602</v>
      </c>
      <c r="TJ70" s="124">
        <f>VLOOKUP($A70, 'Grade Enroll 15-16'!$B:$AB, 25, FALSE)</f>
        <v>982</v>
      </c>
      <c r="TK70" s="124">
        <f>VLOOKUP($A70, 'Grade Enroll 15-16'!$B:$AB, 26, FALSE)</f>
        <v>2401</v>
      </c>
      <c r="TL70" s="131">
        <f>SUMIFS('Student Achievement 15-16'!N:N, 'Student Achievement 15-16'!B:B, 'Idaho Data'!A70, 'Student Achievement 15-16'!D:D, "math")/100</f>
        <v>0.40600000000000003</v>
      </c>
      <c r="TM70" s="134">
        <f t="shared" si="57"/>
        <v>1427.0900000000001</v>
      </c>
      <c r="TN70" s="131">
        <f>SUMIFS('Student Achievement 15-16'!N:N, 'Student Achievement 15-16'!B:B, 'Idaho Data'!A70, 'Student Achievement 15-16'!D:D, "ela")/100</f>
        <v>0.309</v>
      </c>
      <c r="TO70" s="134">
        <f t="shared" si="134"/>
        <v>1086.135</v>
      </c>
      <c r="TP70" s="688">
        <f>IFERROR(VLOOKUP(A70, 'G&amp;T 15-16'!B:G, 6, FALSE), 0)*1</f>
        <v>106</v>
      </c>
      <c r="TQ70" s="168">
        <f t="shared" si="135"/>
        <v>210.9</v>
      </c>
      <c r="TU70" s="168">
        <f t="shared" si="136"/>
        <v>1086.135</v>
      </c>
      <c r="TV70" s="168">
        <f t="shared" si="137"/>
        <v>1427.0900000000001</v>
      </c>
      <c r="TW70" s="205">
        <f t="shared" si="138"/>
        <v>1427.0900000000001</v>
      </c>
      <c r="TX70" s="144"/>
      <c r="TY70" s="129"/>
      <c r="TZ70" s="127">
        <f t="shared" si="139"/>
        <v>106</v>
      </c>
      <c r="UA70" s="127">
        <f t="shared" si="140"/>
        <v>210.9</v>
      </c>
      <c r="UB70" s="205">
        <f t="shared" si="141"/>
        <v>210.9</v>
      </c>
      <c r="UE70" s="853" t="str">
        <f>IF(ST70&lt;='1. Simulator Input'!$E$104, "yes", "")</f>
        <v/>
      </c>
      <c r="UI70" s="199">
        <f t="shared" si="66"/>
        <v>0</v>
      </c>
      <c r="UJ70" s="200">
        <f>IF('Idaho Data'!SI70&gt;=0, ((1-'1. Simulator Input'!$E$39)*'Idaho Data'!SI70), 0)</f>
        <v>0</v>
      </c>
      <c r="UK70" s="200">
        <f t="shared" si="142"/>
        <v>20095606</v>
      </c>
      <c r="UL70" s="39"/>
      <c r="UM70" s="182"/>
      <c r="UN70" s="39"/>
      <c r="UO70" s="39" t="str">
        <f>IF(AND('1. Simulator Input'!$E$96="yes", '1. Simulator Input'!$E$98="yes", '1. Simulator Input'!$E$100="hold harmless"), 'Idaho Data'!WN70, IF(AND('1. Simulator Input'!$E$96="yes", '1. Simulator Input'!$E$98="no", '1. Simulator Input'!$E$100="hold harmless"), 'Idaho Data'!WM70, IF(AND('1. Simulator Input'!$E$96="yes", '1. Simulator Input'!$E$98="yes", '1. Simulator Input'!$E$100="small district grant"), WL70,IF(AND('1. Simulator Input'!$E$96="yes", '1. Simulator Input'!$E$98="no", '1. Simulator Input'!$E$100="small district grant"), WK70, ""))))</f>
        <v/>
      </c>
      <c r="UP70" s="200">
        <f>'1. Simulator Input'!$D$56*('Idaho Data'!ST70)</f>
        <v>19423890</v>
      </c>
      <c r="UQ70" s="204">
        <f>'1. Simulator Input'!$D$65*'1. Simulator Input'!$D$56*'Idaho Data'!SU70</f>
        <v>0</v>
      </c>
      <c r="UR70" s="204">
        <f>'1. Simulator Input'!$D$66*'1. Simulator Input'!$D$56*'Idaho Data'!SW70</f>
        <v>0</v>
      </c>
      <c r="US70" s="200">
        <f>'1. Simulator Input'!$D$67*'1. Simulator Input'!$D$56*'Idaho Data'!TA70</f>
        <v>0</v>
      </c>
      <c r="UT70" s="200">
        <f>'1. Simulator Input'!$D$68*'1. Simulator Input'!$D$56*'Idaho Data'!TB70</f>
        <v>0</v>
      </c>
      <c r="UU70" s="200">
        <f>'1. Simulator Input'!$D$69*'1. Simulator Input'!$D$56*'Idaho Data'!TC70</f>
        <v>0</v>
      </c>
      <c r="UV70" s="200">
        <f>'1. Simulator Input'!$D$70*'1. Simulator Input'!$D$56*TD70</f>
        <v>0</v>
      </c>
      <c r="UW70" s="200">
        <f>'1. Simulator Input'!$D$80*'1. Simulator Input'!$D$56*TW70</f>
        <v>0</v>
      </c>
      <c r="UX70" s="200">
        <f>'1. Simulator Input'!$D$79*'1. Simulator Input'!$D$56*UB70</f>
        <v>0</v>
      </c>
      <c r="UY70" s="200">
        <f>'1. Simulator Input'!$D$87*'1. Simulator Input'!$D$56*TF70</f>
        <v>806796</v>
      </c>
      <c r="UZ70" s="200">
        <f>'1. Simulator Input'!$D$73*'1. Simulator Input'!$D$56*'Idaho Data'!TG70</f>
        <v>0</v>
      </c>
      <c r="VA70" s="200">
        <f>'1. Simulator Input'!$D$56*'1. Simulator Input'!$D$74*'Idaho Data'!TH70</f>
        <v>0</v>
      </c>
      <c r="VB70" s="200">
        <f>'1. Simulator Input'!$D$56*'1. Simulator Input'!$D$75*'Idaho Data'!TI65</f>
        <v>0</v>
      </c>
      <c r="VC70" s="200">
        <f>'1. Simulator Input'!$D$76*'1. Simulator Input'!$D$56*'Idaho Data'!TJ70</f>
        <v>0</v>
      </c>
      <c r="VD70" s="200">
        <f t="shared" si="68"/>
        <v>20230686</v>
      </c>
      <c r="VE70" s="200"/>
      <c r="VF70" s="182"/>
      <c r="VG70" s="200"/>
      <c r="VH70" s="200">
        <f t="shared" si="69"/>
        <v>0</v>
      </c>
      <c r="VI70" s="200">
        <f t="shared" si="70"/>
        <v>0</v>
      </c>
      <c r="VJ70" s="200">
        <f t="shared" si="94"/>
        <v>20230686</v>
      </c>
      <c r="VK70" s="200">
        <f t="shared" si="95"/>
        <v>20230686</v>
      </c>
      <c r="VL70" s="200"/>
      <c r="VM70" s="182"/>
      <c r="VN70" s="200"/>
      <c r="VO70" s="200">
        <f t="shared" si="71"/>
        <v>3521863</v>
      </c>
      <c r="VP70" s="200">
        <f t="shared" si="72"/>
        <v>20095606</v>
      </c>
      <c r="VQ70" s="200">
        <f t="shared" si="73"/>
        <v>4682229</v>
      </c>
      <c r="VR70" s="200">
        <f t="shared" si="74"/>
        <v>3521863</v>
      </c>
      <c r="VS70" s="200">
        <f t="shared" si="96"/>
        <v>20230686</v>
      </c>
      <c r="VT70" s="200">
        <f t="shared" si="97"/>
        <v>4682229</v>
      </c>
      <c r="VU70" s="200">
        <f t="shared" si="98"/>
        <v>0</v>
      </c>
      <c r="VV70" s="200"/>
      <c r="VW70" s="182"/>
      <c r="VX70" s="200"/>
      <c r="VZ70" s="199">
        <f t="shared" si="75"/>
        <v>135080</v>
      </c>
      <c r="WA70" s="199">
        <f t="shared" si="76"/>
        <v>38.429587482219063</v>
      </c>
      <c r="WB70" s="131">
        <f t="shared" si="77"/>
        <v>6.7218674569953256E-3</v>
      </c>
      <c r="WC70" s="131"/>
      <c r="WD70" s="461"/>
      <c r="WE70" s="893"/>
      <c r="WF70" s="893">
        <f t="shared" si="78"/>
        <v>8051.123186344239</v>
      </c>
      <c r="WG70" s="893">
        <f t="shared" si="79"/>
        <v>8089.5527738264582</v>
      </c>
      <c r="WH70" s="893"/>
      <c r="WI70" s="893">
        <f t="shared" si="80"/>
        <v>20095606</v>
      </c>
      <c r="WJ70" s="893">
        <f t="shared" si="99"/>
        <v>20230686</v>
      </c>
      <c r="WK70" s="39" t="str">
        <f t="shared" si="100"/>
        <v/>
      </c>
      <c r="WL70" s="39" t="str">
        <f t="shared" si="101"/>
        <v/>
      </c>
      <c r="WM70" s="200" t="str">
        <f t="shared" si="102"/>
        <v/>
      </c>
      <c r="WN70" s="39" t="str">
        <f t="shared" si="103"/>
        <v/>
      </c>
      <c r="WO70" s="39"/>
      <c r="WP70" s="182"/>
      <c r="WQ70" s="39"/>
      <c r="WR70" s="305">
        <f t="shared" si="104"/>
        <v>0.254</v>
      </c>
      <c r="WT70" s="200">
        <f t="shared" si="105"/>
        <v>5717.0998577524897</v>
      </c>
      <c r="WU70" s="131">
        <f t="shared" si="81"/>
        <v>0.21</v>
      </c>
      <c r="WW70" s="199">
        <f t="shared" si="106"/>
        <v>3521863</v>
      </c>
      <c r="WX70" s="199">
        <f t="shared" si="107"/>
        <v>20230686</v>
      </c>
      <c r="WY70" s="199">
        <f t="shared" si="108"/>
        <v>0</v>
      </c>
      <c r="WZ70" s="199">
        <f t="shared" si="82"/>
        <v>20230686</v>
      </c>
      <c r="XA70" s="199">
        <f t="shared" si="109"/>
        <v>0</v>
      </c>
      <c r="XB70" s="199">
        <f t="shared" si="110"/>
        <v>4682229</v>
      </c>
      <c r="XC70" s="199">
        <f t="shared" si="111"/>
        <v>4682229</v>
      </c>
      <c r="XD70" s="199" t="str">
        <f t="shared" si="112"/>
        <v/>
      </c>
      <c r="XE70" s="199"/>
      <c r="XF70" s="199"/>
      <c r="XG70" s="199"/>
      <c r="XH70" s="199"/>
      <c r="XI70" s="199"/>
      <c r="XJ70" s="199">
        <f t="shared" si="83"/>
        <v>20230686</v>
      </c>
      <c r="XP70" s="199">
        <f t="shared" si="113"/>
        <v>20230686</v>
      </c>
      <c r="XQ70" s="199">
        <f t="shared" si="114"/>
        <v>5755.529445234708</v>
      </c>
      <c r="XR70" s="199">
        <f t="shared" si="115"/>
        <v>20230686</v>
      </c>
      <c r="XS70" s="199">
        <f t="shared" si="116"/>
        <v>20230686</v>
      </c>
      <c r="XT70" s="199">
        <f t="shared" si="117"/>
        <v>5755.529445234708</v>
      </c>
      <c r="XU70" s="199">
        <f t="shared" si="118"/>
        <v>20095606</v>
      </c>
      <c r="XV70" s="199">
        <f t="shared" si="119"/>
        <v>5717.0998577524897</v>
      </c>
      <c r="XW70" s="199">
        <f t="shared" si="120"/>
        <v>20095606</v>
      </c>
      <c r="XX70" s="199">
        <f t="shared" si="121"/>
        <v>5717.0998577524897</v>
      </c>
      <c r="XY70" s="199">
        <f t="shared" si="84"/>
        <v>135080</v>
      </c>
      <c r="XZ70" s="199">
        <f t="shared" si="85"/>
        <v>38.429587482218267</v>
      </c>
      <c r="YA70" s="131">
        <f t="shared" si="143"/>
        <v>6.7218674569951859E-3</v>
      </c>
      <c r="YB70" s="199"/>
      <c r="YC70" s="221"/>
      <c r="YD70" s="199"/>
      <c r="YE70" s="199">
        <f t="shared" si="122"/>
        <v>3521863</v>
      </c>
      <c r="YF70" s="200">
        <f t="shared" si="123"/>
        <v>0</v>
      </c>
      <c r="YG70" s="199">
        <f t="shared" si="124"/>
        <v>4682229</v>
      </c>
      <c r="YH70" s="199">
        <f t="shared" si="125"/>
        <v>0</v>
      </c>
    </row>
    <row r="71" spans="1:658">
      <c r="A71" s="3">
        <v>262</v>
      </c>
      <c r="B71" s="2" t="s">
        <v>166</v>
      </c>
      <c r="C71" s="24">
        <v>0</v>
      </c>
      <c r="D71" s="24">
        <v>0</v>
      </c>
      <c r="E71" s="24">
        <v>308345</v>
      </c>
      <c r="F71" s="24">
        <v>0</v>
      </c>
      <c r="G71" s="24">
        <v>308253</v>
      </c>
      <c r="H71" s="24">
        <v>0</v>
      </c>
      <c r="I71" s="24">
        <v>0</v>
      </c>
      <c r="J71" s="24">
        <v>11029</v>
      </c>
      <c r="K71" s="24">
        <v>0</v>
      </c>
      <c r="L71" s="24">
        <v>0</v>
      </c>
      <c r="M71" s="24">
        <v>0</v>
      </c>
      <c r="N71" s="24">
        <v>0</v>
      </c>
      <c r="O71" s="24">
        <v>0</v>
      </c>
      <c r="P71" s="24">
        <v>0</v>
      </c>
      <c r="Q71" s="24">
        <v>0</v>
      </c>
      <c r="R71" s="24">
        <v>0</v>
      </c>
      <c r="S71" s="24">
        <v>0</v>
      </c>
      <c r="T71" s="24">
        <v>0</v>
      </c>
      <c r="U71" s="24">
        <v>0</v>
      </c>
      <c r="V71" s="24">
        <v>0</v>
      </c>
      <c r="W71" s="24">
        <v>0</v>
      </c>
      <c r="X71" s="24">
        <v>0</v>
      </c>
      <c r="Y71" s="24">
        <v>0</v>
      </c>
      <c r="Z71" s="24">
        <v>0</v>
      </c>
      <c r="AA71" s="24">
        <v>0</v>
      </c>
      <c r="AB71" s="24">
        <v>0</v>
      </c>
      <c r="AC71" s="24">
        <v>0</v>
      </c>
      <c r="AD71" s="24">
        <v>0</v>
      </c>
      <c r="AE71" s="24">
        <v>0</v>
      </c>
      <c r="AF71" s="24">
        <v>0</v>
      </c>
      <c r="AG71" s="24">
        <v>0</v>
      </c>
      <c r="AH71" s="24">
        <v>0</v>
      </c>
      <c r="AI71" s="24">
        <v>0</v>
      </c>
      <c r="AJ71" s="24">
        <v>0</v>
      </c>
      <c r="AK71" s="24">
        <v>0</v>
      </c>
      <c r="AL71" s="24">
        <v>10829</v>
      </c>
      <c r="AM71" s="24">
        <v>0</v>
      </c>
      <c r="AN71" s="24">
        <v>0</v>
      </c>
      <c r="AO71" s="24">
        <v>0</v>
      </c>
      <c r="AP71" s="24">
        <v>0</v>
      </c>
      <c r="AQ71" s="24">
        <v>0</v>
      </c>
      <c r="AR71" s="24">
        <v>0</v>
      </c>
      <c r="AS71" s="24">
        <v>0</v>
      </c>
      <c r="AT71" s="24">
        <v>0</v>
      </c>
      <c r="AU71" s="24">
        <v>0</v>
      </c>
      <c r="AV71" s="24">
        <v>0</v>
      </c>
      <c r="AW71" s="24">
        <v>0</v>
      </c>
      <c r="AX71" s="24">
        <v>0</v>
      </c>
      <c r="AY71" s="24">
        <v>0</v>
      </c>
      <c r="AZ71" s="24">
        <v>0</v>
      </c>
      <c r="BA71" s="24">
        <v>0</v>
      </c>
      <c r="BB71" s="24">
        <v>0</v>
      </c>
      <c r="BC71" s="24">
        <v>239</v>
      </c>
      <c r="BD71" s="24">
        <v>0</v>
      </c>
      <c r="BE71" s="24">
        <v>0</v>
      </c>
      <c r="BF71" s="24">
        <v>0</v>
      </c>
      <c r="BG71" s="24">
        <v>0</v>
      </c>
      <c r="BH71" s="24">
        <v>0</v>
      </c>
      <c r="BI71" s="24">
        <v>0</v>
      </c>
      <c r="BJ71" s="24">
        <v>0</v>
      </c>
      <c r="BK71" s="24">
        <v>0</v>
      </c>
      <c r="BL71" s="24">
        <v>0</v>
      </c>
      <c r="BM71" s="24">
        <v>0</v>
      </c>
      <c r="BN71" s="24">
        <v>0</v>
      </c>
      <c r="BO71" s="24">
        <v>0</v>
      </c>
      <c r="BP71" s="24">
        <v>0</v>
      </c>
      <c r="BQ71" s="24">
        <v>0</v>
      </c>
      <c r="BR71" s="24">
        <v>0</v>
      </c>
      <c r="BS71" s="24">
        <v>0</v>
      </c>
      <c r="BT71" s="24">
        <v>0</v>
      </c>
      <c r="BU71" s="24">
        <v>0</v>
      </c>
      <c r="BV71" s="24">
        <v>0</v>
      </c>
      <c r="BW71" s="24">
        <v>0</v>
      </c>
      <c r="BX71" s="24">
        <v>0</v>
      </c>
      <c r="BY71" s="24">
        <v>0</v>
      </c>
      <c r="BZ71" s="24">
        <v>0</v>
      </c>
      <c r="CA71" s="24">
        <v>0</v>
      </c>
      <c r="CB71" s="24">
        <v>0</v>
      </c>
      <c r="CC71" s="24">
        <v>0</v>
      </c>
      <c r="CD71" s="24">
        <v>45555</v>
      </c>
      <c r="CE71" s="24">
        <v>8216</v>
      </c>
      <c r="CF71" s="24">
        <v>0</v>
      </c>
      <c r="CG71" s="24">
        <v>1496</v>
      </c>
      <c r="CH71" s="24">
        <v>0</v>
      </c>
      <c r="CI71" s="24">
        <v>0</v>
      </c>
      <c r="CJ71" s="24">
        <v>0</v>
      </c>
      <c r="CK71" s="24">
        <v>0</v>
      </c>
      <c r="CL71" s="24">
        <v>0</v>
      </c>
      <c r="CM71" s="24">
        <v>0</v>
      </c>
      <c r="CN71" s="24">
        <v>0</v>
      </c>
      <c r="CO71" s="24">
        <v>0</v>
      </c>
      <c r="CP71" s="24">
        <v>0</v>
      </c>
      <c r="CQ71" s="24">
        <v>0</v>
      </c>
      <c r="CR71" s="24">
        <v>0</v>
      </c>
      <c r="CS71" s="24">
        <v>0</v>
      </c>
      <c r="CT71" s="24">
        <v>0</v>
      </c>
      <c r="CU71" s="24">
        <v>0</v>
      </c>
      <c r="CV71" s="24">
        <v>0</v>
      </c>
      <c r="CW71" s="24">
        <v>0</v>
      </c>
      <c r="CX71" s="24">
        <v>0</v>
      </c>
      <c r="CY71" s="24">
        <v>0</v>
      </c>
      <c r="CZ71" s="24">
        <v>0</v>
      </c>
      <c r="DA71" s="24">
        <v>0</v>
      </c>
      <c r="DB71" s="24">
        <v>0</v>
      </c>
      <c r="DC71" s="24">
        <v>0</v>
      </c>
      <c r="DD71" s="24">
        <v>0</v>
      </c>
      <c r="DE71" s="24">
        <v>0</v>
      </c>
      <c r="DF71" s="24">
        <v>0</v>
      </c>
      <c r="DG71" s="24">
        <v>0</v>
      </c>
      <c r="DH71" s="24">
        <v>0</v>
      </c>
      <c r="DI71" s="24">
        <v>0</v>
      </c>
      <c r="DJ71" s="24">
        <v>0</v>
      </c>
      <c r="DK71" s="24">
        <v>0</v>
      </c>
      <c r="DL71" s="24">
        <v>0</v>
      </c>
      <c r="DM71" s="24">
        <v>0</v>
      </c>
      <c r="DN71" s="24">
        <v>0</v>
      </c>
      <c r="DO71" s="24">
        <v>0</v>
      </c>
      <c r="DP71" s="24">
        <v>0</v>
      </c>
      <c r="DQ71" s="24">
        <v>0</v>
      </c>
      <c r="DR71" s="24">
        <v>0</v>
      </c>
      <c r="DS71" s="24">
        <v>0</v>
      </c>
      <c r="DT71" s="24">
        <v>0</v>
      </c>
      <c r="DU71" s="24">
        <v>0</v>
      </c>
      <c r="DV71" s="24">
        <v>0</v>
      </c>
      <c r="DW71" s="24">
        <v>0</v>
      </c>
      <c r="DX71" s="24">
        <v>0</v>
      </c>
      <c r="DY71" s="24">
        <v>0</v>
      </c>
      <c r="DZ71" s="24">
        <v>0</v>
      </c>
      <c r="EA71" s="24">
        <v>0</v>
      </c>
      <c r="EB71" s="24">
        <v>0</v>
      </c>
      <c r="EC71" s="24">
        <v>0</v>
      </c>
      <c r="ED71" s="24">
        <v>0</v>
      </c>
      <c r="EE71" s="24">
        <v>0</v>
      </c>
      <c r="EF71" s="24">
        <v>0</v>
      </c>
      <c r="EG71" s="24">
        <v>0</v>
      </c>
      <c r="EH71" s="24">
        <v>0</v>
      </c>
      <c r="EI71" s="24">
        <v>0</v>
      </c>
      <c r="EJ71" s="24">
        <v>0</v>
      </c>
      <c r="EK71" s="24">
        <v>0</v>
      </c>
      <c r="EL71" s="24">
        <v>0</v>
      </c>
      <c r="EM71" s="24">
        <v>0</v>
      </c>
      <c r="EN71" s="24">
        <v>0</v>
      </c>
      <c r="EO71" s="24">
        <v>0</v>
      </c>
      <c r="EP71" s="24">
        <v>0</v>
      </c>
      <c r="EQ71" s="24">
        <v>0</v>
      </c>
      <c r="ER71" s="24">
        <v>0</v>
      </c>
      <c r="ES71" s="24">
        <v>0</v>
      </c>
      <c r="ET71" s="24">
        <v>0</v>
      </c>
      <c r="EU71" s="24">
        <v>0</v>
      </c>
      <c r="EV71" s="24">
        <v>0</v>
      </c>
      <c r="EW71" s="24">
        <v>0</v>
      </c>
      <c r="EX71" s="24">
        <v>0</v>
      </c>
      <c r="EY71" s="24">
        <v>0</v>
      </c>
      <c r="EZ71" s="24">
        <v>0</v>
      </c>
      <c r="FA71" s="24">
        <v>0</v>
      </c>
      <c r="FB71" s="24">
        <v>0</v>
      </c>
      <c r="FC71" s="24">
        <v>0</v>
      </c>
      <c r="FD71" s="24">
        <v>0</v>
      </c>
      <c r="FE71" s="24">
        <v>0</v>
      </c>
      <c r="FF71" s="24">
        <v>0</v>
      </c>
      <c r="FG71" s="24">
        <v>0</v>
      </c>
      <c r="FH71" s="24">
        <v>0</v>
      </c>
      <c r="FI71" s="24">
        <v>0</v>
      </c>
      <c r="FJ71" s="24">
        <v>0</v>
      </c>
      <c r="FK71" s="24">
        <v>0</v>
      </c>
      <c r="FL71" s="24">
        <v>0</v>
      </c>
      <c r="FM71" s="24">
        <v>0</v>
      </c>
      <c r="FN71" s="24">
        <v>0</v>
      </c>
      <c r="FO71" s="24">
        <v>0</v>
      </c>
      <c r="FP71" s="24">
        <v>0</v>
      </c>
      <c r="FQ71" s="24">
        <v>0</v>
      </c>
      <c r="FR71" s="24">
        <v>0</v>
      </c>
      <c r="FS71" s="24">
        <v>22445</v>
      </c>
      <c r="FT71" s="24">
        <v>0</v>
      </c>
      <c r="FU71" s="24">
        <v>0</v>
      </c>
      <c r="FV71" s="24">
        <v>0</v>
      </c>
      <c r="FW71" s="24">
        <v>0</v>
      </c>
      <c r="FX71" s="24">
        <v>0</v>
      </c>
      <c r="FY71" s="24">
        <v>0</v>
      </c>
      <c r="FZ71" s="24">
        <v>0</v>
      </c>
      <c r="GA71" s="24">
        <v>0</v>
      </c>
      <c r="GB71" s="24">
        <v>0</v>
      </c>
      <c r="GC71" s="24">
        <v>0</v>
      </c>
      <c r="GD71" s="24">
        <v>0</v>
      </c>
      <c r="GE71" s="24">
        <v>0</v>
      </c>
      <c r="GF71" s="24">
        <v>0</v>
      </c>
      <c r="GG71" s="24">
        <v>0</v>
      </c>
      <c r="GH71" s="24">
        <v>0</v>
      </c>
      <c r="GI71" s="24">
        <v>0</v>
      </c>
      <c r="GJ71" s="24">
        <v>0</v>
      </c>
      <c r="GK71" s="24">
        <v>0</v>
      </c>
      <c r="GL71" s="24">
        <v>0</v>
      </c>
      <c r="GM71" s="24">
        <v>0</v>
      </c>
      <c r="GN71" s="24">
        <v>0</v>
      </c>
      <c r="GO71" s="24">
        <v>0</v>
      </c>
      <c r="GP71" s="24">
        <v>0</v>
      </c>
      <c r="GQ71" s="24">
        <v>0</v>
      </c>
      <c r="GR71" s="24">
        <v>178</v>
      </c>
      <c r="GS71" s="24">
        <v>0</v>
      </c>
      <c r="GT71" s="24">
        <v>0</v>
      </c>
      <c r="GU71" s="24">
        <v>0</v>
      </c>
      <c r="GV71" s="24">
        <v>0</v>
      </c>
      <c r="GW71" s="24">
        <v>0</v>
      </c>
      <c r="GX71" s="24">
        <v>0</v>
      </c>
      <c r="GY71" s="24">
        <v>0</v>
      </c>
      <c r="GZ71" s="24">
        <v>0</v>
      </c>
      <c r="HA71" s="24">
        <v>0</v>
      </c>
      <c r="HB71" s="24">
        <v>0</v>
      </c>
      <c r="HC71" s="24">
        <v>0</v>
      </c>
      <c r="HD71" s="24">
        <v>2875617</v>
      </c>
      <c r="HE71" s="24">
        <v>0</v>
      </c>
      <c r="HF71" s="24">
        <v>0</v>
      </c>
      <c r="HG71" s="24">
        <v>0</v>
      </c>
      <c r="HH71" s="24">
        <v>0</v>
      </c>
      <c r="HI71" s="24">
        <v>247044</v>
      </c>
      <c r="HJ71" s="24">
        <v>0</v>
      </c>
      <c r="HK71" s="24">
        <v>0</v>
      </c>
      <c r="HL71" s="24">
        <v>0</v>
      </c>
      <c r="HM71" s="24">
        <v>0</v>
      </c>
      <c r="HN71" s="24">
        <v>0</v>
      </c>
      <c r="HO71" s="24">
        <v>389569</v>
      </c>
      <c r="HP71" s="24">
        <v>202045</v>
      </c>
      <c r="HQ71" s="24">
        <v>0</v>
      </c>
      <c r="HR71" s="24">
        <v>0</v>
      </c>
      <c r="HS71" s="24">
        <v>0</v>
      </c>
      <c r="HT71" s="24">
        <v>0</v>
      </c>
      <c r="HU71" s="24">
        <v>0</v>
      </c>
      <c r="HV71" s="24">
        <v>0</v>
      </c>
      <c r="HW71" s="24">
        <v>0</v>
      </c>
      <c r="HX71" s="24">
        <v>0</v>
      </c>
      <c r="HY71" s="24">
        <v>0</v>
      </c>
      <c r="HZ71" s="24">
        <v>0</v>
      </c>
      <c r="IA71" s="24">
        <v>37426</v>
      </c>
      <c r="IB71" s="24">
        <v>9743</v>
      </c>
      <c r="IC71" s="24">
        <v>0</v>
      </c>
      <c r="ID71" s="24">
        <v>0</v>
      </c>
      <c r="IE71" s="24">
        <v>0</v>
      </c>
      <c r="IF71" s="24">
        <v>0</v>
      </c>
      <c r="IG71" s="24">
        <v>0</v>
      </c>
      <c r="IH71" s="24">
        <v>0</v>
      </c>
      <c r="II71" s="24">
        <v>0</v>
      </c>
      <c r="IJ71" s="24">
        <v>0</v>
      </c>
      <c r="IK71" s="24">
        <v>0</v>
      </c>
      <c r="IL71" s="24">
        <v>0</v>
      </c>
      <c r="IM71" s="24">
        <v>0</v>
      </c>
      <c r="IN71" s="24">
        <v>0</v>
      </c>
      <c r="IO71" s="24">
        <v>8675</v>
      </c>
      <c r="IP71" s="24">
        <v>0</v>
      </c>
      <c r="IQ71" s="24">
        <v>0</v>
      </c>
      <c r="IR71" s="24">
        <v>18190</v>
      </c>
      <c r="IS71" s="24">
        <v>0</v>
      </c>
      <c r="IT71" s="24">
        <v>0</v>
      </c>
      <c r="IU71" s="24">
        <v>0</v>
      </c>
      <c r="IV71" s="24">
        <v>0</v>
      </c>
      <c r="IW71" s="24">
        <v>0</v>
      </c>
      <c r="IX71" s="24">
        <v>0</v>
      </c>
      <c r="IY71" s="24">
        <v>0</v>
      </c>
      <c r="IZ71" s="24">
        <v>0</v>
      </c>
      <c r="JA71" s="24">
        <v>0</v>
      </c>
      <c r="JB71" s="24">
        <v>24091</v>
      </c>
      <c r="JC71" s="24">
        <v>0</v>
      </c>
      <c r="JD71" s="24">
        <v>0</v>
      </c>
      <c r="JE71" s="24">
        <v>0</v>
      </c>
      <c r="JF71" s="24">
        <v>0</v>
      </c>
      <c r="JG71" s="24">
        <v>0</v>
      </c>
      <c r="JH71" s="24">
        <v>0</v>
      </c>
      <c r="JI71" s="24">
        <v>0</v>
      </c>
      <c r="JJ71" s="24">
        <v>0</v>
      </c>
      <c r="JK71" s="24">
        <v>0</v>
      </c>
      <c r="JL71" s="24">
        <v>0</v>
      </c>
      <c r="JM71" s="24">
        <v>0</v>
      </c>
      <c r="JN71" s="24">
        <v>0</v>
      </c>
      <c r="JO71" s="24">
        <v>0</v>
      </c>
      <c r="JP71" s="24">
        <v>0</v>
      </c>
      <c r="JQ71" s="24">
        <v>0</v>
      </c>
      <c r="JR71" s="24">
        <v>0</v>
      </c>
      <c r="JS71" s="24">
        <v>0</v>
      </c>
      <c r="JT71" s="24">
        <v>0</v>
      </c>
      <c r="JU71" s="24">
        <v>0</v>
      </c>
      <c r="JV71" s="24">
        <v>0</v>
      </c>
      <c r="JW71" s="24">
        <v>0</v>
      </c>
      <c r="JX71" s="24">
        <v>0</v>
      </c>
      <c r="JY71" s="24">
        <v>0</v>
      </c>
      <c r="JZ71" s="24">
        <v>0</v>
      </c>
      <c r="KA71" s="24">
        <v>0</v>
      </c>
      <c r="KB71" s="24">
        <v>0</v>
      </c>
      <c r="KC71" s="24">
        <v>0</v>
      </c>
      <c r="KD71" s="24">
        <v>0</v>
      </c>
      <c r="KE71" s="24">
        <v>0</v>
      </c>
      <c r="KF71" s="24">
        <v>0</v>
      </c>
      <c r="KG71" s="24">
        <v>0</v>
      </c>
      <c r="KH71" s="24">
        <v>0</v>
      </c>
      <c r="KI71" s="24">
        <v>0</v>
      </c>
      <c r="KJ71" s="24">
        <v>0</v>
      </c>
      <c r="KK71" s="24">
        <v>0</v>
      </c>
      <c r="KL71" s="24">
        <v>0</v>
      </c>
      <c r="KM71" s="24">
        <v>0</v>
      </c>
      <c r="KN71" s="24">
        <v>0</v>
      </c>
      <c r="KO71" s="24">
        <v>0</v>
      </c>
      <c r="KP71" s="24">
        <v>0</v>
      </c>
      <c r="KQ71" s="24">
        <v>0</v>
      </c>
      <c r="KR71" s="24">
        <v>0</v>
      </c>
      <c r="KS71" s="24">
        <v>0</v>
      </c>
      <c r="KT71" s="24">
        <v>0</v>
      </c>
      <c r="KU71" s="24">
        <v>0</v>
      </c>
      <c r="KV71" s="24">
        <v>0</v>
      </c>
      <c r="KW71" s="24">
        <v>0</v>
      </c>
      <c r="KX71" s="24">
        <v>0</v>
      </c>
      <c r="KY71" s="24">
        <v>0</v>
      </c>
      <c r="KZ71" s="24">
        <v>0</v>
      </c>
      <c r="LA71" s="24">
        <v>0</v>
      </c>
      <c r="LB71" s="24">
        <v>0</v>
      </c>
      <c r="LC71" s="24">
        <v>0</v>
      </c>
      <c r="LD71" s="24">
        <v>0</v>
      </c>
      <c r="LE71" s="24">
        <v>0</v>
      </c>
      <c r="LF71" s="24">
        <v>0</v>
      </c>
      <c r="LG71" s="24">
        <v>0</v>
      </c>
      <c r="LH71" s="24">
        <v>0</v>
      </c>
      <c r="LI71" s="24">
        <v>0</v>
      </c>
      <c r="LJ71" s="24">
        <v>0</v>
      </c>
      <c r="LK71" s="24">
        <v>0</v>
      </c>
      <c r="LL71" s="24">
        <v>0</v>
      </c>
      <c r="LM71" s="24">
        <v>0</v>
      </c>
      <c r="LN71" s="24">
        <v>0</v>
      </c>
      <c r="LO71" s="24">
        <v>0</v>
      </c>
      <c r="LP71" s="24">
        <v>0</v>
      </c>
      <c r="LQ71" s="24">
        <v>99319</v>
      </c>
      <c r="LR71" s="24">
        <v>0</v>
      </c>
      <c r="LS71" s="24">
        <v>0</v>
      </c>
      <c r="LT71" s="24">
        <v>0</v>
      </c>
      <c r="LU71" s="24">
        <v>0</v>
      </c>
      <c r="LV71" s="24">
        <v>0</v>
      </c>
      <c r="LW71" s="24">
        <v>0</v>
      </c>
      <c r="LX71" s="24">
        <v>0</v>
      </c>
      <c r="LY71" s="24">
        <v>0</v>
      </c>
      <c r="LZ71" s="24">
        <v>0</v>
      </c>
      <c r="MA71" s="24">
        <v>0</v>
      </c>
      <c r="MB71" s="24">
        <v>0</v>
      </c>
      <c r="MC71" s="24">
        <v>0</v>
      </c>
      <c r="MD71" s="24">
        <v>0</v>
      </c>
      <c r="ME71" s="24">
        <v>4820</v>
      </c>
      <c r="MF71" s="24">
        <v>0</v>
      </c>
      <c r="MG71" s="24">
        <v>0</v>
      </c>
      <c r="MH71" s="24">
        <v>0</v>
      </c>
      <c r="MI71" s="24">
        <v>0</v>
      </c>
      <c r="MJ71" s="24">
        <v>0</v>
      </c>
      <c r="MK71" s="24">
        <v>0</v>
      </c>
      <c r="ML71" s="24">
        <v>0</v>
      </c>
      <c r="MM71" s="24">
        <v>0</v>
      </c>
      <c r="MN71" s="24">
        <v>0</v>
      </c>
      <c r="MO71" s="24">
        <v>0</v>
      </c>
      <c r="MP71" s="24">
        <v>0</v>
      </c>
      <c r="MQ71" s="24">
        <v>0</v>
      </c>
      <c r="MR71" s="24">
        <v>218022</v>
      </c>
      <c r="MS71" s="24">
        <v>0</v>
      </c>
      <c r="MT71" s="24">
        <v>0</v>
      </c>
      <c r="MU71" s="24">
        <v>0</v>
      </c>
      <c r="MV71" s="24">
        <v>0</v>
      </c>
      <c r="MW71" s="24">
        <v>119759</v>
      </c>
      <c r="MX71" s="24">
        <v>3140</v>
      </c>
      <c r="MY71" s="24">
        <v>0</v>
      </c>
      <c r="MZ71" s="24">
        <v>0</v>
      </c>
      <c r="NA71" s="24">
        <v>0</v>
      </c>
      <c r="NB71" s="24">
        <v>0</v>
      </c>
      <c r="NC71" s="24">
        <v>0</v>
      </c>
      <c r="ND71" s="24">
        <v>0</v>
      </c>
      <c r="NE71" s="24">
        <v>0</v>
      </c>
      <c r="NF71" s="24">
        <v>0</v>
      </c>
      <c r="NG71" s="24">
        <v>0</v>
      </c>
      <c r="NH71" s="24">
        <v>0</v>
      </c>
      <c r="NI71" s="24">
        <v>0</v>
      </c>
      <c r="NJ71" s="24">
        <v>0</v>
      </c>
      <c r="NK71" s="24">
        <v>0</v>
      </c>
      <c r="NL71" s="24">
        <v>0</v>
      </c>
      <c r="NM71" s="24">
        <v>0</v>
      </c>
      <c r="NN71" s="24">
        <v>0</v>
      </c>
      <c r="NO71" s="24">
        <v>0</v>
      </c>
      <c r="NP71" s="24">
        <v>0</v>
      </c>
      <c r="NQ71" s="24">
        <v>0</v>
      </c>
      <c r="NR71" s="24">
        <v>0</v>
      </c>
      <c r="NS71" s="24">
        <v>0</v>
      </c>
      <c r="NT71" s="24">
        <v>0</v>
      </c>
      <c r="NU71" s="24">
        <v>13370</v>
      </c>
      <c r="NV71" s="24">
        <v>34776</v>
      </c>
      <c r="NW71" s="24">
        <v>0</v>
      </c>
      <c r="NX71" s="24">
        <v>0</v>
      </c>
      <c r="NY71" s="24">
        <v>0</v>
      </c>
      <c r="NZ71" s="24">
        <v>0</v>
      </c>
      <c r="OA71" s="24">
        <v>0</v>
      </c>
      <c r="OB71" s="24">
        <v>0</v>
      </c>
      <c r="OC71" s="24">
        <v>0</v>
      </c>
      <c r="OD71" s="24">
        <v>0</v>
      </c>
      <c r="OE71" s="24">
        <v>0</v>
      </c>
      <c r="OF71" s="24">
        <v>0</v>
      </c>
      <c r="OG71" s="24">
        <v>0</v>
      </c>
      <c r="OH71" s="24">
        <v>0</v>
      </c>
      <c r="OI71" s="24">
        <v>0</v>
      </c>
      <c r="OJ71" s="24">
        <v>9609</v>
      </c>
      <c r="OK71" s="24">
        <v>0</v>
      </c>
      <c r="OL71" s="24">
        <v>0</v>
      </c>
      <c r="OM71" s="24">
        <v>0</v>
      </c>
      <c r="ON71" s="24">
        <v>0</v>
      </c>
      <c r="OO71" s="24">
        <v>0</v>
      </c>
      <c r="OP71" s="24">
        <v>0</v>
      </c>
      <c r="OQ71" s="24">
        <v>0</v>
      </c>
      <c r="OR71" s="24">
        <v>0</v>
      </c>
      <c r="OS71" s="24">
        <v>0</v>
      </c>
      <c r="OT71" s="24">
        <v>0</v>
      </c>
      <c r="OU71" s="24">
        <v>0</v>
      </c>
      <c r="OV71" s="24">
        <v>0</v>
      </c>
      <c r="OW71" s="24">
        <v>0</v>
      </c>
      <c r="OX71" s="24">
        <v>0</v>
      </c>
      <c r="OY71" s="24">
        <v>0</v>
      </c>
      <c r="OZ71" s="24">
        <v>0</v>
      </c>
      <c r="PA71" s="24">
        <v>0</v>
      </c>
      <c r="PB71" s="24">
        <v>0</v>
      </c>
      <c r="PC71" s="24">
        <v>0</v>
      </c>
      <c r="PD71" s="24">
        <v>0</v>
      </c>
      <c r="PE71" s="24">
        <v>0</v>
      </c>
      <c r="PF71" s="24">
        <v>0</v>
      </c>
      <c r="PG71" s="24">
        <v>0</v>
      </c>
      <c r="PH71" s="24">
        <v>55977</v>
      </c>
      <c r="PI71" s="24">
        <v>0</v>
      </c>
      <c r="PJ71" s="24">
        <v>0</v>
      </c>
      <c r="PK71" s="24">
        <v>0</v>
      </c>
      <c r="PL71" s="24">
        <v>0</v>
      </c>
      <c r="PM71" s="24">
        <v>0</v>
      </c>
      <c r="PN71" s="24">
        <v>0</v>
      </c>
      <c r="PO71" s="24">
        <v>0</v>
      </c>
      <c r="PP71" s="24">
        <v>0</v>
      </c>
      <c r="PQ71" s="24">
        <v>0</v>
      </c>
      <c r="PR71" s="24">
        <v>0</v>
      </c>
      <c r="PS71" s="24">
        <v>0</v>
      </c>
      <c r="PT71" s="24">
        <v>0</v>
      </c>
      <c r="PU71" s="24">
        <v>0</v>
      </c>
      <c r="PV71" s="24">
        <v>0</v>
      </c>
      <c r="PW71" s="24">
        <v>0</v>
      </c>
      <c r="PX71" s="24">
        <v>0</v>
      </c>
      <c r="PY71" s="24">
        <v>0</v>
      </c>
      <c r="PZ71" s="24">
        <v>0</v>
      </c>
      <c r="QA71" s="24">
        <v>0</v>
      </c>
      <c r="QB71" s="24">
        <v>34776</v>
      </c>
      <c r="QC71" s="24">
        <v>0</v>
      </c>
      <c r="QD71" s="24">
        <v>0</v>
      </c>
      <c r="QE71" s="24">
        <v>0</v>
      </c>
      <c r="QF71" s="24">
        <v>0</v>
      </c>
      <c r="QG71" s="24">
        <v>0</v>
      </c>
      <c r="QH71" s="24">
        <v>0</v>
      </c>
      <c r="QI71" s="24">
        <v>0</v>
      </c>
      <c r="QJ71" s="24">
        <v>0</v>
      </c>
      <c r="QK71" s="24">
        <v>0</v>
      </c>
      <c r="QL71" s="24">
        <v>0</v>
      </c>
      <c r="QM71" s="24">
        <v>0</v>
      </c>
      <c r="QN71" s="24">
        <v>0</v>
      </c>
      <c r="QO71" s="24">
        <v>0</v>
      </c>
      <c r="QP71" s="24">
        <v>0</v>
      </c>
      <c r="QQ71" s="24">
        <v>0</v>
      </c>
      <c r="QR71" s="24">
        <v>0</v>
      </c>
      <c r="QS71" s="24">
        <v>0</v>
      </c>
      <c r="QT71" s="24">
        <v>0</v>
      </c>
      <c r="QU71" s="24">
        <v>0</v>
      </c>
      <c r="QV71" s="24">
        <v>0</v>
      </c>
      <c r="QW71" s="24">
        <v>0</v>
      </c>
      <c r="QX71" s="24">
        <v>0</v>
      </c>
      <c r="QY71" s="24">
        <v>0</v>
      </c>
      <c r="QZ71" s="24">
        <v>0</v>
      </c>
      <c r="RA71" s="24">
        <v>0</v>
      </c>
      <c r="RB71" s="24">
        <v>0</v>
      </c>
      <c r="RG71" s="39">
        <f t="shared" si="129"/>
        <v>2875617</v>
      </c>
      <c r="RH71" s="39">
        <f t="shared" si="128"/>
        <v>247044</v>
      </c>
      <c r="RI71" s="39">
        <f t="shared" si="128"/>
        <v>0</v>
      </c>
      <c r="RJ71" s="39">
        <f t="shared" si="128"/>
        <v>0</v>
      </c>
      <c r="RK71" s="39">
        <f t="shared" si="128"/>
        <v>0</v>
      </c>
      <c r="RL71" s="39">
        <f t="shared" si="128"/>
        <v>389569</v>
      </c>
      <c r="RM71" s="39">
        <f t="shared" si="128"/>
        <v>249214</v>
      </c>
      <c r="RN71" s="39">
        <f t="shared" si="128"/>
        <v>8675</v>
      </c>
      <c r="RO71" s="39">
        <f t="shared" si="128"/>
        <v>18190</v>
      </c>
      <c r="RP71" s="39">
        <f t="shared" si="128"/>
        <v>0</v>
      </c>
      <c r="RQ71" s="39">
        <f t="shared" si="128"/>
        <v>24091</v>
      </c>
      <c r="RR71" s="39">
        <f t="shared" si="128"/>
        <v>0</v>
      </c>
      <c r="RS71" s="39"/>
      <c r="RT71" s="182"/>
      <c r="RU71" s="39"/>
      <c r="RV71" s="39">
        <f t="shared" si="127"/>
        <v>502815</v>
      </c>
      <c r="RW71" s="39">
        <f t="shared" si="127"/>
        <v>3812400</v>
      </c>
      <c r="RX71" s="39">
        <f t="shared" si="127"/>
        <v>716585</v>
      </c>
      <c r="RY71" s="39">
        <f t="shared" si="127"/>
        <v>90753</v>
      </c>
      <c r="RZ71" s="39"/>
      <c r="SA71" s="182"/>
      <c r="SB71" s="39"/>
      <c r="SC71" s="25">
        <f t="shared" si="50"/>
        <v>1288.8219424460431</v>
      </c>
      <c r="SD71" s="39">
        <f>IFERROR(VLOOKUP(A71, 'Levy Data 15-16'!$B:$O, 3, FALSE), 0)</f>
        <v>212279609</v>
      </c>
      <c r="SE71" s="39">
        <f t="shared" si="88"/>
        <v>381797.85791366908</v>
      </c>
      <c r="SF71" s="631">
        <f>IFERROR(VLOOKUP(A71, 'Levy Data 15-16'!$B:$O, 14, FALSE), 0)*1000</f>
        <v>2.8757820000000001</v>
      </c>
      <c r="SG71" s="39">
        <f t="shared" si="89"/>
        <v>0</v>
      </c>
      <c r="SH71" s="39">
        <f t="shared" si="90"/>
        <v>0</v>
      </c>
      <c r="SI71" s="39">
        <f t="shared" si="91"/>
        <v>716585</v>
      </c>
      <c r="SM71" s="39">
        <f t="shared" si="92"/>
        <v>3812400</v>
      </c>
      <c r="SN71" s="39">
        <f t="shared" si="93"/>
        <v>0</v>
      </c>
      <c r="SO71" s="39">
        <f t="shared" si="51"/>
        <v>3812400</v>
      </c>
      <c r="SP71" s="50">
        <f t="shared" si="130"/>
        <v>1</v>
      </c>
      <c r="ST71" s="124">
        <f>IFERROR(VLOOKUP(A71,'Grade Enroll 15-16'!B:AC,27,FALSE),"")</f>
        <v>556</v>
      </c>
      <c r="SU71" s="124">
        <f t="shared" si="53"/>
        <v>335.12328767123284</v>
      </c>
      <c r="SV71" s="131">
        <f>IFERROR(VLOOKUP($A71, 'Title I Enroll 16-17'!S:V, 4, FALSE), 0)</f>
        <v>0.60273972602739723</v>
      </c>
      <c r="SW71" s="729">
        <f>IFERROR(VLOOKUP(A71, 'ELL Enroll 15-16'!$N:$S, 6, FALSE), 0)</f>
        <v>210</v>
      </c>
      <c r="SX71" s="131">
        <f t="shared" si="131"/>
        <v>0.37769784172661869</v>
      </c>
      <c r="SY71" s="124">
        <f>IFERROR(VLOOKUP(A71, 'SPED enroll 2015-16'!$M:$O, 3, FALSE), 0)</f>
        <v>41</v>
      </c>
      <c r="SZ71" s="131">
        <f t="shared" si="132"/>
        <v>7.3741007194244604E-2</v>
      </c>
      <c r="TA71" s="142">
        <f t="shared" si="133"/>
        <v>28.7</v>
      </c>
      <c r="TB71" s="142">
        <f t="shared" si="133"/>
        <v>8.2000000000000011</v>
      </c>
      <c r="TC71" s="142">
        <f t="shared" si="133"/>
        <v>2.87</v>
      </c>
      <c r="TD71" s="142">
        <f t="shared" si="133"/>
        <v>1.23</v>
      </c>
      <c r="TE71" s="124">
        <f>VLOOKUP($A71, 'Grade Enroll 15-16'!$B:$AB, 20, FALSE)</f>
        <v>5</v>
      </c>
      <c r="TF71" s="124">
        <f>VLOOKUP($A71, 'Grade Enroll 15-16'!$B:$AB, 21, FALSE)</f>
        <v>38</v>
      </c>
      <c r="TG71" s="124">
        <f>VLOOKUP($A71, 'Grade Enroll 15-16'!$B:$AB, 22, FALSE)</f>
        <v>145</v>
      </c>
      <c r="TH71" s="124">
        <f>VLOOKUP($A71, 'Grade Enroll 15-16'!$B:$AB, 23, FALSE)</f>
        <v>143</v>
      </c>
      <c r="TI71" s="124">
        <f>VLOOKUP($A71, 'Grade Enroll 15-16'!$B:$AB, 24, FALSE)</f>
        <v>95</v>
      </c>
      <c r="TJ71" s="124">
        <f>VLOOKUP($A71, 'Grade Enroll 15-16'!$B:$AB, 25, FALSE)</f>
        <v>173</v>
      </c>
      <c r="TK71" s="124">
        <f>VLOOKUP($A71, 'Grade Enroll 15-16'!$B:$AB, 26, FALSE)</f>
        <v>391</v>
      </c>
      <c r="TL71" s="131">
        <f>SUMIFS('Student Achievement 15-16'!N:N, 'Student Achievement 15-16'!B:B, 'Idaho Data'!A71, 'Student Achievement 15-16'!D:D, "math")/100</f>
        <v>0.39899999999999997</v>
      </c>
      <c r="TM71" s="134">
        <f t="shared" si="57"/>
        <v>221.84399999999999</v>
      </c>
      <c r="TN71" s="131">
        <f>SUMIFS('Student Achievement 15-16'!N:N, 'Student Achievement 15-16'!B:B, 'Idaho Data'!A71, 'Student Achievement 15-16'!D:D, "ela")/100</f>
        <v>0.39</v>
      </c>
      <c r="TO71" s="134">
        <f t="shared" si="134"/>
        <v>216.84</v>
      </c>
      <c r="TP71" s="688">
        <f>IFERROR(VLOOKUP(A71, 'G&amp;T 15-16'!B:G, 6, FALSE), 0)*1</f>
        <v>0</v>
      </c>
      <c r="TQ71" s="168">
        <f t="shared" si="135"/>
        <v>33.36</v>
      </c>
      <c r="TU71" s="168">
        <f t="shared" si="136"/>
        <v>216.84</v>
      </c>
      <c r="TV71" s="168">
        <f t="shared" si="137"/>
        <v>221.84399999999999</v>
      </c>
      <c r="TW71" s="205">
        <f t="shared" si="138"/>
        <v>221.84399999999999</v>
      </c>
      <c r="TX71" s="144"/>
      <c r="TY71" s="129"/>
      <c r="TZ71" s="127">
        <f t="shared" si="139"/>
        <v>0</v>
      </c>
      <c r="UA71" s="127">
        <f t="shared" si="140"/>
        <v>33.36</v>
      </c>
      <c r="UB71" s="205">
        <f t="shared" si="141"/>
        <v>33.36</v>
      </c>
      <c r="UE71" s="853" t="str">
        <f>IF(ST71&lt;='1. Simulator Input'!$E$104, "yes", "")</f>
        <v/>
      </c>
      <c r="UI71" s="199">
        <f t="shared" si="66"/>
        <v>0</v>
      </c>
      <c r="UJ71" s="200">
        <f>IF('Idaho Data'!SI71&gt;=0, ((1-'1. Simulator Input'!$E$39)*'Idaho Data'!SI71), 0)</f>
        <v>0</v>
      </c>
      <c r="UK71" s="200">
        <f t="shared" si="142"/>
        <v>3812400</v>
      </c>
      <c r="UL71" s="39"/>
      <c r="UM71" s="182"/>
      <c r="UN71" s="39"/>
      <c r="UO71" s="39" t="str">
        <f>IF(AND('1. Simulator Input'!$E$96="yes", '1. Simulator Input'!$E$98="yes", '1. Simulator Input'!$E$100="hold harmless"), 'Idaho Data'!WN71, IF(AND('1. Simulator Input'!$E$96="yes", '1. Simulator Input'!$E$98="no", '1. Simulator Input'!$E$100="hold harmless"), 'Idaho Data'!WM71, IF(AND('1. Simulator Input'!$E$96="yes", '1. Simulator Input'!$E$98="yes", '1. Simulator Input'!$E$100="small district grant"), WL71,IF(AND('1. Simulator Input'!$E$96="yes", '1. Simulator Input'!$E$98="no", '1. Simulator Input'!$E$100="small district grant"), WK71, ""))))</f>
        <v/>
      </c>
      <c r="UP71" s="200">
        <f>'1. Simulator Input'!$D$56*('Idaho Data'!ST71)</f>
        <v>3072456</v>
      </c>
      <c r="UQ71" s="204">
        <f>'1. Simulator Input'!$D$65*'1. Simulator Input'!$D$56*'Idaho Data'!SU71</f>
        <v>0</v>
      </c>
      <c r="UR71" s="204">
        <f>'1. Simulator Input'!$D$66*'1. Simulator Input'!$D$56*'Idaho Data'!SW71</f>
        <v>0</v>
      </c>
      <c r="US71" s="200">
        <f>'1. Simulator Input'!$D$67*'1. Simulator Input'!$D$56*'Idaho Data'!TA71</f>
        <v>0</v>
      </c>
      <c r="UT71" s="200">
        <f>'1. Simulator Input'!$D$68*'1. Simulator Input'!$D$56*'Idaho Data'!TB71</f>
        <v>0</v>
      </c>
      <c r="UU71" s="200">
        <f>'1. Simulator Input'!$D$69*'1. Simulator Input'!$D$56*'Idaho Data'!TC71</f>
        <v>0</v>
      </c>
      <c r="UV71" s="200">
        <f>'1. Simulator Input'!$D$70*'1. Simulator Input'!$D$56*TD71</f>
        <v>0</v>
      </c>
      <c r="UW71" s="200">
        <f>'1. Simulator Input'!$D$80*'1. Simulator Input'!$D$56*TW71</f>
        <v>0</v>
      </c>
      <c r="UX71" s="200">
        <f>'1. Simulator Input'!$D$79*'1. Simulator Input'!$D$56*UB71</f>
        <v>0</v>
      </c>
      <c r="UY71" s="200">
        <f>'1. Simulator Input'!$D$87*'1. Simulator Input'!$D$56*TF71</f>
        <v>104994</v>
      </c>
      <c r="UZ71" s="200">
        <f>'1. Simulator Input'!$D$73*'1. Simulator Input'!$D$56*'Idaho Data'!TG71</f>
        <v>0</v>
      </c>
      <c r="VA71" s="200">
        <f>'1. Simulator Input'!$D$56*'1. Simulator Input'!$D$74*'Idaho Data'!TH71</f>
        <v>0</v>
      </c>
      <c r="VB71" s="200">
        <f>'1. Simulator Input'!$D$56*'1. Simulator Input'!$D$75*'Idaho Data'!TI66</f>
        <v>0</v>
      </c>
      <c r="VC71" s="200">
        <f>'1. Simulator Input'!$D$76*'1. Simulator Input'!$D$56*'Idaho Data'!TJ71</f>
        <v>0</v>
      </c>
      <c r="VD71" s="200">
        <f t="shared" si="68"/>
        <v>3177450</v>
      </c>
      <c r="VE71" s="200"/>
      <c r="VF71" s="182"/>
      <c r="VG71" s="200"/>
      <c r="VH71" s="200">
        <f t="shared" si="69"/>
        <v>0</v>
      </c>
      <c r="VI71" s="200">
        <f t="shared" si="70"/>
        <v>0</v>
      </c>
      <c r="VJ71" s="200">
        <f t="shared" si="94"/>
        <v>3177450</v>
      </c>
      <c r="VK71" s="200">
        <f t="shared" si="95"/>
        <v>3177450</v>
      </c>
      <c r="VL71" s="200"/>
      <c r="VM71" s="182"/>
      <c r="VN71" s="200"/>
      <c r="VO71" s="200">
        <f t="shared" si="71"/>
        <v>502815</v>
      </c>
      <c r="VP71" s="200">
        <f t="shared" si="72"/>
        <v>3812400</v>
      </c>
      <c r="VQ71" s="200">
        <f t="shared" si="73"/>
        <v>716585</v>
      </c>
      <c r="VR71" s="200">
        <f t="shared" si="74"/>
        <v>502815</v>
      </c>
      <c r="VS71" s="200">
        <f t="shared" si="96"/>
        <v>3177450</v>
      </c>
      <c r="VT71" s="200">
        <f t="shared" si="97"/>
        <v>716585</v>
      </c>
      <c r="VU71" s="200">
        <f t="shared" si="98"/>
        <v>0</v>
      </c>
      <c r="VV71" s="200"/>
      <c r="VW71" s="182"/>
      <c r="VX71" s="200"/>
      <c r="VZ71" s="199">
        <f t="shared" si="75"/>
        <v>-634950</v>
      </c>
      <c r="WA71" s="199">
        <f t="shared" si="76"/>
        <v>-1141.9964028776978</v>
      </c>
      <c r="WB71" s="131">
        <f t="shared" si="77"/>
        <v>-0.16654863078375826</v>
      </c>
      <c r="WC71" s="131"/>
      <c r="WD71" s="461"/>
      <c r="WE71" s="893"/>
      <c r="WF71" s="893">
        <f t="shared" si="78"/>
        <v>9050</v>
      </c>
      <c r="WG71" s="893">
        <f t="shared" si="79"/>
        <v>7908.0035971223024</v>
      </c>
      <c r="WH71" s="893"/>
      <c r="WI71" s="893">
        <f t="shared" si="80"/>
        <v>3812400</v>
      </c>
      <c r="WJ71" s="893">
        <f t="shared" si="99"/>
        <v>3177450</v>
      </c>
      <c r="WK71" s="39" t="str">
        <f t="shared" si="100"/>
        <v/>
      </c>
      <c r="WL71" s="39" t="str">
        <f t="shared" si="101"/>
        <v/>
      </c>
      <c r="WM71" s="200" t="str">
        <f t="shared" si="102"/>
        <v/>
      </c>
      <c r="WN71" s="39" t="str">
        <f t="shared" si="103"/>
        <v/>
      </c>
      <c r="WO71" s="39"/>
      <c r="WP71" s="182"/>
      <c r="WQ71" s="39"/>
      <c r="WR71" s="305">
        <f t="shared" si="104"/>
        <v>0.39400000000000002</v>
      </c>
      <c r="WT71" s="200">
        <f t="shared" si="105"/>
        <v>6856.8345323741005</v>
      </c>
      <c r="WU71" s="131">
        <f t="shared" si="81"/>
        <v>0.56000000000000005</v>
      </c>
      <c r="WW71" s="199">
        <f t="shared" si="106"/>
        <v>502815</v>
      </c>
      <c r="WX71" s="199">
        <f t="shared" si="107"/>
        <v>3177450</v>
      </c>
      <c r="WY71" s="199">
        <f t="shared" si="108"/>
        <v>0</v>
      </c>
      <c r="WZ71" s="199">
        <f t="shared" si="82"/>
        <v>3177450</v>
      </c>
      <c r="XA71" s="199">
        <f t="shared" si="109"/>
        <v>0</v>
      </c>
      <c r="XB71" s="199">
        <f t="shared" si="110"/>
        <v>716585</v>
      </c>
      <c r="XC71" s="199">
        <f t="shared" si="111"/>
        <v>716585</v>
      </c>
      <c r="XD71" s="199" t="str">
        <f t="shared" si="112"/>
        <v/>
      </c>
      <c r="XE71" s="199"/>
      <c r="XF71" s="199"/>
      <c r="XG71" s="199"/>
      <c r="XH71" s="199"/>
      <c r="XI71" s="199"/>
      <c r="XJ71" s="199">
        <f t="shared" si="83"/>
        <v>3177450</v>
      </c>
      <c r="XP71" s="199">
        <f t="shared" si="113"/>
        <v>3177450</v>
      </c>
      <c r="XQ71" s="199">
        <f t="shared" si="114"/>
        <v>5714.8381294964029</v>
      </c>
      <c r="XR71" s="199">
        <f t="shared" si="115"/>
        <v>3177450</v>
      </c>
      <c r="XS71" s="199">
        <f t="shared" si="116"/>
        <v>3177450</v>
      </c>
      <c r="XT71" s="199">
        <f t="shared" si="117"/>
        <v>5714.8381294964029</v>
      </c>
      <c r="XU71" s="199">
        <f t="shared" si="118"/>
        <v>3812400</v>
      </c>
      <c r="XV71" s="199">
        <f t="shared" si="119"/>
        <v>6856.8345323741005</v>
      </c>
      <c r="XW71" s="199">
        <f t="shared" si="120"/>
        <v>3812400</v>
      </c>
      <c r="XX71" s="199">
        <f t="shared" si="121"/>
        <v>6856.8345323741005</v>
      </c>
      <c r="XY71" s="199">
        <f t="shared" si="84"/>
        <v>-634950</v>
      </c>
      <c r="XZ71" s="199">
        <f t="shared" si="85"/>
        <v>-1141.9964028776976</v>
      </c>
      <c r="YA71" s="131">
        <f t="shared" si="143"/>
        <v>-0.16654863078375823</v>
      </c>
      <c r="YB71" s="199"/>
      <c r="YC71" s="221"/>
      <c r="YD71" s="199"/>
      <c r="YE71" s="199">
        <f t="shared" si="122"/>
        <v>502815</v>
      </c>
      <c r="YF71" s="200">
        <f t="shared" si="123"/>
        <v>0</v>
      </c>
      <c r="YG71" s="199">
        <f t="shared" si="124"/>
        <v>716585</v>
      </c>
      <c r="YH71" s="199">
        <f t="shared" si="125"/>
        <v>90753</v>
      </c>
    </row>
    <row r="72" spans="1:658">
      <c r="A72" s="3">
        <v>271</v>
      </c>
      <c r="B72" s="2" t="s">
        <v>167</v>
      </c>
      <c r="C72" s="24">
        <v>1079811</v>
      </c>
      <c r="D72" s="24">
        <v>0</v>
      </c>
      <c r="E72" s="24">
        <v>0</v>
      </c>
      <c r="F72" s="24">
        <v>0</v>
      </c>
      <c r="G72" s="24">
        <v>14189426</v>
      </c>
      <c r="H72" s="24">
        <v>0</v>
      </c>
      <c r="I72" s="24">
        <v>1024020</v>
      </c>
      <c r="J72" s="24">
        <v>78342</v>
      </c>
      <c r="K72" s="24">
        <v>0</v>
      </c>
      <c r="L72" s="24">
        <v>0</v>
      </c>
      <c r="M72" s="24">
        <v>0</v>
      </c>
      <c r="N72" s="24">
        <v>138151</v>
      </c>
      <c r="O72" s="24">
        <v>0</v>
      </c>
      <c r="P72" s="24">
        <v>0</v>
      </c>
      <c r="Q72" s="24">
        <v>0</v>
      </c>
      <c r="R72" s="24">
        <v>0</v>
      </c>
      <c r="S72" s="24">
        <v>0</v>
      </c>
      <c r="T72" s="24">
        <v>0</v>
      </c>
      <c r="U72" s="24">
        <v>0</v>
      </c>
      <c r="V72" s="24">
        <v>0</v>
      </c>
      <c r="W72" s="24">
        <v>0</v>
      </c>
      <c r="X72" s="24">
        <v>3006499</v>
      </c>
      <c r="Y72" s="24">
        <v>107796</v>
      </c>
      <c r="Z72" s="24">
        <v>0</v>
      </c>
      <c r="AA72" s="24">
        <v>0</v>
      </c>
      <c r="AB72" s="24">
        <v>0</v>
      </c>
      <c r="AC72" s="24">
        <v>0</v>
      </c>
      <c r="AD72" s="24">
        <v>0</v>
      </c>
      <c r="AE72" s="24">
        <v>0</v>
      </c>
      <c r="AF72" s="24">
        <v>0</v>
      </c>
      <c r="AG72" s="24">
        <v>0</v>
      </c>
      <c r="AH72" s="24">
        <v>0</v>
      </c>
      <c r="AI72" s="24">
        <v>0</v>
      </c>
      <c r="AJ72" s="24">
        <v>0</v>
      </c>
      <c r="AK72" s="24">
        <v>0</v>
      </c>
      <c r="AL72" s="24">
        <v>37485</v>
      </c>
      <c r="AM72" s="24">
        <v>0</v>
      </c>
      <c r="AN72" s="24">
        <v>0</v>
      </c>
      <c r="AO72" s="24">
        <v>0</v>
      </c>
      <c r="AP72" s="24">
        <v>0</v>
      </c>
      <c r="AQ72" s="24">
        <v>0</v>
      </c>
      <c r="AR72" s="24">
        <v>0</v>
      </c>
      <c r="AS72" s="24">
        <v>0</v>
      </c>
      <c r="AT72" s="24">
        <v>0</v>
      </c>
      <c r="AU72" s="24">
        <v>0</v>
      </c>
      <c r="AV72" s="24">
        <v>0</v>
      </c>
      <c r="AW72" s="24">
        <v>0</v>
      </c>
      <c r="AX72" s="24">
        <v>0</v>
      </c>
      <c r="AY72" s="24">
        <v>0</v>
      </c>
      <c r="AZ72" s="24">
        <v>0</v>
      </c>
      <c r="BA72" s="24">
        <v>0</v>
      </c>
      <c r="BB72" s="24">
        <v>0</v>
      </c>
      <c r="BC72" s="24">
        <v>0</v>
      </c>
      <c r="BD72" s="24">
        <v>2689</v>
      </c>
      <c r="BE72" s="24">
        <v>0</v>
      </c>
      <c r="BF72" s="24">
        <v>0</v>
      </c>
      <c r="BG72" s="24">
        <v>0</v>
      </c>
      <c r="BH72" s="24">
        <v>0</v>
      </c>
      <c r="BI72" s="24">
        <v>0</v>
      </c>
      <c r="BJ72" s="24">
        <v>0</v>
      </c>
      <c r="BK72" s="24">
        <v>0</v>
      </c>
      <c r="BL72" s="24">
        <v>0</v>
      </c>
      <c r="BM72" s="24">
        <v>0</v>
      </c>
      <c r="BN72" s="24">
        <v>0</v>
      </c>
      <c r="BO72" s="24">
        <v>0</v>
      </c>
      <c r="BP72" s="24">
        <v>0</v>
      </c>
      <c r="BQ72" s="24">
        <v>0</v>
      </c>
      <c r="BR72" s="24">
        <v>0</v>
      </c>
      <c r="BS72" s="24">
        <v>0</v>
      </c>
      <c r="BT72" s="24">
        <v>0</v>
      </c>
      <c r="BU72" s="24">
        <v>0</v>
      </c>
      <c r="BV72" s="24">
        <v>0</v>
      </c>
      <c r="BW72" s="24">
        <v>0</v>
      </c>
      <c r="BX72" s="24">
        <v>0</v>
      </c>
      <c r="BY72" s="24">
        <v>0</v>
      </c>
      <c r="BZ72" s="24">
        <v>0</v>
      </c>
      <c r="CA72" s="24">
        <v>0</v>
      </c>
      <c r="CB72" s="24">
        <v>0</v>
      </c>
      <c r="CC72" s="24">
        <v>0</v>
      </c>
      <c r="CD72" s="24">
        <v>916025</v>
      </c>
      <c r="CE72" s="24">
        <v>140478</v>
      </c>
      <c r="CF72" s="24">
        <v>0</v>
      </c>
      <c r="CG72" s="24">
        <v>67370</v>
      </c>
      <c r="CH72" s="24">
        <v>0</v>
      </c>
      <c r="CI72" s="24">
        <v>0</v>
      </c>
      <c r="CJ72" s="24">
        <v>0</v>
      </c>
      <c r="CK72" s="24">
        <v>0</v>
      </c>
      <c r="CL72" s="24">
        <v>0</v>
      </c>
      <c r="CM72" s="24">
        <v>0</v>
      </c>
      <c r="CN72" s="24">
        <v>0</v>
      </c>
      <c r="CO72" s="24">
        <v>0</v>
      </c>
      <c r="CP72" s="24">
        <v>0</v>
      </c>
      <c r="CQ72" s="24">
        <v>0</v>
      </c>
      <c r="CR72" s="24">
        <v>0</v>
      </c>
      <c r="CS72" s="24">
        <v>3717</v>
      </c>
      <c r="CT72" s="24">
        <v>0</v>
      </c>
      <c r="CU72" s="24">
        <v>0</v>
      </c>
      <c r="CV72" s="24">
        <v>0</v>
      </c>
      <c r="CW72" s="24">
        <v>0</v>
      </c>
      <c r="CX72" s="24">
        <v>0</v>
      </c>
      <c r="CY72" s="24">
        <v>0</v>
      </c>
      <c r="CZ72" s="24">
        <v>0</v>
      </c>
      <c r="DA72" s="24">
        <v>0</v>
      </c>
      <c r="DB72" s="24">
        <v>0</v>
      </c>
      <c r="DC72" s="24">
        <v>0</v>
      </c>
      <c r="DD72" s="24">
        <v>0</v>
      </c>
      <c r="DE72" s="24">
        <v>0</v>
      </c>
      <c r="DF72" s="24">
        <v>0</v>
      </c>
      <c r="DG72" s="24">
        <v>0</v>
      </c>
      <c r="DH72" s="24">
        <v>0</v>
      </c>
      <c r="DI72" s="24">
        <v>0</v>
      </c>
      <c r="DJ72" s="24">
        <v>0</v>
      </c>
      <c r="DK72" s="24">
        <v>0</v>
      </c>
      <c r="DL72" s="24">
        <v>0</v>
      </c>
      <c r="DM72" s="24">
        <v>0</v>
      </c>
      <c r="DN72" s="24">
        <v>0</v>
      </c>
      <c r="DO72" s="24">
        <v>74313</v>
      </c>
      <c r="DP72" s="24">
        <v>0</v>
      </c>
      <c r="DQ72" s="24">
        <v>1103219</v>
      </c>
      <c r="DR72" s="24">
        <v>1433</v>
      </c>
      <c r="DS72" s="24">
        <v>51576</v>
      </c>
      <c r="DT72" s="24">
        <v>0</v>
      </c>
      <c r="DU72" s="24">
        <v>0</v>
      </c>
      <c r="DV72" s="24">
        <v>0</v>
      </c>
      <c r="DW72" s="24">
        <v>0</v>
      </c>
      <c r="DX72" s="24">
        <v>0</v>
      </c>
      <c r="DY72" s="24">
        <v>0</v>
      </c>
      <c r="DZ72" s="24">
        <v>0</v>
      </c>
      <c r="EA72" s="24">
        <v>0</v>
      </c>
      <c r="EB72" s="24">
        <v>0</v>
      </c>
      <c r="EC72" s="24">
        <v>0</v>
      </c>
      <c r="ED72" s="24">
        <v>0</v>
      </c>
      <c r="EE72" s="24">
        <v>0</v>
      </c>
      <c r="EF72" s="24">
        <v>0</v>
      </c>
      <c r="EG72" s="24">
        <v>0</v>
      </c>
      <c r="EH72" s="24">
        <v>0</v>
      </c>
      <c r="EI72" s="24">
        <v>0</v>
      </c>
      <c r="EJ72" s="24">
        <v>0</v>
      </c>
      <c r="EK72" s="24">
        <v>0</v>
      </c>
      <c r="EL72" s="24">
        <v>0</v>
      </c>
      <c r="EM72" s="24">
        <v>0</v>
      </c>
      <c r="EN72" s="24">
        <v>0</v>
      </c>
      <c r="EO72" s="24">
        <v>0</v>
      </c>
      <c r="EP72" s="24">
        <v>0</v>
      </c>
      <c r="EQ72" s="24">
        <v>0</v>
      </c>
      <c r="ER72" s="24">
        <v>0</v>
      </c>
      <c r="ES72" s="24">
        <v>0</v>
      </c>
      <c r="ET72" s="24">
        <v>0</v>
      </c>
      <c r="EU72" s="24">
        <v>0</v>
      </c>
      <c r="EV72" s="24">
        <v>0</v>
      </c>
      <c r="EW72" s="24">
        <v>0</v>
      </c>
      <c r="EX72" s="24">
        <v>0</v>
      </c>
      <c r="EY72" s="24">
        <v>0</v>
      </c>
      <c r="EZ72" s="24">
        <v>0</v>
      </c>
      <c r="FA72" s="24">
        <v>0</v>
      </c>
      <c r="FB72" s="24">
        <v>0</v>
      </c>
      <c r="FC72" s="24">
        <v>0</v>
      </c>
      <c r="FD72" s="24">
        <v>0</v>
      </c>
      <c r="FE72" s="24">
        <v>0</v>
      </c>
      <c r="FF72" s="24">
        <v>0</v>
      </c>
      <c r="FG72" s="24">
        <v>0</v>
      </c>
      <c r="FH72" s="24">
        <v>0</v>
      </c>
      <c r="FI72" s="24">
        <v>0</v>
      </c>
      <c r="FJ72" s="24">
        <v>0</v>
      </c>
      <c r="FK72" s="24">
        <v>0</v>
      </c>
      <c r="FL72" s="24">
        <v>0</v>
      </c>
      <c r="FM72" s="24">
        <v>0</v>
      </c>
      <c r="FN72" s="24">
        <v>0</v>
      </c>
      <c r="FO72" s="24">
        <v>0</v>
      </c>
      <c r="FP72" s="24">
        <v>0</v>
      </c>
      <c r="FQ72" s="24">
        <v>0</v>
      </c>
      <c r="FR72" s="24">
        <v>0</v>
      </c>
      <c r="FS72" s="24">
        <v>201933</v>
      </c>
      <c r="FT72" s="24">
        <v>0</v>
      </c>
      <c r="FU72" s="24">
        <v>0</v>
      </c>
      <c r="FV72" s="24">
        <v>0</v>
      </c>
      <c r="FW72" s="24">
        <v>0</v>
      </c>
      <c r="FX72" s="24">
        <v>0</v>
      </c>
      <c r="FY72" s="24">
        <v>0</v>
      </c>
      <c r="FZ72" s="24">
        <v>0</v>
      </c>
      <c r="GA72" s="24">
        <v>600120</v>
      </c>
      <c r="GB72" s="24">
        <v>0</v>
      </c>
      <c r="GC72" s="24">
        <v>145701</v>
      </c>
      <c r="GD72" s="24">
        <v>0</v>
      </c>
      <c r="GE72" s="24">
        <v>0</v>
      </c>
      <c r="GF72" s="24">
        <v>0</v>
      </c>
      <c r="GG72" s="24">
        <v>0</v>
      </c>
      <c r="GH72" s="24">
        <v>0</v>
      </c>
      <c r="GI72" s="24">
        <v>0</v>
      </c>
      <c r="GJ72" s="24">
        <v>0</v>
      </c>
      <c r="GK72" s="24">
        <v>0</v>
      </c>
      <c r="GL72" s="24">
        <v>0</v>
      </c>
      <c r="GM72" s="24">
        <v>0</v>
      </c>
      <c r="GN72" s="24">
        <v>0</v>
      </c>
      <c r="GO72" s="24">
        <v>0</v>
      </c>
      <c r="GP72" s="24">
        <v>0</v>
      </c>
      <c r="GQ72" s="24">
        <v>0</v>
      </c>
      <c r="GR72" s="24">
        <v>0</v>
      </c>
      <c r="GS72" s="24">
        <v>0</v>
      </c>
      <c r="GT72" s="24">
        <v>0</v>
      </c>
      <c r="GU72" s="24">
        <v>3258</v>
      </c>
      <c r="GV72" s="24">
        <v>-238</v>
      </c>
      <c r="GW72" s="24">
        <v>0</v>
      </c>
      <c r="GX72" s="24">
        <v>128</v>
      </c>
      <c r="GY72" s="24">
        <v>0</v>
      </c>
      <c r="GZ72" s="24">
        <v>78069</v>
      </c>
      <c r="HA72" s="24">
        <v>616</v>
      </c>
      <c r="HB72" s="24">
        <v>0</v>
      </c>
      <c r="HC72" s="24">
        <v>0</v>
      </c>
      <c r="HD72" s="24">
        <v>40367208</v>
      </c>
      <c r="HE72" s="24">
        <v>0</v>
      </c>
      <c r="HF72" s="24">
        <v>0</v>
      </c>
      <c r="HG72" s="24">
        <v>0</v>
      </c>
      <c r="HH72" s="24">
        <v>0</v>
      </c>
      <c r="HI72" s="24">
        <v>1683156</v>
      </c>
      <c r="HJ72" s="24">
        <v>0</v>
      </c>
      <c r="HK72" s="24">
        <v>0</v>
      </c>
      <c r="HL72" s="24">
        <v>0</v>
      </c>
      <c r="HM72" s="24">
        <v>0</v>
      </c>
      <c r="HN72" s="24">
        <v>0</v>
      </c>
      <c r="HO72" s="24">
        <v>5381238</v>
      </c>
      <c r="HP72" s="24">
        <v>923864</v>
      </c>
      <c r="HQ72" s="24">
        <v>0</v>
      </c>
      <c r="HR72" s="24">
        <v>0</v>
      </c>
      <c r="HS72" s="24">
        <v>0</v>
      </c>
      <c r="HT72" s="24">
        <v>0</v>
      </c>
      <c r="HU72" s="24">
        <v>0</v>
      </c>
      <c r="HV72" s="24">
        <v>0</v>
      </c>
      <c r="HW72" s="24">
        <v>0</v>
      </c>
      <c r="HX72" s="24">
        <v>0</v>
      </c>
      <c r="HY72" s="24">
        <v>0</v>
      </c>
      <c r="HZ72" s="24">
        <v>0</v>
      </c>
      <c r="IA72" s="24">
        <v>0</v>
      </c>
      <c r="IB72" s="24">
        <v>0</v>
      </c>
      <c r="IC72" s="24">
        <v>0</v>
      </c>
      <c r="ID72" s="24">
        <v>0</v>
      </c>
      <c r="IE72" s="24">
        <v>0</v>
      </c>
      <c r="IF72" s="24">
        <v>0</v>
      </c>
      <c r="IG72" s="24">
        <v>0</v>
      </c>
      <c r="IH72" s="24">
        <v>0</v>
      </c>
      <c r="II72" s="24">
        <v>0</v>
      </c>
      <c r="IJ72" s="24">
        <v>0</v>
      </c>
      <c r="IK72" s="24">
        <v>0</v>
      </c>
      <c r="IL72" s="24">
        <v>0</v>
      </c>
      <c r="IM72" s="24">
        <v>0</v>
      </c>
      <c r="IN72" s="24">
        <v>0</v>
      </c>
      <c r="IO72" s="24">
        <v>34000</v>
      </c>
      <c r="IP72" s="24">
        <v>0</v>
      </c>
      <c r="IQ72" s="24">
        <v>0</v>
      </c>
      <c r="IR72" s="24">
        <v>109121</v>
      </c>
      <c r="IS72" s="24">
        <v>0</v>
      </c>
      <c r="IT72" s="24">
        <v>0</v>
      </c>
      <c r="IU72" s="24">
        <v>0</v>
      </c>
      <c r="IV72" s="24">
        <v>0</v>
      </c>
      <c r="IW72" s="24">
        <v>614028</v>
      </c>
      <c r="IX72" s="24">
        <v>0</v>
      </c>
      <c r="IY72" s="24">
        <v>0</v>
      </c>
      <c r="IZ72" s="24">
        <v>0</v>
      </c>
      <c r="JA72" s="24">
        <v>0</v>
      </c>
      <c r="JB72" s="24">
        <v>182349</v>
      </c>
      <c r="JC72" s="24">
        <v>0</v>
      </c>
      <c r="JD72" s="24">
        <v>0</v>
      </c>
      <c r="JE72" s="24">
        <v>1180075</v>
      </c>
      <c r="JF72" s="24">
        <v>0</v>
      </c>
      <c r="JG72" s="24">
        <v>0</v>
      </c>
      <c r="JH72" s="24">
        <v>0</v>
      </c>
      <c r="JI72" s="24">
        <v>0</v>
      </c>
      <c r="JJ72" s="24">
        <v>0</v>
      </c>
      <c r="JK72" s="24">
        <v>0</v>
      </c>
      <c r="JL72" s="24">
        <v>0</v>
      </c>
      <c r="JM72" s="24">
        <v>1000</v>
      </c>
      <c r="JN72" s="24">
        <v>0</v>
      </c>
      <c r="JO72" s="24">
        <v>0</v>
      </c>
      <c r="JP72" s="24">
        <v>0</v>
      </c>
      <c r="JQ72" s="24">
        <v>0</v>
      </c>
      <c r="JR72" s="24">
        <v>0</v>
      </c>
      <c r="JS72" s="24">
        <v>0</v>
      </c>
      <c r="JT72" s="24">
        <v>0</v>
      </c>
      <c r="JU72" s="24">
        <v>0</v>
      </c>
      <c r="JV72" s="24">
        <v>0</v>
      </c>
      <c r="JW72" s="24">
        <v>0</v>
      </c>
      <c r="JX72" s="24">
        <v>0</v>
      </c>
      <c r="JY72" s="24">
        <v>0</v>
      </c>
      <c r="JZ72" s="24">
        <v>0</v>
      </c>
      <c r="KA72" s="24">
        <v>66293</v>
      </c>
      <c r="KB72" s="24">
        <v>0</v>
      </c>
      <c r="KC72" s="24">
        <v>0</v>
      </c>
      <c r="KD72" s="24">
        <v>0</v>
      </c>
      <c r="KE72" s="24">
        <v>0</v>
      </c>
      <c r="KF72" s="24">
        <v>0</v>
      </c>
      <c r="KG72" s="24">
        <v>65162</v>
      </c>
      <c r="KH72" s="24">
        <v>0</v>
      </c>
      <c r="KI72" s="24">
        <v>0</v>
      </c>
      <c r="KJ72" s="24">
        <v>0</v>
      </c>
      <c r="KK72" s="24">
        <v>0</v>
      </c>
      <c r="KL72" s="24">
        <v>0</v>
      </c>
      <c r="KM72" s="24">
        <v>0</v>
      </c>
      <c r="KN72" s="24">
        <v>0</v>
      </c>
      <c r="KO72" s="24">
        <v>0</v>
      </c>
      <c r="KP72" s="24">
        <v>0</v>
      </c>
      <c r="KQ72" s="24">
        <v>0</v>
      </c>
      <c r="KR72" s="24">
        <v>0</v>
      </c>
      <c r="KS72" s="24">
        <v>0</v>
      </c>
      <c r="KT72" s="24">
        <v>0</v>
      </c>
      <c r="KU72" s="24">
        <v>0</v>
      </c>
      <c r="KV72" s="24">
        <v>0</v>
      </c>
      <c r="KW72" s="24">
        <v>0</v>
      </c>
      <c r="KX72" s="24">
        <v>0</v>
      </c>
      <c r="KY72" s="24">
        <v>0</v>
      </c>
      <c r="KZ72" s="24">
        <v>0</v>
      </c>
      <c r="LA72" s="24">
        <v>0</v>
      </c>
      <c r="LB72" s="24">
        <v>0</v>
      </c>
      <c r="LC72" s="24">
        <v>0</v>
      </c>
      <c r="LD72" s="24">
        <v>0</v>
      </c>
      <c r="LE72" s="24">
        <v>0</v>
      </c>
      <c r="LF72" s="24">
        <v>0</v>
      </c>
      <c r="LG72" s="24">
        <v>0</v>
      </c>
      <c r="LH72" s="24">
        <v>0</v>
      </c>
      <c r="LI72" s="24">
        <v>0</v>
      </c>
      <c r="LJ72" s="24">
        <v>0</v>
      </c>
      <c r="LK72" s="24">
        <v>0</v>
      </c>
      <c r="LL72" s="24">
        <v>0</v>
      </c>
      <c r="LM72" s="24">
        <v>0</v>
      </c>
      <c r="LN72" s="24">
        <v>0</v>
      </c>
      <c r="LO72" s="24">
        <v>0</v>
      </c>
      <c r="LP72" s="24">
        <v>0</v>
      </c>
      <c r="LQ72" s="24">
        <v>1444444</v>
      </c>
      <c r="LR72" s="24">
        <v>22599</v>
      </c>
      <c r="LS72" s="24">
        <v>0</v>
      </c>
      <c r="LT72" s="24">
        <v>75876</v>
      </c>
      <c r="LU72" s="24">
        <v>0</v>
      </c>
      <c r="LV72" s="24">
        <v>0</v>
      </c>
      <c r="LW72" s="24">
        <v>0</v>
      </c>
      <c r="LX72" s="24">
        <v>0</v>
      </c>
      <c r="LY72" s="24">
        <v>0</v>
      </c>
      <c r="LZ72" s="24">
        <v>0</v>
      </c>
      <c r="MA72" s="24">
        <v>7447</v>
      </c>
      <c r="MB72" s="24">
        <v>0</v>
      </c>
      <c r="MC72" s="24">
        <v>0</v>
      </c>
      <c r="MD72" s="24">
        <v>0</v>
      </c>
      <c r="ME72" s="24">
        <v>0</v>
      </c>
      <c r="MF72" s="24">
        <v>0</v>
      </c>
      <c r="MG72" s="24">
        <v>0</v>
      </c>
      <c r="MH72" s="24">
        <v>0</v>
      </c>
      <c r="MI72" s="24">
        <v>0</v>
      </c>
      <c r="MJ72" s="24">
        <v>0</v>
      </c>
      <c r="MK72" s="24">
        <v>0</v>
      </c>
      <c r="ML72" s="24">
        <v>0</v>
      </c>
      <c r="MM72" s="24">
        <v>0</v>
      </c>
      <c r="MN72" s="24">
        <v>0</v>
      </c>
      <c r="MO72" s="24">
        <v>108018</v>
      </c>
      <c r="MP72" s="24">
        <v>0</v>
      </c>
      <c r="MQ72" s="24">
        <v>0</v>
      </c>
      <c r="MR72" s="24">
        <v>2443170</v>
      </c>
      <c r="MS72" s="24">
        <v>0</v>
      </c>
      <c r="MT72" s="24">
        <v>0</v>
      </c>
      <c r="MU72" s="24">
        <v>0</v>
      </c>
      <c r="MV72" s="24">
        <v>0</v>
      </c>
      <c r="MW72" s="24">
        <v>1780029</v>
      </c>
      <c r="MX72" s="24">
        <v>45188</v>
      </c>
      <c r="MY72" s="24">
        <v>0</v>
      </c>
      <c r="MZ72" s="24">
        <v>0</v>
      </c>
      <c r="NA72" s="24">
        <v>0</v>
      </c>
      <c r="NB72" s="24">
        <v>0</v>
      </c>
      <c r="NC72" s="24">
        <v>0</v>
      </c>
      <c r="ND72" s="24">
        <v>0</v>
      </c>
      <c r="NE72" s="24">
        <v>0</v>
      </c>
      <c r="NF72" s="24">
        <v>0</v>
      </c>
      <c r="NG72" s="24">
        <v>0</v>
      </c>
      <c r="NH72" s="24">
        <v>0</v>
      </c>
      <c r="NI72" s="24">
        <v>0</v>
      </c>
      <c r="NJ72" s="24">
        <v>0</v>
      </c>
      <c r="NK72" s="24">
        <v>0</v>
      </c>
      <c r="NL72" s="24">
        <v>1186765</v>
      </c>
      <c r="NM72" s="24">
        <v>0</v>
      </c>
      <c r="NN72" s="24">
        <v>0</v>
      </c>
      <c r="NO72" s="24">
        <v>0</v>
      </c>
      <c r="NP72" s="24">
        <v>0</v>
      </c>
      <c r="NQ72" s="24">
        <v>0</v>
      </c>
      <c r="NR72" s="24">
        <v>0</v>
      </c>
      <c r="NS72" s="24">
        <v>0</v>
      </c>
      <c r="NT72" s="24">
        <v>4465</v>
      </c>
      <c r="NU72" s="24">
        <v>0</v>
      </c>
      <c r="NV72" s="24">
        <v>380985</v>
      </c>
      <c r="NW72" s="24">
        <v>0</v>
      </c>
      <c r="NX72" s="24">
        <v>0</v>
      </c>
      <c r="NY72" s="24">
        <v>0</v>
      </c>
      <c r="NZ72" s="24">
        <v>0</v>
      </c>
      <c r="OA72" s="24">
        <v>0</v>
      </c>
      <c r="OB72" s="24">
        <v>0</v>
      </c>
      <c r="OC72" s="24">
        <v>0</v>
      </c>
      <c r="OD72" s="24">
        <v>0</v>
      </c>
      <c r="OE72" s="24">
        <v>0</v>
      </c>
      <c r="OF72" s="24">
        <v>0</v>
      </c>
      <c r="OG72" s="24">
        <v>0</v>
      </c>
      <c r="OH72" s="24">
        <v>0</v>
      </c>
      <c r="OI72" s="24">
        <v>0</v>
      </c>
      <c r="OJ72" s="24">
        <v>332315</v>
      </c>
      <c r="OK72" s="24">
        <v>174101</v>
      </c>
      <c r="OL72" s="24">
        <v>0</v>
      </c>
      <c r="OM72" s="24">
        <v>0</v>
      </c>
      <c r="ON72" s="24">
        <v>0</v>
      </c>
      <c r="OO72" s="24">
        <v>0</v>
      </c>
      <c r="OP72" s="24">
        <v>0</v>
      </c>
      <c r="OQ72" s="24">
        <v>0</v>
      </c>
      <c r="OR72" s="24">
        <v>0</v>
      </c>
      <c r="OS72" s="24">
        <v>0</v>
      </c>
      <c r="OT72" s="24">
        <v>0</v>
      </c>
      <c r="OU72" s="24">
        <v>0</v>
      </c>
      <c r="OV72" s="24">
        <v>0</v>
      </c>
      <c r="OW72" s="24">
        <v>0</v>
      </c>
      <c r="OX72" s="24">
        <v>0</v>
      </c>
      <c r="OY72" s="24">
        <v>0</v>
      </c>
      <c r="OZ72" s="24">
        <v>0</v>
      </c>
      <c r="PA72" s="24">
        <v>0</v>
      </c>
      <c r="PB72" s="24">
        <v>0</v>
      </c>
      <c r="PC72" s="24">
        <v>23</v>
      </c>
      <c r="PD72" s="24">
        <v>524252</v>
      </c>
      <c r="PE72" s="24">
        <v>0</v>
      </c>
      <c r="PF72" s="24">
        <v>0</v>
      </c>
      <c r="PG72" s="24">
        <v>0</v>
      </c>
      <c r="PH72" s="24">
        <v>176590</v>
      </c>
      <c r="PI72" s="24">
        <v>0</v>
      </c>
      <c r="PJ72" s="24">
        <v>0</v>
      </c>
      <c r="PK72" s="24">
        <v>0</v>
      </c>
      <c r="PL72" s="24">
        <v>0</v>
      </c>
      <c r="PM72" s="24">
        <v>0</v>
      </c>
      <c r="PN72" s="24">
        <v>155</v>
      </c>
      <c r="PO72" s="24">
        <v>0</v>
      </c>
      <c r="PP72" s="24">
        <v>15066</v>
      </c>
      <c r="PQ72" s="24">
        <v>0</v>
      </c>
      <c r="PR72" s="24">
        <v>0</v>
      </c>
      <c r="PS72" s="24">
        <v>0</v>
      </c>
      <c r="PT72" s="24">
        <v>0</v>
      </c>
      <c r="PU72" s="24">
        <v>0</v>
      </c>
      <c r="PV72" s="24">
        <v>0</v>
      </c>
      <c r="PW72" s="24">
        <v>0</v>
      </c>
      <c r="PX72" s="24">
        <v>0</v>
      </c>
      <c r="PY72" s="24">
        <v>0</v>
      </c>
      <c r="PZ72" s="24">
        <v>0</v>
      </c>
      <c r="QA72" s="24">
        <v>0</v>
      </c>
      <c r="QB72" s="24">
        <v>0</v>
      </c>
      <c r="QC72" s="24">
        <v>210</v>
      </c>
      <c r="QD72" s="24">
        <v>0</v>
      </c>
      <c r="QE72" s="24">
        <v>991</v>
      </c>
      <c r="QF72" s="24">
        <v>0</v>
      </c>
      <c r="QG72" s="24">
        <v>0</v>
      </c>
      <c r="QH72" s="24">
        <v>0</v>
      </c>
      <c r="QI72" s="24">
        <v>450</v>
      </c>
      <c r="QJ72" s="24">
        <v>0</v>
      </c>
      <c r="QK72" s="24">
        <v>0</v>
      </c>
      <c r="QL72" s="24">
        <v>0</v>
      </c>
      <c r="QM72" s="24">
        <v>0</v>
      </c>
      <c r="QN72" s="24">
        <v>0</v>
      </c>
      <c r="QO72" s="24">
        <v>0</v>
      </c>
      <c r="QP72" s="24">
        <v>0</v>
      </c>
      <c r="QQ72" s="24">
        <v>0</v>
      </c>
      <c r="QR72" s="24">
        <v>564</v>
      </c>
      <c r="QS72" s="24">
        <v>106224</v>
      </c>
      <c r="QT72" s="24">
        <v>0</v>
      </c>
      <c r="QU72" s="24">
        <v>0</v>
      </c>
      <c r="QV72" s="24">
        <v>2178207</v>
      </c>
      <c r="QW72" s="24">
        <v>186829</v>
      </c>
      <c r="QX72" s="24">
        <v>166351</v>
      </c>
      <c r="QY72" s="24">
        <v>0</v>
      </c>
      <c r="QZ72" s="24">
        <v>32154</v>
      </c>
      <c r="RA72" s="24">
        <v>0</v>
      </c>
      <c r="RB72" s="24">
        <v>0</v>
      </c>
      <c r="RG72" s="39">
        <f t="shared" si="129"/>
        <v>40367208</v>
      </c>
      <c r="RH72" s="39">
        <f t="shared" si="128"/>
        <v>1683156</v>
      </c>
      <c r="RI72" s="39">
        <f t="shared" si="128"/>
        <v>0</v>
      </c>
      <c r="RJ72" s="39">
        <f t="shared" si="128"/>
        <v>0</v>
      </c>
      <c r="RK72" s="39">
        <f t="shared" si="128"/>
        <v>0</v>
      </c>
      <c r="RL72" s="39">
        <f t="shared" si="128"/>
        <v>5381238</v>
      </c>
      <c r="RM72" s="39">
        <f t="shared" si="128"/>
        <v>923864</v>
      </c>
      <c r="RN72" s="39">
        <f t="shared" si="128"/>
        <v>34000</v>
      </c>
      <c r="RO72" s="39">
        <f t="shared" si="128"/>
        <v>109121</v>
      </c>
      <c r="RP72" s="39">
        <f t="shared" si="128"/>
        <v>614028</v>
      </c>
      <c r="RQ72" s="39">
        <f t="shared" si="128"/>
        <v>182349</v>
      </c>
      <c r="RR72" s="39">
        <f t="shared" si="128"/>
        <v>1247368</v>
      </c>
      <c r="RS72" s="39"/>
      <c r="RT72" s="182"/>
      <c r="RU72" s="39"/>
      <c r="RV72" s="39">
        <f t="shared" si="127"/>
        <v>8070564</v>
      </c>
      <c r="RW72" s="39">
        <f t="shared" si="127"/>
        <v>50542332</v>
      </c>
      <c r="RX72" s="39">
        <f t="shared" si="127"/>
        <v>23051937</v>
      </c>
      <c r="RY72" s="39">
        <f t="shared" si="127"/>
        <v>3388066</v>
      </c>
      <c r="RZ72" s="39"/>
      <c r="SA72" s="182"/>
      <c r="SB72" s="39"/>
      <c r="SC72" s="25">
        <f t="shared" si="50"/>
        <v>2340.5357904355774</v>
      </c>
      <c r="SD72" s="39">
        <f>IFERROR(VLOOKUP(A72, 'Levy Data 15-16'!$B:$O, 3, FALSE), 0)</f>
        <v>7479501163</v>
      </c>
      <c r="SE72" s="39">
        <f t="shared" si="88"/>
        <v>759417.3177987613</v>
      </c>
      <c r="SF72" s="631">
        <f>IFERROR(VLOOKUP(A72, 'Levy Data 15-16'!$B:$O, 14, FALSE), 0)*1000</f>
        <v>2.375734</v>
      </c>
      <c r="SG72" s="39">
        <f t="shared" si="89"/>
        <v>0</v>
      </c>
      <c r="SH72" s="39">
        <f t="shared" si="90"/>
        <v>0</v>
      </c>
      <c r="SI72" s="39">
        <f t="shared" si="91"/>
        <v>23051937</v>
      </c>
      <c r="SM72" s="39">
        <f t="shared" si="92"/>
        <v>50542332</v>
      </c>
      <c r="SN72" s="39">
        <f t="shared" si="93"/>
        <v>0</v>
      </c>
      <c r="SO72" s="39">
        <f t="shared" si="51"/>
        <v>50542332</v>
      </c>
      <c r="SP72" s="50">
        <f t="shared" si="130"/>
        <v>1</v>
      </c>
      <c r="ST72" s="124">
        <f>IFERROR(VLOOKUP(A72,'Grade Enroll 15-16'!B:AC,27,FALSE),"")</f>
        <v>9849</v>
      </c>
      <c r="SU72" s="124">
        <f t="shared" si="53"/>
        <v>4118.7917576678374</v>
      </c>
      <c r="SV72" s="131">
        <f>IFERROR(VLOOKUP($A72, 'Title I Enroll 16-17'!S:V, 4, FALSE), 0)</f>
        <v>0.41819390371284776</v>
      </c>
      <c r="SW72" s="729">
        <f>IFERROR(VLOOKUP(A72, 'ELL Enroll 15-16'!$N:$S, 6, FALSE), 0)</f>
        <v>66</v>
      </c>
      <c r="SX72" s="131">
        <f t="shared" si="131"/>
        <v>6.7011879378617118E-3</v>
      </c>
      <c r="SY72" s="124">
        <f>IFERROR(VLOOKUP(A72, 'SPED enroll 2015-16'!$M:$O, 3, FALSE), 0)</f>
        <v>911</v>
      </c>
      <c r="SZ72" s="131">
        <f t="shared" si="132"/>
        <v>9.2496700172606361E-2</v>
      </c>
      <c r="TA72" s="142">
        <f t="shared" si="133"/>
        <v>637.69999999999993</v>
      </c>
      <c r="TB72" s="142">
        <f t="shared" si="133"/>
        <v>182.20000000000002</v>
      </c>
      <c r="TC72" s="142">
        <f t="shared" si="133"/>
        <v>63.77</v>
      </c>
      <c r="TD72" s="142">
        <f t="shared" si="133"/>
        <v>27.33</v>
      </c>
      <c r="TE72" s="124">
        <f>VLOOKUP($A72, 'Grade Enroll 15-16'!$B:$AB, 20, FALSE)</f>
        <v>85</v>
      </c>
      <c r="TF72" s="124">
        <f>VLOOKUP($A72, 'Grade Enroll 15-16'!$B:$AB, 21, FALSE)</f>
        <v>777</v>
      </c>
      <c r="TG72" s="124">
        <f>VLOOKUP($A72, 'Grade Enroll 15-16'!$B:$AB, 22, FALSE)</f>
        <v>2608</v>
      </c>
      <c r="TH72" s="124">
        <f>VLOOKUP($A72, 'Grade Enroll 15-16'!$B:$AB, 23, FALSE)</f>
        <v>2452</v>
      </c>
      <c r="TI72" s="124">
        <f>VLOOKUP($A72, 'Grade Enroll 15-16'!$B:$AB, 24, FALSE)</f>
        <v>1541</v>
      </c>
      <c r="TJ72" s="124">
        <f>VLOOKUP($A72, 'Grade Enroll 15-16'!$B:$AB, 25, FALSE)</f>
        <v>3248</v>
      </c>
      <c r="TK72" s="124">
        <f>VLOOKUP($A72, 'Grade Enroll 15-16'!$B:$AB, 26, FALSE)</f>
        <v>6583</v>
      </c>
      <c r="TL72" s="131">
        <f>SUMIFS('Student Achievement 15-16'!N:N, 'Student Achievement 15-16'!B:B, 'Idaho Data'!A72, 'Student Achievement 15-16'!D:D, "math")/100</f>
        <v>0.20699999999999999</v>
      </c>
      <c r="TM72" s="134">
        <f t="shared" si="57"/>
        <v>2038.7429999999999</v>
      </c>
      <c r="TN72" s="131">
        <f>SUMIFS('Student Achievement 15-16'!N:N, 'Student Achievement 15-16'!B:B, 'Idaho Data'!A72, 'Student Achievement 15-16'!D:D, "ela")/100</f>
        <v>0.158</v>
      </c>
      <c r="TO72" s="134">
        <f t="shared" si="134"/>
        <v>1556.1420000000001</v>
      </c>
      <c r="TP72" s="688">
        <f>IFERROR(VLOOKUP(A72, 'G&amp;T 15-16'!B:G, 6, FALSE), 0)*1</f>
        <v>0</v>
      </c>
      <c r="TQ72" s="168">
        <f t="shared" si="135"/>
        <v>590.93999999999994</v>
      </c>
      <c r="TU72" s="168">
        <f t="shared" si="136"/>
        <v>1556.1420000000001</v>
      </c>
      <c r="TV72" s="168">
        <f t="shared" si="137"/>
        <v>2038.7429999999999</v>
      </c>
      <c r="TW72" s="205">
        <f t="shared" si="138"/>
        <v>2038.7429999999999</v>
      </c>
      <c r="TX72" s="144"/>
      <c r="TY72" s="129"/>
      <c r="TZ72" s="127">
        <f t="shared" si="139"/>
        <v>0</v>
      </c>
      <c r="UA72" s="127">
        <f t="shared" si="140"/>
        <v>590.93999999999994</v>
      </c>
      <c r="UB72" s="205">
        <f t="shared" si="141"/>
        <v>590.93999999999994</v>
      </c>
      <c r="UE72" s="853" t="str">
        <f>IF(ST72&lt;='1. Simulator Input'!$E$104, "yes", "")</f>
        <v/>
      </c>
      <c r="UI72" s="199">
        <f t="shared" si="66"/>
        <v>0</v>
      </c>
      <c r="UJ72" s="200">
        <f>IF('Idaho Data'!SI72&gt;=0, ((1-'1. Simulator Input'!$E$39)*'Idaho Data'!SI72), 0)</f>
        <v>0</v>
      </c>
      <c r="UK72" s="200">
        <f t="shared" si="142"/>
        <v>50542332</v>
      </c>
      <c r="UL72" s="39"/>
      <c r="UM72" s="182"/>
      <c r="UN72" s="39"/>
      <c r="UO72" s="39" t="str">
        <f>IF(AND('1. Simulator Input'!$E$96="yes", '1. Simulator Input'!$E$98="yes", '1. Simulator Input'!$E$100="hold harmless"), 'Idaho Data'!WN72, IF(AND('1. Simulator Input'!$E$96="yes", '1. Simulator Input'!$E$98="no", '1. Simulator Input'!$E$100="hold harmless"), 'Idaho Data'!WM72, IF(AND('1. Simulator Input'!$E$96="yes", '1. Simulator Input'!$E$98="yes", '1. Simulator Input'!$E$100="small district grant"), WL72,IF(AND('1. Simulator Input'!$E$96="yes", '1. Simulator Input'!$E$98="no", '1. Simulator Input'!$E$100="small district grant"), WK72, ""))))</f>
        <v/>
      </c>
      <c r="UP72" s="200">
        <f>'1. Simulator Input'!$D$56*('Idaho Data'!ST72)</f>
        <v>54425574</v>
      </c>
      <c r="UQ72" s="204">
        <f>'1. Simulator Input'!$D$65*'1. Simulator Input'!$D$56*'Idaho Data'!SU72</f>
        <v>0</v>
      </c>
      <c r="UR72" s="204">
        <f>'1. Simulator Input'!$D$66*'1. Simulator Input'!$D$56*'Idaho Data'!SW72</f>
        <v>0</v>
      </c>
      <c r="US72" s="200">
        <f>'1. Simulator Input'!$D$67*'1. Simulator Input'!$D$56*'Idaho Data'!TA72</f>
        <v>0</v>
      </c>
      <c r="UT72" s="200">
        <f>'1. Simulator Input'!$D$68*'1. Simulator Input'!$D$56*'Idaho Data'!TB72</f>
        <v>0</v>
      </c>
      <c r="UU72" s="200">
        <f>'1. Simulator Input'!$D$69*'1. Simulator Input'!$D$56*'Idaho Data'!TC72</f>
        <v>0</v>
      </c>
      <c r="UV72" s="200">
        <f>'1. Simulator Input'!$D$70*'1. Simulator Input'!$D$56*TD72</f>
        <v>0</v>
      </c>
      <c r="UW72" s="200">
        <f>'1. Simulator Input'!$D$80*'1. Simulator Input'!$D$56*TW72</f>
        <v>0</v>
      </c>
      <c r="UX72" s="200">
        <f>'1. Simulator Input'!$D$79*'1. Simulator Input'!$D$56*UB72</f>
        <v>0</v>
      </c>
      <c r="UY72" s="200">
        <f>'1. Simulator Input'!$D$87*'1. Simulator Input'!$D$56*TF72</f>
        <v>2146851</v>
      </c>
      <c r="UZ72" s="200">
        <f>'1. Simulator Input'!$D$73*'1. Simulator Input'!$D$56*'Idaho Data'!TG72</f>
        <v>0</v>
      </c>
      <c r="VA72" s="200">
        <f>'1. Simulator Input'!$D$56*'1. Simulator Input'!$D$74*'Idaho Data'!TH72</f>
        <v>0</v>
      </c>
      <c r="VB72" s="200">
        <f>'1. Simulator Input'!$D$56*'1. Simulator Input'!$D$75*'Idaho Data'!TI67</f>
        <v>0</v>
      </c>
      <c r="VC72" s="200">
        <f>'1. Simulator Input'!$D$76*'1. Simulator Input'!$D$56*'Idaho Data'!TJ72</f>
        <v>0</v>
      </c>
      <c r="VD72" s="200">
        <f t="shared" si="68"/>
        <v>56572425</v>
      </c>
      <c r="VE72" s="200"/>
      <c r="VF72" s="182"/>
      <c r="VG72" s="200"/>
      <c r="VH72" s="200">
        <f t="shared" si="69"/>
        <v>0</v>
      </c>
      <c r="VI72" s="200">
        <f t="shared" si="70"/>
        <v>0</v>
      </c>
      <c r="VJ72" s="200">
        <f t="shared" si="94"/>
        <v>56572425</v>
      </c>
      <c r="VK72" s="200">
        <f t="shared" si="95"/>
        <v>56572425</v>
      </c>
      <c r="VL72" s="200"/>
      <c r="VM72" s="182"/>
      <c r="VN72" s="200"/>
      <c r="VO72" s="200">
        <f t="shared" si="71"/>
        <v>8070564</v>
      </c>
      <c r="VP72" s="200">
        <f t="shared" si="72"/>
        <v>50542332</v>
      </c>
      <c r="VQ72" s="200">
        <f t="shared" si="73"/>
        <v>23051937</v>
      </c>
      <c r="VR72" s="200">
        <f t="shared" si="74"/>
        <v>8070564</v>
      </c>
      <c r="VS72" s="200">
        <f t="shared" si="96"/>
        <v>56572425</v>
      </c>
      <c r="VT72" s="200">
        <f t="shared" si="97"/>
        <v>23051937</v>
      </c>
      <c r="VU72" s="200">
        <f t="shared" si="98"/>
        <v>0</v>
      </c>
      <c r="VV72" s="200"/>
      <c r="VW72" s="182"/>
      <c r="VX72" s="200"/>
      <c r="VZ72" s="199">
        <f t="shared" si="75"/>
        <v>6030093</v>
      </c>
      <c r="WA72" s="199">
        <f t="shared" si="76"/>
        <v>612.25434054218704</v>
      </c>
      <c r="WB72" s="131">
        <f t="shared" si="77"/>
        <v>0.11930777155276492</v>
      </c>
      <c r="WC72" s="131"/>
      <c r="WD72" s="461"/>
      <c r="WE72" s="893"/>
      <c r="WF72" s="893">
        <f t="shared" si="78"/>
        <v>8291.6877855619859</v>
      </c>
      <c r="WG72" s="893">
        <f t="shared" si="79"/>
        <v>8903.9421261041734</v>
      </c>
      <c r="WH72" s="893"/>
      <c r="WI72" s="893">
        <f t="shared" si="80"/>
        <v>50542332</v>
      </c>
      <c r="WJ72" s="893">
        <f t="shared" si="99"/>
        <v>56572425</v>
      </c>
      <c r="WK72" s="39" t="str">
        <f t="shared" si="100"/>
        <v/>
      </c>
      <c r="WL72" s="39" t="str">
        <f t="shared" si="101"/>
        <v/>
      </c>
      <c r="WM72" s="200" t="str">
        <f t="shared" si="102"/>
        <v/>
      </c>
      <c r="WN72" s="39" t="str">
        <f t="shared" si="103"/>
        <v/>
      </c>
      <c r="WO72" s="39"/>
      <c r="WP72" s="182"/>
      <c r="WQ72" s="39"/>
      <c r="WR72" s="305">
        <f t="shared" si="104"/>
        <v>0.70099999999999996</v>
      </c>
      <c r="WT72" s="200">
        <f t="shared" si="105"/>
        <v>5131.7222053000305</v>
      </c>
      <c r="WU72" s="131">
        <f t="shared" si="81"/>
        <v>0.03</v>
      </c>
      <c r="WW72" s="199">
        <f t="shared" si="106"/>
        <v>8070564</v>
      </c>
      <c r="WX72" s="199">
        <f t="shared" si="107"/>
        <v>56572425</v>
      </c>
      <c r="WY72" s="199">
        <f t="shared" si="108"/>
        <v>0</v>
      </c>
      <c r="WZ72" s="199">
        <f t="shared" si="82"/>
        <v>56572425</v>
      </c>
      <c r="XA72" s="199">
        <f t="shared" si="109"/>
        <v>0</v>
      </c>
      <c r="XB72" s="199">
        <f t="shared" si="110"/>
        <v>23051937</v>
      </c>
      <c r="XC72" s="199">
        <f t="shared" si="111"/>
        <v>23051937</v>
      </c>
      <c r="XD72" s="199" t="str">
        <f t="shared" si="112"/>
        <v/>
      </c>
      <c r="XE72" s="199"/>
      <c r="XF72" s="199"/>
      <c r="XG72" s="199"/>
      <c r="XH72" s="199"/>
      <c r="XI72" s="199"/>
      <c r="XJ72" s="199">
        <f t="shared" si="83"/>
        <v>56572425</v>
      </c>
      <c r="XP72" s="199">
        <f t="shared" si="113"/>
        <v>56572425</v>
      </c>
      <c r="XQ72" s="199">
        <f t="shared" si="114"/>
        <v>5743.9765458422171</v>
      </c>
      <c r="XR72" s="199">
        <f t="shared" si="115"/>
        <v>56572425</v>
      </c>
      <c r="XS72" s="199">
        <f t="shared" si="116"/>
        <v>56572425</v>
      </c>
      <c r="XT72" s="199">
        <f t="shared" si="117"/>
        <v>5743.9765458422171</v>
      </c>
      <c r="XU72" s="199">
        <f t="shared" si="118"/>
        <v>50542332</v>
      </c>
      <c r="XV72" s="199">
        <f t="shared" si="119"/>
        <v>5131.7222053000305</v>
      </c>
      <c r="XW72" s="199">
        <f t="shared" si="120"/>
        <v>50542332</v>
      </c>
      <c r="XX72" s="199">
        <f t="shared" si="121"/>
        <v>5131.7222053000305</v>
      </c>
      <c r="XY72" s="199">
        <f t="shared" si="84"/>
        <v>6030093</v>
      </c>
      <c r="XZ72" s="199">
        <f t="shared" si="85"/>
        <v>612.25434054218658</v>
      </c>
      <c r="YA72" s="131">
        <f t="shared" si="143"/>
        <v>0.11930777155276483</v>
      </c>
      <c r="YB72" s="199"/>
      <c r="YC72" s="221"/>
      <c r="YD72" s="199"/>
      <c r="YE72" s="199">
        <f t="shared" si="122"/>
        <v>8070564</v>
      </c>
      <c r="YF72" s="200">
        <f t="shared" si="123"/>
        <v>0</v>
      </c>
      <c r="YG72" s="199">
        <f t="shared" si="124"/>
        <v>23051937</v>
      </c>
      <c r="YH72" s="199">
        <f t="shared" si="125"/>
        <v>3388066</v>
      </c>
    </row>
    <row r="73" spans="1:658">
      <c r="A73" s="3">
        <v>272</v>
      </c>
      <c r="B73" s="2" t="s">
        <v>168</v>
      </c>
      <c r="C73" s="24">
        <v>0</v>
      </c>
      <c r="D73" s="24">
        <v>0</v>
      </c>
      <c r="E73" s="24">
        <v>0</v>
      </c>
      <c r="F73" s="24">
        <v>0</v>
      </c>
      <c r="G73" s="24">
        <v>4877915</v>
      </c>
      <c r="H73" s="24">
        <v>0</v>
      </c>
      <c r="I73" s="24">
        <v>202118</v>
      </c>
      <c r="J73" s="24">
        <v>49519</v>
      </c>
      <c r="K73" s="24">
        <v>0</v>
      </c>
      <c r="L73" s="24">
        <v>0</v>
      </c>
      <c r="M73" s="24">
        <v>0</v>
      </c>
      <c r="N73" s="24">
        <v>84534</v>
      </c>
      <c r="O73" s="24">
        <v>0</v>
      </c>
      <c r="P73" s="24">
        <v>0</v>
      </c>
      <c r="Q73" s="24">
        <v>0</v>
      </c>
      <c r="R73" s="24">
        <v>0</v>
      </c>
      <c r="S73" s="24">
        <v>0</v>
      </c>
      <c r="T73" s="24">
        <v>806713</v>
      </c>
      <c r="U73" s="24">
        <v>0</v>
      </c>
      <c r="V73" s="24">
        <v>0</v>
      </c>
      <c r="W73" s="24">
        <v>0</v>
      </c>
      <c r="X73" s="24">
        <v>1453745</v>
      </c>
      <c r="Y73" s="24">
        <v>54841</v>
      </c>
      <c r="Z73" s="24">
        <v>0</v>
      </c>
      <c r="AA73" s="24">
        <v>0</v>
      </c>
      <c r="AB73" s="24">
        <v>0</v>
      </c>
      <c r="AC73" s="24">
        <v>0</v>
      </c>
      <c r="AD73" s="24">
        <v>0</v>
      </c>
      <c r="AE73" s="24">
        <v>0</v>
      </c>
      <c r="AF73" s="24">
        <v>0</v>
      </c>
      <c r="AG73" s="24">
        <v>0</v>
      </c>
      <c r="AH73" s="24">
        <v>0</v>
      </c>
      <c r="AI73" s="24">
        <v>0</v>
      </c>
      <c r="AJ73" s="24">
        <v>0</v>
      </c>
      <c r="AK73" s="24">
        <v>0</v>
      </c>
      <c r="AL73" s="24">
        <v>4500</v>
      </c>
      <c r="AM73" s="24">
        <v>0</v>
      </c>
      <c r="AN73" s="24">
        <v>0</v>
      </c>
      <c r="AO73" s="24">
        <v>0</v>
      </c>
      <c r="AP73" s="24">
        <v>0</v>
      </c>
      <c r="AQ73" s="24">
        <v>0</v>
      </c>
      <c r="AR73" s="24">
        <v>0</v>
      </c>
      <c r="AS73" s="24">
        <v>0</v>
      </c>
      <c r="AT73" s="24">
        <v>0</v>
      </c>
      <c r="AU73" s="24">
        <v>0</v>
      </c>
      <c r="AV73" s="24">
        <v>0</v>
      </c>
      <c r="AW73" s="24">
        <v>0</v>
      </c>
      <c r="AX73" s="24">
        <v>0</v>
      </c>
      <c r="AY73" s="24">
        <v>0</v>
      </c>
      <c r="AZ73" s="24">
        <v>0</v>
      </c>
      <c r="BA73" s="24">
        <v>0</v>
      </c>
      <c r="BB73" s="24">
        <v>0</v>
      </c>
      <c r="BC73" s="24">
        <v>17</v>
      </c>
      <c r="BD73" s="24">
        <v>26</v>
      </c>
      <c r="BE73" s="24">
        <v>0</v>
      </c>
      <c r="BF73" s="24">
        <v>54</v>
      </c>
      <c r="BG73" s="24">
        <v>0</v>
      </c>
      <c r="BH73" s="24">
        <v>0</v>
      </c>
      <c r="BI73" s="24">
        <v>0</v>
      </c>
      <c r="BJ73" s="24">
        <v>0</v>
      </c>
      <c r="BK73" s="24">
        <v>0</v>
      </c>
      <c r="BL73" s="24">
        <v>0</v>
      </c>
      <c r="BM73" s="24">
        <v>0</v>
      </c>
      <c r="BN73" s="24">
        <v>0</v>
      </c>
      <c r="BO73" s="24">
        <v>0</v>
      </c>
      <c r="BP73" s="24">
        <v>0</v>
      </c>
      <c r="BQ73" s="24">
        <v>0</v>
      </c>
      <c r="BR73" s="24">
        <v>0</v>
      </c>
      <c r="BS73" s="24">
        <v>0</v>
      </c>
      <c r="BT73" s="24">
        <v>0</v>
      </c>
      <c r="BU73" s="24">
        <v>0</v>
      </c>
      <c r="BV73" s="24">
        <v>0</v>
      </c>
      <c r="BW73" s="24">
        <v>0</v>
      </c>
      <c r="BX73" s="24">
        <v>0</v>
      </c>
      <c r="BY73" s="24">
        <v>0</v>
      </c>
      <c r="BZ73" s="24">
        <v>0</v>
      </c>
      <c r="CA73" s="24">
        <v>0</v>
      </c>
      <c r="CB73" s="24">
        <v>0</v>
      </c>
      <c r="CC73" s="24">
        <v>0</v>
      </c>
      <c r="CD73" s="24">
        <v>256648</v>
      </c>
      <c r="CE73" s="24">
        <v>152717</v>
      </c>
      <c r="CF73" s="24">
        <v>0</v>
      </c>
      <c r="CG73" s="24">
        <v>0</v>
      </c>
      <c r="CH73" s="24">
        <v>0</v>
      </c>
      <c r="CI73" s="24">
        <v>0</v>
      </c>
      <c r="CJ73" s="24">
        <v>0</v>
      </c>
      <c r="CK73" s="24">
        <v>0</v>
      </c>
      <c r="CL73" s="24">
        <v>0</v>
      </c>
      <c r="CM73" s="24">
        <v>0</v>
      </c>
      <c r="CN73" s="24">
        <v>0</v>
      </c>
      <c r="CO73" s="24">
        <v>0</v>
      </c>
      <c r="CP73" s="24">
        <v>0</v>
      </c>
      <c r="CQ73" s="24">
        <v>0</v>
      </c>
      <c r="CR73" s="24">
        <v>0</v>
      </c>
      <c r="CS73" s="24">
        <v>0</v>
      </c>
      <c r="CT73" s="24">
        <v>0</v>
      </c>
      <c r="CU73" s="24">
        <v>0</v>
      </c>
      <c r="CV73" s="24">
        <v>0</v>
      </c>
      <c r="CW73" s="24">
        <v>0</v>
      </c>
      <c r="CX73" s="24">
        <v>0</v>
      </c>
      <c r="CY73" s="24">
        <v>0</v>
      </c>
      <c r="CZ73" s="24">
        <v>0</v>
      </c>
      <c r="DA73" s="24">
        <v>0</v>
      </c>
      <c r="DB73" s="24">
        <v>0</v>
      </c>
      <c r="DC73" s="24">
        <v>0</v>
      </c>
      <c r="DD73" s="24">
        <v>0</v>
      </c>
      <c r="DE73" s="24">
        <v>0</v>
      </c>
      <c r="DF73" s="24">
        <v>0</v>
      </c>
      <c r="DG73" s="24">
        <v>0</v>
      </c>
      <c r="DH73" s="24">
        <v>0</v>
      </c>
      <c r="DI73" s="24">
        <v>0</v>
      </c>
      <c r="DJ73" s="24">
        <v>0</v>
      </c>
      <c r="DK73" s="24">
        <v>0</v>
      </c>
      <c r="DL73" s="24">
        <v>0</v>
      </c>
      <c r="DM73" s="24">
        <v>0</v>
      </c>
      <c r="DN73" s="24">
        <v>448</v>
      </c>
      <c r="DO73" s="24">
        <v>0</v>
      </c>
      <c r="DP73" s="24">
        <v>0</v>
      </c>
      <c r="DQ73" s="24">
        <v>0</v>
      </c>
      <c r="DR73" s="24">
        <v>0</v>
      </c>
      <c r="DS73" s="24">
        <v>0</v>
      </c>
      <c r="DT73" s="24">
        <v>0</v>
      </c>
      <c r="DU73" s="24">
        <v>0</v>
      </c>
      <c r="DV73" s="24">
        <v>0</v>
      </c>
      <c r="DW73" s="24">
        <v>0</v>
      </c>
      <c r="DX73" s="24">
        <v>0</v>
      </c>
      <c r="DY73" s="24">
        <v>0</v>
      </c>
      <c r="DZ73" s="24">
        <v>0</v>
      </c>
      <c r="EA73" s="24">
        <v>0</v>
      </c>
      <c r="EB73" s="24">
        <v>0</v>
      </c>
      <c r="EC73" s="24">
        <v>0</v>
      </c>
      <c r="ED73" s="24">
        <v>0</v>
      </c>
      <c r="EE73" s="24">
        <v>0</v>
      </c>
      <c r="EF73" s="24">
        <v>0</v>
      </c>
      <c r="EG73" s="24">
        <v>0</v>
      </c>
      <c r="EH73" s="24">
        <v>0</v>
      </c>
      <c r="EI73" s="24">
        <v>0</v>
      </c>
      <c r="EJ73" s="24">
        <v>0</v>
      </c>
      <c r="EK73" s="24">
        <v>0</v>
      </c>
      <c r="EL73" s="24">
        <v>0</v>
      </c>
      <c r="EM73" s="24">
        <v>0</v>
      </c>
      <c r="EN73" s="24">
        <v>0</v>
      </c>
      <c r="EO73" s="24">
        <v>0</v>
      </c>
      <c r="EP73" s="24">
        <v>0</v>
      </c>
      <c r="EQ73" s="24">
        <v>0</v>
      </c>
      <c r="ER73" s="24">
        <v>0</v>
      </c>
      <c r="ES73" s="24">
        <v>0</v>
      </c>
      <c r="ET73" s="24">
        <v>0</v>
      </c>
      <c r="EU73" s="24">
        <v>0</v>
      </c>
      <c r="EV73" s="24">
        <v>0</v>
      </c>
      <c r="EW73" s="24">
        <v>0</v>
      </c>
      <c r="EX73" s="24">
        <v>0</v>
      </c>
      <c r="EY73" s="24">
        <v>0</v>
      </c>
      <c r="EZ73" s="24">
        <v>0</v>
      </c>
      <c r="FA73" s="24">
        <v>0</v>
      </c>
      <c r="FB73" s="24">
        <v>0</v>
      </c>
      <c r="FC73" s="24">
        <v>0</v>
      </c>
      <c r="FD73" s="24">
        <v>0</v>
      </c>
      <c r="FE73" s="24">
        <v>0</v>
      </c>
      <c r="FF73" s="24">
        <v>0</v>
      </c>
      <c r="FG73" s="24">
        <v>0</v>
      </c>
      <c r="FH73" s="24">
        <v>0</v>
      </c>
      <c r="FI73" s="24">
        <v>0</v>
      </c>
      <c r="FJ73" s="24">
        <v>0</v>
      </c>
      <c r="FK73" s="24">
        <v>0</v>
      </c>
      <c r="FL73" s="24">
        <v>0</v>
      </c>
      <c r="FM73" s="24">
        <v>0</v>
      </c>
      <c r="FN73" s="24">
        <v>0</v>
      </c>
      <c r="FO73" s="24">
        <v>0</v>
      </c>
      <c r="FP73" s="24">
        <v>0</v>
      </c>
      <c r="FQ73" s="24">
        <v>0</v>
      </c>
      <c r="FR73" s="24">
        <v>0</v>
      </c>
      <c r="FS73" s="24">
        <v>156361</v>
      </c>
      <c r="FT73" s="24">
        <v>0</v>
      </c>
      <c r="FU73" s="24">
        <v>0</v>
      </c>
      <c r="FV73" s="24">
        <v>0</v>
      </c>
      <c r="FW73" s="24">
        <v>259968</v>
      </c>
      <c r="FX73" s="24">
        <v>0</v>
      </c>
      <c r="FY73" s="24">
        <v>0</v>
      </c>
      <c r="FZ73" s="24">
        <v>0</v>
      </c>
      <c r="GA73" s="24">
        <v>0</v>
      </c>
      <c r="GB73" s="24">
        <v>0</v>
      </c>
      <c r="GC73" s="24">
        <v>0</v>
      </c>
      <c r="GD73" s="24">
        <v>0</v>
      </c>
      <c r="GE73" s="24">
        <v>0</v>
      </c>
      <c r="GF73" s="24">
        <v>0</v>
      </c>
      <c r="GG73" s="24">
        <v>0</v>
      </c>
      <c r="GH73" s="24">
        <v>0</v>
      </c>
      <c r="GI73" s="24">
        <v>16541</v>
      </c>
      <c r="GJ73" s="24">
        <v>0</v>
      </c>
      <c r="GK73" s="24">
        <v>0</v>
      </c>
      <c r="GL73" s="24">
        <v>0</v>
      </c>
      <c r="GM73" s="24">
        <v>0</v>
      </c>
      <c r="GN73" s="24">
        <v>0</v>
      </c>
      <c r="GO73" s="24">
        <v>0</v>
      </c>
      <c r="GP73" s="24">
        <v>0</v>
      </c>
      <c r="GQ73" s="24">
        <v>0</v>
      </c>
      <c r="GR73" s="24">
        <v>0</v>
      </c>
      <c r="GS73" s="24">
        <v>0</v>
      </c>
      <c r="GT73" s="24">
        <v>0</v>
      </c>
      <c r="GU73" s="24">
        <v>0</v>
      </c>
      <c r="GV73" s="24">
        <v>0</v>
      </c>
      <c r="GW73" s="24">
        <v>0</v>
      </c>
      <c r="GX73" s="24">
        <v>0</v>
      </c>
      <c r="GY73" s="24">
        <v>0</v>
      </c>
      <c r="GZ73" s="24">
        <v>0</v>
      </c>
      <c r="HA73" s="24">
        <v>0</v>
      </c>
      <c r="HB73" s="24">
        <v>0</v>
      </c>
      <c r="HC73" s="24">
        <v>0</v>
      </c>
      <c r="HD73" s="24">
        <v>16609206</v>
      </c>
      <c r="HE73" s="24">
        <v>0</v>
      </c>
      <c r="HF73" s="24">
        <v>0</v>
      </c>
      <c r="HG73" s="24">
        <v>0</v>
      </c>
      <c r="HH73" s="24">
        <v>0</v>
      </c>
      <c r="HI73" s="24">
        <v>1072990</v>
      </c>
      <c r="HJ73" s="24">
        <v>0</v>
      </c>
      <c r="HK73" s="24">
        <v>0</v>
      </c>
      <c r="HL73" s="24">
        <v>0</v>
      </c>
      <c r="HM73" s="24">
        <v>0</v>
      </c>
      <c r="HN73" s="24">
        <v>68059</v>
      </c>
      <c r="HO73" s="24">
        <v>2218953</v>
      </c>
      <c r="HP73" s="24">
        <v>669864</v>
      </c>
      <c r="HQ73" s="24">
        <v>0</v>
      </c>
      <c r="HR73" s="24">
        <v>0</v>
      </c>
      <c r="HS73" s="24">
        <v>0</v>
      </c>
      <c r="HT73" s="24">
        <v>0</v>
      </c>
      <c r="HU73" s="24">
        <v>0</v>
      </c>
      <c r="HV73" s="24">
        <v>0</v>
      </c>
      <c r="HW73" s="24">
        <v>0</v>
      </c>
      <c r="HX73" s="24">
        <v>0</v>
      </c>
      <c r="HY73" s="24">
        <v>0</v>
      </c>
      <c r="HZ73" s="24">
        <v>0</v>
      </c>
      <c r="IA73" s="24">
        <v>186523</v>
      </c>
      <c r="IB73" s="24">
        <v>55362</v>
      </c>
      <c r="IC73" s="24">
        <v>0</v>
      </c>
      <c r="ID73" s="24">
        <v>0</v>
      </c>
      <c r="IE73" s="24">
        <v>0</v>
      </c>
      <c r="IF73" s="24">
        <v>0</v>
      </c>
      <c r="IG73" s="24">
        <v>0</v>
      </c>
      <c r="IH73" s="24">
        <v>0</v>
      </c>
      <c r="II73" s="24">
        <v>0</v>
      </c>
      <c r="IJ73" s="24">
        <v>0</v>
      </c>
      <c r="IK73" s="24">
        <v>0</v>
      </c>
      <c r="IL73" s="24">
        <v>0</v>
      </c>
      <c r="IM73" s="24">
        <v>0</v>
      </c>
      <c r="IN73" s="24">
        <v>0</v>
      </c>
      <c r="IO73" s="24">
        <v>0</v>
      </c>
      <c r="IP73" s="24">
        <v>0</v>
      </c>
      <c r="IQ73" s="24">
        <v>0</v>
      </c>
      <c r="IR73" s="24">
        <v>75843</v>
      </c>
      <c r="IS73" s="24">
        <v>0</v>
      </c>
      <c r="IT73" s="24">
        <v>0</v>
      </c>
      <c r="IU73" s="24">
        <v>0</v>
      </c>
      <c r="IV73" s="24">
        <v>0</v>
      </c>
      <c r="IW73" s="24">
        <v>247629</v>
      </c>
      <c r="IX73" s="24">
        <v>0</v>
      </c>
      <c r="IY73" s="24">
        <v>0</v>
      </c>
      <c r="IZ73" s="24">
        <v>0</v>
      </c>
      <c r="JA73" s="24">
        <v>0</v>
      </c>
      <c r="JB73" s="24">
        <v>63977</v>
      </c>
      <c r="JC73" s="24">
        <v>0</v>
      </c>
      <c r="JD73" s="24">
        <v>0</v>
      </c>
      <c r="JE73" s="24">
        <v>57311</v>
      </c>
      <c r="JF73" s="24">
        <v>0</v>
      </c>
      <c r="JG73" s="24">
        <v>0</v>
      </c>
      <c r="JH73" s="24">
        <v>0</v>
      </c>
      <c r="JI73" s="24">
        <v>0</v>
      </c>
      <c r="JJ73" s="24">
        <v>0</v>
      </c>
      <c r="JK73" s="24">
        <v>0</v>
      </c>
      <c r="JL73" s="24">
        <v>0</v>
      </c>
      <c r="JM73" s="24">
        <v>0</v>
      </c>
      <c r="JN73" s="24">
        <v>0</v>
      </c>
      <c r="JO73" s="24">
        <v>0</v>
      </c>
      <c r="JP73" s="24">
        <v>0</v>
      </c>
      <c r="JQ73" s="24">
        <v>0</v>
      </c>
      <c r="JR73" s="24">
        <v>0</v>
      </c>
      <c r="JS73" s="24">
        <v>0</v>
      </c>
      <c r="JT73" s="24">
        <v>0</v>
      </c>
      <c r="JU73" s="24">
        <v>0</v>
      </c>
      <c r="JV73" s="24">
        <v>3262</v>
      </c>
      <c r="JW73" s="24">
        <v>0</v>
      </c>
      <c r="JX73" s="24">
        <v>0</v>
      </c>
      <c r="JY73" s="24">
        <v>0</v>
      </c>
      <c r="JZ73" s="24">
        <v>100</v>
      </c>
      <c r="KA73" s="24">
        <v>39418</v>
      </c>
      <c r="KB73" s="24">
        <v>0</v>
      </c>
      <c r="KC73" s="24">
        <v>0</v>
      </c>
      <c r="KD73" s="24">
        <v>0</v>
      </c>
      <c r="KE73" s="24">
        <v>0</v>
      </c>
      <c r="KF73" s="24">
        <v>231087</v>
      </c>
      <c r="KG73" s="24">
        <v>30647</v>
      </c>
      <c r="KH73" s="24">
        <v>0</v>
      </c>
      <c r="KI73" s="24">
        <v>0</v>
      </c>
      <c r="KJ73" s="24">
        <v>0</v>
      </c>
      <c r="KK73" s="24">
        <v>0</v>
      </c>
      <c r="KL73" s="24">
        <v>0</v>
      </c>
      <c r="KM73" s="24">
        <v>0</v>
      </c>
      <c r="KN73" s="24">
        <v>0</v>
      </c>
      <c r="KO73" s="24">
        <v>0</v>
      </c>
      <c r="KP73" s="24">
        <v>0</v>
      </c>
      <c r="KQ73" s="24">
        <v>0</v>
      </c>
      <c r="KR73" s="24">
        <v>0</v>
      </c>
      <c r="KS73" s="24">
        <v>0</v>
      </c>
      <c r="KT73" s="24">
        <v>0</v>
      </c>
      <c r="KU73" s="24">
        <v>0</v>
      </c>
      <c r="KV73" s="24">
        <v>0</v>
      </c>
      <c r="KW73" s="24">
        <v>0</v>
      </c>
      <c r="KX73" s="24">
        <v>0</v>
      </c>
      <c r="KY73" s="24">
        <v>0</v>
      </c>
      <c r="KZ73" s="24">
        <v>0</v>
      </c>
      <c r="LA73" s="24">
        <v>0</v>
      </c>
      <c r="LB73" s="24">
        <v>0</v>
      </c>
      <c r="LC73" s="24">
        <v>0</v>
      </c>
      <c r="LD73" s="24">
        <v>0</v>
      </c>
      <c r="LE73" s="24">
        <v>0</v>
      </c>
      <c r="LF73" s="24">
        <v>0</v>
      </c>
      <c r="LG73" s="24">
        <v>0</v>
      </c>
      <c r="LH73" s="24">
        <v>0</v>
      </c>
      <c r="LI73" s="24">
        <v>0</v>
      </c>
      <c r="LJ73" s="24">
        <v>0</v>
      </c>
      <c r="LK73" s="24">
        <v>0</v>
      </c>
      <c r="LL73" s="24">
        <v>0</v>
      </c>
      <c r="LM73" s="24">
        <v>0</v>
      </c>
      <c r="LN73" s="24">
        <v>0</v>
      </c>
      <c r="LO73" s="24">
        <v>0</v>
      </c>
      <c r="LP73" s="24">
        <v>0</v>
      </c>
      <c r="LQ73" s="24">
        <v>634969</v>
      </c>
      <c r="LR73" s="24">
        <v>0</v>
      </c>
      <c r="LS73" s="24">
        <v>0</v>
      </c>
      <c r="LT73" s="24">
        <v>0</v>
      </c>
      <c r="LU73" s="24">
        <v>0</v>
      </c>
      <c r="LV73" s="24">
        <v>0</v>
      </c>
      <c r="LW73" s="24">
        <v>0</v>
      </c>
      <c r="LX73" s="24">
        <v>0</v>
      </c>
      <c r="LY73" s="24">
        <v>0</v>
      </c>
      <c r="LZ73" s="24">
        <v>0</v>
      </c>
      <c r="MA73" s="24">
        <v>0</v>
      </c>
      <c r="MB73" s="24">
        <v>0</v>
      </c>
      <c r="MC73" s="24">
        <v>0</v>
      </c>
      <c r="MD73" s="24">
        <v>0</v>
      </c>
      <c r="ME73" s="24">
        <v>0</v>
      </c>
      <c r="MF73" s="24">
        <v>0</v>
      </c>
      <c r="MG73" s="24">
        <v>0</v>
      </c>
      <c r="MH73" s="24">
        <v>0</v>
      </c>
      <c r="MI73" s="24">
        <v>0</v>
      </c>
      <c r="MJ73" s="24">
        <v>0</v>
      </c>
      <c r="MK73" s="24">
        <v>0</v>
      </c>
      <c r="ML73" s="24">
        <v>0</v>
      </c>
      <c r="MM73" s="24">
        <v>0</v>
      </c>
      <c r="MN73" s="24">
        <v>0</v>
      </c>
      <c r="MO73" s="24">
        <v>48218</v>
      </c>
      <c r="MP73" s="24">
        <v>0</v>
      </c>
      <c r="MQ73" s="24">
        <v>0</v>
      </c>
      <c r="MR73" s="24">
        <v>922751</v>
      </c>
      <c r="MS73" s="24">
        <v>0</v>
      </c>
      <c r="MT73" s="24">
        <v>0</v>
      </c>
      <c r="MU73" s="24">
        <v>0</v>
      </c>
      <c r="MV73" s="24">
        <v>0</v>
      </c>
      <c r="MW73" s="24">
        <v>719394</v>
      </c>
      <c r="MX73" s="24">
        <v>18904</v>
      </c>
      <c r="MY73" s="24">
        <v>0</v>
      </c>
      <c r="MZ73" s="24">
        <v>0</v>
      </c>
      <c r="NA73" s="24">
        <v>0</v>
      </c>
      <c r="NB73" s="24">
        <v>0</v>
      </c>
      <c r="NC73" s="24">
        <v>0</v>
      </c>
      <c r="ND73" s="24">
        <v>0</v>
      </c>
      <c r="NE73" s="24">
        <v>0</v>
      </c>
      <c r="NF73" s="24">
        <v>0</v>
      </c>
      <c r="NG73" s="24">
        <v>0</v>
      </c>
      <c r="NH73" s="24">
        <v>0</v>
      </c>
      <c r="NI73" s="24">
        <v>0</v>
      </c>
      <c r="NJ73" s="24">
        <v>0</v>
      </c>
      <c r="NK73" s="24">
        <v>0</v>
      </c>
      <c r="NL73" s="24">
        <v>0</v>
      </c>
      <c r="NM73" s="24">
        <v>0</v>
      </c>
      <c r="NN73" s="24">
        <v>0</v>
      </c>
      <c r="NO73" s="24">
        <v>0</v>
      </c>
      <c r="NP73" s="24">
        <v>0</v>
      </c>
      <c r="NQ73" s="24">
        <v>0</v>
      </c>
      <c r="NR73" s="24">
        <v>0</v>
      </c>
      <c r="NS73" s="24">
        <v>0</v>
      </c>
      <c r="NT73" s="24">
        <v>0</v>
      </c>
      <c r="NU73" s="24">
        <v>0</v>
      </c>
      <c r="NV73" s="24">
        <v>150502</v>
      </c>
      <c r="NW73" s="24">
        <v>0</v>
      </c>
      <c r="NX73" s="24">
        <v>0</v>
      </c>
      <c r="NY73" s="24">
        <v>0</v>
      </c>
      <c r="NZ73" s="24">
        <v>0</v>
      </c>
      <c r="OA73" s="24">
        <v>0</v>
      </c>
      <c r="OB73" s="24">
        <v>0</v>
      </c>
      <c r="OC73" s="24">
        <v>0</v>
      </c>
      <c r="OD73" s="24">
        <v>0</v>
      </c>
      <c r="OE73" s="24">
        <v>0</v>
      </c>
      <c r="OF73" s="24">
        <v>0</v>
      </c>
      <c r="OG73" s="24">
        <v>0</v>
      </c>
      <c r="OH73" s="24">
        <v>0</v>
      </c>
      <c r="OI73" s="24">
        <v>0</v>
      </c>
      <c r="OJ73" s="24">
        <v>0</v>
      </c>
      <c r="OK73" s="24">
        <v>93721</v>
      </c>
      <c r="OL73" s="24">
        <v>0</v>
      </c>
      <c r="OM73" s="24">
        <v>0</v>
      </c>
      <c r="ON73" s="24">
        <v>0</v>
      </c>
      <c r="OO73" s="24">
        <v>0</v>
      </c>
      <c r="OP73" s="24">
        <v>0</v>
      </c>
      <c r="OQ73" s="24">
        <v>0</v>
      </c>
      <c r="OR73" s="24">
        <v>400000</v>
      </c>
      <c r="OS73" s="24">
        <v>0</v>
      </c>
      <c r="OT73" s="24">
        <v>0</v>
      </c>
      <c r="OU73" s="24">
        <v>0</v>
      </c>
      <c r="OV73" s="24">
        <v>0</v>
      </c>
      <c r="OW73" s="24">
        <v>0</v>
      </c>
      <c r="OX73" s="24">
        <v>4665</v>
      </c>
      <c r="OY73" s="24">
        <v>0</v>
      </c>
      <c r="OZ73" s="24">
        <v>0</v>
      </c>
      <c r="PA73" s="24">
        <v>0</v>
      </c>
      <c r="PB73" s="24">
        <v>0</v>
      </c>
      <c r="PC73" s="24">
        <v>0</v>
      </c>
      <c r="PD73" s="24">
        <v>0</v>
      </c>
      <c r="PE73" s="24">
        <v>0</v>
      </c>
      <c r="PF73" s="24">
        <v>0</v>
      </c>
      <c r="PG73" s="24">
        <v>0</v>
      </c>
      <c r="PH73" s="24">
        <v>10</v>
      </c>
      <c r="PI73" s="24">
        <v>0</v>
      </c>
      <c r="PJ73" s="24">
        <v>0</v>
      </c>
      <c r="PK73" s="24">
        <v>0</v>
      </c>
      <c r="PL73" s="24">
        <v>0</v>
      </c>
      <c r="PM73" s="24">
        <v>0</v>
      </c>
      <c r="PN73" s="24">
        <v>0</v>
      </c>
      <c r="PO73" s="24">
        <v>0</v>
      </c>
      <c r="PP73" s="24">
        <v>0</v>
      </c>
      <c r="PQ73" s="24">
        <v>0</v>
      </c>
      <c r="PR73" s="24">
        <v>0</v>
      </c>
      <c r="PS73" s="24">
        <v>0</v>
      </c>
      <c r="PT73" s="24">
        <v>0</v>
      </c>
      <c r="PU73" s="24">
        <v>0</v>
      </c>
      <c r="PV73" s="24">
        <v>0</v>
      </c>
      <c r="PW73" s="24">
        <v>0</v>
      </c>
      <c r="PX73" s="24">
        <v>0</v>
      </c>
      <c r="PY73" s="24">
        <v>0</v>
      </c>
      <c r="PZ73" s="24">
        <v>0</v>
      </c>
      <c r="QA73" s="24">
        <v>166722</v>
      </c>
      <c r="QB73" s="24">
        <v>0</v>
      </c>
      <c r="QC73" s="24">
        <v>0</v>
      </c>
      <c r="QD73" s="24">
        <v>0</v>
      </c>
      <c r="QE73" s="24">
        <v>0</v>
      </c>
      <c r="QF73" s="24">
        <v>0</v>
      </c>
      <c r="QG73" s="24">
        <v>0</v>
      </c>
      <c r="QH73" s="24">
        <v>0</v>
      </c>
      <c r="QI73" s="24">
        <v>0</v>
      </c>
      <c r="QJ73" s="24">
        <v>0</v>
      </c>
      <c r="QK73" s="24">
        <v>0</v>
      </c>
      <c r="QL73" s="24">
        <v>0</v>
      </c>
      <c r="QM73" s="24">
        <v>0</v>
      </c>
      <c r="QN73" s="24">
        <v>0</v>
      </c>
      <c r="QO73" s="24">
        <v>0</v>
      </c>
      <c r="QP73" s="24">
        <v>0</v>
      </c>
      <c r="QQ73" s="24">
        <v>0</v>
      </c>
      <c r="QR73" s="24">
        <v>0</v>
      </c>
      <c r="QS73" s="24">
        <v>0</v>
      </c>
      <c r="QT73" s="24">
        <v>0</v>
      </c>
      <c r="QU73" s="24">
        <v>0</v>
      </c>
      <c r="QV73" s="24">
        <v>103532</v>
      </c>
      <c r="QW73" s="24">
        <v>0</v>
      </c>
      <c r="QX73" s="24">
        <v>0</v>
      </c>
      <c r="QY73" s="24">
        <v>0</v>
      </c>
      <c r="QZ73" s="24">
        <v>0</v>
      </c>
      <c r="RA73" s="24">
        <v>0</v>
      </c>
      <c r="RB73" s="24">
        <v>0</v>
      </c>
      <c r="RG73" s="39">
        <f t="shared" si="129"/>
        <v>16609206</v>
      </c>
      <c r="RH73" s="39">
        <f t="shared" si="128"/>
        <v>1072990</v>
      </c>
      <c r="RI73" s="39">
        <f t="shared" si="128"/>
        <v>0</v>
      </c>
      <c r="RJ73" s="39">
        <f t="shared" si="128"/>
        <v>0</v>
      </c>
      <c r="RK73" s="39">
        <f t="shared" si="128"/>
        <v>68059</v>
      </c>
      <c r="RL73" s="39">
        <f t="shared" si="128"/>
        <v>2218953</v>
      </c>
      <c r="RM73" s="39">
        <f t="shared" si="128"/>
        <v>911749</v>
      </c>
      <c r="RN73" s="39">
        <f t="shared" si="128"/>
        <v>0</v>
      </c>
      <c r="RO73" s="39">
        <f t="shared" si="128"/>
        <v>75843</v>
      </c>
      <c r="RP73" s="39">
        <f t="shared" si="128"/>
        <v>247629</v>
      </c>
      <c r="RQ73" s="39">
        <f t="shared" si="128"/>
        <v>63977</v>
      </c>
      <c r="RR73" s="39">
        <f t="shared" si="128"/>
        <v>100091</v>
      </c>
      <c r="RS73" s="39"/>
      <c r="RT73" s="182"/>
      <c r="RU73" s="39"/>
      <c r="RV73" s="39">
        <f t="shared" si="127"/>
        <v>2850193</v>
      </c>
      <c r="RW73" s="39">
        <f t="shared" si="127"/>
        <v>21368497</v>
      </c>
      <c r="RX73" s="39">
        <f t="shared" si="127"/>
        <v>8376665</v>
      </c>
      <c r="RY73" s="39">
        <f t="shared" si="127"/>
        <v>674929</v>
      </c>
      <c r="RZ73" s="39"/>
      <c r="SA73" s="182"/>
      <c r="SB73" s="39"/>
      <c r="SC73" s="25">
        <f t="shared" si="50"/>
        <v>2136.3593471053305</v>
      </c>
      <c r="SD73" s="39">
        <f>IFERROR(VLOOKUP(A73, 'Levy Data 15-16'!$B:$O, 3, FALSE), 0)</f>
        <v>2261321679</v>
      </c>
      <c r="SE73" s="39">
        <f t="shared" si="88"/>
        <v>576720.6526396327</v>
      </c>
      <c r="SF73" s="631">
        <f>IFERROR(VLOOKUP(A73, 'Levy Data 15-16'!$B:$O, 14, FALSE), 0)*1000</f>
        <v>3.1898319999999996</v>
      </c>
      <c r="SG73" s="39">
        <f t="shared" si="89"/>
        <v>0</v>
      </c>
      <c r="SH73" s="39">
        <f t="shared" si="90"/>
        <v>0</v>
      </c>
      <c r="SI73" s="39">
        <f t="shared" si="91"/>
        <v>8376665</v>
      </c>
      <c r="SM73" s="39">
        <f t="shared" si="92"/>
        <v>21368497</v>
      </c>
      <c r="SN73" s="39">
        <f t="shared" si="93"/>
        <v>0</v>
      </c>
      <c r="SO73" s="39">
        <f t="shared" si="51"/>
        <v>21368497</v>
      </c>
      <c r="SP73" s="50">
        <f t="shared" si="130"/>
        <v>1</v>
      </c>
      <c r="ST73" s="124">
        <f>IFERROR(VLOOKUP(A73,'Grade Enroll 15-16'!B:AC,27,FALSE),"")</f>
        <v>3921</v>
      </c>
      <c r="SU73" s="124">
        <f t="shared" si="53"/>
        <v>1750.2788415509813</v>
      </c>
      <c r="SV73" s="131">
        <f>IFERROR(VLOOKUP($A73, 'Title I Enroll 16-17'!S:V, 4, FALSE), 0)</f>
        <v>0.44638583054092867</v>
      </c>
      <c r="SW73" s="729">
        <f>IFERROR(VLOOKUP(A73, 'ELL Enroll 15-16'!$N:$S, 6, FALSE), 0)</f>
        <v>5</v>
      </c>
      <c r="SX73" s="131">
        <f t="shared" si="131"/>
        <v>1.2751849018107625E-3</v>
      </c>
      <c r="SY73" s="124">
        <f>IFERROR(VLOOKUP(A73, 'SPED enroll 2015-16'!$M:$O, 3, FALSE), 0)</f>
        <v>420</v>
      </c>
      <c r="SZ73" s="131">
        <f t="shared" si="132"/>
        <v>0.10711553175210406</v>
      </c>
      <c r="TA73" s="142">
        <f t="shared" si="133"/>
        <v>294</v>
      </c>
      <c r="TB73" s="142">
        <f t="shared" si="133"/>
        <v>84</v>
      </c>
      <c r="TC73" s="142">
        <f t="shared" si="133"/>
        <v>29.400000000000002</v>
      </c>
      <c r="TD73" s="142">
        <f t="shared" si="133"/>
        <v>12.6</v>
      </c>
      <c r="TE73" s="124">
        <f>VLOOKUP($A73, 'Grade Enroll 15-16'!$B:$AB, 20, FALSE)</f>
        <v>38</v>
      </c>
      <c r="TF73" s="124">
        <f>VLOOKUP($A73, 'Grade Enroll 15-16'!$B:$AB, 21, FALSE)</f>
        <v>256</v>
      </c>
      <c r="TG73" s="124">
        <f>VLOOKUP($A73, 'Grade Enroll 15-16'!$B:$AB, 22, FALSE)</f>
        <v>885</v>
      </c>
      <c r="TH73" s="124">
        <f>VLOOKUP($A73, 'Grade Enroll 15-16'!$B:$AB, 23, FALSE)</f>
        <v>920</v>
      </c>
      <c r="TI73" s="124">
        <f>VLOOKUP($A73, 'Grade Enroll 15-16'!$B:$AB, 24, FALSE)</f>
        <v>720</v>
      </c>
      <c r="TJ73" s="124">
        <f>VLOOKUP($A73, 'Grade Enroll 15-16'!$B:$AB, 25, FALSE)</f>
        <v>1396</v>
      </c>
      <c r="TK73" s="124">
        <f>VLOOKUP($A73, 'Grade Enroll 15-16'!$B:$AB, 26, FALSE)</f>
        <v>2678</v>
      </c>
      <c r="TL73" s="131">
        <f>SUMIFS('Student Achievement 15-16'!N:N, 'Student Achievement 15-16'!B:B, 'Idaho Data'!A73, 'Student Achievement 15-16'!D:D, "math")/100</f>
        <v>0.22</v>
      </c>
      <c r="TM73" s="134">
        <f t="shared" si="57"/>
        <v>862.62</v>
      </c>
      <c r="TN73" s="131">
        <f>SUMIFS('Student Achievement 15-16'!N:N, 'Student Achievement 15-16'!B:B, 'Idaho Data'!A73, 'Student Achievement 15-16'!D:D, "ela")/100</f>
        <v>0.16</v>
      </c>
      <c r="TO73" s="134">
        <f t="shared" si="134"/>
        <v>627.36</v>
      </c>
      <c r="TP73" s="688">
        <f>IFERROR(VLOOKUP(A73, 'G&amp;T 15-16'!B:G, 6, FALSE), 0)*1</f>
        <v>91</v>
      </c>
      <c r="TQ73" s="168">
        <f t="shared" si="135"/>
        <v>235.26</v>
      </c>
      <c r="TU73" s="168">
        <f t="shared" si="136"/>
        <v>627.36</v>
      </c>
      <c r="TV73" s="168">
        <f t="shared" si="137"/>
        <v>862.62</v>
      </c>
      <c r="TW73" s="205">
        <f t="shared" si="138"/>
        <v>862.62</v>
      </c>
      <c r="TX73" s="144"/>
      <c r="TY73" s="129"/>
      <c r="TZ73" s="127">
        <f t="shared" si="139"/>
        <v>91</v>
      </c>
      <c r="UA73" s="127">
        <f t="shared" si="140"/>
        <v>235.26</v>
      </c>
      <c r="UB73" s="205">
        <f t="shared" si="141"/>
        <v>235.26</v>
      </c>
      <c r="UE73" s="853" t="str">
        <f>IF(ST73&lt;='1. Simulator Input'!$E$104, "yes", "")</f>
        <v/>
      </c>
      <c r="UI73" s="199">
        <f t="shared" si="66"/>
        <v>0</v>
      </c>
      <c r="UJ73" s="200">
        <f>IF('Idaho Data'!SI73&gt;=0, ((1-'1. Simulator Input'!$E$39)*'Idaho Data'!SI73), 0)</f>
        <v>0</v>
      </c>
      <c r="UK73" s="200">
        <f t="shared" si="142"/>
        <v>21368497</v>
      </c>
      <c r="UL73" s="39"/>
      <c r="UM73" s="182"/>
      <c r="UN73" s="39"/>
      <c r="UO73" s="39" t="str">
        <f>IF(AND('1. Simulator Input'!$E$96="yes", '1. Simulator Input'!$E$98="yes", '1. Simulator Input'!$E$100="hold harmless"), 'Idaho Data'!WN73, IF(AND('1. Simulator Input'!$E$96="yes", '1. Simulator Input'!$E$98="no", '1. Simulator Input'!$E$100="hold harmless"), 'Idaho Data'!WM73, IF(AND('1. Simulator Input'!$E$96="yes", '1. Simulator Input'!$E$98="yes", '1. Simulator Input'!$E$100="small district grant"), WL73,IF(AND('1. Simulator Input'!$E$96="yes", '1. Simulator Input'!$E$98="no", '1. Simulator Input'!$E$100="small district grant"), WK73, ""))))</f>
        <v/>
      </c>
      <c r="UP73" s="200">
        <f>'1. Simulator Input'!$D$56*('Idaho Data'!ST73)</f>
        <v>21667446</v>
      </c>
      <c r="UQ73" s="204">
        <f>'1. Simulator Input'!$D$65*'1. Simulator Input'!$D$56*'Idaho Data'!SU73</f>
        <v>0</v>
      </c>
      <c r="UR73" s="204">
        <f>'1. Simulator Input'!$D$66*'1. Simulator Input'!$D$56*'Idaho Data'!SW73</f>
        <v>0</v>
      </c>
      <c r="US73" s="200">
        <f>'1. Simulator Input'!$D$67*'1. Simulator Input'!$D$56*'Idaho Data'!TA73</f>
        <v>0</v>
      </c>
      <c r="UT73" s="200">
        <f>'1. Simulator Input'!$D$68*'1. Simulator Input'!$D$56*'Idaho Data'!TB73</f>
        <v>0</v>
      </c>
      <c r="UU73" s="200">
        <f>'1. Simulator Input'!$D$69*'1. Simulator Input'!$D$56*'Idaho Data'!TC73</f>
        <v>0</v>
      </c>
      <c r="UV73" s="200">
        <f>'1. Simulator Input'!$D$70*'1. Simulator Input'!$D$56*TD73</f>
        <v>0</v>
      </c>
      <c r="UW73" s="200">
        <f>'1. Simulator Input'!$D$80*'1. Simulator Input'!$D$56*TW73</f>
        <v>0</v>
      </c>
      <c r="UX73" s="200">
        <f>'1. Simulator Input'!$D$79*'1. Simulator Input'!$D$56*UB73</f>
        <v>0</v>
      </c>
      <c r="UY73" s="200">
        <f>'1. Simulator Input'!$D$87*'1. Simulator Input'!$D$56*TF73</f>
        <v>707328</v>
      </c>
      <c r="UZ73" s="200">
        <f>'1. Simulator Input'!$D$73*'1. Simulator Input'!$D$56*'Idaho Data'!TG73</f>
        <v>0</v>
      </c>
      <c r="VA73" s="200">
        <f>'1. Simulator Input'!$D$56*'1. Simulator Input'!$D$74*'Idaho Data'!TH73</f>
        <v>0</v>
      </c>
      <c r="VB73" s="200">
        <f>'1. Simulator Input'!$D$56*'1. Simulator Input'!$D$75*'Idaho Data'!TI68</f>
        <v>0</v>
      </c>
      <c r="VC73" s="200">
        <f>'1. Simulator Input'!$D$76*'1. Simulator Input'!$D$56*'Idaho Data'!TJ73</f>
        <v>0</v>
      </c>
      <c r="VD73" s="200">
        <f t="shared" si="68"/>
        <v>22374774</v>
      </c>
      <c r="VE73" s="200"/>
      <c r="VF73" s="182"/>
      <c r="VG73" s="200"/>
      <c r="VH73" s="200">
        <f t="shared" si="69"/>
        <v>0</v>
      </c>
      <c r="VI73" s="200">
        <f t="shared" si="70"/>
        <v>0</v>
      </c>
      <c r="VJ73" s="200">
        <f t="shared" si="94"/>
        <v>22374774</v>
      </c>
      <c r="VK73" s="200">
        <f t="shared" si="95"/>
        <v>22374774</v>
      </c>
      <c r="VL73" s="200"/>
      <c r="VM73" s="182"/>
      <c r="VN73" s="200"/>
      <c r="VO73" s="200">
        <f t="shared" si="71"/>
        <v>2850193</v>
      </c>
      <c r="VP73" s="200">
        <f t="shared" si="72"/>
        <v>21368497</v>
      </c>
      <c r="VQ73" s="200">
        <f t="shared" si="73"/>
        <v>8376665</v>
      </c>
      <c r="VR73" s="200">
        <f t="shared" si="74"/>
        <v>2850193</v>
      </c>
      <c r="VS73" s="200">
        <f t="shared" si="96"/>
        <v>22374774</v>
      </c>
      <c r="VT73" s="200">
        <f t="shared" si="97"/>
        <v>8376665</v>
      </c>
      <c r="VU73" s="200">
        <f t="shared" si="98"/>
        <v>0</v>
      </c>
      <c r="VV73" s="200"/>
      <c r="VW73" s="182"/>
      <c r="VX73" s="200"/>
      <c r="VZ73" s="199">
        <f t="shared" si="75"/>
        <v>1006277</v>
      </c>
      <c r="WA73" s="199">
        <f t="shared" si="76"/>
        <v>256.63784748788572</v>
      </c>
      <c r="WB73" s="131">
        <f t="shared" si="77"/>
        <v>4.7091613415768084E-2</v>
      </c>
      <c r="WC73" s="131"/>
      <c r="WD73" s="461"/>
      <c r="WE73" s="893"/>
      <c r="WF73" s="893">
        <f t="shared" si="78"/>
        <v>8313.0209130323892</v>
      </c>
      <c r="WG73" s="893">
        <f t="shared" si="79"/>
        <v>8569.6587605202749</v>
      </c>
      <c r="WH73" s="893"/>
      <c r="WI73" s="893">
        <f t="shared" si="80"/>
        <v>21368497</v>
      </c>
      <c r="WJ73" s="893">
        <f t="shared" si="99"/>
        <v>22374774</v>
      </c>
      <c r="WK73" s="39" t="str">
        <f t="shared" si="100"/>
        <v/>
      </c>
      <c r="WL73" s="39" t="str">
        <f t="shared" si="101"/>
        <v/>
      </c>
      <c r="WM73" s="200" t="str">
        <f t="shared" si="102"/>
        <v/>
      </c>
      <c r="WN73" s="39" t="str">
        <f t="shared" si="103"/>
        <v/>
      </c>
      <c r="WO73" s="39"/>
      <c r="WP73" s="182"/>
      <c r="WQ73" s="39"/>
      <c r="WR73" s="305">
        <f t="shared" si="104"/>
        <v>0.59599999999999997</v>
      </c>
      <c r="WT73" s="200">
        <f t="shared" si="105"/>
        <v>5449.7569497577151</v>
      </c>
      <c r="WU73" s="131">
        <f t="shared" si="81"/>
        <v>0.1</v>
      </c>
      <c r="WW73" s="199">
        <f t="shared" si="106"/>
        <v>2850193</v>
      </c>
      <c r="WX73" s="199">
        <f t="shared" si="107"/>
        <v>22374774</v>
      </c>
      <c r="WY73" s="199">
        <f t="shared" si="108"/>
        <v>0</v>
      </c>
      <c r="WZ73" s="199">
        <f t="shared" si="82"/>
        <v>22374774</v>
      </c>
      <c r="XA73" s="199">
        <f t="shared" si="109"/>
        <v>0</v>
      </c>
      <c r="XB73" s="199">
        <f t="shared" si="110"/>
        <v>8376665</v>
      </c>
      <c r="XC73" s="199">
        <f t="shared" si="111"/>
        <v>8376665</v>
      </c>
      <c r="XD73" s="199" t="str">
        <f t="shared" si="112"/>
        <v/>
      </c>
      <c r="XE73" s="199"/>
      <c r="XF73" s="199"/>
      <c r="XG73" s="199"/>
      <c r="XH73" s="199"/>
      <c r="XI73" s="199"/>
      <c r="XJ73" s="199">
        <f t="shared" si="83"/>
        <v>22374774</v>
      </c>
      <c r="XP73" s="199">
        <f t="shared" si="113"/>
        <v>22374774</v>
      </c>
      <c r="XQ73" s="199">
        <f t="shared" si="114"/>
        <v>5706.3947972456008</v>
      </c>
      <c r="XR73" s="199">
        <f t="shared" si="115"/>
        <v>22374774</v>
      </c>
      <c r="XS73" s="199">
        <f t="shared" si="116"/>
        <v>22374774</v>
      </c>
      <c r="XT73" s="199">
        <f t="shared" si="117"/>
        <v>5706.3947972456008</v>
      </c>
      <c r="XU73" s="199">
        <f t="shared" si="118"/>
        <v>21368497</v>
      </c>
      <c r="XV73" s="199">
        <f t="shared" si="119"/>
        <v>5449.7569497577151</v>
      </c>
      <c r="XW73" s="199">
        <f t="shared" si="120"/>
        <v>21368497</v>
      </c>
      <c r="XX73" s="199">
        <f t="shared" si="121"/>
        <v>5449.7569497577151</v>
      </c>
      <c r="XY73" s="199">
        <f t="shared" si="84"/>
        <v>1006277</v>
      </c>
      <c r="XZ73" s="199">
        <f t="shared" si="85"/>
        <v>256.63784748788567</v>
      </c>
      <c r="YA73" s="131">
        <f t="shared" si="143"/>
        <v>4.7091613415768063E-2</v>
      </c>
      <c r="YB73" s="199"/>
      <c r="YC73" s="221"/>
      <c r="YD73" s="199"/>
      <c r="YE73" s="199">
        <f t="shared" si="122"/>
        <v>2850193</v>
      </c>
      <c r="YF73" s="200">
        <f t="shared" si="123"/>
        <v>0</v>
      </c>
      <c r="YG73" s="199">
        <f t="shared" si="124"/>
        <v>8376665</v>
      </c>
      <c r="YH73" s="199">
        <f t="shared" si="125"/>
        <v>674929</v>
      </c>
    </row>
    <row r="74" spans="1:658">
      <c r="A74" s="3">
        <v>273</v>
      </c>
      <c r="B74" s="2" t="s">
        <v>169</v>
      </c>
      <c r="C74" s="24">
        <v>300610</v>
      </c>
      <c r="D74" s="24">
        <v>0</v>
      </c>
      <c r="E74" s="24">
        <v>0</v>
      </c>
      <c r="F74" s="24">
        <v>0</v>
      </c>
      <c r="G74" s="24">
        <v>4460377</v>
      </c>
      <c r="H74" s="24">
        <v>0</v>
      </c>
      <c r="I74" s="24">
        <v>0</v>
      </c>
      <c r="J74" s="24">
        <v>17710</v>
      </c>
      <c r="K74" s="24">
        <v>0</v>
      </c>
      <c r="L74" s="24">
        <v>0</v>
      </c>
      <c r="M74" s="24">
        <v>210</v>
      </c>
      <c r="N74" s="24">
        <v>0</v>
      </c>
      <c r="O74" s="24">
        <v>0</v>
      </c>
      <c r="P74" s="24">
        <v>0</v>
      </c>
      <c r="Q74" s="24">
        <v>0</v>
      </c>
      <c r="R74" s="24">
        <v>0</v>
      </c>
      <c r="S74" s="24">
        <v>0</v>
      </c>
      <c r="T74" s="24">
        <v>276</v>
      </c>
      <c r="U74" s="24">
        <v>0</v>
      </c>
      <c r="V74" s="24">
        <v>0</v>
      </c>
      <c r="W74" s="24">
        <v>0</v>
      </c>
      <c r="X74" s="24">
        <v>2732315</v>
      </c>
      <c r="Y74" s="24">
        <v>0</v>
      </c>
      <c r="Z74" s="24">
        <v>0</v>
      </c>
      <c r="AA74" s="24">
        <v>0</v>
      </c>
      <c r="AB74" s="24">
        <v>0</v>
      </c>
      <c r="AC74" s="24">
        <v>0</v>
      </c>
      <c r="AD74" s="24">
        <v>10222</v>
      </c>
      <c r="AE74" s="24">
        <v>0</v>
      </c>
      <c r="AF74" s="24">
        <v>0</v>
      </c>
      <c r="AG74" s="24">
        <v>0</v>
      </c>
      <c r="AH74" s="24">
        <v>0</v>
      </c>
      <c r="AI74" s="24">
        <v>0</v>
      </c>
      <c r="AJ74" s="24">
        <v>0</v>
      </c>
      <c r="AK74" s="24">
        <v>0</v>
      </c>
      <c r="AL74" s="24">
        <v>33207</v>
      </c>
      <c r="AM74" s="24">
        <v>0</v>
      </c>
      <c r="AN74" s="24">
        <v>0</v>
      </c>
      <c r="AO74" s="24">
        <v>0</v>
      </c>
      <c r="AP74" s="24">
        <v>0</v>
      </c>
      <c r="AQ74" s="24">
        <v>0</v>
      </c>
      <c r="AR74" s="24">
        <v>0</v>
      </c>
      <c r="AS74" s="24">
        <v>0</v>
      </c>
      <c r="AT74" s="24">
        <v>0</v>
      </c>
      <c r="AU74" s="24">
        <v>0</v>
      </c>
      <c r="AV74" s="24">
        <v>0</v>
      </c>
      <c r="AW74" s="24">
        <v>0</v>
      </c>
      <c r="AX74" s="24">
        <v>0</v>
      </c>
      <c r="AY74" s="24">
        <v>0</v>
      </c>
      <c r="AZ74" s="24">
        <v>0</v>
      </c>
      <c r="BA74" s="24">
        <v>0</v>
      </c>
      <c r="BB74" s="24">
        <v>0</v>
      </c>
      <c r="BC74" s="24">
        <v>0</v>
      </c>
      <c r="BD74" s="24">
        <v>0</v>
      </c>
      <c r="BE74" s="24">
        <v>41258</v>
      </c>
      <c r="BF74" s="24">
        <v>0</v>
      </c>
      <c r="BG74" s="24">
        <v>0</v>
      </c>
      <c r="BH74" s="24">
        <v>0</v>
      </c>
      <c r="BI74" s="24">
        <v>0</v>
      </c>
      <c r="BJ74" s="24">
        <v>0</v>
      </c>
      <c r="BK74" s="24">
        <v>0</v>
      </c>
      <c r="BL74" s="24">
        <v>0</v>
      </c>
      <c r="BM74" s="24">
        <v>0</v>
      </c>
      <c r="BN74" s="24">
        <v>0</v>
      </c>
      <c r="BO74" s="24">
        <v>0</v>
      </c>
      <c r="BP74" s="24">
        <v>0</v>
      </c>
      <c r="BQ74" s="24">
        <v>0</v>
      </c>
      <c r="BR74" s="24">
        <v>0</v>
      </c>
      <c r="BS74" s="24">
        <v>0</v>
      </c>
      <c r="BT74" s="24">
        <v>0</v>
      </c>
      <c r="BU74" s="24">
        <v>0</v>
      </c>
      <c r="BV74" s="24">
        <v>0</v>
      </c>
      <c r="BW74" s="24">
        <v>0</v>
      </c>
      <c r="BX74" s="24">
        <v>0</v>
      </c>
      <c r="BY74" s="24">
        <v>0</v>
      </c>
      <c r="BZ74" s="24">
        <v>0</v>
      </c>
      <c r="CA74" s="24">
        <v>0</v>
      </c>
      <c r="CB74" s="24">
        <v>0</v>
      </c>
      <c r="CC74" s="24">
        <v>0</v>
      </c>
      <c r="CD74" s="24">
        <v>448285</v>
      </c>
      <c r="CE74" s="24">
        <v>47662</v>
      </c>
      <c r="CF74" s="24">
        <v>0</v>
      </c>
      <c r="CG74" s="24">
        <v>2935</v>
      </c>
      <c r="CH74" s="24">
        <v>0</v>
      </c>
      <c r="CI74" s="24">
        <v>0</v>
      </c>
      <c r="CJ74" s="24">
        <v>0</v>
      </c>
      <c r="CK74" s="24">
        <v>0</v>
      </c>
      <c r="CL74" s="24">
        <v>0</v>
      </c>
      <c r="CM74" s="24">
        <v>0</v>
      </c>
      <c r="CN74" s="24">
        <v>0</v>
      </c>
      <c r="CO74" s="24">
        <v>0</v>
      </c>
      <c r="CP74" s="24">
        <v>0</v>
      </c>
      <c r="CQ74" s="24">
        <v>0</v>
      </c>
      <c r="CR74" s="24">
        <v>0</v>
      </c>
      <c r="CS74" s="24">
        <v>0</v>
      </c>
      <c r="CT74" s="24">
        <v>0</v>
      </c>
      <c r="CU74" s="24">
        <v>0</v>
      </c>
      <c r="CV74" s="24">
        <v>0</v>
      </c>
      <c r="CW74" s="24">
        <v>0</v>
      </c>
      <c r="CX74" s="24">
        <v>0</v>
      </c>
      <c r="CY74" s="24">
        <v>0</v>
      </c>
      <c r="CZ74" s="24">
        <v>0</v>
      </c>
      <c r="DA74" s="24">
        <v>0</v>
      </c>
      <c r="DB74" s="24">
        <v>21176</v>
      </c>
      <c r="DC74" s="24">
        <v>0</v>
      </c>
      <c r="DD74" s="24">
        <v>0</v>
      </c>
      <c r="DE74" s="24">
        <v>0</v>
      </c>
      <c r="DF74" s="24">
        <v>0</v>
      </c>
      <c r="DG74" s="24">
        <v>0</v>
      </c>
      <c r="DH74" s="24">
        <v>0</v>
      </c>
      <c r="DI74" s="24">
        <v>0</v>
      </c>
      <c r="DJ74" s="24">
        <v>0</v>
      </c>
      <c r="DK74" s="24">
        <v>0</v>
      </c>
      <c r="DL74" s="24">
        <v>0</v>
      </c>
      <c r="DM74" s="24">
        <v>0</v>
      </c>
      <c r="DN74" s="24">
        <v>0</v>
      </c>
      <c r="DO74" s="24">
        <v>0</v>
      </c>
      <c r="DP74" s="24">
        <v>0</v>
      </c>
      <c r="DQ74" s="24">
        <v>0</v>
      </c>
      <c r="DR74" s="24">
        <v>0</v>
      </c>
      <c r="DS74" s="24">
        <v>0</v>
      </c>
      <c r="DT74" s="24">
        <v>0</v>
      </c>
      <c r="DU74" s="24">
        <v>0</v>
      </c>
      <c r="DV74" s="24">
        <v>0</v>
      </c>
      <c r="DW74" s="24">
        <v>0</v>
      </c>
      <c r="DX74" s="24">
        <v>0</v>
      </c>
      <c r="DY74" s="24">
        <v>0</v>
      </c>
      <c r="DZ74" s="24">
        <v>0</v>
      </c>
      <c r="EA74" s="24">
        <v>0</v>
      </c>
      <c r="EB74" s="24">
        <v>0</v>
      </c>
      <c r="EC74" s="24">
        <v>0</v>
      </c>
      <c r="ED74" s="24">
        <v>0</v>
      </c>
      <c r="EE74" s="24">
        <v>0</v>
      </c>
      <c r="EF74" s="24">
        <v>0</v>
      </c>
      <c r="EG74" s="24">
        <v>0</v>
      </c>
      <c r="EH74" s="24">
        <v>0</v>
      </c>
      <c r="EI74" s="24">
        <v>0</v>
      </c>
      <c r="EJ74" s="24">
        <v>0</v>
      </c>
      <c r="EK74" s="24">
        <v>0</v>
      </c>
      <c r="EL74" s="24">
        <v>0</v>
      </c>
      <c r="EM74" s="24">
        <v>0</v>
      </c>
      <c r="EN74" s="24">
        <v>0</v>
      </c>
      <c r="EO74" s="24">
        <v>0</v>
      </c>
      <c r="EP74" s="24">
        <v>0</v>
      </c>
      <c r="EQ74" s="24">
        <v>0</v>
      </c>
      <c r="ER74" s="24">
        <v>0</v>
      </c>
      <c r="ES74" s="24">
        <v>0</v>
      </c>
      <c r="ET74" s="24">
        <v>0</v>
      </c>
      <c r="EU74" s="24">
        <v>0</v>
      </c>
      <c r="EV74" s="24">
        <v>0</v>
      </c>
      <c r="EW74" s="24">
        <v>0</v>
      </c>
      <c r="EX74" s="24">
        <v>0</v>
      </c>
      <c r="EY74" s="24">
        <v>0</v>
      </c>
      <c r="EZ74" s="24">
        <v>0</v>
      </c>
      <c r="FA74" s="24">
        <v>0</v>
      </c>
      <c r="FB74" s="24">
        <v>0</v>
      </c>
      <c r="FC74" s="24">
        <v>0</v>
      </c>
      <c r="FD74" s="24">
        <v>0</v>
      </c>
      <c r="FE74" s="24">
        <v>0</v>
      </c>
      <c r="FF74" s="24">
        <v>0</v>
      </c>
      <c r="FG74" s="24">
        <v>0</v>
      </c>
      <c r="FH74" s="24">
        <v>0</v>
      </c>
      <c r="FI74" s="24">
        <v>0</v>
      </c>
      <c r="FJ74" s="24">
        <v>0</v>
      </c>
      <c r="FK74" s="24">
        <v>0</v>
      </c>
      <c r="FL74" s="24">
        <v>0</v>
      </c>
      <c r="FM74" s="24">
        <v>0</v>
      </c>
      <c r="FN74" s="24">
        <v>0</v>
      </c>
      <c r="FO74" s="24">
        <v>0</v>
      </c>
      <c r="FP74" s="24">
        <v>0</v>
      </c>
      <c r="FQ74" s="24">
        <v>0</v>
      </c>
      <c r="FR74" s="24">
        <v>0</v>
      </c>
      <c r="FS74" s="24">
        <v>27121</v>
      </c>
      <c r="FT74" s="24">
        <v>0</v>
      </c>
      <c r="FU74" s="24">
        <v>0</v>
      </c>
      <c r="FV74" s="24">
        <v>0</v>
      </c>
      <c r="FW74" s="24">
        <v>221648</v>
      </c>
      <c r="FX74" s="24">
        <v>0</v>
      </c>
      <c r="FY74" s="24">
        <v>0</v>
      </c>
      <c r="FZ74" s="24">
        <v>0</v>
      </c>
      <c r="GA74" s="24">
        <v>0</v>
      </c>
      <c r="GB74" s="24">
        <v>0</v>
      </c>
      <c r="GC74" s="24">
        <v>0</v>
      </c>
      <c r="GD74" s="24">
        <v>0</v>
      </c>
      <c r="GE74" s="24">
        <v>0</v>
      </c>
      <c r="GF74" s="24">
        <v>0</v>
      </c>
      <c r="GG74" s="24">
        <v>0</v>
      </c>
      <c r="GH74" s="24">
        <v>0</v>
      </c>
      <c r="GI74" s="24">
        <v>0</v>
      </c>
      <c r="GJ74" s="24">
        <v>0</v>
      </c>
      <c r="GK74" s="24">
        <v>0</v>
      </c>
      <c r="GL74" s="24">
        <v>0</v>
      </c>
      <c r="GM74" s="24">
        <v>0</v>
      </c>
      <c r="GN74" s="24">
        <v>0</v>
      </c>
      <c r="GO74" s="24">
        <v>0</v>
      </c>
      <c r="GP74" s="24">
        <v>0</v>
      </c>
      <c r="GQ74" s="24">
        <v>0</v>
      </c>
      <c r="GR74" s="24">
        <v>0</v>
      </c>
      <c r="GS74" s="24">
        <v>0</v>
      </c>
      <c r="GT74" s="24">
        <v>0</v>
      </c>
      <c r="GU74" s="24">
        <v>0</v>
      </c>
      <c r="GV74" s="24">
        <v>0</v>
      </c>
      <c r="GW74" s="24">
        <v>0</v>
      </c>
      <c r="GX74" s="24">
        <v>0</v>
      </c>
      <c r="GY74" s="24">
        <v>0</v>
      </c>
      <c r="GZ74" s="24">
        <v>0</v>
      </c>
      <c r="HA74" s="24">
        <v>0</v>
      </c>
      <c r="HB74" s="24">
        <v>0</v>
      </c>
      <c r="HC74" s="24">
        <v>0</v>
      </c>
      <c r="HD74" s="24">
        <v>22146901</v>
      </c>
      <c r="HE74" s="24">
        <v>0</v>
      </c>
      <c r="HF74" s="24">
        <v>0</v>
      </c>
      <c r="HG74" s="24">
        <v>0</v>
      </c>
      <c r="HH74" s="24">
        <v>0</v>
      </c>
      <c r="HI74" s="24">
        <v>1040430</v>
      </c>
      <c r="HJ74" s="24">
        <v>0</v>
      </c>
      <c r="HK74" s="24">
        <v>0</v>
      </c>
      <c r="HL74" s="24">
        <v>0</v>
      </c>
      <c r="HM74" s="24">
        <v>0</v>
      </c>
      <c r="HN74" s="24">
        <v>59148</v>
      </c>
      <c r="HO74" s="24">
        <v>3647863</v>
      </c>
      <c r="HP74" s="24">
        <v>0</v>
      </c>
      <c r="HQ74" s="24">
        <v>610063</v>
      </c>
      <c r="HR74" s="24">
        <v>12577</v>
      </c>
      <c r="HS74" s="24">
        <v>0</v>
      </c>
      <c r="HT74" s="24">
        <v>70060</v>
      </c>
      <c r="HU74" s="24">
        <v>0</v>
      </c>
      <c r="HV74" s="24">
        <v>0</v>
      </c>
      <c r="HW74" s="24">
        <v>0</v>
      </c>
      <c r="HX74" s="24">
        <v>0</v>
      </c>
      <c r="HY74" s="24">
        <v>0</v>
      </c>
      <c r="HZ74" s="24">
        <v>0</v>
      </c>
      <c r="IA74" s="24">
        <v>338853</v>
      </c>
      <c r="IB74" s="24">
        <v>74276</v>
      </c>
      <c r="IC74" s="24">
        <v>0</v>
      </c>
      <c r="ID74" s="24">
        <v>0</v>
      </c>
      <c r="IE74" s="24">
        <v>0</v>
      </c>
      <c r="IF74" s="24">
        <v>0</v>
      </c>
      <c r="IG74" s="24">
        <v>0</v>
      </c>
      <c r="IH74" s="24">
        <v>2701</v>
      </c>
      <c r="II74" s="24">
        <v>0</v>
      </c>
      <c r="IJ74" s="24">
        <v>0</v>
      </c>
      <c r="IK74" s="24">
        <v>0</v>
      </c>
      <c r="IL74" s="24">
        <v>0</v>
      </c>
      <c r="IM74" s="24">
        <v>0</v>
      </c>
      <c r="IN74" s="24">
        <v>0</v>
      </c>
      <c r="IO74" s="24">
        <v>13289</v>
      </c>
      <c r="IP74" s="24">
        <v>0</v>
      </c>
      <c r="IQ74" s="24">
        <v>0</v>
      </c>
      <c r="IR74" s="24">
        <v>47403</v>
      </c>
      <c r="IS74" s="24">
        <v>0</v>
      </c>
      <c r="IT74" s="24">
        <v>0</v>
      </c>
      <c r="IU74" s="24">
        <v>0</v>
      </c>
      <c r="IV74" s="24">
        <v>0</v>
      </c>
      <c r="IW74" s="24">
        <v>0</v>
      </c>
      <c r="IX74" s="24">
        <v>0</v>
      </c>
      <c r="IY74" s="24">
        <v>0</v>
      </c>
      <c r="IZ74" s="24">
        <v>335591</v>
      </c>
      <c r="JA74" s="24">
        <v>0</v>
      </c>
      <c r="JB74" s="24">
        <v>84827</v>
      </c>
      <c r="JC74" s="24">
        <v>0</v>
      </c>
      <c r="JD74" s="24">
        <v>0</v>
      </c>
      <c r="JE74" s="24">
        <v>0</v>
      </c>
      <c r="JF74" s="24">
        <v>0</v>
      </c>
      <c r="JG74" s="24">
        <v>0</v>
      </c>
      <c r="JH74" s="24">
        <v>0</v>
      </c>
      <c r="JI74" s="24">
        <v>0</v>
      </c>
      <c r="JJ74" s="24">
        <v>0</v>
      </c>
      <c r="JK74" s="24">
        <v>0</v>
      </c>
      <c r="JL74" s="24">
        <v>0</v>
      </c>
      <c r="JM74" s="24">
        <v>0</v>
      </c>
      <c r="JN74" s="24">
        <v>0</v>
      </c>
      <c r="JO74" s="24">
        <v>0</v>
      </c>
      <c r="JP74" s="24">
        <v>0</v>
      </c>
      <c r="JQ74" s="24">
        <v>0</v>
      </c>
      <c r="JR74" s="24">
        <v>0</v>
      </c>
      <c r="JS74" s="24">
        <v>0</v>
      </c>
      <c r="JT74" s="24">
        <v>0</v>
      </c>
      <c r="JU74" s="24">
        <v>0</v>
      </c>
      <c r="JV74" s="24">
        <v>0</v>
      </c>
      <c r="JW74" s="24">
        <v>0</v>
      </c>
      <c r="JX74" s="24">
        <v>0</v>
      </c>
      <c r="JY74" s="24">
        <v>0</v>
      </c>
      <c r="JZ74" s="24">
        <v>0</v>
      </c>
      <c r="KA74" s="24">
        <v>55812</v>
      </c>
      <c r="KB74" s="24">
        <v>0</v>
      </c>
      <c r="KC74" s="24">
        <v>0</v>
      </c>
      <c r="KD74" s="24">
        <v>0</v>
      </c>
      <c r="KE74" s="24">
        <v>0</v>
      </c>
      <c r="KF74" s="24">
        <v>0</v>
      </c>
      <c r="KG74" s="24">
        <v>35650</v>
      </c>
      <c r="KH74" s="24">
        <v>0</v>
      </c>
      <c r="KI74" s="24">
        <v>0</v>
      </c>
      <c r="KJ74" s="24">
        <v>0</v>
      </c>
      <c r="KK74" s="24">
        <v>0</v>
      </c>
      <c r="KL74" s="24">
        <v>0</v>
      </c>
      <c r="KM74" s="24">
        <v>0</v>
      </c>
      <c r="KN74" s="24">
        <v>0</v>
      </c>
      <c r="KO74" s="24">
        <v>0</v>
      </c>
      <c r="KP74" s="24">
        <v>0</v>
      </c>
      <c r="KQ74" s="24">
        <v>0</v>
      </c>
      <c r="KR74" s="24">
        <v>0</v>
      </c>
      <c r="KS74" s="24">
        <v>0</v>
      </c>
      <c r="KT74" s="24">
        <v>0</v>
      </c>
      <c r="KU74" s="24">
        <v>0</v>
      </c>
      <c r="KV74" s="24">
        <v>0</v>
      </c>
      <c r="KW74" s="24">
        <v>0</v>
      </c>
      <c r="KX74" s="24">
        <v>0</v>
      </c>
      <c r="KY74" s="24">
        <v>0</v>
      </c>
      <c r="KZ74" s="24">
        <v>0</v>
      </c>
      <c r="LA74" s="24">
        <v>0</v>
      </c>
      <c r="LB74" s="24">
        <v>0</v>
      </c>
      <c r="LC74" s="24">
        <v>0</v>
      </c>
      <c r="LD74" s="24">
        <v>0</v>
      </c>
      <c r="LE74" s="24">
        <v>0</v>
      </c>
      <c r="LF74" s="24">
        <v>0</v>
      </c>
      <c r="LG74" s="24">
        <v>0</v>
      </c>
      <c r="LH74" s="24">
        <v>0</v>
      </c>
      <c r="LI74" s="24">
        <v>0</v>
      </c>
      <c r="LJ74" s="24">
        <v>0</v>
      </c>
      <c r="LK74" s="24">
        <v>0</v>
      </c>
      <c r="LL74" s="24">
        <v>0</v>
      </c>
      <c r="LM74" s="24">
        <v>0</v>
      </c>
      <c r="LN74" s="24">
        <v>0</v>
      </c>
      <c r="LO74" s="24">
        <v>0</v>
      </c>
      <c r="LP74" s="24">
        <v>0</v>
      </c>
      <c r="LQ74" s="24">
        <v>1229327</v>
      </c>
      <c r="LR74" s="24">
        <v>0</v>
      </c>
      <c r="LS74" s="24">
        <v>0</v>
      </c>
      <c r="LT74" s="24">
        <v>0</v>
      </c>
      <c r="LU74" s="24">
        <v>0</v>
      </c>
      <c r="LV74" s="24">
        <v>0</v>
      </c>
      <c r="LW74" s="24">
        <v>0</v>
      </c>
      <c r="LX74" s="24">
        <v>0</v>
      </c>
      <c r="LY74" s="24">
        <v>0</v>
      </c>
      <c r="LZ74" s="24">
        <v>0</v>
      </c>
      <c r="MA74" s="24">
        <v>0</v>
      </c>
      <c r="MB74" s="24">
        <v>0</v>
      </c>
      <c r="MC74" s="24">
        <v>0</v>
      </c>
      <c r="MD74" s="24">
        <v>0</v>
      </c>
      <c r="ME74" s="24">
        <v>0</v>
      </c>
      <c r="MF74" s="24">
        <v>0</v>
      </c>
      <c r="MG74" s="24">
        <v>0</v>
      </c>
      <c r="MH74" s="24">
        <v>0</v>
      </c>
      <c r="MI74" s="24">
        <v>0</v>
      </c>
      <c r="MJ74" s="24">
        <v>0</v>
      </c>
      <c r="MK74" s="24">
        <v>0</v>
      </c>
      <c r="ML74" s="24">
        <v>0</v>
      </c>
      <c r="MM74" s="24">
        <v>0</v>
      </c>
      <c r="MN74" s="24">
        <v>0</v>
      </c>
      <c r="MO74" s="24">
        <v>78827</v>
      </c>
      <c r="MP74" s="24">
        <v>0</v>
      </c>
      <c r="MQ74" s="24">
        <v>0</v>
      </c>
      <c r="MR74" s="24">
        <v>1408315</v>
      </c>
      <c r="MS74" s="24">
        <v>0</v>
      </c>
      <c r="MT74" s="24">
        <v>0</v>
      </c>
      <c r="MU74" s="24">
        <v>0</v>
      </c>
      <c r="MV74" s="24">
        <v>0</v>
      </c>
      <c r="MW74" s="24">
        <v>1080650</v>
      </c>
      <c r="MX74" s="24">
        <v>28088</v>
      </c>
      <c r="MY74" s="24">
        <v>0</v>
      </c>
      <c r="MZ74" s="24">
        <v>0</v>
      </c>
      <c r="NA74" s="24">
        <v>0</v>
      </c>
      <c r="NB74" s="24">
        <v>0</v>
      </c>
      <c r="NC74" s="24">
        <v>0</v>
      </c>
      <c r="ND74" s="24">
        <v>0</v>
      </c>
      <c r="NE74" s="24">
        <v>0</v>
      </c>
      <c r="NF74" s="24">
        <v>0</v>
      </c>
      <c r="NG74" s="24">
        <v>0</v>
      </c>
      <c r="NH74" s="24">
        <v>0</v>
      </c>
      <c r="NI74" s="24">
        <v>0</v>
      </c>
      <c r="NJ74" s="24">
        <v>0</v>
      </c>
      <c r="NK74" s="24">
        <v>0</v>
      </c>
      <c r="NL74" s="24">
        <v>0</v>
      </c>
      <c r="NM74" s="24">
        <v>0</v>
      </c>
      <c r="NN74" s="24">
        <v>0</v>
      </c>
      <c r="NO74" s="24">
        <v>0</v>
      </c>
      <c r="NP74" s="24">
        <v>0</v>
      </c>
      <c r="NQ74" s="24">
        <v>0</v>
      </c>
      <c r="NR74" s="24">
        <v>0</v>
      </c>
      <c r="NS74" s="24">
        <v>0</v>
      </c>
      <c r="NT74" s="24">
        <v>0</v>
      </c>
      <c r="NU74" s="24">
        <v>0</v>
      </c>
      <c r="NV74" s="24">
        <v>0</v>
      </c>
      <c r="NW74" s="24">
        <v>0</v>
      </c>
      <c r="NX74" s="24">
        <v>0</v>
      </c>
      <c r="NY74" s="24">
        <v>0</v>
      </c>
      <c r="NZ74" s="24">
        <v>0</v>
      </c>
      <c r="OA74" s="24">
        <v>0</v>
      </c>
      <c r="OB74" s="24">
        <v>0</v>
      </c>
      <c r="OC74" s="24">
        <v>0</v>
      </c>
      <c r="OD74" s="24">
        <v>0</v>
      </c>
      <c r="OE74" s="24">
        <v>0</v>
      </c>
      <c r="OF74" s="24">
        <v>155618</v>
      </c>
      <c r="OG74" s="24">
        <v>0</v>
      </c>
      <c r="OH74" s="24">
        <v>0</v>
      </c>
      <c r="OI74" s="24">
        <v>12768</v>
      </c>
      <c r="OJ74" s="24">
        <v>0</v>
      </c>
      <c r="OK74" s="24">
        <v>96748</v>
      </c>
      <c r="OL74" s="24">
        <v>0</v>
      </c>
      <c r="OM74" s="24">
        <v>0</v>
      </c>
      <c r="ON74" s="24">
        <v>0</v>
      </c>
      <c r="OO74" s="24">
        <v>0</v>
      </c>
      <c r="OP74" s="24">
        <v>0</v>
      </c>
      <c r="OQ74" s="24">
        <v>0</v>
      </c>
      <c r="OR74" s="24">
        <v>0</v>
      </c>
      <c r="OS74" s="24">
        <v>0</v>
      </c>
      <c r="OT74" s="24">
        <v>0</v>
      </c>
      <c r="OU74" s="24">
        <v>0</v>
      </c>
      <c r="OV74" s="24">
        <v>0</v>
      </c>
      <c r="OW74" s="24">
        <v>0</v>
      </c>
      <c r="OX74" s="24">
        <v>0</v>
      </c>
      <c r="OY74" s="24">
        <v>0</v>
      </c>
      <c r="OZ74" s="24">
        <v>0</v>
      </c>
      <c r="PA74" s="24">
        <v>0</v>
      </c>
      <c r="PB74" s="24">
        <v>0</v>
      </c>
      <c r="PC74" s="24">
        <v>0</v>
      </c>
      <c r="PD74" s="24">
        <v>0</v>
      </c>
      <c r="PE74" s="24">
        <v>0</v>
      </c>
      <c r="PF74" s="24">
        <v>0</v>
      </c>
      <c r="PG74" s="24">
        <v>0</v>
      </c>
      <c r="PH74" s="24">
        <v>0</v>
      </c>
      <c r="PI74" s="24">
        <v>0</v>
      </c>
      <c r="PJ74" s="24">
        <v>0</v>
      </c>
      <c r="PK74" s="24">
        <v>0</v>
      </c>
      <c r="PL74" s="24">
        <v>0</v>
      </c>
      <c r="PM74" s="24">
        <v>0</v>
      </c>
      <c r="PN74" s="24">
        <v>0</v>
      </c>
      <c r="PO74" s="24">
        <v>0</v>
      </c>
      <c r="PP74" s="24">
        <v>0</v>
      </c>
      <c r="PQ74" s="24">
        <v>0</v>
      </c>
      <c r="PR74" s="24">
        <v>0</v>
      </c>
      <c r="PS74" s="24">
        <v>0</v>
      </c>
      <c r="PT74" s="24">
        <v>0</v>
      </c>
      <c r="PU74" s="24">
        <v>0</v>
      </c>
      <c r="PV74" s="24">
        <v>0</v>
      </c>
      <c r="PW74" s="24">
        <v>0</v>
      </c>
      <c r="PX74" s="24">
        <v>0</v>
      </c>
      <c r="PY74" s="24">
        <v>0</v>
      </c>
      <c r="PZ74" s="24">
        <v>0</v>
      </c>
      <c r="QA74" s="24">
        <v>0</v>
      </c>
      <c r="QB74" s="24">
        <v>0</v>
      </c>
      <c r="QC74" s="24">
        <v>0</v>
      </c>
      <c r="QD74" s="24">
        <v>0</v>
      </c>
      <c r="QE74" s="24">
        <v>0</v>
      </c>
      <c r="QF74" s="24">
        <v>0</v>
      </c>
      <c r="QG74" s="24">
        <v>0</v>
      </c>
      <c r="QH74" s="24">
        <v>0</v>
      </c>
      <c r="QI74" s="24">
        <v>0</v>
      </c>
      <c r="QJ74" s="24">
        <v>0</v>
      </c>
      <c r="QK74" s="24">
        <v>0</v>
      </c>
      <c r="QL74" s="24">
        <v>0</v>
      </c>
      <c r="QM74" s="24">
        <v>0</v>
      </c>
      <c r="QN74" s="24">
        <v>0</v>
      </c>
      <c r="QO74" s="24">
        <v>0</v>
      </c>
      <c r="QP74" s="24">
        <v>0</v>
      </c>
      <c r="QQ74" s="24">
        <v>0</v>
      </c>
      <c r="QR74" s="24">
        <v>0</v>
      </c>
      <c r="QS74" s="24">
        <v>42729</v>
      </c>
      <c r="QT74" s="24">
        <v>0</v>
      </c>
      <c r="QU74" s="24">
        <v>0</v>
      </c>
      <c r="QV74" s="24">
        <v>0</v>
      </c>
      <c r="QW74" s="24">
        <v>93168</v>
      </c>
      <c r="QX74" s="24">
        <v>0</v>
      </c>
      <c r="QY74" s="24">
        <v>0</v>
      </c>
      <c r="QZ74" s="24">
        <v>0</v>
      </c>
      <c r="RA74" s="24">
        <v>0</v>
      </c>
      <c r="RB74" s="24">
        <v>0</v>
      </c>
      <c r="RG74" s="39">
        <f t="shared" si="129"/>
        <v>22146901</v>
      </c>
      <c r="RH74" s="39">
        <f t="shared" si="128"/>
        <v>1040430</v>
      </c>
      <c r="RI74" s="39">
        <f t="shared" si="128"/>
        <v>0</v>
      </c>
      <c r="RJ74" s="39">
        <f t="shared" si="128"/>
        <v>0</v>
      </c>
      <c r="RK74" s="39">
        <f t="shared" si="128"/>
        <v>59148</v>
      </c>
      <c r="RL74" s="39">
        <f t="shared" si="128"/>
        <v>3647863</v>
      </c>
      <c r="RM74" s="39">
        <f t="shared" si="128"/>
        <v>1108530</v>
      </c>
      <c r="RN74" s="39">
        <f t="shared" si="128"/>
        <v>13289</v>
      </c>
      <c r="RO74" s="39">
        <f t="shared" si="128"/>
        <v>47403</v>
      </c>
      <c r="RP74" s="39">
        <f t="shared" si="128"/>
        <v>335591</v>
      </c>
      <c r="RQ74" s="39">
        <f t="shared" si="128"/>
        <v>84827</v>
      </c>
      <c r="RR74" s="39">
        <f t="shared" si="128"/>
        <v>55812</v>
      </c>
      <c r="RS74" s="39"/>
      <c r="RT74" s="182"/>
      <c r="RU74" s="39"/>
      <c r="RV74" s="39">
        <f t="shared" si="127"/>
        <v>4125991</v>
      </c>
      <c r="RW74" s="39">
        <f t="shared" si="127"/>
        <v>28539794</v>
      </c>
      <c r="RX74" s="39">
        <f t="shared" si="127"/>
        <v>8365012</v>
      </c>
      <c r="RY74" s="39">
        <f t="shared" si="127"/>
        <v>135897</v>
      </c>
      <c r="RZ74" s="39"/>
      <c r="SA74" s="182"/>
      <c r="SB74" s="39"/>
      <c r="SC74" s="25">
        <f t="shared" si="50"/>
        <v>1589.7020144431774</v>
      </c>
      <c r="SD74" s="39">
        <f>IFERROR(VLOOKUP(A74, 'Levy Data 15-16'!$B:$O, 3, FALSE), 0)</f>
        <v>2394010898</v>
      </c>
      <c r="SE74" s="39">
        <f t="shared" ref="SE74:SE105" si="144">SD74/ST74</f>
        <v>454962.16229570506</v>
      </c>
      <c r="SF74" s="631">
        <f>IFERROR(VLOOKUP(A74, 'Levy Data 15-16'!$B:$O, 14, FALSE), 0)*1000</f>
        <v>2.824919</v>
      </c>
      <c r="SG74" s="39">
        <f t="shared" ref="SG74:SG105" si="145">$SG$6*SD74/1000</f>
        <v>0</v>
      </c>
      <c r="SH74" s="39">
        <f t="shared" ref="SH74:SH105" si="146">MIN(RX74,SG74)</f>
        <v>0</v>
      </c>
      <c r="SI74" s="39">
        <f t="shared" ref="SI74:SI105" si="147">(RX74-SH74)*1</f>
        <v>8365012</v>
      </c>
      <c r="SM74" s="39">
        <f t="shared" ref="SM74:SM105" si="148">SUM(RG74:RR74)</f>
        <v>28539794</v>
      </c>
      <c r="SN74" s="39">
        <f t="shared" ref="SN74:SN105" si="149">SM74-SUMIFS(RG74:RR74,RG$4:RR$4,"X")</f>
        <v>0</v>
      </c>
      <c r="SO74" s="39">
        <f t="shared" si="51"/>
        <v>28539794</v>
      </c>
      <c r="SP74" s="50">
        <f t="shared" si="130"/>
        <v>1</v>
      </c>
      <c r="ST74" s="124">
        <f>IFERROR(VLOOKUP(A74,'Grade Enroll 15-16'!B:AC,27,FALSE),"")</f>
        <v>5262</v>
      </c>
      <c r="SU74" s="124">
        <f t="shared" si="53"/>
        <v>2507.467501380961</v>
      </c>
      <c r="SV74" s="131">
        <f>IFERROR(VLOOKUP($A74, 'Title I Enroll 16-17'!S:V, 4, FALSE), 0)</f>
        <v>0.47652366046768552</v>
      </c>
      <c r="SW74" s="729">
        <f>IFERROR(VLOOKUP(A74, 'ELL Enroll 15-16'!$N:$S, 6, FALSE), 0)</f>
        <v>22</v>
      </c>
      <c r="SX74" s="131">
        <f t="shared" si="131"/>
        <v>4.1809198023565189E-3</v>
      </c>
      <c r="SY74" s="124">
        <f>IFERROR(VLOOKUP(A74, 'SPED enroll 2015-16'!$M:$O, 3, FALSE), 0)</f>
        <v>537</v>
      </c>
      <c r="SZ74" s="131">
        <f t="shared" si="132"/>
        <v>0.10205245153933866</v>
      </c>
      <c r="TA74" s="142">
        <f t="shared" si="133"/>
        <v>375.9</v>
      </c>
      <c r="TB74" s="142">
        <f t="shared" si="133"/>
        <v>107.4</v>
      </c>
      <c r="TC74" s="142">
        <f t="shared" si="133"/>
        <v>37.590000000000003</v>
      </c>
      <c r="TD74" s="142">
        <f t="shared" si="133"/>
        <v>16.11</v>
      </c>
      <c r="TE74" s="124">
        <f>VLOOKUP($A74, 'Grade Enroll 15-16'!$B:$AB, 20, FALSE)</f>
        <v>59</v>
      </c>
      <c r="TF74" s="124">
        <f>VLOOKUP($A74, 'Grade Enroll 15-16'!$B:$AB, 21, FALSE)</f>
        <v>397</v>
      </c>
      <c r="TG74" s="124">
        <f>VLOOKUP($A74, 'Grade Enroll 15-16'!$B:$AB, 22, FALSE)</f>
        <v>1425</v>
      </c>
      <c r="TH74" s="124">
        <f>VLOOKUP($A74, 'Grade Enroll 15-16'!$B:$AB, 23, FALSE)</f>
        <v>1335</v>
      </c>
      <c r="TI74" s="124">
        <f>VLOOKUP($A74, 'Grade Enroll 15-16'!$B:$AB, 24, FALSE)</f>
        <v>876</v>
      </c>
      <c r="TJ74" s="124">
        <f>VLOOKUP($A74, 'Grade Enroll 15-16'!$B:$AB, 25, FALSE)</f>
        <v>1626</v>
      </c>
      <c r="TK74" s="124">
        <f>VLOOKUP($A74, 'Grade Enroll 15-16'!$B:$AB, 26, FALSE)</f>
        <v>3597</v>
      </c>
      <c r="TL74" s="131">
        <f>SUMIFS('Student Achievement 15-16'!N:N, 'Student Achievement 15-16'!B:B, 'Idaho Data'!A74, 'Student Achievement 15-16'!D:D, "math")/100</f>
        <v>0.20100000000000001</v>
      </c>
      <c r="TM74" s="134">
        <f t="shared" si="57"/>
        <v>1057.662</v>
      </c>
      <c r="TN74" s="131">
        <f>SUMIFS('Student Achievement 15-16'!N:N, 'Student Achievement 15-16'!B:B, 'Idaho Data'!A74, 'Student Achievement 15-16'!D:D, "ela")/100</f>
        <v>0.17699999999999999</v>
      </c>
      <c r="TO74" s="134">
        <f t="shared" si="134"/>
        <v>931.37399999999991</v>
      </c>
      <c r="TP74" s="688">
        <f>IFERROR(VLOOKUP(A74, 'G&amp;T 15-16'!B:G, 6, FALSE), 0)*1</f>
        <v>399</v>
      </c>
      <c r="TQ74" s="168">
        <f t="shared" si="135"/>
        <v>315.71999999999997</v>
      </c>
      <c r="TU74" s="168">
        <f t="shared" si="136"/>
        <v>931.37399999999991</v>
      </c>
      <c r="TV74" s="168">
        <f t="shared" si="137"/>
        <v>1057.662</v>
      </c>
      <c r="TW74" s="205">
        <f t="shared" si="138"/>
        <v>1057.662</v>
      </c>
      <c r="TX74" s="144"/>
      <c r="TY74" s="129"/>
      <c r="TZ74" s="127">
        <f t="shared" si="139"/>
        <v>315.71999999999997</v>
      </c>
      <c r="UA74" s="127">
        <f t="shared" si="140"/>
        <v>399</v>
      </c>
      <c r="UB74" s="205">
        <f t="shared" si="141"/>
        <v>399</v>
      </c>
      <c r="UE74" s="853" t="str">
        <f>IF(ST74&lt;='1. Simulator Input'!$E$104, "yes", "")</f>
        <v/>
      </c>
      <c r="UI74" s="199">
        <f t="shared" si="66"/>
        <v>0</v>
      </c>
      <c r="UJ74" s="200">
        <f>IF('Idaho Data'!SI74&gt;=0, ((1-'1. Simulator Input'!$E$39)*'Idaho Data'!SI74), 0)</f>
        <v>0</v>
      </c>
      <c r="UK74" s="200">
        <f t="shared" si="142"/>
        <v>28539794</v>
      </c>
      <c r="UL74" s="39"/>
      <c r="UM74" s="182"/>
      <c r="UN74" s="39"/>
      <c r="UO74" s="39" t="str">
        <f>IF(AND('1. Simulator Input'!$E$96="yes", '1. Simulator Input'!$E$98="yes", '1. Simulator Input'!$E$100="hold harmless"), 'Idaho Data'!WN74, IF(AND('1. Simulator Input'!$E$96="yes", '1. Simulator Input'!$E$98="no", '1. Simulator Input'!$E$100="hold harmless"), 'Idaho Data'!WM74, IF(AND('1. Simulator Input'!$E$96="yes", '1. Simulator Input'!$E$98="yes", '1. Simulator Input'!$E$100="small district grant"), WL74,IF(AND('1. Simulator Input'!$E$96="yes", '1. Simulator Input'!$E$98="no", '1. Simulator Input'!$E$100="small district grant"), WK74, ""))))</f>
        <v/>
      </c>
      <c r="UP74" s="200">
        <f>'1. Simulator Input'!$D$56*('Idaho Data'!ST74)</f>
        <v>29077812</v>
      </c>
      <c r="UQ74" s="204">
        <f>'1. Simulator Input'!$D$65*'1. Simulator Input'!$D$56*'Idaho Data'!SU74</f>
        <v>0</v>
      </c>
      <c r="UR74" s="204">
        <f>'1. Simulator Input'!$D$66*'1. Simulator Input'!$D$56*'Idaho Data'!SW74</f>
        <v>0</v>
      </c>
      <c r="US74" s="200">
        <f>'1. Simulator Input'!$D$67*'1. Simulator Input'!$D$56*'Idaho Data'!TA74</f>
        <v>0</v>
      </c>
      <c r="UT74" s="200">
        <f>'1. Simulator Input'!$D$68*'1. Simulator Input'!$D$56*'Idaho Data'!TB74</f>
        <v>0</v>
      </c>
      <c r="UU74" s="200">
        <f>'1. Simulator Input'!$D$69*'1. Simulator Input'!$D$56*'Idaho Data'!TC74</f>
        <v>0</v>
      </c>
      <c r="UV74" s="200">
        <f>'1. Simulator Input'!$D$70*'1. Simulator Input'!$D$56*TD74</f>
        <v>0</v>
      </c>
      <c r="UW74" s="200">
        <f>'1. Simulator Input'!$D$80*'1. Simulator Input'!$D$56*TW74</f>
        <v>0</v>
      </c>
      <c r="UX74" s="200">
        <f>'1. Simulator Input'!$D$79*'1. Simulator Input'!$D$56*UB74</f>
        <v>0</v>
      </c>
      <c r="UY74" s="200">
        <f>'1. Simulator Input'!$D$87*'1. Simulator Input'!$D$56*TF74</f>
        <v>1096911</v>
      </c>
      <c r="UZ74" s="200">
        <f>'1. Simulator Input'!$D$73*'1. Simulator Input'!$D$56*'Idaho Data'!TG74</f>
        <v>0</v>
      </c>
      <c r="VA74" s="200">
        <f>'1. Simulator Input'!$D$56*'1. Simulator Input'!$D$74*'Idaho Data'!TH74</f>
        <v>0</v>
      </c>
      <c r="VB74" s="200">
        <f>'1. Simulator Input'!$D$56*'1. Simulator Input'!$D$75*'Idaho Data'!TI69</f>
        <v>0</v>
      </c>
      <c r="VC74" s="200">
        <f>'1. Simulator Input'!$D$76*'1. Simulator Input'!$D$56*'Idaho Data'!TJ74</f>
        <v>0</v>
      </c>
      <c r="VD74" s="200">
        <f t="shared" si="68"/>
        <v>30174723</v>
      </c>
      <c r="VE74" s="200"/>
      <c r="VF74" s="182"/>
      <c r="VG74" s="200"/>
      <c r="VH74" s="200">
        <f t="shared" si="69"/>
        <v>0</v>
      </c>
      <c r="VI74" s="200">
        <f t="shared" si="70"/>
        <v>0</v>
      </c>
      <c r="VJ74" s="200">
        <f t="shared" ref="VJ74:VJ105" si="150">SUM($UO74:$VC74)-VH74</f>
        <v>30174723</v>
      </c>
      <c r="VK74" s="200">
        <f t="shared" ref="VK74:VK105" si="151">IF(AND($UE$5&gt;0, UE74="yes"), VJ74, IF(VJ74&lt;0, 0, VJ74-($VK$2*ST74)))</f>
        <v>30174723</v>
      </c>
      <c r="VL74" s="200"/>
      <c r="VM74" s="182"/>
      <c r="VN74" s="200"/>
      <c r="VO74" s="200">
        <f t="shared" si="71"/>
        <v>4125991</v>
      </c>
      <c r="VP74" s="200">
        <f t="shared" si="72"/>
        <v>28539794</v>
      </c>
      <c r="VQ74" s="200">
        <f t="shared" si="73"/>
        <v>8365012</v>
      </c>
      <c r="VR74" s="200">
        <f t="shared" si="74"/>
        <v>4125991</v>
      </c>
      <c r="VS74" s="200">
        <f t="shared" ref="VS74:VS105" si="152">VK74+SN74</f>
        <v>30174723</v>
      </c>
      <c r="VT74" s="200">
        <f t="shared" ref="VT74:VT105" si="153">VI74+SI74</f>
        <v>8365012</v>
      </c>
      <c r="VU74" s="200">
        <f t="shared" ref="VU74:VU105" si="154">IF(SH74&gt;SG74,0, SG74-SH74)</f>
        <v>0</v>
      </c>
      <c r="VV74" s="200"/>
      <c r="VW74" s="182"/>
      <c r="VX74" s="200"/>
      <c r="VZ74" s="199">
        <f t="shared" si="75"/>
        <v>1634929</v>
      </c>
      <c r="WA74" s="199">
        <f t="shared" si="76"/>
        <v>310.70486507031546</v>
      </c>
      <c r="WB74" s="131">
        <f t="shared" si="77"/>
        <v>5.7285942568471235E-2</v>
      </c>
      <c r="WC74" s="131"/>
      <c r="WD74" s="461"/>
      <c r="WE74" s="893"/>
      <c r="WF74" s="893">
        <f t="shared" si="78"/>
        <v>7797.5668947168379</v>
      </c>
      <c r="WG74" s="893">
        <f t="shared" si="79"/>
        <v>8108.2717597871533</v>
      </c>
      <c r="WH74" s="893"/>
      <c r="WI74" s="893">
        <f t="shared" si="80"/>
        <v>28539794</v>
      </c>
      <c r="WJ74" s="893">
        <f t="shared" ref="WJ74:WJ105" si="155">SUM(UP74:VC74)-UI74</f>
        <v>30174723</v>
      </c>
      <c r="WK74" s="39" t="str">
        <f t="shared" ref="WK74:WK105" si="156">IF(UE74="","",IF($UE$5="","",IF(AND(UE74="yes", WJ74&gt;WI74),0,IF((WI74-WJ74)&gt;$UE$5,$UE$5,WI74-WJ74))))</f>
        <v/>
      </c>
      <c r="WL74" s="39" t="str">
        <f t="shared" ref="WL74:WL105" si="157">IF(WK74="", "", IF((WJ74+(SG74-SH74)-WI74)&gt;0, 0, IF((WI74-WJ74+(SG74-SH74))&gt;=$UE$5, $UE$5, (WI74-WJ74-(SG74-SH74)))))</f>
        <v/>
      </c>
      <c r="WM74" s="200" t="str">
        <f t="shared" ref="WM74:WM105" si="158">IF(UE74="","",IF(WJ74&gt;WI74,0,WI74-WJ74))</f>
        <v/>
      </c>
      <c r="WN74" s="39" t="str">
        <f t="shared" ref="WN74:WN105" si="159">IF(ISNUMBER(WM74), WM74-(SG74-SH74), "")</f>
        <v/>
      </c>
      <c r="WO74" s="39"/>
      <c r="WP74" s="182"/>
      <c r="WQ74" s="39"/>
      <c r="WR74" s="305">
        <f t="shared" ref="WR74:WR105" si="160">_xlfn.PERCENTRANK.INC($SE$10:$SE$124, SE74, 3)</f>
        <v>0.438</v>
      </c>
      <c r="WT74" s="200">
        <f t="shared" ref="WT74:WT105" si="161">RW74/ST74</f>
        <v>5423.7540858988978</v>
      </c>
      <c r="WU74" s="131">
        <f t="shared" si="81"/>
        <v>7.0000000000000007E-2</v>
      </c>
      <c r="WW74" s="199">
        <f t="shared" ref="WW74:WW105" si="162">RV74</f>
        <v>4125991</v>
      </c>
      <c r="WX74" s="199">
        <f t="shared" ref="WX74:WX105" si="163">IF((XP74-UI74)&lt;0, 0, (XP74-UI74))</f>
        <v>30174723</v>
      </c>
      <c r="WY74" s="199">
        <f t="shared" ref="WY74:WY105" si="164">YF74</f>
        <v>0</v>
      </c>
      <c r="WZ74" s="199">
        <f t="shared" si="82"/>
        <v>30174723</v>
      </c>
      <c r="XA74" s="199">
        <f t="shared" ref="XA74:XA105" si="165">SH74</f>
        <v>0</v>
      </c>
      <c r="XB74" s="199">
        <f t="shared" ref="XB74:XB105" si="166">SI74</f>
        <v>8365012</v>
      </c>
      <c r="XC74" s="199">
        <f t="shared" ref="XC74:XC105" si="167">RX74</f>
        <v>8365012</v>
      </c>
      <c r="XD74" s="199" t="str">
        <f t="shared" ref="XD74:XD105" si="168">IF(XP74-UI74&lt;0, -(XP74-UI74), "")</f>
        <v/>
      </c>
      <c r="XE74" s="199"/>
      <c r="XF74" s="199"/>
      <c r="XG74" s="199"/>
      <c r="XH74" s="199"/>
      <c r="XI74" s="199"/>
      <c r="XJ74" s="199">
        <f t="shared" si="83"/>
        <v>30174723</v>
      </c>
      <c r="XP74" s="199">
        <f t="shared" ref="XP74:XP105" si="169">SUM(UO74:VC74)</f>
        <v>30174723</v>
      </c>
      <c r="XQ74" s="199">
        <f t="shared" ref="XQ74:XQ105" si="170">XP74/ST74</f>
        <v>5734.4589509692132</v>
      </c>
      <c r="XR74" s="199">
        <f t="shared" ref="XR74:XR105" si="171">IF(UI74&gt;0,XP74-UI74+SH74,XP74)</f>
        <v>30174723</v>
      </c>
      <c r="XS74" s="199">
        <f t="shared" ref="XS74:XS105" si="172">IF(XR74&lt;0, 0, XR74-$XR$171*ST74)</f>
        <v>30174723</v>
      </c>
      <c r="XT74" s="199">
        <f t="shared" ref="XT74:XT105" si="173">XS74/ST74</f>
        <v>5734.4589509692132</v>
      </c>
      <c r="XU74" s="199">
        <f t="shared" ref="XU74:XU105" si="174">SUM(UI74:UK74)</f>
        <v>28539794</v>
      </c>
      <c r="XV74" s="199">
        <f t="shared" ref="XV74:XV105" si="175">XU74/ST74</f>
        <v>5423.7540858988978</v>
      </c>
      <c r="XW74" s="199">
        <f t="shared" ref="XW74:XW105" si="176">UK74+SH74</f>
        <v>28539794</v>
      </c>
      <c r="XX74" s="199">
        <f t="shared" ref="XX74:XX105" si="177">XW74/ST74</f>
        <v>5423.7540858988978</v>
      </c>
      <c r="XY74" s="199">
        <f t="shared" si="84"/>
        <v>1634929</v>
      </c>
      <c r="XZ74" s="199">
        <f t="shared" si="85"/>
        <v>310.70486507031546</v>
      </c>
      <c r="YA74" s="131">
        <f t="shared" si="143"/>
        <v>5.7285942568471235E-2</v>
      </c>
      <c r="YB74" s="199"/>
      <c r="YC74" s="221"/>
      <c r="YD74" s="199"/>
      <c r="YE74" s="199">
        <f t="shared" ref="YE74:YE105" si="178">RV74</f>
        <v>4125991</v>
      </c>
      <c r="YF74" s="200">
        <f t="shared" ref="YF74:YF105" si="179">SUMIF($RG$4:$RR$4, "0", RG74:RR74)</f>
        <v>0</v>
      </c>
      <c r="YG74" s="199">
        <f t="shared" ref="YG74:YG105" si="180">SI74</f>
        <v>8365012</v>
      </c>
      <c r="YH74" s="199">
        <f t="shared" ref="YH74:YH105" si="181">RY74</f>
        <v>135897</v>
      </c>
    </row>
    <row r="75" spans="1:658">
      <c r="A75" s="3">
        <v>274</v>
      </c>
      <c r="B75" s="2" t="s">
        <v>170</v>
      </c>
      <c r="C75" s="24">
        <v>5888</v>
      </c>
      <c r="D75" s="24">
        <v>0</v>
      </c>
      <c r="E75" s="24">
        <v>0</v>
      </c>
      <c r="F75" s="24">
        <v>0</v>
      </c>
      <c r="G75" s="24">
        <v>899537</v>
      </c>
      <c r="H75" s="24">
        <v>0</v>
      </c>
      <c r="I75" s="24">
        <v>0</v>
      </c>
      <c r="J75" s="24">
        <v>16033</v>
      </c>
      <c r="K75" s="24">
        <v>0</v>
      </c>
      <c r="L75" s="24">
        <v>0</v>
      </c>
      <c r="M75" s="24">
        <v>0</v>
      </c>
      <c r="N75" s="24">
        <v>0</v>
      </c>
      <c r="O75" s="24">
        <v>0</v>
      </c>
      <c r="P75" s="24">
        <v>0</v>
      </c>
      <c r="Q75" s="24">
        <v>0</v>
      </c>
      <c r="R75" s="24">
        <v>0</v>
      </c>
      <c r="S75" s="24">
        <v>0</v>
      </c>
      <c r="T75" s="24">
        <v>0</v>
      </c>
      <c r="U75" s="24">
        <v>0</v>
      </c>
      <c r="V75" s="24">
        <v>0</v>
      </c>
      <c r="W75" s="24">
        <v>0</v>
      </c>
      <c r="X75" s="24">
        <v>232447</v>
      </c>
      <c r="Y75" s="24">
        <v>13020</v>
      </c>
      <c r="Z75" s="24">
        <v>0</v>
      </c>
      <c r="AA75" s="24">
        <v>0</v>
      </c>
      <c r="AB75" s="24">
        <v>0</v>
      </c>
      <c r="AC75" s="24">
        <v>0</v>
      </c>
      <c r="AD75" s="24">
        <v>0</v>
      </c>
      <c r="AE75" s="24">
        <v>0</v>
      </c>
      <c r="AF75" s="24">
        <v>0</v>
      </c>
      <c r="AG75" s="24">
        <v>0</v>
      </c>
      <c r="AH75" s="24">
        <v>0</v>
      </c>
      <c r="AI75" s="24">
        <v>0</v>
      </c>
      <c r="AJ75" s="24">
        <v>0</v>
      </c>
      <c r="AK75" s="24">
        <v>0</v>
      </c>
      <c r="AL75" s="24">
        <v>5821</v>
      </c>
      <c r="AM75" s="24">
        <v>0</v>
      </c>
      <c r="AN75" s="2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c r="BE75" s="24">
        <v>1530</v>
      </c>
      <c r="BF75" s="24">
        <v>0</v>
      </c>
      <c r="BG75" s="24">
        <v>0</v>
      </c>
      <c r="BH75" s="24">
        <v>0</v>
      </c>
      <c r="BI75" s="24">
        <v>0</v>
      </c>
      <c r="BJ75" s="24">
        <v>0</v>
      </c>
      <c r="BK75" s="24">
        <v>0</v>
      </c>
      <c r="BL75" s="24">
        <v>0</v>
      </c>
      <c r="BM75" s="24">
        <v>0</v>
      </c>
      <c r="BN75" s="24">
        <v>0</v>
      </c>
      <c r="BO75" s="24">
        <v>0</v>
      </c>
      <c r="BP75" s="24">
        <v>0</v>
      </c>
      <c r="BQ75" s="24">
        <v>0</v>
      </c>
      <c r="BR75" s="24">
        <v>0</v>
      </c>
      <c r="BS75" s="24">
        <v>0</v>
      </c>
      <c r="BT75" s="24">
        <v>0</v>
      </c>
      <c r="BU75" s="24">
        <v>0</v>
      </c>
      <c r="BV75" s="24">
        <v>0</v>
      </c>
      <c r="BW75" s="24">
        <v>0</v>
      </c>
      <c r="BX75" s="24">
        <v>0</v>
      </c>
      <c r="BY75" s="24">
        <v>0</v>
      </c>
      <c r="BZ75" s="24">
        <v>0</v>
      </c>
      <c r="CA75" s="24">
        <v>0</v>
      </c>
      <c r="CB75" s="24">
        <v>0</v>
      </c>
      <c r="CC75" s="24">
        <v>0</v>
      </c>
      <c r="CD75" s="24">
        <v>22399</v>
      </c>
      <c r="CE75" s="24">
        <v>960</v>
      </c>
      <c r="CF75" s="24">
        <v>0</v>
      </c>
      <c r="CG75" s="24">
        <v>0</v>
      </c>
      <c r="CH75" s="24">
        <v>0</v>
      </c>
      <c r="CI75" s="24">
        <v>0</v>
      </c>
      <c r="CJ75" s="24">
        <v>0</v>
      </c>
      <c r="CK75" s="24">
        <v>0</v>
      </c>
      <c r="CL75" s="24">
        <v>0</v>
      </c>
      <c r="CM75" s="24">
        <v>0</v>
      </c>
      <c r="CN75" s="24">
        <v>0</v>
      </c>
      <c r="CO75" s="24">
        <v>0</v>
      </c>
      <c r="CP75" s="24">
        <v>0</v>
      </c>
      <c r="CQ75" s="24">
        <v>0</v>
      </c>
      <c r="CR75" s="24">
        <v>0</v>
      </c>
      <c r="CS75" s="24">
        <v>0</v>
      </c>
      <c r="CT75" s="24">
        <v>0</v>
      </c>
      <c r="CU75" s="24">
        <v>0</v>
      </c>
      <c r="CV75" s="24">
        <v>0</v>
      </c>
      <c r="CW75" s="24">
        <v>0</v>
      </c>
      <c r="CX75" s="24">
        <v>0</v>
      </c>
      <c r="CY75" s="24">
        <v>0</v>
      </c>
      <c r="CZ75" s="24">
        <v>0</v>
      </c>
      <c r="DA75" s="24">
        <v>0</v>
      </c>
      <c r="DB75" s="24">
        <v>0</v>
      </c>
      <c r="DC75" s="24">
        <v>0</v>
      </c>
      <c r="DD75" s="24">
        <v>0</v>
      </c>
      <c r="DE75" s="24">
        <v>0</v>
      </c>
      <c r="DF75" s="24">
        <v>0</v>
      </c>
      <c r="DG75" s="24">
        <v>0</v>
      </c>
      <c r="DH75" s="24">
        <v>0</v>
      </c>
      <c r="DI75" s="24">
        <v>0</v>
      </c>
      <c r="DJ75" s="24">
        <v>0</v>
      </c>
      <c r="DK75" s="24">
        <v>0</v>
      </c>
      <c r="DL75" s="24">
        <v>0</v>
      </c>
      <c r="DM75" s="24">
        <v>0</v>
      </c>
      <c r="DN75" s="24">
        <v>0</v>
      </c>
      <c r="DO75" s="24">
        <v>0</v>
      </c>
      <c r="DP75" s="24">
        <v>0</v>
      </c>
      <c r="DQ75" s="24">
        <v>0</v>
      </c>
      <c r="DR75" s="24">
        <v>0</v>
      </c>
      <c r="DS75" s="24">
        <v>0</v>
      </c>
      <c r="DT75" s="24">
        <v>0</v>
      </c>
      <c r="DU75" s="24">
        <v>872</v>
      </c>
      <c r="DV75" s="24">
        <v>0</v>
      </c>
      <c r="DW75" s="24">
        <v>0</v>
      </c>
      <c r="DX75" s="24">
        <v>0</v>
      </c>
      <c r="DY75" s="24">
        <v>0</v>
      </c>
      <c r="DZ75" s="24">
        <v>0</v>
      </c>
      <c r="EA75" s="24">
        <v>0</v>
      </c>
      <c r="EB75" s="24">
        <v>0</v>
      </c>
      <c r="EC75" s="24">
        <v>0</v>
      </c>
      <c r="ED75" s="24">
        <v>0</v>
      </c>
      <c r="EE75" s="24">
        <v>0</v>
      </c>
      <c r="EF75" s="24">
        <v>0</v>
      </c>
      <c r="EG75" s="24">
        <v>0</v>
      </c>
      <c r="EH75" s="24">
        <v>0</v>
      </c>
      <c r="EI75" s="24">
        <v>0</v>
      </c>
      <c r="EJ75" s="24">
        <v>0</v>
      </c>
      <c r="EK75" s="24">
        <v>0</v>
      </c>
      <c r="EL75" s="24">
        <v>0</v>
      </c>
      <c r="EM75" s="24">
        <v>0</v>
      </c>
      <c r="EN75" s="24">
        <v>0</v>
      </c>
      <c r="EO75" s="24">
        <v>0</v>
      </c>
      <c r="EP75" s="24">
        <v>0</v>
      </c>
      <c r="EQ75" s="24">
        <v>0</v>
      </c>
      <c r="ER75" s="24">
        <v>0</v>
      </c>
      <c r="ES75" s="24">
        <v>0</v>
      </c>
      <c r="ET75" s="24">
        <v>0</v>
      </c>
      <c r="EU75" s="24">
        <v>0</v>
      </c>
      <c r="EV75" s="24">
        <v>0</v>
      </c>
      <c r="EW75" s="24">
        <v>0</v>
      </c>
      <c r="EX75" s="24">
        <v>0</v>
      </c>
      <c r="EY75" s="24">
        <v>0</v>
      </c>
      <c r="EZ75" s="24">
        <v>0</v>
      </c>
      <c r="FA75" s="24">
        <v>0</v>
      </c>
      <c r="FB75" s="24">
        <v>0</v>
      </c>
      <c r="FC75" s="24">
        <v>0</v>
      </c>
      <c r="FD75" s="24">
        <v>0</v>
      </c>
      <c r="FE75" s="24">
        <v>0</v>
      </c>
      <c r="FF75" s="24">
        <v>0</v>
      </c>
      <c r="FG75" s="24">
        <v>0</v>
      </c>
      <c r="FH75" s="24">
        <v>0</v>
      </c>
      <c r="FI75" s="24">
        <v>0</v>
      </c>
      <c r="FJ75" s="24">
        <v>0</v>
      </c>
      <c r="FK75" s="24">
        <v>0</v>
      </c>
      <c r="FL75" s="24">
        <v>0</v>
      </c>
      <c r="FM75" s="24">
        <v>0</v>
      </c>
      <c r="FN75" s="24">
        <v>0</v>
      </c>
      <c r="FO75" s="24">
        <v>0</v>
      </c>
      <c r="FP75" s="24">
        <v>0</v>
      </c>
      <c r="FQ75" s="24">
        <v>0</v>
      </c>
      <c r="FR75" s="24">
        <v>0</v>
      </c>
      <c r="FS75" s="24">
        <v>77109</v>
      </c>
      <c r="FT75" s="24">
        <v>0</v>
      </c>
      <c r="FU75" s="24">
        <v>0</v>
      </c>
      <c r="FV75" s="24">
        <v>0</v>
      </c>
      <c r="FW75" s="24">
        <v>0</v>
      </c>
      <c r="FX75" s="24">
        <v>0</v>
      </c>
      <c r="FY75" s="24">
        <v>0</v>
      </c>
      <c r="FZ75" s="24">
        <v>0</v>
      </c>
      <c r="GA75" s="24">
        <v>0</v>
      </c>
      <c r="GB75" s="24">
        <v>0</v>
      </c>
      <c r="GC75" s="24">
        <v>0</v>
      </c>
      <c r="GD75" s="24">
        <v>0</v>
      </c>
      <c r="GE75" s="24">
        <v>0</v>
      </c>
      <c r="GF75" s="24">
        <v>0</v>
      </c>
      <c r="GG75" s="24">
        <v>0</v>
      </c>
      <c r="GH75" s="24">
        <v>0</v>
      </c>
      <c r="GI75" s="24">
        <v>0</v>
      </c>
      <c r="GJ75" s="24">
        <v>0</v>
      </c>
      <c r="GK75" s="24">
        <v>0</v>
      </c>
      <c r="GL75" s="24">
        <v>0</v>
      </c>
      <c r="GM75" s="24">
        <v>0</v>
      </c>
      <c r="GN75" s="24">
        <v>0</v>
      </c>
      <c r="GO75" s="24">
        <v>0</v>
      </c>
      <c r="GP75" s="24">
        <v>0</v>
      </c>
      <c r="GQ75" s="24">
        <v>0</v>
      </c>
      <c r="GR75" s="24">
        <v>0</v>
      </c>
      <c r="GS75" s="24">
        <v>0</v>
      </c>
      <c r="GT75" s="24">
        <v>34508</v>
      </c>
      <c r="GU75" s="24">
        <v>0</v>
      </c>
      <c r="GV75" s="24">
        <v>0</v>
      </c>
      <c r="GW75" s="24">
        <v>0</v>
      </c>
      <c r="GX75" s="24">
        <v>0</v>
      </c>
      <c r="GY75" s="24">
        <v>0</v>
      </c>
      <c r="GZ75" s="24">
        <v>0</v>
      </c>
      <c r="HA75" s="24">
        <v>0</v>
      </c>
      <c r="HB75" s="24">
        <v>0</v>
      </c>
      <c r="HC75" s="24">
        <v>0</v>
      </c>
      <c r="HD75" s="24">
        <v>1094959</v>
      </c>
      <c r="HE75" s="24">
        <v>0</v>
      </c>
      <c r="HF75" s="24">
        <v>0</v>
      </c>
      <c r="HG75" s="24">
        <v>0</v>
      </c>
      <c r="HH75" s="24">
        <v>0</v>
      </c>
      <c r="HI75" s="24">
        <v>140886</v>
      </c>
      <c r="HJ75" s="24">
        <v>0</v>
      </c>
      <c r="HK75" s="24">
        <v>0</v>
      </c>
      <c r="HL75" s="24">
        <v>1946</v>
      </c>
      <c r="HM75" s="24">
        <v>0</v>
      </c>
      <c r="HN75" s="24">
        <v>0</v>
      </c>
      <c r="HO75" s="24">
        <v>148626</v>
      </c>
      <c r="HP75" s="24">
        <v>71885</v>
      </c>
      <c r="HQ75" s="24">
        <v>0</v>
      </c>
      <c r="HR75" s="24">
        <v>0</v>
      </c>
      <c r="HS75" s="24">
        <v>0</v>
      </c>
      <c r="HT75" s="24">
        <v>0</v>
      </c>
      <c r="HU75" s="24">
        <v>0</v>
      </c>
      <c r="HV75" s="24">
        <v>0</v>
      </c>
      <c r="HW75" s="24">
        <v>0</v>
      </c>
      <c r="HX75" s="24">
        <v>0</v>
      </c>
      <c r="HY75" s="24">
        <v>0</v>
      </c>
      <c r="HZ75" s="24">
        <v>0</v>
      </c>
      <c r="IA75" s="24">
        <v>19143</v>
      </c>
      <c r="IB75" s="24">
        <v>4140</v>
      </c>
      <c r="IC75" s="24">
        <v>0</v>
      </c>
      <c r="ID75" s="24">
        <v>0</v>
      </c>
      <c r="IE75" s="24">
        <v>0</v>
      </c>
      <c r="IF75" s="24">
        <v>0</v>
      </c>
      <c r="IG75" s="24">
        <v>0</v>
      </c>
      <c r="IH75" s="24">
        <v>0</v>
      </c>
      <c r="II75" s="24">
        <v>0</v>
      </c>
      <c r="IJ75" s="24">
        <v>0</v>
      </c>
      <c r="IK75" s="24">
        <v>0</v>
      </c>
      <c r="IL75" s="24">
        <v>0</v>
      </c>
      <c r="IM75" s="24">
        <v>0</v>
      </c>
      <c r="IN75" s="24">
        <v>0</v>
      </c>
      <c r="IO75" s="24">
        <v>0</v>
      </c>
      <c r="IP75" s="24">
        <v>0</v>
      </c>
      <c r="IQ75" s="24">
        <v>0</v>
      </c>
      <c r="IR75" s="24">
        <v>3950</v>
      </c>
      <c r="IS75" s="24">
        <v>0</v>
      </c>
      <c r="IT75" s="24">
        <v>0</v>
      </c>
      <c r="IU75" s="24">
        <v>0</v>
      </c>
      <c r="IV75" s="24">
        <v>0</v>
      </c>
      <c r="IW75" s="24">
        <v>11969</v>
      </c>
      <c r="IX75" s="24">
        <v>0</v>
      </c>
      <c r="IY75" s="24">
        <v>0</v>
      </c>
      <c r="IZ75" s="24">
        <v>0</v>
      </c>
      <c r="JA75" s="24">
        <v>0</v>
      </c>
      <c r="JB75" s="24">
        <v>0</v>
      </c>
      <c r="JC75" s="24">
        <v>0</v>
      </c>
      <c r="JD75" s="24">
        <v>0</v>
      </c>
      <c r="JE75" s="24">
        <v>8754</v>
      </c>
      <c r="JF75" s="24">
        <v>0</v>
      </c>
      <c r="JG75" s="24">
        <v>0</v>
      </c>
      <c r="JH75" s="24">
        <v>0</v>
      </c>
      <c r="JI75" s="24">
        <v>0</v>
      </c>
      <c r="JJ75" s="24">
        <v>0</v>
      </c>
      <c r="JK75" s="24">
        <v>0</v>
      </c>
      <c r="JL75" s="24">
        <v>0</v>
      </c>
      <c r="JM75" s="24">
        <v>0</v>
      </c>
      <c r="JN75" s="24">
        <v>0</v>
      </c>
      <c r="JO75" s="24">
        <v>0</v>
      </c>
      <c r="JP75" s="24">
        <v>0</v>
      </c>
      <c r="JQ75" s="24">
        <v>0</v>
      </c>
      <c r="JR75" s="24">
        <v>0</v>
      </c>
      <c r="JS75" s="24">
        <v>0</v>
      </c>
      <c r="JT75" s="24">
        <v>0</v>
      </c>
      <c r="JU75" s="24">
        <v>0</v>
      </c>
      <c r="JV75" s="24">
        <v>0</v>
      </c>
      <c r="JW75" s="24">
        <v>0</v>
      </c>
      <c r="JX75" s="24">
        <v>0</v>
      </c>
      <c r="JY75" s="24">
        <v>0</v>
      </c>
      <c r="JZ75" s="24">
        <v>0</v>
      </c>
      <c r="KA75" s="24">
        <v>0</v>
      </c>
      <c r="KB75" s="24">
        <v>0</v>
      </c>
      <c r="KC75" s="24">
        <v>0</v>
      </c>
      <c r="KD75" s="24">
        <v>0</v>
      </c>
      <c r="KE75" s="24">
        <v>0</v>
      </c>
      <c r="KF75" s="24">
        <v>0</v>
      </c>
      <c r="KG75" s="24">
        <v>0</v>
      </c>
      <c r="KH75" s="24">
        <v>0</v>
      </c>
      <c r="KI75" s="24">
        <v>0</v>
      </c>
      <c r="KJ75" s="24">
        <v>0</v>
      </c>
      <c r="KK75" s="24">
        <v>0</v>
      </c>
      <c r="KL75" s="24">
        <v>0</v>
      </c>
      <c r="KM75" s="24">
        <v>0</v>
      </c>
      <c r="KN75" s="24">
        <v>0</v>
      </c>
      <c r="KO75" s="24">
        <v>0</v>
      </c>
      <c r="KP75" s="24">
        <v>0</v>
      </c>
      <c r="KQ75" s="24">
        <v>0</v>
      </c>
      <c r="KR75" s="24">
        <v>0</v>
      </c>
      <c r="KS75" s="24">
        <v>0</v>
      </c>
      <c r="KT75" s="24">
        <v>0</v>
      </c>
      <c r="KU75" s="24">
        <v>0</v>
      </c>
      <c r="KV75" s="24">
        <v>0</v>
      </c>
      <c r="KW75" s="24">
        <v>0</v>
      </c>
      <c r="KX75" s="24">
        <v>0</v>
      </c>
      <c r="KY75" s="24">
        <v>0</v>
      </c>
      <c r="KZ75" s="24">
        <v>0</v>
      </c>
      <c r="LA75" s="24">
        <v>0</v>
      </c>
      <c r="LB75" s="24">
        <v>0</v>
      </c>
      <c r="LC75" s="24">
        <v>0</v>
      </c>
      <c r="LD75" s="24">
        <v>0</v>
      </c>
      <c r="LE75" s="24">
        <v>0</v>
      </c>
      <c r="LF75" s="24">
        <v>0</v>
      </c>
      <c r="LG75" s="24">
        <v>0</v>
      </c>
      <c r="LH75" s="24">
        <v>0</v>
      </c>
      <c r="LI75" s="24">
        <v>0</v>
      </c>
      <c r="LJ75" s="24">
        <v>0</v>
      </c>
      <c r="LK75" s="24">
        <v>0</v>
      </c>
      <c r="LL75" s="24">
        <v>0</v>
      </c>
      <c r="LM75" s="24">
        <v>0</v>
      </c>
      <c r="LN75" s="24">
        <v>0</v>
      </c>
      <c r="LO75" s="24">
        <v>0</v>
      </c>
      <c r="LP75" s="24">
        <v>0</v>
      </c>
      <c r="LQ75" s="24">
        <v>65720</v>
      </c>
      <c r="LR75" s="24">
        <v>0</v>
      </c>
      <c r="LS75" s="24">
        <v>0</v>
      </c>
      <c r="LT75" s="24">
        <v>0</v>
      </c>
      <c r="LU75" s="24">
        <v>0</v>
      </c>
      <c r="LV75" s="24">
        <v>0</v>
      </c>
      <c r="LW75" s="24">
        <v>0</v>
      </c>
      <c r="LX75" s="24">
        <v>0</v>
      </c>
      <c r="LY75" s="24">
        <v>0</v>
      </c>
      <c r="LZ75" s="24">
        <v>0</v>
      </c>
      <c r="MA75" s="24">
        <v>0</v>
      </c>
      <c r="MB75" s="24">
        <v>0</v>
      </c>
      <c r="MC75" s="24">
        <v>0</v>
      </c>
      <c r="MD75" s="24">
        <v>0</v>
      </c>
      <c r="ME75" s="24">
        <v>0</v>
      </c>
      <c r="MF75" s="24">
        <v>0</v>
      </c>
      <c r="MG75" s="24">
        <v>0</v>
      </c>
      <c r="MH75" s="24">
        <v>0</v>
      </c>
      <c r="MI75" s="24">
        <v>0</v>
      </c>
      <c r="MJ75" s="24">
        <v>0</v>
      </c>
      <c r="MK75" s="24">
        <v>0</v>
      </c>
      <c r="ML75" s="24">
        <v>0</v>
      </c>
      <c r="MM75" s="24">
        <v>0</v>
      </c>
      <c r="MN75" s="24">
        <v>0</v>
      </c>
      <c r="MO75" s="24">
        <v>242</v>
      </c>
      <c r="MP75" s="24">
        <v>0</v>
      </c>
      <c r="MQ75" s="24">
        <v>0</v>
      </c>
      <c r="MR75" s="24">
        <v>45725</v>
      </c>
      <c r="MS75" s="24">
        <v>0</v>
      </c>
      <c r="MT75" s="24">
        <v>0</v>
      </c>
      <c r="MU75" s="24">
        <v>0</v>
      </c>
      <c r="MV75" s="24">
        <v>0</v>
      </c>
      <c r="MW75" s="24">
        <v>39480</v>
      </c>
      <c r="MX75" s="24">
        <v>0</v>
      </c>
      <c r="MY75" s="24">
        <v>0</v>
      </c>
      <c r="MZ75" s="24">
        <v>0</v>
      </c>
      <c r="NA75" s="24">
        <v>25565</v>
      </c>
      <c r="NB75" s="24">
        <v>1285</v>
      </c>
      <c r="NC75" s="24">
        <v>0</v>
      </c>
      <c r="ND75" s="24">
        <v>0</v>
      </c>
      <c r="NE75" s="24">
        <v>0</v>
      </c>
      <c r="NF75" s="24">
        <v>0</v>
      </c>
      <c r="NG75" s="24">
        <v>0</v>
      </c>
      <c r="NH75" s="24">
        <v>0</v>
      </c>
      <c r="NI75" s="24">
        <v>0</v>
      </c>
      <c r="NJ75" s="24">
        <v>0</v>
      </c>
      <c r="NK75" s="24">
        <v>0</v>
      </c>
      <c r="NL75" s="24">
        <v>0</v>
      </c>
      <c r="NM75" s="24">
        <v>0</v>
      </c>
      <c r="NN75" s="24">
        <v>0</v>
      </c>
      <c r="NO75" s="24">
        <v>0</v>
      </c>
      <c r="NP75" s="24">
        <v>0</v>
      </c>
      <c r="NQ75" s="24">
        <v>12299</v>
      </c>
      <c r="NR75" s="24">
        <v>0</v>
      </c>
      <c r="NS75" s="24">
        <v>0</v>
      </c>
      <c r="NT75" s="24">
        <v>0</v>
      </c>
      <c r="NU75" s="24">
        <v>0</v>
      </c>
      <c r="NV75" s="24">
        <v>10563</v>
      </c>
      <c r="NW75" s="24">
        <v>0</v>
      </c>
      <c r="NX75" s="24">
        <v>96570</v>
      </c>
      <c r="NY75" s="24">
        <v>0</v>
      </c>
      <c r="NZ75" s="24">
        <v>0</v>
      </c>
      <c r="OA75" s="24">
        <v>0</v>
      </c>
      <c r="OB75" s="24">
        <v>0</v>
      </c>
      <c r="OC75" s="24">
        <v>0</v>
      </c>
      <c r="OD75" s="24">
        <v>0</v>
      </c>
      <c r="OE75" s="24">
        <v>0</v>
      </c>
      <c r="OF75" s="24">
        <v>0</v>
      </c>
      <c r="OG75" s="24">
        <v>0</v>
      </c>
      <c r="OH75" s="24">
        <v>0</v>
      </c>
      <c r="OI75" s="24">
        <v>0</v>
      </c>
      <c r="OJ75" s="24">
        <v>0</v>
      </c>
      <c r="OK75" s="24">
        <v>4248</v>
      </c>
      <c r="OL75" s="24">
        <v>0</v>
      </c>
      <c r="OM75" s="24">
        <v>0</v>
      </c>
      <c r="ON75" s="24">
        <v>0</v>
      </c>
      <c r="OO75" s="24">
        <v>0</v>
      </c>
      <c r="OP75" s="24">
        <v>0</v>
      </c>
      <c r="OQ75" s="24">
        <v>0</v>
      </c>
      <c r="OR75" s="24">
        <v>0</v>
      </c>
      <c r="OS75" s="24">
        <v>0</v>
      </c>
      <c r="OT75" s="24">
        <v>0</v>
      </c>
      <c r="OU75" s="24">
        <v>0</v>
      </c>
      <c r="OV75" s="24">
        <v>0</v>
      </c>
      <c r="OW75" s="24">
        <v>0</v>
      </c>
      <c r="OX75" s="24">
        <v>3808</v>
      </c>
      <c r="OY75" s="24">
        <v>0</v>
      </c>
      <c r="OZ75" s="24">
        <v>0</v>
      </c>
      <c r="PA75" s="24">
        <v>0</v>
      </c>
      <c r="PB75" s="24">
        <v>0</v>
      </c>
      <c r="PC75" s="24">
        <v>0</v>
      </c>
      <c r="PD75" s="24">
        <v>0</v>
      </c>
      <c r="PE75" s="24">
        <v>0</v>
      </c>
      <c r="PF75" s="24">
        <v>0</v>
      </c>
      <c r="PG75" s="24">
        <v>0</v>
      </c>
      <c r="PH75" s="24">
        <v>0</v>
      </c>
      <c r="PI75" s="24">
        <v>0</v>
      </c>
      <c r="PJ75" s="24">
        <v>0</v>
      </c>
      <c r="PK75" s="24">
        <v>0</v>
      </c>
      <c r="PL75" s="24">
        <v>0</v>
      </c>
      <c r="PM75" s="24">
        <v>0</v>
      </c>
      <c r="PN75" s="24">
        <v>0</v>
      </c>
      <c r="PO75" s="24">
        <v>0</v>
      </c>
      <c r="PP75" s="24">
        <v>0</v>
      </c>
      <c r="PQ75" s="24">
        <v>0</v>
      </c>
      <c r="PR75" s="24">
        <v>0</v>
      </c>
      <c r="PS75" s="24">
        <v>0</v>
      </c>
      <c r="PT75" s="24">
        <v>0</v>
      </c>
      <c r="PU75" s="24">
        <v>0</v>
      </c>
      <c r="PV75" s="24">
        <v>0</v>
      </c>
      <c r="PW75" s="24">
        <v>0</v>
      </c>
      <c r="PX75" s="24">
        <v>0</v>
      </c>
      <c r="PY75" s="24">
        <v>0</v>
      </c>
      <c r="PZ75" s="24">
        <v>0</v>
      </c>
      <c r="QA75" s="24">
        <v>0</v>
      </c>
      <c r="QB75" s="24">
        <v>0</v>
      </c>
      <c r="QC75" s="24">
        <v>0</v>
      </c>
      <c r="QD75" s="24">
        <v>0</v>
      </c>
      <c r="QE75" s="24">
        <v>0</v>
      </c>
      <c r="QF75" s="24">
        <v>0</v>
      </c>
      <c r="QG75" s="24">
        <v>0</v>
      </c>
      <c r="QH75" s="24">
        <v>0</v>
      </c>
      <c r="QI75" s="24">
        <v>0</v>
      </c>
      <c r="QJ75" s="24">
        <v>0</v>
      </c>
      <c r="QK75" s="24">
        <v>0</v>
      </c>
      <c r="QL75" s="24">
        <v>0</v>
      </c>
      <c r="QM75" s="24">
        <v>0</v>
      </c>
      <c r="QN75" s="24">
        <v>0</v>
      </c>
      <c r="QO75" s="24">
        <v>0</v>
      </c>
      <c r="QP75" s="24">
        <v>0</v>
      </c>
      <c r="QQ75" s="24">
        <v>0</v>
      </c>
      <c r="QR75" s="24">
        <v>0</v>
      </c>
      <c r="QS75" s="24">
        <v>23387</v>
      </c>
      <c r="QT75" s="24">
        <v>0</v>
      </c>
      <c r="QU75" s="24">
        <v>0</v>
      </c>
      <c r="QV75" s="24">
        <v>0</v>
      </c>
      <c r="QW75" s="24">
        <v>33442</v>
      </c>
      <c r="QX75" s="24">
        <v>0</v>
      </c>
      <c r="QY75" s="24">
        <v>0</v>
      </c>
      <c r="QZ75" s="24">
        <v>0</v>
      </c>
      <c r="RA75" s="24">
        <v>0</v>
      </c>
      <c r="RB75" s="24">
        <v>0</v>
      </c>
      <c r="RG75" s="39">
        <f t="shared" si="129"/>
        <v>1094959</v>
      </c>
      <c r="RH75" s="39">
        <f t="shared" si="128"/>
        <v>140886</v>
      </c>
      <c r="RI75" s="39">
        <f t="shared" si="128"/>
        <v>1946</v>
      </c>
      <c r="RJ75" s="39">
        <f t="shared" si="128"/>
        <v>0</v>
      </c>
      <c r="RK75" s="39">
        <f t="shared" si="128"/>
        <v>0</v>
      </c>
      <c r="RL75" s="39">
        <f t="shared" si="128"/>
        <v>148626</v>
      </c>
      <c r="RM75" s="39">
        <f t="shared" si="128"/>
        <v>95168</v>
      </c>
      <c r="RN75" s="39">
        <f t="shared" si="128"/>
        <v>0</v>
      </c>
      <c r="RO75" s="39">
        <f t="shared" si="128"/>
        <v>3950</v>
      </c>
      <c r="RP75" s="39">
        <f t="shared" si="128"/>
        <v>11969</v>
      </c>
      <c r="RQ75" s="39">
        <f t="shared" si="128"/>
        <v>0</v>
      </c>
      <c r="RR75" s="39">
        <f t="shared" si="128"/>
        <v>8754</v>
      </c>
      <c r="RS75" s="39"/>
      <c r="RT75" s="182"/>
      <c r="RU75" s="39"/>
      <c r="RV75" s="39">
        <f t="shared" ref="RV75:RY106" si="182">SUMIF($C$6:$RB$6, RV$4, $C75:$RB75)</f>
        <v>301697</v>
      </c>
      <c r="RW75" s="39">
        <f t="shared" si="182"/>
        <v>1506258</v>
      </c>
      <c r="RX75" s="39">
        <f t="shared" si="182"/>
        <v>1310124</v>
      </c>
      <c r="RY75" s="39">
        <f t="shared" si="182"/>
        <v>60637</v>
      </c>
      <c r="RZ75" s="39"/>
      <c r="SA75" s="182"/>
      <c r="SB75" s="39"/>
      <c r="SC75" s="25">
        <f t="shared" ref="SC75:SC138" si="183">RX75/ST75</f>
        <v>9161.7062937062929</v>
      </c>
      <c r="SD75" s="39">
        <f>IFERROR(VLOOKUP(A75, 'Levy Data 15-16'!$B:$O, 3, FALSE), 0)</f>
        <v>535983120</v>
      </c>
      <c r="SE75" s="39">
        <f t="shared" si="144"/>
        <v>3748133.7062937063</v>
      </c>
      <c r="SF75" s="631">
        <f>IFERROR(VLOOKUP(A75, 'Levy Data 15-16'!$B:$O, 14, FALSE), 0)*1000</f>
        <v>2.1323380000000003</v>
      </c>
      <c r="SG75" s="39">
        <f t="shared" si="145"/>
        <v>0</v>
      </c>
      <c r="SH75" s="39">
        <f t="shared" si="146"/>
        <v>0</v>
      </c>
      <c r="SI75" s="39">
        <f t="shared" si="147"/>
        <v>1310124</v>
      </c>
      <c r="SM75" s="39">
        <f t="shared" si="148"/>
        <v>1506258</v>
      </c>
      <c r="SN75" s="39">
        <f t="shared" si="149"/>
        <v>0</v>
      </c>
      <c r="SO75" s="39">
        <f t="shared" ref="SO75:SO138" si="184">SM75-SN75</f>
        <v>1506258</v>
      </c>
      <c r="SP75" s="50">
        <f t="shared" si="130"/>
        <v>1</v>
      </c>
      <c r="ST75" s="124">
        <f>IFERROR(VLOOKUP(A75,'Grade Enroll 15-16'!B:AC,27,FALSE),"")</f>
        <v>143</v>
      </c>
      <c r="SU75" s="124">
        <f t="shared" ref="SU75:SU129" si="185">SV75*(ST75)</f>
        <v>71.5</v>
      </c>
      <c r="SV75" s="131">
        <f>IFERROR(VLOOKUP($A75, 'Title I Enroll 16-17'!S:V, 4, FALSE), 0)</f>
        <v>0.5</v>
      </c>
      <c r="SW75" s="729">
        <f>IFERROR(VLOOKUP(A75, 'ELL Enroll 15-16'!$N:$S, 6, FALSE), 0)</f>
        <v>5</v>
      </c>
      <c r="SX75" s="131">
        <f t="shared" si="131"/>
        <v>3.4965034965034968E-2</v>
      </c>
      <c r="SY75" s="124">
        <f>IFERROR(VLOOKUP(A75, 'SPED enroll 2015-16'!$M:$O, 3, FALSE), 0)</f>
        <v>22</v>
      </c>
      <c r="SZ75" s="131">
        <f t="shared" si="132"/>
        <v>0.15384615384615385</v>
      </c>
      <c r="TA75" s="142">
        <f t="shared" si="133"/>
        <v>15.399999999999999</v>
      </c>
      <c r="TB75" s="142">
        <f t="shared" si="133"/>
        <v>4.4000000000000004</v>
      </c>
      <c r="TC75" s="142">
        <f t="shared" si="133"/>
        <v>1.54</v>
      </c>
      <c r="TD75" s="142">
        <f t="shared" si="133"/>
        <v>0.65999999999999992</v>
      </c>
      <c r="TE75" s="124">
        <f>VLOOKUP($A75, 'Grade Enroll 15-16'!$B:$AB, 20, FALSE)</f>
        <v>0</v>
      </c>
      <c r="TF75" s="124">
        <f>VLOOKUP($A75, 'Grade Enroll 15-16'!$B:$AB, 21, FALSE)</f>
        <v>9</v>
      </c>
      <c r="TG75" s="124">
        <f>VLOOKUP($A75, 'Grade Enroll 15-16'!$B:$AB, 22, FALSE)</f>
        <v>24</v>
      </c>
      <c r="TH75" s="124">
        <f>VLOOKUP($A75, 'Grade Enroll 15-16'!$B:$AB, 23, FALSE)</f>
        <v>31</v>
      </c>
      <c r="TI75" s="124">
        <f>VLOOKUP($A75, 'Grade Enroll 15-16'!$B:$AB, 24, FALSE)</f>
        <v>27</v>
      </c>
      <c r="TJ75" s="124">
        <f>VLOOKUP($A75, 'Grade Enroll 15-16'!$B:$AB, 25, FALSE)</f>
        <v>61</v>
      </c>
      <c r="TK75" s="124">
        <f>VLOOKUP($A75, 'Grade Enroll 15-16'!$B:$AB, 26, FALSE)</f>
        <v>100</v>
      </c>
      <c r="TL75" s="131">
        <f>SUMIFS('Student Achievement 15-16'!N:N, 'Student Achievement 15-16'!B:B, 'Idaho Data'!A75, 'Student Achievement 15-16'!D:D, "math")/100</f>
        <v>0.31</v>
      </c>
      <c r="TM75" s="134">
        <f t="shared" ref="TM75:TM138" si="186">TL75*$ST75</f>
        <v>44.33</v>
      </c>
      <c r="TN75" s="131">
        <f>SUMIFS('Student Achievement 15-16'!N:N, 'Student Achievement 15-16'!B:B, 'Idaho Data'!A75, 'Student Achievement 15-16'!D:D, "ela")/100</f>
        <v>0.05</v>
      </c>
      <c r="TO75" s="134">
        <f t="shared" si="134"/>
        <v>7.15</v>
      </c>
      <c r="TP75" s="688">
        <f>IFERROR(VLOOKUP(A75, 'G&amp;T 15-16'!B:G, 6, FALSE), 0)*1</f>
        <v>0</v>
      </c>
      <c r="TQ75" s="168">
        <f t="shared" si="135"/>
        <v>8.58</v>
      </c>
      <c r="TU75" s="168">
        <f t="shared" si="136"/>
        <v>7.15</v>
      </c>
      <c r="TV75" s="168">
        <f t="shared" si="137"/>
        <v>44.33</v>
      </c>
      <c r="TW75" s="205">
        <f t="shared" si="138"/>
        <v>44.33</v>
      </c>
      <c r="TX75" s="144"/>
      <c r="TY75" s="129"/>
      <c r="TZ75" s="127">
        <f t="shared" si="139"/>
        <v>0</v>
      </c>
      <c r="UA75" s="127">
        <f t="shared" si="140"/>
        <v>8.58</v>
      </c>
      <c r="UB75" s="205">
        <f t="shared" si="141"/>
        <v>8.58</v>
      </c>
      <c r="UE75" s="853" t="str">
        <f>IF(ST75&lt;='1. Simulator Input'!$E$104, "yes", "")</f>
        <v>yes</v>
      </c>
      <c r="UI75" s="199">
        <f t="shared" ref="UI75:UI138" si="187">SG75</f>
        <v>0</v>
      </c>
      <c r="UJ75" s="200">
        <f>IF('Idaho Data'!SI75&gt;=0, ((1-'1. Simulator Input'!$E$39)*'Idaho Data'!SI75), 0)</f>
        <v>0</v>
      </c>
      <c r="UK75" s="200">
        <f t="shared" si="142"/>
        <v>1506258</v>
      </c>
      <c r="UL75" s="39"/>
      <c r="UM75" s="182"/>
      <c r="UN75" s="39"/>
      <c r="UO75" s="39">
        <f>IF(AND('1. Simulator Input'!$E$96="yes", '1. Simulator Input'!$E$98="yes", '1. Simulator Input'!$E$100="hold harmless"), 'Idaho Data'!WN75, IF(AND('1. Simulator Input'!$E$96="yes", '1. Simulator Input'!$E$98="no", '1. Simulator Input'!$E$100="hold harmless"), 'Idaho Data'!WM75, IF(AND('1. Simulator Input'!$E$96="yes", '1. Simulator Input'!$E$98="yes", '1. Simulator Input'!$E$100="small district grant"), WL75,IF(AND('1. Simulator Input'!$E$96="yes", '1. Simulator Input'!$E$98="no", '1. Simulator Input'!$E$100="small district grant"), WK75, ""))))</f>
        <v>0</v>
      </c>
      <c r="UP75" s="200">
        <f>'1. Simulator Input'!$D$56*('Idaho Data'!ST75)</f>
        <v>790218</v>
      </c>
      <c r="UQ75" s="204">
        <f>'1. Simulator Input'!$D$65*'1. Simulator Input'!$D$56*'Idaho Data'!SU75</f>
        <v>0</v>
      </c>
      <c r="UR75" s="204">
        <f>'1. Simulator Input'!$D$66*'1. Simulator Input'!$D$56*'Idaho Data'!SW75</f>
        <v>0</v>
      </c>
      <c r="US75" s="200">
        <f>'1. Simulator Input'!$D$67*'1. Simulator Input'!$D$56*'Idaho Data'!TA75</f>
        <v>0</v>
      </c>
      <c r="UT75" s="200">
        <f>'1. Simulator Input'!$D$68*'1. Simulator Input'!$D$56*'Idaho Data'!TB75</f>
        <v>0</v>
      </c>
      <c r="UU75" s="200">
        <f>'1. Simulator Input'!$D$69*'1. Simulator Input'!$D$56*'Idaho Data'!TC75</f>
        <v>0</v>
      </c>
      <c r="UV75" s="200">
        <f>'1. Simulator Input'!$D$70*'1. Simulator Input'!$D$56*TD75</f>
        <v>0</v>
      </c>
      <c r="UW75" s="200">
        <f>'1. Simulator Input'!$D$80*'1. Simulator Input'!$D$56*TW75</f>
        <v>0</v>
      </c>
      <c r="UX75" s="200">
        <f>'1. Simulator Input'!$D$79*'1. Simulator Input'!$D$56*UB75</f>
        <v>0</v>
      </c>
      <c r="UY75" s="200">
        <f>'1. Simulator Input'!$D$87*'1. Simulator Input'!$D$56*TF75</f>
        <v>24867</v>
      </c>
      <c r="UZ75" s="200">
        <f>'1. Simulator Input'!$D$73*'1. Simulator Input'!$D$56*'Idaho Data'!TG75</f>
        <v>0</v>
      </c>
      <c r="VA75" s="200">
        <f>'1. Simulator Input'!$D$56*'1. Simulator Input'!$D$74*'Idaho Data'!TH75</f>
        <v>0</v>
      </c>
      <c r="VB75" s="200">
        <f>'1. Simulator Input'!$D$56*'1. Simulator Input'!$D$75*'Idaho Data'!TI70</f>
        <v>0</v>
      </c>
      <c r="VC75" s="200">
        <f>'1. Simulator Input'!$D$76*'1. Simulator Input'!$D$56*'Idaho Data'!TJ75</f>
        <v>0</v>
      </c>
      <c r="VD75" s="200">
        <f t="shared" ref="VD75:VD138" si="188">SUM(UP75:VC75)</f>
        <v>815085</v>
      </c>
      <c r="VE75" s="200"/>
      <c r="VF75" s="182"/>
      <c r="VG75" s="200"/>
      <c r="VH75" s="200">
        <f t="shared" ref="VH75:VH138" si="189">SG75</f>
        <v>0</v>
      </c>
      <c r="VI75" s="200">
        <f t="shared" ref="VI75:VI138" si="190">SH75</f>
        <v>0</v>
      </c>
      <c r="VJ75" s="200">
        <f t="shared" si="150"/>
        <v>815085</v>
      </c>
      <c r="VK75" s="200">
        <f t="shared" si="151"/>
        <v>815085</v>
      </c>
      <c r="VL75" s="200"/>
      <c r="VM75" s="182"/>
      <c r="VN75" s="200"/>
      <c r="VO75" s="200">
        <f t="shared" ref="VO75:VO138" si="191">RV75</f>
        <v>301697</v>
      </c>
      <c r="VP75" s="200">
        <f t="shared" ref="VP75:VP138" si="192">RW75</f>
        <v>1506258</v>
      </c>
      <c r="VQ75" s="200">
        <f t="shared" ref="VQ75:VQ138" si="193">RX75</f>
        <v>1310124</v>
      </c>
      <c r="VR75" s="200">
        <f t="shared" ref="VR75:VR138" si="194">RV75</f>
        <v>301697</v>
      </c>
      <c r="VS75" s="200">
        <f t="shared" si="152"/>
        <v>815085</v>
      </c>
      <c r="VT75" s="200">
        <f t="shared" si="153"/>
        <v>1310124</v>
      </c>
      <c r="VU75" s="200">
        <f t="shared" si="154"/>
        <v>0</v>
      </c>
      <c r="VV75" s="200"/>
      <c r="VW75" s="182"/>
      <c r="VX75" s="200"/>
      <c r="VZ75" s="199">
        <f t="shared" ref="VZ75:VZ138" si="195">VS75-VP75</f>
        <v>-691173</v>
      </c>
      <c r="WA75" s="199">
        <f t="shared" ref="WA75:WA138" si="196">VZ75/ST75</f>
        <v>-4833.3776223776222</v>
      </c>
      <c r="WB75" s="131">
        <f t="shared" ref="WB75:WB138" si="197">VZ75/VP75</f>
        <v>-0.45886760435463247</v>
      </c>
      <c r="WC75" s="131"/>
      <c r="WD75" s="461"/>
      <c r="WE75" s="893"/>
      <c r="WF75" s="893">
        <f t="shared" ref="WF75:WF138" si="198">SUM(VO75:VQ75)/ST75</f>
        <v>21804.748251748253</v>
      </c>
      <c r="WG75" s="893">
        <f t="shared" ref="WG75:WG138" si="199">SUM(VR75:VT75)/ST75</f>
        <v>16971.370629370631</v>
      </c>
      <c r="WH75" s="893"/>
      <c r="WI75" s="893">
        <f t="shared" ref="WI75:WI138" si="200">SO75</f>
        <v>1506258</v>
      </c>
      <c r="WJ75" s="893">
        <f t="shared" si="155"/>
        <v>815085</v>
      </c>
      <c r="WK75" s="39">
        <f t="shared" si="156"/>
        <v>0</v>
      </c>
      <c r="WL75" s="39">
        <f t="shared" si="157"/>
        <v>0</v>
      </c>
      <c r="WM75" s="200">
        <f t="shared" si="158"/>
        <v>691173</v>
      </c>
      <c r="WN75" s="39">
        <f t="shared" si="159"/>
        <v>691173</v>
      </c>
      <c r="WO75" s="39"/>
      <c r="WP75" s="182"/>
      <c r="WQ75" s="39"/>
      <c r="WR75" s="305">
        <f t="shared" si="160"/>
        <v>0.98199999999999998</v>
      </c>
      <c r="WT75" s="200">
        <f t="shared" si="161"/>
        <v>10533.272727272728</v>
      </c>
      <c r="WU75" s="131">
        <f t="shared" ref="WU75:WU138" si="201">_xlfn.PERCENTRANK.EXC($WT$10:$WT$163, WT75, 2)</f>
        <v>0.87</v>
      </c>
      <c r="WW75" s="199">
        <f t="shared" si="162"/>
        <v>301697</v>
      </c>
      <c r="WX75" s="199">
        <f t="shared" si="163"/>
        <v>815085</v>
      </c>
      <c r="WY75" s="199">
        <f t="shared" si="164"/>
        <v>0</v>
      </c>
      <c r="WZ75" s="199">
        <f t="shared" ref="WZ75:WZ138" si="202">SUM(WX75:WY75)</f>
        <v>815085</v>
      </c>
      <c r="XA75" s="199">
        <f t="shared" si="165"/>
        <v>0</v>
      </c>
      <c r="XB75" s="199">
        <f t="shared" si="166"/>
        <v>1310124</v>
      </c>
      <c r="XC75" s="199">
        <f t="shared" si="167"/>
        <v>1310124</v>
      </c>
      <c r="XD75" s="199" t="str">
        <f t="shared" si="168"/>
        <v/>
      </c>
      <c r="XE75" s="199"/>
      <c r="XF75" s="199"/>
      <c r="XG75" s="199"/>
      <c r="XH75" s="199"/>
      <c r="XI75" s="199"/>
      <c r="XJ75" s="199">
        <f t="shared" ref="XJ75:XJ138" si="203">WX75+XA75</f>
        <v>815085</v>
      </c>
      <c r="XP75" s="199">
        <f t="shared" si="169"/>
        <v>815085</v>
      </c>
      <c r="XQ75" s="199">
        <f t="shared" si="170"/>
        <v>5699.8951048951049</v>
      </c>
      <c r="XR75" s="199">
        <f t="shared" si="171"/>
        <v>815085</v>
      </c>
      <c r="XS75" s="199">
        <f t="shared" si="172"/>
        <v>815085</v>
      </c>
      <c r="XT75" s="199">
        <f t="shared" si="173"/>
        <v>5699.8951048951049</v>
      </c>
      <c r="XU75" s="199">
        <f t="shared" si="174"/>
        <v>1506258</v>
      </c>
      <c r="XV75" s="199">
        <f t="shared" si="175"/>
        <v>10533.272727272728</v>
      </c>
      <c r="XW75" s="199">
        <f t="shared" si="176"/>
        <v>1506258</v>
      </c>
      <c r="XX75" s="199">
        <f t="shared" si="177"/>
        <v>10533.272727272728</v>
      </c>
      <c r="XY75" s="199">
        <f t="shared" ref="XY75:XY138" si="204">XS75-XW75</f>
        <v>-691173</v>
      </c>
      <c r="XZ75" s="199">
        <f t="shared" ref="XZ75:XZ138" si="205">XT75-XX75</f>
        <v>-4833.3776223776231</v>
      </c>
      <c r="YA75" s="131">
        <f t="shared" si="143"/>
        <v>-0.45886760435463253</v>
      </c>
      <c r="YB75" s="199"/>
      <c r="YC75" s="221"/>
      <c r="YD75" s="199"/>
      <c r="YE75" s="199">
        <f t="shared" si="178"/>
        <v>301697</v>
      </c>
      <c r="YF75" s="200">
        <f t="shared" si="179"/>
        <v>0</v>
      </c>
      <c r="YG75" s="199">
        <f t="shared" si="180"/>
        <v>1310124</v>
      </c>
      <c r="YH75" s="199">
        <f t="shared" si="181"/>
        <v>60637</v>
      </c>
    </row>
    <row r="76" spans="1:658">
      <c r="A76" s="3">
        <v>281</v>
      </c>
      <c r="B76" s="2" t="s">
        <v>171</v>
      </c>
      <c r="C76" s="400">
        <v>0</v>
      </c>
      <c r="D76" s="400">
        <v>0</v>
      </c>
      <c r="E76" s="400">
        <v>0</v>
      </c>
      <c r="F76" s="400">
        <v>0</v>
      </c>
      <c r="G76" s="400">
        <v>9599785</v>
      </c>
      <c r="H76" s="400">
        <v>0</v>
      </c>
      <c r="I76" s="400">
        <v>0</v>
      </c>
      <c r="J76" s="400">
        <v>39639</v>
      </c>
      <c r="K76" s="400">
        <v>0</v>
      </c>
      <c r="L76" s="24">
        <v>0</v>
      </c>
      <c r="M76" s="400">
        <v>0</v>
      </c>
      <c r="N76" s="400">
        <v>10630</v>
      </c>
      <c r="O76" s="400">
        <v>203</v>
      </c>
      <c r="P76" s="400">
        <v>23518</v>
      </c>
      <c r="Q76" s="400">
        <v>0</v>
      </c>
      <c r="R76" s="400">
        <v>2274</v>
      </c>
      <c r="S76" s="400">
        <v>0</v>
      </c>
      <c r="T76" s="400">
        <v>0</v>
      </c>
      <c r="U76" s="400">
        <v>0</v>
      </c>
      <c r="V76" s="400">
        <v>0</v>
      </c>
      <c r="W76" s="400">
        <v>0</v>
      </c>
      <c r="X76" s="400">
        <v>728321</v>
      </c>
      <c r="Y76" s="400">
        <v>241746</v>
      </c>
      <c r="Z76" s="400">
        <v>0</v>
      </c>
      <c r="AA76" s="400">
        <v>13802</v>
      </c>
      <c r="AB76" s="400">
        <v>0</v>
      </c>
      <c r="AC76" s="400">
        <v>0</v>
      </c>
      <c r="AD76" s="400">
        <v>0</v>
      </c>
      <c r="AE76" s="400">
        <v>0</v>
      </c>
      <c r="AF76" s="400">
        <v>0</v>
      </c>
      <c r="AG76" s="400">
        <v>0</v>
      </c>
      <c r="AH76" s="400">
        <v>0</v>
      </c>
      <c r="AI76" s="400">
        <v>0</v>
      </c>
      <c r="AJ76" s="400">
        <v>0</v>
      </c>
      <c r="AK76" s="400">
        <v>0</v>
      </c>
      <c r="AL76" s="400">
        <v>25005</v>
      </c>
      <c r="AM76" s="400">
        <v>0</v>
      </c>
      <c r="AN76" s="400">
        <v>0</v>
      </c>
      <c r="AO76" s="400">
        <v>0</v>
      </c>
      <c r="AP76" s="400">
        <v>0</v>
      </c>
      <c r="AQ76" s="400">
        <v>0</v>
      </c>
      <c r="AR76" s="400">
        <v>0</v>
      </c>
      <c r="AS76" s="400">
        <v>0</v>
      </c>
      <c r="AT76" s="400">
        <v>0</v>
      </c>
      <c r="AU76" s="400">
        <v>0</v>
      </c>
      <c r="AV76" s="400">
        <v>0</v>
      </c>
      <c r="AW76" s="400">
        <v>0</v>
      </c>
      <c r="AX76" s="400">
        <v>0</v>
      </c>
      <c r="AY76" s="400">
        <v>0</v>
      </c>
      <c r="AZ76" s="400">
        <v>0</v>
      </c>
      <c r="BA76" s="400">
        <v>0</v>
      </c>
      <c r="BB76" s="400">
        <v>0</v>
      </c>
      <c r="BC76" s="400">
        <v>0</v>
      </c>
      <c r="BD76" s="400">
        <v>777</v>
      </c>
      <c r="BE76" s="400">
        <v>4471</v>
      </c>
      <c r="BF76" s="400">
        <v>0</v>
      </c>
      <c r="BG76" s="400">
        <v>0</v>
      </c>
      <c r="BH76" s="400">
        <v>0</v>
      </c>
      <c r="BI76" s="400">
        <v>0</v>
      </c>
      <c r="BJ76" s="400">
        <v>0</v>
      </c>
      <c r="BK76" s="400">
        <v>0</v>
      </c>
      <c r="BL76" s="400">
        <v>0</v>
      </c>
      <c r="BM76" s="400">
        <v>0</v>
      </c>
      <c r="BN76" s="400">
        <v>0</v>
      </c>
      <c r="BO76" s="400">
        <v>0</v>
      </c>
      <c r="BP76" s="400">
        <v>0</v>
      </c>
      <c r="BQ76" s="400">
        <v>0</v>
      </c>
      <c r="BR76" s="400">
        <v>0</v>
      </c>
      <c r="BS76" s="400">
        <v>0</v>
      </c>
      <c r="BT76" s="400">
        <v>0</v>
      </c>
      <c r="BU76" s="400">
        <v>0</v>
      </c>
      <c r="BV76" s="400">
        <v>0</v>
      </c>
      <c r="BW76" s="400">
        <v>0</v>
      </c>
      <c r="BX76" s="400">
        <v>0</v>
      </c>
      <c r="BY76" s="400">
        <v>0</v>
      </c>
      <c r="BZ76" s="400">
        <v>0</v>
      </c>
      <c r="CA76" s="400">
        <v>0</v>
      </c>
      <c r="CB76" s="400">
        <v>0</v>
      </c>
      <c r="CC76" s="400">
        <v>0</v>
      </c>
      <c r="CD76" s="400">
        <v>190249</v>
      </c>
      <c r="CE76" s="400">
        <v>8855</v>
      </c>
      <c r="CF76" s="400">
        <v>0</v>
      </c>
      <c r="CG76" s="400">
        <v>0</v>
      </c>
      <c r="CH76" s="400">
        <v>0</v>
      </c>
      <c r="CI76" s="400">
        <v>0</v>
      </c>
      <c r="CJ76" s="400">
        <v>0</v>
      </c>
      <c r="CK76" s="400">
        <v>42213</v>
      </c>
      <c r="CL76" s="400">
        <v>0</v>
      </c>
      <c r="CM76" s="400">
        <v>0</v>
      </c>
      <c r="CN76" s="400">
        <v>0</v>
      </c>
      <c r="CO76" s="400">
        <v>0</v>
      </c>
      <c r="CP76" s="400">
        <v>0</v>
      </c>
      <c r="CQ76" s="400">
        <v>0</v>
      </c>
      <c r="CR76" s="400">
        <v>11256</v>
      </c>
      <c r="CS76" s="400">
        <v>0</v>
      </c>
      <c r="CT76" s="400">
        <v>0</v>
      </c>
      <c r="CU76" s="400">
        <v>0</v>
      </c>
      <c r="CV76" s="400">
        <v>0</v>
      </c>
      <c r="CW76" s="400">
        <v>0</v>
      </c>
      <c r="CX76" s="400">
        <v>0</v>
      </c>
      <c r="CY76" s="400">
        <v>0</v>
      </c>
      <c r="CZ76" s="400">
        <v>0</v>
      </c>
      <c r="DA76" s="400">
        <v>0</v>
      </c>
      <c r="DB76" s="400">
        <v>0</v>
      </c>
      <c r="DC76" s="400">
        <v>0</v>
      </c>
      <c r="DD76" s="400">
        <v>0</v>
      </c>
      <c r="DE76" s="400">
        <v>0</v>
      </c>
      <c r="DF76" s="400">
        <v>0</v>
      </c>
      <c r="DG76" s="400">
        <v>0</v>
      </c>
      <c r="DH76" s="400">
        <v>0</v>
      </c>
      <c r="DI76" s="400">
        <v>0</v>
      </c>
      <c r="DJ76" s="400">
        <v>0</v>
      </c>
      <c r="DK76" s="400">
        <v>0</v>
      </c>
      <c r="DL76" s="400">
        <v>0</v>
      </c>
      <c r="DM76" s="400">
        <v>0</v>
      </c>
      <c r="DN76" s="400">
        <v>0</v>
      </c>
      <c r="DO76" s="400">
        <v>0</v>
      </c>
      <c r="DP76" s="400">
        <v>0</v>
      </c>
      <c r="DQ76" s="400">
        <v>0</v>
      </c>
      <c r="DR76" s="400">
        <v>0</v>
      </c>
      <c r="DS76" s="400">
        <v>0</v>
      </c>
      <c r="DT76" s="400">
        <v>0</v>
      </c>
      <c r="DU76" s="400">
        <v>3186</v>
      </c>
      <c r="DV76" s="400">
        <v>0</v>
      </c>
      <c r="DW76" s="400">
        <v>0</v>
      </c>
      <c r="DX76" s="400">
        <v>46130</v>
      </c>
      <c r="DY76" s="400">
        <v>0</v>
      </c>
      <c r="DZ76" s="400">
        <v>0</v>
      </c>
      <c r="EA76" s="400">
        <v>0</v>
      </c>
      <c r="EB76" s="400">
        <v>0</v>
      </c>
      <c r="EC76" s="400">
        <v>0</v>
      </c>
      <c r="ED76" s="400">
        <v>0</v>
      </c>
      <c r="EE76" s="400">
        <v>0</v>
      </c>
      <c r="EF76" s="400">
        <v>0</v>
      </c>
      <c r="EG76" s="400">
        <v>27323</v>
      </c>
      <c r="EH76" s="400">
        <v>0</v>
      </c>
      <c r="EI76" s="400">
        <v>0</v>
      </c>
      <c r="EJ76" s="400">
        <v>0</v>
      </c>
      <c r="EK76" s="400">
        <v>0</v>
      </c>
      <c r="EL76" s="400">
        <v>0</v>
      </c>
      <c r="EM76" s="400">
        <v>0</v>
      </c>
      <c r="EN76" s="400">
        <v>0</v>
      </c>
      <c r="EO76" s="400">
        <v>0</v>
      </c>
      <c r="EP76" s="400">
        <v>0</v>
      </c>
      <c r="EQ76" s="400">
        <v>0</v>
      </c>
      <c r="ER76" s="400">
        <v>0</v>
      </c>
      <c r="ES76" s="400">
        <v>0</v>
      </c>
      <c r="ET76" s="400">
        <v>0</v>
      </c>
      <c r="EU76" s="400">
        <v>0</v>
      </c>
      <c r="EV76" s="400">
        <v>0</v>
      </c>
      <c r="EW76" s="400">
        <v>0</v>
      </c>
      <c r="EX76" s="400">
        <v>0</v>
      </c>
      <c r="EY76" s="400">
        <v>0</v>
      </c>
      <c r="EZ76" s="400">
        <v>0</v>
      </c>
      <c r="FA76" s="400">
        <v>0</v>
      </c>
      <c r="FB76" s="400">
        <v>0</v>
      </c>
      <c r="FC76" s="400">
        <v>0</v>
      </c>
      <c r="FD76" s="400">
        <v>0</v>
      </c>
      <c r="FE76" s="400">
        <v>0</v>
      </c>
      <c r="FF76" s="400">
        <v>0</v>
      </c>
      <c r="FG76" s="400">
        <v>0</v>
      </c>
      <c r="FH76" s="400">
        <v>0</v>
      </c>
      <c r="FI76" s="400">
        <v>0</v>
      </c>
      <c r="FJ76" s="400">
        <v>0</v>
      </c>
      <c r="FK76" s="400">
        <v>0</v>
      </c>
      <c r="FL76" s="400">
        <v>34028</v>
      </c>
      <c r="FM76" s="400">
        <v>0</v>
      </c>
      <c r="FN76" s="400">
        <v>0</v>
      </c>
      <c r="FO76" s="400">
        <v>0</v>
      </c>
      <c r="FP76" s="400">
        <v>0</v>
      </c>
      <c r="FQ76" s="400">
        <v>60035</v>
      </c>
      <c r="FR76" s="400">
        <v>0</v>
      </c>
      <c r="FS76" s="400">
        <v>104867</v>
      </c>
      <c r="FT76" s="400">
        <v>0</v>
      </c>
      <c r="FU76" s="400">
        <v>17015</v>
      </c>
      <c r="FV76" s="400">
        <v>0</v>
      </c>
      <c r="FW76" s="400">
        <v>395231</v>
      </c>
      <c r="FX76" s="400">
        <v>0</v>
      </c>
      <c r="FY76" s="400">
        <v>0</v>
      </c>
      <c r="FZ76" s="400">
        <v>0</v>
      </c>
      <c r="GA76" s="400">
        <v>0</v>
      </c>
      <c r="GB76" s="400">
        <v>0</v>
      </c>
      <c r="GC76" s="400">
        <v>0</v>
      </c>
      <c r="GD76" s="400">
        <v>0</v>
      </c>
      <c r="GE76" s="400">
        <v>15120</v>
      </c>
      <c r="GF76" s="400">
        <v>0</v>
      </c>
      <c r="GG76" s="400">
        <v>0</v>
      </c>
      <c r="GH76" s="400">
        <v>0</v>
      </c>
      <c r="GI76" s="400">
        <v>0</v>
      </c>
      <c r="GJ76" s="400">
        <v>0</v>
      </c>
      <c r="GK76" s="400">
        <v>0</v>
      </c>
      <c r="GL76" s="400">
        <v>0</v>
      </c>
      <c r="GM76" s="400">
        <v>0</v>
      </c>
      <c r="GN76" s="400">
        <v>0</v>
      </c>
      <c r="GO76" s="400">
        <v>0</v>
      </c>
      <c r="GP76" s="400">
        <v>0</v>
      </c>
      <c r="GQ76" s="400">
        <v>0</v>
      </c>
      <c r="GR76" s="400">
        <v>92037</v>
      </c>
      <c r="GS76" s="400">
        <v>0</v>
      </c>
      <c r="GT76" s="400">
        <v>125123</v>
      </c>
      <c r="GU76" s="400">
        <v>0</v>
      </c>
      <c r="GV76" s="400">
        <v>0</v>
      </c>
      <c r="GW76" s="400">
        <v>0</v>
      </c>
      <c r="GX76" s="400">
        <v>0</v>
      </c>
      <c r="GY76" s="400">
        <v>0</v>
      </c>
      <c r="GZ76" s="400">
        <v>0</v>
      </c>
      <c r="HA76" s="400">
        <v>0</v>
      </c>
      <c r="HB76" s="400">
        <v>0</v>
      </c>
      <c r="HC76" s="400">
        <v>0</v>
      </c>
      <c r="HD76" s="400">
        <v>9508449</v>
      </c>
      <c r="HE76" s="400">
        <v>0</v>
      </c>
      <c r="HF76" s="400">
        <v>0</v>
      </c>
      <c r="HG76" s="400">
        <v>0</v>
      </c>
      <c r="HH76" s="400">
        <v>0</v>
      </c>
      <c r="HI76" s="400">
        <v>503674</v>
      </c>
      <c r="HJ76" s="400">
        <v>0</v>
      </c>
      <c r="HK76" s="400">
        <v>0</v>
      </c>
      <c r="HL76" s="400">
        <v>0</v>
      </c>
      <c r="HM76" s="400">
        <v>0</v>
      </c>
      <c r="HN76" s="400">
        <v>37441</v>
      </c>
      <c r="HO76" s="400">
        <v>1268345</v>
      </c>
      <c r="HP76" s="400">
        <v>611257</v>
      </c>
      <c r="HQ76" s="400">
        <v>0</v>
      </c>
      <c r="HR76" s="400">
        <v>0</v>
      </c>
      <c r="HS76" s="400">
        <v>0</v>
      </c>
      <c r="HT76" s="400">
        <v>0</v>
      </c>
      <c r="HU76" s="400">
        <v>0</v>
      </c>
      <c r="HV76" s="400">
        <v>0</v>
      </c>
      <c r="HW76" s="400">
        <v>0</v>
      </c>
      <c r="HX76" s="400">
        <v>0</v>
      </c>
      <c r="HY76" s="400">
        <v>0</v>
      </c>
      <c r="HZ76" s="400">
        <v>0</v>
      </c>
      <c r="IA76" s="400">
        <v>34034</v>
      </c>
      <c r="IB76" s="400">
        <v>4308</v>
      </c>
      <c r="IC76" s="400">
        <v>0</v>
      </c>
      <c r="ID76" s="400">
        <v>0</v>
      </c>
      <c r="IE76" s="400">
        <v>0</v>
      </c>
      <c r="IF76" s="400">
        <v>0</v>
      </c>
      <c r="IG76" s="400">
        <v>0</v>
      </c>
      <c r="IH76" s="400">
        <v>0</v>
      </c>
      <c r="II76" s="400">
        <v>0</v>
      </c>
      <c r="IJ76" s="400">
        <v>22691</v>
      </c>
      <c r="IK76" s="400">
        <v>0</v>
      </c>
      <c r="IL76" s="400">
        <v>0</v>
      </c>
      <c r="IM76" s="400">
        <v>0</v>
      </c>
      <c r="IN76" s="400">
        <v>0</v>
      </c>
      <c r="IO76" s="400">
        <v>13875</v>
      </c>
      <c r="IP76" s="400">
        <v>0</v>
      </c>
      <c r="IQ76" s="400">
        <v>0</v>
      </c>
      <c r="IR76" s="400">
        <v>25162</v>
      </c>
      <c r="IS76" s="400">
        <v>0</v>
      </c>
      <c r="IT76" s="400">
        <v>0</v>
      </c>
      <c r="IU76" s="400">
        <v>0</v>
      </c>
      <c r="IV76" s="400">
        <v>0</v>
      </c>
      <c r="IW76" s="400">
        <v>146095</v>
      </c>
      <c r="IX76" s="400">
        <v>0</v>
      </c>
      <c r="IY76" s="400">
        <v>0</v>
      </c>
      <c r="IZ76" s="400">
        <v>0</v>
      </c>
      <c r="JA76" s="400">
        <v>0</v>
      </c>
      <c r="JB76" s="400">
        <v>148151</v>
      </c>
      <c r="JC76" s="400">
        <v>0</v>
      </c>
      <c r="JD76" s="400">
        <v>0</v>
      </c>
      <c r="JE76" s="400">
        <v>0</v>
      </c>
      <c r="JF76" s="400">
        <v>0</v>
      </c>
      <c r="JG76" s="400">
        <v>4000</v>
      </c>
      <c r="JH76" s="400">
        <v>0</v>
      </c>
      <c r="JI76" s="400">
        <v>0</v>
      </c>
      <c r="JJ76" s="400">
        <v>0</v>
      </c>
      <c r="JK76" s="400">
        <v>0</v>
      </c>
      <c r="JL76" s="400">
        <v>0</v>
      </c>
      <c r="JM76" s="400">
        <v>0</v>
      </c>
      <c r="JN76" s="400">
        <v>0</v>
      </c>
      <c r="JO76" s="400">
        <v>0</v>
      </c>
      <c r="JP76" s="400">
        <v>0</v>
      </c>
      <c r="JQ76" s="400">
        <v>0</v>
      </c>
      <c r="JR76" s="400">
        <v>0</v>
      </c>
      <c r="JS76" s="400">
        <v>0</v>
      </c>
      <c r="JT76" s="400">
        <v>0</v>
      </c>
      <c r="JU76" s="400">
        <v>0</v>
      </c>
      <c r="JV76" s="400">
        <v>0</v>
      </c>
      <c r="JW76" s="400">
        <v>0</v>
      </c>
      <c r="JX76" s="400">
        <v>0</v>
      </c>
      <c r="JY76" s="400">
        <v>0</v>
      </c>
      <c r="JZ76" s="400">
        <v>0</v>
      </c>
      <c r="KA76" s="400">
        <v>0</v>
      </c>
      <c r="KB76" s="400">
        <v>0</v>
      </c>
      <c r="KC76" s="400">
        <v>0</v>
      </c>
      <c r="KD76" s="400">
        <v>0</v>
      </c>
      <c r="KE76" s="400">
        <v>0</v>
      </c>
      <c r="KF76" s="400">
        <v>0</v>
      </c>
      <c r="KG76" s="400">
        <v>35050</v>
      </c>
      <c r="KH76" s="400">
        <v>0</v>
      </c>
      <c r="KI76" s="400">
        <v>0</v>
      </c>
      <c r="KJ76" s="400">
        <v>0</v>
      </c>
      <c r="KK76" s="400">
        <v>0</v>
      </c>
      <c r="KL76" s="400">
        <v>0</v>
      </c>
      <c r="KM76" s="400">
        <v>0</v>
      </c>
      <c r="KN76" s="400">
        <v>0</v>
      </c>
      <c r="KO76" s="400">
        <v>0</v>
      </c>
      <c r="KP76" s="400">
        <v>0</v>
      </c>
      <c r="KQ76" s="400">
        <v>0</v>
      </c>
      <c r="KR76" s="400">
        <v>0</v>
      </c>
      <c r="KS76" s="400">
        <v>0</v>
      </c>
      <c r="KT76" s="400">
        <v>0</v>
      </c>
      <c r="KU76" s="400">
        <v>0</v>
      </c>
      <c r="KV76" s="400">
        <v>0</v>
      </c>
      <c r="KW76" s="400">
        <v>0</v>
      </c>
      <c r="KX76" s="400">
        <v>0</v>
      </c>
      <c r="KY76" s="400">
        <v>0</v>
      </c>
      <c r="KZ76" s="400">
        <v>0</v>
      </c>
      <c r="LA76" s="400">
        <v>0</v>
      </c>
      <c r="LB76" s="400">
        <v>0</v>
      </c>
      <c r="LC76" s="400">
        <v>0</v>
      </c>
      <c r="LD76" s="400">
        <v>0</v>
      </c>
      <c r="LE76" s="400">
        <v>0</v>
      </c>
      <c r="LF76" s="400">
        <v>0</v>
      </c>
      <c r="LG76" s="400">
        <v>229363</v>
      </c>
      <c r="LH76" s="400">
        <v>0</v>
      </c>
      <c r="LI76" s="400">
        <v>0</v>
      </c>
      <c r="LJ76" s="400">
        <v>0</v>
      </c>
      <c r="LK76" s="400">
        <v>0</v>
      </c>
      <c r="LL76" s="400">
        <v>0</v>
      </c>
      <c r="LM76" s="400">
        <v>0</v>
      </c>
      <c r="LN76" s="400">
        <v>0</v>
      </c>
      <c r="LO76" s="400">
        <v>0</v>
      </c>
      <c r="LP76" s="400">
        <v>0</v>
      </c>
      <c r="LQ76" s="400">
        <v>342785</v>
      </c>
      <c r="LR76" s="400">
        <v>0</v>
      </c>
      <c r="LS76" s="400">
        <v>0</v>
      </c>
      <c r="LT76" s="400">
        <v>0</v>
      </c>
      <c r="LU76" s="400">
        <v>0</v>
      </c>
      <c r="LV76" s="400">
        <v>0</v>
      </c>
      <c r="LW76" s="400">
        <v>0</v>
      </c>
      <c r="LX76" s="400">
        <v>0</v>
      </c>
      <c r="LY76" s="400">
        <v>0</v>
      </c>
      <c r="LZ76" s="400">
        <v>0</v>
      </c>
      <c r="MA76" s="400">
        <v>0</v>
      </c>
      <c r="MB76" s="400">
        <v>0</v>
      </c>
      <c r="MC76" s="400">
        <v>0</v>
      </c>
      <c r="MD76" s="400">
        <v>0</v>
      </c>
      <c r="ME76" s="400">
        <v>0</v>
      </c>
      <c r="MF76" s="400">
        <v>0</v>
      </c>
      <c r="MG76" s="400">
        <v>0</v>
      </c>
      <c r="MH76" s="400">
        <v>0</v>
      </c>
      <c r="MI76" s="400">
        <v>0</v>
      </c>
      <c r="MJ76" s="400">
        <v>0</v>
      </c>
      <c r="MK76" s="400">
        <v>0</v>
      </c>
      <c r="ML76" s="400">
        <v>0</v>
      </c>
      <c r="MM76" s="400">
        <v>0</v>
      </c>
      <c r="MN76" s="400">
        <v>0</v>
      </c>
      <c r="MO76" s="400">
        <v>29052</v>
      </c>
      <c r="MP76" s="400">
        <v>0</v>
      </c>
      <c r="MQ76" s="400">
        <v>0</v>
      </c>
      <c r="MR76" s="400">
        <v>475607</v>
      </c>
      <c r="MS76" s="400">
        <v>0</v>
      </c>
      <c r="MT76" s="400">
        <v>0</v>
      </c>
      <c r="MU76" s="400">
        <v>0</v>
      </c>
      <c r="MV76" s="400">
        <v>0</v>
      </c>
      <c r="MW76" s="400">
        <v>523294</v>
      </c>
      <c r="MX76" s="400">
        <v>22636</v>
      </c>
      <c r="MY76" s="400">
        <v>0</v>
      </c>
      <c r="MZ76" s="400">
        <v>0</v>
      </c>
      <c r="NA76" s="400">
        <v>336630</v>
      </c>
      <c r="NB76" s="400">
        <v>0</v>
      </c>
      <c r="NC76" s="400">
        <v>0</v>
      </c>
      <c r="ND76" s="400">
        <v>0</v>
      </c>
      <c r="NE76" s="400">
        <v>0</v>
      </c>
      <c r="NF76" s="400">
        <v>0</v>
      </c>
      <c r="NG76" s="400">
        <v>0</v>
      </c>
      <c r="NH76" s="400">
        <v>0</v>
      </c>
      <c r="NI76" s="400">
        <v>0</v>
      </c>
      <c r="NJ76" s="400">
        <v>0</v>
      </c>
      <c r="NK76" s="400">
        <v>0</v>
      </c>
      <c r="NL76" s="400">
        <v>0</v>
      </c>
      <c r="NM76" s="400">
        <v>0</v>
      </c>
      <c r="NN76" s="400">
        <v>0</v>
      </c>
      <c r="NO76" s="400">
        <v>0</v>
      </c>
      <c r="NP76" s="400">
        <v>0</v>
      </c>
      <c r="NQ76" s="400">
        <v>0</v>
      </c>
      <c r="NR76" s="400">
        <v>0</v>
      </c>
      <c r="NS76" s="400">
        <v>0</v>
      </c>
      <c r="NT76" s="400">
        <v>0</v>
      </c>
      <c r="NU76" s="400">
        <v>0</v>
      </c>
      <c r="NV76" s="400">
        <v>92196</v>
      </c>
      <c r="NW76" s="400">
        <v>0</v>
      </c>
      <c r="NX76" s="400">
        <v>0</v>
      </c>
      <c r="NY76" s="400">
        <v>0</v>
      </c>
      <c r="NZ76" s="400">
        <v>0</v>
      </c>
      <c r="OA76" s="400">
        <v>0</v>
      </c>
      <c r="OB76" s="400">
        <v>0</v>
      </c>
      <c r="OC76" s="400">
        <v>0</v>
      </c>
      <c r="OD76" s="400">
        <v>6040</v>
      </c>
      <c r="OE76" s="400">
        <v>0</v>
      </c>
      <c r="OF76" s="400">
        <v>0</v>
      </c>
      <c r="OG76" s="400">
        <v>0</v>
      </c>
      <c r="OH76" s="400">
        <v>0</v>
      </c>
      <c r="OI76" s="400">
        <v>0</v>
      </c>
      <c r="OJ76" s="400">
        <v>0</v>
      </c>
      <c r="OK76" s="400">
        <v>1425</v>
      </c>
      <c r="OL76" s="400">
        <v>0</v>
      </c>
      <c r="OM76" s="400">
        <v>0</v>
      </c>
      <c r="ON76" s="400">
        <v>0</v>
      </c>
      <c r="OO76" s="400">
        <v>0</v>
      </c>
      <c r="OP76" s="400">
        <v>0</v>
      </c>
      <c r="OQ76" s="400">
        <v>0</v>
      </c>
      <c r="OR76" s="400">
        <v>0</v>
      </c>
      <c r="OS76" s="400">
        <v>0</v>
      </c>
      <c r="OT76" s="400">
        <v>430652</v>
      </c>
      <c r="OU76" s="400">
        <v>0</v>
      </c>
      <c r="OV76" s="400">
        <v>0</v>
      </c>
      <c r="OW76" s="400">
        <v>0</v>
      </c>
      <c r="OX76" s="400">
        <v>0</v>
      </c>
      <c r="OY76" s="400">
        <v>0</v>
      </c>
      <c r="OZ76" s="400">
        <v>0</v>
      </c>
      <c r="PA76" s="400">
        <v>0</v>
      </c>
      <c r="PB76" s="400">
        <v>0</v>
      </c>
      <c r="PC76" s="400">
        <v>0</v>
      </c>
      <c r="PD76" s="400">
        <v>0</v>
      </c>
      <c r="PE76" s="400">
        <v>0</v>
      </c>
      <c r="PF76" s="400">
        <v>0</v>
      </c>
      <c r="PG76" s="400">
        <v>0</v>
      </c>
      <c r="PH76" s="400">
        <v>25087</v>
      </c>
      <c r="PI76" s="400">
        <v>0</v>
      </c>
      <c r="PJ76" s="400">
        <v>0</v>
      </c>
      <c r="PK76" s="400">
        <v>0</v>
      </c>
      <c r="PL76" s="400">
        <v>0</v>
      </c>
      <c r="PM76" s="400">
        <v>0</v>
      </c>
      <c r="PN76" s="400">
        <v>0</v>
      </c>
      <c r="PO76" s="400">
        <v>5000</v>
      </c>
      <c r="PP76" s="400">
        <v>0</v>
      </c>
      <c r="PQ76" s="400">
        <v>0</v>
      </c>
      <c r="PR76" s="400">
        <v>0</v>
      </c>
      <c r="PS76" s="400">
        <v>0</v>
      </c>
      <c r="PT76" s="400">
        <v>0</v>
      </c>
      <c r="PU76" s="400">
        <v>0</v>
      </c>
      <c r="PV76" s="400">
        <v>0</v>
      </c>
      <c r="PW76" s="400">
        <v>0</v>
      </c>
      <c r="PX76" s="400">
        <v>0</v>
      </c>
      <c r="PY76" s="400">
        <v>0</v>
      </c>
      <c r="PZ76" s="400">
        <v>0</v>
      </c>
      <c r="QA76" s="400">
        <v>0</v>
      </c>
      <c r="QB76" s="400">
        <v>0</v>
      </c>
      <c r="QC76" s="400">
        <v>0</v>
      </c>
      <c r="QD76" s="400">
        <v>0</v>
      </c>
      <c r="QE76" s="400">
        <v>0</v>
      </c>
      <c r="QF76" s="400">
        <v>0</v>
      </c>
      <c r="QG76" s="400">
        <v>0</v>
      </c>
      <c r="QH76" s="400">
        <v>0</v>
      </c>
      <c r="QI76" s="400">
        <v>0</v>
      </c>
      <c r="QJ76" s="400">
        <v>0</v>
      </c>
      <c r="QK76" s="400">
        <v>0</v>
      </c>
      <c r="QL76" s="400">
        <v>0</v>
      </c>
      <c r="QM76" s="400">
        <v>0</v>
      </c>
      <c r="QN76" s="400">
        <v>0</v>
      </c>
      <c r="QO76" s="400">
        <v>0</v>
      </c>
      <c r="QP76" s="400">
        <v>0</v>
      </c>
      <c r="QQ76" s="400">
        <v>0</v>
      </c>
      <c r="QR76" s="400">
        <v>0</v>
      </c>
      <c r="QS76" s="400">
        <v>23297</v>
      </c>
      <c r="QT76" s="400">
        <v>60754</v>
      </c>
      <c r="QU76" s="400">
        <v>0</v>
      </c>
      <c r="QV76" s="400">
        <v>228150</v>
      </c>
      <c r="QW76" s="400">
        <v>0</v>
      </c>
      <c r="QX76" s="400">
        <v>0</v>
      </c>
      <c r="QY76" s="400">
        <v>0</v>
      </c>
      <c r="QZ76" s="400">
        <v>0</v>
      </c>
      <c r="RA76" s="400">
        <v>0</v>
      </c>
      <c r="RB76" s="400">
        <v>0</v>
      </c>
      <c r="RG76" s="39">
        <f t="shared" si="129"/>
        <v>9508449</v>
      </c>
      <c r="RH76" s="39">
        <f t="shared" si="128"/>
        <v>503674</v>
      </c>
      <c r="RI76" s="39">
        <f t="shared" si="128"/>
        <v>0</v>
      </c>
      <c r="RJ76" s="39">
        <f t="shared" si="128"/>
        <v>0</v>
      </c>
      <c r="RK76" s="39">
        <f t="shared" si="128"/>
        <v>37441</v>
      </c>
      <c r="RL76" s="39">
        <f t="shared" si="128"/>
        <v>1268345</v>
      </c>
      <c r="RM76" s="39">
        <f t="shared" si="128"/>
        <v>672290</v>
      </c>
      <c r="RN76" s="39">
        <f t="shared" si="128"/>
        <v>13875</v>
      </c>
      <c r="RO76" s="39">
        <f t="shared" si="128"/>
        <v>25162</v>
      </c>
      <c r="RP76" s="39">
        <f t="shared" si="128"/>
        <v>146095</v>
      </c>
      <c r="RQ76" s="39">
        <f t="shared" si="128"/>
        <v>148151</v>
      </c>
      <c r="RR76" s="39">
        <f t="shared" si="128"/>
        <v>4000</v>
      </c>
      <c r="RS76" s="39"/>
      <c r="RT76" s="182"/>
      <c r="RU76" s="39"/>
      <c r="RV76" s="39">
        <f t="shared" si="182"/>
        <v>2094078</v>
      </c>
      <c r="RW76" s="39">
        <f t="shared" si="182"/>
        <v>12327482</v>
      </c>
      <c r="RX76" s="39">
        <f t="shared" si="182"/>
        <v>11862839</v>
      </c>
      <c r="RY76" s="39">
        <f t="shared" si="182"/>
        <v>772940</v>
      </c>
      <c r="RZ76" s="39"/>
      <c r="SA76" s="182"/>
      <c r="SB76" s="39"/>
      <c r="SC76" s="25">
        <f t="shared" si="183"/>
        <v>5244.4027409372238</v>
      </c>
      <c r="SD76" s="39">
        <f>IFERROR(VLOOKUP(A76, 'Levy Data 15-16'!$B:$O, 3, FALSE), 0)</f>
        <v>1356127167</v>
      </c>
      <c r="SE76" s="39">
        <f t="shared" si="144"/>
        <v>599525.71485411143</v>
      </c>
      <c r="SF76" s="631">
        <f>IFERROR(VLOOKUP(A76, 'Levy Data 15-16'!$B:$O, 14, FALSE), 0)*1000</f>
        <v>7.5023150000000003</v>
      </c>
      <c r="SG76" s="39">
        <f t="shared" si="145"/>
        <v>0</v>
      </c>
      <c r="SH76" s="39">
        <f t="shared" si="146"/>
        <v>0</v>
      </c>
      <c r="SI76" s="39">
        <f t="shared" si="147"/>
        <v>11862839</v>
      </c>
      <c r="SM76" s="39">
        <f t="shared" si="148"/>
        <v>12327482</v>
      </c>
      <c r="SN76" s="39">
        <f t="shared" si="149"/>
        <v>0</v>
      </c>
      <c r="SO76" s="39">
        <f t="shared" si="184"/>
        <v>12327482</v>
      </c>
      <c r="SP76" s="50">
        <f t="shared" si="130"/>
        <v>1</v>
      </c>
      <c r="ST76" s="124">
        <f>IFERROR(VLOOKUP(A76,'Grade Enroll 15-16'!B:AC,27,FALSE),"")</f>
        <v>2262</v>
      </c>
      <c r="SU76" s="124">
        <f t="shared" si="185"/>
        <v>706.875</v>
      </c>
      <c r="SV76" s="131">
        <f>IFERROR(VLOOKUP($A76, 'Title I Enroll 16-17'!S:V, 4, FALSE), 0)</f>
        <v>0.3125</v>
      </c>
      <c r="SW76" s="729">
        <f>IFERROR(VLOOKUP(A76, 'ELL Enroll 15-16'!$N:$S, 6, FALSE), 0)</f>
        <v>49</v>
      </c>
      <c r="SX76" s="131">
        <f t="shared" si="131"/>
        <v>2.1662245800176835E-2</v>
      </c>
      <c r="SY76" s="124">
        <f>IFERROR(VLOOKUP(A76, 'SPED enroll 2015-16'!$M:$O, 3, FALSE), 0)</f>
        <v>254</v>
      </c>
      <c r="SZ76" s="131">
        <f t="shared" si="132"/>
        <v>0.11229000884173299</v>
      </c>
      <c r="TA76" s="142">
        <f t="shared" si="133"/>
        <v>177.79999999999998</v>
      </c>
      <c r="TB76" s="142">
        <f t="shared" si="133"/>
        <v>50.800000000000004</v>
      </c>
      <c r="TC76" s="142">
        <f t="shared" si="133"/>
        <v>17.78</v>
      </c>
      <c r="TD76" s="142">
        <f t="shared" si="133"/>
        <v>7.62</v>
      </c>
      <c r="TE76" s="124">
        <f>VLOOKUP($A76, 'Grade Enroll 15-16'!$B:$AB, 20, FALSE)</f>
        <v>41</v>
      </c>
      <c r="TF76" s="124">
        <f>VLOOKUP($A76, 'Grade Enroll 15-16'!$B:$AB, 21, FALSE)</f>
        <v>176</v>
      </c>
      <c r="TG76" s="124">
        <f>VLOOKUP($A76, 'Grade Enroll 15-16'!$B:$AB, 22, FALSE)</f>
        <v>581</v>
      </c>
      <c r="TH76" s="124">
        <f>VLOOKUP($A76, 'Grade Enroll 15-16'!$B:$AB, 23, FALSE)</f>
        <v>532</v>
      </c>
      <c r="TI76" s="124">
        <f>VLOOKUP($A76, 'Grade Enroll 15-16'!$B:$AB, 24, FALSE)</f>
        <v>353</v>
      </c>
      <c r="TJ76" s="124">
        <f>VLOOKUP($A76, 'Grade Enroll 15-16'!$B:$AB, 25, FALSE)</f>
        <v>796</v>
      </c>
      <c r="TK76" s="124">
        <f>VLOOKUP($A76, 'Grade Enroll 15-16'!$B:$AB, 26, FALSE)</f>
        <v>1489</v>
      </c>
      <c r="TL76" s="131">
        <f>SUMIFS('Student Achievement 15-16'!N:N, 'Student Achievement 15-16'!B:B, 'Idaho Data'!A76, 'Student Achievement 15-16'!D:D, "math")/100</f>
        <v>0.16600000000000001</v>
      </c>
      <c r="TM76" s="134">
        <f t="shared" si="186"/>
        <v>375.49200000000002</v>
      </c>
      <c r="TN76" s="131">
        <f>SUMIFS('Student Achievement 15-16'!N:N, 'Student Achievement 15-16'!B:B, 'Idaho Data'!A76, 'Student Achievement 15-16'!D:D, "ela")/100</f>
        <v>0.154</v>
      </c>
      <c r="TO76" s="134">
        <f t="shared" si="134"/>
        <v>348.34800000000001</v>
      </c>
      <c r="TP76" s="688">
        <f>IFERROR(VLOOKUP(A76, 'G&amp;T 15-16'!B:G, 6, FALSE), 0)*1</f>
        <v>210</v>
      </c>
      <c r="TQ76" s="168">
        <f t="shared" si="135"/>
        <v>135.72</v>
      </c>
      <c r="TU76" s="168">
        <f t="shared" si="136"/>
        <v>348.34800000000001</v>
      </c>
      <c r="TV76" s="168">
        <f t="shared" si="137"/>
        <v>375.49200000000002</v>
      </c>
      <c r="TW76" s="205">
        <f t="shared" si="138"/>
        <v>375.49200000000002</v>
      </c>
      <c r="TX76" s="144"/>
      <c r="TY76" s="129"/>
      <c r="TZ76" s="127">
        <f t="shared" si="139"/>
        <v>135.72</v>
      </c>
      <c r="UA76" s="127">
        <f t="shared" si="140"/>
        <v>210</v>
      </c>
      <c r="UB76" s="205">
        <f t="shared" si="141"/>
        <v>210</v>
      </c>
      <c r="UE76" s="853" t="str">
        <f>IF(ST76&lt;='1. Simulator Input'!$E$104, "yes", "")</f>
        <v/>
      </c>
      <c r="UI76" s="199">
        <f t="shared" si="187"/>
        <v>0</v>
      </c>
      <c r="UJ76" s="200">
        <f>IF('Idaho Data'!SI76&gt;=0, ((1-'1. Simulator Input'!$E$39)*'Idaho Data'!SI76), 0)</f>
        <v>0</v>
      </c>
      <c r="UK76" s="200">
        <f t="shared" si="142"/>
        <v>12327482</v>
      </c>
      <c r="UL76" s="39"/>
      <c r="UM76" s="182"/>
      <c r="UN76" s="39"/>
      <c r="UO76" s="39" t="str">
        <f>IF(AND('1. Simulator Input'!$E$96="yes", '1. Simulator Input'!$E$98="yes", '1. Simulator Input'!$E$100="hold harmless"), 'Idaho Data'!WN76, IF(AND('1. Simulator Input'!$E$96="yes", '1. Simulator Input'!$E$98="no", '1. Simulator Input'!$E$100="hold harmless"), 'Idaho Data'!WM76, IF(AND('1. Simulator Input'!$E$96="yes", '1. Simulator Input'!$E$98="yes", '1. Simulator Input'!$E$100="small district grant"), WL76,IF(AND('1. Simulator Input'!$E$96="yes", '1. Simulator Input'!$E$98="no", '1. Simulator Input'!$E$100="small district grant"), WK76, ""))))</f>
        <v/>
      </c>
      <c r="UP76" s="200">
        <f>'1. Simulator Input'!$D$56*('Idaho Data'!ST76)</f>
        <v>12499812</v>
      </c>
      <c r="UQ76" s="204">
        <f>'1. Simulator Input'!$D$65*'1. Simulator Input'!$D$56*'Idaho Data'!SU76</f>
        <v>0</v>
      </c>
      <c r="UR76" s="204">
        <f>'1. Simulator Input'!$D$66*'1. Simulator Input'!$D$56*'Idaho Data'!SW76</f>
        <v>0</v>
      </c>
      <c r="US76" s="200">
        <f>'1. Simulator Input'!$D$67*'1. Simulator Input'!$D$56*'Idaho Data'!TA76</f>
        <v>0</v>
      </c>
      <c r="UT76" s="200">
        <f>'1. Simulator Input'!$D$68*'1. Simulator Input'!$D$56*'Idaho Data'!TB76</f>
        <v>0</v>
      </c>
      <c r="UU76" s="200">
        <f>'1. Simulator Input'!$D$69*'1. Simulator Input'!$D$56*'Idaho Data'!TC76</f>
        <v>0</v>
      </c>
      <c r="UV76" s="200">
        <f>'1. Simulator Input'!$D$70*'1. Simulator Input'!$D$56*TD76</f>
        <v>0</v>
      </c>
      <c r="UW76" s="200">
        <f>'1. Simulator Input'!$D$80*'1. Simulator Input'!$D$56*TW76</f>
        <v>0</v>
      </c>
      <c r="UX76" s="200">
        <f>'1. Simulator Input'!$D$79*'1. Simulator Input'!$D$56*UB76</f>
        <v>0</v>
      </c>
      <c r="UY76" s="200">
        <f>'1. Simulator Input'!$D$87*'1. Simulator Input'!$D$56*TF76</f>
        <v>486288</v>
      </c>
      <c r="UZ76" s="200">
        <f>'1. Simulator Input'!$D$73*'1. Simulator Input'!$D$56*'Idaho Data'!TG76</f>
        <v>0</v>
      </c>
      <c r="VA76" s="200">
        <f>'1. Simulator Input'!$D$56*'1. Simulator Input'!$D$74*'Idaho Data'!TH76</f>
        <v>0</v>
      </c>
      <c r="VB76" s="200">
        <f>'1. Simulator Input'!$D$56*'1. Simulator Input'!$D$75*'Idaho Data'!TI71</f>
        <v>0</v>
      </c>
      <c r="VC76" s="200">
        <f>'1. Simulator Input'!$D$76*'1. Simulator Input'!$D$56*'Idaho Data'!TJ76</f>
        <v>0</v>
      </c>
      <c r="VD76" s="200">
        <f t="shared" si="188"/>
        <v>12986100</v>
      </c>
      <c r="VE76" s="200"/>
      <c r="VF76" s="182"/>
      <c r="VG76" s="200"/>
      <c r="VH76" s="200">
        <f t="shared" si="189"/>
        <v>0</v>
      </c>
      <c r="VI76" s="200">
        <f t="shared" si="190"/>
        <v>0</v>
      </c>
      <c r="VJ76" s="200">
        <f t="shared" si="150"/>
        <v>12986100</v>
      </c>
      <c r="VK76" s="200">
        <f t="shared" si="151"/>
        <v>12986100</v>
      </c>
      <c r="VL76" s="200"/>
      <c r="VM76" s="182"/>
      <c r="VN76" s="200"/>
      <c r="VO76" s="200">
        <f t="shared" si="191"/>
        <v>2094078</v>
      </c>
      <c r="VP76" s="200">
        <f t="shared" si="192"/>
        <v>12327482</v>
      </c>
      <c r="VQ76" s="200">
        <f t="shared" si="193"/>
        <v>11862839</v>
      </c>
      <c r="VR76" s="200">
        <f t="shared" si="194"/>
        <v>2094078</v>
      </c>
      <c r="VS76" s="200">
        <f t="shared" si="152"/>
        <v>12986100</v>
      </c>
      <c r="VT76" s="200">
        <f t="shared" si="153"/>
        <v>11862839</v>
      </c>
      <c r="VU76" s="200">
        <f t="shared" si="154"/>
        <v>0</v>
      </c>
      <c r="VV76" s="200"/>
      <c r="VW76" s="182"/>
      <c r="VX76" s="200"/>
      <c r="VZ76" s="199">
        <f t="shared" si="195"/>
        <v>658618</v>
      </c>
      <c r="WA76" s="199">
        <f t="shared" si="196"/>
        <v>291.16622458001768</v>
      </c>
      <c r="WB76" s="131">
        <f t="shared" si="197"/>
        <v>5.3426806869399608E-2</v>
      </c>
      <c r="WC76" s="131"/>
      <c r="WD76" s="461"/>
      <c r="WE76" s="893"/>
      <c r="WF76" s="893">
        <f t="shared" si="198"/>
        <v>11619.981874447392</v>
      </c>
      <c r="WG76" s="893">
        <f t="shared" si="199"/>
        <v>11911.148099027409</v>
      </c>
      <c r="WH76" s="893"/>
      <c r="WI76" s="893">
        <f t="shared" si="200"/>
        <v>12327482</v>
      </c>
      <c r="WJ76" s="893">
        <f t="shared" si="155"/>
        <v>12986100</v>
      </c>
      <c r="WK76" s="39" t="str">
        <f t="shared" si="156"/>
        <v/>
      </c>
      <c r="WL76" s="39" t="str">
        <f t="shared" si="157"/>
        <v/>
      </c>
      <c r="WM76" s="200" t="str">
        <f t="shared" si="158"/>
        <v/>
      </c>
      <c r="WN76" s="39" t="str">
        <f t="shared" si="159"/>
        <v/>
      </c>
      <c r="WO76" s="39"/>
      <c r="WP76" s="182"/>
      <c r="WQ76" s="39"/>
      <c r="WR76" s="305">
        <f t="shared" si="160"/>
        <v>0.622</v>
      </c>
      <c r="WT76" s="200">
        <f t="shared" si="161"/>
        <v>5449.8152077807254</v>
      </c>
      <c r="WU76" s="131">
        <f t="shared" si="201"/>
        <v>0.11</v>
      </c>
      <c r="WW76" s="199">
        <f t="shared" si="162"/>
        <v>2094078</v>
      </c>
      <c r="WX76" s="199">
        <f t="shared" si="163"/>
        <v>12986100</v>
      </c>
      <c r="WY76" s="199">
        <f t="shared" si="164"/>
        <v>0</v>
      </c>
      <c r="WZ76" s="199">
        <f t="shared" si="202"/>
        <v>12986100</v>
      </c>
      <c r="XA76" s="199">
        <f t="shared" si="165"/>
        <v>0</v>
      </c>
      <c r="XB76" s="199">
        <f t="shared" si="166"/>
        <v>11862839</v>
      </c>
      <c r="XC76" s="199">
        <f t="shared" si="167"/>
        <v>11862839</v>
      </c>
      <c r="XD76" s="199" t="str">
        <f t="shared" si="168"/>
        <v/>
      </c>
      <c r="XE76" s="199"/>
      <c r="XF76" s="199"/>
      <c r="XG76" s="199"/>
      <c r="XH76" s="199"/>
      <c r="XI76" s="199"/>
      <c r="XJ76" s="199">
        <f t="shared" si="203"/>
        <v>12986100</v>
      </c>
      <c r="XP76" s="199">
        <f t="shared" si="169"/>
        <v>12986100</v>
      </c>
      <c r="XQ76" s="199">
        <f t="shared" si="170"/>
        <v>5740.9814323607425</v>
      </c>
      <c r="XR76" s="199">
        <f t="shared" si="171"/>
        <v>12986100</v>
      </c>
      <c r="XS76" s="199">
        <f t="shared" si="172"/>
        <v>12986100</v>
      </c>
      <c r="XT76" s="199">
        <f t="shared" si="173"/>
        <v>5740.9814323607425</v>
      </c>
      <c r="XU76" s="199">
        <f t="shared" si="174"/>
        <v>12327482</v>
      </c>
      <c r="XV76" s="199">
        <f t="shared" si="175"/>
        <v>5449.8152077807254</v>
      </c>
      <c r="XW76" s="199">
        <f t="shared" si="176"/>
        <v>12327482</v>
      </c>
      <c r="XX76" s="199">
        <f t="shared" si="177"/>
        <v>5449.8152077807254</v>
      </c>
      <c r="XY76" s="199">
        <f t="shared" si="204"/>
        <v>658618</v>
      </c>
      <c r="XZ76" s="199">
        <f t="shared" si="205"/>
        <v>291.16622458001711</v>
      </c>
      <c r="YA76" s="131">
        <f t="shared" si="143"/>
        <v>5.3426806869399497E-2</v>
      </c>
      <c r="YB76" s="199"/>
      <c r="YC76" s="221"/>
      <c r="YD76" s="199"/>
      <c r="YE76" s="199">
        <f t="shared" si="178"/>
        <v>2094078</v>
      </c>
      <c r="YF76" s="200">
        <f t="shared" si="179"/>
        <v>0</v>
      </c>
      <c r="YG76" s="199">
        <f t="shared" si="180"/>
        <v>11862839</v>
      </c>
      <c r="YH76" s="199">
        <f t="shared" si="181"/>
        <v>772940</v>
      </c>
    </row>
    <row r="77" spans="1:658">
      <c r="A77" s="3">
        <v>282</v>
      </c>
      <c r="B77" s="2" t="s">
        <v>173</v>
      </c>
      <c r="C77" s="24">
        <v>0</v>
      </c>
      <c r="D77" s="24">
        <v>0</v>
      </c>
      <c r="E77" s="24">
        <v>0</v>
      </c>
      <c r="F77" s="24">
        <v>0</v>
      </c>
      <c r="G77" s="24">
        <v>876239</v>
      </c>
      <c r="H77" s="24">
        <v>0</v>
      </c>
      <c r="I77" s="24">
        <v>0</v>
      </c>
      <c r="J77" s="24">
        <v>0</v>
      </c>
      <c r="K77" s="24">
        <v>0</v>
      </c>
      <c r="L77" s="24">
        <v>0</v>
      </c>
      <c r="M77" s="24">
        <v>0</v>
      </c>
      <c r="N77" s="24">
        <v>18650</v>
      </c>
      <c r="O77" s="24">
        <v>0</v>
      </c>
      <c r="P77" s="24">
        <v>0</v>
      </c>
      <c r="Q77" s="24">
        <v>0</v>
      </c>
      <c r="R77" s="24">
        <v>0</v>
      </c>
      <c r="S77" s="24">
        <v>0</v>
      </c>
      <c r="T77" s="24">
        <v>0</v>
      </c>
      <c r="U77" s="24">
        <v>0</v>
      </c>
      <c r="V77" s="24">
        <v>0</v>
      </c>
      <c r="W77" s="24">
        <v>0</v>
      </c>
      <c r="X77" s="24">
        <v>315576</v>
      </c>
      <c r="Y77" s="24">
        <v>4115</v>
      </c>
      <c r="Z77" s="24">
        <v>0</v>
      </c>
      <c r="AA77" s="24">
        <v>0</v>
      </c>
      <c r="AB77" s="24">
        <v>0</v>
      </c>
      <c r="AC77" s="24">
        <v>0</v>
      </c>
      <c r="AD77" s="24">
        <v>0</v>
      </c>
      <c r="AE77" s="24">
        <v>0</v>
      </c>
      <c r="AF77" s="24">
        <v>0</v>
      </c>
      <c r="AG77" s="24">
        <v>0</v>
      </c>
      <c r="AH77" s="24">
        <v>5700</v>
      </c>
      <c r="AI77" s="24">
        <v>0</v>
      </c>
      <c r="AJ77" s="24">
        <v>0</v>
      </c>
      <c r="AK77" s="24">
        <v>0</v>
      </c>
      <c r="AL77" s="24">
        <v>7227</v>
      </c>
      <c r="AM77" s="24">
        <v>0</v>
      </c>
      <c r="AN77" s="24">
        <v>0</v>
      </c>
      <c r="AO77" s="24">
        <v>0</v>
      </c>
      <c r="AP77" s="24">
        <v>0</v>
      </c>
      <c r="AQ77" s="24">
        <v>0</v>
      </c>
      <c r="AR77" s="24">
        <v>0</v>
      </c>
      <c r="AS77" s="24">
        <v>0</v>
      </c>
      <c r="AT77" s="24">
        <v>0</v>
      </c>
      <c r="AU77" s="24">
        <v>0</v>
      </c>
      <c r="AV77" s="24">
        <v>0</v>
      </c>
      <c r="AW77" s="24">
        <v>0</v>
      </c>
      <c r="AX77" s="24">
        <v>0</v>
      </c>
      <c r="AY77" s="24">
        <v>0</v>
      </c>
      <c r="AZ77" s="24">
        <v>0</v>
      </c>
      <c r="BA77" s="24">
        <v>0</v>
      </c>
      <c r="BB77" s="24">
        <v>0</v>
      </c>
      <c r="BC77" s="24">
        <v>0</v>
      </c>
      <c r="BD77" s="24">
        <v>2095</v>
      </c>
      <c r="BE77" s="24">
        <v>0</v>
      </c>
      <c r="BF77" s="24">
        <v>395</v>
      </c>
      <c r="BG77" s="24">
        <v>0</v>
      </c>
      <c r="BH77" s="24">
        <v>0</v>
      </c>
      <c r="BI77" s="24">
        <v>0</v>
      </c>
      <c r="BJ77" s="24">
        <v>0</v>
      </c>
      <c r="BK77" s="24">
        <v>0</v>
      </c>
      <c r="BL77" s="24">
        <v>0</v>
      </c>
      <c r="BM77" s="24">
        <v>13</v>
      </c>
      <c r="BN77" s="24">
        <v>0</v>
      </c>
      <c r="BO77" s="24">
        <v>0</v>
      </c>
      <c r="BP77" s="24">
        <v>0</v>
      </c>
      <c r="BQ77" s="24">
        <v>0</v>
      </c>
      <c r="BR77" s="24">
        <v>0</v>
      </c>
      <c r="BS77" s="24">
        <v>0</v>
      </c>
      <c r="BT77" s="24">
        <v>0</v>
      </c>
      <c r="BU77" s="24">
        <v>0</v>
      </c>
      <c r="BV77" s="24">
        <v>0</v>
      </c>
      <c r="BW77" s="24">
        <v>0</v>
      </c>
      <c r="BX77" s="24">
        <v>0</v>
      </c>
      <c r="BY77" s="24">
        <v>0</v>
      </c>
      <c r="BZ77" s="24">
        <v>0</v>
      </c>
      <c r="CA77" s="24">
        <v>0</v>
      </c>
      <c r="CB77" s="24">
        <v>0</v>
      </c>
      <c r="CC77" s="24">
        <v>0</v>
      </c>
      <c r="CD77" s="24">
        <v>58773</v>
      </c>
      <c r="CE77" s="24">
        <v>0</v>
      </c>
      <c r="CF77" s="24">
        <v>0</v>
      </c>
      <c r="CG77" s="24">
        <v>0</v>
      </c>
      <c r="CH77" s="24">
        <v>0</v>
      </c>
      <c r="CI77" s="24">
        <v>53132</v>
      </c>
      <c r="CJ77" s="24">
        <v>0</v>
      </c>
      <c r="CK77" s="24">
        <v>0</v>
      </c>
      <c r="CL77" s="24">
        <v>0</v>
      </c>
      <c r="CM77" s="24">
        <v>0</v>
      </c>
      <c r="CN77" s="24">
        <v>0</v>
      </c>
      <c r="CO77" s="24">
        <v>0</v>
      </c>
      <c r="CP77" s="24">
        <v>0</v>
      </c>
      <c r="CQ77" s="24">
        <v>0</v>
      </c>
      <c r="CR77" s="24">
        <v>0</v>
      </c>
      <c r="CS77" s="24">
        <v>9945</v>
      </c>
      <c r="CT77" s="24">
        <v>0</v>
      </c>
      <c r="CU77" s="24">
        <v>0</v>
      </c>
      <c r="CV77" s="24">
        <v>0</v>
      </c>
      <c r="CW77" s="24">
        <v>0</v>
      </c>
      <c r="CX77" s="24">
        <v>0</v>
      </c>
      <c r="CY77" s="24">
        <v>0</v>
      </c>
      <c r="CZ77" s="24">
        <v>0</v>
      </c>
      <c r="DA77" s="24">
        <v>0</v>
      </c>
      <c r="DB77" s="24">
        <v>0</v>
      </c>
      <c r="DC77" s="24">
        <v>0</v>
      </c>
      <c r="DD77" s="24">
        <v>0</v>
      </c>
      <c r="DE77" s="24">
        <v>0</v>
      </c>
      <c r="DF77" s="24">
        <v>0</v>
      </c>
      <c r="DG77" s="24">
        <v>0</v>
      </c>
      <c r="DH77" s="24">
        <v>0</v>
      </c>
      <c r="DI77" s="24">
        <v>0</v>
      </c>
      <c r="DJ77" s="24">
        <v>0</v>
      </c>
      <c r="DK77" s="24">
        <v>0</v>
      </c>
      <c r="DL77" s="24">
        <v>0</v>
      </c>
      <c r="DM77" s="24">
        <v>0</v>
      </c>
      <c r="DN77" s="24">
        <v>0</v>
      </c>
      <c r="DO77" s="24">
        <v>0</v>
      </c>
      <c r="DP77" s="24">
        <v>0</v>
      </c>
      <c r="DQ77" s="24">
        <v>0</v>
      </c>
      <c r="DR77" s="24">
        <v>0</v>
      </c>
      <c r="DS77" s="24">
        <v>0</v>
      </c>
      <c r="DT77" s="24">
        <v>38148</v>
      </c>
      <c r="DU77" s="24">
        <v>495</v>
      </c>
      <c r="DV77" s="24">
        <v>0</v>
      </c>
      <c r="DW77" s="24">
        <v>0</v>
      </c>
      <c r="DX77" s="24">
        <v>0</v>
      </c>
      <c r="DY77" s="24">
        <v>0</v>
      </c>
      <c r="DZ77" s="24">
        <v>0</v>
      </c>
      <c r="EA77" s="24">
        <v>0</v>
      </c>
      <c r="EB77" s="24">
        <v>0</v>
      </c>
      <c r="EC77" s="24">
        <v>0</v>
      </c>
      <c r="ED77" s="24">
        <v>0</v>
      </c>
      <c r="EE77" s="24">
        <v>0</v>
      </c>
      <c r="EF77" s="24">
        <v>0</v>
      </c>
      <c r="EG77" s="24">
        <v>12446</v>
      </c>
      <c r="EH77" s="24">
        <v>0</v>
      </c>
      <c r="EI77" s="24">
        <v>0</v>
      </c>
      <c r="EJ77" s="24">
        <v>0</v>
      </c>
      <c r="EK77" s="24">
        <v>0</v>
      </c>
      <c r="EL77" s="24">
        <v>0</v>
      </c>
      <c r="EM77" s="24">
        <v>0</v>
      </c>
      <c r="EN77" s="24">
        <v>0</v>
      </c>
      <c r="EO77" s="24">
        <v>0</v>
      </c>
      <c r="EP77" s="24">
        <v>0</v>
      </c>
      <c r="EQ77" s="24">
        <v>0</v>
      </c>
      <c r="ER77" s="24">
        <v>0</v>
      </c>
      <c r="ES77" s="24">
        <v>0</v>
      </c>
      <c r="ET77" s="24">
        <v>0</v>
      </c>
      <c r="EU77" s="24">
        <v>0</v>
      </c>
      <c r="EV77" s="24">
        <v>0</v>
      </c>
      <c r="EW77" s="24">
        <v>0</v>
      </c>
      <c r="EX77" s="24">
        <v>0</v>
      </c>
      <c r="EY77" s="24">
        <v>0</v>
      </c>
      <c r="EZ77" s="24">
        <v>0</v>
      </c>
      <c r="FA77" s="24">
        <v>0</v>
      </c>
      <c r="FB77" s="24">
        <v>0</v>
      </c>
      <c r="FC77" s="24">
        <v>0</v>
      </c>
      <c r="FD77" s="24">
        <v>0</v>
      </c>
      <c r="FE77" s="24">
        <v>0</v>
      </c>
      <c r="FF77" s="24">
        <v>0</v>
      </c>
      <c r="FG77" s="24">
        <v>0</v>
      </c>
      <c r="FH77" s="24">
        <v>0</v>
      </c>
      <c r="FI77" s="24">
        <v>0</v>
      </c>
      <c r="FJ77" s="24">
        <v>0</v>
      </c>
      <c r="FK77" s="24">
        <v>0</v>
      </c>
      <c r="FL77" s="24">
        <v>385</v>
      </c>
      <c r="FM77" s="24">
        <v>0</v>
      </c>
      <c r="FN77" s="24">
        <v>0</v>
      </c>
      <c r="FO77" s="24">
        <v>0</v>
      </c>
      <c r="FP77" s="24">
        <v>0</v>
      </c>
      <c r="FQ77" s="24">
        <v>0</v>
      </c>
      <c r="FR77" s="24">
        <v>0</v>
      </c>
      <c r="FS77" s="24">
        <v>0</v>
      </c>
      <c r="FT77" s="24">
        <v>0</v>
      </c>
      <c r="FU77" s="24">
        <v>0</v>
      </c>
      <c r="FV77" s="24">
        <v>0</v>
      </c>
      <c r="FW77" s="24">
        <v>0</v>
      </c>
      <c r="FX77" s="24">
        <v>0</v>
      </c>
      <c r="FY77" s="24">
        <v>0</v>
      </c>
      <c r="FZ77" s="24">
        <v>0</v>
      </c>
      <c r="GA77" s="24">
        <v>0</v>
      </c>
      <c r="GB77" s="24">
        <v>0</v>
      </c>
      <c r="GC77" s="24">
        <v>0</v>
      </c>
      <c r="GD77" s="24">
        <v>0</v>
      </c>
      <c r="GE77" s="24">
        <v>0</v>
      </c>
      <c r="GF77" s="24">
        <v>0</v>
      </c>
      <c r="GG77" s="24">
        <v>0</v>
      </c>
      <c r="GH77" s="24">
        <v>0</v>
      </c>
      <c r="GI77" s="24">
        <v>0</v>
      </c>
      <c r="GJ77" s="24">
        <v>0</v>
      </c>
      <c r="GK77" s="24">
        <v>0</v>
      </c>
      <c r="GL77" s="24">
        <v>0</v>
      </c>
      <c r="GM77" s="24">
        <v>0</v>
      </c>
      <c r="GN77" s="24">
        <v>0</v>
      </c>
      <c r="GO77" s="24">
        <v>0</v>
      </c>
      <c r="GP77" s="24">
        <v>0</v>
      </c>
      <c r="GQ77" s="24">
        <v>0</v>
      </c>
      <c r="GR77" s="24">
        <v>0</v>
      </c>
      <c r="GS77" s="24">
        <v>0</v>
      </c>
      <c r="GT77" s="24">
        <v>0</v>
      </c>
      <c r="GU77" s="24">
        <v>6600</v>
      </c>
      <c r="GV77" s="24">
        <v>0</v>
      </c>
      <c r="GW77" s="24">
        <v>0</v>
      </c>
      <c r="GX77" s="24">
        <v>0</v>
      </c>
      <c r="GY77" s="24">
        <v>0</v>
      </c>
      <c r="GZ77" s="24">
        <v>0</v>
      </c>
      <c r="HA77" s="24">
        <v>0</v>
      </c>
      <c r="HB77" s="24">
        <v>0</v>
      </c>
      <c r="HC77" s="24">
        <v>0</v>
      </c>
      <c r="HD77" s="24">
        <v>1698685</v>
      </c>
      <c r="HE77" s="24">
        <v>0</v>
      </c>
      <c r="HF77" s="24">
        <v>0</v>
      </c>
      <c r="HG77" s="24">
        <v>0</v>
      </c>
      <c r="HH77" s="24">
        <v>0</v>
      </c>
      <c r="HI77" s="24">
        <v>126490</v>
      </c>
      <c r="HJ77" s="24">
        <v>0</v>
      </c>
      <c r="HK77" s="24">
        <v>0</v>
      </c>
      <c r="HL77" s="24">
        <v>0</v>
      </c>
      <c r="HM77" s="24">
        <v>0</v>
      </c>
      <c r="HN77" s="24">
        <v>0</v>
      </c>
      <c r="HO77" s="24">
        <v>231414</v>
      </c>
      <c r="HP77" s="24">
        <v>84486</v>
      </c>
      <c r="HQ77" s="24">
        <v>0</v>
      </c>
      <c r="HR77" s="24">
        <v>0</v>
      </c>
      <c r="HS77" s="24">
        <v>0</v>
      </c>
      <c r="HT77" s="24">
        <v>0</v>
      </c>
      <c r="HU77" s="24">
        <v>0</v>
      </c>
      <c r="HV77" s="24">
        <v>0</v>
      </c>
      <c r="HW77" s="24">
        <v>0</v>
      </c>
      <c r="HX77" s="24">
        <v>0</v>
      </c>
      <c r="HY77" s="24">
        <v>0</v>
      </c>
      <c r="HZ77" s="24">
        <v>0</v>
      </c>
      <c r="IA77" s="24">
        <v>27767</v>
      </c>
      <c r="IB77" s="24">
        <v>5860</v>
      </c>
      <c r="IC77" s="24">
        <v>0</v>
      </c>
      <c r="ID77" s="24">
        <v>0</v>
      </c>
      <c r="IE77" s="24">
        <v>0</v>
      </c>
      <c r="IF77" s="24">
        <v>0</v>
      </c>
      <c r="IG77" s="24">
        <v>0</v>
      </c>
      <c r="IH77" s="24">
        <v>0</v>
      </c>
      <c r="II77" s="24">
        <v>0</v>
      </c>
      <c r="IJ77" s="24">
        <v>12637</v>
      </c>
      <c r="IK77" s="24">
        <v>0</v>
      </c>
      <c r="IL77" s="24">
        <v>0</v>
      </c>
      <c r="IM77" s="24">
        <v>0</v>
      </c>
      <c r="IN77" s="24">
        <v>0</v>
      </c>
      <c r="IO77" s="24">
        <v>0</v>
      </c>
      <c r="IP77" s="24">
        <v>0</v>
      </c>
      <c r="IQ77" s="24">
        <v>0</v>
      </c>
      <c r="IR77" s="24">
        <v>28169</v>
      </c>
      <c r="IS77" s="24">
        <v>0</v>
      </c>
      <c r="IT77" s="24">
        <v>0</v>
      </c>
      <c r="IU77" s="24">
        <v>0</v>
      </c>
      <c r="IV77" s="24">
        <v>0</v>
      </c>
      <c r="IW77" s="24">
        <v>10596</v>
      </c>
      <c r="IX77" s="24">
        <v>0</v>
      </c>
      <c r="IY77" s="24">
        <v>18024</v>
      </c>
      <c r="IZ77" s="24">
        <v>0</v>
      </c>
      <c r="JA77" s="24">
        <v>0</v>
      </c>
      <c r="JB77" s="24">
        <v>63225</v>
      </c>
      <c r="JC77" s="24">
        <v>0</v>
      </c>
      <c r="JD77" s="24">
        <v>0</v>
      </c>
      <c r="JE77" s="24">
        <v>11099</v>
      </c>
      <c r="JF77" s="24">
        <v>0</v>
      </c>
      <c r="JG77" s="24">
        <v>0</v>
      </c>
      <c r="JH77" s="24">
        <v>0</v>
      </c>
      <c r="JI77" s="24">
        <v>0</v>
      </c>
      <c r="JJ77" s="24">
        <v>0</v>
      </c>
      <c r="JK77" s="24">
        <v>0</v>
      </c>
      <c r="JL77" s="24">
        <v>0</v>
      </c>
      <c r="JM77" s="24">
        <v>0</v>
      </c>
      <c r="JN77" s="24">
        <v>0</v>
      </c>
      <c r="JO77" s="24">
        <v>0</v>
      </c>
      <c r="JP77" s="24">
        <v>0</v>
      </c>
      <c r="JQ77" s="24">
        <v>0</v>
      </c>
      <c r="JR77" s="24">
        <v>0</v>
      </c>
      <c r="JS77" s="24">
        <v>0</v>
      </c>
      <c r="JT77" s="24">
        <v>0</v>
      </c>
      <c r="JU77" s="24">
        <v>0</v>
      </c>
      <c r="JV77" s="24">
        <v>0</v>
      </c>
      <c r="JW77" s="24">
        <v>0</v>
      </c>
      <c r="JX77" s="24">
        <v>0</v>
      </c>
      <c r="JY77" s="24">
        <v>0</v>
      </c>
      <c r="JZ77" s="24">
        <v>0</v>
      </c>
      <c r="KA77" s="24">
        <v>0</v>
      </c>
      <c r="KB77" s="24">
        <v>0</v>
      </c>
      <c r="KC77" s="24">
        <v>0</v>
      </c>
      <c r="KD77" s="24">
        <v>0</v>
      </c>
      <c r="KE77" s="24">
        <v>0</v>
      </c>
      <c r="KF77" s="24">
        <v>0</v>
      </c>
      <c r="KG77" s="24">
        <v>4211</v>
      </c>
      <c r="KH77" s="24">
        <v>0</v>
      </c>
      <c r="KI77" s="24">
        <v>0</v>
      </c>
      <c r="KJ77" s="24">
        <v>0</v>
      </c>
      <c r="KK77" s="24">
        <v>0</v>
      </c>
      <c r="KL77" s="24">
        <v>0</v>
      </c>
      <c r="KM77" s="24">
        <v>0</v>
      </c>
      <c r="KN77" s="24">
        <v>0</v>
      </c>
      <c r="KO77" s="24">
        <v>0</v>
      </c>
      <c r="KP77" s="24">
        <v>0</v>
      </c>
      <c r="KQ77" s="24">
        <v>0</v>
      </c>
      <c r="KR77" s="24">
        <v>0</v>
      </c>
      <c r="KS77" s="24">
        <v>0</v>
      </c>
      <c r="KT77" s="24">
        <v>0</v>
      </c>
      <c r="KU77" s="24">
        <v>0</v>
      </c>
      <c r="KV77" s="24">
        <v>0</v>
      </c>
      <c r="KW77" s="24">
        <v>18162</v>
      </c>
      <c r="KX77" s="24">
        <v>0</v>
      </c>
      <c r="KY77" s="24">
        <v>0</v>
      </c>
      <c r="KZ77" s="24">
        <v>0</v>
      </c>
      <c r="LA77" s="24">
        <v>0</v>
      </c>
      <c r="LB77" s="24">
        <v>0</v>
      </c>
      <c r="LC77" s="24">
        <v>0</v>
      </c>
      <c r="LD77" s="24">
        <v>0</v>
      </c>
      <c r="LE77" s="24">
        <v>0</v>
      </c>
      <c r="LF77" s="24">
        <v>0</v>
      </c>
      <c r="LG77" s="24">
        <v>0</v>
      </c>
      <c r="LH77" s="24">
        <v>0</v>
      </c>
      <c r="LI77" s="24">
        <v>0</v>
      </c>
      <c r="LJ77" s="24">
        <v>0</v>
      </c>
      <c r="LK77" s="24">
        <v>0</v>
      </c>
      <c r="LL77" s="24">
        <v>0</v>
      </c>
      <c r="LM77" s="24">
        <v>0</v>
      </c>
      <c r="LN77" s="24">
        <v>0</v>
      </c>
      <c r="LO77" s="24">
        <v>0</v>
      </c>
      <c r="LP77" s="24">
        <v>0</v>
      </c>
      <c r="LQ77" s="24">
        <v>30632</v>
      </c>
      <c r="LR77" s="24">
        <v>0</v>
      </c>
      <c r="LS77" s="24">
        <v>0</v>
      </c>
      <c r="LT77" s="24">
        <v>0</v>
      </c>
      <c r="LU77" s="24">
        <v>0</v>
      </c>
      <c r="LV77" s="24">
        <v>0</v>
      </c>
      <c r="LW77" s="24">
        <v>0</v>
      </c>
      <c r="LX77" s="24">
        <v>0</v>
      </c>
      <c r="LY77" s="24">
        <v>0</v>
      </c>
      <c r="LZ77" s="24">
        <v>0</v>
      </c>
      <c r="MA77" s="24">
        <v>0</v>
      </c>
      <c r="MB77" s="24">
        <v>0</v>
      </c>
      <c r="MC77" s="24">
        <v>0</v>
      </c>
      <c r="MD77" s="24">
        <v>0</v>
      </c>
      <c r="ME77" s="24">
        <v>0</v>
      </c>
      <c r="MF77" s="24">
        <v>0</v>
      </c>
      <c r="MG77" s="24">
        <v>0</v>
      </c>
      <c r="MH77" s="24">
        <v>0</v>
      </c>
      <c r="MI77" s="24">
        <v>0</v>
      </c>
      <c r="MJ77" s="24">
        <v>0</v>
      </c>
      <c r="MK77" s="24">
        <v>0</v>
      </c>
      <c r="ML77" s="24">
        <v>0</v>
      </c>
      <c r="MM77" s="24">
        <v>0</v>
      </c>
      <c r="MN77" s="24">
        <v>0</v>
      </c>
      <c r="MO77" s="24">
        <v>0</v>
      </c>
      <c r="MP77" s="24">
        <v>0</v>
      </c>
      <c r="MQ77" s="24">
        <v>0</v>
      </c>
      <c r="MR77" s="24">
        <v>36809</v>
      </c>
      <c r="MS77" s="24">
        <v>0</v>
      </c>
      <c r="MT77" s="24">
        <v>0</v>
      </c>
      <c r="MU77" s="24">
        <v>0</v>
      </c>
      <c r="MV77" s="24">
        <v>0</v>
      </c>
      <c r="MW77" s="24">
        <v>48249</v>
      </c>
      <c r="MX77" s="24">
        <v>1452</v>
      </c>
      <c r="MY77" s="24">
        <v>0</v>
      </c>
      <c r="MZ77" s="24">
        <v>0</v>
      </c>
      <c r="NA77" s="24">
        <v>3897</v>
      </c>
      <c r="NB77" s="24">
        <v>0</v>
      </c>
      <c r="NC77" s="24">
        <v>0</v>
      </c>
      <c r="ND77" s="24">
        <v>0</v>
      </c>
      <c r="NE77" s="24">
        <v>0</v>
      </c>
      <c r="NF77" s="24">
        <v>0</v>
      </c>
      <c r="NG77" s="24">
        <v>0</v>
      </c>
      <c r="NH77" s="24">
        <v>0</v>
      </c>
      <c r="NI77" s="24">
        <v>0</v>
      </c>
      <c r="NJ77" s="24">
        <v>0</v>
      </c>
      <c r="NK77" s="24">
        <v>0</v>
      </c>
      <c r="NL77" s="24">
        <v>0</v>
      </c>
      <c r="NM77" s="24">
        <v>0</v>
      </c>
      <c r="NN77" s="24">
        <v>0</v>
      </c>
      <c r="NO77" s="24">
        <v>0</v>
      </c>
      <c r="NP77" s="24">
        <v>0</v>
      </c>
      <c r="NQ77" s="24">
        <v>0</v>
      </c>
      <c r="NR77" s="24">
        <v>0</v>
      </c>
      <c r="NS77" s="24">
        <v>0</v>
      </c>
      <c r="NT77" s="24">
        <v>0</v>
      </c>
      <c r="NU77" s="24">
        <v>0</v>
      </c>
      <c r="NV77" s="24">
        <v>7645</v>
      </c>
      <c r="NW77" s="24">
        <v>0</v>
      </c>
      <c r="NX77" s="24">
        <v>0</v>
      </c>
      <c r="NY77" s="24">
        <v>0</v>
      </c>
      <c r="NZ77" s="24">
        <v>0</v>
      </c>
      <c r="OA77" s="24">
        <v>0</v>
      </c>
      <c r="OB77" s="24">
        <v>0</v>
      </c>
      <c r="OC77" s="24">
        <v>0</v>
      </c>
      <c r="OD77" s="24">
        <v>0</v>
      </c>
      <c r="OE77" s="24">
        <v>0</v>
      </c>
      <c r="OF77" s="24">
        <v>0</v>
      </c>
      <c r="OG77" s="24">
        <v>0</v>
      </c>
      <c r="OH77" s="24">
        <v>0</v>
      </c>
      <c r="OI77" s="24">
        <v>0</v>
      </c>
      <c r="OJ77" s="24">
        <v>0</v>
      </c>
      <c r="OK77" s="24">
        <v>10054</v>
      </c>
      <c r="OL77" s="24">
        <v>0</v>
      </c>
      <c r="OM77" s="24">
        <v>0</v>
      </c>
      <c r="ON77" s="24">
        <v>0</v>
      </c>
      <c r="OO77" s="24">
        <v>0</v>
      </c>
      <c r="OP77" s="24">
        <v>0</v>
      </c>
      <c r="OQ77" s="24">
        <v>0</v>
      </c>
      <c r="OR77" s="24">
        <v>0</v>
      </c>
      <c r="OS77" s="24">
        <v>0</v>
      </c>
      <c r="OT77" s="24">
        <v>0</v>
      </c>
      <c r="OU77" s="24">
        <v>0</v>
      </c>
      <c r="OV77" s="24">
        <v>0</v>
      </c>
      <c r="OW77" s="24">
        <v>0</v>
      </c>
      <c r="OX77" s="24">
        <v>2018</v>
      </c>
      <c r="OY77" s="24">
        <v>0</v>
      </c>
      <c r="OZ77" s="24">
        <v>0</v>
      </c>
      <c r="PA77" s="24">
        <v>0</v>
      </c>
      <c r="PB77" s="24">
        <v>0</v>
      </c>
      <c r="PC77" s="24">
        <v>0</v>
      </c>
      <c r="PD77" s="24">
        <v>0</v>
      </c>
      <c r="PE77" s="24">
        <v>0</v>
      </c>
      <c r="PF77" s="24">
        <v>0</v>
      </c>
      <c r="PG77" s="24">
        <v>0</v>
      </c>
      <c r="PH77" s="24">
        <v>0</v>
      </c>
      <c r="PI77" s="24">
        <v>0</v>
      </c>
      <c r="PJ77" s="24">
        <v>0</v>
      </c>
      <c r="PK77" s="24">
        <v>0</v>
      </c>
      <c r="PL77" s="24">
        <v>0</v>
      </c>
      <c r="PM77" s="24">
        <v>0</v>
      </c>
      <c r="PN77" s="24">
        <v>0</v>
      </c>
      <c r="PO77" s="24">
        <v>0</v>
      </c>
      <c r="PP77" s="24">
        <v>0</v>
      </c>
      <c r="PQ77" s="24">
        <v>0</v>
      </c>
      <c r="PR77" s="24">
        <v>0</v>
      </c>
      <c r="PS77" s="24">
        <v>0</v>
      </c>
      <c r="PT77" s="24">
        <v>0</v>
      </c>
      <c r="PU77" s="24">
        <v>0</v>
      </c>
      <c r="PV77" s="24">
        <v>0</v>
      </c>
      <c r="PW77" s="24">
        <v>40000</v>
      </c>
      <c r="PX77" s="24">
        <v>0</v>
      </c>
      <c r="PY77" s="24">
        <v>0</v>
      </c>
      <c r="PZ77" s="24">
        <v>0</v>
      </c>
      <c r="QA77" s="24">
        <v>0</v>
      </c>
      <c r="QB77" s="24">
        <v>25000</v>
      </c>
      <c r="QC77" s="24">
        <v>0</v>
      </c>
      <c r="QD77" s="24">
        <v>0</v>
      </c>
      <c r="QE77" s="24">
        <v>0</v>
      </c>
      <c r="QF77" s="24">
        <v>0</v>
      </c>
      <c r="QG77" s="24">
        <v>0</v>
      </c>
      <c r="QH77" s="24">
        <v>0</v>
      </c>
      <c r="QI77" s="24">
        <v>0</v>
      </c>
      <c r="QJ77" s="24">
        <v>0</v>
      </c>
      <c r="QK77" s="24">
        <v>0</v>
      </c>
      <c r="QL77" s="24">
        <v>0</v>
      </c>
      <c r="QM77" s="24">
        <v>0</v>
      </c>
      <c r="QN77" s="24">
        <v>0</v>
      </c>
      <c r="QO77" s="24">
        <v>0</v>
      </c>
      <c r="QP77" s="24">
        <v>0</v>
      </c>
      <c r="QQ77" s="24">
        <v>0</v>
      </c>
      <c r="QR77" s="24">
        <v>0</v>
      </c>
      <c r="QS77" s="24">
        <v>30000</v>
      </c>
      <c r="QT77" s="24">
        <v>0</v>
      </c>
      <c r="QU77" s="24">
        <v>0</v>
      </c>
      <c r="QV77" s="24">
        <v>50000</v>
      </c>
      <c r="QW77" s="24">
        <v>0</v>
      </c>
      <c r="QX77" s="24">
        <v>0</v>
      </c>
      <c r="QY77" s="24">
        <v>0</v>
      </c>
      <c r="QZ77" s="24">
        <v>0</v>
      </c>
      <c r="RA77" s="24">
        <v>0</v>
      </c>
      <c r="RB77" s="24">
        <v>0</v>
      </c>
      <c r="RG77" s="39">
        <f t="shared" si="129"/>
        <v>1698685</v>
      </c>
      <c r="RH77" s="39">
        <f t="shared" si="128"/>
        <v>126490</v>
      </c>
      <c r="RI77" s="39">
        <f t="shared" si="128"/>
        <v>0</v>
      </c>
      <c r="RJ77" s="39">
        <f t="shared" si="128"/>
        <v>0</v>
      </c>
      <c r="RK77" s="39">
        <f t="shared" si="128"/>
        <v>0</v>
      </c>
      <c r="RL77" s="39">
        <f t="shared" si="128"/>
        <v>231414</v>
      </c>
      <c r="RM77" s="39">
        <f t="shared" si="128"/>
        <v>130750</v>
      </c>
      <c r="RN77" s="39">
        <f t="shared" si="128"/>
        <v>0</v>
      </c>
      <c r="RO77" s="39">
        <f t="shared" si="128"/>
        <v>28169</v>
      </c>
      <c r="RP77" s="39">
        <f t="shared" si="128"/>
        <v>28620</v>
      </c>
      <c r="RQ77" s="39">
        <f t="shared" si="128"/>
        <v>63225</v>
      </c>
      <c r="RR77" s="39">
        <f t="shared" si="128"/>
        <v>11099</v>
      </c>
      <c r="RS77" s="39"/>
      <c r="RT77" s="182"/>
      <c r="RU77" s="39"/>
      <c r="RV77" s="39">
        <f t="shared" si="182"/>
        <v>161111</v>
      </c>
      <c r="RW77" s="39">
        <f t="shared" si="182"/>
        <v>2318452</v>
      </c>
      <c r="RX77" s="39">
        <f t="shared" si="182"/>
        <v>1409934</v>
      </c>
      <c r="RY77" s="39">
        <f t="shared" si="182"/>
        <v>147018</v>
      </c>
      <c r="RZ77" s="39"/>
      <c r="SA77" s="182"/>
      <c r="SB77" s="39"/>
      <c r="SC77" s="25">
        <f t="shared" si="183"/>
        <v>4828.5410958904113</v>
      </c>
      <c r="SD77" s="39">
        <f>IFERROR(VLOOKUP(A77, 'Levy Data 15-16'!$B:$O, 3, FALSE), 0)</f>
        <v>166587254</v>
      </c>
      <c r="SE77" s="39">
        <f t="shared" si="144"/>
        <v>570504.29452054796</v>
      </c>
      <c r="SF77" s="631">
        <f>IFERROR(VLOOKUP(A77, 'Levy Data 15-16'!$B:$O, 14, FALSE), 0)*1000</f>
        <v>7.2117519999999997</v>
      </c>
      <c r="SG77" s="39">
        <f t="shared" si="145"/>
        <v>0</v>
      </c>
      <c r="SH77" s="39">
        <f t="shared" si="146"/>
        <v>0</v>
      </c>
      <c r="SI77" s="39">
        <f t="shared" si="147"/>
        <v>1409934</v>
      </c>
      <c r="SM77" s="39">
        <f t="shared" si="148"/>
        <v>2318452</v>
      </c>
      <c r="SN77" s="39">
        <f t="shared" si="149"/>
        <v>0</v>
      </c>
      <c r="SO77" s="39">
        <f t="shared" si="184"/>
        <v>2318452</v>
      </c>
      <c r="SP77" s="50">
        <f t="shared" si="130"/>
        <v>1</v>
      </c>
      <c r="ST77" s="124">
        <f>IFERROR(VLOOKUP(A77,'Grade Enroll 15-16'!B:AC,27,FALSE),"")</f>
        <v>292</v>
      </c>
      <c r="SU77" s="124">
        <f t="shared" si="185"/>
        <v>61.522012578616355</v>
      </c>
      <c r="SV77" s="131">
        <f>IFERROR(VLOOKUP($A77, 'Title I Enroll 16-17'!S:V, 4, FALSE), 0)</f>
        <v>0.21069182389937108</v>
      </c>
      <c r="SW77" s="729">
        <f>IFERROR(VLOOKUP(A77, 'ELL Enroll 15-16'!$N:$S, 6, FALSE), 0)</f>
        <v>5</v>
      </c>
      <c r="SX77" s="131">
        <f t="shared" si="131"/>
        <v>1.7123287671232876E-2</v>
      </c>
      <c r="SY77" s="124">
        <f>IFERROR(VLOOKUP(A77, 'SPED enroll 2015-16'!$M:$O, 3, FALSE), 0)</f>
        <v>17</v>
      </c>
      <c r="SZ77" s="131">
        <f t="shared" si="132"/>
        <v>5.8219178082191778E-2</v>
      </c>
      <c r="TA77" s="142">
        <f t="shared" si="133"/>
        <v>11.899999999999999</v>
      </c>
      <c r="TB77" s="142">
        <f t="shared" si="133"/>
        <v>3.4000000000000004</v>
      </c>
      <c r="TC77" s="142">
        <f t="shared" si="133"/>
        <v>1.1900000000000002</v>
      </c>
      <c r="TD77" s="142">
        <f t="shared" si="133"/>
        <v>0.51</v>
      </c>
      <c r="TE77" s="124">
        <f>VLOOKUP($A77, 'Grade Enroll 15-16'!$B:$AB, 20, FALSE)</f>
        <v>2</v>
      </c>
      <c r="TF77" s="124">
        <f>VLOOKUP($A77, 'Grade Enroll 15-16'!$B:$AB, 21, FALSE)</f>
        <v>26</v>
      </c>
      <c r="TG77" s="124">
        <f>VLOOKUP($A77, 'Grade Enroll 15-16'!$B:$AB, 22, FALSE)</f>
        <v>69</v>
      </c>
      <c r="TH77" s="124">
        <f>VLOOKUP($A77, 'Grade Enroll 15-16'!$B:$AB, 23, FALSE)</f>
        <v>74</v>
      </c>
      <c r="TI77" s="124">
        <f>VLOOKUP($A77, 'Grade Enroll 15-16'!$B:$AB, 24, FALSE)</f>
        <v>54</v>
      </c>
      <c r="TJ77" s="124">
        <f>VLOOKUP($A77, 'Grade Enroll 15-16'!$B:$AB, 25, FALSE)</f>
        <v>95</v>
      </c>
      <c r="TK77" s="124">
        <f>VLOOKUP($A77, 'Grade Enroll 15-16'!$B:$AB, 26, FALSE)</f>
        <v>206</v>
      </c>
      <c r="TL77" s="131">
        <f>SUMIFS('Student Achievement 15-16'!N:N, 'Student Achievement 15-16'!B:B, 'Idaho Data'!A77, 'Student Achievement 15-16'!D:D, "math")/100</f>
        <v>0.13500000000000001</v>
      </c>
      <c r="TM77" s="134">
        <f t="shared" si="186"/>
        <v>39.42</v>
      </c>
      <c r="TN77" s="131">
        <f>SUMIFS('Student Achievement 15-16'!N:N, 'Student Achievement 15-16'!B:B, 'Idaho Data'!A77, 'Student Achievement 15-16'!D:D, "ela")/100</f>
        <v>0.106</v>
      </c>
      <c r="TO77" s="134">
        <f t="shared" si="134"/>
        <v>30.951999999999998</v>
      </c>
      <c r="TP77" s="688">
        <f>IFERROR(VLOOKUP(A77, 'G&amp;T 15-16'!B:G, 6, FALSE), 0)*1</f>
        <v>18</v>
      </c>
      <c r="TQ77" s="168">
        <f t="shared" si="135"/>
        <v>17.52</v>
      </c>
      <c r="TU77" s="168">
        <f t="shared" si="136"/>
        <v>30.951999999999998</v>
      </c>
      <c r="TV77" s="168">
        <f t="shared" si="137"/>
        <v>39.42</v>
      </c>
      <c r="TW77" s="205">
        <f t="shared" si="138"/>
        <v>39.42</v>
      </c>
      <c r="TX77" s="144"/>
      <c r="TY77" s="129"/>
      <c r="TZ77" s="127">
        <f t="shared" si="139"/>
        <v>17.52</v>
      </c>
      <c r="UA77" s="127">
        <f t="shared" si="140"/>
        <v>18</v>
      </c>
      <c r="UB77" s="205">
        <f t="shared" si="141"/>
        <v>18</v>
      </c>
      <c r="UE77" s="853" t="str">
        <f>IF(ST77&lt;='1. Simulator Input'!$E$104, "yes", "")</f>
        <v>yes</v>
      </c>
      <c r="UI77" s="199">
        <f t="shared" si="187"/>
        <v>0</v>
      </c>
      <c r="UJ77" s="200">
        <f>IF('Idaho Data'!SI77&gt;=0, ((1-'1. Simulator Input'!$E$39)*'Idaho Data'!SI77), 0)</f>
        <v>0</v>
      </c>
      <c r="UK77" s="200">
        <f t="shared" si="142"/>
        <v>2318452</v>
      </c>
      <c r="UL77" s="39"/>
      <c r="UM77" s="182"/>
      <c r="UN77" s="39"/>
      <c r="UO77" s="39">
        <f>IF(AND('1. Simulator Input'!$E$96="yes", '1. Simulator Input'!$E$98="yes", '1. Simulator Input'!$E$100="hold harmless"), 'Idaho Data'!WN77, IF(AND('1. Simulator Input'!$E$96="yes", '1. Simulator Input'!$E$98="no", '1. Simulator Input'!$E$100="hold harmless"), 'Idaho Data'!WM77, IF(AND('1. Simulator Input'!$E$96="yes", '1. Simulator Input'!$E$98="yes", '1. Simulator Input'!$E$100="small district grant"), WL77,IF(AND('1. Simulator Input'!$E$96="yes", '1. Simulator Input'!$E$98="no", '1. Simulator Input'!$E$100="small district grant"), WK77, ""))))</f>
        <v>0</v>
      </c>
      <c r="UP77" s="200">
        <f>'1. Simulator Input'!$D$56*('Idaho Data'!ST77)</f>
        <v>1613592</v>
      </c>
      <c r="UQ77" s="204">
        <f>'1. Simulator Input'!$D$65*'1. Simulator Input'!$D$56*'Idaho Data'!SU77</f>
        <v>0</v>
      </c>
      <c r="UR77" s="204">
        <f>'1. Simulator Input'!$D$66*'1. Simulator Input'!$D$56*'Idaho Data'!SW77</f>
        <v>0</v>
      </c>
      <c r="US77" s="200">
        <f>'1. Simulator Input'!$D$67*'1. Simulator Input'!$D$56*'Idaho Data'!TA77</f>
        <v>0</v>
      </c>
      <c r="UT77" s="200">
        <f>'1. Simulator Input'!$D$68*'1. Simulator Input'!$D$56*'Idaho Data'!TB77</f>
        <v>0</v>
      </c>
      <c r="UU77" s="200">
        <f>'1. Simulator Input'!$D$69*'1. Simulator Input'!$D$56*'Idaho Data'!TC77</f>
        <v>0</v>
      </c>
      <c r="UV77" s="200">
        <f>'1. Simulator Input'!$D$70*'1. Simulator Input'!$D$56*TD77</f>
        <v>0</v>
      </c>
      <c r="UW77" s="200">
        <f>'1. Simulator Input'!$D$80*'1. Simulator Input'!$D$56*TW77</f>
        <v>0</v>
      </c>
      <c r="UX77" s="200">
        <f>'1. Simulator Input'!$D$79*'1. Simulator Input'!$D$56*UB77</f>
        <v>0</v>
      </c>
      <c r="UY77" s="200">
        <f>'1. Simulator Input'!$D$87*'1. Simulator Input'!$D$56*TF77</f>
        <v>71838</v>
      </c>
      <c r="UZ77" s="200">
        <f>'1. Simulator Input'!$D$73*'1. Simulator Input'!$D$56*'Idaho Data'!TG77</f>
        <v>0</v>
      </c>
      <c r="VA77" s="200">
        <f>'1. Simulator Input'!$D$56*'1. Simulator Input'!$D$74*'Idaho Data'!TH77</f>
        <v>0</v>
      </c>
      <c r="VB77" s="200">
        <f>'1. Simulator Input'!$D$56*'1. Simulator Input'!$D$75*'Idaho Data'!TI72</f>
        <v>0</v>
      </c>
      <c r="VC77" s="200">
        <f>'1. Simulator Input'!$D$76*'1. Simulator Input'!$D$56*'Idaho Data'!TJ77</f>
        <v>0</v>
      </c>
      <c r="VD77" s="200">
        <f t="shared" si="188"/>
        <v>1685430</v>
      </c>
      <c r="VE77" s="200"/>
      <c r="VF77" s="182"/>
      <c r="VG77" s="200"/>
      <c r="VH77" s="200">
        <f t="shared" si="189"/>
        <v>0</v>
      </c>
      <c r="VI77" s="200">
        <f t="shared" si="190"/>
        <v>0</v>
      </c>
      <c r="VJ77" s="200">
        <f t="shared" si="150"/>
        <v>1685430</v>
      </c>
      <c r="VK77" s="200">
        <f t="shared" si="151"/>
        <v>1685430</v>
      </c>
      <c r="VL77" s="200"/>
      <c r="VM77" s="182"/>
      <c r="VN77" s="200"/>
      <c r="VO77" s="200">
        <f t="shared" si="191"/>
        <v>161111</v>
      </c>
      <c r="VP77" s="200">
        <f t="shared" si="192"/>
        <v>2318452</v>
      </c>
      <c r="VQ77" s="200">
        <f t="shared" si="193"/>
        <v>1409934</v>
      </c>
      <c r="VR77" s="200">
        <f t="shared" si="194"/>
        <v>161111</v>
      </c>
      <c r="VS77" s="200">
        <f t="shared" si="152"/>
        <v>1685430</v>
      </c>
      <c r="VT77" s="200">
        <f t="shared" si="153"/>
        <v>1409934</v>
      </c>
      <c r="VU77" s="200">
        <f t="shared" si="154"/>
        <v>0</v>
      </c>
      <c r="VV77" s="200"/>
      <c r="VW77" s="182"/>
      <c r="VX77" s="200"/>
      <c r="VZ77" s="199">
        <f t="shared" si="195"/>
        <v>-633022</v>
      </c>
      <c r="WA77" s="199">
        <f t="shared" si="196"/>
        <v>-2167.8835616438355</v>
      </c>
      <c r="WB77" s="131">
        <f t="shared" si="197"/>
        <v>-0.2730364915900782</v>
      </c>
      <c r="WC77" s="131"/>
      <c r="WD77" s="461"/>
      <c r="WE77" s="893"/>
      <c r="WF77" s="893">
        <f t="shared" si="198"/>
        <v>13320.195205479453</v>
      </c>
      <c r="WG77" s="893">
        <f t="shared" si="199"/>
        <v>11152.311643835616</v>
      </c>
      <c r="WH77" s="893"/>
      <c r="WI77" s="893">
        <f t="shared" si="200"/>
        <v>2318452</v>
      </c>
      <c r="WJ77" s="893">
        <f t="shared" si="155"/>
        <v>1685430</v>
      </c>
      <c r="WK77" s="39">
        <f t="shared" si="156"/>
        <v>0</v>
      </c>
      <c r="WL77" s="39">
        <f t="shared" si="157"/>
        <v>0</v>
      </c>
      <c r="WM77" s="200">
        <f t="shared" si="158"/>
        <v>633022</v>
      </c>
      <c r="WN77" s="39">
        <f t="shared" si="159"/>
        <v>633022</v>
      </c>
      <c r="WO77" s="39"/>
      <c r="WP77" s="182"/>
      <c r="WQ77" s="39"/>
      <c r="WR77" s="305">
        <f t="shared" si="160"/>
        <v>0.57799999999999996</v>
      </c>
      <c r="WT77" s="200">
        <f t="shared" si="161"/>
        <v>7939.9041095890407</v>
      </c>
      <c r="WU77" s="131">
        <f t="shared" si="201"/>
        <v>0.74</v>
      </c>
      <c r="WW77" s="199">
        <f t="shared" si="162"/>
        <v>161111</v>
      </c>
      <c r="WX77" s="199">
        <f t="shared" si="163"/>
        <v>1685430</v>
      </c>
      <c r="WY77" s="199">
        <f t="shared" si="164"/>
        <v>0</v>
      </c>
      <c r="WZ77" s="199">
        <f t="shared" si="202"/>
        <v>1685430</v>
      </c>
      <c r="XA77" s="199">
        <f t="shared" si="165"/>
        <v>0</v>
      </c>
      <c r="XB77" s="199">
        <f t="shared" si="166"/>
        <v>1409934</v>
      </c>
      <c r="XC77" s="199">
        <f t="shared" si="167"/>
        <v>1409934</v>
      </c>
      <c r="XD77" s="199" t="str">
        <f t="shared" si="168"/>
        <v/>
      </c>
      <c r="XE77" s="199"/>
      <c r="XF77" s="199"/>
      <c r="XG77" s="199"/>
      <c r="XH77" s="199"/>
      <c r="XI77" s="199"/>
      <c r="XJ77" s="199">
        <f t="shared" si="203"/>
        <v>1685430</v>
      </c>
      <c r="XP77" s="199">
        <f t="shared" si="169"/>
        <v>1685430</v>
      </c>
      <c r="XQ77" s="199">
        <f t="shared" si="170"/>
        <v>5772.0205479452052</v>
      </c>
      <c r="XR77" s="199">
        <f t="shared" si="171"/>
        <v>1685430</v>
      </c>
      <c r="XS77" s="199">
        <f t="shared" si="172"/>
        <v>1685430</v>
      </c>
      <c r="XT77" s="199">
        <f t="shared" si="173"/>
        <v>5772.0205479452052</v>
      </c>
      <c r="XU77" s="199">
        <f t="shared" si="174"/>
        <v>2318452</v>
      </c>
      <c r="XV77" s="199">
        <f t="shared" si="175"/>
        <v>7939.9041095890407</v>
      </c>
      <c r="XW77" s="199">
        <f t="shared" si="176"/>
        <v>2318452</v>
      </c>
      <c r="XX77" s="199">
        <f t="shared" si="177"/>
        <v>7939.9041095890407</v>
      </c>
      <c r="XY77" s="199">
        <f t="shared" si="204"/>
        <v>-633022</v>
      </c>
      <c r="XZ77" s="199">
        <f t="shared" si="205"/>
        <v>-2167.8835616438355</v>
      </c>
      <c r="YA77" s="131">
        <f t="shared" si="143"/>
        <v>-0.2730364915900782</v>
      </c>
      <c r="YB77" s="199"/>
      <c r="YC77" s="221"/>
      <c r="YD77" s="199"/>
      <c r="YE77" s="199">
        <f t="shared" si="178"/>
        <v>161111</v>
      </c>
      <c r="YF77" s="200">
        <f t="shared" si="179"/>
        <v>0</v>
      </c>
      <c r="YG77" s="199">
        <f t="shared" si="180"/>
        <v>1409934</v>
      </c>
      <c r="YH77" s="199">
        <f t="shared" si="181"/>
        <v>147018</v>
      </c>
    </row>
    <row r="78" spans="1:658">
      <c r="A78" s="3">
        <v>283</v>
      </c>
      <c r="B78" s="2" t="s">
        <v>174</v>
      </c>
      <c r="C78" s="24">
        <v>0</v>
      </c>
      <c r="D78" s="24">
        <v>0</v>
      </c>
      <c r="E78" s="24">
        <v>0</v>
      </c>
      <c r="F78" s="24">
        <v>0</v>
      </c>
      <c r="G78" s="24">
        <v>853672</v>
      </c>
      <c r="H78" s="24">
        <v>0</v>
      </c>
      <c r="I78" s="24">
        <v>0</v>
      </c>
      <c r="J78" s="24">
        <v>1</v>
      </c>
      <c r="K78" s="24">
        <v>0</v>
      </c>
      <c r="L78" s="24">
        <v>0</v>
      </c>
      <c r="M78" s="24">
        <v>0</v>
      </c>
      <c r="N78" s="24">
        <v>18906</v>
      </c>
      <c r="O78" s="24">
        <v>0</v>
      </c>
      <c r="P78" s="24">
        <v>0</v>
      </c>
      <c r="Q78" s="24">
        <v>0</v>
      </c>
      <c r="R78" s="24">
        <v>0</v>
      </c>
      <c r="S78" s="24">
        <v>0</v>
      </c>
      <c r="T78" s="24">
        <v>47640</v>
      </c>
      <c r="U78" s="24">
        <v>0</v>
      </c>
      <c r="V78" s="24">
        <v>0</v>
      </c>
      <c r="W78" s="24">
        <v>0</v>
      </c>
      <c r="X78" s="24">
        <v>119907</v>
      </c>
      <c r="Y78" s="24">
        <v>6931</v>
      </c>
      <c r="Z78" s="24">
        <v>0</v>
      </c>
      <c r="AA78" s="24">
        <v>0</v>
      </c>
      <c r="AB78" s="24">
        <v>0</v>
      </c>
      <c r="AC78" s="24">
        <v>0</v>
      </c>
      <c r="AD78" s="24">
        <v>0</v>
      </c>
      <c r="AE78" s="24">
        <v>0</v>
      </c>
      <c r="AF78" s="24">
        <v>0</v>
      </c>
      <c r="AG78" s="24">
        <v>0</v>
      </c>
      <c r="AH78" s="24">
        <v>0</v>
      </c>
      <c r="AI78" s="24">
        <v>0</v>
      </c>
      <c r="AJ78" s="24">
        <v>0</v>
      </c>
      <c r="AK78" s="24">
        <v>0</v>
      </c>
      <c r="AL78" s="24">
        <v>2563</v>
      </c>
      <c r="AM78" s="24">
        <v>0</v>
      </c>
      <c r="AN78" s="24">
        <v>0</v>
      </c>
      <c r="AO78" s="24">
        <v>0</v>
      </c>
      <c r="AP78" s="24">
        <v>0</v>
      </c>
      <c r="AQ78" s="24">
        <v>0</v>
      </c>
      <c r="AR78" s="24">
        <v>0</v>
      </c>
      <c r="AS78" s="24">
        <v>0</v>
      </c>
      <c r="AT78" s="24">
        <v>0</v>
      </c>
      <c r="AU78" s="24">
        <v>0</v>
      </c>
      <c r="AV78" s="24">
        <v>0</v>
      </c>
      <c r="AW78" s="24">
        <v>0</v>
      </c>
      <c r="AX78" s="24">
        <v>0</v>
      </c>
      <c r="AY78" s="24">
        <v>0</v>
      </c>
      <c r="AZ78" s="24">
        <v>0</v>
      </c>
      <c r="BA78" s="24">
        <v>0</v>
      </c>
      <c r="BB78" s="24">
        <v>0</v>
      </c>
      <c r="BC78" s="24">
        <v>0</v>
      </c>
      <c r="BD78" s="24">
        <v>0</v>
      </c>
      <c r="BE78" s="24">
        <v>0</v>
      </c>
      <c r="BF78" s="24">
        <v>114</v>
      </c>
      <c r="BG78" s="24">
        <v>0</v>
      </c>
      <c r="BH78" s="24">
        <v>0</v>
      </c>
      <c r="BI78" s="24">
        <v>0</v>
      </c>
      <c r="BJ78" s="24">
        <v>0</v>
      </c>
      <c r="BK78" s="24">
        <v>0</v>
      </c>
      <c r="BL78" s="24">
        <v>987</v>
      </c>
      <c r="BM78" s="24">
        <v>0</v>
      </c>
      <c r="BN78" s="24">
        <v>0</v>
      </c>
      <c r="BO78" s="24">
        <v>0</v>
      </c>
      <c r="BP78" s="24">
        <v>0</v>
      </c>
      <c r="BQ78" s="24">
        <v>0</v>
      </c>
      <c r="BR78" s="24">
        <v>0</v>
      </c>
      <c r="BS78" s="24">
        <v>0</v>
      </c>
      <c r="BT78" s="24">
        <v>0</v>
      </c>
      <c r="BU78" s="24">
        <v>0</v>
      </c>
      <c r="BV78" s="24">
        <v>0</v>
      </c>
      <c r="BW78" s="24">
        <v>0</v>
      </c>
      <c r="BX78" s="24">
        <v>0</v>
      </c>
      <c r="BY78" s="24">
        <v>0</v>
      </c>
      <c r="BZ78" s="24">
        <v>0</v>
      </c>
      <c r="CA78" s="24">
        <v>0</v>
      </c>
      <c r="CB78" s="24">
        <v>0</v>
      </c>
      <c r="CC78" s="24">
        <v>0</v>
      </c>
      <c r="CD78" s="24">
        <v>44030</v>
      </c>
      <c r="CE78" s="24">
        <v>5386</v>
      </c>
      <c r="CF78" s="24">
        <v>0</v>
      </c>
      <c r="CG78" s="24">
        <v>0</v>
      </c>
      <c r="CH78" s="24">
        <v>0</v>
      </c>
      <c r="CI78" s="24">
        <v>0</v>
      </c>
      <c r="CJ78" s="24">
        <v>0</v>
      </c>
      <c r="CK78" s="24">
        <v>0</v>
      </c>
      <c r="CL78" s="24">
        <v>0</v>
      </c>
      <c r="CM78" s="24">
        <v>0</v>
      </c>
      <c r="CN78" s="24">
        <v>0</v>
      </c>
      <c r="CO78" s="24">
        <v>0</v>
      </c>
      <c r="CP78" s="24">
        <v>0</v>
      </c>
      <c r="CQ78" s="24">
        <v>0</v>
      </c>
      <c r="CR78" s="24">
        <v>0</v>
      </c>
      <c r="CS78" s="24">
        <v>6627</v>
      </c>
      <c r="CT78" s="24">
        <v>0</v>
      </c>
      <c r="CU78" s="24">
        <v>0</v>
      </c>
      <c r="CV78" s="24">
        <v>0</v>
      </c>
      <c r="CW78" s="24">
        <v>0</v>
      </c>
      <c r="CX78" s="24">
        <v>0</v>
      </c>
      <c r="CY78" s="24">
        <v>0</v>
      </c>
      <c r="CZ78" s="24">
        <v>0</v>
      </c>
      <c r="DA78" s="24">
        <v>0</v>
      </c>
      <c r="DB78" s="24">
        <v>1265</v>
      </c>
      <c r="DC78" s="24">
        <v>0</v>
      </c>
      <c r="DD78" s="24">
        <v>0</v>
      </c>
      <c r="DE78" s="24">
        <v>0</v>
      </c>
      <c r="DF78" s="24">
        <v>0</v>
      </c>
      <c r="DG78" s="24">
        <v>0</v>
      </c>
      <c r="DH78" s="24">
        <v>0</v>
      </c>
      <c r="DI78" s="24">
        <v>0</v>
      </c>
      <c r="DJ78" s="24">
        <v>0</v>
      </c>
      <c r="DK78" s="24">
        <v>0</v>
      </c>
      <c r="DL78" s="24">
        <v>0</v>
      </c>
      <c r="DM78" s="24">
        <v>0</v>
      </c>
      <c r="DN78" s="24">
        <v>0</v>
      </c>
      <c r="DO78" s="24">
        <v>0</v>
      </c>
      <c r="DP78" s="24">
        <v>0</v>
      </c>
      <c r="DQ78" s="24">
        <v>0</v>
      </c>
      <c r="DR78" s="24">
        <v>0</v>
      </c>
      <c r="DS78" s="24">
        <v>0</v>
      </c>
      <c r="DT78" s="24">
        <v>0</v>
      </c>
      <c r="DU78" s="24">
        <v>143</v>
      </c>
      <c r="DV78" s="24">
        <v>0</v>
      </c>
      <c r="DW78" s="24">
        <v>0</v>
      </c>
      <c r="DX78" s="24">
        <v>0</v>
      </c>
      <c r="DY78" s="24">
        <v>0</v>
      </c>
      <c r="DZ78" s="24">
        <v>0</v>
      </c>
      <c r="EA78" s="24">
        <v>0</v>
      </c>
      <c r="EB78" s="24">
        <v>0</v>
      </c>
      <c r="EC78" s="24">
        <v>0</v>
      </c>
      <c r="ED78" s="24">
        <v>0</v>
      </c>
      <c r="EE78" s="24">
        <v>0</v>
      </c>
      <c r="EF78" s="24">
        <v>0</v>
      </c>
      <c r="EG78" s="24">
        <v>2500</v>
      </c>
      <c r="EH78" s="24">
        <v>0</v>
      </c>
      <c r="EI78" s="24">
        <v>0</v>
      </c>
      <c r="EJ78" s="24">
        <v>0</v>
      </c>
      <c r="EK78" s="24">
        <v>0</v>
      </c>
      <c r="EL78" s="24">
        <v>0</v>
      </c>
      <c r="EM78" s="24">
        <v>0</v>
      </c>
      <c r="EN78" s="24">
        <v>0</v>
      </c>
      <c r="EO78" s="24">
        <v>0</v>
      </c>
      <c r="EP78" s="24">
        <v>0</v>
      </c>
      <c r="EQ78" s="24">
        <v>0</v>
      </c>
      <c r="ER78" s="24">
        <v>0</v>
      </c>
      <c r="ES78" s="24">
        <v>0</v>
      </c>
      <c r="ET78" s="24">
        <v>0</v>
      </c>
      <c r="EU78" s="24">
        <v>0</v>
      </c>
      <c r="EV78" s="24">
        <v>0</v>
      </c>
      <c r="EW78" s="24">
        <v>0</v>
      </c>
      <c r="EX78" s="24">
        <v>0</v>
      </c>
      <c r="EY78" s="24">
        <v>0</v>
      </c>
      <c r="EZ78" s="24">
        <v>0</v>
      </c>
      <c r="FA78" s="24">
        <v>0</v>
      </c>
      <c r="FB78" s="24">
        <v>0</v>
      </c>
      <c r="FC78" s="24">
        <v>0</v>
      </c>
      <c r="FD78" s="24">
        <v>0</v>
      </c>
      <c r="FE78" s="24">
        <v>0</v>
      </c>
      <c r="FF78" s="24">
        <v>0</v>
      </c>
      <c r="FG78" s="24">
        <v>0</v>
      </c>
      <c r="FH78" s="24">
        <v>0</v>
      </c>
      <c r="FI78" s="24">
        <v>0</v>
      </c>
      <c r="FJ78" s="24">
        <v>0</v>
      </c>
      <c r="FK78" s="24">
        <v>0</v>
      </c>
      <c r="FL78" s="24">
        <v>0</v>
      </c>
      <c r="FM78" s="24">
        <v>0</v>
      </c>
      <c r="FN78" s="24">
        <v>0</v>
      </c>
      <c r="FO78" s="24">
        <v>0</v>
      </c>
      <c r="FP78" s="24">
        <v>0</v>
      </c>
      <c r="FQ78" s="24">
        <v>0</v>
      </c>
      <c r="FR78" s="24">
        <v>0</v>
      </c>
      <c r="FS78" s="24">
        <v>23411</v>
      </c>
      <c r="FT78" s="24">
        <v>0</v>
      </c>
      <c r="FU78" s="24">
        <v>0</v>
      </c>
      <c r="FV78" s="24">
        <v>0</v>
      </c>
      <c r="FW78" s="24">
        <v>0</v>
      </c>
      <c r="FX78" s="24">
        <v>0</v>
      </c>
      <c r="FY78" s="24">
        <v>0</v>
      </c>
      <c r="FZ78" s="24">
        <v>0</v>
      </c>
      <c r="GA78" s="24">
        <v>0</v>
      </c>
      <c r="GB78" s="24">
        <v>0</v>
      </c>
      <c r="GC78" s="24">
        <v>0</v>
      </c>
      <c r="GD78" s="24">
        <v>0</v>
      </c>
      <c r="GE78" s="24">
        <v>0</v>
      </c>
      <c r="GF78" s="24">
        <v>0</v>
      </c>
      <c r="GG78" s="24">
        <v>0</v>
      </c>
      <c r="GH78" s="24">
        <v>0</v>
      </c>
      <c r="GI78" s="24">
        <v>0</v>
      </c>
      <c r="GJ78" s="24">
        <v>0</v>
      </c>
      <c r="GK78" s="24">
        <v>0</v>
      </c>
      <c r="GL78" s="24">
        <v>0</v>
      </c>
      <c r="GM78" s="24">
        <v>0</v>
      </c>
      <c r="GN78" s="24">
        <v>0</v>
      </c>
      <c r="GO78" s="24">
        <v>0</v>
      </c>
      <c r="GP78" s="24">
        <v>0</v>
      </c>
      <c r="GQ78" s="24">
        <v>0</v>
      </c>
      <c r="GR78" s="24">
        <v>0</v>
      </c>
      <c r="GS78" s="24">
        <v>0</v>
      </c>
      <c r="GT78" s="24">
        <v>0</v>
      </c>
      <c r="GU78" s="24">
        <v>0</v>
      </c>
      <c r="GV78" s="24">
        <v>0</v>
      </c>
      <c r="GW78" s="24">
        <v>0</v>
      </c>
      <c r="GX78" s="24">
        <v>0</v>
      </c>
      <c r="GY78" s="24">
        <v>0</v>
      </c>
      <c r="GZ78" s="24">
        <v>0</v>
      </c>
      <c r="HA78" s="24">
        <v>0</v>
      </c>
      <c r="HB78" s="24">
        <v>0</v>
      </c>
      <c r="HC78" s="24">
        <v>0</v>
      </c>
      <c r="HD78" s="24">
        <v>1426820</v>
      </c>
      <c r="HE78" s="24">
        <v>0</v>
      </c>
      <c r="HF78" s="24">
        <v>0</v>
      </c>
      <c r="HG78" s="24">
        <v>0</v>
      </c>
      <c r="HH78" s="24">
        <v>0</v>
      </c>
      <c r="HI78" s="24">
        <v>125555</v>
      </c>
      <c r="HJ78" s="24">
        <v>0</v>
      </c>
      <c r="HK78" s="24">
        <v>0</v>
      </c>
      <c r="HL78" s="24">
        <v>7161</v>
      </c>
      <c r="HM78" s="24">
        <v>0</v>
      </c>
      <c r="HN78" s="24">
        <v>0</v>
      </c>
      <c r="HO78" s="24">
        <v>196111</v>
      </c>
      <c r="HP78" s="24">
        <v>84898</v>
      </c>
      <c r="HQ78" s="24">
        <v>0</v>
      </c>
      <c r="HR78" s="24">
        <v>0</v>
      </c>
      <c r="HS78" s="24">
        <v>0</v>
      </c>
      <c r="HT78" s="24">
        <v>0</v>
      </c>
      <c r="HU78" s="24">
        <v>0</v>
      </c>
      <c r="HV78" s="24">
        <v>0</v>
      </c>
      <c r="HW78" s="24">
        <v>0</v>
      </c>
      <c r="HX78" s="24">
        <v>0</v>
      </c>
      <c r="HY78" s="24">
        <v>0</v>
      </c>
      <c r="HZ78" s="24">
        <v>0</v>
      </c>
      <c r="IA78" s="24">
        <v>24189</v>
      </c>
      <c r="IB78" s="24">
        <v>4987</v>
      </c>
      <c r="IC78" s="24">
        <v>0</v>
      </c>
      <c r="ID78" s="24">
        <v>0</v>
      </c>
      <c r="IE78" s="24">
        <v>0</v>
      </c>
      <c r="IF78" s="24">
        <v>0</v>
      </c>
      <c r="IG78" s="24">
        <v>0</v>
      </c>
      <c r="IH78" s="24">
        <v>0</v>
      </c>
      <c r="II78" s="24">
        <v>0</v>
      </c>
      <c r="IJ78" s="24">
        <v>0</v>
      </c>
      <c r="IK78" s="24">
        <v>0</v>
      </c>
      <c r="IL78" s="24">
        <v>0</v>
      </c>
      <c r="IM78" s="24">
        <v>0</v>
      </c>
      <c r="IN78" s="24">
        <v>0</v>
      </c>
      <c r="IO78" s="24">
        <v>1375</v>
      </c>
      <c r="IP78" s="24">
        <v>0</v>
      </c>
      <c r="IQ78" s="24">
        <v>0</v>
      </c>
      <c r="IR78" s="24">
        <v>24876</v>
      </c>
      <c r="IS78" s="24">
        <v>0</v>
      </c>
      <c r="IT78" s="24">
        <v>0</v>
      </c>
      <c r="IU78" s="24">
        <v>0</v>
      </c>
      <c r="IV78" s="24">
        <v>0</v>
      </c>
      <c r="IW78" s="24">
        <v>33401</v>
      </c>
      <c r="IX78" s="24">
        <v>0</v>
      </c>
      <c r="IY78" s="24">
        <v>0</v>
      </c>
      <c r="IZ78" s="24">
        <v>0</v>
      </c>
      <c r="JA78" s="24">
        <v>0</v>
      </c>
      <c r="JB78" s="24">
        <v>33236</v>
      </c>
      <c r="JC78" s="24">
        <v>2634</v>
      </c>
      <c r="JD78" s="24">
        <v>725</v>
      </c>
      <c r="JE78" s="24">
        <v>0</v>
      </c>
      <c r="JF78" s="24">
        <v>0</v>
      </c>
      <c r="JG78" s="24">
        <v>0</v>
      </c>
      <c r="JH78" s="24">
        <v>0</v>
      </c>
      <c r="JI78" s="24">
        <v>0</v>
      </c>
      <c r="JJ78" s="24">
        <v>0</v>
      </c>
      <c r="JK78" s="24">
        <v>0</v>
      </c>
      <c r="JL78" s="24">
        <v>0</v>
      </c>
      <c r="JM78" s="24">
        <v>0</v>
      </c>
      <c r="JN78" s="24">
        <v>0</v>
      </c>
      <c r="JO78" s="24">
        <v>0</v>
      </c>
      <c r="JP78" s="24">
        <v>0</v>
      </c>
      <c r="JQ78" s="24">
        <v>0</v>
      </c>
      <c r="JR78" s="24">
        <v>0</v>
      </c>
      <c r="JS78" s="24">
        <v>0</v>
      </c>
      <c r="JT78" s="24">
        <v>0</v>
      </c>
      <c r="JU78" s="24">
        <v>0</v>
      </c>
      <c r="JV78" s="24">
        <v>0</v>
      </c>
      <c r="JW78" s="24">
        <v>0</v>
      </c>
      <c r="JX78" s="24">
        <v>0</v>
      </c>
      <c r="JY78" s="24">
        <v>0</v>
      </c>
      <c r="JZ78" s="24">
        <v>0</v>
      </c>
      <c r="KA78" s="24">
        <v>6138</v>
      </c>
      <c r="KB78" s="24">
        <v>0</v>
      </c>
      <c r="KC78" s="24">
        <v>0</v>
      </c>
      <c r="KD78" s="24">
        <v>0</v>
      </c>
      <c r="KE78" s="24">
        <v>0</v>
      </c>
      <c r="KF78" s="24">
        <v>0</v>
      </c>
      <c r="KG78" s="24">
        <v>0</v>
      </c>
      <c r="KH78" s="24">
        <v>0</v>
      </c>
      <c r="KI78" s="24">
        <v>0</v>
      </c>
      <c r="KJ78" s="24">
        <v>0</v>
      </c>
      <c r="KK78" s="24">
        <v>0</v>
      </c>
      <c r="KL78" s="24">
        <v>0</v>
      </c>
      <c r="KM78" s="24">
        <v>0</v>
      </c>
      <c r="KN78" s="24">
        <v>0</v>
      </c>
      <c r="KO78" s="24">
        <v>0</v>
      </c>
      <c r="KP78" s="24">
        <v>0</v>
      </c>
      <c r="KQ78" s="24">
        <v>0</v>
      </c>
      <c r="KR78" s="24">
        <v>0</v>
      </c>
      <c r="KS78" s="24">
        <v>0</v>
      </c>
      <c r="KT78" s="24">
        <v>0</v>
      </c>
      <c r="KU78" s="24">
        <v>0</v>
      </c>
      <c r="KV78" s="24">
        <v>0</v>
      </c>
      <c r="KW78" s="24">
        <v>0</v>
      </c>
      <c r="KX78" s="24">
        <v>0</v>
      </c>
      <c r="KY78" s="24">
        <v>0</v>
      </c>
      <c r="KZ78" s="24">
        <v>0</v>
      </c>
      <c r="LA78" s="24">
        <v>0</v>
      </c>
      <c r="LB78" s="24">
        <v>0</v>
      </c>
      <c r="LC78" s="24">
        <v>0</v>
      </c>
      <c r="LD78" s="24">
        <v>0</v>
      </c>
      <c r="LE78" s="24">
        <v>0</v>
      </c>
      <c r="LF78" s="24">
        <v>0</v>
      </c>
      <c r="LG78" s="24">
        <v>0</v>
      </c>
      <c r="LH78" s="24">
        <v>0</v>
      </c>
      <c r="LI78" s="24">
        <v>0</v>
      </c>
      <c r="LJ78" s="24">
        <v>0</v>
      </c>
      <c r="LK78" s="24">
        <v>0</v>
      </c>
      <c r="LL78" s="24">
        <v>0</v>
      </c>
      <c r="LM78" s="24">
        <v>0</v>
      </c>
      <c r="LN78" s="24">
        <v>0</v>
      </c>
      <c r="LO78" s="24">
        <v>0</v>
      </c>
      <c r="LP78" s="24">
        <v>0</v>
      </c>
      <c r="LQ78" s="24">
        <v>49645</v>
      </c>
      <c r="LR78" s="24">
        <v>0</v>
      </c>
      <c r="LS78" s="24">
        <v>0</v>
      </c>
      <c r="LT78" s="24">
        <v>0</v>
      </c>
      <c r="LU78" s="24">
        <v>0</v>
      </c>
      <c r="LV78" s="24">
        <v>0</v>
      </c>
      <c r="LW78" s="24">
        <v>0</v>
      </c>
      <c r="LX78" s="24">
        <v>0</v>
      </c>
      <c r="LY78" s="24">
        <v>0</v>
      </c>
      <c r="LZ78" s="24">
        <v>0</v>
      </c>
      <c r="MA78" s="24">
        <v>0</v>
      </c>
      <c r="MB78" s="24">
        <v>0</v>
      </c>
      <c r="MC78" s="24">
        <v>0</v>
      </c>
      <c r="MD78" s="24">
        <v>0</v>
      </c>
      <c r="ME78" s="24">
        <v>0</v>
      </c>
      <c r="MF78" s="24">
        <v>0</v>
      </c>
      <c r="MG78" s="24">
        <v>0</v>
      </c>
      <c r="MH78" s="24">
        <v>0</v>
      </c>
      <c r="MI78" s="24">
        <v>0</v>
      </c>
      <c r="MJ78" s="24">
        <v>0</v>
      </c>
      <c r="MK78" s="24">
        <v>0</v>
      </c>
      <c r="ML78" s="24">
        <v>0</v>
      </c>
      <c r="MM78" s="24">
        <v>0</v>
      </c>
      <c r="MN78" s="24">
        <v>0</v>
      </c>
      <c r="MO78" s="24">
        <v>0</v>
      </c>
      <c r="MP78" s="24">
        <v>0</v>
      </c>
      <c r="MQ78" s="24">
        <v>0</v>
      </c>
      <c r="MR78" s="24">
        <v>64725</v>
      </c>
      <c r="MS78" s="24">
        <v>0</v>
      </c>
      <c r="MT78" s="24">
        <v>0</v>
      </c>
      <c r="MU78" s="24">
        <v>0</v>
      </c>
      <c r="MV78" s="24">
        <v>0</v>
      </c>
      <c r="MW78" s="24">
        <v>51845</v>
      </c>
      <c r="MX78" s="24">
        <v>0</v>
      </c>
      <c r="MY78" s="24">
        <v>0</v>
      </c>
      <c r="MZ78" s="24">
        <v>0</v>
      </c>
      <c r="NA78" s="24">
        <v>10202</v>
      </c>
      <c r="NB78" s="24">
        <v>10117</v>
      </c>
      <c r="NC78" s="24">
        <v>0</v>
      </c>
      <c r="ND78" s="24">
        <v>0</v>
      </c>
      <c r="NE78" s="24">
        <v>0</v>
      </c>
      <c r="NF78" s="24">
        <v>0</v>
      </c>
      <c r="NG78" s="24">
        <v>0</v>
      </c>
      <c r="NH78" s="24">
        <v>0</v>
      </c>
      <c r="NI78" s="24">
        <v>0</v>
      </c>
      <c r="NJ78" s="24">
        <v>0</v>
      </c>
      <c r="NK78" s="24">
        <v>0</v>
      </c>
      <c r="NL78" s="24">
        <v>0</v>
      </c>
      <c r="NM78" s="24">
        <v>0</v>
      </c>
      <c r="NN78" s="24">
        <v>0</v>
      </c>
      <c r="NO78" s="24">
        <v>0</v>
      </c>
      <c r="NP78" s="24">
        <v>0</v>
      </c>
      <c r="NQ78" s="24">
        <v>33390</v>
      </c>
      <c r="NR78" s="24">
        <v>0</v>
      </c>
      <c r="NS78" s="24">
        <v>0</v>
      </c>
      <c r="NT78" s="24">
        <v>0</v>
      </c>
      <c r="NU78" s="24">
        <v>0</v>
      </c>
      <c r="NV78" s="24">
        <v>17527</v>
      </c>
      <c r="NW78" s="24">
        <v>0</v>
      </c>
      <c r="NX78" s="24">
        <v>0</v>
      </c>
      <c r="NY78" s="24">
        <v>0</v>
      </c>
      <c r="NZ78" s="24">
        <v>0</v>
      </c>
      <c r="OA78" s="24">
        <v>0</v>
      </c>
      <c r="OB78" s="24">
        <v>0</v>
      </c>
      <c r="OC78" s="24">
        <v>0</v>
      </c>
      <c r="OD78" s="24">
        <v>0</v>
      </c>
      <c r="OE78" s="24">
        <v>0</v>
      </c>
      <c r="OF78" s="24">
        <v>80830</v>
      </c>
      <c r="OG78" s="24">
        <v>0</v>
      </c>
      <c r="OH78" s="24">
        <v>0</v>
      </c>
      <c r="OI78" s="24">
        <v>0</v>
      </c>
      <c r="OJ78" s="24">
        <v>0</v>
      </c>
      <c r="OK78" s="24">
        <v>14065</v>
      </c>
      <c r="OL78" s="24">
        <v>0</v>
      </c>
      <c r="OM78" s="24">
        <v>0</v>
      </c>
      <c r="ON78" s="24">
        <v>0</v>
      </c>
      <c r="OO78" s="24">
        <v>0</v>
      </c>
      <c r="OP78" s="24">
        <v>0</v>
      </c>
      <c r="OQ78" s="24">
        <v>0</v>
      </c>
      <c r="OR78" s="24">
        <v>0</v>
      </c>
      <c r="OS78" s="24">
        <v>0</v>
      </c>
      <c r="OT78" s="24">
        <v>0</v>
      </c>
      <c r="OU78" s="24">
        <v>0</v>
      </c>
      <c r="OV78" s="24">
        <v>0</v>
      </c>
      <c r="OW78" s="24">
        <v>0</v>
      </c>
      <c r="OX78" s="24">
        <v>0</v>
      </c>
      <c r="OY78" s="24">
        <v>0</v>
      </c>
      <c r="OZ78" s="24">
        <v>0</v>
      </c>
      <c r="PA78" s="24">
        <v>0</v>
      </c>
      <c r="PB78" s="24">
        <v>0</v>
      </c>
      <c r="PC78" s="24">
        <v>0</v>
      </c>
      <c r="PD78" s="24">
        <v>0</v>
      </c>
      <c r="PE78" s="24">
        <v>0</v>
      </c>
      <c r="PF78" s="24">
        <v>0</v>
      </c>
      <c r="PG78" s="24">
        <v>0</v>
      </c>
      <c r="PH78" s="24">
        <v>0</v>
      </c>
      <c r="PI78" s="24">
        <v>0</v>
      </c>
      <c r="PJ78" s="24">
        <v>0</v>
      </c>
      <c r="PK78" s="24">
        <v>0</v>
      </c>
      <c r="PL78" s="24">
        <v>0</v>
      </c>
      <c r="PM78" s="24">
        <v>0</v>
      </c>
      <c r="PN78" s="24">
        <v>0</v>
      </c>
      <c r="PO78" s="24">
        <v>0</v>
      </c>
      <c r="PP78" s="24">
        <v>0</v>
      </c>
      <c r="PQ78" s="24">
        <v>0</v>
      </c>
      <c r="PR78" s="24">
        <v>0</v>
      </c>
      <c r="PS78" s="24">
        <v>0</v>
      </c>
      <c r="PT78" s="24">
        <v>0</v>
      </c>
      <c r="PU78" s="24">
        <v>0</v>
      </c>
      <c r="PV78" s="24">
        <v>0</v>
      </c>
      <c r="PW78" s="24">
        <v>0</v>
      </c>
      <c r="PX78" s="24">
        <v>0</v>
      </c>
      <c r="PY78" s="24">
        <v>0</v>
      </c>
      <c r="PZ78" s="24">
        <v>0</v>
      </c>
      <c r="QA78" s="24">
        <v>0</v>
      </c>
      <c r="QB78" s="24">
        <v>0</v>
      </c>
      <c r="QC78" s="24">
        <v>0</v>
      </c>
      <c r="QD78" s="24">
        <v>0</v>
      </c>
      <c r="QE78" s="24">
        <v>0</v>
      </c>
      <c r="QF78" s="24">
        <v>0</v>
      </c>
      <c r="QG78" s="24">
        <v>0</v>
      </c>
      <c r="QH78" s="24">
        <v>0</v>
      </c>
      <c r="QI78" s="24">
        <v>0</v>
      </c>
      <c r="QJ78" s="24">
        <v>0</v>
      </c>
      <c r="QK78" s="24">
        <v>0</v>
      </c>
      <c r="QL78" s="24">
        <v>0</v>
      </c>
      <c r="QM78" s="24">
        <v>0</v>
      </c>
      <c r="QN78" s="24">
        <v>0</v>
      </c>
      <c r="QO78" s="24">
        <v>0</v>
      </c>
      <c r="QP78" s="24">
        <v>0</v>
      </c>
      <c r="QQ78" s="24">
        <v>0</v>
      </c>
      <c r="QR78" s="24">
        <v>0</v>
      </c>
      <c r="QS78" s="24">
        <v>9143</v>
      </c>
      <c r="QT78" s="24">
        <v>0</v>
      </c>
      <c r="QU78" s="24">
        <v>0</v>
      </c>
      <c r="QV78" s="24">
        <v>0</v>
      </c>
      <c r="QW78" s="24">
        <v>20429</v>
      </c>
      <c r="QX78" s="24">
        <v>0</v>
      </c>
      <c r="QY78" s="24">
        <v>0</v>
      </c>
      <c r="QZ78" s="24">
        <v>0</v>
      </c>
      <c r="RA78" s="24">
        <v>0</v>
      </c>
      <c r="RB78" s="24">
        <v>0</v>
      </c>
      <c r="RG78" s="39">
        <f t="shared" si="129"/>
        <v>1426820</v>
      </c>
      <c r="RH78" s="39">
        <f t="shared" si="128"/>
        <v>125555</v>
      </c>
      <c r="RI78" s="39">
        <f t="shared" si="128"/>
        <v>7161</v>
      </c>
      <c r="RJ78" s="39">
        <f t="shared" si="128"/>
        <v>0</v>
      </c>
      <c r="RK78" s="39">
        <f t="shared" si="128"/>
        <v>0</v>
      </c>
      <c r="RL78" s="39">
        <f t="shared" si="128"/>
        <v>196111</v>
      </c>
      <c r="RM78" s="39">
        <f t="shared" si="128"/>
        <v>114074</v>
      </c>
      <c r="RN78" s="39">
        <f t="shared" si="128"/>
        <v>1375</v>
      </c>
      <c r="RO78" s="39">
        <f t="shared" si="128"/>
        <v>24876</v>
      </c>
      <c r="RP78" s="39">
        <f t="shared" si="128"/>
        <v>33401</v>
      </c>
      <c r="RQ78" s="39">
        <f t="shared" si="128"/>
        <v>36595</v>
      </c>
      <c r="RR78" s="39">
        <f t="shared" si="128"/>
        <v>6138</v>
      </c>
      <c r="RS78" s="39"/>
      <c r="RT78" s="182"/>
      <c r="RU78" s="39"/>
      <c r="RV78" s="39">
        <f t="shared" si="182"/>
        <v>332346</v>
      </c>
      <c r="RW78" s="39">
        <f t="shared" si="182"/>
        <v>1972106</v>
      </c>
      <c r="RX78" s="39">
        <f t="shared" si="182"/>
        <v>1134083</v>
      </c>
      <c r="RY78" s="39">
        <f t="shared" si="182"/>
        <v>29572</v>
      </c>
      <c r="RZ78" s="39"/>
      <c r="SA78" s="182"/>
      <c r="SB78" s="39"/>
      <c r="SC78" s="25">
        <f t="shared" si="183"/>
        <v>4974.0482456140353</v>
      </c>
      <c r="SD78" s="39">
        <f>IFERROR(VLOOKUP(A78, 'Levy Data 15-16'!$B:$O, 3, FALSE), 0)</f>
        <v>125215640</v>
      </c>
      <c r="SE78" s="39">
        <f t="shared" si="144"/>
        <v>549191.40350877191</v>
      </c>
      <c r="SF78" s="631">
        <f>IFERROR(VLOOKUP(A78, 'Levy Data 15-16'!$B:$O, 14, FALSE), 0)*1000</f>
        <v>8.1754800000000003</v>
      </c>
      <c r="SG78" s="39">
        <f t="shared" si="145"/>
        <v>0</v>
      </c>
      <c r="SH78" s="39">
        <f t="shared" si="146"/>
        <v>0</v>
      </c>
      <c r="SI78" s="39">
        <f t="shared" si="147"/>
        <v>1134083</v>
      </c>
      <c r="SM78" s="39">
        <f t="shared" si="148"/>
        <v>1972106</v>
      </c>
      <c r="SN78" s="39">
        <f t="shared" si="149"/>
        <v>0</v>
      </c>
      <c r="SO78" s="39">
        <f t="shared" si="184"/>
        <v>1972106</v>
      </c>
      <c r="SP78" s="50">
        <f t="shared" si="130"/>
        <v>1</v>
      </c>
      <c r="ST78" s="124">
        <f>IFERROR(VLOOKUP(A78,'Grade Enroll 15-16'!B:AC,27,FALSE),"")</f>
        <v>228</v>
      </c>
      <c r="SU78" s="124">
        <f t="shared" si="185"/>
        <v>95.798319327731093</v>
      </c>
      <c r="SV78" s="131">
        <f>IFERROR(VLOOKUP($A78, 'Title I Enroll 16-17'!S:V, 4, FALSE), 0)</f>
        <v>0.42016806722689076</v>
      </c>
      <c r="SW78" s="729">
        <f>IFERROR(VLOOKUP(A78, 'ELL Enroll 15-16'!$N:$S, 6, FALSE), 0)</f>
        <v>5</v>
      </c>
      <c r="SX78" s="131">
        <f t="shared" si="131"/>
        <v>2.1929824561403508E-2</v>
      </c>
      <c r="SY78" s="124">
        <f>IFERROR(VLOOKUP(A78, 'SPED enroll 2015-16'!$M:$O, 3, FALSE), 0)</f>
        <v>33</v>
      </c>
      <c r="SZ78" s="131">
        <f t="shared" si="132"/>
        <v>0.14473684210526316</v>
      </c>
      <c r="TA78" s="142">
        <f t="shared" si="133"/>
        <v>23.099999999999998</v>
      </c>
      <c r="TB78" s="142">
        <f t="shared" si="133"/>
        <v>6.6000000000000005</v>
      </c>
      <c r="TC78" s="142">
        <f t="shared" si="133"/>
        <v>2.31</v>
      </c>
      <c r="TD78" s="142">
        <f t="shared" si="133"/>
        <v>0.99</v>
      </c>
      <c r="TE78" s="124">
        <f>VLOOKUP($A78, 'Grade Enroll 15-16'!$B:$AB, 20, FALSE)</f>
        <v>0</v>
      </c>
      <c r="TF78" s="124">
        <f>VLOOKUP($A78, 'Grade Enroll 15-16'!$B:$AB, 21, FALSE)</f>
        <v>25</v>
      </c>
      <c r="TG78" s="124">
        <f>VLOOKUP($A78, 'Grade Enroll 15-16'!$B:$AB, 22, FALSE)</f>
        <v>65</v>
      </c>
      <c r="TH78" s="124">
        <f>VLOOKUP($A78, 'Grade Enroll 15-16'!$B:$AB, 23, FALSE)</f>
        <v>56</v>
      </c>
      <c r="TI78" s="124">
        <f>VLOOKUP($A78, 'Grade Enroll 15-16'!$B:$AB, 24, FALSE)</f>
        <v>42</v>
      </c>
      <c r="TJ78" s="124">
        <f>VLOOKUP($A78, 'Grade Enroll 15-16'!$B:$AB, 25, FALSE)</f>
        <v>65</v>
      </c>
      <c r="TK78" s="124">
        <f>VLOOKUP($A78, 'Grade Enroll 15-16'!$B:$AB, 26, FALSE)</f>
        <v>149</v>
      </c>
      <c r="TL78" s="131">
        <f>SUMIFS('Student Achievement 15-16'!N:N, 'Student Achievement 15-16'!B:B, 'Idaho Data'!A78, 'Student Achievement 15-16'!D:D, "math")/100</f>
        <v>0.14899999999999999</v>
      </c>
      <c r="TM78" s="134">
        <f t="shared" si="186"/>
        <v>33.972000000000001</v>
      </c>
      <c r="TN78" s="131">
        <f>SUMIFS('Student Achievement 15-16'!N:N, 'Student Achievement 15-16'!B:B, 'Idaho Data'!A78, 'Student Achievement 15-16'!D:D, "ela")/100</f>
        <v>0.19699999999999998</v>
      </c>
      <c r="TO78" s="134">
        <f t="shared" si="134"/>
        <v>44.915999999999997</v>
      </c>
      <c r="TP78" s="688">
        <f>IFERROR(VLOOKUP(A78, 'G&amp;T 15-16'!B:G, 6, FALSE), 0)*1</f>
        <v>16</v>
      </c>
      <c r="TQ78" s="168">
        <f t="shared" si="135"/>
        <v>13.68</v>
      </c>
      <c r="TU78" s="168">
        <f t="shared" si="136"/>
        <v>33.972000000000001</v>
      </c>
      <c r="TV78" s="168">
        <f t="shared" si="137"/>
        <v>44.915999999999997</v>
      </c>
      <c r="TW78" s="205">
        <f t="shared" si="138"/>
        <v>44.915999999999997</v>
      </c>
      <c r="TX78" s="144"/>
      <c r="TY78" s="129"/>
      <c r="TZ78" s="127">
        <f t="shared" si="139"/>
        <v>13.68</v>
      </c>
      <c r="UA78" s="127">
        <f t="shared" si="140"/>
        <v>16</v>
      </c>
      <c r="UB78" s="205">
        <f t="shared" si="141"/>
        <v>16</v>
      </c>
      <c r="UE78" s="853" t="str">
        <f>IF(ST78&lt;='1. Simulator Input'!$E$104, "yes", "")</f>
        <v>yes</v>
      </c>
      <c r="UI78" s="199">
        <f t="shared" si="187"/>
        <v>0</v>
      </c>
      <c r="UJ78" s="200">
        <f>IF('Idaho Data'!SI78&gt;=0, ((1-'1. Simulator Input'!$E$39)*'Idaho Data'!SI78), 0)</f>
        <v>0</v>
      </c>
      <c r="UK78" s="200">
        <f t="shared" si="142"/>
        <v>1972106</v>
      </c>
      <c r="UL78" s="39"/>
      <c r="UM78" s="182"/>
      <c r="UN78" s="39"/>
      <c r="UO78" s="39">
        <f>IF(AND('1. Simulator Input'!$E$96="yes", '1. Simulator Input'!$E$98="yes", '1. Simulator Input'!$E$100="hold harmless"), 'Idaho Data'!WN78, IF(AND('1. Simulator Input'!$E$96="yes", '1. Simulator Input'!$E$98="no", '1. Simulator Input'!$E$100="hold harmless"), 'Idaho Data'!WM78, IF(AND('1. Simulator Input'!$E$96="yes", '1. Simulator Input'!$E$98="yes", '1. Simulator Input'!$E$100="small district grant"), WL78,IF(AND('1. Simulator Input'!$E$96="yes", '1. Simulator Input'!$E$98="no", '1. Simulator Input'!$E$100="small district grant"), WK78, ""))))</f>
        <v>0</v>
      </c>
      <c r="UP78" s="200">
        <f>'1. Simulator Input'!$D$56*('Idaho Data'!ST78)</f>
        <v>1259928</v>
      </c>
      <c r="UQ78" s="204">
        <f>'1. Simulator Input'!$D$65*'1. Simulator Input'!$D$56*'Idaho Data'!SU78</f>
        <v>0</v>
      </c>
      <c r="UR78" s="204">
        <f>'1. Simulator Input'!$D$66*'1. Simulator Input'!$D$56*'Idaho Data'!SW78</f>
        <v>0</v>
      </c>
      <c r="US78" s="200">
        <f>'1. Simulator Input'!$D$67*'1. Simulator Input'!$D$56*'Idaho Data'!TA78</f>
        <v>0</v>
      </c>
      <c r="UT78" s="200">
        <f>'1. Simulator Input'!$D$68*'1. Simulator Input'!$D$56*'Idaho Data'!TB78</f>
        <v>0</v>
      </c>
      <c r="UU78" s="200">
        <f>'1. Simulator Input'!$D$69*'1. Simulator Input'!$D$56*'Idaho Data'!TC78</f>
        <v>0</v>
      </c>
      <c r="UV78" s="200">
        <f>'1. Simulator Input'!$D$70*'1. Simulator Input'!$D$56*TD78</f>
        <v>0</v>
      </c>
      <c r="UW78" s="200">
        <f>'1. Simulator Input'!$D$80*'1. Simulator Input'!$D$56*TW78</f>
        <v>0</v>
      </c>
      <c r="UX78" s="200">
        <f>'1. Simulator Input'!$D$79*'1. Simulator Input'!$D$56*UB78</f>
        <v>0</v>
      </c>
      <c r="UY78" s="200">
        <f>'1. Simulator Input'!$D$87*'1. Simulator Input'!$D$56*TF78</f>
        <v>69075</v>
      </c>
      <c r="UZ78" s="200">
        <f>'1. Simulator Input'!$D$73*'1. Simulator Input'!$D$56*'Idaho Data'!TG78</f>
        <v>0</v>
      </c>
      <c r="VA78" s="200">
        <f>'1. Simulator Input'!$D$56*'1. Simulator Input'!$D$74*'Idaho Data'!TH78</f>
        <v>0</v>
      </c>
      <c r="VB78" s="200">
        <f>'1. Simulator Input'!$D$56*'1. Simulator Input'!$D$75*'Idaho Data'!TI73</f>
        <v>0</v>
      </c>
      <c r="VC78" s="200">
        <f>'1. Simulator Input'!$D$76*'1. Simulator Input'!$D$56*'Idaho Data'!TJ78</f>
        <v>0</v>
      </c>
      <c r="VD78" s="200">
        <f t="shared" si="188"/>
        <v>1329003</v>
      </c>
      <c r="VE78" s="200"/>
      <c r="VF78" s="182"/>
      <c r="VG78" s="200"/>
      <c r="VH78" s="200">
        <f t="shared" si="189"/>
        <v>0</v>
      </c>
      <c r="VI78" s="200">
        <f t="shared" si="190"/>
        <v>0</v>
      </c>
      <c r="VJ78" s="200">
        <f t="shared" si="150"/>
        <v>1329003</v>
      </c>
      <c r="VK78" s="200">
        <f t="shared" si="151"/>
        <v>1329003</v>
      </c>
      <c r="VL78" s="200"/>
      <c r="VM78" s="182"/>
      <c r="VN78" s="200"/>
      <c r="VO78" s="200">
        <f t="shared" si="191"/>
        <v>332346</v>
      </c>
      <c r="VP78" s="200">
        <f t="shared" si="192"/>
        <v>1972106</v>
      </c>
      <c r="VQ78" s="200">
        <f t="shared" si="193"/>
        <v>1134083</v>
      </c>
      <c r="VR78" s="200">
        <f t="shared" si="194"/>
        <v>332346</v>
      </c>
      <c r="VS78" s="200">
        <f t="shared" si="152"/>
        <v>1329003</v>
      </c>
      <c r="VT78" s="200">
        <f t="shared" si="153"/>
        <v>1134083</v>
      </c>
      <c r="VU78" s="200">
        <f t="shared" si="154"/>
        <v>0</v>
      </c>
      <c r="VV78" s="200"/>
      <c r="VW78" s="182"/>
      <c r="VX78" s="200"/>
      <c r="VZ78" s="199">
        <f t="shared" si="195"/>
        <v>-643103</v>
      </c>
      <c r="WA78" s="199">
        <f t="shared" si="196"/>
        <v>-2820.6271929824561</v>
      </c>
      <c r="WB78" s="131">
        <f t="shared" si="197"/>
        <v>-0.32609961127850123</v>
      </c>
      <c r="WC78" s="131"/>
      <c r="WD78" s="461"/>
      <c r="WE78" s="893"/>
      <c r="WF78" s="893">
        <f t="shared" si="198"/>
        <v>15081.293859649122</v>
      </c>
      <c r="WG78" s="893">
        <f t="shared" si="199"/>
        <v>12260.666666666666</v>
      </c>
      <c r="WH78" s="893"/>
      <c r="WI78" s="893">
        <f t="shared" si="200"/>
        <v>1972106</v>
      </c>
      <c r="WJ78" s="893">
        <f t="shared" si="155"/>
        <v>1329003</v>
      </c>
      <c r="WK78" s="39">
        <f t="shared" si="156"/>
        <v>0</v>
      </c>
      <c r="WL78" s="39">
        <f t="shared" si="157"/>
        <v>0</v>
      </c>
      <c r="WM78" s="200">
        <f t="shared" si="158"/>
        <v>643103</v>
      </c>
      <c r="WN78" s="39">
        <f t="shared" si="159"/>
        <v>643103</v>
      </c>
      <c r="WO78" s="39"/>
      <c r="WP78" s="182"/>
      <c r="WQ78" s="39"/>
      <c r="WR78" s="305">
        <f t="shared" si="160"/>
        <v>0.54300000000000004</v>
      </c>
      <c r="WT78" s="200">
        <f t="shared" si="161"/>
        <v>8649.5877192982462</v>
      </c>
      <c r="WU78" s="131">
        <f t="shared" si="201"/>
        <v>0.78</v>
      </c>
      <c r="WW78" s="199">
        <f t="shared" si="162"/>
        <v>332346</v>
      </c>
      <c r="WX78" s="199">
        <f t="shared" si="163"/>
        <v>1329003</v>
      </c>
      <c r="WY78" s="199">
        <f t="shared" si="164"/>
        <v>0</v>
      </c>
      <c r="WZ78" s="199">
        <f t="shared" si="202"/>
        <v>1329003</v>
      </c>
      <c r="XA78" s="199">
        <f t="shared" si="165"/>
        <v>0</v>
      </c>
      <c r="XB78" s="199">
        <f t="shared" si="166"/>
        <v>1134083</v>
      </c>
      <c r="XC78" s="199">
        <f t="shared" si="167"/>
        <v>1134083</v>
      </c>
      <c r="XD78" s="199" t="str">
        <f t="shared" si="168"/>
        <v/>
      </c>
      <c r="XE78" s="199"/>
      <c r="XF78" s="199"/>
      <c r="XG78" s="199"/>
      <c r="XH78" s="199"/>
      <c r="XI78" s="199"/>
      <c r="XJ78" s="199">
        <f t="shared" si="203"/>
        <v>1329003</v>
      </c>
      <c r="XP78" s="199">
        <f t="shared" si="169"/>
        <v>1329003</v>
      </c>
      <c r="XQ78" s="199">
        <f t="shared" si="170"/>
        <v>5828.9605263157891</v>
      </c>
      <c r="XR78" s="199">
        <f t="shared" si="171"/>
        <v>1329003</v>
      </c>
      <c r="XS78" s="199">
        <f t="shared" si="172"/>
        <v>1329003</v>
      </c>
      <c r="XT78" s="199">
        <f t="shared" si="173"/>
        <v>5828.9605263157891</v>
      </c>
      <c r="XU78" s="199">
        <f t="shared" si="174"/>
        <v>1972106</v>
      </c>
      <c r="XV78" s="199">
        <f t="shared" si="175"/>
        <v>8649.5877192982462</v>
      </c>
      <c r="XW78" s="199">
        <f t="shared" si="176"/>
        <v>1972106</v>
      </c>
      <c r="XX78" s="199">
        <f t="shared" si="177"/>
        <v>8649.5877192982462</v>
      </c>
      <c r="XY78" s="199">
        <f t="shared" si="204"/>
        <v>-643103</v>
      </c>
      <c r="XZ78" s="199">
        <f t="shared" si="205"/>
        <v>-2820.627192982457</v>
      </c>
      <c r="YA78" s="131">
        <f t="shared" si="143"/>
        <v>-0.32609961127850134</v>
      </c>
      <c r="YB78" s="199"/>
      <c r="YC78" s="221"/>
      <c r="YD78" s="199"/>
      <c r="YE78" s="199">
        <f t="shared" si="178"/>
        <v>332346</v>
      </c>
      <c r="YF78" s="200">
        <f t="shared" si="179"/>
        <v>0</v>
      </c>
      <c r="YG78" s="199">
        <f t="shared" si="180"/>
        <v>1134083</v>
      </c>
      <c r="YH78" s="199">
        <f t="shared" si="181"/>
        <v>29572</v>
      </c>
    </row>
    <row r="79" spans="1:658">
      <c r="A79" s="3">
        <v>285</v>
      </c>
      <c r="B79" s="2" t="s">
        <v>175</v>
      </c>
      <c r="C79" s="24">
        <v>1401691</v>
      </c>
      <c r="D79" s="24">
        <v>0</v>
      </c>
      <c r="E79" s="24">
        <v>0</v>
      </c>
      <c r="F79" s="24">
        <v>0</v>
      </c>
      <c r="G79" s="24">
        <v>0</v>
      </c>
      <c r="H79" s="24">
        <v>0</v>
      </c>
      <c r="I79" s="24">
        <v>0</v>
      </c>
      <c r="J79" s="24">
        <v>0</v>
      </c>
      <c r="K79" s="24">
        <v>0</v>
      </c>
      <c r="L79" s="24">
        <v>0</v>
      </c>
      <c r="M79" s="24">
        <v>0</v>
      </c>
      <c r="N79" s="24">
        <v>0</v>
      </c>
      <c r="O79" s="24">
        <v>0</v>
      </c>
      <c r="P79" s="24">
        <v>0</v>
      </c>
      <c r="Q79" s="24">
        <v>0</v>
      </c>
      <c r="R79" s="24">
        <v>0</v>
      </c>
      <c r="S79" s="24">
        <v>0</v>
      </c>
      <c r="T79" s="24">
        <v>0</v>
      </c>
      <c r="U79" s="24">
        <v>0</v>
      </c>
      <c r="V79" s="24">
        <v>0</v>
      </c>
      <c r="W79" s="24">
        <v>0</v>
      </c>
      <c r="X79" s="24">
        <v>0</v>
      </c>
      <c r="Y79" s="24">
        <v>11559</v>
      </c>
      <c r="Z79" s="24">
        <v>0</v>
      </c>
      <c r="AA79" s="24">
        <v>0</v>
      </c>
      <c r="AB79" s="24">
        <v>0</v>
      </c>
      <c r="AC79" s="24">
        <v>0</v>
      </c>
      <c r="AD79" s="24">
        <v>0</v>
      </c>
      <c r="AE79" s="24">
        <v>0</v>
      </c>
      <c r="AF79" s="24">
        <v>0</v>
      </c>
      <c r="AG79" s="24">
        <v>0</v>
      </c>
      <c r="AH79" s="24">
        <v>0</v>
      </c>
      <c r="AI79" s="24">
        <v>0</v>
      </c>
      <c r="AJ79" s="24">
        <v>0</v>
      </c>
      <c r="AK79" s="24">
        <v>0</v>
      </c>
      <c r="AL79" s="24">
        <v>7302</v>
      </c>
      <c r="AM79" s="24">
        <v>0</v>
      </c>
      <c r="AN79" s="24">
        <v>0</v>
      </c>
      <c r="AO79" s="24">
        <v>0</v>
      </c>
      <c r="AP79" s="24">
        <v>0</v>
      </c>
      <c r="AQ79" s="24">
        <v>0</v>
      </c>
      <c r="AR79" s="24">
        <v>0</v>
      </c>
      <c r="AS79" s="24">
        <v>0</v>
      </c>
      <c r="AT79" s="24">
        <v>0</v>
      </c>
      <c r="AU79" s="24">
        <v>0</v>
      </c>
      <c r="AV79" s="24">
        <v>0</v>
      </c>
      <c r="AW79" s="24">
        <v>0</v>
      </c>
      <c r="AX79" s="24">
        <v>0</v>
      </c>
      <c r="AY79" s="24">
        <v>0</v>
      </c>
      <c r="AZ79" s="24">
        <v>0</v>
      </c>
      <c r="BA79" s="24">
        <v>0</v>
      </c>
      <c r="BB79" s="24">
        <v>0</v>
      </c>
      <c r="BC79" s="24">
        <v>0</v>
      </c>
      <c r="BD79" s="24">
        <v>0</v>
      </c>
      <c r="BE79" s="24">
        <v>0</v>
      </c>
      <c r="BF79" s="24">
        <v>1</v>
      </c>
      <c r="BG79" s="24">
        <v>0</v>
      </c>
      <c r="BH79" s="24">
        <v>0</v>
      </c>
      <c r="BI79" s="24">
        <v>0</v>
      </c>
      <c r="BJ79" s="24">
        <v>0</v>
      </c>
      <c r="BK79" s="24">
        <v>0</v>
      </c>
      <c r="BL79" s="24">
        <v>0</v>
      </c>
      <c r="BM79" s="24">
        <v>0</v>
      </c>
      <c r="BN79" s="24">
        <v>0</v>
      </c>
      <c r="BO79" s="24">
        <v>0</v>
      </c>
      <c r="BP79" s="24">
        <v>0</v>
      </c>
      <c r="BQ79" s="24">
        <v>0</v>
      </c>
      <c r="BR79" s="24">
        <v>0</v>
      </c>
      <c r="BS79" s="24">
        <v>0</v>
      </c>
      <c r="BT79" s="24">
        <v>0</v>
      </c>
      <c r="BU79" s="24">
        <v>0</v>
      </c>
      <c r="BV79" s="24">
        <v>0</v>
      </c>
      <c r="BW79" s="24">
        <v>0</v>
      </c>
      <c r="BX79" s="24">
        <v>0</v>
      </c>
      <c r="BY79" s="24">
        <v>0</v>
      </c>
      <c r="BZ79" s="24">
        <v>0</v>
      </c>
      <c r="CA79" s="24">
        <v>0</v>
      </c>
      <c r="CB79" s="24">
        <v>0</v>
      </c>
      <c r="CC79" s="24">
        <v>0</v>
      </c>
      <c r="CD79" s="24">
        <v>46375</v>
      </c>
      <c r="CE79" s="24">
        <v>0</v>
      </c>
      <c r="CF79" s="24">
        <v>0</v>
      </c>
      <c r="CG79" s="24">
        <v>0</v>
      </c>
      <c r="CH79" s="24">
        <v>0</v>
      </c>
      <c r="CI79" s="24">
        <v>0</v>
      </c>
      <c r="CJ79" s="24">
        <v>0</v>
      </c>
      <c r="CK79" s="24">
        <v>0</v>
      </c>
      <c r="CL79" s="24">
        <v>0</v>
      </c>
      <c r="CM79" s="24">
        <v>0</v>
      </c>
      <c r="CN79" s="24">
        <v>0</v>
      </c>
      <c r="CO79" s="24">
        <v>0</v>
      </c>
      <c r="CP79" s="24">
        <v>0</v>
      </c>
      <c r="CQ79" s="24">
        <v>0</v>
      </c>
      <c r="CR79" s="24">
        <v>0</v>
      </c>
      <c r="CS79" s="24">
        <v>270</v>
      </c>
      <c r="CT79" s="24">
        <v>0</v>
      </c>
      <c r="CU79" s="24">
        <v>0</v>
      </c>
      <c r="CV79" s="24">
        <v>0</v>
      </c>
      <c r="CW79" s="24">
        <v>0</v>
      </c>
      <c r="CX79" s="24">
        <v>0</v>
      </c>
      <c r="CY79" s="24">
        <v>0</v>
      </c>
      <c r="CZ79" s="24">
        <v>0</v>
      </c>
      <c r="DA79" s="24">
        <v>0</v>
      </c>
      <c r="DB79" s="24">
        <v>0</v>
      </c>
      <c r="DC79" s="24">
        <v>0</v>
      </c>
      <c r="DD79" s="24">
        <v>0</v>
      </c>
      <c r="DE79" s="24">
        <v>0</v>
      </c>
      <c r="DF79" s="24">
        <v>0</v>
      </c>
      <c r="DG79" s="24">
        <v>0</v>
      </c>
      <c r="DH79" s="24">
        <v>0</v>
      </c>
      <c r="DI79" s="24">
        <v>0</v>
      </c>
      <c r="DJ79" s="24">
        <v>0</v>
      </c>
      <c r="DK79" s="24">
        <v>0</v>
      </c>
      <c r="DL79" s="24">
        <v>0</v>
      </c>
      <c r="DM79" s="24">
        <v>0</v>
      </c>
      <c r="DN79" s="24">
        <v>0</v>
      </c>
      <c r="DO79" s="24">
        <v>0</v>
      </c>
      <c r="DP79" s="24">
        <v>0</v>
      </c>
      <c r="DQ79" s="24">
        <v>0</v>
      </c>
      <c r="DR79" s="24">
        <v>0</v>
      </c>
      <c r="DS79" s="24">
        <v>0</v>
      </c>
      <c r="DT79" s="24">
        <v>0</v>
      </c>
      <c r="DU79" s="24">
        <v>0</v>
      </c>
      <c r="DV79" s="24">
        <v>0</v>
      </c>
      <c r="DW79" s="24">
        <v>0</v>
      </c>
      <c r="DX79" s="24">
        <v>0</v>
      </c>
      <c r="DY79" s="24">
        <v>0</v>
      </c>
      <c r="DZ79" s="24">
        <v>0</v>
      </c>
      <c r="EA79" s="24">
        <v>0</v>
      </c>
      <c r="EB79" s="24">
        <v>0</v>
      </c>
      <c r="EC79" s="24">
        <v>0</v>
      </c>
      <c r="ED79" s="24">
        <v>0</v>
      </c>
      <c r="EE79" s="24">
        <v>0</v>
      </c>
      <c r="EF79" s="24">
        <v>0</v>
      </c>
      <c r="EG79" s="24">
        <v>5338</v>
      </c>
      <c r="EH79" s="24">
        <v>0</v>
      </c>
      <c r="EI79" s="24">
        <v>0</v>
      </c>
      <c r="EJ79" s="24">
        <v>0</v>
      </c>
      <c r="EK79" s="24">
        <v>0</v>
      </c>
      <c r="EL79" s="24">
        <v>0</v>
      </c>
      <c r="EM79" s="24">
        <v>0</v>
      </c>
      <c r="EN79" s="24">
        <v>0</v>
      </c>
      <c r="EO79" s="24">
        <v>0</v>
      </c>
      <c r="EP79" s="24">
        <v>0</v>
      </c>
      <c r="EQ79" s="24">
        <v>0</v>
      </c>
      <c r="ER79" s="24">
        <v>0</v>
      </c>
      <c r="ES79" s="24">
        <v>0</v>
      </c>
      <c r="ET79" s="24">
        <v>0</v>
      </c>
      <c r="EU79" s="24">
        <v>0</v>
      </c>
      <c r="EV79" s="24">
        <v>0</v>
      </c>
      <c r="EW79" s="24">
        <v>0</v>
      </c>
      <c r="EX79" s="24">
        <v>0</v>
      </c>
      <c r="EY79" s="24">
        <v>0</v>
      </c>
      <c r="EZ79" s="24">
        <v>0</v>
      </c>
      <c r="FA79" s="24">
        <v>0</v>
      </c>
      <c r="FB79" s="24">
        <v>0</v>
      </c>
      <c r="FC79" s="24">
        <v>0</v>
      </c>
      <c r="FD79" s="24">
        <v>0</v>
      </c>
      <c r="FE79" s="24">
        <v>0</v>
      </c>
      <c r="FF79" s="24">
        <v>0</v>
      </c>
      <c r="FG79" s="24">
        <v>0</v>
      </c>
      <c r="FH79" s="24">
        <v>0</v>
      </c>
      <c r="FI79" s="24">
        <v>0</v>
      </c>
      <c r="FJ79" s="24">
        <v>0</v>
      </c>
      <c r="FK79" s="24">
        <v>0</v>
      </c>
      <c r="FL79" s="24">
        <v>0</v>
      </c>
      <c r="FM79" s="24">
        <v>0</v>
      </c>
      <c r="FN79" s="24">
        <v>0</v>
      </c>
      <c r="FO79" s="24">
        <v>0</v>
      </c>
      <c r="FP79" s="24">
        <v>0</v>
      </c>
      <c r="FQ79" s="24">
        <v>0</v>
      </c>
      <c r="FR79" s="24">
        <v>0</v>
      </c>
      <c r="FS79" s="24">
        <v>10962</v>
      </c>
      <c r="FT79" s="24">
        <v>0</v>
      </c>
      <c r="FU79" s="24">
        <v>0</v>
      </c>
      <c r="FV79" s="24">
        <v>3523</v>
      </c>
      <c r="FW79" s="24">
        <v>0</v>
      </c>
      <c r="FX79" s="24">
        <v>0</v>
      </c>
      <c r="FY79" s="24">
        <v>0</v>
      </c>
      <c r="FZ79" s="24">
        <v>0</v>
      </c>
      <c r="GA79" s="24">
        <v>0</v>
      </c>
      <c r="GB79" s="24">
        <v>0</v>
      </c>
      <c r="GC79" s="24">
        <v>0</v>
      </c>
      <c r="GD79" s="24">
        <v>0</v>
      </c>
      <c r="GE79" s="24">
        <v>0</v>
      </c>
      <c r="GF79" s="24">
        <v>0</v>
      </c>
      <c r="GG79" s="24">
        <v>0</v>
      </c>
      <c r="GH79" s="24">
        <v>0</v>
      </c>
      <c r="GI79" s="24">
        <v>0</v>
      </c>
      <c r="GJ79" s="24">
        <v>0</v>
      </c>
      <c r="GK79" s="24">
        <v>0</v>
      </c>
      <c r="GL79" s="24">
        <v>0</v>
      </c>
      <c r="GM79" s="24">
        <v>0</v>
      </c>
      <c r="GN79" s="24">
        <v>0</v>
      </c>
      <c r="GO79" s="24">
        <v>0</v>
      </c>
      <c r="GP79" s="24">
        <v>0</v>
      </c>
      <c r="GQ79" s="24">
        <v>0</v>
      </c>
      <c r="GR79" s="24">
        <v>0</v>
      </c>
      <c r="GS79" s="24">
        <v>0</v>
      </c>
      <c r="GT79" s="24">
        <v>0</v>
      </c>
      <c r="GU79" s="24">
        <v>0</v>
      </c>
      <c r="GV79" s="24">
        <v>0</v>
      </c>
      <c r="GW79" s="24">
        <v>0</v>
      </c>
      <c r="GX79" s="24">
        <v>0</v>
      </c>
      <c r="GY79" s="24">
        <v>0</v>
      </c>
      <c r="GZ79" s="24">
        <v>0</v>
      </c>
      <c r="HA79" s="24">
        <v>0</v>
      </c>
      <c r="HB79" s="24">
        <v>0</v>
      </c>
      <c r="HC79" s="24">
        <v>0</v>
      </c>
      <c r="HD79" s="24">
        <v>2312655</v>
      </c>
      <c r="HE79" s="24">
        <v>0</v>
      </c>
      <c r="HF79" s="24">
        <v>0</v>
      </c>
      <c r="HG79" s="24">
        <v>0</v>
      </c>
      <c r="HH79" s="24">
        <v>0</v>
      </c>
      <c r="HI79" s="24">
        <v>201290</v>
      </c>
      <c r="HJ79" s="24">
        <v>0</v>
      </c>
      <c r="HK79" s="24">
        <v>0</v>
      </c>
      <c r="HL79" s="24">
        <v>0</v>
      </c>
      <c r="HM79" s="24">
        <v>0</v>
      </c>
      <c r="HN79" s="24">
        <v>0</v>
      </c>
      <c r="HO79" s="24">
        <v>313881</v>
      </c>
      <c r="HP79" s="24">
        <v>121407</v>
      </c>
      <c r="HQ79" s="24">
        <v>0</v>
      </c>
      <c r="HR79" s="24">
        <v>0</v>
      </c>
      <c r="HS79" s="24">
        <v>0</v>
      </c>
      <c r="HT79" s="24">
        <v>0</v>
      </c>
      <c r="HU79" s="24">
        <v>0</v>
      </c>
      <c r="HV79" s="24">
        <v>0</v>
      </c>
      <c r="HW79" s="24">
        <v>0</v>
      </c>
      <c r="HX79" s="24">
        <v>0</v>
      </c>
      <c r="HY79" s="24">
        <v>0</v>
      </c>
      <c r="HZ79" s="24">
        <v>0</v>
      </c>
      <c r="IA79" s="24">
        <v>0</v>
      </c>
      <c r="IB79" s="24">
        <v>7950</v>
      </c>
      <c r="IC79" s="24">
        <v>0</v>
      </c>
      <c r="ID79" s="24">
        <v>0</v>
      </c>
      <c r="IE79" s="24">
        <v>0</v>
      </c>
      <c r="IF79" s="24">
        <v>0</v>
      </c>
      <c r="IG79" s="24">
        <v>0</v>
      </c>
      <c r="IH79" s="24">
        <v>0</v>
      </c>
      <c r="II79" s="24">
        <v>0</v>
      </c>
      <c r="IJ79" s="24">
        <v>0</v>
      </c>
      <c r="IK79" s="24">
        <v>0</v>
      </c>
      <c r="IL79" s="24">
        <v>0</v>
      </c>
      <c r="IM79" s="24">
        <v>0</v>
      </c>
      <c r="IN79" s="24">
        <v>0</v>
      </c>
      <c r="IO79" s="24">
        <v>0</v>
      </c>
      <c r="IP79" s="24">
        <v>0</v>
      </c>
      <c r="IQ79" s="24">
        <v>0</v>
      </c>
      <c r="IR79" s="24">
        <v>25578</v>
      </c>
      <c r="IS79" s="24">
        <v>0</v>
      </c>
      <c r="IT79" s="24">
        <v>0</v>
      </c>
      <c r="IU79" s="24">
        <v>0</v>
      </c>
      <c r="IV79" s="24">
        <v>0</v>
      </c>
      <c r="IW79" s="24">
        <v>39900</v>
      </c>
      <c r="IX79" s="24">
        <v>0</v>
      </c>
      <c r="IY79" s="24">
        <v>0</v>
      </c>
      <c r="IZ79" s="24">
        <v>0</v>
      </c>
      <c r="JA79" s="24">
        <v>0</v>
      </c>
      <c r="JB79" s="24">
        <v>47962</v>
      </c>
      <c r="JC79" s="24">
        <v>0</v>
      </c>
      <c r="JD79" s="24">
        <v>0</v>
      </c>
      <c r="JE79" s="24">
        <v>0</v>
      </c>
      <c r="JF79" s="24">
        <v>0</v>
      </c>
      <c r="JG79" s="24">
        <v>0</v>
      </c>
      <c r="JH79" s="24">
        <v>0</v>
      </c>
      <c r="JI79" s="24">
        <v>0</v>
      </c>
      <c r="JJ79" s="24">
        <v>0</v>
      </c>
      <c r="JK79" s="24">
        <v>0</v>
      </c>
      <c r="JL79" s="24">
        <v>0</v>
      </c>
      <c r="JM79" s="24">
        <v>0</v>
      </c>
      <c r="JN79" s="24">
        <v>0</v>
      </c>
      <c r="JO79" s="24">
        <v>0</v>
      </c>
      <c r="JP79" s="24">
        <v>0</v>
      </c>
      <c r="JQ79" s="24">
        <v>0</v>
      </c>
      <c r="JR79" s="24">
        <v>0</v>
      </c>
      <c r="JS79" s="24">
        <v>0</v>
      </c>
      <c r="JT79" s="24">
        <v>0</v>
      </c>
      <c r="JU79" s="24">
        <v>0</v>
      </c>
      <c r="JV79" s="24">
        <v>0</v>
      </c>
      <c r="JW79" s="24">
        <v>0</v>
      </c>
      <c r="JX79" s="24">
        <v>0</v>
      </c>
      <c r="JY79" s="24">
        <v>0</v>
      </c>
      <c r="JZ79" s="24">
        <v>0</v>
      </c>
      <c r="KA79" s="24">
        <v>0</v>
      </c>
      <c r="KB79" s="24">
        <v>0</v>
      </c>
      <c r="KC79" s="24">
        <v>0</v>
      </c>
      <c r="KD79" s="24">
        <v>0</v>
      </c>
      <c r="KE79" s="24">
        <v>0</v>
      </c>
      <c r="KF79" s="24">
        <v>0</v>
      </c>
      <c r="KG79" s="24">
        <v>7016</v>
      </c>
      <c r="KH79" s="24">
        <v>0</v>
      </c>
      <c r="KI79" s="24">
        <v>0</v>
      </c>
      <c r="KJ79" s="24">
        <v>0</v>
      </c>
      <c r="KK79" s="24">
        <v>0</v>
      </c>
      <c r="KL79" s="24">
        <v>0</v>
      </c>
      <c r="KM79" s="24">
        <v>0</v>
      </c>
      <c r="KN79" s="24">
        <v>0</v>
      </c>
      <c r="KO79" s="24">
        <v>0</v>
      </c>
      <c r="KP79" s="24">
        <v>0</v>
      </c>
      <c r="KQ79" s="24">
        <v>0</v>
      </c>
      <c r="KR79" s="24">
        <v>0</v>
      </c>
      <c r="KS79" s="24">
        <v>0</v>
      </c>
      <c r="KT79" s="24">
        <v>0</v>
      </c>
      <c r="KU79" s="24">
        <v>0</v>
      </c>
      <c r="KV79" s="24">
        <v>0</v>
      </c>
      <c r="KW79" s="24">
        <v>0</v>
      </c>
      <c r="KX79" s="24">
        <v>0</v>
      </c>
      <c r="KY79" s="24">
        <v>0</v>
      </c>
      <c r="KZ79" s="24">
        <v>0</v>
      </c>
      <c r="LA79" s="24">
        <v>0</v>
      </c>
      <c r="LB79" s="24">
        <v>0</v>
      </c>
      <c r="LC79" s="24">
        <v>0</v>
      </c>
      <c r="LD79" s="24">
        <v>0</v>
      </c>
      <c r="LE79" s="24">
        <v>0</v>
      </c>
      <c r="LF79" s="24">
        <v>0</v>
      </c>
      <c r="LG79" s="24">
        <v>0</v>
      </c>
      <c r="LH79" s="24">
        <v>0</v>
      </c>
      <c r="LI79" s="24">
        <v>0</v>
      </c>
      <c r="LJ79" s="24">
        <v>0</v>
      </c>
      <c r="LK79" s="24">
        <v>0</v>
      </c>
      <c r="LL79" s="24">
        <v>0</v>
      </c>
      <c r="LM79" s="24">
        <v>0</v>
      </c>
      <c r="LN79" s="24">
        <v>0</v>
      </c>
      <c r="LO79" s="24">
        <v>0</v>
      </c>
      <c r="LP79" s="24">
        <v>0</v>
      </c>
      <c r="LQ79" s="24">
        <v>61675</v>
      </c>
      <c r="LR79" s="24">
        <v>0</v>
      </c>
      <c r="LS79" s="24">
        <v>0</v>
      </c>
      <c r="LT79" s="24">
        <v>0</v>
      </c>
      <c r="LU79" s="24">
        <v>0</v>
      </c>
      <c r="LV79" s="24">
        <v>0</v>
      </c>
      <c r="LW79" s="24">
        <v>0</v>
      </c>
      <c r="LX79" s="24">
        <v>0</v>
      </c>
      <c r="LY79" s="24">
        <v>0</v>
      </c>
      <c r="LZ79" s="24">
        <v>0</v>
      </c>
      <c r="MA79" s="24">
        <v>0</v>
      </c>
      <c r="MB79" s="24">
        <v>0</v>
      </c>
      <c r="MC79" s="24">
        <v>0</v>
      </c>
      <c r="MD79" s="24">
        <v>0</v>
      </c>
      <c r="ME79" s="24">
        <v>0</v>
      </c>
      <c r="MF79" s="24">
        <v>0</v>
      </c>
      <c r="MG79" s="24">
        <v>0</v>
      </c>
      <c r="MH79" s="24">
        <v>0</v>
      </c>
      <c r="MI79" s="24">
        <v>0</v>
      </c>
      <c r="MJ79" s="24">
        <v>0</v>
      </c>
      <c r="MK79" s="24">
        <v>0</v>
      </c>
      <c r="ML79" s="24">
        <v>0</v>
      </c>
      <c r="MM79" s="24">
        <v>0</v>
      </c>
      <c r="MN79" s="24">
        <v>0</v>
      </c>
      <c r="MO79" s="24">
        <v>0</v>
      </c>
      <c r="MP79" s="24">
        <v>0</v>
      </c>
      <c r="MQ79" s="24">
        <v>0</v>
      </c>
      <c r="MR79" s="24">
        <v>108147</v>
      </c>
      <c r="MS79" s="24">
        <v>0</v>
      </c>
      <c r="MT79" s="24">
        <v>0</v>
      </c>
      <c r="MU79" s="24">
        <v>0</v>
      </c>
      <c r="MV79" s="24">
        <v>0</v>
      </c>
      <c r="MW79" s="24">
        <v>114534</v>
      </c>
      <c r="MX79" s="24">
        <v>6664</v>
      </c>
      <c r="MY79" s="24">
        <v>0</v>
      </c>
      <c r="MZ79" s="24">
        <v>0</v>
      </c>
      <c r="NA79" s="24">
        <v>26610</v>
      </c>
      <c r="NB79" s="24">
        <v>0</v>
      </c>
      <c r="NC79" s="24">
        <v>0</v>
      </c>
      <c r="ND79" s="24">
        <v>0</v>
      </c>
      <c r="NE79" s="24">
        <v>0</v>
      </c>
      <c r="NF79" s="24">
        <v>0</v>
      </c>
      <c r="NG79" s="24">
        <v>0</v>
      </c>
      <c r="NH79" s="24">
        <v>0</v>
      </c>
      <c r="NI79" s="24">
        <v>0</v>
      </c>
      <c r="NJ79" s="24">
        <v>0</v>
      </c>
      <c r="NK79" s="24">
        <v>0</v>
      </c>
      <c r="NL79" s="24">
        <v>0</v>
      </c>
      <c r="NM79" s="24">
        <v>0</v>
      </c>
      <c r="NN79" s="24">
        <v>0</v>
      </c>
      <c r="NO79" s="24">
        <v>0</v>
      </c>
      <c r="NP79" s="24">
        <v>0</v>
      </c>
      <c r="NQ79" s="24">
        <v>24770</v>
      </c>
      <c r="NR79" s="24">
        <v>0</v>
      </c>
      <c r="NS79" s="24">
        <v>0</v>
      </c>
      <c r="NT79" s="24">
        <v>0</v>
      </c>
      <c r="NU79" s="24">
        <v>0</v>
      </c>
      <c r="NV79" s="24">
        <v>0</v>
      </c>
      <c r="NW79" s="24">
        <v>6554</v>
      </c>
      <c r="NX79" s="24">
        <v>0</v>
      </c>
      <c r="NY79" s="24">
        <v>0</v>
      </c>
      <c r="NZ79" s="24">
        <v>0</v>
      </c>
      <c r="OA79" s="24">
        <v>0</v>
      </c>
      <c r="OB79" s="24">
        <v>0</v>
      </c>
      <c r="OC79" s="24">
        <v>0</v>
      </c>
      <c r="OD79" s="24">
        <v>0</v>
      </c>
      <c r="OE79" s="24">
        <v>0</v>
      </c>
      <c r="OF79" s="24">
        <v>0</v>
      </c>
      <c r="OG79" s="24">
        <v>0</v>
      </c>
      <c r="OH79" s="24">
        <v>0</v>
      </c>
      <c r="OI79" s="24">
        <v>0</v>
      </c>
      <c r="OJ79" s="24">
        <v>0</v>
      </c>
      <c r="OK79" s="24">
        <v>9348</v>
      </c>
      <c r="OL79" s="24">
        <v>0</v>
      </c>
      <c r="OM79" s="24">
        <v>0</v>
      </c>
      <c r="ON79" s="24">
        <v>0</v>
      </c>
      <c r="OO79" s="24">
        <v>0</v>
      </c>
      <c r="OP79" s="24">
        <v>0</v>
      </c>
      <c r="OQ79" s="24">
        <v>0</v>
      </c>
      <c r="OR79" s="24">
        <v>0</v>
      </c>
      <c r="OS79" s="24">
        <v>0</v>
      </c>
      <c r="OT79" s="24">
        <v>0</v>
      </c>
      <c r="OU79" s="24">
        <v>0</v>
      </c>
      <c r="OV79" s="24">
        <v>0</v>
      </c>
      <c r="OW79" s="24">
        <v>0</v>
      </c>
      <c r="OX79" s="24">
        <v>0</v>
      </c>
      <c r="OY79" s="24">
        <v>0</v>
      </c>
      <c r="OZ79" s="24">
        <v>0</v>
      </c>
      <c r="PA79" s="24">
        <v>0</v>
      </c>
      <c r="PB79" s="24">
        <v>0</v>
      </c>
      <c r="PC79" s="24">
        <v>0</v>
      </c>
      <c r="PD79" s="24">
        <v>0</v>
      </c>
      <c r="PE79" s="24">
        <v>0</v>
      </c>
      <c r="PF79" s="24">
        <v>0</v>
      </c>
      <c r="PG79" s="24">
        <v>0</v>
      </c>
      <c r="PH79" s="24">
        <v>0</v>
      </c>
      <c r="PI79" s="24">
        <v>671</v>
      </c>
      <c r="PJ79" s="24">
        <v>0</v>
      </c>
      <c r="PK79" s="24">
        <v>0</v>
      </c>
      <c r="PL79" s="24">
        <v>0</v>
      </c>
      <c r="PM79" s="24">
        <v>0</v>
      </c>
      <c r="PN79" s="24">
        <v>0</v>
      </c>
      <c r="PO79" s="24">
        <v>0</v>
      </c>
      <c r="PP79" s="24">
        <v>0</v>
      </c>
      <c r="PQ79" s="24">
        <v>0</v>
      </c>
      <c r="PR79" s="24">
        <v>0</v>
      </c>
      <c r="PS79" s="24">
        <v>0</v>
      </c>
      <c r="PT79" s="24">
        <v>192839</v>
      </c>
      <c r="PU79" s="24">
        <v>0</v>
      </c>
      <c r="PV79" s="24">
        <v>0</v>
      </c>
      <c r="PW79" s="24">
        <v>0</v>
      </c>
      <c r="PX79" s="24">
        <v>0</v>
      </c>
      <c r="PY79" s="24">
        <v>0</v>
      </c>
      <c r="PZ79" s="24">
        <v>0</v>
      </c>
      <c r="QA79" s="24">
        <v>0</v>
      </c>
      <c r="QB79" s="24">
        <v>7922</v>
      </c>
      <c r="QC79" s="24">
        <v>0</v>
      </c>
      <c r="QD79" s="24">
        <v>18769</v>
      </c>
      <c r="QE79" s="24">
        <v>0</v>
      </c>
      <c r="QF79" s="24">
        <v>0</v>
      </c>
      <c r="QG79" s="24">
        <v>0</v>
      </c>
      <c r="QH79" s="24">
        <v>0</v>
      </c>
      <c r="QI79" s="24">
        <v>0</v>
      </c>
      <c r="QJ79" s="24">
        <v>0</v>
      </c>
      <c r="QK79" s="24">
        <v>0</v>
      </c>
      <c r="QL79" s="24">
        <v>1022</v>
      </c>
      <c r="QM79" s="24">
        <v>0</v>
      </c>
      <c r="QN79" s="24">
        <v>0</v>
      </c>
      <c r="QO79" s="24">
        <v>0</v>
      </c>
      <c r="QP79" s="24">
        <v>0</v>
      </c>
      <c r="QQ79" s="24">
        <v>0</v>
      </c>
      <c r="QR79" s="24">
        <v>0</v>
      </c>
      <c r="QS79" s="24">
        <v>42825</v>
      </c>
      <c r="QT79" s="24">
        <v>0</v>
      </c>
      <c r="QU79" s="24">
        <v>0</v>
      </c>
      <c r="QV79" s="24">
        <v>0</v>
      </c>
      <c r="QW79" s="24">
        <v>85504</v>
      </c>
      <c r="QX79" s="24">
        <v>0</v>
      </c>
      <c r="QY79" s="24">
        <v>0</v>
      </c>
      <c r="QZ79" s="24">
        <v>0</v>
      </c>
      <c r="RA79" s="24">
        <v>0</v>
      </c>
      <c r="RB79" s="24">
        <v>0</v>
      </c>
      <c r="RG79" s="39">
        <f t="shared" si="129"/>
        <v>2312655</v>
      </c>
      <c r="RH79" s="39">
        <f t="shared" si="128"/>
        <v>201290</v>
      </c>
      <c r="RI79" s="39">
        <f t="shared" si="128"/>
        <v>0</v>
      </c>
      <c r="RJ79" s="39">
        <f t="shared" si="128"/>
        <v>0</v>
      </c>
      <c r="RK79" s="39">
        <f t="shared" si="128"/>
        <v>0</v>
      </c>
      <c r="RL79" s="39">
        <f t="shared" si="128"/>
        <v>313881</v>
      </c>
      <c r="RM79" s="39">
        <f t="shared" si="128"/>
        <v>129357</v>
      </c>
      <c r="RN79" s="39">
        <f t="shared" si="128"/>
        <v>0</v>
      </c>
      <c r="RO79" s="39">
        <f t="shared" si="128"/>
        <v>25578</v>
      </c>
      <c r="RP79" s="39">
        <f t="shared" si="128"/>
        <v>39900</v>
      </c>
      <c r="RQ79" s="39">
        <f t="shared" si="128"/>
        <v>47962</v>
      </c>
      <c r="RR79" s="39">
        <f t="shared" si="128"/>
        <v>0</v>
      </c>
      <c r="RS79" s="39"/>
      <c r="RT79" s="182"/>
      <c r="RU79" s="39"/>
      <c r="RV79" s="39">
        <f t="shared" si="182"/>
        <v>365318</v>
      </c>
      <c r="RW79" s="39">
        <f t="shared" si="182"/>
        <v>3070623</v>
      </c>
      <c r="RX79" s="39">
        <f t="shared" si="182"/>
        <v>1487021</v>
      </c>
      <c r="RY79" s="39">
        <f t="shared" si="182"/>
        <v>349552</v>
      </c>
      <c r="RZ79" s="39"/>
      <c r="SA79" s="182"/>
      <c r="SB79" s="39"/>
      <c r="SC79" s="25">
        <f t="shared" si="183"/>
        <v>3574.5697115384614</v>
      </c>
      <c r="SD79" s="39">
        <f>IFERROR(VLOOKUP(A79, 'Levy Data 15-16'!$B:$O, 3, FALSE), 0)</f>
        <v>230951277</v>
      </c>
      <c r="SE79" s="39">
        <f t="shared" si="144"/>
        <v>555171.33894230775</v>
      </c>
      <c r="SF79" s="631">
        <f>IFERROR(VLOOKUP(A79, 'Levy Data 15-16'!$B:$O, 14, FALSE), 0)*1000</f>
        <v>5.9677959999999999</v>
      </c>
      <c r="SG79" s="39">
        <f t="shared" si="145"/>
        <v>0</v>
      </c>
      <c r="SH79" s="39">
        <f t="shared" si="146"/>
        <v>0</v>
      </c>
      <c r="SI79" s="39">
        <f t="shared" si="147"/>
        <v>1487021</v>
      </c>
      <c r="SM79" s="39">
        <f t="shared" si="148"/>
        <v>3070623</v>
      </c>
      <c r="SN79" s="39">
        <f t="shared" si="149"/>
        <v>0</v>
      </c>
      <c r="SO79" s="39">
        <f t="shared" si="184"/>
        <v>3070623</v>
      </c>
      <c r="SP79" s="50">
        <f t="shared" si="130"/>
        <v>1</v>
      </c>
      <c r="ST79" s="124">
        <f>IFERROR(VLOOKUP(A79,'Grade Enroll 15-16'!B:AC,27,FALSE),"")</f>
        <v>416</v>
      </c>
      <c r="SU79" s="124">
        <f t="shared" si="185"/>
        <v>182.92857142857142</v>
      </c>
      <c r="SV79" s="131">
        <f>IFERROR(VLOOKUP($A79, 'Title I Enroll 16-17'!S:V, 4, FALSE), 0)</f>
        <v>0.43973214285714285</v>
      </c>
      <c r="SW79" s="729">
        <f>IFERROR(VLOOKUP(A79, 'ELL Enroll 15-16'!$N:$S, 6, FALSE), 0)</f>
        <v>5</v>
      </c>
      <c r="SX79" s="131">
        <f t="shared" si="131"/>
        <v>1.201923076923077E-2</v>
      </c>
      <c r="SY79" s="124">
        <f>IFERROR(VLOOKUP(A79, 'SPED enroll 2015-16'!$M:$O, 3, FALSE), 0)</f>
        <v>61</v>
      </c>
      <c r="SZ79" s="131">
        <f t="shared" si="132"/>
        <v>0.14663461538461539</v>
      </c>
      <c r="TA79" s="142">
        <f t="shared" si="133"/>
        <v>42.699999999999996</v>
      </c>
      <c r="TB79" s="142">
        <f t="shared" si="133"/>
        <v>12.200000000000001</v>
      </c>
      <c r="TC79" s="142">
        <f t="shared" si="133"/>
        <v>4.2700000000000005</v>
      </c>
      <c r="TD79" s="142">
        <f t="shared" si="133"/>
        <v>1.8299999999999998</v>
      </c>
      <c r="TE79" s="124">
        <f>VLOOKUP($A79, 'Grade Enroll 15-16'!$B:$AB, 20, FALSE)</f>
        <v>4</v>
      </c>
      <c r="TF79" s="124">
        <f>VLOOKUP($A79, 'Grade Enroll 15-16'!$B:$AB, 21, FALSE)</f>
        <v>40</v>
      </c>
      <c r="TG79" s="124">
        <f>VLOOKUP($A79, 'Grade Enroll 15-16'!$B:$AB, 22, FALSE)</f>
        <v>100</v>
      </c>
      <c r="TH79" s="124">
        <f>VLOOKUP($A79, 'Grade Enroll 15-16'!$B:$AB, 23, FALSE)</f>
        <v>103</v>
      </c>
      <c r="TI79" s="124">
        <f>VLOOKUP($A79, 'Grade Enroll 15-16'!$B:$AB, 24, FALSE)</f>
        <v>87</v>
      </c>
      <c r="TJ79" s="124">
        <f>VLOOKUP($A79, 'Grade Enroll 15-16'!$B:$AB, 25, FALSE)</f>
        <v>126</v>
      </c>
      <c r="TK79" s="124">
        <f>VLOOKUP($A79, 'Grade Enroll 15-16'!$B:$AB, 26, FALSE)</f>
        <v>278</v>
      </c>
      <c r="TL79" s="131">
        <f>SUMIFS('Student Achievement 15-16'!N:N, 'Student Achievement 15-16'!B:B, 'Idaho Data'!A79, 'Student Achievement 15-16'!D:D, "math")/100</f>
        <v>0.40700000000000003</v>
      </c>
      <c r="TM79" s="134">
        <f t="shared" si="186"/>
        <v>169.31200000000001</v>
      </c>
      <c r="TN79" s="131">
        <f>SUMIFS('Student Achievement 15-16'!N:N, 'Student Achievement 15-16'!B:B, 'Idaho Data'!A79, 'Student Achievement 15-16'!D:D, "ela")/100</f>
        <v>0.21199999999999999</v>
      </c>
      <c r="TO79" s="134">
        <f t="shared" si="134"/>
        <v>88.191999999999993</v>
      </c>
      <c r="TP79" s="688">
        <f>IFERROR(VLOOKUP(A79, 'G&amp;T 15-16'!B:G, 6, FALSE), 0)*1</f>
        <v>5</v>
      </c>
      <c r="TQ79" s="168">
        <f t="shared" si="135"/>
        <v>24.96</v>
      </c>
      <c r="TU79" s="168">
        <f t="shared" si="136"/>
        <v>88.191999999999993</v>
      </c>
      <c r="TV79" s="168">
        <f t="shared" si="137"/>
        <v>169.31200000000001</v>
      </c>
      <c r="TW79" s="205">
        <f t="shared" si="138"/>
        <v>169.31200000000001</v>
      </c>
      <c r="TX79" s="144"/>
      <c r="TY79" s="129"/>
      <c r="TZ79" s="127">
        <f t="shared" si="139"/>
        <v>5</v>
      </c>
      <c r="UA79" s="127">
        <f t="shared" si="140"/>
        <v>24.96</v>
      </c>
      <c r="UB79" s="205">
        <f t="shared" si="141"/>
        <v>24.96</v>
      </c>
      <c r="UE79" s="853" t="str">
        <f>IF(ST79&lt;='1. Simulator Input'!$E$104, "yes", "")</f>
        <v/>
      </c>
      <c r="UI79" s="199">
        <f t="shared" si="187"/>
        <v>0</v>
      </c>
      <c r="UJ79" s="200">
        <f>IF('Idaho Data'!SI79&gt;=0, ((1-'1. Simulator Input'!$E$39)*'Idaho Data'!SI79), 0)</f>
        <v>0</v>
      </c>
      <c r="UK79" s="200">
        <f t="shared" si="142"/>
        <v>3070623</v>
      </c>
      <c r="UL79" s="39"/>
      <c r="UM79" s="182"/>
      <c r="UN79" s="39"/>
      <c r="UO79" s="39" t="str">
        <f>IF(AND('1. Simulator Input'!$E$96="yes", '1. Simulator Input'!$E$98="yes", '1. Simulator Input'!$E$100="hold harmless"), 'Idaho Data'!WN79, IF(AND('1. Simulator Input'!$E$96="yes", '1. Simulator Input'!$E$98="no", '1. Simulator Input'!$E$100="hold harmless"), 'Idaho Data'!WM79, IF(AND('1. Simulator Input'!$E$96="yes", '1. Simulator Input'!$E$98="yes", '1. Simulator Input'!$E$100="small district grant"), WL79,IF(AND('1. Simulator Input'!$E$96="yes", '1. Simulator Input'!$E$98="no", '1. Simulator Input'!$E$100="small district grant"), WK79, ""))))</f>
        <v/>
      </c>
      <c r="UP79" s="200">
        <f>'1. Simulator Input'!$D$56*('Idaho Data'!ST79)</f>
        <v>2298816</v>
      </c>
      <c r="UQ79" s="204">
        <f>'1. Simulator Input'!$D$65*'1. Simulator Input'!$D$56*'Idaho Data'!SU79</f>
        <v>0</v>
      </c>
      <c r="UR79" s="204">
        <f>'1. Simulator Input'!$D$66*'1. Simulator Input'!$D$56*'Idaho Data'!SW79</f>
        <v>0</v>
      </c>
      <c r="US79" s="200">
        <f>'1. Simulator Input'!$D$67*'1. Simulator Input'!$D$56*'Idaho Data'!TA79</f>
        <v>0</v>
      </c>
      <c r="UT79" s="200">
        <f>'1. Simulator Input'!$D$68*'1. Simulator Input'!$D$56*'Idaho Data'!TB79</f>
        <v>0</v>
      </c>
      <c r="UU79" s="200">
        <f>'1. Simulator Input'!$D$69*'1. Simulator Input'!$D$56*'Idaho Data'!TC79</f>
        <v>0</v>
      </c>
      <c r="UV79" s="200">
        <f>'1. Simulator Input'!$D$70*'1. Simulator Input'!$D$56*TD79</f>
        <v>0</v>
      </c>
      <c r="UW79" s="200">
        <f>'1. Simulator Input'!$D$80*'1. Simulator Input'!$D$56*TW79</f>
        <v>0</v>
      </c>
      <c r="UX79" s="200">
        <f>'1. Simulator Input'!$D$79*'1. Simulator Input'!$D$56*UB79</f>
        <v>0</v>
      </c>
      <c r="UY79" s="200">
        <f>'1. Simulator Input'!$D$87*'1. Simulator Input'!$D$56*TF79</f>
        <v>110520</v>
      </c>
      <c r="UZ79" s="200">
        <f>'1. Simulator Input'!$D$73*'1. Simulator Input'!$D$56*'Idaho Data'!TG79</f>
        <v>0</v>
      </c>
      <c r="VA79" s="200">
        <f>'1. Simulator Input'!$D$56*'1. Simulator Input'!$D$74*'Idaho Data'!TH79</f>
        <v>0</v>
      </c>
      <c r="VB79" s="200">
        <f>'1. Simulator Input'!$D$56*'1. Simulator Input'!$D$75*'Idaho Data'!TI74</f>
        <v>0</v>
      </c>
      <c r="VC79" s="200">
        <f>'1. Simulator Input'!$D$76*'1. Simulator Input'!$D$56*'Idaho Data'!TJ79</f>
        <v>0</v>
      </c>
      <c r="VD79" s="200">
        <f t="shared" si="188"/>
        <v>2409336</v>
      </c>
      <c r="VE79" s="200"/>
      <c r="VF79" s="182"/>
      <c r="VG79" s="200"/>
      <c r="VH79" s="200">
        <f t="shared" si="189"/>
        <v>0</v>
      </c>
      <c r="VI79" s="200">
        <f t="shared" si="190"/>
        <v>0</v>
      </c>
      <c r="VJ79" s="200">
        <f t="shared" si="150"/>
        <v>2409336</v>
      </c>
      <c r="VK79" s="200">
        <f t="shared" si="151"/>
        <v>2409336</v>
      </c>
      <c r="VL79" s="200"/>
      <c r="VM79" s="182"/>
      <c r="VN79" s="200"/>
      <c r="VO79" s="200">
        <f t="shared" si="191"/>
        <v>365318</v>
      </c>
      <c r="VP79" s="200">
        <f t="shared" si="192"/>
        <v>3070623</v>
      </c>
      <c r="VQ79" s="200">
        <f t="shared" si="193"/>
        <v>1487021</v>
      </c>
      <c r="VR79" s="200">
        <f t="shared" si="194"/>
        <v>365318</v>
      </c>
      <c r="VS79" s="200">
        <f t="shared" si="152"/>
        <v>2409336</v>
      </c>
      <c r="VT79" s="200">
        <f t="shared" si="153"/>
        <v>1487021</v>
      </c>
      <c r="VU79" s="200">
        <f t="shared" si="154"/>
        <v>0</v>
      </c>
      <c r="VV79" s="200"/>
      <c r="VW79" s="182"/>
      <c r="VX79" s="200"/>
      <c r="VZ79" s="199">
        <f t="shared" si="195"/>
        <v>-661287</v>
      </c>
      <c r="WA79" s="199">
        <f t="shared" si="196"/>
        <v>-1589.6322115384614</v>
      </c>
      <c r="WB79" s="131">
        <f t="shared" si="197"/>
        <v>-0.21535922840413818</v>
      </c>
      <c r="WC79" s="131"/>
      <c r="WD79" s="461"/>
      <c r="WE79" s="893"/>
      <c r="WF79" s="893">
        <f t="shared" si="198"/>
        <v>11834.04326923077</v>
      </c>
      <c r="WG79" s="893">
        <f t="shared" si="199"/>
        <v>10244.411057692309</v>
      </c>
      <c r="WH79" s="893"/>
      <c r="WI79" s="893">
        <f t="shared" si="200"/>
        <v>3070623</v>
      </c>
      <c r="WJ79" s="893">
        <f t="shared" si="155"/>
        <v>2409336</v>
      </c>
      <c r="WK79" s="39" t="str">
        <f t="shared" si="156"/>
        <v/>
      </c>
      <c r="WL79" s="39" t="str">
        <f t="shared" si="157"/>
        <v/>
      </c>
      <c r="WM79" s="200" t="str">
        <f t="shared" si="158"/>
        <v/>
      </c>
      <c r="WN79" s="39" t="str">
        <f t="shared" si="159"/>
        <v/>
      </c>
      <c r="WO79" s="39"/>
      <c r="WP79" s="182"/>
      <c r="WQ79" s="39"/>
      <c r="WR79" s="305">
        <f t="shared" si="160"/>
        <v>0.55200000000000005</v>
      </c>
      <c r="WT79" s="200">
        <f t="shared" si="161"/>
        <v>7381.3052884615381</v>
      </c>
      <c r="WU79" s="131">
        <f t="shared" si="201"/>
        <v>0.68</v>
      </c>
      <c r="WW79" s="199">
        <f t="shared" si="162"/>
        <v>365318</v>
      </c>
      <c r="WX79" s="199">
        <f t="shared" si="163"/>
        <v>2409336</v>
      </c>
      <c r="WY79" s="199">
        <f t="shared" si="164"/>
        <v>0</v>
      </c>
      <c r="WZ79" s="199">
        <f t="shared" si="202"/>
        <v>2409336</v>
      </c>
      <c r="XA79" s="199">
        <f t="shared" si="165"/>
        <v>0</v>
      </c>
      <c r="XB79" s="199">
        <f t="shared" si="166"/>
        <v>1487021</v>
      </c>
      <c r="XC79" s="199">
        <f t="shared" si="167"/>
        <v>1487021</v>
      </c>
      <c r="XD79" s="199" t="str">
        <f t="shared" si="168"/>
        <v/>
      </c>
      <c r="XE79" s="199"/>
      <c r="XF79" s="199"/>
      <c r="XG79" s="199"/>
      <c r="XH79" s="199"/>
      <c r="XI79" s="199"/>
      <c r="XJ79" s="199">
        <f t="shared" si="203"/>
        <v>2409336</v>
      </c>
      <c r="XP79" s="199">
        <f t="shared" si="169"/>
        <v>2409336</v>
      </c>
      <c r="XQ79" s="199">
        <f t="shared" si="170"/>
        <v>5791.6730769230771</v>
      </c>
      <c r="XR79" s="199">
        <f t="shared" si="171"/>
        <v>2409336</v>
      </c>
      <c r="XS79" s="199">
        <f t="shared" si="172"/>
        <v>2409336</v>
      </c>
      <c r="XT79" s="199">
        <f t="shared" si="173"/>
        <v>5791.6730769230771</v>
      </c>
      <c r="XU79" s="199">
        <f t="shared" si="174"/>
        <v>3070623</v>
      </c>
      <c r="XV79" s="199">
        <f t="shared" si="175"/>
        <v>7381.3052884615381</v>
      </c>
      <c r="XW79" s="199">
        <f t="shared" si="176"/>
        <v>3070623</v>
      </c>
      <c r="XX79" s="199">
        <f t="shared" si="177"/>
        <v>7381.3052884615381</v>
      </c>
      <c r="XY79" s="199">
        <f t="shared" si="204"/>
        <v>-661287</v>
      </c>
      <c r="XZ79" s="199">
        <f t="shared" si="205"/>
        <v>-1589.632211538461</v>
      </c>
      <c r="YA79" s="131">
        <f t="shared" si="143"/>
        <v>-0.21535922840413813</v>
      </c>
      <c r="YB79" s="199"/>
      <c r="YC79" s="221"/>
      <c r="YD79" s="199"/>
      <c r="YE79" s="199">
        <f t="shared" si="178"/>
        <v>365318</v>
      </c>
      <c r="YF79" s="200">
        <f t="shared" si="179"/>
        <v>0</v>
      </c>
      <c r="YG79" s="199">
        <f t="shared" si="180"/>
        <v>1487021</v>
      </c>
      <c r="YH79" s="199">
        <f t="shared" si="181"/>
        <v>349552</v>
      </c>
    </row>
    <row r="80" spans="1:658">
      <c r="A80" s="3">
        <v>287</v>
      </c>
      <c r="B80" s="2" t="s">
        <v>176</v>
      </c>
      <c r="C80" s="24">
        <v>0</v>
      </c>
      <c r="D80" s="24">
        <v>0</v>
      </c>
      <c r="E80" s="24">
        <v>0</v>
      </c>
      <c r="F80" s="24">
        <v>0</v>
      </c>
      <c r="G80" s="24">
        <v>1000297</v>
      </c>
      <c r="H80" s="24">
        <v>0</v>
      </c>
      <c r="I80" s="24">
        <v>0</v>
      </c>
      <c r="J80" s="24">
        <v>53</v>
      </c>
      <c r="K80" s="24">
        <v>0</v>
      </c>
      <c r="L80" s="24">
        <v>0</v>
      </c>
      <c r="M80" s="24">
        <v>0</v>
      </c>
      <c r="N80" s="24">
        <v>0</v>
      </c>
      <c r="O80" s="24">
        <v>0</v>
      </c>
      <c r="P80" s="24">
        <v>0</v>
      </c>
      <c r="Q80" s="24">
        <v>0</v>
      </c>
      <c r="R80" s="24">
        <v>0</v>
      </c>
      <c r="S80" s="24">
        <v>0</v>
      </c>
      <c r="T80" s="24">
        <v>0</v>
      </c>
      <c r="U80" s="24">
        <v>0</v>
      </c>
      <c r="V80" s="24">
        <v>0</v>
      </c>
      <c r="W80" s="24">
        <v>0</v>
      </c>
      <c r="X80" s="24">
        <v>215402</v>
      </c>
      <c r="Y80" s="24">
        <v>7783</v>
      </c>
      <c r="Z80" s="24">
        <v>0</v>
      </c>
      <c r="AA80" s="24">
        <v>1938</v>
      </c>
      <c r="AB80" s="24">
        <v>0</v>
      </c>
      <c r="AC80" s="24">
        <v>0</v>
      </c>
      <c r="AD80" s="24">
        <v>0</v>
      </c>
      <c r="AE80" s="24">
        <v>0</v>
      </c>
      <c r="AF80" s="24">
        <v>0</v>
      </c>
      <c r="AG80" s="24">
        <v>0</v>
      </c>
      <c r="AH80" s="24">
        <v>3285</v>
      </c>
      <c r="AI80" s="24">
        <v>0</v>
      </c>
      <c r="AJ80" s="24">
        <v>0</v>
      </c>
      <c r="AK80" s="24">
        <v>0</v>
      </c>
      <c r="AL80" s="24">
        <v>2621</v>
      </c>
      <c r="AM80" s="24">
        <v>0</v>
      </c>
      <c r="AN80" s="24">
        <v>0</v>
      </c>
      <c r="AO80" s="24">
        <v>0</v>
      </c>
      <c r="AP80" s="24">
        <v>0</v>
      </c>
      <c r="AQ80" s="24">
        <v>0</v>
      </c>
      <c r="AR80" s="24">
        <v>0</v>
      </c>
      <c r="AS80" s="24">
        <v>0</v>
      </c>
      <c r="AT80" s="24">
        <v>0</v>
      </c>
      <c r="AU80" s="24">
        <v>0</v>
      </c>
      <c r="AV80" s="24">
        <v>0</v>
      </c>
      <c r="AW80" s="24">
        <v>0</v>
      </c>
      <c r="AX80" s="24">
        <v>0</v>
      </c>
      <c r="AY80" s="24">
        <v>0</v>
      </c>
      <c r="AZ80" s="24">
        <v>0</v>
      </c>
      <c r="BA80" s="24">
        <v>0</v>
      </c>
      <c r="BB80" s="24">
        <v>0</v>
      </c>
      <c r="BC80" s="24">
        <v>0</v>
      </c>
      <c r="BD80" s="24">
        <v>651</v>
      </c>
      <c r="BE80" s="24">
        <v>0</v>
      </c>
      <c r="BF80" s="24">
        <v>0</v>
      </c>
      <c r="BG80" s="24">
        <v>0</v>
      </c>
      <c r="BH80" s="24">
        <v>0</v>
      </c>
      <c r="BI80" s="24">
        <v>0</v>
      </c>
      <c r="BJ80" s="24">
        <v>0</v>
      </c>
      <c r="BK80" s="24">
        <v>0</v>
      </c>
      <c r="BL80" s="24">
        <v>177</v>
      </c>
      <c r="BM80" s="24">
        <v>120</v>
      </c>
      <c r="BN80" s="24">
        <v>8013</v>
      </c>
      <c r="BO80" s="24">
        <v>0</v>
      </c>
      <c r="BP80" s="24">
        <v>0</v>
      </c>
      <c r="BQ80" s="24">
        <v>0</v>
      </c>
      <c r="BR80" s="24">
        <v>0</v>
      </c>
      <c r="BS80" s="24">
        <v>0</v>
      </c>
      <c r="BT80" s="24">
        <v>0</v>
      </c>
      <c r="BU80" s="24">
        <v>0</v>
      </c>
      <c r="BV80" s="24">
        <v>0</v>
      </c>
      <c r="BW80" s="24">
        <v>0</v>
      </c>
      <c r="BX80" s="24">
        <v>0</v>
      </c>
      <c r="BY80" s="24">
        <v>0</v>
      </c>
      <c r="BZ80" s="24">
        <v>0</v>
      </c>
      <c r="CA80" s="24">
        <v>0</v>
      </c>
      <c r="CB80" s="24">
        <v>0</v>
      </c>
      <c r="CC80" s="24">
        <v>0</v>
      </c>
      <c r="CD80" s="24">
        <v>26690</v>
      </c>
      <c r="CE80" s="24">
        <v>576</v>
      </c>
      <c r="CF80" s="24">
        <v>0</v>
      </c>
      <c r="CG80" s="24">
        <v>0</v>
      </c>
      <c r="CH80" s="24">
        <v>0</v>
      </c>
      <c r="CI80" s="24">
        <v>0</v>
      </c>
      <c r="CJ80" s="24">
        <v>0</v>
      </c>
      <c r="CK80" s="24">
        <v>0</v>
      </c>
      <c r="CL80" s="24">
        <v>0</v>
      </c>
      <c r="CM80" s="24">
        <v>0</v>
      </c>
      <c r="CN80" s="24">
        <v>0</v>
      </c>
      <c r="CO80" s="24">
        <v>0</v>
      </c>
      <c r="CP80" s="24">
        <v>0</v>
      </c>
      <c r="CQ80" s="24">
        <v>0</v>
      </c>
      <c r="CR80" s="24">
        <v>0</v>
      </c>
      <c r="CS80" s="24">
        <v>0</v>
      </c>
      <c r="CT80" s="24">
        <v>0</v>
      </c>
      <c r="CU80" s="24">
        <v>0</v>
      </c>
      <c r="CV80" s="24">
        <v>0</v>
      </c>
      <c r="CW80" s="24">
        <v>0</v>
      </c>
      <c r="CX80" s="24">
        <v>0</v>
      </c>
      <c r="CY80" s="24">
        <v>0</v>
      </c>
      <c r="CZ80" s="24">
        <v>0</v>
      </c>
      <c r="DA80" s="24">
        <v>0</v>
      </c>
      <c r="DB80" s="24">
        <v>0</v>
      </c>
      <c r="DC80" s="24">
        <v>0</v>
      </c>
      <c r="DD80" s="24">
        <v>0</v>
      </c>
      <c r="DE80" s="24">
        <v>0</v>
      </c>
      <c r="DF80" s="24">
        <v>0</v>
      </c>
      <c r="DG80" s="24">
        <v>0</v>
      </c>
      <c r="DH80" s="24">
        <v>0</v>
      </c>
      <c r="DI80" s="24">
        <v>0</v>
      </c>
      <c r="DJ80" s="24">
        <v>0</v>
      </c>
      <c r="DK80" s="24">
        <v>0</v>
      </c>
      <c r="DL80" s="24">
        <v>0</v>
      </c>
      <c r="DM80" s="24">
        <v>0</v>
      </c>
      <c r="DN80" s="24">
        <v>0</v>
      </c>
      <c r="DO80" s="24">
        <v>0</v>
      </c>
      <c r="DP80" s="24">
        <v>0</v>
      </c>
      <c r="DQ80" s="24">
        <v>0</v>
      </c>
      <c r="DR80" s="24">
        <v>0</v>
      </c>
      <c r="DS80" s="24">
        <v>0</v>
      </c>
      <c r="DT80" s="24">
        <v>0</v>
      </c>
      <c r="DU80" s="24">
        <v>0</v>
      </c>
      <c r="DV80" s="24">
        <v>0</v>
      </c>
      <c r="DW80" s="24">
        <v>0</v>
      </c>
      <c r="DX80" s="24">
        <v>0</v>
      </c>
      <c r="DY80" s="24">
        <v>0</v>
      </c>
      <c r="DZ80" s="24">
        <v>0</v>
      </c>
      <c r="EA80" s="24">
        <v>0</v>
      </c>
      <c r="EB80" s="24">
        <v>0</v>
      </c>
      <c r="EC80" s="24">
        <v>0</v>
      </c>
      <c r="ED80" s="24">
        <v>0</v>
      </c>
      <c r="EE80" s="24">
        <v>0</v>
      </c>
      <c r="EF80" s="24">
        <v>0</v>
      </c>
      <c r="EG80" s="24">
        <v>376</v>
      </c>
      <c r="EH80" s="24">
        <v>0</v>
      </c>
      <c r="EI80" s="24">
        <v>6500</v>
      </c>
      <c r="EJ80" s="24">
        <v>0</v>
      </c>
      <c r="EK80" s="24">
        <v>0</v>
      </c>
      <c r="EL80" s="24">
        <v>0</v>
      </c>
      <c r="EM80" s="24">
        <v>0</v>
      </c>
      <c r="EN80" s="24">
        <v>0</v>
      </c>
      <c r="EO80" s="24">
        <v>0</v>
      </c>
      <c r="EP80" s="24">
        <v>0</v>
      </c>
      <c r="EQ80" s="24">
        <v>0</v>
      </c>
      <c r="ER80" s="24">
        <v>0</v>
      </c>
      <c r="ES80" s="24">
        <v>0</v>
      </c>
      <c r="ET80" s="24">
        <v>0</v>
      </c>
      <c r="EU80" s="24">
        <v>0</v>
      </c>
      <c r="EV80" s="24">
        <v>0</v>
      </c>
      <c r="EW80" s="24">
        <v>0</v>
      </c>
      <c r="EX80" s="24">
        <v>0</v>
      </c>
      <c r="EY80" s="24">
        <v>0</v>
      </c>
      <c r="EZ80" s="24">
        <v>0</v>
      </c>
      <c r="FA80" s="24">
        <v>0</v>
      </c>
      <c r="FB80" s="24">
        <v>18000</v>
      </c>
      <c r="FC80" s="24">
        <v>0</v>
      </c>
      <c r="FD80" s="24">
        <v>0</v>
      </c>
      <c r="FE80" s="24">
        <v>0</v>
      </c>
      <c r="FF80" s="24">
        <v>0</v>
      </c>
      <c r="FG80" s="24">
        <v>0</v>
      </c>
      <c r="FH80" s="24">
        <v>0</v>
      </c>
      <c r="FI80" s="24">
        <v>0</v>
      </c>
      <c r="FJ80" s="24">
        <v>0</v>
      </c>
      <c r="FK80" s="24">
        <v>0</v>
      </c>
      <c r="FL80" s="24">
        <v>0</v>
      </c>
      <c r="FM80" s="24">
        <v>0</v>
      </c>
      <c r="FN80" s="24">
        <v>0</v>
      </c>
      <c r="FO80" s="24">
        <v>0</v>
      </c>
      <c r="FP80" s="24">
        <v>0</v>
      </c>
      <c r="FQ80" s="24">
        <v>0</v>
      </c>
      <c r="FR80" s="24">
        <v>0</v>
      </c>
      <c r="FS80" s="24">
        <v>57966</v>
      </c>
      <c r="FT80" s="24">
        <v>0</v>
      </c>
      <c r="FU80" s="24">
        <v>0</v>
      </c>
      <c r="FV80" s="24">
        <v>0</v>
      </c>
      <c r="FW80" s="24">
        <v>0</v>
      </c>
      <c r="FX80" s="24">
        <v>0</v>
      </c>
      <c r="FY80" s="24">
        <v>0</v>
      </c>
      <c r="FZ80" s="24">
        <v>0</v>
      </c>
      <c r="GA80" s="24">
        <v>0</v>
      </c>
      <c r="GB80" s="24">
        <v>0</v>
      </c>
      <c r="GC80" s="24">
        <v>0</v>
      </c>
      <c r="GD80" s="24">
        <v>0</v>
      </c>
      <c r="GE80" s="24">
        <v>0</v>
      </c>
      <c r="GF80" s="24">
        <v>0</v>
      </c>
      <c r="GG80" s="24">
        <v>0</v>
      </c>
      <c r="GH80" s="24">
        <v>0</v>
      </c>
      <c r="GI80" s="24">
        <v>0</v>
      </c>
      <c r="GJ80" s="24">
        <v>0</v>
      </c>
      <c r="GK80" s="24">
        <v>0</v>
      </c>
      <c r="GL80" s="24">
        <v>0</v>
      </c>
      <c r="GM80" s="24">
        <v>0</v>
      </c>
      <c r="GN80" s="24">
        <v>0</v>
      </c>
      <c r="GO80" s="24">
        <v>0</v>
      </c>
      <c r="GP80" s="24">
        <v>0</v>
      </c>
      <c r="GQ80" s="24">
        <v>0</v>
      </c>
      <c r="GR80" s="24">
        <v>71</v>
      </c>
      <c r="GS80" s="24">
        <v>0</v>
      </c>
      <c r="GT80" s="24">
        <v>0</v>
      </c>
      <c r="GU80" s="24">
        <v>0</v>
      </c>
      <c r="GV80" s="24">
        <v>0</v>
      </c>
      <c r="GW80" s="24">
        <v>0</v>
      </c>
      <c r="GX80" s="24">
        <v>0</v>
      </c>
      <c r="GY80" s="24">
        <v>0</v>
      </c>
      <c r="GZ80" s="24">
        <v>10258</v>
      </c>
      <c r="HA80" s="24">
        <v>0</v>
      </c>
      <c r="HB80" s="24">
        <v>0</v>
      </c>
      <c r="HC80" s="24">
        <v>9957</v>
      </c>
      <c r="HD80" s="24">
        <v>1586751</v>
      </c>
      <c r="HE80" s="24">
        <v>0</v>
      </c>
      <c r="HF80" s="24">
        <v>0</v>
      </c>
      <c r="HG80" s="24">
        <v>0</v>
      </c>
      <c r="HH80" s="24">
        <v>0</v>
      </c>
      <c r="HI80" s="24">
        <v>73075</v>
      </c>
      <c r="HJ80" s="24">
        <v>0</v>
      </c>
      <c r="HK80" s="24">
        <v>0</v>
      </c>
      <c r="HL80" s="24">
        <v>5371</v>
      </c>
      <c r="HM80" s="24">
        <v>0</v>
      </c>
      <c r="HN80" s="24">
        <v>0</v>
      </c>
      <c r="HO80" s="24">
        <v>214028</v>
      </c>
      <c r="HP80" s="24">
        <v>70311</v>
      </c>
      <c r="HQ80" s="24">
        <v>0</v>
      </c>
      <c r="HR80" s="24">
        <v>0</v>
      </c>
      <c r="HS80" s="24">
        <v>0</v>
      </c>
      <c r="HT80" s="24">
        <v>0</v>
      </c>
      <c r="HU80" s="24">
        <v>0</v>
      </c>
      <c r="HV80" s="24">
        <v>0</v>
      </c>
      <c r="HW80" s="24">
        <v>0</v>
      </c>
      <c r="HX80" s="24">
        <v>0</v>
      </c>
      <c r="HY80" s="24">
        <v>0</v>
      </c>
      <c r="HZ80" s="24">
        <v>0</v>
      </c>
      <c r="IA80" s="24">
        <v>14921</v>
      </c>
      <c r="IB80" s="24">
        <v>5769</v>
      </c>
      <c r="IC80" s="24">
        <v>0</v>
      </c>
      <c r="ID80" s="24">
        <v>28921</v>
      </c>
      <c r="IE80" s="24">
        <v>1498</v>
      </c>
      <c r="IF80" s="24">
        <v>0</v>
      </c>
      <c r="IG80" s="24">
        <v>0</v>
      </c>
      <c r="IH80" s="24">
        <v>0</v>
      </c>
      <c r="II80" s="24">
        <v>0</v>
      </c>
      <c r="IJ80" s="24">
        <v>0</v>
      </c>
      <c r="IK80" s="24">
        <v>0</v>
      </c>
      <c r="IL80" s="24">
        <v>0</v>
      </c>
      <c r="IM80" s="24">
        <v>0</v>
      </c>
      <c r="IN80" s="24">
        <v>0</v>
      </c>
      <c r="IO80" s="24">
        <v>2500</v>
      </c>
      <c r="IP80" s="24">
        <v>0</v>
      </c>
      <c r="IQ80" s="24">
        <v>0</v>
      </c>
      <c r="IR80" s="24">
        <v>17925</v>
      </c>
      <c r="IS80" s="24">
        <v>0</v>
      </c>
      <c r="IT80" s="24">
        <v>0</v>
      </c>
      <c r="IU80" s="24">
        <v>0</v>
      </c>
      <c r="IV80" s="24">
        <v>0</v>
      </c>
      <c r="IW80" s="24">
        <v>34282</v>
      </c>
      <c r="IX80" s="24">
        <v>0</v>
      </c>
      <c r="IY80" s="24">
        <v>0</v>
      </c>
      <c r="IZ80" s="24">
        <v>0</v>
      </c>
      <c r="JA80" s="24">
        <v>0</v>
      </c>
      <c r="JB80" s="24">
        <v>21162</v>
      </c>
      <c r="JC80" s="24">
        <v>2440</v>
      </c>
      <c r="JD80" s="24">
        <v>0</v>
      </c>
      <c r="JE80" s="24">
        <v>0</v>
      </c>
      <c r="JF80" s="24">
        <v>0</v>
      </c>
      <c r="JG80" s="24">
        <v>0</v>
      </c>
      <c r="JH80" s="24">
        <v>0</v>
      </c>
      <c r="JI80" s="24">
        <v>0</v>
      </c>
      <c r="JJ80" s="24">
        <v>0</v>
      </c>
      <c r="JK80" s="24">
        <v>0</v>
      </c>
      <c r="JL80" s="24">
        <v>0</v>
      </c>
      <c r="JM80" s="24">
        <v>0</v>
      </c>
      <c r="JN80" s="24">
        <v>0</v>
      </c>
      <c r="JO80" s="24">
        <v>0</v>
      </c>
      <c r="JP80" s="24">
        <v>0</v>
      </c>
      <c r="JQ80" s="24">
        <v>0</v>
      </c>
      <c r="JR80" s="24">
        <v>0</v>
      </c>
      <c r="JS80" s="24">
        <v>0</v>
      </c>
      <c r="JT80" s="24">
        <v>0</v>
      </c>
      <c r="JU80" s="24">
        <v>0</v>
      </c>
      <c r="JV80" s="24">
        <v>0</v>
      </c>
      <c r="JW80" s="24">
        <v>0</v>
      </c>
      <c r="JX80" s="24">
        <v>0</v>
      </c>
      <c r="JY80" s="24">
        <v>0</v>
      </c>
      <c r="JZ80" s="24">
        <v>0</v>
      </c>
      <c r="KA80" s="24">
        <v>0</v>
      </c>
      <c r="KB80" s="24">
        <v>0</v>
      </c>
      <c r="KC80" s="24">
        <v>0</v>
      </c>
      <c r="KD80" s="24">
        <v>0</v>
      </c>
      <c r="KE80" s="24">
        <v>0</v>
      </c>
      <c r="KF80" s="24">
        <v>0</v>
      </c>
      <c r="KG80" s="24">
        <v>0</v>
      </c>
      <c r="KH80" s="24">
        <v>0</v>
      </c>
      <c r="KI80" s="24">
        <v>0</v>
      </c>
      <c r="KJ80" s="24">
        <v>0</v>
      </c>
      <c r="KK80" s="24">
        <v>0</v>
      </c>
      <c r="KL80" s="24">
        <v>0</v>
      </c>
      <c r="KM80" s="24">
        <v>0</v>
      </c>
      <c r="KN80" s="24">
        <v>0</v>
      </c>
      <c r="KO80" s="24">
        <v>0</v>
      </c>
      <c r="KP80" s="24">
        <v>0</v>
      </c>
      <c r="KQ80" s="24">
        <v>0</v>
      </c>
      <c r="KR80" s="24">
        <v>0</v>
      </c>
      <c r="KS80" s="24">
        <v>0</v>
      </c>
      <c r="KT80" s="24">
        <v>0</v>
      </c>
      <c r="KU80" s="24">
        <v>0</v>
      </c>
      <c r="KV80" s="24">
        <v>0</v>
      </c>
      <c r="KW80" s="24">
        <v>0</v>
      </c>
      <c r="KX80" s="24">
        <v>0</v>
      </c>
      <c r="KY80" s="24">
        <v>0</v>
      </c>
      <c r="KZ80" s="24">
        <v>0</v>
      </c>
      <c r="LA80" s="24">
        <v>0</v>
      </c>
      <c r="LB80" s="24">
        <v>0</v>
      </c>
      <c r="LC80" s="24">
        <v>0</v>
      </c>
      <c r="LD80" s="24">
        <v>0</v>
      </c>
      <c r="LE80" s="24">
        <v>0</v>
      </c>
      <c r="LF80" s="24">
        <v>0</v>
      </c>
      <c r="LG80" s="24">
        <v>0</v>
      </c>
      <c r="LH80" s="24">
        <v>0</v>
      </c>
      <c r="LI80" s="24">
        <v>0</v>
      </c>
      <c r="LJ80" s="24">
        <v>0</v>
      </c>
      <c r="LK80" s="24">
        <v>0</v>
      </c>
      <c r="LL80" s="24">
        <v>0</v>
      </c>
      <c r="LM80" s="24">
        <v>0</v>
      </c>
      <c r="LN80" s="24">
        <v>0</v>
      </c>
      <c r="LO80" s="24">
        <v>0</v>
      </c>
      <c r="LP80" s="24">
        <v>0</v>
      </c>
      <c r="LQ80" s="24">
        <v>22339</v>
      </c>
      <c r="LR80" s="24">
        <v>0</v>
      </c>
      <c r="LS80" s="24">
        <v>0</v>
      </c>
      <c r="LT80" s="24">
        <v>0</v>
      </c>
      <c r="LU80" s="24">
        <v>0</v>
      </c>
      <c r="LV80" s="24">
        <v>0</v>
      </c>
      <c r="LW80" s="24">
        <v>0</v>
      </c>
      <c r="LX80" s="24">
        <v>0</v>
      </c>
      <c r="LY80" s="24">
        <v>0</v>
      </c>
      <c r="LZ80" s="24">
        <v>0</v>
      </c>
      <c r="MA80" s="24">
        <v>0</v>
      </c>
      <c r="MB80" s="24">
        <v>0</v>
      </c>
      <c r="MC80" s="24">
        <v>0</v>
      </c>
      <c r="MD80" s="24">
        <v>0</v>
      </c>
      <c r="ME80" s="24">
        <v>0</v>
      </c>
      <c r="MF80" s="24">
        <v>0</v>
      </c>
      <c r="MG80" s="24">
        <v>0</v>
      </c>
      <c r="MH80" s="24">
        <v>0</v>
      </c>
      <c r="MI80" s="24">
        <v>0</v>
      </c>
      <c r="MJ80" s="24">
        <v>0</v>
      </c>
      <c r="MK80" s="24">
        <v>0</v>
      </c>
      <c r="ML80" s="24">
        <v>0</v>
      </c>
      <c r="MM80" s="24">
        <v>0</v>
      </c>
      <c r="MN80" s="24">
        <v>0</v>
      </c>
      <c r="MO80" s="24">
        <v>10944</v>
      </c>
      <c r="MP80" s="24">
        <v>0</v>
      </c>
      <c r="MQ80" s="24">
        <v>0</v>
      </c>
      <c r="MR80" s="24">
        <v>44695</v>
      </c>
      <c r="MS80" s="24">
        <v>0</v>
      </c>
      <c r="MT80" s="24">
        <v>0</v>
      </c>
      <c r="MU80" s="24">
        <v>0</v>
      </c>
      <c r="MV80" s="24">
        <v>0</v>
      </c>
      <c r="MW80" s="24">
        <v>41232</v>
      </c>
      <c r="MX80" s="24">
        <v>964</v>
      </c>
      <c r="MY80" s="24">
        <v>0</v>
      </c>
      <c r="MZ80" s="24">
        <v>0</v>
      </c>
      <c r="NA80" s="24">
        <v>-688</v>
      </c>
      <c r="NB80" s="24">
        <v>4537</v>
      </c>
      <c r="NC80" s="24">
        <v>0</v>
      </c>
      <c r="ND80" s="24">
        <v>0</v>
      </c>
      <c r="NE80" s="24">
        <v>0</v>
      </c>
      <c r="NF80" s="24">
        <v>0</v>
      </c>
      <c r="NG80" s="24">
        <v>0</v>
      </c>
      <c r="NH80" s="24">
        <v>0</v>
      </c>
      <c r="NI80" s="24">
        <v>0</v>
      </c>
      <c r="NJ80" s="24">
        <v>0</v>
      </c>
      <c r="NK80" s="24">
        <v>0</v>
      </c>
      <c r="NL80" s="24">
        <v>0</v>
      </c>
      <c r="NM80" s="24">
        <v>0</v>
      </c>
      <c r="NN80" s="24">
        <v>0</v>
      </c>
      <c r="NO80" s="24">
        <v>0</v>
      </c>
      <c r="NP80" s="24">
        <v>0</v>
      </c>
      <c r="NQ80" s="24">
        <v>3423</v>
      </c>
      <c r="NR80" s="24">
        <v>0</v>
      </c>
      <c r="NS80" s="24">
        <v>0</v>
      </c>
      <c r="NT80" s="24">
        <v>0</v>
      </c>
      <c r="NU80" s="24">
        <v>0</v>
      </c>
      <c r="NV80" s="24">
        <v>18331</v>
      </c>
      <c r="NW80" s="24">
        <v>0</v>
      </c>
      <c r="NX80" s="24">
        <v>0</v>
      </c>
      <c r="NY80" s="24">
        <v>0</v>
      </c>
      <c r="NZ80" s="24">
        <v>0</v>
      </c>
      <c r="OA80" s="24">
        <v>0</v>
      </c>
      <c r="OB80" s="24">
        <v>0</v>
      </c>
      <c r="OC80" s="24">
        <v>0</v>
      </c>
      <c r="OD80" s="24">
        <v>0</v>
      </c>
      <c r="OE80" s="24">
        <v>0</v>
      </c>
      <c r="OF80" s="24">
        <v>0</v>
      </c>
      <c r="OG80" s="24">
        <v>0</v>
      </c>
      <c r="OH80" s="24">
        <v>0</v>
      </c>
      <c r="OI80" s="24">
        <v>0</v>
      </c>
      <c r="OJ80" s="24">
        <v>0</v>
      </c>
      <c r="OK80" s="24">
        <v>0</v>
      </c>
      <c r="OL80" s="24">
        <v>0</v>
      </c>
      <c r="OM80" s="24">
        <v>0</v>
      </c>
      <c r="ON80" s="24">
        <v>0</v>
      </c>
      <c r="OO80" s="24">
        <v>0</v>
      </c>
      <c r="OP80" s="24">
        <v>0</v>
      </c>
      <c r="OQ80" s="24">
        <v>0</v>
      </c>
      <c r="OR80" s="24">
        <v>0</v>
      </c>
      <c r="OS80" s="24">
        <v>0</v>
      </c>
      <c r="OT80" s="24">
        <v>0</v>
      </c>
      <c r="OU80" s="24">
        <v>0</v>
      </c>
      <c r="OV80" s="24">
        <v>0</v>
      </c>
      <c r="OW80" s="24">
        <v>0</v>
      </c>
      <c r="OX80" s="24">
        <v>0</v>
      </c>
      <c r="OY80" s="24">
        <v>0</v>
      </c>
      <c r="OZ80" s="24">
        <v>0</v>
      </c>
      <c r="PA80" s="24">
        <v>0</v>
      </c>
      <c r="PB80" s="24">
        <v>0</v>
      </c>
      <c r="PC80" s="24">
        <v>0</v>
      </c>
      <c r="PD80" s="24">
        <v>0</v>
      </c>
      <c r="PE80" s="24">
        <v>0</v>
      </c>
      <c r="PF80" s="24">
        <v>0</v>
      </c>
      <c r="PG80" s="24">
        <v>0</v>
      </c>
      <c r="PH80" s="24">
        <v>0</v>
      </c>
      <c r="PI80" s="24">
        <v>0</v>
      </c>
      <c r="PJ80" s="24">
        <v>0</v>
      </c>
      <c r="PK80" s="24">
        <v>0</v>
      </c>
      <c r="PL80" s="24">
        <v>0</v>
      </c>
      <c r="PM80" s="24">
        <v>0</v>
      </c>
      <c r="PN80" s="24">
        <v>0</v>
      </c>
      <c r="PO80" s="24">
        <v>0</v>
      </c>
      <c r="PP80" s="24">
        <v>0</v>
      </c>
      <c r="PQ80" s="24">
        <v>0</v>
      </c>
      <c r="PR80" s="24">
        <v>0</v>
      </c>
      <c r="PS80" s="24">
        <v>0</v>
      </c>
      <c r="PT80" s="24">
        <v>99500</v>
      </c>
      <c r="PU80" s="24">
        <v>278</v>
      </c>
      <c r="PV80" s="24">
        <v>0</v>
      </c>
      <c r="PW80" s="24">
        <v>0</v>
      </c>
      <c r="PX80" s="24">
        <v>0</v>
      </c>
      <c r="PY80" s="24">
        <v>0</v>
      </c>
      <c r="PZ80" s="24">
        <v>0</v>
      </c>
      <c r="QA80" s="24">
        <v>0</v>
      </c>
      <c r="QB80" s="24">
        <v>13298</v>
      </c>
      <c r="QC80" s="24">
        <v>0</v>
      </c>
      <c r="QD80" s="24">
        <v>0</v>
      </c>
      <c r="QE80" s="24">
        <v>0</v>
      </c>
      <c r="QF80" s="24">
        <v>0</v>
      </c>
      <c r="QG80" s="24">
        <v>0</v>
      </c>
      <c r="QH80" s="24">
        <v>0</v>
      </c>
      <c r="QI80" s="24">
        <v>0</v>
      </c>
      <c r="QJ80" s="24">
        <v>0</v>
      </c>
      <c r="QK80" s="24">
        <v>0</v>
      </c>
      <c r="QL80" s="24">
        <v>0</v>
      </c>
      <c r="QM80" s="24">
        <v>0</v>
      </c>
      <c r="QN80" s="24">
        <v>0</v>
      </c>
      <c r="QO80" s="24">
        <v>0</v>
      </c>
      <c r="QP80" s="24">
        <v>0</v>
      </c>
      <c r="QQ80" s="24">
        <v>0</v>
      </c>
      <c r="QR80" s="24">
        <v>0</v>
      </c>
      <c r="QS80" s="24">
        <v>25332</v>
      </c>
      <c r="QT80" s="24">
        <v>0</v>
      </c>
      <c r="QU80" s="24">
        <v>0</v>
      </c>
      <c r="QV80" s="24">
        <v>0</v>
      </c>
      <c r="QW80" s="24">
        <v>36000</v>
      </c>
      <c r="QX80" s="24">
        <v>0</v>
      </c>
      <c r="QY80" s="24">
        <v>99500</v>
      </c>
      <c r="QZ80" s="24">
        <v>14000</v>
      </c>
      <c r="RA80" s="24">
        <v>0</v>
      </c>
      <c r="RB80" s="24">
        <v>0</v>
      </c>
      <c r="RG80" s="39">
        <f t="shared" si="129"/>
        <v>1586751</v>
      </c>
      <c r="RH80" s="39">
        <f t="shared" si="128"/>
        <v>73075</v>
      </c>
      <c r="RI80" s="39">
        <f t="shared" si="128"/>
        <v>5371</v>
      </c>
      <c r="RJ80" s="39">
        <f t="shared" si="128"/>
        <v>0</v>
      </c>
      <c r="RK80" s="39">
        <f t="shared" si="128"/>
        <v>0</v>
      </c>
      <c r="RL80" s="39">
        <f t="shared" si="128"/>
        <v>214028</v>
      </c>
      <c r="RM80" s="39">
        <f t="shared" si="128"/>
        <v>121420</v>
      </c>
      <c r="RN80" s="39">
        <f t="shared" si="128"/>
        <v>2500</v>
      </c>
      <c r="RO80" s="39">
        <f t="shared" si="128"/>
        <v>17925</v>
      </c>
      <c r="RP80" s="39">
        <f t="shared" si="128"/>
        <v>34282</v>
      </c>
      <c r="RQ80" s="39">
        <f t="shared" si="128"/>
        <v>23602</v>
      </c>
      <c r="RR80" s="39">
        <f t="shared" si="128"/>
        <v>0</v>
      </c>
      <c r="RS80" s="39"/>
      <c r="RT80" s="182"/>
      <c r="RU80" s="39"/>
      <c r="RV80" s="39">
        <f t="shared" si="182"/>
        <v>145777</v>
      </c>
      <c r="RW80" s="39">
        <f t="shared" si="182"/>
        <v>2078954</v>
      </c>
      <c r="RX80" s="39">
        <f t="shared" si="182"/>
        <v>1360777</v>
      </c>
      <c r="RY80" s="39">
        <f t="shared" si="182"/>
        <v>287908</v>
      </c>
      <c r="RZ80" s="39"/>
      <c r="SA80" s="182"/>
      <c r="SB80" s="39"/>
      <c r="SC80" s="25">
        <f t="shared" si="183"/>
        <v>5669.9041666666662</v>
      </c>
      <c r="SD80" s="39">
        <f>IFERROR(VLOOKUP(A80, 'Levy Data 15-16'!$B:$O, 3, FALSE), 0)</f>
        <v>134284057</v>
      </c>
      <c r="SE80" s="39">
        <f t="shared" si="144"/>
        <v>559516.90416666667</v>
      </c>
      <c r="SF80" s="631">
        <f>IFERROR(VLOOKUP(A80, 'Levy Data 15-16'!$B:$O, 14, FALSE), 0)*1000</f>
        <v>8.9992519999999985</v>
      </c>
      <c r="SG80" s="39">
        <f t="shared" si="145"/>
        <v>0</v>
      </c>
      <c r="SH80" s="39">
        <f t="shared" si="146"/>
        <v>0</v>
      </c>
      <c r="SI80" s="39">
        <f t="shared" si="147"/>
        <v>1360777</v>
      </c>
      <c r="SM80" s="39">
        <f t="shared" si="148"/>
        <v>2078954</v>
      </c>
      <c r="SN80" s="39">
        <f t="shared" si="149"/>
        <v>0</v>
      </c>
      <c r="SO80" s="39">
        <f t="shared" si="184"/>
        <v>2078954</v>
      </c>
      <c r="SP80" s="50">
        <f t="shared" si="130"/>
        <v>1</v>
      </c>
      <c r="ST80" s="124">
        <f>IFERROR(VLOOKUP(A80,'Grade Enroll 15-16'!B:AC,27,FALSE),"")</f>
        <v>240</v>
      </c>
      <c r="SU80" s="124">
        <f t="shared" si="185"/>
        <v>85.3125</v>
      </c>
      <c r="SV80" s="131">
        <f>IFERROR(VLOOKUP($A80, 'Title I Enroll 16-17'!S:V, 4, FALSE), 0)</f>
        <v>0.35546875</v>
      </c>
      <c r="SW80" s="729">
        <f>IFERROR(VLOOKUP(A80, 'ELL Enroll 15-16'!$N:$S, 6, FALSE), 0)</f>
        <v>5</v>
      </c>
      <c r="SX80" s="131">
        <f t="shared" si="131"/>
        <v>2.0833333333333332E-2</v>
      </c>
      <c r="SY80" s="124">
        <f>IFERROR(VLOOKUP(A80, 'SPED enroll 2015-16'!$M:$O, 3, FALSE), 0)</f>
        <v>36</v>
      </c>
      <c r="SZ80" s="131">
        <f t="shared" si="132"/>
        <v>0.15</v>
      </c>
      <c r="TA80" s="142">
        <f t="shared" si="133"/>
        <v>25.2</v>
      </c>
      <c r="TB80" s="142">
        <f t="shared" si="133"/>
        <v>7.2</v>
      </c>
      <c r="TC80" s="142">
        <f t="shared" si="133"/>
        <v>2.5200000000000005</v>
      </c>
      <c r="TD80" s="142">
        <f t="shared" si="133"/>
        <v>1.08</v>
      </c>
      <c r="TE80" s="124">
        <f>VLOOKUP($A80, 'Grade Enroll 15-16'!$B:$AB, 20, FALSE)</f>
        <v>5</v>
      </c>
      <c r="TF80" s="124">
        <f>VLOOKUP($A80, 'Grade Enroll 15-16'!$B:$AB, 21, FALSE)</f>
        <v>17</v>
      </c>
      <c r="TG80" s="124">
        <f>VLOOKUP($A80, 'Grade Enroll 15-16'!$B:$AB, 22, FALSE)</f>
        <v>51</v>
      </c>
      <c r="TH80" s="124">
        <f>VLOOKUP($A80, 'Grade Enroll 15-16'!$B:$AB, 23, FALSE)</f>
        <v>56</v>
      </c>
      <c r="TI80" s="124">
        <f>VLOOKUP($A80, 'Grade Enroll 15-16'!$B:$AB, 24, FALSE)</f>
        <v>36</v>
      </c>
      <c r="TJ80" s="124">
        <f>VLOOKUP($A80, 'Grade Enroll 15-16'!$B:$AB, 25, FALSE)</f>
        <v>97</v>
      </c>
      <c r="TK80" s="124">
        <f>VLOOKUP($A80, 'Grade Enroll 15-16'!$B:$AB, 26, FALSE)</f>
        <v>157</v>
      </c>
      <c r="TL80" s="131">
        <f>SUMIFS('Student Achievement 15-16'!N:N, 'Student Achievement 15-16'!B:B, 'Idaho Data'!A80, 'Student Achievement 15-16'!D:D, "math")/100</f>
        <v>0.05</v>
      </c>
      <c r="TM80" s="134">
        <f t="shared" si="186"/>
        <v>12</v>
      </c>
      <c r="TN80" s="131">
        <f>SUMIFS('Student Achievement 15-16'!N:N, 'Student Achievement 15-16'!B:B, 'Idaho Data'!A80, 'Student Achievement 15-16'!D:D, "ela")/100</f>
        <v>0.10300000000000001</v>
      </c>
      <c r="TO80" s="134">
        <f t="shared" si="134"/>
        <v>24.720000000000002</v>
      </c>
      <c r="TP80" s="688">
        <f>IFERROR(VLOOKUP(A80, 'G&amp;T 15-16'!B:G, 6, FALSE), 0)*1</f>
        <v>5</v>
      </c>
      <c r="TQ80" s="168">
        <f t="shared" si="135"/>
        <v>14.399999999999999</v>
      </c>
      <c r="TU80" s="168">
        <f t="shared" si="136"/>
        <v>12</v>
      </c>
      <c r="TV80" s="168">
        <f t="shared" si="137"/>
        <v>24.720000000000002</v>
      </c>
      <c r="TW80" s="205">
        <f t="shared" si="138"/>
        <v>24.720000000000002</v>
      </c>
      <c r="TX80" s="144"/>
      <c r="TY80" s="129"/>
      <c r="TZ80" s="127">
        <f t="shared" si="139"/>
        <v>5</v>
      </c>
      <c r="UA80" s="127">
        <f t="shared" si="140"/>
        <v>14.399999999999999</v>
      </c>
      <c r="UB80" s="205">
        <f t="shared" si="141"/>
        <v>14.399999999999999</v>
      </c>
      <c r="UE80" s="853" t="str">
        <f>IF(ST80&lt;='1. Simulator Input'!$E$104, "yes", "")</f>
        <v>yes</v>
      </c>
      <c r="UI80" s="199">
        <f t="shared" si="187"/>
        <v>0</v>
      </c>
      <c r="UJ80" s="200">
        <f>IF('Idaho Data'!SI80&gt;=0, ((1-'1. Simulator Input'!$E$39)*'Idaho Data'!SI80), 0)</f>
        <v>0</v>
      </c>
      <c r="UK80" s="200">
        <f t="shared" si="142"/>
        <v>2078954</v>
      </c>
      <c r="UL80" s="39"/>
      <c r="UM80" s="182"/>
      <c r="UN80" s="39"/>
      <c r="UO80" s="39">
        <f>IF(AND('1. Simulator Input'!$E$96="yes", '1. Simulator Input'!$E$98="yes", '1. Simulator Input'!$E$100="hold harmless"), 'Idaho Data'!WN80, IF(AND('1. Simulator Input'!$E$96="yes", '1. Simulator Input'!$E$98="no", '1. Simulator Input'!$E$100="hold harmless"), 'Idaho Data'!WM80, IF(AND('1. Simulator Input'!$E$96="yes", '1. Simulator Input'!$E$98="yes", '1. Simulator Input'!$E$100="small district grant"), WL80,IF(AND('1. Simulator Input'!$E$96="yes", '1. Simulator Input'!$E$98="no", '1. Simulator Input'!$E$100="small district grant"), WK80, ""))))</f>
        <v>0</v>
      </c>
      <c r="UP80" s="200">
        <f>'1. Simulator Input'!$D$56*('Idaho Data'!ST80)</f>
        <v>1326240</v>
      </c>
      <c r="UQ80" s="204">
        <f>'1. Simulator Input'!$D$65*'1. Simulator Input'!$D$56*'Idaho Data'!SU80</f>
        <v>0</v>
      </c>
      <c r="UR80" s="204">
        <f>'1. Simulator Input'!$D$66*'1. Simulator Input'!$D$56*'Idaho Data'!SW80</f>
        <v>0</v>
      </c>
      <c r="US80" s="200">
        <f>'1. Simulator Input'!$D$67*'1. Simulator Input'!$D$56*'Idaho Data'!TA80</f>
        <v>0</v>
      </c>
      <c r="UT80" s="200">
        <f>'1. Simulator Input'!$D$68*'1. Simulator Input'!$D$56*'Idaho Data'!TB80</f>
        <v>0</v>
      </c>
      <c r="UU80" s="200">
        <f>'1. Simulator Input'!$D$69*'1. Simulator Input'!$D$56*'Idaho Data'!TC80</f>
        <v>0</v>
      </c>
      <c r="UV80" s="200">
        <f>'1. Simulator Input'!$D$70*'1. Simulator Input'!$D$56*TD80</f>
        <v>0</v>
      </c>
      <c r="UW80" s="200">
        <f>'1. Simulator Input'!$D$80*'1. Simulator Input'!$D$56*TW80</f>
        <v>0</v>
      </c>
      <c r="UX80" s="200">
        <f>'1. Simulator Input'!$D$79*'1. Simulator Input'!$D$56*UB80</f>
        <v>0</v>
      </c>
      <c r="UY80" s="200">
        <f>'1. Simulator Input'!$D$87*'1. Simulator Input'!$D$56*TF80</f>
        <v>46971</v>
      </c>
      <c r="UZ80" s="200">
        <f>'1. Simulator Input'!$D$73*'1. Simulator Input'!$D$56*'Idaho Data'!TG80</f>
        <v>0</v>
      </c>
      <c r="VA80" s="200">
        <f>'1. Simulator Input'!$D$56*'1. Simulator Input'!$D$74*'Idaho Data'!TH80</f>
        <v>0</v>
      </c>
      <c r="VB80" s="200">
        <f>'1. Simulator Input'!$D$56*'1. Simulator Input'!$D$75*'Idaho Data'!TI75</f>
        <v>0</v>
      </c>
      <c r="VC80" s="200">
        <f>'1. Simulator Input'!$D$76*'1. Simulator Input'!$D$56*'Idaho Data'!TJ80</f>
        <v>0</v>
      </c>
      <c r="VD80" s="200">
        <f t="shared" si="188"/>
        <v>1373211</v>
      </c>
      <c r="VE80" s="200"/>
      <c r="VF80" s="182"/>
      <c r="VG80" s="200"/>
      <c r="VH80" s="200">
        <f t="shared" si="189"/>
        <v>0</v>
      </c>
      <c r="VI80" s="200">
        <f t="shared" si="190"/>
        <v>0</v>
      </c>
      <c r="VJ80" s="200">
        <f t="shared" si="150"/>
        <v>1373211</v>
      </c>
      <c r="VK80" s="200">
        <f t="shared" si="151"/>
        <v>1373211</v>
      </c>
      <c r="VL80" s="200"/>
      <c r="VM80" s="182"/>
      <c r="VN80" s="200"/>
      <c r="VO80" s="200">
        <f t="shared" si="191"/>
        <v>145777</v>
      </c>
      <c r="VP80" s="200">
        <f t="shared" si="192"/>
        <v>2078954</v>
      </c>
      <c r="VQ80" s="200">
        <f t="shared" si="193"/>
        <v>1360777</v>
      </c>
      <c r="VR80" s="200">
        <f t="shared" si="194"/>
        <v>145777</v>
      </c>
      <c r="VS80" s="200">
        <f t="shared" si="152"/>
        <v>1373211</v>
      </c>
      <c r="VT80" s="200">
        <f t="shared" si="153"/>
        <v>1360777</v>
      </c>
      <c r="VU80" s="200">
        <f t="shared" si="154"/>
        <v>0</v>
      </c>
      <c r="VV80" s="200"/>
      <c r="VW80" s="182"/>
      <c r="VX80" s="200"/>
      <c r="VZ80" s="199">
        <f t="shared" si="195"/>
        <v>-705743</v>
      </c>
      <c r="WA80" s="199">
        <f t="shared" si="196"/>
        <v>-2940.5958333333333</v>
      </c>
      <c r="WB80" s="131">
        <f t="shared" si="197"/>
        <v>-0.33947023358862199</v>
      </c>
      <c r="WC80" s="131"/>
      <c r="WD80" s="461"/>
      <c r="WE80" s="893"/>
      <c r="WF80" s="893">
        <f t="shared" si="198"/>
        <v>14939.616666666667</v>
      </c>
      <c r="WG80" s="893">
        <f t="shared" si="199"/>
        <v>11999.020833333334</v>
      </c>
      <c r="WH80" s="893"/>
      <c r="WI80" s="893">
        <f t="shared" si="200"/>
        <v>2078954</v>
      </c>
      <c r="WJ80" s="893">
        <f t="shared" si="155"/>
        <v>1373211</v>
      </c>
      <c r="WK80" s="39">
        <f t="shared" si="156"/>
        <v>0</v>
      </c>
      <c r="WL80" s="39">
        <f t="shared" si="157"/>
        <v>0</v>
      </c>
      <c r="WM80" s="200">
        <f t="shared" si="158"/>
        <v>705743</v>
      </c>
      <c r="WN80" s="39">
        <f t="shared" si="159"/>
        <v>705743</v>
      </c>
      <c r="WO80" s="39"/>
      <c r="WP80" s="182"/>
      <c r="WQ80" s="39"/>
      <c r="WR80" s="305">
        <f t="shared" si="160"/>
        <v>0.56999999999999995</v>
      </c>
      <c r="WT80" s="200">
        <f t="shared" si="161"/>
        <v>8662.3083333333325</v>
      </c>
      <c r="WU80" s="131">
        <f t="shared" si="201"/>
        <v>0.79</v>
      </c>
      <c r="WW80" s="199">
        <f t="shared" si="162"/>
        <v>145777</v>
      </c>
      <c r="WX80" s="199">
        <f t="shared" si="163"/>
        <v>1373211</v>
      </c>
      <c r="WY80" s="199">
        <f t="shared" si="164"/>
        <v>0</v>
      </c>
      <c r="WZ80" s="199">
        <f t="shared" si="202"/>
        <v>1373211</v>
      </c>
      <c r="XA80" s="199">
        <f t="shared" si="165"/>
        <v>0</v>
      </c>
      <c r="XB80" s="199">
        <f t="shared" si="166"/>
        <v>1360777</v>
      </c>
      <c r="XC80" s="199">
        <f t="shared" si="167"/>
        <v>1360777</v>
      </c>
      <c r="XD80" s="199" t="str">
        <f t="shared" si="168"/>
        <v/>
      </c>
      <c r="XE80" s="199"/>
      <c r="XF80" s="199"/>
      <c r="XG80" s="199"/>
      <c r="XH80" s="199"/>
      <c r="XI80" s="199"/>
      <c r="XJ80" s="199">
        <f t="shared" si="203"/>
        <v>1373211</v>
      </c>
      <c r="XP80" s="199">
        <f t="shared" si="169"/>
        <v>1373211</v>
      </c>
      <c r="XQ80" s="199">
        <f t="shared" si="170"/>
        <v>5721.7124999999996</v>
      </c>
      <c r="XR80" s="199">
        <f t="shared" si="171"/>
        <v>1373211</v>
      </c>
      <c r="XS80" s="199">
        <f t="shared" si="172"/>
        <v>1373211</v>
      </c>
      <c r="XT80" s="199">
        <f t="shared" si="173"/>
        <v>5721.7124999999996</v>
      </c>
      <c r="XU80" s="199">
        <f t="shared" si="174"/>
        <v>2078954</v>
      </c>
      <c r="XV80" s="199">
        <f t="shared" si="175"/>
        <v>8662.3083333333325</v>
      </c>
      <c r="XW80" s="199">
        <f t="shared" si="176"/>
        <v>2078954</v>
      </c>
      <c r="XX80" s="199">
        <f t="shared" si="177"/>
        <v>8662.3083333333325</v>
      </c>
      <c r="XY80" s="199">
        <f t="shared" si="204"/>
        <v>-705743</v>
      </c>
      <c r="XZ80" s="199">
        <f t="shared" si="205"/>
        <v>-2940.5958333333328</v>
      </c>
      <c r="YA80" s="131">
        <f t="shared" si="143"/>
        <v>-0.33947023358862194</v>
      </c>
      <c r="YB80" s="199"/>
      <c r="YC80" s="221"/>
      <c r="YD80" s="199"/>
      <c r="YE80" s="199">
        <f t="shared" si="178"/>
        <v>145777</v>
      </c>
      <c r="YF80" s="200">
        <f t="shared" si="179"/>
        <v>0</v>
      </c>
      <c r="YG80" s="199">
        <f t="shared" si="180"/>
        <v>1360777</v>
      </c>
      <c r="YH80" s="199">
        <f t="shared" si="181"/>
        <v>287908</v>
      </c>
    </row>
    <row r="81" spans="1:658">
      <c r="A81" s="3">
        <v>288</v>
      </c>
      <c r="B81" s="2" t="s">
        <v>1481</v>
      </c>
      <c r="C81" s="24">
        <v>0</v>
      </c>
      <c r="D81" s="24">
        <v>0</v>
      </c>
      <c r="E81" s="24">
        <v>0</v>
      </c>
      <c r="F81" s="24">
        <v>0</v>
      </c>
      <c r="G81" s="24">
        <v>815385</v>
      </c>
      <c r="H81" s="24">
        <v>0</v>
      </c>
      <c r="I81" s="24">
        <v>0</v>
      </c>
      <c r="J81" s="24">
        <v>19594</v>
      </c>
      <c r="K81" s="24">
        <v>0</v>
      </c>
      <c r="L81" s="24">
        <v>0</v>
      </c>
      <c r="M81" s="24">
        <v>0</v>
      </c>
      <c r="N81" s="24">
        <v>0</v>
      </c>
      <c r="O81" s="24">
        <v>0</v>
      </c>
      <c r="P81" s="24">
        <v>0</v>
      </c>
      <c r="Q81" s="24">
        <v>0</v>
      </c>
      <c r="R81" s="24">
        <v>165557</v>
      </c>
      <c r="S81" s="24">
        <v>0</v>
      </c>
      <c r="T81" s="24">
        <v>0</v>
      </c>
      <c r="U81" s="24">
        <v>0</v>
      </c>
      <c r="V81" s="24">
        <v>0</v>
      </c>
      <c r="W81" s="24">
        <v>0</v>
      </c>
      <c r="X81" s="24">
        <v>0</v>
      </c>
      <c r="Y81" s="24">
        <v>5644</v>
      </c>
      <c r="Z81" s="24">
        <v>0</v>
      </c>
      <c r="AA81" s="24">
        <v>952</v>
      </c>
      <c r="AB81" s="24">
        <v>0</v>
      </c>
      <c r="AC81" s="24">
        <v>0</v>
      </c>
      <c r="AD81" s="24">
        <v>0</v>
      </c>
      <c r="AE81" s="24">
        <v>0</v>
      </c>
      <c r="AF81" s="24">
        <v>0</v>
      </c>
      <c r="AG81" s="24">
        <v>0</v>
      </c>
      <c r="AH81" s="24">
        <v>1350</v>
      </c>
      <c r="AI81" s="24">
        <v>0</v>
      </c>
      <c r="AJ81" s="24">
        <v>19498</v>
      </c>
      <c r="AK81" s="24">
        <v>0</v>
      </c>
      <c r="AL81" s="24">
        <v>3884</v>
      </c>
      <c r="AM81" s="24">
        <v>0</v>
      </c>
      <c r="AN81" s="24">
        <v>0</v>
      </c>
      <c r="AO81" s="24">
        <v>0</v>
      </c>
      <c r="AP81" s="24">
        <v>0</v>
      </c>
      <c r="AQ81" s="24">
        <v>0</v>
      </c>
      <c r="AR81" s="24">
        <v>0</v>
      </c>
      <c r="AS81" s="24">
        <v>0</v>
      </c>
      <c r="AT81" s="24">
        <v>0</v>
      </c>
      <c r="AU81" s="24">
        <v>0</v>
      </c>
      <c r="AV81" s="24">
        <v>0</v>
      </c>
      <c r="AW81" s="24">
        <v>0</v>
      </c>
      <c r="AX81" s="24">
        <v>0</v>
      </c>
      <c r="AY81" s="24">
        <v>0</v>
      </c>
      <c r="AZ81" s="24">
        <v>0</v>
      </c>
      <c r="BA81" s="24">
        <v>0</v>
      </c>
      <c r="BB81" s="24">
        <v>0</v>
      </c>
      <c r="BC81" s="24">
        <v>0</v>
      </c>
      <c r="BD81" s="24">
        <v>0</v>
      </c>
      <c r="BE81" s="24">
        <v>0</v>
      </c>
      <c r="BF81" s="24">
        <v>300</v>
      </c>
      <c r="BG81" s="24">
        <v>0</v>
      </c>
      <c r="BH81" s="24">
        <v>0</v>
      </c>
      <c r="BI81" s="24">
        <v>0</v>
      </c>
      <c r="BJ81" s="24">
        <v>0</v>
      </c>
      <c r="BK81" s="24">
        <v>0</v>
      </c>
      <c r="BL81" s="24">
        <v>0</v>
      </c>
      <c r="BM81" s="24">
        <v>0</v>
      </c>
      <c r="BN81" s="24">
        <v>0</v>
      </c>
      <c r="BO81" s="24">
        <v>0</v>
      </c>
      <c r="BP81" s="24">
        <v>0</v>
      </c>
      <c r="BQ81" s="24">
        <v>0</v>
      </c>
      <c r="BR81" s="24">
        <v>0</v>
      </c>
      <c r="BS81" s="24">
        <v>0</v>
      </c>
      <c r="BT81" s="24">
        <v>0</v>
      </c>
      <c r="BU81" s="24">
        <v>0</v>
      </c>
      <c r="BV81" s="24">
        <v>0</v>
      </c>
      <c r="BW81" s="24">
        <v>0</v>
      </c>
      <c r="BX81" s="24">
        <v>0</v>
      </c>
      <c r="BY81" s="24">
        <v>0</v>
      </c>
      <c r="BZ81" s="24">
        <v>0</v>
      </c>
      <c r="CA81" s="24">
        <v>0</v>
      </c>
      <c r="CB81" s="24">
        <v>0</v>
      </c>
      <c r="CC81" s="24">
        <v>0</v>
      </c>
      <c r="CD81" s="24">
        <v>19946</v>
      </c>
      <c r="CE81" s="24">
        <v>7610</v>
      </c>
      <c r="CF81" s="24">
        <v>0</v>
      </c>
      <c r="CG81" s="24">
        <v>0</v>
      </c>
      <c r="CH81" s="24">
        <v>0</v>
      </c>
      <c r="CI81" s="24">
        <v>0</v>
      </c>
      <c r="CJ81" s="24">
        <v>0</v>
      </c>
      <c r="CK81" s="24">
        <v>0</v>
      </c>
      <c r="CL81" s="24">
        <v>0</v>
      </c>
      <c r="CM81" s="24">
        <v>0</v>
      </c>
      <c r="CN81" s="24">
        <v>0</v>
      </c>
      <c r="CO81" s="24">
        <v>0</v>
      </c>
      <c r="CP81" s="24">
        <v>0</v>
      </c>
      <c r="CQ81" s="24">
        <v>0</v>
      </c>
      <c r="CR81" s="24">
        <v>0</v>
      </c>
      <c r="CS81" s="24">
        <v>0</v>
      </c>
      <c r="CT81" s="24">
        <v>0</v>
      </c>
      <c r="CU81" s="24">
        <v>0</v>
      </c>
      <c r="CV81" s="24">
        <v>0</v>
      </c>
      <c r="CW81" s="24">
        <v>0</v>
      </c>
      <c r="CX81" s="24">
        <v>0</v>
      </c>
      <c r="CY81" s="24">
        <v>0</v>
      </c>
      <c r="CZ81" s="24">
        <v>0</v>
      </c>
      <c r="DA81" s="24">
        <v>0</v>
      </c>
      <c r="DB81" s="24">
        <v>0</v>
      </c>
      <c r="DC81" s="24">
        <v>0</v>
      </c>
      <c r="DD81" s="24">
        <v>0</v>
      </c>
      <c r="DE81" s="24">
        <v>0</v>
      </c>
      <c r="DF81" s="24">
        <v>0</v>
      </c>
      <c r="DG81" s="24">
        <v>0</v>
      </c>
      <c r="DH81" s="24">
        <v>0</v>
      </c>
      <c r="DI81" s="24">
        <v>0</v>
      </c>
      <c r="DJ81" s="24">
        <v>0</v>
      </c>
      <c r="DK81" s="24">
        <v>0</v>
      </c>
      <c r="DL81" s="24">
        <v>0</v>
      </c>
      <c r="DM81" s="24">
        <v>0</v>
      </c>
      <c r="DN81" s="24">
        <v>0</v>
      </c>
      <c r="DO81" s="24">
        <v>0</v>
      </c>
      <c r="DP81" s="24">
        <v>0</v>
      </c>
      <c r="DQ81" s="24">
        <v>0</v>
      </c>
      <c r="DR81" s="24">
        <v>0</v>
      </c>
      <c r="DS81" s="24">
        <v>0</v>
      </c>
      <c r="DT81" s="24">
        <v>0</v>
      </c>
      <c r="DU81" s="24">
        <v>0</v>
      </c>
      <c r="DV81" s="24">
        <v>0</v>
      </c>
      <c r="DW81" s="24">
        <v>0</v>
      </c>
      <c r="DX81" s="24">
        <v>0</v>
      </c>
      <c r="DY81" s="24">
        <v>0</v>
      </c>
      <c r="DZ81" s="24">
        <v>0</v>
      </c>
      <c r="EA81" s="24">
        <v>0</v>
      </c>
      <c r="EB81" s="24">
        <v>0</v>
      </c>
      <c r="EC81" s="24">
        <v>0</v>
      </c>
      <c r="ED81" s="24">
        <v>0</v>
      </c>
      <c r="EE81" s="24">
        <v>0</v>
      </c>
      <c r="EF81" s="24">
        <v>0</v>
      </c>
      <c r="EG81" s="24">
        <v>1821</v>
      </c>
      <c r="EH81" s="24">
        <v>0</v>
      </c>
      <c r="EI81" s="24">
        <v>0</v>
      </c>
      <c r="EJ81" s="24">
        <v>0</v>
      </c>
      <c r="EK81" s="24">
        <v>0</v>
      </c>
      <c r="EL81" s="24">
        <v>0</v>
      </c>
      <c r="EM81" s="24">
        <v>0</v>
      </c>
      <c r="EN81" s="24">
        <v>0</v>
      </c>
      <c r="EO81" s="24">
        <v>0</v>
      </c>
      <c r="EP81" s="24">
        <v>0</v>
      </c>
      <c r="EQ81" s="24">
        <v>0</v>
      </c>
      <c r="ER81" s="24">
        <v>0</v>
      </c>
      <c r="ES81" s="24">
        <v>0</v>
      </c>
      <c r="ET81" s="24">
        <v>0</v>
      </c>
      <c r="EU81" s="24">
        <v>0</v>
      </c>
      <c r="EV81" s="24">
        <v>0</v>
      </c>
      <c r="EW81" s="24">
        <v>0</v>
      </c>
      <c r="EX81" s="24">
        <v>0</v>
      </c>
      <c r="EY81" s="24">
        <v>0</v>
      </c>
      <c r="EZ81" s="24">
        <v>0</v>
      </c>
      <c r="FA81" s="24">
        <v>0</v>
      </c>
      <c r="FB81" s="24">
        <v>0</v>
      </c>
      <c r="FC81" s="24">
        <v>0</v>
      </c>
      <c r="FD81" s="24">
        <v>0</v>
      </c>
      <c r="FE81" s="24">
        <v>0</v>
      </c>
      <c r="FF81" s="24">
        <v>0</v>
      </c>
      <c r="FG81" s="24">
        <v>0</v>
      </c>
      <c r="FH81" s="24">
        <v>0</v>
      </c>
      <c r="FI81" s="24">
        <v>0</v>
      </c>
      <c r="FJ81" s="24">
        <v>0</v>
      </c>
      <c r="FK81" s="24">
        <v>0</v>
      </c>
      <c r="FL81" s="24">
        <v>60658</v>
      </c>
      <c r="FM81" s="24">
        <v>0</v>
      </c>
      <c r="FN81" s="24">
        <v>0</v>
      </c>
      <c r="FO81" s="24">
        <v>0</v>
      </c>
      <c r="FP81" s="24">
        <v>0</v>
      </c>
      <c r="FQ81" s="24">
        <v>0</v>
      </c>
      <c r="FR81" s="24">
        <v>0</v>
      </c>
      <c r="FS81" s="24">
        <v>20415</v>
      </c>
      <c r="FT81" s="24">
        <v>0</v>
      </c>
      <c r="FU81" s="24">
        <v>0</v>
      </c>
      <c r="FV81" s="24">
        <v>0</v>
      </c>
      <c r="FW81" s="24">
        <v>6000</v>
      </c>
      <c r="FX81" s="24">
        <v>0</v>
      </c>
      <c r="FY81" s="24">
        <v>0</v>
      </c>
      <c r="FZ81" s="24">
        <v>0</v>
      </c>
      <c r="GA81" s="24">
        <v>0</v>
      </c>
      <c r="GB81" s="24">
        <v>0</v>
      </c>
      <c r="GC81" s="24">
        <v>0</v>
      </c>
      <c r="GD81" s="24">
        <v>0</v>
      </c>
      <c r="GE81" s="24">
        <v>0</v>
      </c>
      <c r="GF81" s="24">
        <v>0</v>
      </c>
      <c r="GG81" s="24">
        <v>0</v>
      </c>
      <c r="GH81" s="24">
        <v>0</v>
      </c>
      <c r="GI81" s="24">
        <v>0</v>
      </c>
      <c r="GJ81" s="24">
        <v>0</v>
      </c>
      <c r="GK81" s="24">
        <v>0</v>
      </c>
      <c r="GL81" s="24">
        <v>0</v>
      </c>
      <c r="GM81" s="24">
        <v>0</v>
      </c>
      <c r="GN81" s="24">
        <v>0</v>
      </c>
      <c r="GO81" s="24">
        <v>0</v>
      </c>
      <c r="GP81" s="24">
        <v>0</v>
      </c>
      <c r="GQ81" s="24">
        <v>0</v>
      </c>
      <c r="GR81" s="24">
        <v>0</v>
      </c>
      <c r="GS81" s="24">
        <v>234</v>
      </c>
      <c r="GT81" s="24">
        <v>0</v>
      </c>
      <c r="GU81" s="24">
        <v>0</v>
      </c>
      <c r="GV81" s="24">
        <v>0</v>
      </c>
      <c r="GW81" s="24">
        <v>0</v>
      </c>
      <c r="GX81" s="24">
        <v>0</v>
      </c>
      <c r="GY81" s="24">
        <v>0</v>
      </c>
      <c r="GZ81" s="24">
        <v>0</v>
      </c>
      <c r="HA81" s="24">
        <v>0</v>
      </c>
      <c r="HB81" s="24">
        <v>0</v>
      </c>
      <c r="HC81" s="24">
        <v>0</v>
      </c>
      <c r="HD81" s="24">
        <v>413632</v>
      </c>
      <c r="HE81" s="24">
        <v>0</v>
      </c>
      <c r="HF81" s="24">
        <v>0</v>
      </c>
      <c r="HG81" s="24">
        <v>0</v>
      </c>
      <c r="HH81" s="24">
        <v>0</v>
      </c>
      <c r="HI81" s="24">
        <v>146131</v>
      </c>
      <c r="HJ81" s="24">
        <v>0</v>
      </c>
      <c r="HK81" s="24">
        <v>0</v>
      </c>
      <c r="HL81" s="24">
        <v>6576</v>
      </c>
      <c r="HM81" s="24">
        <v>0</v>
      </c>
      <c r="HN81" s="24">
        <v>0</v>
      </c>
      <c r="HO81" s="24">
        <v>1221261</v>
      </c>
      <c r="HP81" s="24">
        <v>81636</v>
      </c>
      <c r="HQ81" s="24">
        <v>0</v>
      </c>
      <c r="HR81" s="24">
        <v>0</v>
      </c>
      <c r="HS81" s="24">
        <v>0</v>
      </c>
      <c r="HT81" s="24">
        <v>0</v>
      </c>
      <c r="HU81" s="24">
        <v>0</v>
      </c>
      <c r="HV81" s="24">
        <v>0</v>
      </c>
      <c r="HW81" s="24">
        <v>0</v>
      </c>
      <c r="HX81" s="24">
        <v>0</v>
      </c>
      <c r="HY81" s="24">
        <v>0</v>
      </c>
      <c r="HZ81" s="24">
        <v>0</v>
      </c>
      <c r="IA81" s="24">
        <v>23165</v>
      </c>
      <c r="IB81" s="24">
        <v>0</v>
      </c>
      <c r="IC81" s="24">
        <v>0</v>
      </c>
      <c r="ID81" s="24">
        <v>0</v>
      </c>
      <c r="IE81" s="24">
        <v>0</v>
      </c>
      <c r="IF81" s="24">
        <v>0</v>
      </c>
      <c r="IG81" s="24">
        <v>0</v>
      </c>
      <c r="IH81" s="24">
        <v>0</v>
      </c>
      <c r="II81" s="24">
        <v>0</v>
      </c>
      <c r="IJ81" s="24">
        <v>0</v>
      </c>
      <c r="IK81" s="24">
        <v>0</v>
      </c>
      <c r="IL81" s="24">
        <v>0</v>
      </c>
      <c r="IM81" s="24">
        <v>0</v>
      </c>
      <c r="IN81" s="24">
        <v>0</v>
      </c>
      <c r="IO81" s="24">
        <v>1125</v>
      </c>
      <c r="IP81" s="24">
        <v>0</v>
      </c>
      <c r="IQ81" s="24">
        <v>0</v>
      </c>
      <c r="IR81" s="24">
        <v>18950</v>
      </c>
      <c r="IS81" s="24">
        <v>0</v>
      </c>
      <c r="IT81" s="24">
        <v>0</v>
      </c>
      <c r="IU81" s="24">
        <v>0</v>
      </c>
      <c r="IV81" s="24">
        <v>0</v>
      </c>
      <c r="IW81" s="24">
        <v>10315</v>
      </c>
      <c r="IX81" s="24">
        <v>0</v>
      </c>
      <c r="IY81" s="24">
        <v>0</v>
      </c>
      <c r="IZ81" s="24">
        <v>13240</v>
      </c>
      <c r="JA81" s="24">
        <v>0</v>
      </c>
      <c r="JB81" s="24">
        <v>18202</v>
      </c>
      <c r="JC81" s="24">
        <v>0</v>
      </c>
      <c r="JD81" s="24">
        <v>0</v>
      </c>
      <c r="JE81" s="24">
        <v>2569</v>
      </c>
      <c r="JF81" s="24">
        <v>0</v>
      </c>
      <c r="JG81" s="24">
        <v>0</v>
      </c>
      <c r="JH81" s="24">
        <v>0</v>
      </c>
      <c r="JI81" s="24">
        <v>0</v>
      </c>
      <c r="JJ81" s="24">
        <v>0</v>
      </c>
      <c r="JK81" s="24">
        <v>0</v>
      </c>
      <c r="JL81" s="24">
        <v>0</v>
      </c>
      <c r="JM81" s="24">
        <v>0</v>
      </c>
      <c r="JN81" s="24">
        <v>0</v>
      </c>
      <c r="JO81" s="24">
        <v>0</v>
      </c>
      <c r="JP81" s="24">
        <v>0</v>
      </c>
      <c r="JQ81" s="24">
        <v>0</v>
      </c>
      <c r="JR81" s="24">
        <v>0</v>
      </c>
      <c r="JS81" s="24">
        <v>0</v>
      </c>
      <c r="JT81" s="24">
        <v>0</v>
      </c>
      <c r="JU81" s="24">
        <v>4832</v>
      </c>
      <c r="JV81" s="24">
        <v>0</v>
      </c>
      <c r="JW81" s="24">
        <v>0</v>
      </c>
      <c r="JX81" s="24">
        <v>0</v>
      </c>
      <c r="JY81" s="24">
        <v>0</v>
      </c>
      <c r="JZ81" s="24">
        <v>0</v>
      </c>
      <c r="KA81" s="24">
        <v>0</v>
      </c>
      <c r="KB81" s="24">
        <v>0</v>
      </c>
      <c r="KC81" s="24">
        <v>0</v>
      </c>
      <c r="KD81" s="24">
        <v>0</v>
      </c>
      <c r="KE81" s="24">
        <v>0</v>
      </c>
      <c r="KF81" s="24">
        <v>0</v>
      </c>
      <c r="KG81" s="24">
        <v>0</v>
      </c>
      <c r="KH81" s="24">
        <v>0</v>
      </c>
      <c r="KI81" s="24">
        <v>0</v>
      </c>
      <c r="KJ81" s="24">
        <v>0</v>
      </c>
      <c r="KK81" s="24">
        <v>0</v>
      </c>
      <c r="KL81" s="24">
        <v>0</v>
      </c>
      <c r="KM81" s="24">
        <v>0</v>
      </c>
      <c r="KN81" s="24">
        <v>0</v>
      </c>
      <c r="KO81" s="24">
        <v>0</v>
      </c>
      <c r="KP81" s="24">
        <v>0</v>
      </c>
      <c r="KQ81" s="24">
        <v>0</v>
      </c>
      <c r="KR81" s="24">
        <v>0</v>
      </c>
      <c r="KS81" s="24">
        <v>0</v>
      </c>
      <c r="KT81" s="24">
        <v>0</v>
      </c>
      <c r="KU81" s="24">
        <v>0</v>
      </c>
      <c r="KV81" s="24">
        <v>0</v>
      </c>
      <c r="KW81" s="24">
        <v>0</v>
      </c>
      <c r="KX81" s="24">
        <v>0</v>
      </c>
      <c r="KY81" s="24">
        <v>0</v>
      </c>
      <c r="KZ81" s="24">
        <v>0</v>
      </c>
      <c r="LA81" s="24">
        <v>0</v>
      </c>
      <c r="LB81" s="24">
        <v>0</v>
      </c>
      <c r="LC81" s="24">
        <v>0</v>
      </c>
      <c r="LD81" s="24">
        <v>0</v>
      </c>
      <c r="LE81" s="24">
        <v>0</v>
      </c>
      <c r="LF81" s="24">
        <v>0</v>
      </c>
      <c r="LG81" s="24">
        <v>0</v>
      </c>
      <c r="LH81" s="24">
        <v>0</v>
      </c>
      <c r="LI81" s="24">
        <v>0</v>
      </c>
      <c r="LJ81" s="24">
        <v>0</v>
      </c>
      <c r="LK81" s="24">
        <v>0</v>
      </c>
      <c r="LL81" s="24">
        <v>0</v>
      </c>
      <c r="LM81" s="24">
        <v>0</v>
      </c>
      <c r="LN81" s="24">
        <v>0</v>
      </c>
      <c r="LO81" s="24">
        <v>0</v>
      </c>
      <c r="LP81" s="24">
        <v>0</v>
      </c>
      <c r="LQ81" s="24">
        <v>47068</v>
      </c>
      <c r="LR81" s="24">
        <v>0</v>
      </c>
      <c r="LS81" s="24">
        <v>0</v>
      </c>
      <c r="LT81" s="24">
        <v>0</v>
      </c>
      <c r="LU81" s="24">
        <v>0</v>
      </c>
      <c r="LV81" s="24">
        <v>0</v>
      </c>
      <c r="LW81" s="24">
        <v>0</v>
      </c>
      <c r="LX81" s="24">
        <v>0</v>
      </c>
      <c r="LY81" s="24">
        <v>0</v>
      </c>
      <c r="LZ81" s="24">
        <v>0</v>
      </c>
      <c r="MA81" s="24">
        <v>0</v>
      </c>
      <c r="MB81" s="24">
        <v>0</v>
      </c>
      <c r="MC81" s="24">
        <v>0</v>
      </c>
      <c r="MD81" s="24">
        <v>0</v>
      </c>
      <c r="ME81" s="24">
        <v>0</v>
      </c>
      <c r="MF81" s="24">
        <v>0</v>
      </c>
      <c r="MG81" s="24">
        <v>9509</v>
      </c>
      <c r="MH81" s="24">
        <v>0</v>
      </c>
      <c r="MI81" s="24">
        <v>0</v>
      </c>
      <c r="MJ81" s="24">
        <v>0</v>
      </c>
      <c r="MK81" s="24">
        <v>0</v>
      </c>
      <c r="ML81" s="24">
        <v>0</v>
      </c>
      <c r="MM81" s="24">
        <v>0</v>
      </c>
      <c r="MN81" s="24">
        <v>0</v>
      </c>
      <c r="MO81" s="24">
        <v>3122</v>
      </c>
      <c r="MP81" s="24">
        <v>0</v>
      </c>
      <c r="MQ81" s="24">
        <v>0</v>
      </c>
      <c r="MR81" s="24">
        <v>66794</v>
      </c>
      <c r="MS81" s="24">
        <v>0</v>
      </c>
      <c r="MT81" s="24">
        <v>0</v>
      </c>
      <c r="MU81" s="24">
        <v>0</v>
      </c>
      <c r="MV81" s="24">
        <v>0</v>
      </c>
      <c r="MW81" s="24">
        <v>48911</v>
      </c>
      <c r="MX81" s="24">
        <v>364</v>
      </c>
      <c r="MY81" s="24">
        <v>0</v>
      </c>
      <c r="MZ81" s="24">
        <v>0</v>
      </c>
      <c r="NA81" s="24">
        <v>9586</v>
      </c>
      <c r="NB81" s="24">
        <v>6631</v>
      </c>
      <c r="NC81" s="24">
        <v>0</v>
      </c>
      <c r="ND81" s="24">
        <v>0</v>
      </c>
      <c r="NE81" s="24">
        <v>0</v>
      </c>
      <c r="NF81" s="24">
        <v>0</v>
      </c>
      <c r="NG81" s="24">
        <v>0</v>
      </c>
      <c r="NH81" s="24">
        <v>0</v>
      </c>
      <c r="NI81" s="24">
        <v>0</v>
      </c>
      <c r="NJ81" s="24">
        <v>0</v>
      </c>
      <c r="NK81" s="24">
        <v>0</v>
      </c>
      <c r="NL81" s="24">
        <v>0</v>
      </c>
      <c r="NM81" s="24">
        <v>0</v>
      </c>
      <c r="NN81" s="24">
        <v>0</v>
      </c>
      <c r="NO81" s="24">
        <v>0</v>
      </c>
      <c r="NP81" s="24">
        <v>0</v>
      </c>
      <c r="NQ81" s="24">
        <v>0</v>
      </c>
      <c r="NR81" s="24">
        <v>0</v>
      </c>
      <c r="NS81" s="24">
        <v>0</v>
      </c>
      <c r="NT81" s="24">
        <v>0</v>
      </c>
      <c r="NU81" s="24">
        <v>0</v>
      </c>
      <c r="NV81" s="24">
        <v>19829</v>
      </c>
      <c r="NW81" s="24">
        <v>0</v>
      </c>
      <c r="NX81" s="24">
        <v>0</v>
      </c>
      <c r="NY81" s="24">
        <v>0</v>
      </c>
      <c r="NZ81" s="24">
        <v>0</v>
      </c>
      <c r="OA81" s="24">
        <v>0</v>
      </c>
      <c r="OB81" s="24">
        <v>0</v>
      </c>
      <c r="OC81" s="24">
        <v>0</v>
      </c>
      <c r="OD81" s="24">
        <v>0</v>
      </c>
      <c r="OE81" s="24">
        <v>0</v>
      </c>
      <c r="OF81" s="24">
        <v>0</v>
      </c>
      <c r="OG81" s="24">
        <v>0</v>
      </c>
      <c r="OH81" s="24">
        <v>0</v>
      </c>
      <c r="OI81" s="24">
        <v>0</v>
      </c>
      <c r="OJ81" s="24">
        <v>0</v>
      </c>
      <c r="OK81" s="24">
        <v>0</v>
      </c>
      <c r="OL81" s="24">
        <v>0</v>
      </c>
      <c r="OM81" s="24">
        <v>0</v>
      </c>
      <c r="ON81" s="24">
        <v>0</v>
      </c>
      <c r="OO81" s="24">
        <v>0</v>
      </c>
      <c r="OP81" s="24">
        <v>0</v>
      </c>
      <c r="OQ81" s="24">
        <v>0</v>
      </c>
      <c r="OR81" s="24">
        <v>0</v>
      </c>
      <c r="OS81" s="24">
        <v>0</v>
      </c>
      <c r="OT81" s="24">
        <v>0</v>
      </c>
      <c r="OU81" s="24">
        <v>0</v>
      </c>
      <c r="OV81" s="24">
        <v>0</v>
      </c>
      <c r="OW81" s="24">
        <v>0</v>
      </c>
      <c r="OX81" s="24">
        <v>0</v>
      </c>
      <c r="OY81" s="24">
        <v>0</v>
      </c>
      <c r="OZ81" s="24">
        <v>0</v>
      </c>
      <c r="PA81" s="24">
        <v>0</v>
      </c>
      <c r="PB81" s="24">
        <v>0</v>
      </c>
      <c r="PC81" s="24">
        <v>0</v>
      </c>
      <c r="PD81" s="24">
        <v>15272</v>
      </c>
      <c r="PE81" s="24">
        <v>0</v>
      </c>
      <c r="PF81" s="24">
        <v>0</v>
      </c>
      <c r="PG81" s="24">
        <v>0</v>
      </c>
      <c r="PH81" s="24">
        <v>0</v>
      </c>
      <c r="PI81" s="24">
        <v>0</v>
      </c>
      <c r="PJ81" s="24">
        <v>0</v>
      </c>
      <c r="PK81" s="24">
        <v>0</v>
      </c>
      <c r="PL81" s="24">
        <v>0</v>
      </c>
      <c r="PM81" s="24">
        <v>0</v>
      </c>
      <c r="PN81" s="24">
        <v>0</v>
      </c>
      <c r="PO81" s="24">
        <v>0</v>
      </c>
      <c r="PP81" s="24">
        <v>0</v>
      </c>
      <c r="PQ81" s="24">
        <v>0</v>
      </c>
      <c r="PR81" s="24">
        <v>0</v>
      </c>
      <c r="PS81" s="24">
        <v>0</v>
      </c>
      <c r="PT81" s="24">
        <v>0</v>
      </c>
      <c r="PU81" s="24">
        <v>1668</v>
      </c>
      <c r="PV81" s="24">
        <v>0</v>
      </c>
      <c r="PW81" s="24">
        <v>0</v>
      </c>
      <c r="PX81" s="24">
        <v>0</v>
      </c>
      <c r="PY81" s="24">
        <v>0</v>
      </c>
      <c r="PZ81" s="24">
        <v>0</v>
      </c>
      <c r="QA81" s="24">
        <v>0</v>
      </c>
      <c r="QB81" s="24">
        <v>0</v>
      </c>
      <c r="QC81" s="24">
        <v>0</v>
      </c>
      <c r="QD81" s="24">
        <v>0</v>
      </c>
      <c r="QE81" s="24">
        <v>0</v>
      </c>
      <c r="QF81" s="24">
        <v>0</v>
      </c>
      <c r="QG81" s="24">
        <v>0</v>
      </c>
      <c r="QH81" s="24">
        <v>0</v>
      </c>
      <c r="QI81" s="24">
        <v>0</v>
      </c>
      <c r="QJ81" s="24">
        <v>0</v>
      </c>
      <c r="QK81" s="24">
        <v>0</v>
      </c>
      <c r="QL81" s="24">
        <v>0</v>
      </c>
      <c r="QM81" s="24">
        <v>0</v>
      </c>
      <c r="QN81" s="24">
        <v>0</v>
      </c>
      <c r="QO81" s="24">
        <v>0</v>
      </c>
      <c r="QP81" s="24">
        <v>0</v>
      </c>
      <c r="QQ81" s="24">
        <v>0</v>
      </c>
      <c r="QR81" s="24">
        <v>0</v>
      </c>
      <c r="QS81" s="24">
        <v>14033</v>
      </c>
      <c r="QT81" s="24">
        <v>0</v>
      </c>
      <c r="QU81" s="24">
        <v>0</v>
      </c>
      <c r="QV81" s="24">
        <v>0</v>
      </c>
      <c r="QW81" s="24">
        <v>46527</v>
      </c>
      <c r="QX81" s="24">
        <v>0</v>
      </c>
      <c r="QY81" s="24">
        <v>0</v>
      </c>
      <c r="QZ81" s="24">
        <v>31188</v>
      </c>
      <c r="RA81" s="24">
        <v>0</v>
      </c>
      <c r="RB81" s="24">
        <v>0</v>
      </c>
      <c r="RG81" s="39">
        <f t="shared" si="129"/>
        <v>413632</v>
      </c>
      <c r="RH81" s="39">
        <f t="shared" si="128"/>
        <v>146131</v>
      </c>
      <c r="RI81" s="39">
        <f t="shared" si="128"/>
        <v>6576</v>
      </c>
      <c r="RJ81" s="39">
        <f t="shared" si="128"/>
        <v>0</v>
      </c>
      <c r="RK81" s="39">
        <f t="shared" si="128"/>
        <v>0</v>
      </c>
      <c r="RL81" s="39">
        <f t="shared" si="128"/>
        <v>1221261</v>
      </c>
      <c r="RM81" s="39">
        <f t="shared" si="128"/>
        <v>104801</v>
      </c>
      <c r="RN81" s="39">
        <f t="shared" si="128"/>
        <v>1125</v>
      </c>
      <c r="RO81" s="39">
        <f t="shared" si="128"/>
        <v>18950</v>
      </c>
      <c r="RP81" s="39">
        <f t="shared" si="128"/>
        <v>23555</v>
      </c>
      <c r="RQ81" s="39">
        <f t="shared" si="128"/>
        <v>18202</v>
      </c>
      <c r="RR81" s="39">
        <f t="shared" si="128"/>
        <v>7401</v>
      </c>
      <c r="RS81" s="39"/>
      <c r="RT81" s="182"/>
      <c r="RU81" s="39"/>
      <c r="RV81" s="39">
        <f t="shared" si="182"/>
        <v>211814</v>
      </c>
      <c r="RW81" s="39">
        <f t="shared" si="182"/>
        <v>1961634</v>
      </c>
      <c r="RX81" s="39">
        <f t="shared" si="182"/>
        <v>1148848</v>
      </c>
      <c r="RY81" s="39">
        <f t="shared" si="182"/>
        <v>108688</v>
      </c>
      <c r="RZ81" s="39"/>
      <c r="SA81" s="182"/>
      <c r="SB81" s="39"/>
      <c r="SC81" s="25">
        <f t="shared" si="183"/>
        <v>5444.7772511848343</v>
      </c>
      <c r="SD81" s="39">
        <f>IFERROR(VLOOKUP(A81, 'Levy Data 15-16'!$B:$O, 3, FALSE), 0)</f>
        <v>172807248</v>
      </c>
      <c r="SE81" s="39">
        <f t="shared" si="144"/>
        <v>818991.69668246445</v>
      </c>
      <c r="SF81" s="631">
        <f>IFERROR(VLOOKUP(A81, 'Levy Data 15-16'!$B:$O, 14, FALSE), 0)*1000</f>
        <v>5.8089579999999996</v>
      </c>
      <c r="SG81" s="39">
        <f t="shared" si="145"/>
        <v>0</v>
      </c>
      <c r="SH81" s="39">
        <f t="shared" si="146"/>
        <v>0</v>
      </c>
      <c r="SI81" s="39">
        <f t="shared" si="147"/>
        <v>1148848</v>
      </c>
      <c r="SM81" s="39">
        <f t="shared" si="148"/>
        <v>1961634</v>
      </c>
      <c r="SN81" s="39">
        <f t="shared" si="149"/>
        <v>0</v>
      </c>
      <c r="SO81" s="39">
        <f t="shared" si="184"/>
        <v>1961634</v>
      </c>
      <c r="SP81" s="50">
        <f t="shared" si="130"/>
        <v>1</v>
      </c>
      <c r="ST81" s="124">
        <f>IFERROR(VLOOKUP(A81,'Grade Enroll 15-16'!B:AC,27,FALSE),"")</f>
        <v>211</v>
      </c>
      <c r="SU81" s="124">
        <f t="shared" si="185"/>
        <v>92.880382775119628</v>
      </c>
      <c r="SV81" s="131">
        <f>IFERROR(VLOOKUP($A81, 'Title I Enroll 16-17'!S:V, 4, FALSE), 0)</f>
        <v>0.44019138755980863</v>
      </c>
      <c r="SW81" s="729">
        <f>IFERROR(VLOOKUP(A81, 'ELL Enroll 15-16'!$N:$S, 6, FALSE), 0)</f>
        <v>5</v>
      </c>
      <c r="SX81" s="131">
        <f t="shared" si="131"/>
        <v>2.3696682464454975E-2</v>
      </c>
      <c r="SY81" s="124">
        <f>IFERROR(VLOOKUP(A81, 'SPED enroll 2015-16'!$M:$O, 3, FALSE), 0)</f>
        <v>29</v>
      </c>
      <c r="SZ81" s="131">
        <f t="shared" si="132"/>
        <v>0.13744075829383887</v>
      </c>
      <c r="TA81" s="142">
        <f t="shared" si="133"/>
        <v>20.299999999999997</v>
      </c>
      <c r="TB81" s="142">
        <f t="shared" si="133"/>
        <v>5.8000000000000007</v>
      </c>
      <c r="TC81" s="142">
        <f t="shared" si="133"/>
        <v>2.0300000000000002</v>
      </c>
      <c r="TD81" s="142">
        <f t="shared" si="133"/>
        <v>0.87</v>
      </c>
      <c r="TE81" s="124">
        <f>VLOOKUP($A81, 'Grade Enroll 15-16'!$B:$AB, 20, FALSE)</f>
        <v>0</v>
      </c>
      <c r="TF81" s="124">
        <f>VLOOKUP($A81, 'Grade Enroll 15-16'!$B:$AB, 21, FALSE)</f>
        <v>14</v>
      </c>
      <c r="TG81" s="124">
        <f>VLOOKUP($A81, 'Grade Enroll 15-16'!$B:$AB, 22, FALSE)</f>
        <v>46</v>
      </c>
      <c r="TH81" s="124">
        <f>VLOOKUP($A81, 'Grade Enroll 15-16'!$B:$AB, 23, FALSE)</f>
        <v>53</v>
      </c>
      <c r="TI81" s="124">
        <f>VLOOKUP($A81, 'Grade Enroll 15-16'!$B:$AB, 24, FALSE)</f>
        <v>42</v>
      </c>
      <c r="TJ81" s="124">
        <f>VLOOKUP($A81, 'Grade Enroll 15-16'!$B:$AB, 25, FALSE)</f>
        <v>70</v>
      </c>
      <c r="TK81" s="124">
        <f>VLOOKUP($A81, 'Grade Enroll 15-16'!$B:$AB, 26, FALSE)</f>
        <v>150</v>
      </c>
      <c r="TL81" s="131">
        <f>SUMIFS('Student Achievement 15-16'!N:N, 'Student Achievement 15-16'!B:B, 'Idaho Data'!A81, 'Student Achievement 15-16'!D:D, "math")/100</f>
        <v>0.26</v>
      </c>
      <c r="TM81" s="134">
        <f t="shared" si="186"/>
        <v>54.86</v>
      </c>
      <c r="TN81" s="131">
        <f>SUMIFS('Student Achievement 15-16'!N:N, 'Student Achievement 15-16'!B:B, 'Idaho Data'!A81, 'Student Achievement 15-16'!D:D, "ela")/100</f>
        <v>0.26</v>
      </c>
      <c r="TO81" s="134">
        <f t="shared" si="134"/>
        <v>54.86</v>
      </c>
      <c r="TP81" s="688">
        <f>IFERROR(VLOOKUP(A81, 'G&amp;T 15-16'!B:G, 6, FALSE), 0)*1</f>
        <v>10</v>
      </c>
      <c r="TQ81" s="168">
        <f t="shared" si="135"/>
        <v>12.66</v>
      </c>
      <c r="TU81" s="168">
        <f t="shared" si="136"/>
        <v>54.86</v>
      </c>
      <c r="TV81" s="168">
        <f t="shared" si="137"/>
        <v>54.86</v>
      </c>
      <c r="TW81" s="205">
        <f t="shared" si="138"/>
        <v>54.86</v>
      </c>
      <c r="TX81" s="144"/>
      <c r="TY81" s="129"/>
      <c r="TZ81" s="127">
        <f t="shared" si="139"/>
        <v>10</v>
      </c>
      <c r="UA81" s="127">
        <f t="shared" si="140"/>
        <v>12.66</v>
      </c>
      <c r="UB81" s="205">
        <f t="shared" si="141"/>
        <v>12.66</v>
      </c>
      <c r="UE81" s="853" t="str">
        <f>IF(ST81&lt;='1. Simulator Input'!$E$104, "yes", "")</f>
        <v>yes</v>
      </c>
      <c r="UI81" s="199">
        <f t="shared" si="187"/>
        <v>0</v>
      </c>
      <c r="UJ81" s="200">
        <f>IF('Idaho Data'!SI81&gt;=0, ((1-'1. Simulator Input'!$E$39)*'Idaho Data'!SI81), 0)</f>
        <v>0</v>
      </c>
      <c r="UK81" s="200">
        <f t="shared" si="142"/>
        <v>1961634</v>
      </c>
      <c r="UL81" s="39"/>
      <c r="UM81" s="182"/>
      <c r="UN81" s="39"/>
      <c r="UO81" s="39">
        <f>IF(AND('1. Simulator Input'!$E$96="yes", '1. Simulator Input'!$E$98="yes", '1. Simulator Input'!$E$100="hold harmless"), 'Idaho Data'!WN81, IF(AND('1. Simulator Input'!$E$96="yes", '1. Simulator Input'!$E$98="no", '1. Simulator Input'!$E$100="hold harmless"), 'Idaho Data'!WM81, IF(AND('1. Simulator Input'!$E$96="yes", '1. Simulator Input'!$E$98="yes", '1. Simulator Input'!$E$100="small district grant"), WL81,IF(AND('1. Simulator Input'!$E$96="yes", '1. Simulator Input'!$E$98="no", '1. Simulator Input'!$E$100="small district grant"), WK81, ""))))</f>
        <v>0</v>
      </c>
      <c r="UP81" s="200">
        <f>'1. Simulator Input'!$D$56*('Idaho Data'!ST81)</f>
        <v>1165986</v>
      </c>
      <c r="UQ81" s="204">
        <f>'1. Simulator Input'!$D$65*'1. Simulator Input'!$D$56*'Idaho Data'!SU81</f>
        <v>0</v>
      </c>
      <c r="UR81" s="204">
        <f>'1. Simulator Input'!$D$66*'1. Simulator Input'!$D$56*'Idaho Data'!SW81</f>
        <v>0</v>
      </c>
      <c r="US81" s="200">
        <f>'1. Simulator Input'!$D$67*'1. Simulator Input'!$D$56*'Idaho Data'!TA81</f>
        <v>0</v>
      </c>
      <c r="UT81" s="200">
        <f>'1. Simulator Input'!$D$68*'1. Simulator Input'!$D$56*'Idaho Data'!TB81</f>
        <v>0</v>
      </c>
      <c r="UU81" s="200">
        <f>'1. Simulator Input'!$D$69*'1. Simulator Input'!$D$56*'Idaho Data'!TC81</f>
        <v>0</v>
      </c>
      <c r="UV81" s="200">
        <f>'1. Simulator Input'!$D$70*'1. Simulator Input'!$D$56*TD81</f>
        <v>0</v>
      </c>
      <c r="UW81" s="200">
        <f>'1. Simulator Input'!$D$80*'1. Simulator Input'!$D$56*TW81</f>
        <v>0</v>
      </c>
      <c r="UX81" s="200">
        <f>'1. Simulator Input'!$D$79*'1. Simulator Input'!$D$56*UB81</f>
        <v>0</v>
      </c>
      <c r="UY81" s="200">
        <f>'1. Simulator Input'!$D$87*'1. Simulator Input'!$D$56*TF81</f>
        <v>38682</v>
      </c>
      <c r="UZ81" s="200">
        <f>'1. Simulator Input'!$D$73*'1. Simulator Input'!$D$56*'Idaho Data'!TG81</f>
        <v>0</v>
      </c>
      <c r="VA81" s="200">
        <f>'1. Simulator Input'!$D$56*'1. Simulator Input'!$D$74*'Idaho Data'!TH81</f>
        <v>0</v>
      </c>
      <c r="VB81" s="200">
        <f>'1. Simulator Input'!$D$56*'1. Simulator Input'!$D$75*'Idaho Data'!TI76</f>
        <v>0</v>
      </c>
      <c r="VC81" s="200">
        <f>'1. Simulator Input'!$D$76*'1. Simulator Input'!$D$56*'Idaho Data'!TJ81</f>
        <v>0</v>
      </c>
      <c r="VD81" s="200">
        <f t="shared" si="188"/>
        <v>1204668</v>
      </c>
      <c r="VE81" s="200"/>
      <c r="VF81" s="182"/>
      <c r="VG81" s="200"/>
      <c r="VH81" s="200">
        <f t="shared" si="189"/>
        <v>0</v>
      </c>
      <c r="VI81" s="200">
        <f t="shared" si="190"/>
        <v>0</v>
      </c>
      <c r="VJ81" s="200">
        <f t="shared" si="150"/>
        <v>1204668</v>
      </c>
      <c r="VK81" s="200">
        <f t="shared" si="151"/>
        <v>1204668</v>
      </c>
      <c r="VL81" s="200"/>
      <c r="VM81" s="182"/>
      <c r="VN81" s="200"/>
      <c r="VO81" s="200">
        <f t="shared" si="191"/>
        <v>211814</v>
      </c>
      <c r="VP81" s="200">
        <f t="shared" si="192"/>
        <v>1961634</v>
      </c>
      <c r="VQ81" s="200">
        <f t="shared" si="193"/>
        <v>1148848</v>
      </c>
      <c r="VR81" s="200">
        <f t="shared" si="194"/>
        <v>211814</v>
      </c>
      <c r="VS81" s="200">
        <f t="shared" si="152"/>
        <v>1204668</v>
      </c>
      <c r="VT81" s="200">
        <f t="shared" si="153"/>
        <v>1148848</v>
      </c>
      <c r="VU81" s="200">
        <f t="shared" si="154"/>
        <v>0</v>
      </c>
      <c r="VV81" s="200"/>
      <c r="VW81" s="182"/>
      <c r="VX81" s="200"/>
      <c r="VZ81" s="199">
        <f t="shared" si="195"/>
        <v>-756966</v>
      </c>
      <c r="WA81" s="199">
        <f t="shared" si="196"/>
        <v>-3587.5165876777251</v>
      </c>
      <c r="WB81" s="131">
        <f t="shared" si="197"/>
        <v>-0.38588544040325568</v>
      </c>
      <c r="WC81" s="131"/>
      <c r="WD81" s="461"/>
      <c r="WE81" s="893"/>
      <c r="WF81" s="893">
        <f t="shared" si="198"/>
        <v>15745.478672985782</v>
      </c>
      <c r="WG81" s="893">
        <f t="shared" si="199"/>
        <v>12157.962085308056</v>
      </c>
      <c r="WH81" s="893"/>
      <c r="WI81" s="893">
        <f t="shared" si="200"/>
        <v>1961634</v>
      </c>
      <c r="WJ81" s="893">
        <f t="shared" si="155"/>
        <v>1204668</v>
      </c>
      <c r="WK81" s="39">
        <f t="shared" si="156"/>
        <v>0</v>
      </c>
      <c r="WL81" s="39">
        <f t="shared" si="157"/>
        <v>0</v>
      </c>
      <c r="WM81" s="200">
        <f t="shared" si="158"/>
        <v>756966</v>
      </c>
      <c r="WN81" s="39">
        <f t="shared" si="159"/>
        <v>756966</v>
      </c>
      <c r="WO81" s="39"/>
      <c r="WP81" s="182"/>
      <c r="WQ81" s="39"/>
      <c r="WR81" s="305">
        <f t="shared" si="160"/>
        <v>0.754</v>
      </c>
      <c r="WT81" s="200">
        <f t="shared" si="161"/>
        <v>9296.8436018957345</v>
      </c>
      <c r="WU81" s="131">
        <f t="shared" si="201"/>
        <v>0.83</v>
      </c>
      <c r="WW81" s="199">
        <f t="shared" si="162"/>
        <v>211814</v>
      </c>
      <c r="WX81" s="199">
        <f t="shared" si="163"/>
        <v>1204668</v>
      </c>
      <c r="WY81" s="199">
        <f t="shared" si="164"/>
        <v>0</v>
      </c>
      <c r="WZ81" s="199">
        <f t="shared" si="202"/>
        <v>1204668</v>
      </c>
      <c r="XA81" s="199">
        <f t="shared" si="165"/>
        <v>0</v>
      </c>
      <c r="XB81" s="199">
        <f t="shared" si="166"/>
        <v>1148848</v>
      </c>
      <c r="XC81" s="199">
        <f t="shared" si="167"/>
        <v>1148848</v>
      </c>
      <c r="XD81" s="199" t="str">
        <f t="shared" si="168"/>
        <v/>
      </c>
      <c r="XE81" s="199"/>
      <c r="XF81" s="199"/>
      <c r="XG81" s="199"/>
      <c r="XH81" s="199"/>
      <c r="XI81" s="199"/>
      <c r="XJ81" s="199">
        <f t="shared" si="203"/>
        <v>1204668</v>
      </c>
      <c r="XP81" s="199">
        <f t="shared" si="169"/>
        <v>1204668</v>
      </c>
      <c r="XQ81" s="199">
        <f t="shared" si="170"/>
        <v>5709.327014218009</v>
      </c>
      <c r="XR81" s="199">
        <f t="shared" si="171"/>
        <v>1204668</v>
      </c>
      <c r="XS81" s="199">
        <f t="shared" si="172"/>
        <v>1204668</v>
      </c>
      <c r="XT81" s="199">
        <f t="shared" si="173"/>
        <v>5709.327014218009</v>
      </c>
      <c r="XU81" s="199">
        <f t="shared" si="174"/>
        <v>1961634</v>
      </c>
      <c r="XV81" s="199">
        <f t="shared" si="175"/>
        <v>9296.8436018957345</v>
      </c>
      <c r="XW81" s="199">
        <f t="shared" si="176"/>
        <v>1961634</v>
      </c>
      <c r="XX81" s="199">
        <f t="shared" si="177"/>
        <v>9296.8436018957345</v>
      </c>
      <c r="XY81" s="199">
        <f t="shared" si="204"/>
        <v>-756966</v>
      </c>
      <c r="XZ81" s="199">
        <f t="shared" si="205"/>
        <v>-3587.5165876777255</v>
      </c>
      <c r="YA81" s="131">
        <f t="shared" si="143"/>
        <v>-0.38588544040325568</v>
      </c>
      <c r="YB81" s="199"/>
      <c r="YC81" s="221"/>
      <c r="YD81" s="199"/>
      <c r="YE81" s="199">
        <f t="shared" si="178"/>
        <v>211814</v>
      </c>
      <c r="YF81" s="200">
        <f t="shared" si="179"/>
        <v>0</v>
      </c>
      <c r="YG81" s="199">
        <f t="shared" si="180"/>
        <v>1148848</v>
      </c>
      <c r="YH81" s="199">
        <f t="shared" si="181"/>
        <v>108688</v>
      </c>
    </row>
    <row r="82" spans="1:658">
      <c r="A82" s="3">
        <v>291</v>
      </c>
      <c r="B82" s="2" t="s">
        <v>178</v>
      </c>
      <c r="C82" s="24">
        <v>176</v>
      </c>
      <c r="D82" s="24">
        <v>0</v>
      </c>
      <c r="E82" s="24">
        <v>0</v>
      </c>
      <c r="F82" s="24">
        <v>0</v>
      </c>
      <c r="G82" s="24">
        <v>387456</v>
      </c>
      <c r="H82" s="24">
        <v>0</v>
      </c>
      <c r="I82" s="24">
        <v>0</v>
      </c>
      <c r="J82" s="24">
        <v>24801</v>
      </c>
      <c r="K82" s="24">
        <v>0</v>
      </c>
      <c r="L82" s="24">
        <v>0</v>
      </c>
      <c r="M82" s="24">
        <v>0</v>
      </c>
      <c r="N82" s="24">
        <v>0</v>
      </c>
      <c r="O82" s="24">
        <v>0</v>
      </c>
      <c r="P82" s="24">
        <v>0</v>
      </c>
      <c r="Q82" s="24">
        <v>0</v>
      </c>
      <c r="R82" s="24">
        <v>0</v>
      </c>
      <c r="S82" s="24">
        <v>0</v>
      </c>
      <c r="T82" s="24">
        <v>0</v>
      </c>
      <c r="U82" s="24">
        <v>0</v>
      </c>
      <c r="V82" s="24">
        <v>0</v>
      </c>
      <c r="W82" s="24">
        <v>0</v>
      </c>
      <c r="X82" s="24">
        <v>0</v>
      </c>
      <c r="Y82" s="24">
        <v>2899</v>
      </c>
      <c r="Z82" s="24">
        <v>0</v>
      </c>
      <c r="AA82" s="24">
        <v>0</v>
      </c>
      <c r="AB82" s="24">
        <v>0</v>
      </c>
      <c r="AC82" s="24">
        <v>0</v>
      </c>
      <c r="AD82" s="24">
        <v>0</v>
      </c>
      <c r="AE82" s="24">
        <v>0</v>
      </c>
      <c r="AF82" s="24">
        <v>0</v>
      </c>
      <c r="AG82" s="24">
        <v>0</v>
      </c>
      <c r="AH82" s="24">
        <v>0</v>
      </c>
      <c r="AI82" s="24">
        <v>0</v>
      </c>
      <c r="AJ82" s="24">
        <v>0</v>
      </c>
      <c r="AK82" s="24">
        <v>0</v>
      </c>
      <c r="AL82" s="24">
        <v>1431</v>
      </c>
      <c r="AM82" s="24">
        <v>0</v>
      </c>
      <c r="AN82" s="24">
        <v>0</v>
      </c>
      <c r="AO82" s="24">
        <v>0</v>
      </c>
      <c r="AP82" s="24">
        <v>0</v>
      </c>
      <c r="AQ82" s="24">
        <v>0</v>
      </c>
      <c r="AR82" s="24">
        <v>0</v>
      </c>
      <c r="AS82" s="24">
        <v>0</v>
      </c>
      <c r="AT82" s="24">
        <v>0</v>
      </c>
      <c r="AU82" s="24">
        <v>0</v>
      </c>
      <c r="AV82" s="24">
        <v>0</v>
      </c>
      <c r="AW82" s="24">
        <v>0</v>
      </c>
      <c r="AX82" s="24">
        <v>0</v>
      </c>
      <c r="AY82" s="24">
        <v>0</v>
      </c>
      <c r="AZ82" s="24">
        <v>0</v>
      </c>
      <c r="BA82" s="24">
        <v>0</v>
      </c>
      <c r="BB82" s="24">
        <v>0</v>
      </c>
      <c r="BC82" s="24">
        <v>0</v>
      </c>
      <c r="BD82" s="24">
        <v>0</v>
      </c>
      <c r="BE82" s="24">
        <v>1495</v>
      </c>
      <c r="BF82" s="24">
        <v>0</v>
      </c>
      <c r="BG82" s="24">
        <v>0</v>
      </c>
      <c r="BH82" s="24">
        <v>0</v>
      </c>
      <c r="BI82" s="24">
        <v>0</v>
      </c>
      <c r="BJ82" s="24">
        <v>0</v>
      </c>
      <c r="BK82" s="24">
        <v>0</v>
      </c>
      <c r="BL82" s="24">
        <v>0</v>
      </c>
      <c r="BM82" s="24">
        <v>0</v>
      </c>
      <c r="BN82" s="24">
        <v>0</v>
      </c>
      <c r="BO82" s="24">
        <v>0</v>
      </c>
      <c r="BP82" s="24">
        <v>0</v>
      </c>
      <c r="BQ82" s="24">
        <v>0</v>
      </c>
      <c r="BR82" s="24">
        <v>0</v>
      </c>
      <c r="BS82" s="24">
        <v>0</v>
      </c>
      <c r="BT82" s="24">
        <v>0</v>
      </c>
      <c r="BU82" s="24">
        <v>0</v>
      </c>
      <c r="BV82" s="24">
        <v>0</v>
      </c>
      <c r="BW82" s="24">
        <v>0</v>
      </c>
      <c r="BX82" s="24">
        <v>0</v>
      </c>
      <c r="BY82" s="24">
        <v>0</v>
      </c>
      <c r="BZ82" s="24">
        <v>0</v>
      </c>
      <c r="CA82" s="24">
        <v>0</v>
      </c>
      <c r="CB82" s="24">
        <v>0</v>
      </c>
      <c r="CC82" s="24">
        <v>0</v>
      </c>
      <c r="CD82" s="24">
        <v>41414</v>
      </c>
      <c r="CE82" s="24">
        <v>734</v>
      </c>
      <c r="CF82" s="24">
        <v>0</v>
      </c>
      <c r="CG82" s="24">
        <v>8700</v>
      </c>
      <c r="CH82" s="24">
        <v>0</v>
      </c>
      <c r="CI82" s="24">
        <v>43242</v>
      </c>
      <c r="CJ82" s="24">
        <v>0</v>
      </c>
      <c r="CK82" s="24">
        <v>0</v>
      </c>
      <c r="CL82" s="24">
        <v>0</v>
      </c>
      <c r="CM82" s="24">
        <v>0</v>
      </c>
      <c r="CN82" s="24">
        <v>0</v>
      </c>
      <c r="CO82" s="24">
        <v>0</v>
      </c>
      <c r="CP82" s="24">
        <v>0</v>
      </c>
      <c r="CQ82" s="24">
        <v>0</v>
      </c>
      <c r="CR82" s="24">
        <v>0</v>
      </c>
      <c r="CS82" s="24">
        <v>10333</v>
      </c>
      <c r="CT82" s="24">
        <v>0</v>
      </c>
      <c r="CU82" s="24">
        <v>0</v>
      </c>
      <c r="CV82" s="24">
        <v>0</v>
      </c>
      <c r="CW82" s="24">
        <v>0</v>
      </c>
      <c r="CX82" s="24">
        <v>0</v>
      </c>
      <c r="CY82" s="24">
        <v>0</v>
      </c>
      <c r="CZ82" s="24">
        <v>0</v>
      </c>
      <c r="DA82" s="24">
        <v>0</v>
      </c>
      <c r="DB82" s="24">
        <v>4500</v>
      </c>
      <c r="DC82" s="24">
        <v>0</v>
      </c>
      <c r="DD82" s="24">
        <v>0</v>
      </c>
      <c r="DE82" s="24">
        <v>0</v>
      </c>
      <c r="DF82" s="24">
        <v>0</v>
      </c>
      <c r="DG82" s="24">
        <v>0</v>
      </c>
      <c r="DH82" s="24">
        <v>0</v>
      </c>
      <c r="DI82" s="24">
        <v>0</v>
      </c>
      <c r="DJ82" s="24">
        <v>0</v>
      </c>
      <c r="DK82" s="24">
        <v>0</v>
      </c>
      <c r="DL82" s="24">
        <v>0</v>
      </c>
      <c r="DM82" s="24">
        <v>0</v>
      </c>
      <c r="DN82" s="24">
        <v>0</v>
      </c>
      <c r="DO82" s="24">
        <v>0</v>
      </c>
      <c r="DP82" s="24">
        <v>0</v>
      </c>
      <c r="DQ82" s="24">
        <v>0</v>
      </c>
      <c r="DR82" s="24">
        <v>0</v>
      </c>
      <c r="DS82" s="24">
        <v>0</v>
      </c>
      <c r="DT82" s="24">
        <v>0</v>
      </c>
      <c r="DU82" s="24">
        <v>2700</v>
      </c>
      <c r="DV82" s="24">
        <v>0</v>
      </c>
      <c r="DW82" s="24">
        <v>0</v>
      </c>
      <c r="DX82" s="24">
        <v>0</v>
      </c>
      <c r="DY82" s="24">
        <v>0</v>
      </c>
      <c r="DZ82" s="24">
        <v>0</v>
      </c>
      <c r="EA82" s="24">
        <v>0</v>
      </c>
      <c r="EB82" s="24">
        <v>0</v>
      </c>
      <c r="EC82" s="24">
        <v>0</v>
      </c>
      <c r="ED82" s="24">
        <v>0</v>
      </c>
      <c r="EE82" s="24">
        <v>0</v>
      </c>
      <c r="EF82" s="24">
        <v>0</v>
      </c>
      <c r="EG82" s="24">
        <v>2277</v>
      </c>
      <c r="EH82" s="24">
        <v>0</v>
      </c>
      <c r="EI82" s="24">
        <v>0</v>
      </c>
      <c r="EJ82" s="24">
        <v>0</v>
      </c>
      <c r="EK82" s="24">
        <v>0</v>
      </c>
      <c r="EL82" s="24">
        <v>0</v>
      </c>
      <c r="EM82" s="24">
        <v>0</v>
      </c>
      <c r="EN82" s="24">
        <v>0</v>
      </c>
      <c r="EO82" s="24">
        <v>0</v>
      </c>
      <c r="EP82" s="24">
        <v>0</v>
      </c>
      <c r="EQ82" s="24">
        <v>0</v>
      </c>
      <c r="ER82" s="24">
        <v>0</v>
      </c>
      <c r="ES82" s="24">
        <v>0</v>
      </c>
      <c r="ET82" s="24">
        <v>0</v>
      </c>
      <c r="EU82" s="24">
        <v>0</v>
      </c>
      <c r="EV82" s="24">
        <v>0</v>
      </c>
      <c r="EW82" s="24">
        <v>0</v>
      </c>
      <c r="EX82" s="24">
        <v>0</v>
      </c>
      <c r="EY82" s="24">
        <v>0</v>
      </c>
      <c r="EZ82" s="24">
        <v>0</v>
      </c>
      <c r="FA82" s="24">
        <v>0</v>
      </c>
      <c r="FB82" s="24">
        <v>0</v>
      </c>
      <c r="FC82" s="24">
        <v>0</v>
      </c>
      <c r="FD82" s="24">
        <v>0</v>
      </c>
      <c r="FE82" s="24">
        <v>0</v>
      </c>
      <c r="FF82" s="24">
        <v>0</v>
      </c>
      <c r="FG82" s="24">
        <v>7200</v>
      </c>
      <c r="FH82" s="24">
        <v>0</v>
      </c>
      <c r="FI82" s="24">
        <v>0</v>
      </c>
      <c r="FJ82" s="24">
        <v>0</v>
      </c>
      <c r="FK82" s="24">
        <v>0</v>
      </c>
      <c r="FL82" s="24">
        <v>78350</v>
      </c>
      <c r="FM82" s="24">
        <v>0</v>
      </c>
      <c r="FN82" s="24">
        <v>0</v>
      </c>
      <c r="FO82" s="24">
        <v>0</v>
      </c>
      <c r="FP82" s="24">
        <v>0</v>
      </c>
      <c r="FQ82" s="24">
        <v>0</v>
      </c>
      <c r="FR82" s="24">
        <v>0</v>
      </c>
      <c r="FS82" s="24">
        <v>286881</v>
      </c>
      <c r="FT82" s="24">
        <v>0</v>
      </c>
      <c r="FU82" s="24">
        <v>0</v>
      </c>
      <c r="FV82" s="24">
        <v>0</v>
      </c>
      <c r="FW82" s="24">
        <v>0</v>
      </c>
      <c r="FX82" s="24">
        <v>0</v>
      </c>
      <c r="FY82" s="24">
        <v>0</v>
      </c>
      <c r="FZ82" s="24">
        <v>0</v>
      </c>
      <c r="GA82" s="24">
        <v>0</v>
      </c>
      <c r="GB82" s="24">
        <v>0</v>
      </c>
      <c r="GC82" s="24">
        <v>0</v>
      </c>
      <c r="GD82" s="24">
        <v>0</v>
      </c>
      <c r="GE82" s="24">
        <v>0</v>
      </c>
      <c r="GF82" s="24">
        <v>0</v>
      </c>
      <c r="GG82" s="24">
        <v>0</v>
      </c>
      <c r="GH82" s="24">
        <v>0</v>
      </c>
      <c r="GI82" s="24">
        <v>0</v>
      </c>
      <c r="GJ82" s="24">
        <v>0</v>
      </c>
      <c r="GK82" s="24">
        <v>0</v>
      </c>
      <c r="GL82" s="24">
        <v>0</v>
      </c>
      <c r="GM82" s="24">
        <v>10</v>
      </c>
      <c r="GN82" s="24">
        <v>0</v>
      </c>
      <c r="GO82" s="24">
        <v>0</v>
      </c>
      <c r="GP82" s="24">
        <v>0</v>
      </c>
      <c r="GQ82" s="24">
        <v>0</v>
      </c>
      <c r="GR82" s="24">
        <v>0</v>
      </c>
      <c r="GS82" s="24">
        <v>0</v>
      </c>
      <c r="GT82" s="24">
        <v>0</v>
      </c>
      <c r="GU82" s="24">
        <v>0</v>
      </c>
      <c r="GV82" s="24">
        <v>0</v>
      </c>
      <c r="GW82" s="24">
        <v>0</v>
      </c>
      <c r="GX82" s="24">
        <v>0</v>
      </c>
      <c r="GY82" s="24">
        <v>0</v>
      </c>
      <c r="GZ82" s="24">
        <v>0</v>
      </c>
      <c r="HA82" s="24">
        <v>0</v>
      </c>
      <c r="HB82" s="24">
        <v>0</v>
      </c>
      <c r="HC82" s="24">
        <v>0</v>
      </c>
      <c r="HD82" s="24">
        <v>3434231</v>
      </c>
      <c r="HE82" s="24">
        <v>0</v>
      </c>
      <c r="HF82" s="24">
        <v>0</v>
      </c>
      <c r="HG82" s="24">
        <v>0</v>
      </c>
      <c r="HH82" s="24">
        <v>0</v>
      </c>
      <c r="HI82" s="24">
        <v>160100</v>
      </c>
      <c r="HJ82" s="24">
        <v>0</v>
      </c>
      <c r="HK82" s="24">
        <v>0</v>
      </c>
      <c r="HL82" s="24">
        <v>0</v>
      </c>
      <c r="HM82" s="24">
        <v>0</v>
      </c>
      <c r="HN82" s="24">
        <v>0</v>
      </c>
      <c r="HO82" s="24">
        <v>460392</v>
      </c>
      <c r="HP82" s="24">
        <v>114311</v>
      </c>
      <c r="HQ82" s="24">
        <v>0</v>
      </c>
      <c r="HR82" s="24">
        <v>0</v>
      </c>
      <c r="HS82" s="24">
        <v>12957</v>
      </c>
      <c r="HT82" s="24">
        <v>0</v>
      </c>
      <c r="HU82" s="24">
        <v>0</v>
      </c>
      <c r="HV82" s="24">
        <v>0</v>
      </c>
      <c r="HW82" s="24">
        <v>0</v>
      </c>
      <c r="HX82" s="24">
        <v>0</v>
      </c>
      <c r="HY82" s="24">
        <v>0</v>
      </c>
      <c r="HZ82" s="24">
        <v>0</v>
      </c>
      <c r="IA82" s="24">
        <v>51467</v>
      </c>
      <c r="IB82" s="24">
        <v>11980</v>
      </c>
      <c r="IC82" s="24">
        <v>0</v>
      </c>
      <c r="ID82" s="24">
        <v>0</v>
      </c>
      <c r="IE82" s="24">
        <v>0</v>
      </c>
      <c r="IF82" s="24">
        <v>0</v>
      </c>
      <c r="IG82" s="24">
        <v>0</v>
      </c>
      <c r="IH82" s="24">
        <v>0</v>
      </c>
      <c r="II82" s="24">
        <v>0</v>
      </c>
      <c r="IJ82" s="24">
        <v>0</v>
      </c>
      <c r="IK82" s="24">
        <v>0</v>
      </c>
      <c r="IL82" s="24">
        <v>0</v>
      </c>
      <c r="IM82" s="24">
        <v>0</v>
      </c>
      <c r="IN82" s="24">
        <v>0</v>
      </c>
      <c r="IO82" s="24">
        <v>3861</v>
      </c>
      <c r="IP82" s="24">
        <v>0</v>
      </c>
      <c r="IQ82" s="24">
        <v>0</v>
      </c>
      <c r="IR82" s="24">
        <v>24876</v>
      </c>
      <c r="IS82" s="24">
        <v>0</v>
      </c>
      <c r="IT82" s="24">
        <v>0</v>
      </c>
      <c r="IU82" s="24">
        <v>0</v>
      </c>
      <c r="IV82" s="24">
        <v>0</v>
      </c>
      <c r="IW82" s="24">
        <v>46457</v>
      </c>
      <c r="IX82" s="24">
        <v>0</v>
      </c>
      <c r="IY82" s="24">
        <v>0</v>
      </c>
      <c r="IZ82" s="24">
        <v>0</v>
      </c>
      <c r="JA82" s="24">
        <v>0</v>
      </c>
      <c r="JB82" s="24">
        <v>5764</v>
      </c>
      <c r="JC82" s="24">
        <v>0</v>
      </c>
      <c r="JD82" s="24">
        <v>0</v>
      </c>
      <c r="JE82" s="24">
        <v>42413</v>
      </c>
      <c r="JF82" s="24">
        <v>0</v>
      </c>
      <c r="JG82" s="24">
        <v>0</v>
      </c>
      <c r="JH82" s="24">
        <v>2500</v>
      </c>
      <c r="JI82" s="24">
        <v>0</v>
      </c>
      <c r="JJ82" s="24">
        <v>0</v>
      </c>
      <c r="JK82" s="24">
        <v>0</v>
      </c>
      <c r="JL82" s="24">
        <v>0</v>
      </c>
      <c r="JM82" s="24">
        <v>0</v>
      </c>
      <c r="JN82" s="24">
        <v>0</v>
      </c>
      <c r="JO82" s="24">
        <v>0</v>
      </c>
      <c r="JP82" s="24">
        <v>0</v>
      </c>
      <c r="JQ82" s="24">
        <v>0</v>
      </c>
      <c r="JR82" s="24">
        <v>0</v>
      </c>
      <c r="JS82" s="24">
        <v>0</v>
      </c>
      <c r="JT82" s="24">
        <v>13652</v>
      </c>
      <c r="JU82" s="24">
        <v>0</v>
      </c>
      <c r="JV82" s="24">
        <v>167441</v>
      </c>
      <c r="JW82" s="24">
        <v>100053</v>
      </c>
      <c r="JX82" s="24">
        <v>0</v>
      </c>
      <c r="JY82" s="24">
        <v>0</v>
      </c>
      <c r="JZ82" s="24">
        <v>0</v>
      </c>
      <c r="KA82" s="24">
        <v>0</v>
      </c>
      <c r="KB82" s="24">
        <v>0</v>
      </c>
      <c r="KC82" s="24">
        <v>0</v>
      </c>
      <c r="KD82" s="24">
        <v>0</v>
      </c>
      <c r="KE82" s="24">
        <v>0</v>
      </c>
      <c r="KF82" s="24">
        <v>0</v>
      </c>
      <c r="KG82" s="24">
        <v>403098</v>
      </c>
      <c r="KH82" s="24">
        <v>0</v>
      </c>
      <c r="KI82" s="24">
        <v>0</v>
      </c>
      <c r="KJ82" s="24">
        <v>0</v>
      </c>
      <c r="KK82" s="24">
        <v>0</v>
      </c>
      <c r="KL82" s="24">
        <v>0</v>
      </c>
      <c r="KM82" s="24">
        <v>0</v>
      </c>
      <c r="KN82" s="24">
        <v>0</v>
      </c>
      <c r="KO82" s="24">
        <v>0</v>
      </c>
      <c r="KP82" s="24">
        <v>0</v>
      </c>
      <c r="KQ82" s="24">
        <v>0</v>
      </c>
      <c r="KR82" s="24">
        <v>0</v>
      </c>
      <c r="KS82" s="24">
        <v>0</v>
      </c>
      <c r="KT82" s="24">
        <v>0</v>
      </c>
      <c r="KU82" s="24">
        <v>0</v>
      </c>
      <c r="KV82" s="24">
        <v>0</v>
      </c>
      <c r="KW82" s="24">
        <v>0</v>
      </c>
      <c r="KX82" s="24">
        <v>0</v>
      </c>
      <c r="KY82" s="24">
        <v>0</v>
      </c>
      <c r="KZ82" s="24">
        <v>0</v>
      </c>
      <c r="LA82" s="24">
        <v>0</v>
      </c>
      <c r="LB82" s="24">
        <v>0</v>
      </c>
      <c r="LC82" s="24">
        <v>0</v>
      </c>
      <c r="LD82" s="24">
        <v>0</v>
      </c>
      <c r="LE82" s="24">
        <v>0</v>
      </c>
      <c r="LF82" s="24">
        <v>0</v>
      </c>
      <c r="LG82" s="24">
        <v>0</v>
      </c>
      <c r="LH82" s="24">
        <v>0</v>
      </c>
      <c r="LI82" s="24">
        <v>0</v>
      </c>
      <c r="LJ82" s="24">
        <v>0</v>
      </c>
      <c r="LK82" s="24">
        <v>0</v>
      </c>
      <c r="LL82" s="24">
        <v>0</v>
      </c>
      <c r="LM82" s="24">
        <v>0</v>
      </c>
      <c r="LN82" s="24">
        <v>0</v>
      </c>
      <c r="LO82" s="24">
        <v>0</v>
      </c>
      <c r="LP82" s="24">
        <v>0</v>
      </c>
      <c r="LQ82" s="24">
        <v>153603</v>
      </c>
      <c r="LR82" s="24">
        <v>0</v>
      </c>
      <c r="LS82" s="24">
        <v>0</v>
      </c>
      <c r="LT82" s="24">
        <v>0</v>
      </c>
      <c r="LU82" s="24">
        <v>0</v>
      </c>
      <c r="LV82" s="24">
        <v>0</v>
      </c>
      <c r="LW82" s="24">
        <v>0</v>
      </c>
      <c r="LX82" s="24">
        <v>0</v>
      </c>
      <c r="LY82" s="24">
        <v>0</v>
      </c>
      <c r="LZ82" s="24">
        <v>0</v>
      </c>
      <c r="MA82" s="24">
        <v>0</v>
      </c>
      <c r="MB82" s="24">
        <v>0</v>
      </c>
      <c r="MC82" s="24">
        <v>0</v>
      </c>
      <c r="MD82" s="24">
        <v>0</v>
      </c>
      <c r="ME82" s="24">
        <v>0</v>
      </c>
      <c r="MF82" s="24">
        <v>0</v>
      </c>
      <c r="MG82" s="24">
        <v>0</v>
      </c>
      <c r="MH82" s="24">
        <v>0</v>
      </c>
      <c r="MI82" s="24">
        <v>0</v>
      </c>
      <c r="MJ82" s="24">
        <v>0</v>
      </c>
      <c r="MK82" s="24">
        <v>0</v>
      </c>
      <c r="ML82" s="24">
        <v>0</v>
      </c>
      <c r="MM82" s="24">
        <v>0</v>
      </c>
      <c r="MN82" s="24">
        <v>0</v>
      </c>
      <c r="MO82" s="24">
        <v>25897</v>
      </c>
      <c r="MP82" s="24">
        <v>0</v>
      </c>
      <c r="MQ82" s="24">
        <v>0</v>
      </c>
      <c r="MR82" s="24">
        <v>133649</v>
      </c>
      <c r="MS82" s="24">
        <v>0</v>
      </c>
      <c r="MT82" s="24">
        <v>0</v>
      </c>
      <c r="MU82" s="24">
        <v>0</v>
      </c>
      <c r="MV82" s="24">
        <v>0</v>
      </c>
      <c r="MW82" s="24">
        <v>165062</v>
      </c>
      <c r="MX82" s="24">
        <v>7792</v>
      </c>
      <c r="MY82" s="24">
        <v>0</v>
      </c>
      <c r="MZ82" s="24">
        <v>0</v>
      </c>
      <c r="NA82" s="24">
        <v>0</v>
      </c>
      <c r="NB82" s="24">
        <v>0</v>
      </c>
      <c r="NC82" s="24">
        <v>0</v>
      </c>
      <c r="ND82" s="24">
        <v>0</v>
      </c>
      <c r="NE82" s="24">
        <v>0</v>
      </c>
      <c r="NF82" s="24">
        <v>0</v>
      </c>
      <c r="NG82" s="24">
        <v>0</v>
      </c>
      <c r="NH82" s="24">
        <v>0</v>
      </c>
      <c r="NI82" s="24">
        <v>0</v>
      </c>
      <c r="NJ82" s="24">
        <v>0</v>
      </c>
      <c r="NK82" s="24">
        <v>0</v>
      </c>
      <c r="NL82" s="24">
        <v>0</v>
      </c>
      <c r="NM82" s="24">
        <v>0</v>
      </c>
      <c r="NN82" s="24">
        <v>0</v>
      </c>
      <c r="NO82" s="24">
        <v>0</v>
      </c>
      <c r="NP82" s="24">
        <v>0</v>
      </c>
      <c r="NQ82" s="24">
        <v>31994</v>
      </c>
      <c r="NR82" s="24">
        <v>0</v>
      </c>
      <c r="NS82" s="24">
        <v>0</v>
      </c>
      <c r="NT82" s="24">
        <v>0</v>
      </c>
      <c r="NU82" s="24">
        <v>0</v>
      </c>
      <c r="NV82" s="24">
        <v>3073</v>
      </c>
      <c r="NW82" s="24">
        <v>0</v>
      </c>
      <c r="NX82" s="24">
        <v>160258</v>
      </c>
      <c r="NY82" s="24">
        <v>0</v>
      </c>
      <c r="NZ82" s="24">
        <v>0</v>
      </c>
      <c r="OA82" s="24">
        <v>0</v>
      </c>
      <c r="OB82" s="24">
        <v>0</v>
      </c>
      <c r="OC82" s="24">
        <v>0</v>
      </c>
      <c r="OD82" s="24">
        <v>2795</v>
      </c>
      <c r="OE82" s="24">
        <v>0</v>
      </c>
      <c r="OF82" s="24">
        <v>0</v>
      </c>
      <c r="OG82" s="24">
        <v>17585</v>
      </c>
      <c r="OH82" s="24">
        <v>0</v>
      </c>
      <c r="OI82" s="24">
        <v>0</v>
      </c>
      <c r="OJ82" s="24">
        <v>48084</v>
      </c>
      <c r="OK82" s="24">
        <v>29958</v>
      </c>
      <c r="OL82" s="24">
        <v>0</v>
      </c>
      <c r="OM82" s="24">
        <v>0</v>
      </c>
      <c r="ON82" s="24">
        <v>0</v>
      </c>
      <c r="OO82" s="24">
        <v>0</v>
      </c>
      <c r="OP82" s="24">
        <v>0</v>
      </c>
      <c r="OQ82" s="24">
        <v>0</v>
      </c>
      <c r="OR82" s="24">
        <v>0</v>
      </c>
      <c r="OS82" s="24">
        <v>0</v>
      </c>
      <c r="OT82" s="24">
        <v>0</v>
      </c>
      <c r="OU82" s="24">
        <v>0</v>
      </c>
      <c r="OV82" s="24">
        <v>0</v>
      </c>
      <c r="OW82" s="24">
        <v>0</v>
      </c>
      <c r="OX82" s="24">
        <v>0</v>
      </c>
      <c r="OY82" s="24">
        <v>0</v>
      </c>
      <c r="OZ82" s="24">
        <v>0</v>
      </c>
      <c r="PA82" s="24">
        <v>0</v>
      </c>
      <c r="PB82" s="24">
        <v>0</v>
      </c>
      <c r="PC82" s="24">
        <v>0</v>
      </c>
      <c r="PD82" s="24">
        <v>0</v>
      </c>
      <c r="PE82" s="24">
        <v>0</v>
      </c>
      <c r="PF82" s="24">
        <v>0</v>
      </c>
      <c r="PG82" s="24">
        <v>0</v>
      </c>
      <c r="PH82" s="24">
        <v>16904</v>
      </c>
      <c r="PI82" s="24">
        <v>457110</v>
      </c>
      <c r="PJ82" s="24">
        <v>0</v>
      </c>
      <c r="PK82" s="24">
        <v>60000</v>
      </c>
      <c r="PL82" s="24">
        <v>0</v>
      </c>
      <c r="PM82" s="24">
        <v>0</v>
      </c>
      <c r="PN82" s="24">
        <v>0</v>
      </c>
      <c r="PO82" s="24">
        <v>0</v>
      </c>
      <c r="PP82" s="24">
        <v>0</v>
      </c>
      <c r="PQ82" s="24">
        <v>0</v>
      </c>
      <c r="PR82" s="24">
        <v>0</v>
      </c>
      <c r="PS82" s="24">
        <v>0</v>
      </c>
      <c r="PT82" s="24">
        <v>0</v>
      </c>
      <c r="PU82" s="24">
        <v>0</v>
      </c>
      <c r="PV82" s="24">
        <v>0</v>
      </c>
      <c r="PW82" s="24">
        <v>0</v>
      </c>
      <c r="PX82" s="24">
        <v>0</v>
      </c>
      <c r="PY82" s="24">
        <v>0</v>
      </c>
      <c r="PZ82" s="24">
        <v>33866</v>
      </c>
      <c r="QA82" s="24">
        <v>0</v>
      </c>
      <c r="QB82" s="24">
        <v>0</v>
      </c>
      <c r="QC82" s="24">
        <v>0</v>
      </c>
      <c r="QD82" s="24">
        <v>0</v>
      </c>
      <c r="QE82" s="24">
        <v>0</v>
      </c>
      <c r="QF82" s="24">
        <v>0</v>
      </c>
      <c r="QG82" s="24">
        <v>0</v>
      </c>
      <c r="QH82" s="24">
        <v>0</v>
      </c>
      <c r="QI82" s="24">
        <v>0</v>
      </c>
      <c r="QJ82" s="24">
        <v>0</v>
      </c>
      <c r="QK82" s="24">
        <v>0</v>
      </c>
      <c r="QL82" s="24">
        <v>0</v>
      </c>
      <c r="QM82" s="24">
        <v>37167</v>
      </c>
      <c r="QN82" s="24">
        <v>0</v>
      </c>
      <c r="QO82" s="24">
        <v>0</v>
      </c>
      <c r="QP82" s="24">
        <v>0</v>
      </c>
      <c r="QQ82" s="24">
        <v>0</v>
      </c>
      <c r="QR82" s="24">
        <v>0</v>
      </c>
      <c r="QS82" s="24">
        <v>29256</v>
      </c>
      <c r="QT82" s="24">
        <v>0</v>
      </c>
      <c r="QU82" s="24">
        <v>2218</v>
      </c>
      <c r="QV82" s="24">
        <v>0</v>
      </c>
      <c r="QW82" s="24">
        <v>54538</v>
      </c>
      <c r="QX82" s="24">
        <v>0</v>
      </c>
      <c r="QY82" s="24">
        <v>0</v>
      </c>
      <c r="QZ82" s="24">
        <v>0</v>
      </c>
      <c r="RA82" s="24">
        <v>7800</v>
      </c>
      <c r="RB82" s="24">
        <v>0</v>
      </c>
      <c r="RG82" s="39">
        <f t="shared" si="129"/>
        <v>3434231</v>
      </c>
      <c r="RH82" s="39">
        <f t="shared" si="128"/>
        <v>160100</v>
      </c>
      <c r="RI82" s="39">
        <f t="shared" si="128"/>
        <v>0</v>
      </c>
      <c r="RJ82" s="39">
        <f t="shared" si="128"/>
        <v>0</v>
      </c>
      <c r="RK82" s="39">
        <f t="shared" si="128"/>
        <v>0</v>
      </c>
      <c r="RL82" s="39">
        <f t="shared" si="128"/>
        <v>460392</v>
      </c>
      <c r="RM82" s="39">
        <f t="shared" si="128"/>
        <v>190715</v>
      </c>
      <c r="RN82" s="39">
        <f t="shared" si="128"/>
        <v>3861</v>
      </c>
      <c r="RO82" s="39">
        <f t="shared" si="128"/>
        <v>24876</v>
      </c>
      <c r="RP82" s="39">
        <f t="shared" si="128"/>
        <v>46457</v>
      </c>
      <c r="RQ82" s="39">
        <f t="shared" si="128"/>
        <v>5764</v>
      </c>
      <c r="RR82" s="39">
        <f t="shared" si="128"/>
        <v>326059</v>
      </c>
      <c r="RS82" s="39"/>
      <c r="RT82" s="182"/>
      <c r="RU82" s="39"/>
      <c r="RV82" s="39">
        <f t="shared" si="182"/>
        <v>1182848</v>
      </c>
      <c r="RW82" s="39">
        <f t="shared" si="182"/>
        <v>4652455</v>
      </c>
      <c r="RX82" s="39">
        <f t="shared" si="182"/>
        <v>904599</v>
      </c>
      <c r="RY82" s="39">
        <f t="shared" si="182"/>
        <v>698859</v>
      </c>
      <c r="RZ82" s="39"/>
      <c r="SA82" s="182"/>
      <c r="SB82" s="39"/>
      <c r="SC82" s="39">
        <f t="shared" si="183"/>
        <v>1324.4494875549049</v>
      </c>
      <c r="SD82" s="39">
        <f>IFERROR(VLOOKUP(A82, 'Levy Data 15-16'!$B:$O, 3, FALSE), 0)</f>
        <v>530758461</v>
      </c>
      <c r="SE82" s="39">
        <f t="shared" si="144"/>
        <v>777098.77159590041</v>
      </c>
      <c r="SF82" s="631">
        <f>IFERROR(VLOOKUP(A82, 'Levy Data 15-16'!$B:$O, 14, FALSE), 0)*1000</f>
        <v>0.77559400000000001</v>
      </c>
      <c r="SG82" s="39">
        <f t="shared" si="145"/>
        <v>0</v>
      </c>
      <c r="SH82" s="39">
        <f t="shared" si="146"/>
        <v>0</v>
      </c>
      <c r="SI82" s="39">
        <f t="shared" si="147"/>
        <v>904599</v>
      </c>
      <c r="SM82" s="39">
        <f t="shared" si="148"/>
        <v>4652455</v>
      </c>
      <c r="SN82" s="39">
        <f t="shared" si="149"/>
        <v>0</v>
      </c>
      <c r="SO82" s="39">
        <f t="shared" si="184"/>
        <v>4652455</v>
      </c>
      <c r="SP82" s="50">
        <f t="shared" si="130"/>
        <v>1</v>
      </c>
      <c r="ST82" s="124">
        <f>IFERROR(VLOOKUP(A82,'Grade Enroll 15-16'!B:AC,27,FALSE),"")</f>
        <v>683</v>
      </c>
      <c r="SU82" s="124">
        <f t="shared" si="185"/>
        <v>429.44183006535945</v>
      </c>
      <c r="SV82" s="131">
        <f>IFERROR(VLOOKUP($A82, 'Title I Enroll 16-17'!S:V, 4, FALSE), 0)</f>
        <v>0.62875816993464051</v>
      </c>
      <c r="SW82" s="729">
        <f>IFERROR(VLOOKUP(A82, 'ELL Enroll 15-16'!$N:$S, 6, FALSE), 0)</f>
        <v>5</v>
      </c>
      <c r="SX82" s="131">
        <f t="shared" si="131"/>
        <v>7.320644216691069E-3</v>
      </c>
      <c r="SY82" s="124">
        <f>IFERROR(VLOOKUP(A82, 'SPED enroll 2015-16'!$M:$O, 3, FALSE), 0)</f>
        <v>108</v>
      </c>
      <c r="SZ82" s="131">
        <f t="shared" si="132"/>
        <v>0.15812591508052709</v>
      </c>
      <c r="TA82" s="142">
        <f t="shared" si="133"/>
        <v>75.599999999999994</v>
      </c>
      <c r="TB82" s="142">
        <f t="shared" si="133"/>
        <v>21.6</v>
      </c>
      <c r="TC82" s="142">
        <f t="shared" si="133"/>
        <v>7.5600000000000005</v>
      </c>
      <c r="TD82" s="142">
        <f t="shared" si="133"/>
        <v>3.2399999999999998</v>
      </c>
      <c r="TE82" s="124">
        <f>VLOOKUP($A82, 'Grade Enroll 15-16'!$B:$AB, 20, FALSE)</f>
        <v>21</v>
      </c>
      <c r="TF82" s="124">
        <f>VLOOKUP($A82, 'Grade Enroll 15-16'!$B:$AB, 21, FALSE)</f>
        <v>62</v>
      </c>
      <c r="TG82" s="124">
        <f>VLOOKUP($A82, 'Grade Enroll 15-16'!$B:$AB, 22, FALSE)</f>
        <v>160</v>
      </c>
      <c r="TH82" s="124">
        <f>VLOOKUP($A82, 'Grade Enroll 15-16'!$B:$AB, 23, FALSE)</f>
        <v>162</v>
      </c>
      <c r="TI82" s="124">
        <f>VLOOKUP($A82, 'Grade Enroll 15-16'!$B:$AB, 24, FALSE)</f>
        <v>119</v>
      </c>
      <c r="TJ82" s="124">
        <f>VLOOKUP($A82, 'Grade Enroll 15-16'!$B:$AB, 25, FALSE)</f>
        <v>242</v>
      </c>
      <c r="TK82" s="124">
        <f>VLOOKUP($A82, 'Grade Enroll 15-16'!$B:$AB, 26, FALSE)</f>
        <v>472</v>
      </c>
      <c r="TL82" s="131">
        <f>SUMIFS('Student Achievement 15-16'!N:N, 'Student Achievement 15-16'!B:B, 'Idaho Data'!A82, 'Student Achievement 15-16'!D:D, "math")/100</f>
        <v>0.29299999999999998</v>
      </c>
      <c r="TM82" s="134">
        <f t="shared" si="186"/>
        <v>200.119</v>
      </c>
      <c r="TN82" s="131">
        <f>SUMIFS('Student Achievement 15-16'!N:N, 'Student Achievement 15-16'!B:B, 'Idaho Data'!A82, 'Student Achievement 15-16'!D:D, "ela")/100</f>
        <v>0.24399999999999999</v>
      </c>
      <c r="TO82" s="134">
        <f t="shared" si="134"/>
        <v>166.65199999999999</v>
      </c>
      <c r="TP82" s="688">
        <f>IFERROR(VLOOKUP(A82, 'G&amp;T 15-16'!B:G, 6, FALSE), 0)*1</f>
        <v>30</v>
      </c>
      <c r="TQ82" s="168">
        <f t="shared" si="135"/>
        <v>40.98</v>
      </c>
      <c r="TU82" s="168">
        <f t="shared" si="136"/>
        <v>166.65199999999999</v>
      </c>
      <c r="TV82" s="168">
        <f t="shared" si="137"/>
        <v>200.119</v>
      </c>
      <c r="TW82" s="205">
        <f t="shared" si="138"/>
        <v>200.119</v>
      </c>
      <c r="TX82" s="144"/>
      <c r="TY82" s="129"/>
      <c r="TZ82" s="127">
        <f t="shared" si="139"/>
        <v>30</v>
      </c>
      <c r="UA82" s="127">
        <f t="shared" si="140"/>
        <v>40.98</v>
      </c>
      <c r="UB82" s="205">
        <f t="shared" si="141"/>
        <v>40.98</v>
      </c>
      <c r="UE82" s="853" t="str">
        <f>IF(ST82&lt;='1. Simulator Input'!$E$104, "yes", "")</f>
        <v/>
      </c>
      <c r="UI82" s="199">
        <f t="shared" si="187"/>
        <v>0</v>
      </c>
      <c r="UJ82" s="200">
        <f>IF('Idaho Data'!SI82&gt;=0, ((1-'1. Simulator Input'!$E$39)*'Idaho Data'!SI82), 0)</f>
        <v>0</v>
      </c>
      <c r="UK82" s="200">
        <f t="shared" si="142"/>
        <v>4652455</v>
      </c>
      <c r="UL82" s="39"/>
      <c r="UM82" s="182"/>
      <c r="UN82" s="39"/>
      <c r="UO82" s="39" t="str">
        <f>IF(AND('1. Simulator Input'!$E$96="yes", '1. Simulator Input'!$E$98="yes", '1. Simulator Input'!$E$100="hold harmless"), 'Idaho Data'!WN82, IF(AND('1. Simulator Input'!$E$96="yes", '1. Simulator Input'!$E$98="no", '1. Simulator Input'!$E$100="hold harmless"), 'Idaho Data'!WM82, IF(AND('1. Simulator Input'!$E$96="yes", '1. Simulator Input'!$E$98="yes", '1. Simulator Input'!$E$100="small district grant"), WL82,IF(AND('1. Simulator Input'!$E$96="yes", '1. Simulator Input'!$E$98="no", '1. Simulator Input'!$E$100="small district grant"), WK82, ""))))</f>
        <v/>
      </c>
      <c r="UP82" s="200">
        <f>'1. Simulator Input'!$D$56*('Idaho Data'!ST82)</f>
        <v>3774258</v>
      </c>
      <c r="UQ82" s="204">
        <f>'1. Simulator Input'!$D$65*'1. Simulator Input'!$D$56*'Idaho Data'!SU82</f>
        <v>0</v>
      </c>
      <c r="UR82" s="204">
        <f>'1. Simulator Input'!$D$66*'1. Simulator Input'!$D$56*'Idaho Data'!SW82</f>
        <v>0</v>
      </c>
      <c r="US82" s="200">
        <f>'1. Simulator Input'!$D$67*'1. Simulator Input'!$D$56*'Idaho Data'!TA82</f>
        <v>0</v>
      </c>
      <c r="UT82" s="200">
        <f>'1. Simulator Input'!$D$68*'1. Simulator Input'!$D$56*'Idaho Data'!TB82</f>
        <v>0</v>
      </c>
      <c r="UU82" s="200">
        <f>'1. Simulator Input'!$D$69*'1. Simulator Input'!$D$56*'Idaho Data'!TC82</f>
        <v>0</v>
      </c>
      <c r="UV82" s="200">
        <f>'1. Simulator Input'!$D$70*'1. Simulator Input'!$D$56*TD82</f>
        <v>0</v>
      </c>
      <c r="UW82" s="200">
        <f>'1. Simulator Input'!$D$80*'1. Simulator Input'!$D$56*TW82</f>
        <v>0</v>
      </c>
      <c r="UX82" s="200">
        <f>'1. Simulator Input'!$D$79*'1. Simulator Input'!$D$56*UB82</f>
        <v>0</v>
      </c>
      <c r="UY82" s="200">
        <f>'1. Simulator Input'!$D$87*'1. Simulator Input'!$D$56*TF82</f>
        <v>171306</v>
      </c>
      <c r="UZ82" s="200">
        <f>'1. Simulator Input'!$D$73*'1. Simulator Input'!$D$56*'Idaho Data'!TG82</f>
        <v>0</v>
      </c>
      <c r="VA82" s="200">
        <f>'1. Simulator Input'!$D$56*'1. Simulator Input'!$D$74*'Idaho Data'!TH82</f>
        <v>0</v>
      </c>
      <c r="VB82" s="200">
        <f>'1. Simulator Input'!$D$56*'1. Simulator Input'!$D$75*'Idaho Data'!TI77</f>
        <v>0</v>
      </c>
      <c r="VC82" s="200">
        <f>'1. Simulator Input'!$D$76*'1. Simulator Input'!$D$56*'Idaho Data'!TJ82</f>
        <v>0</v>
      </c>
      <c r="VD82" s="200">
        <f t="shared" si="188"/>
        <v>3945564</v>
      </c>
      <c r="VE82" s="200"/>
      <c r="VF82" s="182"/>
      <c r="VG82" s="200"/>
      <c r="VH82" s="200">
        <f t="shared" si="189"/>
        <v>0</v>
      </c>
      <c r="VI82" s="200">
        <f t="shared" si="190"/>
        <v>0</v>
      </c>
      <c r="VJ82" s="200">
        <f t="shared" si="150"/>
        <v>3945564</v>
      </c>
      <c r="VK82" s="200">
        <f t="shared" si="151"/>
        <v>3945564</v>
      </c>
      <c r="VL82" s="200"/>
      <c r="VM82" s="182"/>
      <c r="VN82" s="200"/>
      <c r="VO82" s="200">
        <f t="shared" si="191"/>
        <v>1182848</v>
      </c>
      <c r="VP82" s="200">
        <f t="shared" si="192"/>
        <v>4652455</v>
      </c>
      <c r="VQ82" s="200">
        <f t="shared" si="193"/>
        <v>904599</v>
      </c>
      <c r="VR82" s="200">
        <f t="shared" si="194"/>
        <v>1182848</v>
      </c>
      <c r="VS82" s="200">
        <f t="shared" si="152"/>
        <v>3945564</v>
      </c>
      <c r="VT82" s="200">
        <f t="shared" si="153"/>
        <v>904599</v>
      </c>
      <c r="VU82" s="200">
        <f t="shared" si="154"/>
        <v>0</v>
      </c>
      <c r="VV82" s="200"/>
      <c r="VW82" s="182"/>
      <c r="VX82" s="200"/>
      <c r="VZ82" s="199">
        <f t="shared" si="195"/>
        <v>-706891</v>
      </c>
      <c r="WA82" s="199">
        <f t="shared" si="196"/>
        <v>-1034.9795021961932</v>
      </c>
      <c r="WB82" s="131">
        <f t="shared" si="197"/>
        <v>-0.15193935244940573</v>
      </c>
      <c r="WC82" s="131"/>
      <c r="WD82" s="461"/>
      <c r="WE82" s="893"/>
      <c r="WF82" s="893">
        <f t="shared" si="198"/>
        <v>9868.0849194729144</v>
      </c>
      <c r="WG82" s="893">
        <f t="shared" si="199"/>
        <v>8833.1054172767199</v>
      </c>
      <c r="WH82" s="893"/>
      <c r="WI82" s="893">
        <f t="shared" si="200"/>
        <v>4652455</v>
      </c>
      <c r="WJ82" s="893">
        <f t="shared" si="155"/>
        <v>3945564</v>
      </c>
      <c r="WK82" s="39" t="str">
        <f t="shared" si="156"/>
        <v/>
      </c>
      <c r="WL82" s="39" t="str">
        <f t="shared" si="157"/>
        <v/>
      </c>
      <c r="WM82" s="200" t="str">
        <f t="shared" si="158"/>
        <v/>
      </c>
      <c r="WN82" s="39" t="str">
        <f t="shared" si="159"/>
        <v/>
      </c>
      <c r="WO82" s="39"/>
      <c r="WP82" s="182"/>
      <c r="WQ82" s="39"/>
      <c r="WR82" s="305">
        <f t="shared" si="160"/>
        <v>0.73599999999999999</v>
      </c>
      <c r="WT82" s="200">
        <f t="shared" si="161"/>
        <v>6811.7935578330889</v>
      </c>
      <c r="WU82" s="131">
        <f t="shared" si="201"/>
        <v>0.54</v>
      </c>
      <c r="WW82" s="199">
        <f t="shared" si="162"/>
        <v>1182848</v>
      </c>
      <c r="WX82" s="199">
        <f t="shared" si="163"/>
        <v>3945564</v>
      </c>
      <c r="WY82" s="199">
        <f t="shared" si="164"/>
        <v>0</v>
      </c>
      <c r="WZ82" s="199">
        <f t="shared" si="202"/>
        <v>3945564</v>
      </c>
      <c r="XA82" s="199">
        <f t="shared" si="165"/>
        <v>0</v>
      </c>
      <c r="XB82" s="199">
        <f t="shared" si="166"/>
        <v>904599</v>
      </c>
      <c r="XC82" s="199">
        <f t="shared" si="167"/>
        <v>904599</v>
      </c>
      <c r="XD82" s="199" t="str">
        <f t="shared" si="168"/>
        <v/>
      </c>
      <c r="XE82" s="199"/>
      <c r="XF82" s="199"/>
      <c r="XG82" s="199"/>
      <c r="XH82" s="199"/>
      <c r="XI82" s="199"/>
      <c r="XJ82" s="199">
        <f t="shared" si="203"/>
        <v>3945564</v>
      </c>
      <c r="XP82" s="199">
        <f t="shared" si="169"/>
        <v>3945564</v>
      </c>
      <c r="XQ82" s="199">
        <f t="shared" si="170"/>
        <v>5776.8140556368962</v>
      </c>
      <c r="XR82" s="199">
        <f t="shared" si="171"/>
        <v>3945564</v>
      </c>
      <c r="XS82" s="199">
        <f t="shared" si="172"/>
        <v>3945564</v>
      </c>
      <c r="XT82" s="199">
        <f t="shared" si="173"/>
        <v>5776.8140556368962</v>
      </c>
      <c r="XU82" s="199">
        <f t="shared" si="174"/>
        <v>4652455</v>
      </c>
      <c r="XV82" s="199">
        <f t="shared" si="175"/>
        <v>6811.7935578330889</v>
      </c>
      <c r="XW82" s="199">
        <f t="shared" si="176"/>
        <v>4652455</v>
      </c>
      <c r="XX82" s="199">
        <f t="shared" si="177"/>
        <v>6811.7935578330889</v>
      </c>
      <c r="XY82" s="199">
        <f t="shared" si="204"/>
        <v>-706891</v>
      </c>
      <c r="XZ82" s="199">
        <f t="shared" si="205"/>
        <v>-1034.9795021961927</v>
      </c>
      <c r="YA82" s="131">
        <f t="shared" si="143"/>
        <v>-0.15193935244940568</v>
      </c>
      <c r="YB82" s="199"/>
      <c r="YC82" s="221"/>
      <c r="YD82" s="199"/>
      <c r="YE82" s="199">
        <f t="shared" si="178"/>
        <v>1182848</v>
      </c>
      <c r="YF82" s="200">
        <f t="shared" si="179"/>
        <v>0</v>
      </c>
      <c r="YG82" s="199">
        <f t="shared" si="180"/>
        <v>904599</v>
      </c>
      <c r="YH82" s="199">
        <f t="shared" si="181"/>
        <v>698859</v>
      </c>
    </row>
    <row r="83" spans="1:658">
      <c r="A83" s="3">
        <v>292</v>
      </c>
      <c r="B83" s="2" t="s">
        <v>179</v>
      </c>
      <c r="C83" s="24">
        <v>0</v>
      </c>
      <c r="D83" s="24">
        <v>0</v>
      </c>
      <c r="E83" s="24">
        <v>0</v>
      </c>
      <c r="F83" s="24">
        <v>0</v>
      </c>
      <c r="G83" s="24">
        <v>0</v>
      </c>
      <c r="H83" s="24">
        <v>0</v>
      </c>
      <c r="I83" s="24">
        <v>0</v>
      </c>
      <c r="J83" s="24">
        <v>10700</v>
      </c>
      <c r="K83" s="24">
        <v>0</v>
      </c>
      <c r="L83" s="24">
        <v>0</v>
      </c>
      <c r="M83" s="24">
        <v>0</v>
      </c>
      <c r="N83" s="24">
        <v>0</v>
      </c>
      <c r="O83" s="24">
        <v>0</v>
      </c>
      <c r="P83" s="24">
        <v>0</v>
      </c>
      <c r="Q83" s="24">
        <v>0</v>
      </c>
      <c r="R83" s="24">
        <v>0</v>
      </c>
      <c r="S83" s="24">
        <v>0</v>
      </c>
      <c r="T83" s="24">
        <v>20168</v>
      </c>
      <c r="U83" s="24">
        <v>0</v>
      </c>
      <c r="V83" s="24">
        <v>0</v>
      </c>
      <c r="W83" s="24">
        <v>0</v>
      </c>
      <c r="X83" s="24">
        <v>0</v>
      </c>
      <c r="Y83" s="24">
        <v>74</v>
      </c>
      <c r="Z83" s="24">
        <v>0</v>
      </c>
      <c r="AA83" s="24">
        <v>0</v>
      </c>
      <c r="AB83" s="24">
        <v>0</v>
      </c>
      <c r="AC83" s="24">
        <v>0</v>
      </c>
      <c r="AD83" s="24">
        <v>0</v>
      </c>
      <c r="AE83" s="24">
        <v>0</v>
      </c>
      <c r="AF83" s="24">
        <v>0</v>
      </c>
      <c r="AG83" s="24">
        <v>0</v>
      </c>
      <c r="AH83" s="24">
        <v>2190</v>
      </c>
      <c r="AI83" s="24">
        <v>0</v>
      </c>
      <c r="AJ83" s="24">
        <v>0</v>
      </c>
      <c r="AK83" s="24">
        <v>0</v>
      </c>
      <c r="AL83" s="24">
        <v>3275</v>
      </c>
      <c r="AM83" s="24">
        <v>0</v>
      </c>
      <c r="AN83" s="24">
        <v>0</v>
      </c>
      <c r="AO83" s="24">
        <v>0</v>
      </c>
      <c r="AP83" s="24">
        <v>0</v>
      </c>
      <c r="AQ83" s="24">
        <v>0</v>
      </c>
      <c r="AR83" s="24">
        <v>0</v>
      </c>
      <c r="AS83" s="24">
        <v>0</v>
      </c>
      <c r="AT83" s="24">
        <v>0</v>
      </c>
      <c r="AU83" s="24">
        <v>0</v>
      </c>
      <c r="AV83" s="24">
        <v>0</v>
      </c>
      <c r="AW83" s="24">
        <v>0</v>
      </c>
      <c r="AX83" s="24">
        <v>0</v>
      </c>
      <c r="AY83" s="24">
        <v>0</v>
      </c>
      <c r="AZ83" s="24">
        <v>0</v>
      </c>
      <c r="BA83" s="24">
        <v>0</v>
      </c>
      <c r="BB83" s="24">
        <v>0</v>
      </c>
      <c r="BC83" s="24">
        <v>0</v>
      </c>
      <c r="BD83" s="24">
        <v>0</v>
      </c>
      <c r="BE83" s="24">
        <v>1211</v>
      </c>
      <c r="BF83" s="24">
        <v>0</v>
      </c>
      <c r="BG83" s="24">
        <v>0</v>
      </c>
      <c r="BH83" s="24">
        <v>0</v>
      </c>
      <c r="BI83" s="24">
        <v>0</v>
      </c>
      <c r="BJ83" s="24">
        <v>0</v>
      </c>
      <c r="BK83" s="24">
        <v>103</v>
      </c>
      <c r="BL83" s="24">
        <v>0</v>
      </c>
      <c r="BM83" s="24">
        <v>0</v>
      </c>
      <c r="BN83" s="24">
        <v>0</v>
      </c>
      <c r="BO83" s="24">
        <v>0</v>
      </c>
      <c r="BP83" s="24">
        <v>0</v>
      </c>
      <c r="BQ83" s="24">
        <v>0</v>
      </c>
      <c r="BR83" s="24">
        <v>0</v>
      </c>
      <c r="BS83" s="24">
        <v>0</v>
      </c>
      <c r="BT83" s="24">
        <v>0</v>
      </c>
      <c r="BU83" s="24">
        <v>0</v>
      </c>
      <c r="BV83" s="24">
        <v>0</v>
      </c>
      <c r="BW83" s="24">
        <v>0</v>
      </c>
      <c r="BX83" s="24">
        <v>0</v>
      </c>
      <c r="BY83" s="24">
        <v>0</v>
      </c>
      <c r="BZ83" s="24">
        <v>0</v>
      </c>
      <c r="CA83" s="24">
        <v>0</v>
      </c>
      <c r="CB83" s="24">
        <v>0</v>
      </c>
      <c r="CC83" s="24">
        <v>0</v>
      </c>
      <c r="CD83" s="24">
        <v>4890</v>
      </c>
      <c r="CE83" s="24">
        <v>5144</v>
      </c>
      <c r="CF83" s="24">
        <v>0</v>
      </c>
      <c r="CG83" s="24">
        <v>967</v>
      </c>
      <c r="CH83" s="24">
        <v>0</v>
      </c>
      <c r="CI83" s="24">
        <v>0</v>
      </c>
      <c r="CJ83" s="24">
        <v>0</v>
      </c>
      <c r="CK83" s="24">
        <v>0</v>
      </c>
      <c r="CL83" s="24">
        <v>0</v>
      </c>
      <c r="CM83" s="24">
        <v>0</v>
      </c>
      <c r="CN83" s="24">
        <v>0</v>
      </c>
      <c r="CO83" s="24">
        <v>0</v>
      </c>
      <c r="CP83" s="24">
        <v>0</v>
      </c>
      <c r="CQ83" s="24">
        <v>0</v>
      </c>
      <c r="CR83" s="24">
        <v>0</v>
      </c>
      <c r="CS83" s="24">
        <v>0</v>
      </c>
      <c r="CT83" s="24">
        <v>0</v>
      </c>
      <c r="CU83" s="24">
        <v>0</v>
      </c>
      <c r="CV83" s="24">
        <v>0</v>
      </c>
      <c r="CW83" s="24">
        <v>0</v>
      </c>
      <c r="CX83" s="24">
        <v>0</v>
      </c>
      <c r="CY83" s="24">
        <v>0</v>
      </c>
      <c r="CZ83" s="24">
        <v>0</v>
      </c>
      <c r="DA83" s="24">
        <v>0</v>
      </c>
      <c r="DB83" s="24">
        <v>0</v>
      </c>
      <c r="DC83" s="24">
        <v>0</v>
      </c>
      <c r="DD83" s="24">
        <v>0</v>
      </c>
      <c r="DE83" s="24">
        <v>0</v>
      </c>
      <c r="DF83" s="24">
        <v>0</v>
      </c>
      <c r="DG83" s="24">
        <v>0</v>
      </c>
      <c r="DH83" s="24">
        <v>0</v>
      </c>
      <c r="DI83" s="24">
        <v>0</v>
      </c>
      <c r="DJ83" s="24">
        <v>0</v>
      </c>
      <c r="DK83" s="24">
        <v>0</v>
      </c>
      <c r="DL83" s="24">
        <v>0</v>
      </c>
      <c r="DM83" s="24">
        <v>0</v>
      </c>
      <c r="DN83" s="24">
        <v>0</v>
      </c>
      <c r="DO83" s="24">
        <v>0</v>
      </c>
      <c r="DP83" s="24">
        <v>0</v>
      </c>
      <c r="DQ83" s="24">
        <v>0</v>
      </c>
      <c r="DR83" s="24">
        <v>0</v>
      </c>
      <c r="DS83" s="24">
        <v>0</v>
      </c>
      <c r="DT83" s="24">
        <v>0</v>
      </c>
      <c r="DU83" s="24">
        <v>0</v>
      </c>
      <c r="DV83" s="24">
        <v>0</v>
      </c>
      <c r="DW83" s="24">
        <v>0</v>
      </c>
      <c r="DX83" s="24">
        <v>0</v>
      </c>
      <c r="DY83" s="24">
        <v>0</v>
      </c>
      <c r="DZ83" s="24">
        <v>0</v>
      </c>
      <c r="EA83" s="24">
        <v>0</v>
      </c>
      <c r="EB83" s="24">
        <v>0</v>
      </c>
      <c r="EC83" s="24">
        <v>175</v>
      </c>
      <c r="ED83" s="24">
        <v>10800</v>
      </c>
      <c r="EE83" s="24">
        <v>0</v>
      </c>
      <c r="EF83" s="24">
        <v>0</v>
      </c>
      <c r="EG83" s="24">
        <v>0</v>
      </c>
      <c r="EH83" s="24">
        <v>0</v>
      </c>
      <c r="EI83" s="24">
        <v>0</v>
      </c>
      <c r="EJ83" s="24">
        <v>0</v>
      </c>
      <c r="EK83" s="24">
        <v>0</v>
      </c>
      <c r="EL83" s="24">
        <v>0</v>
      </c>
      <c r="EM83" s="24">
        <v>0</v>
      </c>
      <c r="EN83" s="24">
        <v>0</v>
      </c>
      <c r="EO83" s="24">
        <v>0</v>
      </c>
      <c r="EP83" s="24">
        <v>0</v>
      </c>
      <c r="EQ83" s="24">
        <v>0</v>
      </c>
      <c r="ER83" s="24">
        <v>0</v>
      </c>
      <c r="ES83" s="24">
        <v>0</v>
      </c>
      <c r="ET83" s="24">
        <v>0</v>
      </c>
      <c r="EU83" s="24">
        <v>0</v>
      </c>
      <c r="EV83" s="24">
        <v>0</v>
      </c>
      <c r="EW83" s="24">
        <v>0</v>
      </c>
      <c r="EX83" s="24">
        <v>0</v>
      </c>
      <c r="EY83" s="24">
        <v>0</v>
      </c>
      <c r="EZ83" s="24">
        <v>0</v>
      </c>
      <c r="FA83" s="24">
        <v>0</v>
      </c>
      <c r="FB83" s="24">
        <v>0</v>
      </c>
      <c r="FC83" s="24">
        <v>0</v>
      </c>
      <c r="FD83" s="24">
        <v>0</v>
      </c>
      <c r="FE83" s="24">
        <v>0</v>
      </c>
      <c r="FF83" s="24">
        <v>0</v>
      </c>
      <c r="FG83" s="24">
        <v>0</v>
      </c>
      <c r="FH83" s="24">
        <v>0</v>
      </c>
      <c r="FI83" s="24">
        <v>0</v>
      </c>
      <c r="FJ83" s="24">
        <v>0</v>
      </c>
      <c r="FK83" s="24">
        <v>0</v>
      </c>
      <c r="FL83" s="24">
        <v>0</v>
      </c>
      <c r="FM83" s="24">
        <v>0</v>
      </c>
      <c r="FN83" s="24">
        <v>0</v>
      </c>
      <c r="FO83" s="24">
        <v>0</v>
      </c>
      <c r="FP83" s="24">
        <v>0</v>
      </c>
      <c r="FQ83" s="24">
        <v>0</v>
      </c>
      <c r="FR83" s="24">
        <v>0</v>
      </c>
      <c r="FS83" s="24">
        <v>58666</v>
      </c>
      <c r="FT83" s="24">
        <v>0</v>
      </c>
      <c r="FU83" s="24">
        <v>29822</v>
      </c>
      <c r="FV83" s="24">
        <v>0</v>
      </c>
      <c r="FW83" s="24">
        <v>0</v>
      </c>
      <c r="FX83" s="24">
        <v>0</v>
      </c>
      <c r="FY83" s="24">
        <v>0</v>
      </c>
      <c r="FZ83" s="24">
        <v>0</v>
      </c>
      <c r="GA83" s="24">
        <v>0</v>
      </c>
      <c r="GB83" s="24">
        <v>0</v>
      </c>
      <c r="GC83" s="24">
        <v>0</v>
      </c>
      <c r="GD83" s="24">
        <v>0</v>
      </c>
      <c r="GE83" s="24">
        <v>0</v>
      </c>
      <c r="GF83" s="24">
        <v>0</v>
      </c>
      <c r="GG83" s="24">
        <v>0</v>
      </c>
      <c r="GH83" s="24">
        <v>0</v>
      </c>
      <c r="GI83" s="24">
        <v>0</v>
      </c>
      <c r="GJ83" s="24">
        <v>0</v>
      </c>
      <c r="GK83" s="24">
        <v>0</v>
      </c>
      <c r="GL83" s="24">
        <v>0</v>
      </c>
      <c r="GM83" s="24">
        <v>0</v>
      </c>
      <c r="GN83" s="24">
        <v>0</v>
      </c>
      <c r="GO83" s="24">
        <v>0</v>
      </c>
      <c r="GP83" s="24">
        <v>0</v>
      </c>
      <c r="GQ83" s="24">
        <v>0</v>
      </c>
      <c r="GR83" s="24">
        <v>0</v>
      </c>
      <c r="GS83" s="24">
        <v>0</v>
      </c>
      <c r="GT83" s="24">
        <v>0</v>
      </c>
      <c r="GU83" s="24">
        <v>0</v>
      </c>
      <c r="GV83" s="24">
        <v>0</v>
      </c>
      <c r="GW83" s="24">
        <v>0</v>
      </c>
      <c r="GX83" s="24">
        <v>0</v>
      </c>
      <c r="GY83" s="24">
        <v>0</v>
      </c>
      <c r="GZ83" s="24">
        <v>0</v>
      </c>
      <c r="HA83" s="24">
        <v>0</v>
      </c>
      <c r="HB83" s="24">
        <v>0</v>
      </c>
      <c r="HC83" s="24">
        <v>0</v>
      </c>
      <c r="HD83" s="24">
        <v>1038414</v>
      </c>
      <c r="HE83" s="24">
        <v>0</v>
      </c>
      <c r="HF83" s="24">
        <v>0</v>
      </c>
      <c r="HG83" s="24">
        <v>0</v>
      </c>
      <c r="HH83" s="24">
        <v>0</v>
      </c>
      <c r="HI83" s="24">
        <v>58746</v>
      </c>
      <c r="HJ83" s="24">
        <v>0</v>
      </c>
      <c r="HK83" s="24">
        <v>0</v>
      </c>
      <c r="HL83" s="24">
        <v>0</v>
      </c>
      <c r="HM83" s="24">
        <v>0</v>
      </c>
      <c r="HN83" s="24">
        <v>0</v>
      </c>
      <c r="HO83" s="24">
        <v>135224</v>
      </c>
      <c r="HP83" s="24">
        <v>67388</v>
      </c>
      <c r="HQ83" s="24">
        <v>0</v>
      </c>
      <c r="HR83" s="24">
        <v>0</v>
      </c>
      <c r="HS83" s="24">
        <v>0</v>
      </c>
      <c r="HT83" s="24">
        <v>0</v>
      </c>
      <c r="HU83" s="24">
        <v>0</v>
      </c>
      <c r="HV83" s="24">
        <v>0</v>
      </c>
      <c r="HW83" s="24">
        <v>0</v>
      </c>
      <c r="HX83" s="24">
        <v>0</v>
      </c>
      <c r="HY83" s="24">
        <v>0</v>
      </c>
      <c r="HZ83" s="24">
        <v>0</v>
      </c>
      <c r="IA83" s="24">
        <v>15811</v>
      </c>
      <c r="IB83" s="24">
        <v>3145</v>
      </c>
      <c r="IC83" s="24">
        <v>0</v>
      </c>
      <c r="ID83" s="24">
        <v>0</v>
      </c>
      <c r="IE83" s="24">
        <v>0</v>
      </c>
      <c r="IF83" s="24">
        <v>0</v>
      </c>
      <c r="IG83" s="24">
        <v>0</v>
      </c>
      <c r="IH83" s="24">
        <v>0</v>
      </c>
      <c r="II83" s="24">
        <v>0</v>
      </c>
      <c r="IJ83" s="24">
        <v>0</v>
      </c>
      <c r="IK83" s="24">
        <v>0</v>
      </c>
      <c r="IL83" s="24">
        <v>0</v>
      </c>
      <c r="IM83" s="24">
        <v>0</v>
      </c>
      <c r="IN83" s="24">
        <v>0</v>
      </c>
      <c r="IO83" s="24">
        <v>1375</v>
      </c>
      <c r="IP83" s="24">
        <v>0</v>
      </c>
      <c r="IQ83" s="24">
        <v>0</v>
      </c>
      <c r="IR83" s="24">
        <v>9876</v>
      </c>
      <c r="IS83" s="24">
        <v>0</v>
      </c>
      <c r="IT83" s="24">
        <v>0</v>
      </c>
      <c r="IU83" s="24">
        <v>0</v>
      </c>
      <c r="IV83" s="24">
        <v>0</v>
      </c>
      <c r="IW83" s="24">
        <v>0</v>
      </c>
      <c r="IX83" s="24">
        <v>17878</v>
      </c>
      <c r="IY83" s="24">
        <v>0</v>
      </c>
      <c r="IZ83" s="24">
        <v>0</v>
      </c>
      <c r="JA83" s="24">
        <v>0</v>
      </c>
      <c r="JB83" s="24">
        <v>166</v>
      </c>
      <c r="JC83" s="24">
        <v>0</v>
      </c>
      <c r="JD83" s="24">
        <v>0</v>
      </c>
      <c r="JE83" s="24">
        <v>5859</v>
      </c>
      <c r="JF83" s="24">
        <v>0</v>
      </c>
      <c r="JG83" s="24">
        <v>0</v>
      </c>
      <c r="JH83" s="24">
        <v>0</v>
      </c>
      <c r="JI83" s="24">
        <v>0</v>
      </c>
      <c r="JJ83" s="24">
        <v>0</v>
      </c>
      <c r="JK83" s="24">
        <v>0</v>
      </c>
      <c r="JL83" s="24">
        <v>0</v>
      </c>
      <c r="JM83" s="24">
        <v>0</v>
      </c>
      <c r="JN83" s="24">
        <v>0</v>
      </c>
      <c r="JO83" s="24">
        <v>0</v>
      </c>
      <c r="JP83" s="24">
        <v>0</v>
      </c>
      <c r="JQ83" s="24">
        <v>0</v>
      </c>
      <c r="JR83" s="24">
        <v>0</v>
      </c>
      <c r="JS83" s="24">
        <v>0</v>
      </c>
      <c r="JT83" s="24">
        <v>0</v>
      </c>
      <c r="JU83" s="24">
        <v>0</v>
      </c>
      <c r="JV83" s="24">
        <v>0</v>
      </c>
      <c r="JW83" s="24">
        <v>0</v>
      </c>
      <c r="JX83" s="24">
        <v>0</v>
      </c>
      <c r="JY83" s="24">
        <v>0</v>
      </c>
      <c r="JZ83" s="24">
        <v>0</v>
      </c>
      <c r="KA83" s="24">
        <v>0</v>
      </c>
      <c r="KB83" s="24">
        <v>0</v>
      </c>
      <c r="KC83" s="24">
        <v>0</v>
      </c>
      <c r="KD83" s="24">
        <v>0</v>
      </c>
      <c r="KE83" s="24">
        <v>0</v>
      </c>
      <c r="KF83" s="24">
        <v>0</v>
      </c>
      <c r="KG83" s="24">
        <v>46297</v>
      </c>
      <c r="KH83" s="24">
        <v>0</v>
      </c>
      <c r="KI83" s="24">
        <v>0</v>
      </c>
      <c r="KJ83" s="24">
        <v>0</v>
      </c>
      <c r="KK83" s="24">
        <v>0</v>
      </c>
      <c r="KL83" s="24">
        <v>0</v>
      </c>
      <c r="KM83" s="24">
        <v>0</v>
      </c>
      <c r="KN83" s="24">
        <v>0</v>
      </c>
      <c r="KO83" s="24">
        <v>0</v>
      </c>
      <c r="KP83" s="24">
        <v>0</v>
      </c>
      <c r="KQ83" s="24">
        <v>0</v>
      </c>
      <c r="KR83" s="24">
        <v>0</v>
      </c>
      <c r="KS83" s="24">
        <v>0</v>
      </c>
      <c r="KT83" s="24">
        <v>0</v>
      </c>
      <c r="KU83" s="24">
        <v>0</v>
      </c>
      <c r="KV83" s="24">
        <v>0</v>
      </c>
      <c r="KW83" s="24">
        <v>0</v>
      </c>
      <c r="KX83" s="24">
        <v>0</v>
      </c>
      <c r="KY83" s="24">
        <v>0</v>
      </c>
      <c r="KZ83" s="24">
        <v>0</v>
      </c>
      <c r="LA83" s="24">
        <v>0</v>
      </c>
      <c r="LB83" s="24">
        <v>0</v>
      </c>
      <c r="LC83" s="24">
        <v>0</v>
      </c>
      <c r="LD83" s="24">
        <v>0</v>
      </c>
      <c r="LE83" s="24">
        <v>0</v>
      </c>
      <c r="LF83" s="24">
        <v>0</v>
      </c>
      <c r="LG83" s="24">
        <v>0</v>
      </c>
      <c r="LH83" s="24">
        <v>0</v>
      </c>
      <c r="LI83" s="24">
        <v>0</v>
      </c>
      <c r="LJ83" s="24">
        <v>0</v>
      </c>
      <c r="LK83" s="24">
        <v>0</v>
      </c>
      <c r="LL83" s="24">
        <v>0</v>
      </c>
      <c r="LM83" s="24">
        <v>0</v>
      </c>
      <c r="LN83" s="24">
        <v>0</v>
      </c>
      <c r="LO83" s="24">
        <v>0</v>
      </c>
      <c r="LP83" s="24">
        <v>0</v>
      </c>
      <c r="LQ83" s="24">
        <v>40042</v>
      </c>
      <c r="LR83" s="24">
        <v>0</v>
      </c>
      <c r="LS83" s="24">
        <v>0</v>
      </c>
      <c r="LT83" s="24">
        <v>0</v>
      </c>
      <c r="LU83" s="24">
        <v>0</v>
      </c>
      <c r="LV83" s="24">
        <v>0</v>
      </c>
      <c r="LW83" s="24">
        <v>0</v>
      </c>
      <c r="LX83" s="24">
        <v>0</v>
      </c>
      <c r="LY83" s="24">
        <v>0</v>
      </c>
      <c r="LZ83" s="24">
        <v>0</v>
      </c>
      <c r="MA83" s="24">
        <v>0</v>
      </c>
      <c r="MB83" s="24">
        <v>0</v>
      </c>
      <c r="MC83" s="24">
        <v>0</v>
      </c>
      <c r="MD83" s="24">
        <v>0</v>
      </c>
      <c r="ME83" s="24">
        <v>0</v>
      </c>
      <c r="MF83" s="24">
        <v>0</v>
      </c>
      <c r="MG83" s="24">
        <v>10847</v>
      </c>
      <c r="MH83" s="24">
        <v>0</v>
      </c>
      <c r="MI83" s="24">
        <v>0</v>
      </c>
      <c r="MJ83" s="24">
        <v>0</v>
      </c>
      <c r="MK83" s="24">
        <v>0</v>
      </c>
      <c r="ML83" s="24">
        <v>0</v>
      </c>
      <c r="MM83" s="24">
        <v>0</v>
      </c>
      <c r="MN83" s="24">
        <v>0</v>
      </c>
      <c r="MO83" s="24">
        <v>0</v>
      </c>
      <c r="MP83" s="24">
        <v>0</v>
      </c>
      <c r="MQ83" s="24">
        <v>0</v>
      </c>
      <c r="MR83" s="24">
        <v>20849</v>
      </c>
      <c r="MS83" s="24">
        <v>0</v>
      </c>
      <c r="MT83" s="24">
        <v>0</v>
      </c>
      <c r="MU83" s="24">
        <v>0</v>
      </c>
      <c r="MV83" s="24">
        <v>0</v>
      </c>
      <c r="MW83" s="24">
        <v>14890</v>
      </c>
      <c r="MX83" s="24">
        <v>311</v>
      </c>
      <c r="MY83" s="24">
        <v>0</v>
      </c>
      <c r="MZ83" s="24">
        <v>0</v>
      </c>
      <c r="NA83" s="24">
        <v>0</v>
      </c>
      <c r="NB83" s="24">
        <v>0</v>
      </c>
      <c r="NC83" s="24">
        <v>0</v>
      </c>
      <c r="ND83" s="24">
        <v>0</v>
      </c>
      <c r="NE83" s="24">
        <v>0</v>
      </c>
      <c r="NF83" s="24">
        <v>0</v>
      </c>
      <c r="NG83" s="24">
        <v>0</v>
      </c>
      <c r="NH83" s="24">
        <v>0</v>
      </c>
      <c r="NI83" s="24">
        <v>0</v>
      </c>
      <c r="NJ83" s="24">
        <v>0</v>
      </c>
      <c r="NK83" s="24">
        <v>0</v>
      </c>
      <c r="NL83" s="24">
        <v>0</v>
      </c>
      <c r="NM83" s="24">
        <v>0</v>
      </c>
      <c r="NN83" s="24">
        <v>0</v>
      </c>
      <c r="NO83" s="24">
        <v>0</v>
      </c>
      <c r="NP83" s="24">
        <v>0</v>
      </c>
      <c r="NQ83" s="24">
        <v>0</v>
      </c>
      <c r="NR83" s="24">
        <v>0</v>
      </c>
      <c r="NS83" s="24">
        <v>0</v>
      </c>
      <c r="NT83" s="24">
        <v>0</v>
      </c>
      <c r="NU83" s="24">
        <v>0</v>
      </c>
      <c r="NV83" s="24">
        <v>4274</v>
      </c>
      <c r="NW83" s="24">
        <v>0</v>
      </c>
      <c r="NX83" s="24">
        <v>0</v>
      </c>
      <c r="NY83" s="24">
        <v>0</v>
      </c>
      <c r="NZ83" s="24">
        <v>0</v>
      </c>
      <c r="OA83" s="24">
        <v>0</v>
      </c>
      <c r="OB83" s="24">
        <v>0</v>
      </c>
      <c r="OC83" s="24">
        <v>0</v>
      </c>
      <c r="OD83" s="24">
        <v>0</v>
      </c>
      <c r="OE83" s="24">
        <v>0</v>
      </c>
      <c r="OF83" s="24">
        <v>0</v>
      </c>
      <c r="OG83" s="24">
        <v>0</v>
      </c>
      <c r="OH83" s="24">
        <v>0</v>
      </c>
      <c r="OI83" s="24">
        <v>0</v>
      </c>
      <c r="OJ83" s="24">
        <v>0</v>
      </c>
      <c r="OK83" s="24">
        <v>3541</v>
      </c>
      <c r="OL83" s="24">
        <v>0</v>
      </c>
      <c r="OM83" s="24">
        <v>0</v>
      </c>
      <c r="ON83" s="24">
        <v>0</v>
      </c>
      <c r="OO83" s="24">
        <v>0</v>
      </c>
      <c r="OP83" s="24">
        <v>0</v>
      </c>
      <c r="OQ83" s="24">
        <v>0</v>
      </c>
      <c r="OR83" s="24">
        <v>0</v>
      </c>
      <c r="OS83" s="24">
        <v>0</v>
      </c>
      <c r="OT83" s="24">
        <v>0</v>
      </c>
      <c r="OU83" s="24">
        <v>0</v>
      </c>
      <c r="OV83" s="24">
        <v>0</v>
      </c>
      <c r="OW83" s="24">
        <v>0</v>
      </c>
      <c r="OX83" s="24">
        <v>0</v>
      </c>
      <c r="OY83" s="24">
        <v>0</v>
      </c>
      <c r="OZ83" s="24">
        <v>0</v>
      </c>
      <c r="PA83" s="24">
        <v>0</v>
      </c>
      <c r="PB83" s="24">
        <v>0</v>
      </c>
      <c r="PC83" s="24">
        <v>0</v>
      </c>
      <c r="PD83" s="24">
        <v>500</v>
      </c>
      <c r="PE83" s="24">
        <v>0</v>
      </c>
      <c r="PF83" s="24">
        <v>0</v>
      </c>
      <c r="PG83" s="24">
        <v>0</v>
      </c>
      <c r="PH83" s="24">
        <v>54409</v>
      </c>
      <c r="PI83" s="24">
        <v>0</v>
      </c>
      <c r="PJ83" s="24">
        <v>0</v>
      </c>
      <c r="PK83" s="24">
        <v>0</v>
      </c>
      <c r="PL83" s="24">
        <v>0</v>
      </c>
      <c r="PM83" s="24">
        <v>0</v>
      </c>
      <c r="PN83" s="24">
        <v>0</v>
      </c>
      <c r="PO83" s="24">
        <v>0</v>
      </c>
      <c r="PP83" s="24">
        <v>0</v>
      </c>
      <c r="PQ83" s="24">
        <v>0</v>
      </c>
      <c r="PR83" s="24">
        <v>0</v>
      </c>
      <c r="PS83" s="24">
        <v>0</v>
      </c>
      <c r="PT83" s="24">
        <v>36531</v>
      </c>
      <c r="PU83" s="24">
        <v>0</v>
      </c>
      <c r="PV83" s="24">
        <v>0</v>
      </c>
      <c r="PW83" s="24">
        <v>0</v>
      </c>
      <c r="PX83" s="24">
        <v>0</v>
      </c>
      <c r="PY83" s="24">
        <v>0</v>
      </c>
      <c r="PZ83" s="24">
        <v>0</v>
      </c>
      <c r="QA83" s="24">
        <v>0</v>
      </c>
      <c r="QB83" s="24">
        <v>0</v>
      </c>
      <c r="QC83" s="24">
        <v>0</v>
      </c>
      <c r="QD83" s="24">
        <v>0</v>
      </c>
      <c r="QE83" s="24">
        <v>0</v>
      </c>
      <c r="QF83" s="24">
        <v>0</v>
      </c>
      <c r="QG83" s="24">
        <v>0</v>
      </c>
      <c r="QH83" s="24">
        <v>0</v>
      </c>
      <c r="QI83" s="24">
        <v>0</v>
      </c>
      <c r="QJ83" s="24">
        <v>0</v>
      </c>
      <c r="QK83" s="24">
        <v>0</v>
      </c>
      <c r="QL83" s="24">
        <v>0</v>
      </c>
      <c r="QM83" s="24">
        <v>0</v>
      </c>
      <c r="QN83" s="24">
        <v>0</v>
      </c>
      <c r="QO83" s="24">
        <v>0</v>
      </c>
      <c r="QP83" s="24">
        <v>0</v>
      </c>
      <c r="QQ83" s="24">
        <v>0</v>
      </c>
      <c r="QR83" s="24">
        <v>0</v>
      </c>
      <c r="QS83" s="24">
        <v>22000</v>
      </c>
      <c r="QT83" s="24">
        <v>0</v>
      </c>
      <c r="QU83" s="24">
        <v>75000</v>
      </c>
      <c r="QV83" s="24">
        <v>0</v>
      </c>
      <c r="QW83" s="24">
        <v>13501</v>
      </c>
      <c r="QX83" s="24">
        <v>0</v>
      </c>
      <c r="QY83" s="24">
        <v>0</v>
      </c>
      <c r="QZ83" s="24">
        <v>0</v>
      </c>
      <c r="RA83" s="24">
        <v>0</v>
      </c>
      <c r="RB83" s="24">
        <v>0</v>
      </c>
      <c r="RG83" s="39">
        <f t="shared" si="129"/>
        <v>1038414</v>
      </c>
      <c r="RH83" s="39">
        <f t="shared" si="128"/>
        <v>58746</v>
      </c>
      <c r="RI83" s="39">
        <f t="shared" si="128"/>
        <v>0</v>
      </c>
      <c r="RJ83" s="39">
        <f t="shared" si="128"/>
        <v>0</v>
      </c>
      <c r="RK83" s="39">
        <f t="shared" si="128"/>
        <v>0</v>
      </c>
      <c r="RL83" s="39">
        <f t="shared" si="128"/>
        <v>135224</v>
      </c>
      <c r="RM83" s="39">
        <f t="shared" si="128"/>
        <v>86344</v>
      </c>
      <c r="RN83" s="39">
        <f t="shared" si="128"/>
        <v>1375</v>
      </c>
      <c r="RO83" s="39">
        <f t="shared" si="128"/>
        <v>9876</v>
      </c>
      <c r="RP83" s="39">
        <f t="shared" si="128"/>
        <v>17878</v>
      </c>
      <c r="RQ83" s="39">
        <f t="shared" si="128"/>
        <v>166</v>
      </c>
      <c r="RR83" s="39">
        <f t="shared" si="128"/>
        <v>5859</v>
      </c>
      <c r="RS83" s="39"/>
      <c r="RT83" s="182"/>
      <c r="RU83" s="39"/>
      <c r="RV83" s="39">
        <f t="shared" si="182"/>
        <v>141051</v>
      </c>
      <c r="RW83" s="39">
        <f t="shared" si="182"/>
        <v>1353882</v>
      </c>
      <c r="RX83" s="39">
        <f t="shared" si="182"/>
        <v>148185</v>
      </c>
      <c r="RY83" s="39">
        <f t="shared" si="182"/>
        <v>201941</v>
      </c>
      <c r="RZ83" s="39"/>
      <c r="SA83" s="182"/>
      <c r="SB83" s="39"/>
      <c r="SC83" s="39">
        <f t="shared" si="183"/>
        <v>2058.125</v>
      </c>
      <c r="SD83" s="39">
        <f>IFERROR(VLOOKUP(A83, 'Levy Data 15-16'!$B:$O, 3, FALSE), 0)</f>
        <v>82277219</v>
      </c>
      <c r="SE83" s="39">
        <f t="shared" si="144"/>
        <v>1142739.1527777778</v>
      </c>
      <c r="SF83" s="631">
        <f>IFERROR(VLOOKUP(A83, 'Levy Data 15-16'!$B:$O, 14, FALSE), 0)*1000</f>
        <v>0.37122100000000002</v>
      </c>
      <c r="SG83" s="39">
        <f t="shared" si="145"/>
        <v>0</v>
      </c>
      <c r="SH83" s="39">
        <f t="shared" si="146"/>
        <v>0</v>
      </c>
      <c r="SI83" s="39">
        <f t="shared" si="147"/>
        <v>148185</v>
      </c>
      <c r="SM83" s="39">
        <f t="shared" si="148"/>
        <v>1353882</v>
      </c>
      <c r="SN83" s="39">
        <f t="shared" si="149"/>
        <v>0</v>
      </c>
      <c r="SO83" s="39">
        <f t="shared" si="184"/>
        <v>1353882</v>
      </c>
      <c r="SP83" s="50">
        <f t="shared" si="130"/>
        <v>1</v>
      </c>
      <c r="ST83" s="124">
        <f>IFERROR(VLOOKUP(A83,'Grade Enroll 15-16'!B:AC,27,FALSE),"")</f>
        <v>72</v>
      </c>
      <c r="SU83" s="124">
        <f t="shared" si="185"/>
        <v>46.08</v>
      </c>
      <c r="SV83" s="131">
        <f>IFERROR(VLOOKUP($A83, 'Title I Enroll 16-17'!S:V, 4, FALSE), 0)</f>
        <v>0.64</v>
      </c>
      <c r="SW83" s="729">
        <f>IFERROR(VLOOKUP(A83, 'ELL Enroll 15-16'!$N:$S, 6, FALSE), 0)</f>
        <v>5</v>
      </c>
      <c r="SX83" s="131">
        <f t="shared" si="131"/>
        <v>6.9444444444444448E-2</v>
      </c>
      <c r="SY83" s="124">
        <f>IFERROR(VLOOKUP(A83, 'SPED enroll 2015-16'!$M:$O, 3, FALSE), 0)</f>
        <v>5</v>
      </c>
      <c r="SZ83" s="131">
        <f t="shared" si="132"/>
        <v>6.9444444444444448E-2</v>
      </c>
      <c r="TA83" s="142">
        <f t="shared" si="133"/>
        <v>3.5</v>
      </c>
      <c r="TB83" s="142">
        <f t="shared" si="133"/>
        <v>1</v>
      </c>
      <c r="TC83" s="142">
        <f t="shared" si="133"/>
        <v>0.35000000000000003</v>
      </c>
      <c r="TD83" s="142">
        <f t="shared" si="133"/>
        <v>0.15</v>
      </c>
      <c r="TE83" s="124">
        <f>VLOOKUP($A83, 'Grade Enroll 15-16'!$B:$AB, 20, FALSE)</f>
        <v>1</v>
      </c>
      <c r="TF83" s="124">
        <f>VLOOKUP($A83, 'Grade Enroll 15-16'!$B:$AB, 21, FALSE)</f>
        <v>6</v>
      </c>
      <c r="TG83" s="124">
        <f>VLOOKUP($A83, 'Grade Enroll 15-16'!$B:$AB, 22, FALSE)</f>
        <v>28</v>
      </c>
      <c r="TH83" s="124">
        <f>VLOOKUP($A83, 'Grade Enroll 15-16'!$B:$AB, 23, FALSE)</f>
        <v>17</v>
      </c>
      <c r="TI83" s="124">
        <f>VLOOKUP($A83, 'Grade Enroll 15-16'!$B:$AB, 24, FALSE)</f>
        <v>10</v>
      </c>
      <c r="TJ83" s="124">
        <f>VLOOKUP($A83, 'Grade Enroll 15-16'!$B:$AB, 25, FALSE)</f>
        <v>17</v>
      </c>
      <c r="TK83" s="124">
        <f>VLOOKUP($A83, 'Grade Enroll 15-16'!$B:$AB, 26, FALSE)</f>
        <v>44</v>
      </c>
      <c r="TL83" s="131">
        <f>SUMIFS('Student Achievement 15-16'!N:N, 'Student Achievement 15-16'!B:B, 'Idaho Data'!A83, 'Student Achievement 15-16'!D:D, "math")/100</f>
        <v>0.05</v>
      </c>
      <c r="TM83" s="134">
        <f t="shared" si="186"/>
        <v>3.6</v>
      </c>
      <c r="TN83" s="131">
        <f>SUMIFS('Student Achievement 15-16'!N:N, 'Student Achievement 15-16'!B:B, 'Idaho Data'!A83, 'Student Achievement 15-16'!D:D, "ela")/100</f>
        <v>0.05</v>
      </c>
      <c r="TO83" s="134">
        <f t="shared" si="134"/>
        <v>3.6</v>
      </c>
      <c r="TP83" s="688">
        <f>IFERROR(VLOOKUP(A83, 'G&amp;T 15-16'!B:G, 6, FALSE), 0)*1</f>
        <v>0</v>
      </c>
      <c r="TQ83" s="168">
        <f t="shared" si="135"/>
        <v>4.32</v>
      </c>
      <c r="TU83" s="168">
        <f t="shared" si="136"/>
        <v>3.6</v>
      </c>
      <c r="TV83" s="168">
        <f t="shared" si="137"/>
        <v>3.6</v>
      </c>
      <c r="TW83" s="205">
        <f t="shared" si="138"/>
        <v>3.6</v>
      </c>
      <c r="TX83" s="144"/>
      <c r="TY83" s="129"/>
      <c r="TZ83" s="127">
        <f t="shared" si="139"/>
        <v>0</v>
      </c>
      <c r="UA83" s="127">
        <f t="shared" si="140"/>
        <v>4.32</v>
      </c>
      <c r="UB83" s="205">
        <f t="shared" si="141"/>
        <v>4.32</v>
      </c>
      <c r="UE83" s="853" t="str">
        <f>IF(ST83&lt;='1. Simulator Input'!$E$104, "yes", "")</f>
        <v>yes</v>
      </c>
      <c r="UI83" s="199">
        <f t="shared" si="187"/>
        <v>0</v>
      </c>
      <c r="UJ83" s="200">
        <f>IF('Idaho Data'!SI83&gt;=0, ((1-'1. Simulator Input'!$E$39)*'Idaho Data'!SI83), 0)</f>
        <v>0</v>
      </c>
      <c r="UK83" s="200">
        <f t="shared" si="142"/>
        <v>1353882</v>
      </c>
      <c r="UL83" s="39"/>
      <c r="UM83" s="182"/>
      <c r="UN83" s="39"/>
      <c r="UO83" s="39">
        <f>IF(AND('1. Simulator Input'!$E$96="yes", '1. Simulator Input'!$E$98="yes", '1. Simulator Input'!$E$100="hold harmless"), 'Idaho Data'!WN83, IF(AND('1. Simulator Input'!$E$96="yes", '1. Simulator Input'!$E$98="no", '1. Simulator Input'!$E$100="hold harmless"), 'Idaho Data'!WM83, IF(AND('1. Simulator Input'!$E$96="yes", '1. Simulator Input'!$E$98="yes", '1. Simulator Input'!$E$100="small district grant"), WL83,IF(AND('1. Simulator Input'!$E$96="yes", '1. Simulator Input'!$E$98="no", '1. Simulator Input'!$E$100="small district grant"), WK83, ""))))</f>
        <v>0</v>
      </c>
      <c r="UP83" s="200">
        <f>'1. Simulator Input'!$D$56*('Idaho Data'!ST83)</f>
        <v>397872</v>
      </c>
      <c r="UQ83" s="204">
        <f>'1. Simulator Input'!$D$65*'1. Simulator Input'!$D$56*'Idaho Data'!SU83</f>
        <v>0</v>
      </c>
      <c r="UR83" s="204">
        <f>'1. Simulator Input'!$D$66*'1. Simulator Input'!$D$56*'Idaho Data'!SW83</f>
        <v>0</v>
      </c>
      <c r="US83" s="200">
        <f>'1. Simulator Input'!$D$67*'1. Simulator Input'!$D$56*'Idaho Data'!TA83</f>
        <v>0</v>
      </c>
      <c r="UT83" s="200">
        <f>'1. Simulator Input'!$D$68*'1. Simulator Input'!$D$56*'Idaho Data'!TB83</f>
        <v>0</v>
      </c>
      <c r="UU83" s="200">
        <f>'1. Simulator Input'!$D$69*'1. Simulator Input'!$D$56*'Idaho Data'!TC83</f>
        <v>0</v>
      </c>
      <c r="UV83" s="200">
        <f>'1. Simulator Input'!$D$70*'1. Simulator Input'!$D$56*TD83</f>
        <v>0</v>
      </c>
      <c r="UW83" s="200">
        <f>'1. Simulator Input'!$D$80*'1. Simulator Input'!$D$56*TW83</f>
        <v>0</v>
      </c>
      <c r="UX83" s="200">
        <f>'1. Simulator Input'!$D$79*'1. Simulator Input'!$D$56*UB83</f>
        <v>0</v>
      </c>
      <c r="UY83" s="200">
        <f>'1. Simulator Input'!$D$87*'1. Simulator Input'!$D$56*TF83</f>
        <v>16578</v>
      </c>
      <c r="UZ83" s="200">
        <f>'1. Simulator Input'!$D$73*'1. Simulator Input'!$D$56*'Idaho Data'!TG83</f>
        <v>0</v>
      </c>
      <c r="VA83" s="200">
        <f>'1. Simulator Input'!$D$56*'1. Simulator Input'!$D$74*'Idaho Data'!TH83</f>
        <v>0</v>
      </c>
      <c r="VB83" s="200">
        <f>'1. Simulator Input'!$D$56*'1. Simulator Input'!$D$75*'Idaho Data'!TI78</f>
        <v>0</v>
      </c>
      <c r="VC83" s="200">
        <f>'1. Simulator Input'!$D$76*'1. Simulator Input'!$D$56*'Idaho Data'!TJ83</f>
        <v>0</v>
      </c>
      <c r="VD83" s="200">
        <f t="shared" si="188"/>
        <v>414450</v>
      </c>
      <c r="VE83" s="200"/>
      <c r="VF83" s="182"/>
      <c r="VG83" s="200"/>
      <c r="VH83" s="200">
        <f t="shared" si="189"/>
        <v>0</v>
      </c>
      <c r="VI83" s="200">
        <f t="shared" si="190"/>
        <v>0</v>
      </c>
      <c r="VJ83" s="200">
        <f t="shared" si="150"/>
        <v>414450</v>
      </c>
      <c r="VK83" s="200">
        <f t="shared" si="151"/>
        <v>414450</v>
      </c>
      <c r="VL83" s="200"/>
      <c r="VM83" s="182"/>
      <c r="VN83" s="200"/>
      <c r="VO83" s="200">
        <f t="shared" si="191"/>
        <v>141051</v>
      </c>
      <c r="VP83" s="200">
        <f t="shared" si="192"/>
        <v>1353882</v>
      </c>
      <c r="VQ83" s="200">
        <f t="shared" si="193"/>
        <v>148185</v>
      </c>
      <c r="VR83" s="200">
        <f t="shared" si="194"/>
        <v>141051</v>
      </c>
      <c r="VS83" s="200">
        <f t="shared" si="152"/>
        <v>414450</v>
      </c>
      <c r="VT83" s="200">
        <f t="shared" si="153"/>
        <v>148185</v>
      </c>
      <c r="VU83" s="200">
        <f t="shared" si="154"/>
        <v>0</v>
      </c>
      <c r="VV83" s="200"/>
      <c r="VW83" s="182"/>
      <c r="VX83" s="200"/>
      <c r="VZ83" s="199">
        <f t="shared" si="195"/>
        <v>-939432</v>
      </c>
      <c r="WA83" s="199">
        <f t="shared" si="196"/>
        <v>-13047.666666666666</v>
      </c>
      <c r="WB83" s="131">
        <f t="shared" si="197"/>
        <v>-0.69388026430663829</v>
      </c>
      <c r="WC83" s="131"/>
      <c r="WD83" s="461"/>
      <c r="WE83" s="893"/>
      <c r="WF83" s="893">
        <f t="shared" si="198"/>
        <v>22821.083333333332</v>
      </c>
      <c r="WG83" s="893">
        <f t="shared" si="199"/>
        <v>9773.4166666666661</v>
      </c>
      <c r="WH83" s="893"/>
      <c r="WI83" s="893">
        <f t="shared" si="200"/>
        <v>1353882</v>
      </c>
      <c r="WJ83" s="893">
        <f t="shared" si="155"/>
        <v>414450</v>
      </c>
      <c r="WK83" s="39">
        <f t="shared" si="156"/>
        <v>0</v>
      </c>
      <c r="WL83" s="39">
        <f t="shared" si="157"/>
        <v>0</v>
      </c>
      <c r="WM83" s="200">
        <f t="shared" si="158"/>
        <v>939432</v>
      </c>
      <c r="WN83" s="39">
        <f t="shared" si="159"/>
        <v>939432</v>
      </c>
      <c r="WO83" s="39"/>
      <c r="WP83" s="182"/>
      <c r="WQ83" s="39"/>
      <c r="WR83" s="305">
        <f t="shared" si="160"/>
        <v>0.84199999999999997</v>
      </c>
      <c r="WT83" s="200">
        <f t="shared" si="161"/>
        <v>18803.916666666668</v>
      </c>
      <c r="WU83" s="131">
        <f t="shared" si="201"/>
        <v>0.97</v>
      </c>
      <c r="WW83" s="199">
        <f t="shared" si="162"/>
        <v>141051</v>
      </c>
      <c r="WX83" s="199">
        <f t="shared" si="163"/>
        <v>414450</v>
      </c>
      <c r="WY83" s="199">
        <f t="shared" si="164"/>
        <v>0</v>
      </c>
      <c r="WZ83" s="199">
        <f t="shared" si="202"/>
        <v>414450</v>
      </c>
      <c r="XA83" s="199">
        <f t="shared" si="165"/>
        <v>0</v>
      </c>
      <c r="XB83" s="199">
        <f t="shared" si="166"/>
        <v>148185</v>
      </c>
      <c r="XC83" s="199">
        <f t="shared" si="167"/>
        <v>148185</v>
      </c>
      <c r="XD83" s="199" t="str">
        <f t="shared" si="168"/>
        <v/>
      </c>
      <c r="XE83" s="199"/>
      <c r="XF83" s="199"/>
      <c r="XG83" s="199"/>
      <c r="XH83" s="199"/>
      <c r="XI83" s="199"/>
      <c r="XJ83" s="199">
        <f t="shared" si="203"/>
        <v>414450</v>
      </c>
      <c r="XP83" s="199">
        <f t="shared" si="169"/>
        <v>414450</v>
      </c>
      <c r="XQ83" s="199">
        <f t="shared" si="170"/>
        <v>5756.25</v>
      </c>
      <c r="XR83" s="199">
        <f t="shared" si="171"/>
        <v>414450</v>
      </c>
      <c r="XS83" s="199">
        <f t="shared" si="172"/>
        <v>414450</v>
      </c>
      <c r="XT83" s="199">
        <f t="shared" si="173"/>
        <v>5756.25</v>
      </c>
      <c r="XU83" s="199">
        <f t="shared" si="174"/>
        <v>1353882</v>
      </c>
      <c r="XV83" s="199">
        <f t="shared" si="175"/>
        <v>18803.916666666668</v>
      </c>
      <c r="XW83" s="199">
        <f t="shared" si="176"/>
        <v>1353882</v>
      </c>
      <c r="XX83" s="199">
        <f t="shared" si="177"/>
        <v>18803.916666666668</v>
      </c>
      <c r="XY83" s="199">
        <f t="shared" si="204"/>
        <v>-939432</v>
      </c>
      <c r="XZ83" s="199">
        <f t="shared" si="205"/>
        <v>-13047.666666666668</v>
      </c>
      <c r="YA83" s="131">
        <f t="shared" si="143"/>
        <v>-0.69388026430663829</v>
      </c>
      <c r="YB83" s="199"/>
      <c r="YC83" s="221"/>
      <c r="YD83" s="199"/>
      <c r="YE83" s="199">
        <f t="shared" si="178"/>
        <v>141051</v>
      </c>
      <c r="YF83" s="200">
        <f t="shared" si="179"/>
        <v>0</v>
      </c>
      <c r="YG83" s="199">
        <f t="shared" si="180"/>
        <v>148185</v>
      </c>
      <c r="YH83" s="199">
        <f t="shared" si="181"/>
        <v>201941</v>
      </c>
    </row>
    <row r="84" spans="1:658">
      <c r="A84" s="3">
        <v>302</v>
      </c>
      <c r="B84" s="2" t="s">
        <v>180</v>
      </c>
      <c r="C84" s="24">
        <v>0</v>
      </c>
      <c r="D84" s="24">
        <v>0</v>
      </c>
      <c r="E84" s="24">
        <v>0</v>
      </c>
      <c r="F84" s="24">
        <v>0</v>
      </c>
      <c r="G84" s="24">
        <v>470697</v>
      </c>
      <c r="H84" s="24">
        <v>0</v>
      </c>
      <c r="I84" s="24">
        <v>0</v>
      </c>
      <c r="J84" s="24">
        <v>0</v>
      </c>
      <c r="K84" s="24">
        <v>0</v>
      </c>
      <c r="L84" s="24">
        <v>0</v>
      </c>
      <c r="M84" s="24">
        <v>0</v>
      </c>
      <c r="N84" s="24">
        <v>7128</v>
      </c>
      <c r="O84" s="24">
        <v>0</v>
      </c>
      <c r="P84" s="24">
        <v>0</v>
      </c>
      <c r="Q84" s="24">
        <v>0</v>
      </c>
      <c r="R84" s="24">
        <v>0</v>
      </c>
      <c r="S84" s="24">
        <v>0</v>
      </c>
      <c r="T84" s="24">
        <v>0</v>
      </c>
      <c r="U84" s="24">
        <v>0</v>
      </c>
      <c r="V84" s="24">
        <v>0</v>
      </c>
      <c r="W84" s="24">
        <v>0</v>
      </c>
      <c r="X84" s="24">
        <v>47979</v>
      </c>
      <c r="Y84" s="24">
        <v>3116</v>
      </c>
      <c r="Z84" s="24">
        <v>0</v>
      </c>
      <c r="AA84" s="24">
        <v>292</v>
      </c>
      <c r="AB84" s="24">
        <v>0</v>
      </c>
      <c r="AC84" s="24">
        <v>0</v>
      </c>
      <c r="AD84" s="24">
        <v>0</v>
      </c>
      <c r="AE84" s="24">
        <v>0</v>
      </c>
      <c r="AF84" s="24">
        <v>0</v>
      </c>
      <c r="AG84" s="24">
        <v>0</v>
      </c>
      <c r="AH84" s="24">
        <v>0</v>
      </c>
      <c r="AI84" s="24">
        <v>0</v>
      </c>
      <c r="AJ84" s="24">
        <v>0</v>
      </c>
      <c r="AK84" s="24">
        <v>0</v>
      </c>
      <c r="AL84" s="24">
        <v>2071</v>
      </c>
      <c r="AM84" s="24">
        <v>399</v>
      </c>
      <c r="AN84" s="24">
        <v>0</v>
      </c>
      <c r="AO84" s="24">
        <v>0</v>
      </c>
      <c r="AP84" s="24">
        <v>0</v>
      </c>
      <c r="AQ84" s="24">
        <v>0</v>
      </c>
      <c r="AR84" s="24">
        <v>0</v>
      </c>
      <c r="AS84" s="24">
        <v>0</v>
      </c>
      <c r="AT84" s="24">
        <v>0</v>
      </c>
      <c r="AU84" s="24">
        <v>0</v>
      </c>
      <c r="AV84" s="24">
        <v>0</v>
      </c>
      <c r="AW84" s="24">
        <v>0</v>
      </c>
      <c r="AX84" s="24">
        <v>0</v>
      </c>
      <c r="AY84" s="24">
        <v>0</v>
      </c>
      <c r="AZ84" s="24">
        <v>0</v>
      </c>
      <c r="BA84" s="24">
        <v>0</v>
      </c>
      <c r="BB84" s="24">
        <v>55</v>
      </c>
      <c r="BC84" s="24">
        <v>6</v>
      </c>
      <c r="BD84" s="24">
        <v>31</v>
      </c>
      <c r="BE84" s="24">
        <v>64</v>
      </c>
      <c r="BF84" s="24">
        <v>183</v>
      </c>
      <c r="BG84" s="24">
        <v>0</v>
      </c>
      <c r="BH84" s="24">
        <v>0</v>
      </c>
      <c r="BI84" s="24">
        <v>0</v>
      </c>
      <c r="BJ84" s="24">
        <v>0</v>
      </c>
      <c r="BK84" s="24">
        <v>0</v>
      </c>
      <c r="BL84" s="24">
        <v>182</v>
      </c>
      <c r="BM84" s="24">
        <v>20</v>
      </c>
      <c r="BN84" s="24">
        <v>0</v>
      </c>
      <c r="BO84" s="24">
        <v>0</v>
      </c>
      <c r="BP84" s="24">
        <v>0</v>
      </c>
      <c r="BQ84" s="24">
        <v>0</v>
      </c>
      <c r="BR84" s="24">
        <v>0</v>
      </c>
      <c r="BS84" s="24">
        <v>0</v>
      </c>
      <c r="BT84" s="24">
        <v>0</v>
      </c>
      <c r="BU84" s="24">
        <v>0</v>
      </c>
      <c r="BV84" s="24">
        <v>0</v>
      </c>
      <c r="BW84" s="24">
        <v>0</v>
      </c>
      <c r="BX84" s="24">
        <v>0</v>
      </c>
      <c r="BY84" s="24">
        <v>0</v>
      </c>
      <c r="BZ84" s="24">
        <v>0</v>
      </c>
      <c r="CA84" s="24">
        <v>0</v>
      </c>
      <c r="CB84" s="24">
        <v>0</v>
      </c>
      <c r="CC84" s="24">
        <v>0</v>
      </c>
      <c r="CD84" s="24">
        <v>21424</v>
      </c>
      <c r="CE84" s="24">
        <v>3187</v>
      </c>
      <c r="CF84" s="24">
        <v>0</v>
      </c>
      <c r="CG84" s="24">
        <v>0</v>
      </c>
      <c r="CH84" s="24">
        <v>0</v>
      </c>
      <c r="CI84" s="24">
        <v>0</v>
      </c>
      <c r="CJ84" s="24">
        <v>0</v>
      </c>
      <c r="CK84" s="24">
        <v>0</v>
      </c>
      <c r="CL84" s="24">
        <v>0</v>
      </c>
      <c r="CM84" s="24">
        <v>0</v>
      </c>
      <c r="CN84" s="24">
        <v>0</v>
      </c>
      <c r="CO84" s="24">
        <v>0</v>
      </c>
      <c r="CP84" s="24">
        <v>0</v>
      </c>
      <c r="CQ84" s="24">
        <v>0</v>
      </c>
      <c r="CR84" s="24">
        <v>0</v>
      </c>
      <c r="CS84" s="24">
        <v>0</v>
      </c>
      <c r="CT84" s="24">
        <v>0</v>
      </c>
      <c r="CU84" s="24">
        <v>0</v>
      </c>
      <c r="CV84" s="24">
        <v>0</v>
      </c>
      <c r="CW84" s="24">
        <v>0</v>
      </c>
      <c r="CX84" s="24">
        <v>0</v>
      </c>
      <c r="CY84" s="24">
        <v>0</v>
      </c>
      <c r="CZ84" s="24">
        <v>0</v>
      </c>
      <c r="DA84" s="24">
        <v>0</v>
      </c>
      <c r="DB84" s="24">
        <v>0</v>
      </c>
      <c r="DC84" s="24">
        <v>0</v>
      </c>
      <c r="DD84" s="24">
        <v>0</v>
      </c>
      <c r="DE84" s="24">
        <v>0</v>
      </c>
      <c r="DF84" s="24">
        <v>0</v>
      </c>
      <c r="DG84" s="24">
        <v>0</v>
      </c>
      <c r="DH84" s="24">
        <v>0</v>
      </c>
      <c r="DI84" s="24">
        <v>0</v>
      </c>
      <c r="DJ84" s="24">
        <v>0</v>
      </c>
      <c r="DK84" s="24">
        <v>0</v>
      </c>
      <c r="DL84" s="24">
        <v>0</v>
      </c>
      <c r="DM84" s="24">
        <v>0</v>
      </c>
      <c r="DN84" s="24">
        <v>0</v>
      </c>
      <c r="DO84" s="24">
        <v>0</v>
      </c>
      <c r="DP84" s="24">
        <v>0</v>
      </c>
      <c r="DQ84" s="24">
        <v>0</v>
      </c>
      <c r="DR84" s="24">
        <v>0</v>
      </c>
      <c r="DS84" s="24">
        <v>0</v>
      </c>
      <c r="DT84" s="24">
        <v>0</v>
      </c>
      <c r="DU84" s="24">
        <v>0</v>
      </c>
      <c r="DV84" s="24">
        <v>0</v>
      </c>
      <c r="DW84" s="24">
        <v>0</v>
      </c>
      <c r="DX84" s="24">
        <v>0</v>
      </c>
      <c r="DY84" s="24">
        <v>0</v>
      </c>
      <c r="DZ84" s="24">
        <v>0</v>
      </c>
      <c r="EA84" s="24">
        <v>0</v>
      </c>
      <c r="EB84" s="24">
        <v>0</v>
      </c>
      <c r="EC84" s="24">
        <v>0</v>
      </c>
      <c r="ED84" s="24">
        <v>0</v>
      </c>
      <c r="EE84" s="24">
        <v>0</v>
      </c>
      <c r="EF84" s="24">
        <v>0</v>
      </c>
      <c r="EG84" s="24">
        <v>0</v>
      </c>
      <c r="EH84" s="24">
        <v>0</v>
      </c>
      <c r="EI84" s="24">
        <v>0</v>
      </c>
      <c r="EJ84" s="24">
        <v>0</v>
      </c>
      <c r="EK84" s="24">
        <v>0</v>
      </c>
      <c r="EL84" s="24">
        <v>0</v>
      </c>
      <c r="EM84" s="24">
        <v>0</v>
      </c>
      <c r="EN84" s="24">
        <v>0</v>
      </c>
      <c r="EO84" s="24">
        <v>0</v>
      </c>
      <c r="EP84" s="24">
        <v>0</v>
      </c>
      <c r="EQ84" s="24">
        <v>0</v>
      </c>
      <c r="ER84" s="24">
        <v>0</v>
      </c>
      <c r="ES84" s="24">
        <v>0</v>
      </c>
      <c r="ET84" s="24">
        <v>0</v>
      </c>
      <c r="EU84" s="24">
        <v>0</v>
      </c>
      <c r="EV84" s="24">
        <v>0</v>
      </c>
      <c r="EW84" s="24">
        <v>0</v>
      </c>
      <c r="EX84" s="24">
        <v>0</v>
      </c>
      <c r="EY84" s="24">
        <v>0</v>
      </c>
      <c r="EZ84" s="24">
        <v>0</v>
      </c>
      <c r="FA84" s="24">
        <v>0</v>
      </c>
      <c r="FB84" s="24">
        <v>0</v>
      </c>
      <c r="FC84" s="24">
        <v>0</v>
      </c>
      <c r="FD84" s="24">
        <v>0</v>
      </c>
      <c r="FE84" s="24">
        <v>0</v>
      </c>
      <c r="FF84" s="24">
        <v>0</v>
      </c>
      <c r="FG84" s="24">
        <v>0</v>
      </c>
      <c r="FH84" s="24">
        <v>0</v>
      </c>
      <c r="FI84" s="24">
        <v>0</v>
      </c>
      <c r="FJ84" s="24">
        <v>0</v>
      </c>
      <c r="FK84" s="24">
        <v>0</v>
      </c>
      <c r="FL84" s="24">
        <v>4015</v>
      </c>
      <c r="FM84" s="24">
        <v>0</v>
      </c>
      <c r="FN84" s="24">
        <v>0</v>
      </c>
      <c r="FO84" s="24">
        <v>0</v>
      </c>
      <c r="FP84" s="24">
        <v>0</v>
      </c>
      <c r="FQ84" s="24">
        <v>0</v>
      </c>
      <c r="FR84" s="24">
        <v>0</v>
      </c>
      <c r="FS84" s="24">
        <v>46491</v>
      </c>
      <c r="FT84" s="24">
        <v>0</v>
      </c>
      <c r="FU84" s="24">
        <v>0</v>
      </c>
      <c r="FV84" s="24">
        <v>0</v>
      </c>
      <c r="FW84" s="24">
        <v>0</v>
      </c>
      <c r="FX84" s="24">
        <v>0</v>
      </c>
      <c r="FY84" s="24">
        <v>0</v>
      </c>
      <c r="FZ84" s="24">
        <v>0</v>
      </c>
      <c r="GA84" s="24">
        <v>0</v>
      </c>
      <c r="GB84" s="24">
        <v>0</v>
      </c>
      <c r="GC84" s="24">
        <v>0</v>
      </c>
      <c r="GD84" s="24">
        <v>0</v>
      </c>
      <c r="GE84" s="24">
        <v>0</v>
      </c>
      <c r="GF84" s="24">
        <v>0</v>
      </c>
      <c r="GG84" s="24">
        <v>0</v>
      </c>
      <c r="GH84" s="24">
        <v>0</v>
      </c>
      <c r="GI84" s="24">
        <v>0</v>
      </c>
      <c r="GJ84" s="24">
        <v>0</v>
      </c>
      <c r="GK84" s="24">
        <v>0</v>
      </c>
      <c r="GL84" s="24">
        <v>0</v>
      </c>
      <c r="GM84" s="24">
        <v>0</v>
      </c>
      <c r="GN84" s="24">
        <v>0</v>
      </c>
      <c r="GO84" s="24">
        <v>0</v>
      </c>
      <c r="GP84" s="24">
        <v>0</v>
      </c>
      <c r="GQ84" s="24">
        <v>0</v>
      </c>
      <c r="GR84" s="24">
        <v>0</v>
      </c>
      <c r="GS84" s="24">
        <v>0</v>
      </c>
      <c r="GT84" s="24">
        <v>0</v>
      </c>
      <c r="GU84" s="24">
        <v>0</v>
      </c>
      <c r="GV84" s="24">
        <v>0</v>
      </c>
      <c r="GW84" s="24">
        <v>0</v>
      </c>
      <c r="GX84" s="24">
        <v>0</v>
      </c>
      <c r="GY84" s="24">
        <v>0</v>
      </c>
      <c r="GZ84" s="24">
        <v>30076</v>
      </c>
      <c r="HA84" s="24">
        <v>0</v>
      </c>
      <c r="HB84" s="24">
        <v>0</v>
      </c>
      <c r="HC84" s="24">
        <v>0</v>
      </c>
      <c r="HD84" s="24">
        <v>1176886</v>
      </c>
      <c r="HE84" s="24">
        <v>0</v>
      </c>
      <c r="HF84" s="24">
        <v>0</v>
      </c>
      <c r="HG84" s="24">
        <v>0</v>
      </c>
      <c r="HH84" s="24">
        <v>0</v>
      </c>
      <c r="HI84" s="24">
        <v>84728</v>
      </c>
      <c r="HJ84" s="24">
        <v>0</v>
      </c>
      <c r="HK84" s="24">
        <v>0</v>
      </c>
      <c r="HL84" s="24">
        <v>0</v>
      </c>
      <c r="HM84" s="24">
        <v>0</v>
      </c>
      <c r="HN84" s="24">
        <v>0</v>
      </c>
      <c r="HO84" s="24">
        <v>163308</v>
      </c>
      <c r="HP84" s="24">
        <v>78631</v>
      </c>
      <c r="HQ84" s="24">
        <v>0</v>
      </c>
      <c r="HR84" s="24">
        <v>0</v>
      </c>
      <c r="HS84" s="24">
        <v>0</v>
      </c>
      <c r="HT84" s="24">
        <v>0</v>
      </c>
      <c r="HU84" s="24">
        <v>0</v>
      </c>
      <c r="HV84" s="24">
        <v>0</v>
      </c>
      <c r="HW84" s="24">
        <v>0</v>
      </c>
      <c r="HX84" s="24">
        <v>0</v>
      </c>
      <c r="HY84" s="24">
        <v>0</v>
      </c>
      <c r="HZ84" s="24">
        <v>0</v>
      </c>
      <c r="IA84" s="24">
        <v>16486</v>
      </c>
      <c r="IB84" s="24">
        <v>3672</v>
      </c>
      <c r="IC84" s="24">
        <v>0</v>
      </c>
      <c r="ID84" s="24">
        <v>0</v>
      </c>
      <c r="IE84" s="24">
        <v>0</v>
      </c>
      <c r="IF84" s="24">
        <v>0</v>
      </c>
      <c r="IG84" s="24">
        <v>0</v>
      </c>
      <c r="IH84" s="24">
        <v>0</v>
      </c>
      <c r="II84" s="24">
        <v>0</v>
      </c>
      <c r="IJ84" s="24">
        <v>1220</v>
      </c>
      <c r="IK84" s="24">
        <v>0</v>
      </c>
      <c r="IL84" s="24">
        <v>0</v>
      </c>
      <c r="IM84" s="24">
        <v>0</v>
      </c>
      <c r="IN84" s="24">
        <v>0</v>
      </c>
      <c r="IO84" s="24">
        <v>0</v>
      </c>
      <c r="IP84" s="24">
        <v>0</v>
      </c>
      <c r="IQ84" s="24">
        <v>37635</v>
      </c>
      <c r="IR84" s="24">
        <v>0</v>
      </c>
      <c r="IS84" s="24">
        <v>0</v>
      </c>
      <c r="IT84" s="24">
        <v>0</v>
      </c>
      <c r="IU84" s="24">
        <v>0</v>
      </c>
      <c r="IV84" s="24">
        <v>0</v>
      </c>
      <c r="IW84" s="24">
        <v>23316</v>
      </c>
      <c r="IX84" s="24">
        <v>0</v>
      </c>
      <c r="IY84" s="24">
        <v>0</v>
      </c>
      <c r="IZ84" s="24">
        <v>0</v>
      </c>
      <c r="JA84" s="24">
        <v>0</v>
      </c>
      <c r="JB84" s="24">
        <v>14722</v>
      </c>
      <c r="JC84" s="24">
        <v>524</v>
      </c>
      <c r="JD84" s="24">
        <v>0</v>
      </c>
      <c r="JE84" s="24">
        <v>0</v>
      </c>
      <c r="JF84" s="24">
        <v>0</v>
      </c>
      <c r="JG84" s="24">
        <v>0</v>
      </c>
      <c r="JH84" s="24">
        <v>0</v>
      </c>
      <c r="JI84" s="24">
        <v>0</v>
      </c>
      <c r="JJ84" s="24">
        <v>0</v>
      </c>
      <c r="JK84" s="24">
        <v>0</v>
      </c>
      <c r="JL84" s="24">
        <v>0</v>
      </c>
      <c r="JM84" s="24">
        <v>0</v>
      </c>
      <c r="JN84" s="24">
        <v>0</v>
      </c>
      <c r="JO84" s="24">
        <v>0</v>
      </c>
      <c r="JP84" s="24">
        <v>0</v>
      </c>
      <c r="JQ84" s="24">
        <v>0</v>
      </c>
      <c r="JR84" s="24">
        <v>0</v>
      </c>
      <c r="JS84" s="24">
        <v>0</v>
      </c>
      <c r="JT84" s="24">
        <v>0</v>
      </c>
      <c r="JU84" s="24">
        <v>0</v>
      </c>
      <c r="JV84" s="24">
        <v>0</v>
      </c>
      <c r="JW84" s="24">
        <v>0</v>
      </c>
      <c r="JX84" s="24">
        <v>0</v>
      </c>
      <c r="JY84" s="24">
        <v>0</v>
      </c>
      <c r="JZ84" s="24">
        <v>0</v>
      </c>
      <c r="KA84" s="24">
        <v>0</v>
      </c>
      <c r="KB84" s="24">
        <v>0</v>
      </c>
      <c r="KC84" s="24">
        <v>0</v>
      </c>
      <c r="KD84" s="24">
        <v>0</v>
      </c>
      <c r="KE84" s="24">
        <v>0</v>
      </c>
      <c r="KF84" s="24">
        <v>0</v>
      </c>
      <c r="KG84" s="24">
        <v>20444</v>
      </c>
      <c r="KH84" s="24">
        <v>0</v>
      </c>
      <c r="KI84" s="24">
        <v>0</v>
      </c>
      <c r="KJ84" s="24">
        <v>0</v>
      </c>
      <c r="KK84" s="24">
        <v>0</v>
      </c>
      <c r="KL84" s="24">
        <v>0</v>
      </c>
      <c r="KM84" s="24">
        <v>0</v>
      </c>
      <c r="KN84" s="24">
        <v>0</v>
      </c>
      <c r="KO84" s="24">
        <v>23243</v>
      </c>
      <c r="KP84" s="24">
        <v>0</v>
      </c>
      <c r="KQ84" s="24">
        <v>0</v>
      </c>
      <c r="KR84" s="24">
        <v>0</v>
      </c>
      <c r="KS84" s="24">
        <v>0</v>
      </c>
      <c r="KT84" s="24">
        <v>0</v>
      </c>
      <c r="KU84" s="24">
        <v>0</v>
      </c>
      <c r="KV84" s="24">
        <v>0</v>
      </c>
      <c r="KW84" s="24">
        <v>14347</v>
      </c>
      <c r="KX84" s="24">
        <v>0</v>
      </c>
      <c r="KY84" s="24">
        <v>0</v>
      </c>
      <c r="KZ84" s="24">
        <v>0</v>
      </c>
      <c r="LA84" s="24">
        <v>0</v>
      </c>
      <c r="LB84" s="24">
        <v>0</v>
      </c>
      <c r="LC84" s="24">
        <v>0</v>
      </c>
      <c r="LD84" s="24">
        <v>0</v>
      </c>
      <c r="LE84" s="24">
        <v>0</v>
      </c>
      <c r="LF84" s="24">
        <v>0</v>
      </c>
      <c r="LG84" s="24">
        <v>0</v>
      </c>
      <c r="LH84" s="24">
        <v>0</v>
      </c>
      <c r="LI84" s="24">
        <v>0</v>
      </c>
      <c r="LJ84" s="24">
        <v>0</v>
      </c>
      <c r="LK84" s="24">
        <v>0</v>
      </c>
      <c r="LL84" s="24">
        <v>0</v>
      </c>
      <c r="LM84" s="24">
        <v>0</v>
      </c>
      <c r="LN84" s="24">
        <v>0</v>
      </c>
      <c r="LO84" s="24">
        <v>0</v>
      </c>
      <c r="LP84" s="24">
        <v>0</v>
      </c>
      <c r="LQ84" s="24">
        <v>27014</v>
      </c>
      <c r="LR84" s="24">
        <v>0</v>
      </c>
      <c r="LS84" s="24">
        <v>0</v>
      </c>
      <c r="LT84" s="24">
        <v>0</v>
      </c>
      <c r="LU84" s="24">
        <v>0</v>
      </c>
      <c r="LV84" s="24">
        <v>0</v>
      </c>
      <c r="LW84" s="24">
        <v>0</v>
      </c>
      <c r="LX84" s="24">
        <v>0</v>
      </c>
      <c r="LY84" s="24">
        <v>0</v>
      </c>
      <c r="LZ84" s="24">
        <v>0</v>
      </c>
      <c r="MA84" s="24">
        <v>0</v>
      </c>
      <c r="MB84" s="24">
        <v>0</v>
      </c>
      <c r="MC84" s="24">
        <v>0</v>
      </c>
      <c r="MD84" s="24">
        <v>0</v>
      </c>
      <c r="ME84" s="24">
        <v>0</v>
      </c>
      <c r="MF84" s="24">
        <v>0</v>
      </c>
      <c r="MG84" s="24">
        <v>0</v>
      </c>
      <c r="MH84" s="24">
        <v>0</v>
      </c>
      <c r="MI84" s="24">
        <v>0</v>
      </c>
      <c r="MJ84" s="24">
        <v>0</v>
      </c>
      <c r="MK84" s="24">
        <v>0</v>
      </c>
      <c r="ML84" s="24">
        <v>0</v>
      </c>
      <c r="MM84" s="24">
        <v>0</v>
      </c>
      <c r="MN84" s="24">
        <v>0</v>
      </c>
      <c r="MO84" s="24">
        <v>19930</v>
      </c>
      <c r="MP84" s="24">
        <v>0</v>
      </c>
      <c r="MQ84" s="24">
        <v>0</v>
      </c>
      <c r="MR84" s="24">
        <v>41668</v>
      </c>
      <c r="MS84" s="24">
        <v>0</v>
      </c>
      <c r="MT84" s="24">
        <v>0</v>
      </c>
      <c r="MU84" s="24">
        <v>0</v>
      </c>
      <c r="MV84" s="24">
        <v>0</v>
      </c>
      <c r="MW84" s="24">
        <v>31752</v>
      </c>
      <c r="MX84" s="24">
        <v>1678</v>
      </c>
      <c r="MY84" s="24">
        <v>0</v>
      </c>
      <c r="MZ84" s="24">
        <v>0</v>
      </c>
      <c r="NA84" s="24">
        <v>0</v>
      </c>
      <c r="NB84" s="24">
        <v>0</v>
      </c>
      <c r="NC84" s="24">
        <v>0</v>
      </c>
      <c r="ND84" s="24">
        <v>0</v>
      </c>
      <c r="NE84" s="24">
        <v>0</v>
      </c>
      <c r="NF84" s="24">
        <v>0</v>
      </c>
      <c r="NG84" s="24">
        <v>0</v>
      </c>
      <c r="NH84" s="24">
        <v>0</v>
      </c>
      <c r="NI84" s="24">
        <v>0</v>
      </c>
      <c r="NJ84" s="24">
        <v>0</v>
      </c>
      <c r="NK84" s="24">
        <v>0</v>
      </c>
      <c r="NL84" s="24">
        <v>0</v>
      </c>
      <c r="NM84" s="24">
        <v>0</v>
      </c>
      <c r="NN84" s="24">
        <v>0</v>
      </c>
      <c r="NO84" s="24">
        <v>0</v>
      </c>
      <c r="NP84" s="24">
        <v>0</v>
      </c>
      <c r="NQ84" s="24">
        <v>0</v>
      </c>
      <c r="NR84" s="24">
        <v>0</v>
      </c>
      <c r="NS84" s="24">
        <v>0</v>
      </c>
      <c r="NT84" s="24">
        <v>0</v>
      </c>
      <c r="NU84" s="24">
        <v>0</v>
      </c>
      <c r="NV84" s="24">
        <v>8787</v>
      </c>
      <c r="NW84" s="24">
        <v>0</v>
      </c>
      <c r="NX84" s="24">
        <v>0</v>
      </c>
      <c r="NY84" s="24">
        <v>0</v>
      </c>
      <c r="NZ84" s="24">
        <v>0</v>
      </c>
      <c r="OA84" s="24">
        <v>0</v>
      </c>
      <c r="OB84" s="24">
        <v>0</v>
      </c>
      <c r="OC84" s="24">
        <v>0</v>
      </c>
      <c r="OD84" s="24">
        <v>0</v>
      </c>
      <c r="OE84" s="24">
        <v>0</v>
      </c>
      <c r="OF84" s="24">
        <v>0</v>
      </c>
      <c r="OG84" s="24">
        <v>0</v>
      </c>
      <c r="OH84" s="24">
        <v>0</v>
      </c>
      <c r="OI84" s="24">
        <v>0</v>
      </c>
      <c r="OJ84" s="24">
        <v>0</v>
      </c>
      <c r="OK84" s="24">
        <v>3658</v>
      </c>
      <c r="OL84" s="24">
        <v>0</v>
      </c>
      <c r="OM84" s="24">
        <v>0</v>
      </c>
      <c r="ON84" s="24">
        <v>0</v>
      </c>
      <c r="OO84" s="24">
        <v>0</v>
      </c>
      <c r="OP84" s="24">
        <v>0</v>
      </c>
      <c r="OQ84" s="24">
        <v>0</v>
      </c>
      <c r="OR84" s="24">
        <v>0</v>
      </c>
      <c r="OS84" s="24">
        <v>0</v>
      </c>
      <c r="OT84" s="24">
        <v>0</v>
      </c>
      <c r="OU84" s="24">
        <v>0</v>
      </c>
      <c r="OV84" s="24">
        <v>0</v>
      </c>
      <c r="OW84" s="24">
        <v>0</v>
      </c>
      <c r="OX84" s="24">
        <v>0</v>
      </c>
      <c r="OY84" s="24">
        <v>0</v>
      </c>
      <c r="OZ84" s="24">
        <v>0</v>
      </c>
      <c r="PA84" s="24">
        <v>0</v>
      </c>
      <c r="PB84" s="24">
        <v>0</v>
      </c>
      <c r="PC84" s="24">
        <v>0</v>
      </c>
      <c r="PD84" s="24">
        <v>0</v>
      </c>
      <c r="PE84" s="24">
        <v>0</v>
      </c>
      <c r="PF84" s="24">
        <v>0</v>
      </c>
      <c r="PG84" s="24">
        <v>0</v>
      </c>
      <c r="PH84" s="24">
        <v>0</v>
      </c>
      <c r="PI84" s="24">
        <v>0</v>
      </c>
      <c r="PJ84" s="24">
        <v>0</v>
      </c>
      <c r="PK84" s="24">
        <v>0</v>
      </c>
      <c r="PL84" s="24">
        <v>0</v>
      </c>
      <c r="PM84" s="24">
        <v>0</v>
      </c>
      <c r="PN84" s="24">
        <v>0</v>
      </c>
      <c r="PO84" s="24">
        <v>0</v>
      </c>
      <c r="PP84" s="24">
        <v>0</v>
      </c>
      <c r="PQ84" s="24">
        <v>0</v>
      </c>
      <c r="PR84" s="24">
        <v>0</v>
      </c>
      <c r="PS84" s="24">
        <v>0</v>
      </c>
      <c r="PT84" s="24">
        <v>0</v>
      </c>
      <c r="PU84" s="24">
        <v>0</v>
      </c>
      <c r="PV84" s="24">
        <v>0</v>
      </c>
      <c r="PW84" s="24">
        <v>0</v>
      </c>
      <c r="PX84" s="24">
        <v>0</v>
      </c>
      <c r="PY84" s="24">
        <v>0</v>
      </c>
      <c r="PZ84" s="24">
        <v>0</v>
      </c>
      <c r="QA84" s="24">
        <v>0</v>
      </c>
      <c r="QB84" s="24">
        <v>0</v>
      </c>
      <c r="QC84" s="24">
        <v>0</v>
      </c>
      <c r="QD84" s="24">
        <v>0</v>
      </c>
      <c r="QE84" s="24">
        <v>0</v>
      </c>
      <c r="QF84" s="24">
        <v>0</v>
      </c>
      <c r="QG84" s="24">
        <v>0</v>
      </c>
      <c r="QH84" s="24">
        <v>0</v>
      </c>
      <c r="QI84" s="24">
        <v>0</v>
      </c>
      <c r="QJ84" s="24">
        <v>0</v>
      </c>
      <c r="QK84" s="24">
        <v>0</v>
      </c>
      <c r="QL84" s="24">
        <v>0</v>
      </c>
      <c r="QM84" s="24">
        <v>0</v>
      </c>
      <c r="QN84" s="24">
        <v>0</v>
      </c>
      <c r="QO84" s="24">
        <v>0</v>
      </c>
      <c r="QP84" s="24">
        <v>0</v>
      </c>
      <c r="QQ84" s="24">
        <v>0</v>
      </c>
      <c r="QR84" s="24">
        <v>0</v>
      </c>
      <c r="QS84" s="24">
        <v>6254</v>
      </c>
      <c r="QT84" s="24">
        <v>0</v>
      </c>
      <c r="QU84" s="24">
        <v>0</v>
      </c>
      <c r="QV84" s="24">
        <v>25608</v>
      </c>
      <c r="QW84" s="24">
        <v>0</v>
      </c>
      <c r="QX84" s="24">
        <v>0</v>
      </c>
      <c r="QY84" s="24">
        <v>0</v>
      </c>
      <c r="QZ84" s="24">
        <v>0</v>
      </c>
      <c r="RA84" s="24">
        <v>0</v>
      </c>
      <c r="RB84" s="24">
        <v>0</v>
      </c>
      <c r="RG84" s="39">
        <f t="shared" si="129"/>
        <v>1176886</v>
      </c>
      <c r="RH84" s="39">
        <f t="shared" si="128"/>
        <v>84728</v>
      </c>
      <c r="RI84" s="39">
        <f t="shared" si="128"/>
        <v>0</v>
      </c>
      <c r="RJ84" s="39">
        <f t="shared" si="128"/>
        <v>0</v>
      </c>
      <c r="RK84" s="39">
        <f t="shared" si="128"/>
        <v>0</v>
      </c>
      <c r="RL84" s="39">
        <f t="shared" si="128"/>
        <v>163308</v>
      </c>
      <c r="RM84" s="39">
        <f t="shared" si="128"/>
        <v>100009</v>
      </c>
      <c r="RN84" s="39">
        <f t="shared" si="128"/>
        <v>0</v>
      </c>
      <c r="RO84" s="39">
        <f t="shared" si="128"/>
        <v>37635</v>
      </c>
      <c r="RP84" s="39">
        <f t="shared" si="128"/>
        <v>23316</v>
      </c>
      <c r="RQ84" s="39">
        <f t="shared" si="128"/>
        <v>15246</v>
      </c>
      <c r="RR84" s="39">
        <f t="shared" si="128"/>
        <v>0</v>
      </c>
      <c r="RS84" s="39"/>
      <c r="RT84" s="182"/>
      <c r="RU84" s="39"/>
      <c r="RV84" s="39">
        <f t="shared" si="182"/>
        <v>192521</v>
      </c>
      <c r="RW84" s="39">
        <f t="shared" si="182"/>
        <v>1601128</v>
      </c>
      <c r="RX84" s="39">
        <f t="shared" si="182"/>
        <v>637416</v>
      </c>
      <c r="RY84" s="39">
        <f t="shared" si="182"/>
        <v>31862</v>
      </c>
      <c r="RZ84" s="39"/>
      <c r="SA84" s="182"/>
      <c r="SB84" s="39"/>
      <c r="SC84" s="25">
        <f t="shared" si="183"/>
        <v>4828.909090909091</v>
      </c>
      <c r="SD84" s="39">
        <f>IFERROR(VLOOKUP(A84, 'Levy Data 15-16'!$B:$O, 3, FALSE), 0)</f>
        <v>113699298</v>
      </c>
      <c r="SE84" s="39">
        <f t="shared" si="144"/>
        <v>861358.31818181823</v>
      </c>
      <c r="SF84" s="631">
        <f>IFERROR(VLOOKUP(A84, 'Levy Data 15-16'!$B:$O, 14, FALSE), 0)*1000</f>
        <v>4.5810829999999996</v>
      </c>
      <c r="SG84" s="39">
        <f t="shared" si="145"/>
        <v>0</v>
      </c>
      <c r="SH84" s="39">
        <f t="shared" si="146"/>
        <v>0</v>
      </c>
      <c r="SI84" s="39">
        <f t="shared" si="147"/>
        <v>637416</v>
      </c>
      <c r="SM84" s="39">
        <f t="shared" si="148"/>
        <v>1601128</v>
      </c>
      <c r="SN84" s="39">
        <f t="shared" si="149"/>
        <v>0</v>
      </c>
      <c r="SO84" s="39">
        <f t="shared" si="184"/>
        <v>1601128</v>
      </c>
      <c r="SP84" s="50">
        <f t="shared" si="130"/>
        <v>1</v>
      </c>
      <c r="ST84" s="124">
        <f>IFERROR(VLOOKUP(A84,'Grade Enroll 15-16'!B:AC,27,FALSE),"")</f>
        <v>132</v>
      </c>
      <c r="SU84" s="124">
        <f t="shared" si="185"/>
        <v>62.899328859060397</v>
      </c>
      <c r="SV84" s="131">
        <f>IFERROR(VLOOKUP($A84, 'Title I Enroll 16-17'!S:V, 4, FALSE), 0)</f>
        <v>0.47651006711409394</v>
      </c>
      <c r="SW84" s="729">
        <f>IFERROR(VLOOKUP(A84, 'ELL Enroll 15-16'!$N:$S, 6, FALSE), 0)</f>
        <v>5</v>
      </c>
      <c r="SX84" s="131">
        <f t="shared" si="131"/>
        <v>3.787878787878788E-2</v>
      </c>
      <c r="SY84" s="124">
        <f>IFERROR(VLOOKUP(A84, 'SPED enroll 2015-16'!$M:$O, 3, FALSE), 0)</f>
        <v>24</v>
      </c>
      <c r="SZ84" s="131">
        <f t="shared" si="132"/>
        <v>0.18181818181818182</v>
      </c>
      <c r="TA84" s="142">
        <f t="shared" si="133"/>
        <v>16.799999999999997</v>
      </c>
      <c r="TB84" s="142">
        <f t="shared" si="133"/>
        <v>4.8000000000000007</v>
      </c>
      <c r="TC84" s="142">
        <f t="shared" si="133"/>
        <v>1.6800000000000002</v>
      </c>
      <c r="TD84" s="142">
        <f t="shared" si="133"/>
        <v>0.72</v>
      </c>
      <c r="TE84" s="124">
        <f>VLOOKUP($A84, 'Grade Enroll 15-16'!$B:$AB, 20, FALSE)</f>
        <v>4</v>
      </c>
      <c r="TF84" s="124">
        <f>VLOOKUP($A84, 'Grade Enroll 15-16'!$B:$AB, 21, FALSE)</f>
        <v>14</v>
      </c>
      <c r="TG84" s="124">
        <f>VLOOKUP($A84, 'Grade Enroll 15-16'!$B:$AB, 22, FALSE)</f>
        <v>32</v>
      </c>
      <c r="TH84" s="124">
        <f>VLOOKUP($A84, 'Grade Enroll 15-16'!$B:$AB, 23, FALSE)</f>
        <v>35</v>
      </c>
      <c r="TI84" s="124">
        <f>VLOOKUP($A84, 'Grade Enroll 15-16'!$B:$AB, 24, FALSE)</f>
        <v>23</v>
      </c>
      <c r="TJ84" s="124">
        <f>VLOOKUP($A84, 'Grade Enroll 15-16'!$B:$AB, 25, FALSE)</f>
        <v>42</v>
      </c>
      <c r="TK84" s="124">
        <f>VLOOKUP($A84, 'Grade Enroll 15-16'!$B:$AB, 26, FALSE)</f>
        <v>91</v>
      </c>
      <c r="TL84" s="131">
        <f>SUMIFS('Student Achievement 15-16'!N:N, 'Student Achievement 15-16'!B:B, 'Idaho Data'!A84, 'Student Achievement 15-16'!D:D, "math")/100</f>
        <v>0.221</v>
      </c>
      <c r="TM84" s="134">
        <f t="shared" si="186"/>
        <v>29.172000000000001</v>
      </c>
      <c r="TN84" s="131">
        <f>SUMIFS('Student Achievement 15-16'!N:N, 'Student Achievement 15-16'!B:B, 'Idaho Data'!A84, 'Student Achievement 15-16'!D:D, "ela")/100</f>
        <v>0.19500000000000001</v>
      </c>
      <c r="TO84" s="134">
        <f t="shared" si="134"/>
        <v>25.740000000000002</v>
      </c>
      <c r="TP84" s="688">
        <f>IFERROR(VLOOKUP(A84, 'G&amp;T 15-16'!B:G, 6, FALSE), 0)*1</f>
        <v>0</v>
      </c>
      <c r="TQ84" s="168">
        <f t="shared" si="135"/>
        <v>7.92</v>
      </c>
      <c r="TU84" s="168">
        <f t="shared" si="136"/>
        <v>25.740000000000002</v>
      </c>
      <c r="TV84" s="168">
        <f t="shared" si="137"/>
        <v>29.172000000000001</v>
      </c>
      <c r="TW84" s="205">
        <f t="shared" si="138"/>
        <v>29.172000000000001</v>
      </c>
      <c r="TX84" s="144"/>
      <c r="TY84" s="129"/>
      <c r="TZ84" s="127">
        <f t="shared" si="139"/>
        <v>0</v>
      </c>
      <c r="UA84" s="127">
        <f t="shared" si="140"/>
        <v>7.92</v>
      </c>
      <c r="UB84" s="205">
        <f t="shared" si="141"/>
        <v>7.92</v>
      </c>
      <c r="UE84" s="853" t="str">
        <f>IF(ST84&lt;='1. Simulator Input'!$E$104, "yes", "")</f>
        <v>yes</v>
      </c>
      <c r="UI84" s="199">
        <f t="shared" si="187"/>
        <v>0</v>
      </c>
      <c r="UJ84" s="200">
        <f>IF('Idaho Data'!SI84&gt;=0, ((1-'1. Simulator Input'!$E$39)*'Idaho Data'!SI84), 0)</f>
        <v>0</v>
      </c>
      <c r="UK84" s="200">
        <f t="shared" si="142"/>
        <v>1601128</v>
      </c>
      <c r="UL84" s="39"/>
      <c r="UM84" s="182"/>
      <c r="UN84" s="39"/>
      <c r="UO84" s="39">
        <f>IF(AND('1. Simulator Input'!$E$96="yes", '1. Simulator Input'!$E$98="yes", '1. Simulator Input'!$E$100="hold harmless"), 'Idaho Data'!WN84, IF(AND('1. Simulator Input'!$E$96="yes", '1. Simulator Input'!$E$98="no", '1. Simulator Input'!$E$100="hold harmless"), 'Idaho Data'!WM84, IF(AND('1. Simulator Input'!$E$96="yes", '1. Simulator Input'!$E$98="yes", '1. Simulator Input'!$E$100="small district grant"), WL84,IF(AND('1. Simulator Input'!$E$96="yes", '1. Simulator Input'!$E$98="no", '1. Simulator Input'!$E$100="small district grant"), WK84, ""))))</f>
        <v>0</v>
      </c>
      <c r="UP84" s="200">
        <f>'1. Simulator Input'!$D$56*('Idaho Data'!ST84)</f>
        <v>729432</v>
      </c>
      <c r="UQ84" s="204">
        <f>'1. Simulator Input'!$D$65*'1. Simulator Input'!$D$56*'Idaho Data'!SU84</f>
        <v>0</v>
      </c>
      <c r="UR84" s="204">
        <f>'1. Simulator Input'!$D$66*'1. Simulator Input'!$D$56*'Idaho Data'!SW84</f>
        <v>0</v>
      </c>
      <c r="US84" s="200">
        <f>'1. Simulator Input'!$D$67*'1. Simulator Input'!$D$56*'Idaho Data'!TA84</f>
        <v>0</v>
      </c>
      <c r="UT84" s="200">
        <f>'1. Simulator Input'!$D$68*'1. Simulator Input'!$D$56*'Idaho Data'!TB84</f>
        <v>0</v>
      </c>
      <c r="UU84" s="200">
        <f>'1. Simulator Input'!$D$69*'1. Simulator Input'!$D$56*'Idaho Data'!TC84</f>
        <v>0</v>
      </c>
      <c r="UV84" s="200">
        <f>'1. Simulator Input'!$D$70*'1. Simulator Input'!$D$56*TD84</f>
        <v>0</v>
      </c>
      <c r="UW84" s="200">
        <f>'1. Simulator Input'!$D$80*'1. Simulator Input'!$D$56*TW84</f>
        <v>0</v>
      </c>
      <c r="UX84" s="200">
        <f>'1. Simulator Input'!$D$79*'1. Simulator Input'!$D$56*UB84</f>
        <v>0</v>
      </c>
      <c r="UY84" s="200">
        <f>'1. Simulator Input'!$D$87*'1. Simulator Input'!$D$56*TF84</f>
        <v>38682</v>
      </c>
      <c r="UZ84" s="200">
        <f>'1. Simulator Input'!$D$73*'1. Simulator Input'!$D$56*'Idaho Data'!TG84</f>
        <v>0</v>
      </c>
      <c r="VA84" s="200">
        <f>'1. Simulator Input'!$D$56*'1. Simulator Input'!$D$74*'Idaho Data'!TH84</f>
        <v>0</v>
      </c>
      <c r="VB84" s="200">
        <f>'1. Simulator Input'!$D$56*'1. Simulator Input'!$D$75*'Idaho Data'!TI79</f>
        <v>0</v>
      </c>
      <c r="VC84" s="200">
        <f>'1. Simulator Input'!$D$76*'1. Simulator Input'!$D$56*'Idaho Data'!TJ84</f>
        <v>0</v>
      </c>
      <c r="VD84" s="200">
        <f t="shared" si="188"/>
        <v>768114</v>
      </c>
      <c r="VE84" s="200"/>
      <c r="VF84" s="182"/>
      <c r="VG84" s="200"/>
      <c r="VH84" s="200">
        <f t="shared" si="189"/>
        <v>0</v>
      </c>
      <c r="VI84" s="200">
        <f t="shared" si="190"/>
        <v>0</v>
      </c>
      <c r="VJ84" s="200">
        <f t="shared" si="150"/>
        <v>768114</v>
      </c>
      <c r="VK84" s="200">
        <f t="shared" si="151"/>
        <v>768114</v>
      </c>
      <c r="VL84" s="200"/>
      <c r="VM84" s="182"/>
      <c r="VN84" s="200"/>
      <c r="VO84" s="200">
        <f t="shared" si="191"/>
        <v>192521</v>
      </c>
      <c r="VP84" s="200">
        <f t="shared" si="192"/>
        <v>1601128</v>
      </c>
      <c r="VQ84" s="200">
        <f t="shared" si="193"/>
        <v>637416</v>
      </c>
      <c r="VR84" s="200">
        <f t="shared" si="194"/>
        <v>192521</v>
      </c>
      <c r="VS84" s="200">
        <f t="shared" si="152"/>
        <v>768114</v>
      </c>
      <c r="VT84" s="200">
        <f t="shared" si="153"/>
        <v>637416</v>
      </c>
      <c r="VU84" s="200">
        <f t="shared" si="154"/>
        <v>0</v>
      </c>
      <c r="VV84" s="200"/>
      <c r="VW84" s="182"/>
      <c r="VX84" s="200"/>
      <c r="VZ84" s="199">
        <f t="shared" si="195"/>
        <v>-833014</v>
      </c>
      <c r="WA84" s="199">
        <f t="shared" si="196"/>
        <v>-6310.712121212121</v>
      </c>
      <c r="WB84" s="131">
        <f t="shared" si="197"/>
        <v>-0.52026696179193666</v>
      </c>
      <c r="WC84" s="131"/>
      <c r="WD84" s="461"/>
      <c r="WE84" s="893"/>
      <c r="WF84" s="893">
        <f t="shared" si="198"/>
        <v>18417.159090909092</v>
      </c>
      <c r="WG84" s="893">
        <f t="shared" si="199"/>
        <v>12106.44696969697</v>
      </c>
      <c r="WH84" s="893"/>
      <c r="WI84" s="893">
        <f t="shared" si="200"/>
        <v>1601128</v>
      </c>
      <c r="WJ84" s="893">
        <f t="shared" si="155"/>
        <v>768114</v>
      </c>
      <c r="WK84" s="39">
        <f t="shared" si="156"/>
        <v>0</v>
      </c>
      <c r="WL84" s="39">
        <f t="shared" si="157"/>
        <v>0</v>
      </c>
      <c r="WM84" s="200">
        <f t="shared" si="158"/>
        <v>833014</v>
      </c>
      <c r="WN84" s="39">
        <f t="shared" si="159"/>
        <v>833014</v>
      </c>
      <c r="WO84" s="39"/>
      <c r="WP84" s="182"/>
      <c r="WQ84" s="39"/>
      <c r="WR84" s="305">
        <f t="shared" si="160"/>
        <v>0.78900000000000003</v>
      </c>
      <c r="WT84" s="200">
        <f t="shared" si="161"/>
        <v>12129.757575757576</v>
      </c>
      <c r="WU84" s="131">
        <f t="shared" si="201"/>
        <v>0.91</v>
      </c>
      <c r="WW84" s="199">
        <f t="shared" si="162"/>
        <v>192521</v>
      </c>
      <c r="WX84" s="199">
        <f t="shared" si="163"/>
        <v>768114</v>
      </c>
      <c r="WY84" s="199">
        <f t="shared" si="164"/>
        <v>0</v>
      </c>
      <c r="WZ84" s="199">
        <f t="shared" si="202"/>
        <v>768114</v>
      </c>
      <c r="XA84" s="199">
        <f t="shared" si="165"/>
        <v>0</v>
      </c>
      <c r="XB84" s="199">
        <f t="shared" si="166"/>
        <v>637416</v>
      </c>
      <c r="XC84" s="199">
        <f t="shared" si="167"/>
        <v>637416</v>
      </c>
      <c r="XD84" s="199" t="str">
        <f t="shared" si="168"/>
        <v/>
      </c>
      <c r="XE84" s="199"/>
      <c r="XF84" s="199"/>
      <c r="XG84" s="199"/>
      <c r="XH84" s="199"/>
      <c r="XI84" s="199"/>
      <c r="XJ84" s="199">
        <f t="shared" si="203"/>
        <v>768114</v>
      </c>
      <c r="XP84" s="199">
        <f t="shared" si="169"/>
        <v>768114</v>
      </c>
      <c r="XQ84" s="199">
        <f t="shared" si="170"/>
        <v>5819.045454545455</v>
      </c>
      <c r="XR84" s="199">
        <f t="shared" si="171"/>
        <v>768114</v>
      </c>
      <c r="XS84" s="199">
        <f t="shared" si="172"/>
        <v>768114</v>
      </c>
      <c r="XT84" s="199">
        <f t="shared" si="173"/>
        <v>5819.045454545455</v>
      </c>
      <c r="XU84" s="199">
        <f t="shared" si="174"/>
        <v>1601128</v>
      </c>
      <c r="XV84" s="199">
        <f t="shared" si="175"/>
        <v>12129.757575757576</v>
      </c>
      <c r="XW84" s="199">
        <f t="shared" si="176"/>
        <v>1601128</v>
      </c>
      <c r="XX84" s="199">
        <f t="shared" si="177"/>
        <v>12129.757575757576</v>
      </c>
      <c r="XY84" s="199">
        <f t="shared" si="204"/>
        <v>-833014</v>
      </c>
      <c r="XZ84" s="199">
        <f t="shared" si="205"/>
        <v>-6310.712121212121</v>
      </c>
      <c r="YA84" s="131">
        <f t="shared" si="143"/>
        <v>-0.52026696179193666</v>
      </c>
      <c r="YB84" s="199"/>
      <c r="YC84" s="221"/>
      <c r="YD84" s="199"/>
      <c r="YE84" s="199">
        <f t="shared" si="178"/>
        <v>192521</v>
      </c>
      <c r="YF84" s="200">
        <f t="shared" si="179"/>
        <v>0</v>
      </c>
      <c r="YG84" s="199">
        <f t="shared" si="180"/>
        <v>637416</v>
      </c>
      <c r="YH84" s="199">
        <f t="shared" si="181"/>
        <v>31862</v>
      </c>
    </row>
    <row r="85" spans="1:658">
      <c r="A85" s="3">
        <v>304</v>
      </c>
      <c r="B85" s="2" t="s">
        <v>181</v>
      </c>
      <c r="C85" s="24">
        <v>0</v>
      </c>
      <c r="D85" s="24">
        <v>0</v>
      </c>
      <c r="E85" s="24">
        <v>0</v>
      </c>
      <c r="F85" s="24">
        <v>0</v>
      </c>
      <c r="G85" s="24">
        <v>47489</v>
      </c>
      <c r="H85" s="24">
        <v>0</v>
      </c>
      <c r="I85" s="24">
        <v>0</v>
      </c>
      <c r="J85" s="24">
        <v>3097</v>
      </c>
      <c r="K85" s="24">
        <v>0</v>
      </c>
      <c r="L85" s="24">
        <v>0</v>
      </c>
      <c r="M85" s="24">
        <v>0</v>
      </c>
      <c r="N85" s="24">
        <v>945</v>
      </c>
      <c r="O85" s="24">
        <v>1147</v>
      </c>
      <c r="P85" s="24">
        <v>0</v>
      </c>
      <c r="Q85" s="24">
        <v>0</v>
      </c>
      <c r="R85" s="24">
        <v>0</v>
      </c>
      <c r="S85" s="24">
        <v>0</v>
      </c>
      <c r="T85" s="24">
        <v>0</v>
      </c>
      <c r="U85" s="24">
        <v>0</v>
      </c>
      <c r="V85" s="24">
        <v>0</v>
      </c>
      <c r="W85" s="24">
        <v>0</v>
      </c>
      <c r="X85" s="24">
        <v>22581</v>
      </c>
      <c r="Y85" s="24">
        <v>2714</v>
      </c>
      <c r="Z85" s="24">
        <v>0</v>
      </c>
      <c r="AA85" s="24">
        <v>2470</v>
      </c>
      <c r="AB85" s="24">
        <v>0</v>
      </c>
      <c r="AC85" s="24">
        <v>0</v>
      </c>
      <c r="AD85" s="24">
        <v>0</v>
      </c>
      <c r="AE85" s="24">
        <v>0</v>
      </c>
      <c r="AF85" s="24">
        <v>0</v>
      </c>
      <c r="AG85" s="24">
        <v>0</v>
      </c>
      <c r="AH85" s="24">
        <v>0</v>
      </c>
      <c r="AI85" s="24">
        <v>0</v>
      </c>
      <c r="AJ85" s="24">
        <v>0</v>
      </c>
      <c r="AK85" s="24">
        <v>0</v>
      </c>
      <c r="AL85" s="24">
        <v>1896</v>
      </c>
      <c r="AM85" s="24">
        <v>1824</v>
      </c>
      <c r="AN85" s="24">
        <v>0</v>
      </c>
      <c r="AO85" s="24">
        <v>0</v>
      </c>
      <c r="AP85" s="24">
        <v>0</v>
      </c>
      <c r="AQ85" s="24">
        <v>0</v>
      </c>
      <c r="AR85" s="24">
        <v>0</v>
      </c>
      <c r="AS85" s="24">
        <v>0</v>
      </c>
      <c r="AT85" s="24">
        <v>0</v>
      </c>
      <c r="AU85" s="24">
        <v>0</v>
      </c>
      <c r="AV85" s="24">
        <v>0</v>
      </c>
      <c r="AW85" s="24">
        <v>0</v>
      </c>
      <c r="AX85" s="24">
        <v>0</v>
      </c>
      <c r="AY85" s="24">
        <v>0</v>
      </c>
      <c r="AZ85" s="24">
        <v>0</v>
      </c>
      <c r="BA85" s="24">
        <v>0</v>
      </c>
      <c r="BB85" s="24">
        <v>0</v>
      </c>
      <c r="BC85" s="24">
        <v>69</v>
      </c>
      <c r="BD85" s="24">
        <v>121</v>
      </c>
      <c r="BE85" s="24">
        <v>0</v>
      </c>
      <c r="BF85" s="24">
        <v>214</v>
      </c>
      <c r="BG85" s="24">
        <v>0</v>
      </c>
      <c r="BH85" s="24">
        <v>0</v>
      </c>
      <c r="BI85" s="24">
        <v>0</v>
      </c>
      <c r="BJ85" s="24">
        <v>0</v>
      </c>
      <c r="BK85" s="24">
        <v>0</v>
      </c>
      <c r="BL85" s="24">
        <v>298</v>
      </c>
      <c r="BM85" s="24">
        <v>0</v>
      </c>
      <c r="BN85" s="24">
        <v>0</v>
      </c>
      <c r="BO85" s="24">
        <v>0</v>
      </c>
      <c r="BP85" s="24">
        <v>0</v>
      </c>
      <c r="BQ85" s="24">
        <v>0</v>
      </c>
      <c r="BR85" s="24">
        <v>0</v>
      </c>
      <c r="BS85" s="24">
        <v>0</v>
      </c>
      <c r="BT85" s="24">
        <v>0</v>
      </c>
      <c r="BU85" s="24">
        <v>0</v>
      </c>
      <c r="BV85" s="24">
        <v>0</v>
      </c>
      <c r="BW85" s="24">
        <v>0</v>
      </c>
      <c r="BX85" s="24">
        <v>0</v>
      </c>
      <c r="BY85" s="24">
        <v>0</v>
      </c>
      <c r="BZ85" s="24">
        <v>0</v>
      </c>
      <c r="CA85" s="24">
        <v>0</v>
      </c>
      <c r="CB85" s="24">
        <v>0</v>
      </c>
      <c r="CC85" s="24">
        <v>0</v>
      </c>
      <c r="CD85" s="24">
        <v>1712</v>
      </c>
      <c r="CE85" s="24">
        <v>2313</v>
      </c>
      <c r="CF85" s="24">
        <v>0</v>
      </c>
      <c r="CG85" s="24">
        <v>4618</v>
      </c>
      <c r="CH85" s="24">
        <v>0</v>
      </c>
      <c r="CI85" s="24">
        <v>0</v>
      </c>
      <c r="CJ85" s="24">
        <v>0</v>
      </c>
      <c r="CK85" s="24">
        <v>0</v>
      </c>
      <c r="CL85" s="24">
        <v>0</v>
      </c>
      <c r="CM85" s="24">
        <v>0</v>
      </c>
      <c r="CN85" s="24">
        <v>0</v>
      </c>
      <c r="CO85" s="24">
        <v>0</v>
      </c>
      <c r="CP85" s="24">
        <v>0</v>
      </c>
      <c r="CQ85" s="24">
        <v>0</v>
      </c>
      <c r="CR85" s="24">
        <v>0</v>
      </c>
      <c r="CS85" s="24">
        <v>0</v>
      </c>
      <c r="CT85" s="24">
        <v>0</v>
      </c>
      <c r="CU85" s="24">
        <v>0</v>
      </c>
      <c r="CV85" s="24">
        <v>0</v>
      </c>
      <c r="CW85" s="24">
        <v>0</v>
      </c>
      <c r="CX85" s="24">
        <v>0</v>
      </c>
      <c r="CY85" s="24">
        <v>0</v>
      </c>
      <c r="CZ85" s="24">
        <v>0</v>
      </c>
      <c r="DA85" s="24">
        <v>0</v>
      </c>
      <c r="DB85" s="24">
        <v>0</v>
      </c>
      <c r="DC85" s="24">
        <v>0</v>
      </c>
      <c r="DD85" s="24">
        <v>0</v>
      </c>
      <c r="DE85" s="24">
        <v>0</v>
      </c>
      <c r="DF85" s="24">
        <v>0</v>
      </c>
      <c r="DG85" s="24">
        <v>0</v>
      </c>
      <c r="DH85" s="24">
        <v>0</v>
      </c>
      <c r="DI85" s="24">
        <v>0</v>
      </c>
      <c r="DJ85" s="24">
        <v>0</v>
      </c>
      <c r="DK85" s="24">
        <v>0</v>
      </c>
      <c r="DL85" s="24">
        <v>689</v>
      </c>
      <c r="DM85" s="24">
        <v>0</v>
      </c>
      <c r="DN85" s="24">
        <v>0</v>
      </c>
      <c r="DO85" s="24">
        <v>0</v>
      </c>
      <c r="DP85" s="24">
        <v>0</v>
      </c>
      <c r="DQ85" s="24">
        <v>0</v>
      </c>
      <c r="DR85" s="24">
        <v>0</v>
      </c>
      <c r="DS85" s="24">
        <v>0</v>
      </c>
      <c r="DT85" s="24">
        <v>0</v>
      </c>
      <c r="DU85" s="24">
        <v>11029</v>
      </c>
      <c r="DV85" s="24">
        <v>0</v>
      </c>
      <c r="DW85" s="24">
        <v>0</v>
      </c>
      <c r="DX85" s="24">
        <v>0</v>
      </c>
      <c r="DY85" s="24">
        <v>0</v>
      </c>
      <c r="DZ85" s="24">
        <v>0</v>
      </c>
      <c r="EA85" s="24">
        <v>0</v>
      </c>
      <c r="EB85" s="24">
        <v>0</v>
      </c>
      <c r="EC85" s="24">
        <v>0</v>
      </c>
      <c r="ED85" s="24">
        <v>0</v>
      </c>
      <c r="EE85" s="24">
        <v>0</v>
      </c>
      <c r="EF85" s="24">
        <v>0</v>
      </c>
      <c r="EG85" s="24">
        <v>42270</v>
      </c>
      <c r="EH85" s="24">
        <v>0</v>
      </c>
      <c r="EI85" s="24">
        <v>0</v>
      </c>
      <c r="EJ85" s="24">
        <v>0</v>
      </c>
      <c r="EK85" s="24">
        <v>0</v>
      </c>
      <c r="EL85" s="24">
        <v>0</v>
      </c>
      <c r="EM85" s="24">
        <v>0</v>
      </c>
      <c r="EN85" s="24">
        <v>0</v>
      </c>
      <c r="EO85" s="24">
        <v>0</v>
      </c>
      <c r="EP85" s="24">
        <v>0</v>
      </c>
      <c r="EQ85" s="24">
        <v>15</v>
      </c>
      <c r="ER85" s="24">
        <v>0</v>
      </c>
      <c r="ES85" s="24">
        <v>0</v>
      </c>
      <c r="ET85" s="24">
        <v>0</v>
      </c>
      <c r="EU85" s="24">
        <v>0</v>
      </c>
      <c r="EV85" s="24">
        <v>0</v>
      </c>
      <c r="EW85" s="24">
        <v>7546</v>
      </c>
      <c r="EX85" s="24">
        <v>0</v>
      </c>
      <c r="EY85" s="24">
        <v>0</v>
      </c>
      <c r="EZ85" s="24">
        <v>0</v>
      </c>
      <c r="FA85" s="24">
        <v>0</v>
      </c>
      <c r="FB85" s="24">
        <v>0</v>
      </c>
      <c r="FC85" s="24">
        <v>0</v>
      </c>
      <c r="FD85" s="24">
        <v>0</v>
      </c>
      <c r="FE85" s="24">
        <v>0</v>
      </c>
      <c r="FF85" s="24">
        <v>0</v>
      </c>
      <c r="FG85" s="24">
        <v>0</v>
      </c>
      <c r="FH85" s="24">
        <v>0</v>
      </c>
      <c r="FI85" s="24">
        <v>0</v>
      </c>
      <c r="FJ85" s="24">
        <v>0</v>
      </c>
      <c r="FK85" s="24">
        <v>0</v>
      </c>
      <c r="FL85" s="24">
        <v>0</v>
      </c>
      <c r="FM85" s="24">
        <v>0</v>
      </c>
      <c r="FN85" s="24">
        <v>0</v>
      </c>
      <c r="FO85" s="24">
        <v>0</v>
      </c>
      <c r="FP85" s="24">
        <v>0</v>
      </c>
      <c r="FQ85" s="24">
        <v>0</v>
      </c>
      <c r="FR85" s="24">
        <v>0</v>
      </c>
      <c r="FS85" s="24">
        <v>22569</v>
      </c>
      <c r="FT85" s="24">
        <v>0</v>
      </c>
      <c r="FU85" s="24">
        <v>0</v>
      </c>
      <c r="FV85" s="24">
        <v>0</v>
      </c>
      <c r="FW85" s="24">
        <v>3114</v>
      </c>
      <c r="FX85" s="24">
        <v>0</v>
      </c>
      <c r="FY85" s="24">
        <v>0</v>
      </c>
      <c r="FZ85" s="24">
        <v>0</v>
      </c>
      <c r="GA85" s="24">
        <v>0</v>
      </c>
      <c r="GB85" s="24">
        <v>0</v>
      </c>
      <c r="GC85" s="24">
        <v>0</v>
      </c>
      <c r="GD85" s="24">
        <v>0</v>
      </c>
      <c r="GE85" s="24">
        <v>0</v>
      </c>
      <c r="GF85" s="24">
        <v>802</v>
      </c>
      <c r="GG85" s="24">
        <v>0</v>
      </c>
      <c r="GH85" s="24">
        <v>0</v>
      </c>
      <c r="GI85" s="24">
        <v>0</v>
      </c>
      <c r="GJ85" s="24">
        <v>0</v>
      </c>
      <c r="GK85" s="24">
        <v>0</v>
      </c>
      <c r="GL85" s="24">
        <v>0</v>
      </c>
      <c r="GM85" s="24">
        <v>0</v>
      </c>
      <c r="GN85" s="24">
        <v>0</v>
      </c>
      <c r="GO85" s="24">
        <v>0</v>
      </c>
      <c r="GP85" s="24">
        <v>0</v>
      </c>
      <c r="GQ85" s="24">
        <v>0</v>
      </c>
      <c r="GR85" s="24">
        <v>0</v>
      </c>
      <c r="GS85" s="24">
        <v>0</v>
      </c>
      <c r="GT85" s="24">
        <v>0</v>
      </c>
      <c r="GU85" s="24">
        <v>0</v>
      </c>
      <c r="GV85" s="24">
        <v>0</v>
      </c>
      <c r="GW85" s="24">
        <v>0</v>
      </c>
      <c r="GX85" s="24">
        <v>0</v>
      </c>
      <c r="GY85" s="24">
        <v>0</v>
      </c>
      <c r="GZ85" s="24">
        <v>59946</v>
      </c>
      <c r="HA85" s="24">
        <v>0</v>
      </c>
      <c r="HB85" s="24">
        <v>0</v>
      </c>
      <c r="HC85" s="24">
        <v>0</v>
      </c>
      <c r="HD85" s="24">
        <v>2159732</v>
      </c>
      <c r="HE85" s="24">
        <v>0</v>
      </c>
      <c r="HF85" s="24">
        <v>0</v>
      </c>
      <c r="HG85" s="24">
        <v>0</v>
      </c>
      <c r="HH85" s="24">
        <v>0</v>
      </c>
      <c r="HI85" s="24">
        <v>128268</v>
      </c>
      <c r="HJ85" s="24">
        <v>0</v>
      </c>
      <c r="HK85" s="24">
        <v>0</v>
      </c>
      <c r="HL85" s="24">
        <v>0</v>
      </c>
      <c r="HM85" s="24">
        <v>0</v>
      </c>
      <c r="HN85" s="24">
        <v>0</v>
      </c>
      <c r="HO85" s="24">
        <v>270992</v>
      </c>
      <c r="HP85" s="24">
        <v>78490</v>
      </c>
      <c r="HQ85" s="24">
        <v>0</v>
      </c>
      <c r="HR85" s="24">
        <v>0</v>
      </c>
      <c r="HS85" s="24">
        <v>0</v>
      </c>
      <c r="HT85" s="24">
        <v>0</v>
      </c>
      <c r="HU85" s="24">
        <v>0</v>
      </c>
      <c r="HV85" s="24">
        <v>0</v>
      </c>
      <c r="HW85" s="24">
        <v>0</v>
      </c>
      <c r="HX85" s="24">
        <v>0</v>
      </c>
      <c r="HY85" s="24">
        <v>0</v>
      </c>
      <c r="HZ85" s="24">
        <v>0</v>
      </c>
      <c r="IA85" s="24">
        <v>18562</v>
      </c>
      <c r="IB85" s="24">
        <v>7544</v>
      </c>
      <c r="IC85" s="24">
        <v>0</v>
      </c>
      <c r="ID85" s="24">
        <v>0</v>
      </c>
      <c r="IE85" s="24">
        <v>0</v>
      </c>
      <c r="IF85" s="24">
        <v>0</v>
      </c>
      <c r="IG85" s="24">
        <v>0</v>
      </c>
      <c r="IH85" s="24">
        <v>0</v>
      </c>
      <c r="II85" s="24">
        <v>0</v>
      </c>
      <c r="IJ85" s="24">
        <v>0</v>
      </c>
      <c r="IK85" s="24">
        <v>0</v>
      </c>
      <c r="IL85" s="24">
        <v>0</v>
      </c>
      <c r="IM85" s="24">
        <v>0</v>
      </c>
      <c r="IN85" s="24">
        <v>0</v>
      </c>
      <c r="IO85" s="24">
        <v>0</v>
      </c>
      <c r="IP85" s="24">
        <v>0</v>
      </c>
      <c r="IQ85" s="24">
        <v>0</v>
      </c>
      <c r="IR85" s="24">
        <v>10231</v>
      </c>
      <c r="IS85" s="24">
        <v>0</v>
      </c>
      <c r="IT85" s="24">
        <v>0</v>
      </c>
      <c r="IU85" s="24">
        <v>0</v>
      </c>
      <c r="IV85" s="24">
        <v>0</v>
      </c>
      <c r="IW85" s="24">
        <v>50627</v>
      </c>
      <c r="IX85" s="24">
        <v>0</v>
      </c>
      <c r="IY85" s="24">
        <v>0</v>
      </c>
      <c r="IZ85" s="24">
        <v>0</v>
      </c>
      <c r="JA85" s="24">
        <v>0</v>
      </c>
      <c r="JB85" s="24">
        <v>2355</v>
      </c>
      <c r="JC85" s="24">
        <v>1887</v>
      </c>
      <c r="JD85" s="24">
        <v>0</v>
      </c>
      <c r="JE85" s="24">
        <v>2225</v>
      </c>
      <c r="JF85" s="24">
        <v>0</v>
      </c>
      <c r="JG85" s="24">
        <v>0</v>
      </c>
      <c r="JH85" s="24">
        <v>13550</v>
      </c>
      <c r="JI85" s="24">
        <v>0</v>
      </c>
      <c r="JJ85" s="24">
        <v>0</v>
      </c>
      <c r="JK85" s="24">
        <v>0</v>
      </c>
      <c r="JL85" s="24">
        <v>0</v>
      </c>
      <c r="JM85" s="24">
        <v>0</v>
      </c>
      <c r="JN85" s="24">
        <v>0</v>
      </c>
      <c r="JO85" s="24">
        <v>0</v>
      </c>
      <c r="JP85" s="24">
        <v>0</v>
      </c>
      <c r="JQ85" s="24">
        <v>0</v>
      </c>
      <c r="JR85" s="24">
        <v>0</v>
      </c>
      <c r="JS85" s="24">
        <v>0</v>
      </c>
      <c r="JT85" s="24">
        <v>0</v>
      </c>
      <c r="JU85" s="24">
        <v>0</v>
      </c>
      <c r="JV85" s="24">
        <v>0</v>
      </c>
      <c r="JW85" s="24">
        <v>0</v>
      </c>
      <c r="JX85" s="24">
        <v>0</v>
      </c>
      <c r="JY85" s="24">
        <v>0</v>
      </c>
      <c r="JZ85" s="24">
        <v>0</v>
      </c>
      <c r="KA85" s="24">
        <v>0</v>
      </c>
      <c r="KB85" s="24">
        <v>0</v>
      </c>
      <c r="KC85" s="24">
        <v>0</v>
      </c>
      <c r="KD85" s="24">
        <v>0</v>
      </c>
      <c r="KE85" s="24">
        <v>0</v>
      </c>
      <c r="KF85" s="24">
        <v>0</v>
      </c>
      <c r="KG85" s="24">
        <v>221971</v>
      </c>
      <c r="KH85" s="24">
        <v>0</v>
      </c>
      <c r="KI85" s="24">
        <v>0</v>
      </c>
      <c r="KJ85" s="24">
        <v>0</v>
      </c>
      <c r="KK85" s="24">
        <v>0</v>
      </c>
      <c r="KL85" s="24">
        <v>0</v>
      </c>
      <c r="KM85" s="24">
        <v>0</v>
      </c>
      <c r="KN85" s="24">
        <v>0</v>
      </c>
      <c r="KO85" s="24">
        <v>0</v>
      </c>
      <c r="KP85" s="24">
        <v>0</v>
      </c>
      <c r="KQ85" s="24">
        <v>0</v>
      </c>
      <c r="KR85" s="24">
        <v>0</v>
      </c>
      <c r="KS85" s="24">
        <v>0</v>
      </c>
      <c r="KT85" s="24">
        <v>0</v>
      </c>
      <c r="KU85" s="24">
        <v>0</v>
      </c>
      <c r="KV85" s="24">
        <v>0</v>
      </c>
      <c r="KW85" s="24">
        <v>31890</v>
      </c>
      <c r="KX85" s="24">
        <v>19890</v>
      </c>
      <c r="KY85" s="24">
        <v>0</v>
      </c>
      <c r="KZ85" s="24">
        <v>0</v>
      </c>
      <c r="LA85" s="24">
        <v>0</v>
      </c>
      <c r="LB85" s="24">
        <v>0</v>
      </c>
      <c r="LC85" s="24">
        <v>0</v>
      </c>
      <c r="LD85" s="24">
        <v>0</v>
      </c>
      <c r="LE85" s="24">
        <v>0</v>
      </c>
      <c r="LF85" s="24">
        <v>0</v>
      </c>
      <c r="LG85" s="24">
        <v>0</v>
      </c>
      <c r="LH85" s="24">
        <v>0</v>
      </c>
      <c r="LI85" s="24">
        <v>0</v>
      </c>
      <c r="LJ85" s="24">
        <v>0</v>
      </c>
      <c r="LK85" s="24">
        <v>0</v>
      </c>
      <c r="LL85" s="24">
        <v>0</v>
      </c>
      <c r="LM85" s="24">
        <v>0</v>
      </c>
      <c r="LN85" s="24">
        <v>0</v>
      </c>
      <c r="LO85" s="24">
        <v>0</v>
      </c>
      <c r="LP85" s="24">
        <v>0</v>
      </c>
      <c r="LQ85" s="24">
        <v>198245</v>
      </c>
      <c r="LR85" s="24">
        <v>0</v>
      </c>
      <c r="LS85" s="24">
        <v>0</v>
      </c>
      <c r="LT85" s="24">
        <v>0</v>
      </c>
      <c r="LU85" s="24">
        <v>0</v>
      </c>
      <c r="LV85" s="24">
        <v>0</v>
      </c>
      <c r="LW85" s="24">
        <v>0</v>
      </c>
      <c r="LX85" s="24">
        <v>0</v>
      </c>
      <c r="LY85" s="24">
        <v>0</v>
      </c>
      <c r="LZ85" s="24">
        <v>0</v>
      </c>
      <c r="MA85" s="24">
        <v>0</v>
      </c>
      <c r="MB85" s="24">
        <v>0</v>
      </c>
      <c r="MC85" s="24">
        <v>0</v>
      </c>
      <c r="MD85" s="24">
        <v>0</v>
      </c>
      <c r="ME85" s="24">
        <v>0</v>
      </c>
      <c r="MF85" s="24">
        <v>0</v>
      </c>
      <c r="MG85" s="24">
        <v>0</v>
      </c>
      <c r="MH85" s="24">
        <v>0</v>
      </c>
      <c r="MI85" s="24">
        <v>0</v>
      </c>
      <c r="MJ85" s="24">
        <v>0</v>
      </c>
      <c r="MK85" s="24">
        <v>0</v>
      </c>
      <c r="ML85" s="24">
        <v>0</v>
      </c>
      <c r="MM85" s="24">
        <v>0</v>
      </c>
      <c r="MN85" s="24">
        <v>0</v>
      </c>
      <c r="MO85" s="24">
        <v>0</v>
      </c>
      <c r="MP85" s="24">
        <v>0</v>
      </c>
      <c r="MQ85" s="24">
        <v>0</v>
      </c>
      <c r="MR85" s="24">
        <v>233816</v>
      </c>
      <c r="MS85" s="24">
        <v>0</v>
      </c>
      <c r="MT85" s="24">
        <v>0</v>
      </c>
      <c r="MU85" s="24">
        <v>0</v>
      </c>
      <c r="MV85" s="24">
        <v>0</v>
      </c>
      <c r="MW85" s="24">
        <v>76716</v>
      </c>
      <c r="MX85" s="24">
        <v>15884</v>
      </c>
      <c r="MY85" s="24">
        <v>0</v>
      </c>
      <c r="MZ85" s="24">
        <v>0</v>
      </c>
      <c r="NA85" s="24">
        <v>0</v>
      </c>
      <c r="NB85" s="24">
        <v>0</v>
      </c>
      <c r="NC85" s="24">
        <v>106291</v>
      </c>
      <c r="ND85" s="24">
        <v>0</v>
      </c>
      <c r="NE85" s="24">
        <v>0</v>
      </c>
      <c r="NF85" s="24">
        <v>0</v>
      </c>
      <c r="NG85" s="24">
        <v>0</v>
      </c>
      <c r="NH85" s="24">
        <v>0</v>
      </c>
      <c r="NI85" s="24">
        <v>0</v>
      </c>
      <c r="NJ85" s="24">
        <v>0</v>
      </c>
      <c r="NK85" s="24">
        <v>0</v>
      </c>
      <c r="NL85" s="24">
        <v>0</v>
      </c>
      <c r="NM85" s="24">
        <v>0</v>
      </c>
      <c r="NN85" s="24">
        <v>0</v>
      </c>
      <c r="NO85" s="24">
        <v>0</v>
      </c>
      <c r="NP85" s="24">
        <v>0</v>
      </c>
      <c r="NQ85" s="24">
        <v>0</v>
      </c>
      <c r="NR85" s="24">
        <v>0</v>
      </c>
      <c r="NS85" s="24">
        <v>0</v>
      </c>
      <c r="NT85" s="24">
        <v>2251</v>
      </c>
      <c r="NU85" s="24">
        <v>0</v>
      </c>
      <c r="NV85" s="24">
        <v>36046</v>
      </c>
      <c r="NW85" s="24">
        <v>0</v>
      </c>
      <c r="NX85" s="24">
        <v>90455</v>
      </c>
      <c r="NY85" s="24">
        <v>0</v>
      </c>
      <c r="NZ85" s="24">
        <v>0</v>
      </c>
      <c r="OA85" s="24">
        <v>0</v>
      </c>
      <c r="OB85" s="24">
        <v>0</v>
      </c>
      <c r="OC85" s="24">
        <v>0</v>
      </c>
      <c r="OD85" s="24">
        <v>0</v>
      </c>
      <c r="OE85" s="24">
        <v>0</v>
      </c>
      <c r="OF85" s="24">
        <v>0</v>
      </c>
      <c r="OG85" s="24">
        <v>0</v>
      </c>
      <c r="OH85" s="24">
        <v>0</v>
      </c>
      <c r="OI85" s="24">
        <v>0</v>
      </c>
      <c r="OJ85" s="24">
        <v>0</v>
      </c>
      <c r="OK85" s="24">
        <v>18116</v>
      </c>
      <c r="OL85" s="24">
        <v>0</v>
      </c>
      <c r="OM85" s="24">
        <v>0</v>
      </c>
      <c r="ON85" s="24">
        <v>135973</v>
      </c>
      <c r="OO85" s="24">
        <v>0</v>
      </c>
      <c r="OP85" s="24">
        <v>0</v>
      </c>
      <c r="OQ85" s="24">
        <v>0</v>
      </c>
      <c r="OR85" s="24">
        <v>0</v>
      </c>
      <c r="OS85" s="24">
        <v>0</v>
      </c>
      <c r="OT85" s="24">
        <v>0</v>
      </c>
      <c r="OU85" s="24">
        <v>0</v>
      </c>
      <c r="OV85" s="24">
        <v>0</v>
      </c>
      <c r="OW85" s="24">
        <v>0</v>
      </c>
      <c r="OX85" s="24">
        <v>0</v>
      </c>
      <c r="OY85" s="24">
        <v>0</v>
      </c>
      <c r="OZ85" s="24">
        <v>0</v>
      </c>
      <c r="PA85" s="24">
        <v>0</v>
      </c>
      <c r="PB85" s="24">
        <v>0</v>
      </c>
      <c r="PC85" s="24">
        <v>0</v>
      </c>
      <c r="PD85" s="24">
        <v>0</v>
      </c>
      <c r="PE85" s="24">
        <v>0</v>
      </c>
      <c r="PF85" s="24">
        <v>0</v>
      </c>
      <c r="PG85" s="24">
        <v>0</v>
      </c>
      <c r="PH85" s="24">
        <v>223702</v>
      </c>
      <c r="PI85" s="24">
        <v>0</v>
      </c>
      <c r="PJ85" s="24">
        <v>0</v>
      </c>
      <c r="PK85" s="24">
        <v>0</v>
      </c>
      <c r="PL85" s="24">
        <v>0</v>
      </c>
      <c r="PM85" s="24">
        <v>0</v>
      </c>
      <c r="PN85" s="24">
        <v>0</v>
      </c>
      <c r="PO85" s="24">
        <v>0</v>
      </c>
      <c r="PP85" s="24">
        <v>0</v>
      </c>
      <c r="PQ85" s="24">
        <v>0</v>
      </c>
      <c r="PR85" s="24">
        <v>0</v>
      </c>
      <c r="PS85" s="24">
        <v>0</v>
      </c>
      <c r="PT85" s="24">
        <v>0</v>
      </c>
      <c r="PU85" s="24">
        <v>0</v>
      </c>
      <c r="PV85" s="24">
        <v>0</v>
      </c>
      <c r="PW85" s="24">
        <v>0</v>
      </c>
      <c r="PX85" s="24">
        <v>0</v>
      </c>
      <c r="PY85" s="24">
        <v>0</v>
      </c>
      <c r="PZ85" s="24">
        <v>0</v>
      </c>
      <c r="QA85" s="24">
        <v>0</v>
      </c>
      <c r="QB85" s="24">
        <v>0</v>
      </c>
      <c r="QC85" s="24">
        <v>0</v>
      </c>
      <c r="QD85" s="24">
        <v>0</v>
      </c>
      <c r="QE85" s="24">
        <v>0</v>
      </c>
      <c r="QF85" s="24">
        <v>0</v>
      </c>
      <c r="QG85" s="24">
        <v>0</v>
      </c>
      <c r="QH85" s="24">
        <v>0</v>
      </c>
      <c r="QI85" s="24">
        <v>0</v>
      </c>
      <c r="QJ85" s="24">
        <v>0</v>
      </c>
      <c r="QK85" s="24">
        <v>0</v>
      </c>
      <c r="QL85" s="24">
        <v>0</v>
      </c>
      <c r="QM85" s="24">
        <v>0</v>
      </c>
      <c r="QN85" s="24">
        <v>0</v>
      </c>
      <c r="QO85" s="24">
        <v>0</v>
      </c>
      <c r="QP85" s="24">
        <v>0</v>
      </c>
      <c r="QQ85" s="24">
        <v>0</v>
      </c>
      <c r="QR85" s="24">
        <v>0</v>
      </c>
      <c r="QS85" s="24">
        <v>0</v>
      </c>
      <c r="QT85" s="24">
        <v>0</v>
      </c>
      <c r="QU85" s="24">
        <v>0</v>
      </c>
      <c r="QV85" s="24">
        <v>19000</v>
      </c>
      <c r="QW85" s="24">
        <v>0</v>
      </c>
      <c r="QX85" s="24">
        <v>0</v>
      </c>
      <c r="QY85" s="24">
        <v>0</v>
      </c>
      <c r="QZ85" s="24">
        <v>0</v>
      </c>
      <c r="RA85" s="24">
        <v>0</v>
      </c>
      <c r="RB85" s="24">
        <v>0</v>
      </c>
      <c r="RG85" s="39">
        <f t="shared" si="129"/>
        <v>2159732</v>
      </c>
      <c r="RH85" s="39">
        <f t="shared" si="128"/>
        <v>128268</v>
      </c>
      <c r="RI85" s="39">
        <f t="shared" si="128"/>
        <v>0</v>
      </c>
      <c r="RJ85" s="39">
        <f t="shared" si="128"/>
        <v>0</v>
      </c>
      <c r="RK85" s="39">
        <f t="shared" si="128"/>
        <v>0</v>
      </c>
      <c r="RL85" s="39">
        <f t="shared" si="128"/>
        <v>270992</v>
      </c>
      <c r="RM85" s="39">
        <f t="shared" si="128"/>
        <v>104596</v>
      </c>
      <c r="RN85" s="39">
        <f t="shared" si="128"/>
        <v>0</v>
      </c>
      <c r="RO85" s="39">
        <f t="shared" si="128"/>
        <v>10231</v>
      </c>
      <c r="RP85" s="39">
        <f t="shared" si="128"/>
        <v>50627</v>
      </c>
      <c r="RQ85" s="39">
        <f t="shared" si="128"/>
        <v>4242</v>
      </c>
      <c r="RR85" s="39">
        <f t="shared" si="128"/>
        <v>15775</v>
      </c>
      <c r="RS85" s="39"/>
      <c r="RT85" s="182"/>
      <c r="RU85" s="39"/>
      <c r="RV85" s="39">
        <f t="shared" si="182"/>
        <v>1187544</v>
      </c>
      <c r="RW85" s="39">
        <f t="shared" si="182"/>
        <v>2744463</v>
      </c>
      <c r="RX85" s="39">
        <f t="shared" si="182"/>
        <v>241488</v>
      </c>
      <c r="RY85" s="39">
        <f t="shared" si="182"/>
        <v>242702</v>
      </c>
      <c r="RZ85" s="39"/>
      <c r="SA85" s="182"/>
      <c r="SB85" s="39"/>
      <c r="SC85" s="39">
        <f t="shared" si="183"/>
        <v>608.28211586901762</v>
      </c>
      <c r="SD85" s="39">
        <f>IFERROR(VLOOKUP(A85, 'Levy Data 15-16'!$B:$O, 3, FALSE), 0)</f>
        <v>200191892</v>
      </c>
      <c r="SE85" s="39">
        <f t="shared" si="144"/>
        <v>504261.69269521412</v>
      </c>
      <c r="SF85" s="631">
        <f>IFERROR(VLOOKUP(A85, 'Levy Data 15-16'!$B:$O, 14, FALSE), 0)*1000</f>
        <v>1.5214999999999999E-2</v>
      </c>
      <c r="SG85" s="39">
        <f t="shared" si="145"/>
        <v>0</v>
      </c>
      <c r="SH85" s="39">
        <f t="shared" si="146"/>
        <v>0</v>
      </c>
      <c r="SI85" s="39">
        <f t="shared" si="147"/>
        <v>241488</v>
      </c>
      <c r="SM85" s="39">
        <f t="shared" si="148"/>
        <v>2744463</v>
      </c>
      <c r="SN85" s="39">
        <f t="shared" si="149"/>
        <v>0</v>
      </c>
      <c r="SO85" s="39">
        <f t="shared" si="184"/>
        <v>2744463</v>
      </c>
      <c r="SP85" s="50">
        <f t="shared" si="130"/>
        <v>1</v>
      </c>
      <c r="ST85" s="124">
        <f>IFERROR(VLOOKUP(A85,'Grade Enroll 15-16'!B:AC,27,FALSE),"")</f>
        <v>397</v>
      </c>
      <c r="SU85" s="124">
        <f t="shared" si="185"/>
        <v>371.38709677419354</v>
      </c>
      <c r="SV85" s="131">
        <f>IFERROR(VLOOKUP($A85, 'Title I Enroll 16-17'!S:V, 4, FALSE), 0)</f>
        <v>0.93548387096774188</v>
      </c>
      <c r="SW85" s="729">
        <f>IFERROR(VLOOKUP(A85, 'ELL Enroll 15-16'!$N:$S, 6, FALSE), 0)</f>
        <v>5</v>
      </c>
      <c r="SX85" s="131">
        <f t="shared" si="131"/>
        <v>1.2594458438287154E-2</v>
      </c>
      <c r="SY85" s="124">
        <f>IFERROR(VLOOKUP(A85, 'SPED enroll 2015-16'!$M:$O, 3, FALSE), 0)</f>
        <v>63</v>
      </c>
      <c r="SZ85" s="131">
        <f t="shared" si="132"/>
        <v>0.15869017632241814</v>
      </c>
      <c r="TA85" s="142">
        <f t="shared" si="133"/>
        <v>44.099999999999994</v>
      </c>
      <c r="TB85" s="142">
        <f t="shared" si="133"/>
        <v>12.600000000000001</v>
      </c>
      <c r="TC85" s="142">
        <f t="shared" si="133"/>
        <v>4.41</v>
      </c>
      <c r="TD85" s="142">
        <f t="shared" si="133"/>
        <v>1.89</v>
      </c>
      <c r="TE85" s="124">
        <f>VLOOKUP($A85, 'Grade Enroll 15-16'!$B:$AB, 20, FALSE)</f>
        <v>7</v>
      </c>
      <c r="TF85" s="124">
        <f>VLOOKUP($A85, 'Grade Enroll 15-16'!$B:$AB, 21, FALSE)</f>
        <v>32</v>
      </c>
      <c r="TG85" s="124">
        <f>VLOOKUP($A85, 'Grade Enroll 15-16'!$B:$AB, 22, FALSE)</f>
        <v>99</v>
      </c>
      <c r="TH85" s="124">
        <f>VLOOKUP($A85, 'Grade Enroll 15-16'!$B:$AB, 23, FALSE)</f>
        <v>112</v>
      </c>
      <c r="TI85" s="124">
        <f>VLOOKUP($A85, 'Grade Enroll 15-16'!$B:$AB, 24, FALSE)</f>
        <v>69</v>
      </c>
      <c r="TJ85" s="124">
        <f>VLOOKUP($A85, 'Grade Enroll 15-16'!$B:$AB, 25, FALSE)</f>
        <v>117</v>
      </c>
      <c r="TK85" s="124">
        <f>VLOOKUP($A85, 'Grade Enroll 15-16'!$B:$AB, 26, FALSE)</f>
        <v>272</v>
      </c>
      <c r="TL85" s="131">
        <f>SUMIFS('Student Achievement 15-16'!N:N, 'Student Achievement 15-16'!B:B, 'Idaho Data'!A85, 'Student Achievement 15-16'!D:D, "math")/100</f>
        <v>0.33299999999999996</v>
      </c>
      <c r="TM85" s="134">
        <f t="shared" si="186"/>
        <v>132.20099999999999</v>
      </c>
      <c r="TN85" s="131">
        <f>SUMIFS('Student Achievement 15-16'!N:N, 'Student Achievement 15-16'!B:B, 'Idaho Data'!A85, 'Student Achievement 15-16'!D:D, "ela")/100</f>
        <v>0.19600000000000001</v>
      </c>
      <c r="TO85" s="134">
        <f t="shared" si="134"/>
        <v>77.811999999999998</v>
      </c>
      <c r="TP85" s="688">
        <f>IFERROR(VLOOKUP(A85, 'G&amp;T 15-16'!B:G, 6, FALSE), 0)*1</f>
        <v>0</v>
      </c>
      <c r="TQ85" s="168">
        <f t="shared" si="135"/>
        <v>23.82</v>
      </c>
      <c r="TU85" s="168">
        <f t="shared" si="136"/>
        <v>77.811999999999998</v>
      </c>
      <c r="TV85" s="168">
        <f t="shared" si="137"/>
        <v>132.20099999999999</v>
      </c>
      <c r="TW85" s="205">
        <f t="shared" si="138"/>
        <v>132.20099999999999</v>
      </c>
      <c r="TX85" s="144"/>
      <c r="TY85" s="129"/>
      <c r="TZ85" s="127">
        <f t="shared" si="139"/>
        <v>0</v>
      </c>
      <c r="UA85" s="127">
        <f t="shared" si="140"/>
        <v>23.82</v>
      </c>
      <c r="UB85" s="205">
        <f t="shared" si="141"/>
        <v>23.82</v>
      </c>
      <c r="UE85" s="853" t="str">
        <f>IF(ST85&lt;='1. Simulator Input'!$E$104, "yes", "")</f>
        <v/>
      </c>
      <c r="UI85" s="199">
        <f t="shared" si="187"/>
        <v>0</v>
      </c>
      <c r="UJ85" s="200">
        <f>IF('Idaho Data'!SI85&gt;=0, ((1-'1. Simulator Input'!$E$39)*'Idaho Data'!SI85), 0)</f>
        <v>0</v>
      </c>
      <c r="UK85" s="200">
        <f t="shared" si="142"/>
        <v>2744463</v>
      </c>
      <c r="UL85" s="39"/>
      <c r="UM85" s="182"/>
      <c r="UN85" s="39"/>
      <c r="UO85" s="39" t="str">
        <f>IF(AND('1. Simulator Input'!$E$96="yes", '1. Simulator Input'!$E$98="yes", '1. Simulator Input'!$E$100="hold harmless"), 'Idaho Data'!WN85, IF(AND('1. Simulator Input'!$E$96="yes", '1. Simulator Input'!$E$98="no", '1. Simulator Input'!$E$100="hold harmless"), 'Idaho Data'!WM85, IF(AND('1. Simulator Input'!$E$96="yes", '1. Simulator Input'!$E$98="yes", '1. Simulator Input'!$E$100="small district grant"), WL85,IF(AND('1. Simulator Input'!$E$96="yes", '1. Simulator Input'!$E$98="no", '1. Simulator Input'!$E$100="small district grant"), WK85, ""))))</f>
        <v/>
      </c>
      <c r="UP85" s="200">
        <f>'1. Simulator Input'!$D$56*('Idaho Data'!ST85)</f>
        <v>2193822</v>
      </c>
      <c r="UQ85" s="204">
        <f>'1. Simulator Input'!$D$65*'1. Simulator Input'!$D$56*'Idaho Data'!SU85</f>
        <v>0</v>
      </c>
      <c r="UR85" s="204">
        <f>'1. Simulator Input'!$D$66*'1. Simulator Input'!$D$56*'Idaho Data'!SW85</f>
        <v>0</v>
      </c>
      <c r="US85" s="200">
        <f>'1. Simulator Input'!$D$67*'1. Simulator Input'!$D$56*'Idaho Data'!TA85</f>
        <v>0</v>
      </c>
      <c r="UT85" s="200">
        <f>'1. Simulator Input'!$D$68*'1. Simulator Input'!$D$56*'Idaho Data'!TB85</f>
        <v>0</v>
      </c>
      <c r="UU85" s="200">
        <f>'1. Simulator Input'!$D$69*'1. Simulator Input'!$D$56*'Idaho Data'!TC85</f>
        <v>0</v>
      </c>
      <c r="UV85" s="200">
        <f>'1. Simulator Input'!$D$70*'1. Simulator Input'!$D$56*TD85</f>
        <v>0</v>
      </c>
      <c r="UW85" s="200">
        <f>'1. Simulator Input'!$D$80*'1. Simulator Input'!$D$56*TW85</f>
        <v>0</v>
      </c>
      <c r="UX85" s="200">
        <f>'1. Simulator Input'!$D$79*'1. Simulator Input'!$D$56*UB85</f>
        <v>0</v>
      </c>
      <c r="UY85" s="200">
        <f>'1. Simulator Input'!$D$87*'1. Simulator Input'!$D$56*TF85</f>
        <v>88416</v>
      </c>
      <c r="UZ85" s="200">
        <f>'1. Simulator Input'!$D$73*'1. Simulator Input'!$D$56*'Idaho Data'!TG85</f>
        <v>0</v>
      </c>
      <c r="VA85" s="200">
        <f>'1. Simulator Input'!$D$56*'1. Simulator Input'!$D$74*'Idaho Data'!TH85</f>
        <v>0</v>
      </c>
      <c r="VB85" s="200">
        <f>'1. Simulator Input'!$D$56*'1. Simulator Input'!$D$75*'Idaho Data'!TI80</f>
        <v>0</v>
      </c>
      <c r="VC85" s="200">
        <f>'1. Simulator Input'!$D$76*'1. Simulator Input'!$D$56*'Idaho Data'!TJ85</f>
        <v>0</v>
      </c>
      <c r="VD85" s="200">
        <f t="shared" si="188"/>
        <v>2282238</v>
      </c>
      <c r="VE85" s="200"/>
      <c r="VF85" s="182"/>
      <c r="VG85" s="200"/>
      <c r="VH85" s="200">
        <f t="shared" si="189"/>
        <v>0</v>
      </c>
      <c r="VI85" s="200">
        <f t="shared" si="190"/>
        <v>0</v>
      </c>
      <c r="VJ85" s="200">
        <f t="shared" si="150"/>
        <v>2282238</v>
      </c>
      <c r="VK85" s="200">
        <f t="shared" si="151"/>
        <v>2282238</v>
      </c>
      <c r="VL85" s="200"/>
      <c r="VM85" s="182"/>
      <c r="VN85" s="200"/>
      <c r="VO85" s="200">
        <f t="shared" si="191"/>
        <v>1187544</v>
      </c>
      <c r="VP85" s="200">
        <f t="shared" si="192"/>
        <v>2744463</v>
      </c>
      <c r="VQ85" s="200">
        <f t="shared" si="193"/>
        <v>241488</v>
      </c>
      <c r="VR85" s="200">
        <f t="shared" si="194"/>
        <v>1187544</v>
      </c>
      <c r="VS85" s="200">
        <f t="shared" si="152"/>
        <v>2282238</v>
      </c>
      <c r="VT85" s="200">
        <f t="shared" si="153"/>
        <v>241488</v>
      </c>
      <c r="VU85" s="200">
        <f t="shared" si="154"/>
        <v>0</v>
      </c>
      <c r="VV85" s="200"/>
      <c r="VW85" s="182"/>
      <c r="VX85" s="200"/>
      <c r="VZ85" s="199">
        <f t="shared" si="195"/>
        <v>-462225</v>
      </c>
      <c r="WA85" s="199">
        <f t="shared" si="196"/>
        <v>-1164.294710327456</v>
      </c>
      <c r="WB85" s="131">
        <f t="shared" si="197"/>
        <v>-0.16842092606094525</v>
      </c>
      <c r="WC85" s="131"/>
      <c r="WD85" s="461"/>
      <c r="WE85" s="893"/>
      <c r="WF85" s="893">
        <f t="shared" si="198"/>
        <v>10512.581863979849</v>
      </c>
      <c r="WG85" s="893">
        <f t="shared" si="199"/>
        <v>9348.2871536523926</v>
      </c>
      <c r="WH85" s="893"/>
      <c r="WI85" s="893">
        <f t="shared" si="200"/>
        <v>2744463</v>
      </c>
      <c r="WJ85" s="893">
        <f t="shared" si="155"/>
        <v>2282238</v>
      </c>
      <c r="WK85" s="39" t="str">
        <f t="shared" si="156"/>
        <v/>
      </c>
      <c r="WL85" s="39" t="str">
        <f t="shared" si="157"/>
        <v/>
      </c>
      <c r="WM85" s="200" t="str">
        <f t="shared" si="158"/>
        <v/>
      </c>
      <c r="WN85" s="39" t="str">
        <f t="shared" si="159"/>
        <v/>
      </c>
      <c r="WO85" s="39"/>
      <c r="WP85" s="182"/>
      <c r="WQ85" s="39"/>
      <c r="WR85" s="305">
        <f t="shared" si="160"/>
        <v>0.47299999999999998</v>
      </c>
      <c r="WT85" s="200">
        <f t="shared" si="161"/>
        <v>6913.005037783375</v>
      </c>
      <c r="WU85" s="131">
        <f t="shared" si="201"/>
        <v>0.57999999999999996</v>
      </c>
      <c r="WW85" s="199">
        <f t="shared" si="162"/>
        <v>1187544</v>
      </c>
      <c r="WX85" s="199">
        <f t="shared" si="163"/>
        <v>2282238</v>
      </c>
      <c r="WY85" s="199">
        <f t="shared" si="164"/>
        <v>0</v>
      </c>
      <c r="WZ85" s="199">
        <f t="shared" si="202"/>
        <v>2282238</v>
      </c>
      <c r="XA85" s="199">
        <f t="shared" si="165"/>
        <v>0</v>
      </c>
      <c r="XB85" s="199">
        <f t="shared" si="166"/>
        <v>241488</v>
      </c>
      <c r="XC85" s="199">
        <f t="shared" si="167"/>
        <v>241488</v>
      </c>
      <c r="XD85" s="199" t="str">
        <f t="shared" si="168"/>
        <v/>
      </c>
      <c r="XE85" s="199"/>
      <c r="XF85" s="199"/>
      <c r="XG85" s="199"/>
      <c r="XH85" s="199"/>
      <c r="XI85" s="199"/>
      <c r="XJ85" s="199">
        <f t="shared" si="203"/>
        <v>2282238</v>
      </c>
      <c r="XP85" s="199">
        <f t="shared" si="169"/>
        <v>2282238</v>
      </c>
      <c r="XQ85" s="199">
        <f t="shared" si="170"/>
        <v>5748.7103274559195</v>
      </c>
      <c r="XR85" s="199">
        <f t="shared" si="171"/>
        <v>2282238</v>
      </c>
      <c r="XS85" s="199">
        <f t="shared" si="172"/>
        <v>2282238</v>
      </c>
      <c r="XT85" s="199">
        <f t="shared" si="173"/>
        <v>5748.7103274559195</v>
      </c>
      <c r="XU85" s="199">
        <f t="shared" si="174"/>
        <v>2744463</v>
      </c>
      <c r="XV85" s="199">
        <f t="shared" si="175"/>
        <v>6913.005037783375</v>
      </c>
      <c r="XW85" s="199">
        <f t="shared" si="176"/>
        <v>2744463</v>
      </c>
      <c r="XX85" s="199">
        <f t="shared" si="177"/>
        <v>6913.005037783375</v>
      </c>
      <c r="XY85" s="199">
        <f t="shared" si="204"/>
        <v>-462225</v>
      </c>
      <c r="XZ85" s="199">
        <f t="shared" si="205"/>
        <v>-1164.2947103274555</v>
      </c>
      <c r="YA85" s="131">
        <f t="shared" si="143"/>
        <v>-0.16842092606094519</v>
      </c>
      <c r="YB85" s="199"/>
      <c r="YC85" s="221"/>
      <c r="YD85" s="199"/>
      <c r="YE85" s="199">
        <f t="shared" si="178"/>
        <v>1187544</v>
      </c>
      <c r="YF85" s="200">
        <f t="shared" si="179"/>
        <v>0</v>
      </c>
      <c r="YG85" s="199">
        <f t="shared" si="180"/>
        <v>241488</v>
      </c>
      <c r="YH85" s="199">
        <f t="shared" si="181"/>
        <v>242702</v>
      </c>
    </row>
    <row r="86" spans="1:658">
      <c r="A86" s="3">
        <v>305</v>
      </c>
      <c r="B86" s="2" t="s">
        <v>182</v>
      </c>
      <c r="C86" s="24">
        <v>0</v>
      </c>
      <c r="D86" s="24">
        <v>0</v>
      </c>
      <c r="E86" s="24">
        <v>0</v>
      </c>
      <c r="F86" s="24">
        <v>0</v>
      </c>
      <c r="G86" s="24">
        <v>500912</v>
      </c>
      <c r="H86" s="24">
        <v>0</v>
      </c>
      <c r="I86" s="24">
        <v>0</v>
      </c>
      <c r="J86" s="24">
        <v>3531</v>
      </c>
      <c r="K86" s="24">
        <v>0</v>
      </c>
      <c r="L86" s="24">
        <v>0</v>
      </c>
      <c r="M86" s="24">
        <v>0</v>
      </c>
      <c r="N86" s="24">
        <v>12477</v>
      </c>
      <c r="O86" s="24">
        <v>0</v>
      </c>
      <c r="P86" s="24">
        <v>0</v>
      </c>
      <c r="Q86" s="24">
        <v>0</v>
      </c>
      <c r="R86" s="24">
        <v>0</v>
      </c>
      <c r="S86" s="24">
        <v>0</v>
      </c>
      <c r="T86" s="24">
        <v>0</v>
      </c>
      <c r="U86" s="24">
        <v>40030</v>
      </c>
      <c r="V86" s="24">
        <v>0</v>
      </c>
      <c r="W86" s="24">
        <v>0</v>
      </c>
      <c r="X86" s="24">
        <v>0</v>
      </c>
      <c r="Y86" s="24">
        <v>4910</v>
      </c>
      <c r="Z86" s="24">
        <v>0</v>
      </c>
      <c r="AA86" s="24">
        <v>0</v>
      </c>
      <c r="AB86" s="24">
        <v>0</v>
      </c>
      <c r="AC86" s="24">
        <v>0</v>
      </c>
      <c r="AD86" s="24">
        <v>0</v>
      </c>
      <c r="AE86" s="24">
        <v>0</v>
      </c>
      <c r="AF86" s="24">
        <v>0</v>
      </c>
      <c r="AG86" s="24">
        <v>0</v>
      </c>
      <c r="AH86" s="24">
        <v>0</v>
      </c>
      <c r="AI86" s="24">
        <v>0</v>
      </c>
      <c r="AJ86" s="24">
        <v>0</v>
      </c>
      <c r="AK86" s="24">
        <v>0</v>
      </c>
      <c r="AL86" s="24">
        <v>1723</v>
      </c>
      <c r="AM86" s="24">
        <v>0</v>
      </c>
      <c r="AN86" s="24">
        <v>0</v>
      </c>
      <c r="AO86" s="24">
        <v>0</v>
      </c>
      <c r="AP86" s="24">
        <v>0</v>
      </c>
      <c r="AQ86" s="24">
        <v>0</v>
      </c>
      <c r="AR86" s="24">
        <v>0</v>
      </c>
      <c r="AS86" s="24">
        <v>0</v>
      </c>
      <c r="AT86" s="24">
        <v>0</v>
      </c>
      <c r="AU86" s="24">
        <v>0</v>
      </c>
      <c r="AV86" s="24">
        <v>0</v>
      </c>
      <c r="AW86" s="24">
        <v>0</v>
      </c>
      <c r="AX86" s="24">
        <v>0</v>
      </c>
      <c r="AY86" s="24">
        <v>0</v>
      </c>
      <c r="AZ86" s="24">
        <v>0</v>
      </c>
      <c r="BA86" s="24">
        <v>0</v>
      </c>
      <c r="BB86" s="24">
        <v>0</v>
      </c>
      <c r="BC86" s="24">
        <v>0</v>
      </c>
      <c r="BD86" s="24">
        <v>0</v>
      </c>
      <c r="BE86" s="24">
        <v>0</v>
      </c>
      <c r="BF86" s="24">
        <v>0</v>
      </c>
      <c r="BG86" s="24">
        <v>0</v>
      </c>
      <c r="BH86" s="24">
        <v>0</v>
      </c>
      <c r="BI86" s="24">
        <v>0</v>
      </c>
      <c r="BJ86" s="24">
        <v>0</v>
      </c>
      <c r="BK86" s="24">
        <v>0</v>
      </c>
      <c r="BL86" s="24">
        <v>0</v>
      </c>
      <c r="BM86" s="24">
        <v>54</v>
      </c>
      <c r="BN86" s="24">
        <v>0</v>
      </c>
      <c r="BO86" s="24">
        <v>0</v>
      </c>
      <c r="BP86" s="24">
        <v>0</v>
      </c>
      <c r="BQ86" s="24">
        <v>0</v>
      </c>
      <c r="BR86" s="24">
        <v>0</v>
      </c>
      <c r="BS86" s="24">
        <v>0</v>
      </c>
      <c r="BT86" s="24">
        <v>0</v>
      </c>
      <c r="BU86" s="24">
        <v>0</v>
      </c>
      <c r="BV86" s="24">
        <v>0</v>
      </c>
      <c r="BW86" s="24">
        <v>0</v>
      </c>
      <c r="BX86" s="24">
        <v>0</v>
      </c>
      <c r="BY86" s="24">
        <v>0</v>
      </c>
      <c r="BZ86" s="24">
        <v>0</v>
      </c>
      <c r="CA86" s="24">
        <v>0</v>
      </c>
      <c r="CB86" s="24">
        <v>0</v>
      </c>
      <c r="CC86" s="24">
        <v>0</v>
      </c>
      <c r="CD86" s="24">
        <v>16253</v>
      </c>
      <c r="CE86" s="24">
        <v>806</v>
      </c>
      <c r="CF86" s="24">
        <v>0</v>
      </c>
      <c r="CG86" s="24">
        <v>148</v>
      </c>
      <c r="CH86" s="24">
        <v>0</v>
      </c>
      <c r="CI86" s="24">
        <v>0</v>
      </c>
      <c r="CJ86" s="24">
        <v>0</v>
      </c>
      <c r="CK86" s="24">
        <v>0</v>
      </c>
      <c r="CL86" s="24">
        <v>0</v>
      </c>
      <c r="CM86" s="24">
        <v>0</v>
      </c>
      <c r="CN86" s="24">
        <v>0</v>
      </c>
      <c r="CO86" s="24">
        <v>0</v>
      </c>
      <c r="CP86" s="24">
        <v>0</v>
      </c>
      <c r="CQ86" s="24">
        <v>0</v>
      </c>
      <c r="CR86" s="24">
        <v>0</v>
      </c>
      <c r="CS86" s="24">
        <v>0</v>
      </c>
      <c r="CT86" s="24">
        <v>0</v>
      </c>
      <c r="CU86" s="24">
        <v>0</v>
      </c>
      <c r="CV86" s="24">
        <v>0</v>
      </c>
      <c r="CW86" s="24">
        <v>0</v>
      </c>
      <c r="CX86" s="24">
        <v>0</v>
      </c>
      <c r="CY86" s="24">
        <v>0</v>
      </c>
      <c r="CZ86" s="24">
        <v>0</v>
      </c>
      <c r="DA86" s="24">
        <v>0</v>
      </c>
      <c r="DB86" s="24">
        <v>0</v>
      </c>
      <c r="DC86" s="24">
        <v>0</v>
      </c>
      <c r="DD86" s="24">
        <v>0</v>
      </c>
      <c r="DE86" s="24">
        <v>0</v>
      </c>
      <c r="DF86" s="24">
        <v>0</v>
      </c>
      <c r="DG86" s="24">
        <v>0</v>
      </c>
      <c r="DH86" s="24">
        <v>0</v>
      </c>
      <c r="DI86" s="24">
        <v>0</v>
      </c>
      <c r="DJ86" s="24">
        <v>0</v>
      </c>
      <c r="DK86" s="24">
        <v>0</v>
      </c>
      <c r="DL86" s="24">
        <v>0</v>
      </c>
      <c r="DM86" s="24">
        <v>0</v>
      </c>
      <c r="DN86" s="24">
        <v>0</v>
      </c>
      <c r="DO86" s="24">
        <v>0</v>
      </c>
      <c r="DP86" s="24">
        <v>0</v>
      </c>
      <c r="DQ86" s="24">
        <v>0</v>
      </c>
      <c r="DR86" s="24">
        <v>0</v>
      </c>
      <c r="DS86" s="24">
        <v>0</v>
      </c>
      <c r="DT86" s="24">
        <v>0</v>
      </c>
      <c r="DU86" s="24">
        <v>0</v>
      </c>
      <c r="DV86" s="24">
        <v>0</v>
      </c>
      <c r="DW86" s="24">
        <v>0</v>
      </c>
      <c r="DX86" s="24">
        <v>0</v>
      </c>
      <c r="DY86" s="24">
        <v>0</v>
      </c>
      <c r="DZ86" s="24">
        <v>0</v>
      </c>
      <c r="EA86" s="24">
        <v>0</v>
      </c>
      <c r="EB86" s="24">
        <v>0</v>
      </c>
      <c r="EC86" s="24">
        <v>0</v>
      </c>
      <c r="ED86" s="24">
        <v>0</v>
      </c>
      <c r="EE86" s="24">
        <v>0</v>
      </c>
      <c r="EF86" s="24">
        <v>0</v>
      </c>
      <c r="EG86" s="24">
        <v>0</v>
      </c>
      <c r="EH86" s="24">
        <v>0</v>
      </c>
      <c r="EI86" s="24">
        <v>0</v>
      </c>
      <c r="EJ86" s="24">
        <v>0</v>
      </c>
      <c r="EK86" s="24">
        <v>0</v>
      </c>
      <c r="EL86" s="24">
        <v>0</v>
      </c>
      <c r="EM86" s="24">
        <v>0</v>
      </c>
      <c r="EN86" s="24">
        <v>0</v>
      </c>
      <c r="EO86" s="24">
        <v>0</v>
      </c>
      <c r="EP86" s="24">
        <v>0</v>
      </c>
      <c r="EQ86" s="24">
        <v>0</v>
      </c>
      <c r="ER86" s="24">
        <v>0</v>
      </c>
      <c r="ES86" s="24">
        <v>0</v>
      </c>
      <c r="ET86" s="24">
        <v>0</v>
      </c>
      <c r="EU86" s="24">
        <v>0</v>
      </c>
      <c r="EV86" s="24">
        <v>0</v>
      </c>
      <c r="EW86" s="24">
        <v>0</v>
      </c>
      <c r="EX86" s="24">
        <v>0</v>
      </c>
      <c r="EY86" s="24">
        <v>0</v>
      </c>
      <c r="EZ86" s="24">
        <v>0</v>
      </c>
      <c r="FA86" s="24">
        <v>0</v>
      </c>
      <c r="FB86" s="24">
        <v>0</v>
      </c>
      <c r="FC86" s="24">
        <v>0</v>
      </c>
      <c r="FD86" s="24">
        <v>0</v>
      </c>
      <c r="FE86" s="24">
        <v>0</v>
      </c>
      <c r="FF86" s="24">
        <v>0</v>
      </c>
      <c r="FG86" s="24">
        <v>0</v>
      </c>
      <c r="FH86" s="24">
        <v>0</v>
      </c>
      <c r="FI86" s="24">
        <v>0</v>
      </c>
      <c r="FJ86" s="24">
        <v>0</v>
      </c>
      <c r="FK86" s="24">
        <v>0</v>
      </c>
      <c r="FL86" s="24">
        <v>0</v>
      </c>
      <c r="FM86" s="24">
        <v>0</v>
      </c>
      <c r="FN86" s="24">
        <v>0</v>
      </c>
      <c r="FO86" s="24">
        <v>0</v>
      </c>
      <c r="FP86" s="24">
        <v>0</v>
      </c>
      <c r="FQ86" s="24">
        <v>0</v>
      </c>
      <c r="FR86" s="24">
        <v>0</v>
      </c>
      <c r="FS86" s="24">
        <v>76283</v>
      </c>
      <c r="FT86" s="24">
        <v>0</v>
      </c>
      <c r="FU86" s="24">
        <v>0</v>
      </c>
      <c r="FV86" s="24">
        <v>0</v>
      </c>
      <c r="FW86" s="24">
        <v>0</v>
      </c>
      <c r="FX86" s="24">
        <v>0</v>
      </c>
      <c r="FY86" s="24">
        <v>0</v>
      </c>
      <c r="FZ86" s="24">
        <v>0</v>
      </c>
      <c r="GA86" s="24">
        <v>0</v>
      </c>
      <c r="GB86" s="24">
        <v>0</v>
      </c>
      <c r="GC86" s="24">
        <v>0</v>
      </c>
      <c r="GD86" s="24">
        <v>0</v>
      </c>
      <c r="GE86" s="24">
        <v>0</v>
      </c>
      <c r="GF86" s="24">
        <v>0</v>
      </c>
      <c r="GG86" s="24">
        <v>0</v>
      </c>
      <c r="GH86" s="24">
        <v>0</v>
      </c>
      <c r="GI86" s="24">
        <v>0</v>
      </c>
      <c r="GJ86" s="24">
        <v>0</v>
      </c>
      <c r="GK86" s="24">
        <v>0</v>
      </c>
      <c r="GL86" s="24">
        <v>0</v>
      </c>
      <c r="GM86" s="24">
        <v>0</v>
      </c>
      <c r="GN86" s="24">
        <v>0</v>
      </c>
      <c r="GO86" s="24">
        <v>0</v>
      </c>
      <c r="GP86" s="24">
        <v>0</v>
      </c>
      <c r="GQ86" s="24">
        <v>0</v>
      </c>
      <c r="GR86" s="24">
        <v>0</v>
      </c>
      <c r="GS86" s="24">
        <v>0</v>
      </c>
      <c r="GT86" s="24">
        <v>0</v>
      </c>
      <c r="GU86" s="24">
        <v>0</v>
      </c>
      <c r="GV86" s="24">
        <v>0</v>
      </c>
      <c r="GW86" s="24">
        <v>0</v>
      </c>
      <c r="GX86" s="24">
        <v>0</v>
      </c>
      <c r="GY86" s="24">
        <v>0</v>
      </c>
      <c r="GZ86" s="24">
        <v>0</v>
      </c>
      <c r="HA86" s="24">
        <v>0</v>
      </c>
      <c r="HB86" s="24">
        <v>0</v>
      </c>
      <c r="HC86" s="24">
        <v>0</v>
      </c>
      <c r="HD86" s="24">
        <v>1190864</v>
      </c>
      <c r="HE86" s="24">
        <v>0</v>
      </c>
      <c r="HF86" s="24">
        <v>0</v>
      </c>
      <c r="HG86" s="24">
        <v>0</v>
      </c>
      <c r="HH86" s="24">
        <v>0</v>
      </c>
      <c r="HI86" s="24">
        <v>193296</v>
      </c>
      <c r="HJ86" s="24">
        <v>0</v>
      </c>
      <c r="HK86" s="24">
        <v>0</v>
      </c>
      <c r="HL86" s="24">
        <v>0</v>
      </c>
      <c r="HM86" s="24">
        <v>0</v>
      </c>
      <c r="HN86" s="24">
        <v>0</v>
      </c>
      <c r="HO86" s="24">
        <v>166536</v>
      </c>
      <c r="HP86" s="24">
        <v>96509</v>
      </c>
      <c r="HQ86" s="24">
        <v>0</v>
      </c>
      <c r="HR86" s="24">
        <v>0</v>
      </c>
      <c r="HS86" s="24">
        <v>0</v>
      </c>
      <c r="HT86" s="24">
        <v>0</v>
      </c>
      <c r="HU86" s="24">
        <v>0</v>
      </c>
      <c r="HV86" s="24">
        <v>0</v>
      </c>
      <c r="HW86" s="24">
        <v>0</v>
      </c>
      <c r="HX86" s="24">
        <v>0</v>
      </c>
      <c r="HY86" s="24">
        <v>0</v>
      </c>
      <c r="HZ86" s="24">
        <v>0</v>
      </c>
      <c r="IA86" s="24">
        <v>0</v>
      </c>
      <c r="IB86" s="24">
        <v>0</v>
      </c>
      <c r="IC86" s="24">
        <v>0</v>
      </c>
      <c r="ID86" s="24">
        <v>0</v>
      </c>
      <c r="IE86" s="24">
        <v>0</v>
      </c>
      <c r="IF86" s="24">
        <v>0</v>
      </c>
      <c r="IG86" s="24">
        <v>0</v>
      </c>
      <c r="IH86" s="24">
        <v>0</v>
      </c>
      <c r="II86" s="24">
        <v>0</v>
      </c>
      <c r="IJ86" s="24">
        <v>0</v>
      </c>
      <c r="IK86" s="24">
        <v>0</v>
      </c>
      <c r="IL86" s="24">
        <v>0</v>
      </c>
      <c r="IM86" s="24">
        <v>0</v>
      </c>
      <c r="IN86" s="24">
        <v>1750</v>
      </c>
      <c r="IO86" s="24">
        <v>0</v>
      </c>
      <c r="IP86" s="24">
        <v>0</v>
      </c>
      <c r="IQ86" s="24">
        <v>24875</v>
      </c>
      <c r="IR86" s="24">
        <v>0</v>
      </c>
      <c r="IS86" s="24">
        <v>0</v>
      </c>
      <c r="IT86" s="24">
        <v>0</v>
      </c>
      <c r="IU86" s="24">
        <v>0</v>
      </c>
      <c r="IV86" s="24">
        <v>0</v>
      </c>
      <c r="IW86" s="24">
        <v>18420</v>
      </c>
      <c r="IX86" s="24">
        <v>0</v>
      </c>
      <c r="IY86" s="24">
        <v>0</v>
      </c>
      <c r="IZ86" s="24">
        <v>0</v>
      </c>
      <c r="JA86" s="24">
        <v>0</v>
      </c>
      <c r="JB86" s="24">
        <v>8733</v>
      </c>
      <c r="JC86" s="24">
        <v>0</v>
      </c>
      <c r="JD86" s="24">
        <v>0</v>
      </c>
      <c r="JE86" s="24">
        <v>4766</v>
      </c>
      <c r="JF86" s="24">
        <v>0</v>
      </c>
      <c r="JG86" s="24">
        <v>0</v>
      </c>
      <c r="JH86" s="24">
        <v>0</v>
      </c>
      <c r="JI86" s="24">
        <v>0</v>
      </c>
      <c r="JJ86" s="24">
        <v>0</v>
      </c>
      <c r="JK86" s="24">
        <v>0</v>
      </c>
      <c r="JL86" s="24">
        <v>0</v>
      </c>
      <c r="JM86" s="24">
        <v>0</v>
      </c>
      <c r="JN86" s="24">
        <v>0</v>
      </c>
      <c r="JO86" s="24">
        <v>0</v>
      </c>
      <c r="JP86" s="24">
        <v>0</v>
      </c>
      <c r="JQ86" s="24">
        <v>0</v>
      </c>
      <c r="JR86" s="24">
        <v>0</v>
      </c>
      <c r="JS86" s="24">
        <v>0</v>
      </c>
      <c r="JT86" s="24">
        <v>0</v>
      </c>
      <c r="JU86" s="24">
        <v>0</v>
      </c>
      <c r="JV86" s="24">
        <v>0</v>
      </c>
      <c r="JW86" s="24">
        <v>0</v>
      </c>
      <c r="JX86" s="24">
        <v>0</v>
      </c>
      <c r="JY86" s="24">
        <v>0</v>
      </c>
      <c r="JZ86" s="24">
        <v>0</v>
      </c>
      <c r="KA86" s="24">
        <v>0</v>
      </c>
      <c r="KB86" s="24">
        <v>0</v>
      </c>
      <c r="KC86" s="24">
        <v>0</v>
      </c>
      <c r="KD86" s="24">
        <v>0</v>
      </c>
      <c r="KE86" s="24">
        <v>0</v>
      </c>
      <c r="KF86" s="24">
        <v>0</v>
      </c>
      <c r="KG86" s="24">
        <v>7214</v>
      </c>
      <c r="KH86" s="24">
        <v>0</v>
      </c>
      <c r="KI86" s="24">
        <v>0</v>
      </c>
      <c r="KJ86" s="24">
        <v>0</v>
      </c>
      <c r="KK86" s="24">
        <v>0</v>
      </c>
      <c r="KL86" s="24">
        <v>0</v>
      </c>
      <c r="KM86" s="24">
        <v>0</v>
      </c>
      <c r="KN86" s="24">
        <v>0</v>
      </c>
      <c r="KO86" s="24">
        <v>0</v>
      </c>
      <c r="KP86" s="24">
        <v>0</v>
      </c>
      <c r="KQ86" s="24">
        <v>0</v>
      </c>
      <c r="KR86" s="24">
        <v>0</v>
      </c>
      <c r="KS86" s="24">
        <v>0</v>
      </c>
      <c r="KT86" s="24">
        <v>0</v>
      </c>
      <c r="KU86" s="24">
        <v>0</v>
      </c>
      <c r="KV86" s="24">
        <v>0</v>
      </c>
      <c r="KW86" s="24">
        <v>0</v>
      </c>
      <c r="KX86" s="24">
        <v>0</v>
      </c>
      <c r="KY86" s="24">
        <v>0</v>
      </c>
      <c r="KZ86" s="24">
        <v>0</v>
      </c>
      <c r="LA86" s="24">
        <v>0</v>
      </c>
      <c r="LB86" s="24">
        <v>0</v>
      </c>
      <c r="LC86" s="24">
        <v>0</v>
      </c>
      <c r="LD86" s="24">
        <v>0</v>
      </c>
      <c r="LE86" s="24">
        <v>0</v>
      </c>
      <c r="LF86" s="24">
        <v>0</v>
      </c>
      <c r="LG86" s="24">
        <v>0</v>
      </c>
      <c r="LH86" s="24">
        <v>0</v>
      </c>
      <c r="LI86" s="24">
        <v>0</v>
      </c>
      <c r="LJ86" s="24">
        <v>0</v>
      </c>
      <c r="LK86" s="24">
        <v>0</v>
      </c>
      <c r="LL86" s="24">
        <v>0</v>
      </c>
      <c r="LM86" s="24">
        <v>0</v>
      </c>
      <c r="LN86" s="24">
        <v>0</v>
      </c>
      <c r="LO86" s="24">
        <v>0</v>
      </c>
      <c r="LP86" s="24">
        <v>0</v>
      </c>
      <c r="LQ86" s="24">
        <v>45514</v>
      </c>
      <c r="LR86" s="24">
        <v>0</v>
      </c>
      <c r="LS86" s="24">
        <v>0</v>
      </c>
      <c r="LT86" s="24">
        <v>0</v>
      </c>
      <c r="LU86" s="24">
        <v>0</v>
      </c>
      <c r="LV86" s="24">
        <v>0</v>
      </c>
      <c r="LW86" s="24">
        <v>0</v>
      </c>
      <c r="LX86" s="24">
        <v>0</v>
      </c>
      <c r="LY86" s="24">
        <v>0</v>
      </c>
      <c r="LZ86" s="24">
        <v>0</v>
      </c>
      <c r="MA86" s="24">
        <v>0</v>
      </c>
      <c r="MB86" s="24">
        <v>0</v>
      </c>
      <c r="MC86" s="24">
        <v>0</v>
      </c>
      <c r="MD86" s="24">
        <v>0</v>
      </c>
      <c r="ME86" s="24">
        <v>0</v>
      </c>
      <c r="MF86" s="24">
        <v>0</v>
      </c>
      <c r="MG86" s="24">
        <v>0</v>
      </c>
      <c r="MH86" s="24">
        <v>0</v>
      </c>
      <c r="MI86" s="24">
        <v>0</v>
      </c>
      <c r="MJ86" s="24">
        <v>0</v>
      </c>
      <c r="MK86" s="24">
        <v>0</v>
      </c>
      <c r="ML86" s="24">
        <v>0</v>
      </c>
      <c r="MM86" s="24">
        <v>0</v>
      </c>
      <c r="MN86" s="24">
        <v>0</v>
      </c>
      <c r="MO86" s="24">
        <v>0</v>
      </c>
      <c r="MP86" s="24">
        <v>0</v>
      </c>
      <c r="MQ86" s="24">
        <v>0</v>
      </c>
      <c r="MR86" s="24">
        <v>37202</v>
      </c>
      <c r="MS86" s="24">
        <v>0</v>
      </c>
      <c r="MT86" s="24">
        <v>0</v>
      </c>
      <c r="MU86" s="24">
        <v>0</v>
      </c>
      <c r="MV86" s="24">
        <v>0</v>
      </c>
      <c r="MW86" s="24">
        <v>42859</v>
      </c>
      <c r="MX86" s="24">
        <v>2261</v>
      </c>
      <c r="MY86" s="24">
        <v>0</v>
      </c>
      <c r="MZ86" s="24">
        <v>0</v>
      </c>
      <c r="NA86" s="24">
        <v>13012</v>
      </c>
      <c r="NB86" s="24">
        <v>0</v>
      </c>
      <c r="NC86" s="24">
        <v>0</v>
      </c>
      <c r="ND86" s="24">
        <v>0</v>
      </c>
      <c r="NE86" s="24">
        <v>0</v>
      </c>
      <c r="NF86" s="24">
        <v>0</v>
      </c>
      <c r="NG86" s="24">
        <v>0</v>
      </c>
      <c r="NH86" s="24">
        <v>0</v>
      </c>
      <c r="NI86" s="24">
        <v>0</v>
      </c>
      <c r="NJ86" s="24">
        <v>0</v>
      </c>
      <c r="NK86" s="24">
        <v>0</v>
      </c>
      <c r="NL86" s="24">
        <v>0</v>
      </c>
      <c r="NM86" s="24">
        <v>0</v>
      </c>
      <c r="NN86" s="24">
        <v>0</v>
      </c>
      <c r="NO86" s="24">
        <v>0</v>
      </c>
      <c r="NP86" s="24">
        <v>0</v>
      </c>
      <c r="NQ86" s="24">
        <v>10999</v>
      </c>
      <c r="NR86" s="24">
        <v>0</v>
      </c>
      <c r="NS86" s="24">
        <v>0</v>
      </c>
      <c r="NT86" s="24">
        <v>0</v>
      </c>
      <c r="NU86" s="24">
        <v>0</v>
      </c>
      <c r="NV86" s="24">
        <v>20596</v>
      </c>
      <c r="NW86" s="24">
        <v>0</v>
      </c>
      <c r="NX86" s="24">
        <v>0</v>
      </c>
      <c r="NY86" s="24">
        <v>0</v>
      </c>
      <c r="NZ86" s="24">
        <v>0</v>
      </c>
      <c r="OA86" s="24">
        <v>0</v>
      </c>
      <c r="OB86" s="24">
        <v>0</v>
      </c>
      <c r="OC86" s="24">
        <v>0</v>
      </c>
      <c r="OD86" s="24">
        <v>0</v>
      </c>
      <c r="OE86" s="24">
        <v>0</v>
      </c>
      <c r="OF86" s="24">
        <v>0</v>
      </c>
      <c r="OG86" s="24">
        <v>0</v>
      </c>
      <c r="OH86" s="24">
        <v>0</v>
      </c>
      <c r="OI86" s="24">
        <v>0</v>
      </c>
      <c r="OJ86" s="24">
        <v>0</v>
      </c>
      <c r="OK86" s="24">
        <v>3758</v>
      </c>
      <c r="OL86" s="24">
        <v>0</v>
      </c>
      <c r="OM86" s="24">
        <v>0</v>
      </c>
      <c r="ON86" s="24">
        <v>0</v>
      </c>
      <c r="OO86" s="24">
        <v>0</v>
      </c>
      <c r="OP86" s="24">
        <v>0</v>
      </c>
      <c r="OQ86" s="24">
        <v>0</v>
      </c>
      <c r="OR86" s="24">
        <v>0</v>
      </c>
      <c r="OS86" s="24">
        <v>0</v>
      </c>
      <c r="OT86" s="24">
        <v>0</v>
      </c>
      <c r="OU86" s="24">
        <v>0</v>
      </c>
      <c r="OV86" s="24">
        <v>0</v>
      </c>
      <c r="OW86" s="24">
        <v>0</v>
      </c>
      <c r="OX86" s="24">
        <v>0</v>
      </c>
      <c r="OY86" s="24">
        <v>0</v>
      </c>
      <c r="OZ86" s="24">
        <v>0</v>
      </c>
      <c r="PA86" s="24">
        <v>0</v>
      </c>
      <c r="PB86" s="24">
        <v>0</v>
      </c>
      <c r="PC86" s="24">
        <v>0</v>
      </c>
      <c r="PD86" s="24">
        <v>0</v>
      </c>
      <c r="PE86" s="24">
        <v>0</v>
      </c>
      <c r="PF86" s="24">
        <v>0</v>
      </c>
      <c r="PG86" s="24">
        <v>0</v>
      </c>
      <c r="PH86" s="24">
        <v>0</v>
      </c>
      <c r="PI86" s="24">
        <v>0</v>
      </c>
      <c r="PJ86" s="24">
        <v>0</v>
      </c>
      <c r="PK86" s="24">
        <v>0</v>
      </c>
      <c r="PL86" s="24">
        <v>0</v>
      </c>
      <c r="PM86" s="24">
        <v>0</v>
      </c>
      <c r="PN86" s="24">
        <v>0</v>
      </c>
      <c r="PO86" s="24">
        <v>0</v>
      </c>
      <c r="PP86" s="24">
        <v>0</v>
      </c>
      <c r="PQ86" s="24">
        <v>0</v>
      </c>
      <c r="PR86" s="24">
        <v>0</v>
      </c>
      <c r="PS86" s="24">
        <v>0</v>
      </c>
      <c r="PT86" s="24">
        <v>0</v>
      </c>
      <c r="PU86" s="24">
        <v>0</v>
      </c>
      <c r="PV86" s="24">
        <v>0</v>
      </c>
      <c r="PW86" s="24">
        <v>0</v>
      </c>
      <c r="PX86" s="24">
        <v>0</v>
      </c>
      <c r="PY86" s="24">
        <v>0</v>
      </c>
      <c r="PZ86" s="24">
        <v>0</v>
      </c>
      <c r="QA86" s="24">
        <v>0</v>
      </c>
      <c r="QB86" s="24">
        <v>0</v>
      </c>
      <c r="QC86" s="24">
        <v>0</v>
      </c>
      <c r="QD86" s="24">
        <v>0</v>
      </c>
      <c r="QE86" s="24">
        <v>0</v>
      </c>
      <c r="QF86" s="24">
        <v>0</v>
      </c>
      <c r="QG86" s="24">
        <v>0</v>
      </c>
      <c r="QH86" s="24">
        <v>0</v>
      </c>
      <c r="QI86" s="24">
        <v>0</v>
      </c>
      <c r="QJ86" s="24">
        <v>0</v>
      </c>
      <c r="QK86" s="24">
        <v>0</v>
      </c>
      <c r="QL86" s="24">
        <v>0</v>
      </c>
      <c r="QM86" s="24">
        <v>0</v>
      </c>
      <c r="QN86" s="24">
        <v>0</v>
      </c>
      <c r="QO86" s="24">
        <v>0</v>
      </c>
      <c r="QP86" s="24">
        <v>0</v>
      </c>
      <c r="QQ86" s="24">
        <v>0</v>
      </c>
      <c r="QR86" s="24">
        <v>0</v>
      </c>
      <c r="QS86" s="24">
        <v>16128</v>
      </c>
      <c r="QT86" s="24">
        <v>0</v>
      </c>
      <c r="QU86" s="24">
        <v>0</v>
      </c>
      <c r="QV86" s="24">
        <v>0</v>
      </c>
      <c r="QW86" s="24">
        <v>0</v>
      </c>
      <c r="QX86" s="24">
        <v>0</v>
      </c>
      <c r="QY86" s="24">
        <v>0</v>
      </c>
      <c r="QZ86" s="24">
        <v>0</v>
      </c>
      <c r="RA86" s="24">
        <v>0</v>
      </c>
      <c r="RB86" s="24">
        <v>0</v>
      </c>
      <c r="RG86" s="39">
        <f t="shared" si="129"/>
        <v>1190864</v>
      </c>
      <c r="RH86" s="39">
        <f t="shared" si="128"/>
        <v>193296</v>
      </c>
      <c r="RI86" s="39">
        <f t="shared" si="128"/>
        <v>0</v>
      </c>
      <c r="RJ86" s="39">
        <f t="shared" si="128"/>
        <v>0</v>
      </c>
      <c r="RK86" s="39">
        <f t="shared" si="128"/>
        <v>0</v>
      </c>
      <c r="RL86" s="39">
        <f t="shared" si="128"/>
        <v>166536</v>
      </c>
      <c r="RM86" s="39">
        <f t="shared" si="128"/>
        <v>96509</v>
      </c>
      <c r="RN86" s="39">
        <f t="shared" si="128"/>
        <v>1750</v>
      </c>
      <c r="RO86" s="39">
        <f t="shared" si="128"/>
        <v>24875</v>
      </c>
      <c r="RP86" s="39">
        <f t="shared" si="128"/>
        <v>18420</v>
      </c>
      <c r="RQ86" s="39">
        <f t="shared" si="128"/>
        <v>8733</v>
      </c>
      <c r="RR86" s="39">
        <f t="shared" si="128"/>
        <v>4766</v>
      </c>
      <c r="RS86" s="39"/>
      <c r="RT86" s="182"/>
      <c r="RU86" s="39"/>
      <c r="RV86" s="39">
        <f t="shared" si="182"/>
        <v>183415</v>
      </c>
      <c r="RW86" s="39">
        <f t="shared" si="182"/>
        <v>1705749</v>
      </c>
      <c r="RX86" s="39">
        <f t="shared" si="182"/>
        <v>657127</v>
      </c>
      <c r="RY86" s="39">
        <f t="shared" si="182"/>
        <v>16128</v>
      </c>
      <c r="RZ86" s="39"/>
      <c r="SA86" s="182"/>
      <c r="SB86" s="39"/>
      <c r="SC86" s="25">
        <f t="shared" si="183"/>
        <v>4440.0472972972975</v>
      </c>
      <c r="SD86" s="39">
        <f>IFERROR(VLOOKUP(A86, 'Levy Data 15-16'!$B:$O, 3, FALSE), 0)</f>
        <v>142977876</v>
      </c>
      <c r="SE86" s="39">
        <f t="shared" si="144"/>
        <v>966066.7297297297</v>
      </c>
      <c r="SF86" s="631">
        <f>IFERROR(VLOOKUP(A86, 'Levy Data 15-16'!$B:$O, 14, FALSE), 0)*1000</f>
        <v>3.7920060000000002</v>
      </c>
      <c r="SG86" s="39">
        <f t="shared" si="145"/>
        <v>0</v>
      </c>
      <c r="SH86" s="39">
        <f t="shared" si="146"/>
        <v>0</v>
      </c>
      <c r="SI86" s="39">
        <f t="shared" si="147"/>
        <v>657127</v>
      </c>
      <c r="SM86" s="39">
        <f t="shared" si="148"/>
        <v>1705749</v>
      </c>
      <c r="SN86" s="39">
        <f t="shared" si="149"/>
        <v>0</v>
      </c>
      <c r="SO86" s="39">
        <f t="shared" si="184"/>
        <v>1705749</v>
      </c>
      <c r="SP86" s="50">
        <f t="shared" si="130"/>
        <v>1</v>
      </c>
      <c r="ST86" s="124">
        <f>IFERROR(VLOOKUP(A86,'Grade Enroll 15-16'!B:AC,27,FALSE),"")</f>
        <v>148</v>
      </c>
      <c r="SU86" s="124">
        <f t="shared" si="185"/>
        <v>77.609756097560975</v>
      </c>
      <c r="SV86" s="131">
        <f>IFERROR(VLOOKUP($A86, 'Title I Enroll 16-17'!S:V, 4, FALSE), 0)</f>
        <v>0.52439024390243905</v>
      </c>
      <c r="SW86" s="729">
        <f>IFERROR(VLOOKUP(A86, 'ELL Enroll 15-16'!$N:$S, 6, FALSE), 0)</f>
        <v>5</v>
      </c>
      <c r="SX86" s="131">
        <f t="shared" si="131"/>
        <v>3.3783783783783786E-2</v>
      </c>
      <c r="SY86" s="124">
        <f>IFERROR(VLOOKUP(A86, 'SPED enroll 2015-16'!$M:$O, 3, FALSE), 0)</f>
        <v>21</v>
      </c>
      <c r="SZ86" s="131">
        <f t="shared" si="132"/>
        <v>0.14189189189189189</v>
      </c>
      <c r="TA86" s="142">
        <f t="shared" si="133"/>
        <v>14.7</v>
      </c>
      <c r="TB86" s="142">
        <f t="shared" si="133"/>
        <v>4.2</v>
      </c>
      <c r="TC86" s="142">
        <f t="shared" si="133"/>
        <v>1.4700000000000002</v>
      </c>
      <c r="TD86" s="142">
        <f t="shared" si="133"/>
        <v>0.63</v>
      </c>
      <c r="TE86" s="124">
        <f>VLOOKUP($A86, 'Grade Enroll 15-16'!$B:$AB, 20, FALSE)</f>
        <v>2</v>
      </c>
      <c r="TF86" s="124">
        <f>VLOOKUP($A86, 'Grade Enroll 15-16'!$B:$AB, 21, FALSE)</f>
        <v>13</v>
      </c>
      <c r="TG86" s="124">
        <f>VLOOKUP($A86, 'Grade Enroll 15-16'!$B:$AB, 22, FALSE)</f>
        <v>35</v>
      </c>
      <c r="TH86" s="124">
        <f>VLOOKUP($A86, 'Grade Enroll 15-16'!$B:$AB, 23, FALSE)</f>
        <v>40</v>
      </c>
      <c r="TI86" s="124">
        <f>VLOOKUP($A86, 'Grade Enroll 15-16'!$B:$AB, 24, FALSE)</f>
        <v>27</v>
      </c>
      <c r="TJ86" s="124">
        <f>VLOOKUP($A86, 'Grade Enroll 15-16'!$B:$AB, 25, FALSE)</f>
        <v>46</v>
      </c>
      <c r="TK86" s="124">
        <f>VLOOKUP($A86, 'Grade Enroll 15-16'!$B:$AB, 26, FALSE)</f>
        <v>101</v>
      </c>
      <c r="TL86" s="131">
        <f>SUMIFS('Student Achievement 15-16'!N:N, 'Student Achievement 15-16'!B:B, 'Idaho Data'!A86, 'Student Achievement 15-16'!D:D, "math")/100</f>
        <v>0.05</v>
      </c>
      <c r="TM86" s="134">
        <f t="shared" si="186"/>
        <v>7.4</v>
      </c>
      <c r="TN86" s="131">
        <f>SUMIFS('Student Achievement 15-16'!N:N, 'Student Achievement 15-16'!B:B, 'Idaho Data'!A86, 'Student Achievement 15-16'!D:D, "ela")/100</f>
        <v>0.27300000000000002</v>
      </c>
      <c r="TO86" s="134">
        <f t="shared" si="134"/>
        <v>40.404000000000003</v>
      </c>
      <c r="TP86" s="688">
        <f>IFERROR(VLOOKUP(A86, 'G&amp;T 15-16'!B:G, 6, FALSE), 0)*1</f>
        <v>0</v>
      </c>
      <c r="TQ86" s="168">
        <f t="shared" si="135"/>
        <v>8.879999999999999</v>
      </c>
      <c r="TU86" s="168">
        <f t="shared" si="136"/>
        <v>7.4</v>
      </c>
      <c r="TV86" s="168">
        <f t="shared" si="137"/>
        <v>40.404000000000003</v>
      </c>
      <c r="TW86" s="205">
        <f t="shared" si="138"/>
        <v>40.404000000000003</v>
      </c>
      <c r="TX86" s="144"/>
      <c r="TY86" s="129"/>
      <c r="TZ86" s="127">
        <f t="shared" si="139"/>
        <v>0</v>
      </c>
      <c r="UA86" s="127">
        <f t="shared" si="140"/>
        <v>8.879999999999999</v>
      </c>
      <c r="UB86" s="205">
        <f t="shared" si="141"/>
        <v>8.879999999999999</v>
      </c>
      <c r="UE86" s="853" t="str">
        <f>IF(ST86&lt;='1. Simulator Input'!$E$104, "yes", "")</f>
        <v>yes</v>
      </c>
      <c r="UI86" s="199">
        <f t="shared" si="187"/>
        <v>0</v>
      </c>
      <c r="UJ86" s="200">
        <f>IF('Idaho Data'!SI86&gt;=0, ((1-'1. Simulator Input'!$E$39)*'Idaho Data'!SI86), 0)</f>
        <v>0</v>
      </c>
      <c r="UK86" s="200">
        <f t="shared" si="142"/>
        <v>1705749</v>
      </c>
      <c r="UL86" s="39"/>
      <c r="UM86" s="182"/>
      <c r="UN86" s="39"/>
      <c r="UO86" s="39">
        <f>IF(AND('1. Simulator Input'!$E$96="yes", '1. Simulator Input'!$E$98="yes", '1. Simulator Input'!$E$100="hold harmless"), 'Idaho Data'!WN86, IF(AND('1. Simulator Input'!$E$96="yes", '1. Simulator Input'!$E$98="no", '1. Simulator Input'!$E$100="hold harmless"), 'Idaho Data'!WM86, IF(AND('1. Simulator Input'!$E$96="yes", '1. Simulator Input'!$E$98="yes", '1. Simulator Input'!$E$100="small district grant"), WL86,IF(AND('1. Simulator Input'!$E$96="yes", '1. Simulator Input'!$E$98="no", '1. Simulator Input'!$E$100="small district grant"), WK86, ""))))</f>
        <v>0</v>
      </c>
      <c r="UP86" s="200">
        <f>'1. Simulator Input'!$D$56*('Idaho Data'!ST86)</f>
        <v>817848</v>
      </c>
      <c r="UQ86" s="204">
        <f>'1. Simulator Input'!$D$65*'1. Simulator Input'!$D$56*'Idaho Data'!SU86</f>
        <v>0</v>
      </c>
      <c r="UR86" s="204">
        <f>'1. Simulator Input'!$D$66*'1. Simulator Input'!$D$56*'Idaho Data'!SW86</f>
        <v>0</v>
      </c>
      <c r="US86" s="200">
        <f>'1. Simulator Input'!$D$67*'1. Simulator Input'!$D$56*'Idaho Data'!TA86</f>
        <v>0</v>
      </c>
      <c r="UT86" s="200">
        <f>'1. Simulator Input'!$D$68*'1. Simulator Input'!$D$56*'Idaho Data'!TB86</f>
        <v>0</v>
      </c>
      <c r="UU86" s="200">
        <f>'1. Simulator Input'!$D$69*'1. Simulator Input'!$D$56*'Idaho Data'!TC86</f>
        <v>0</v>
      </c>
      <c r="UV86" s="200">
        <f>'1. Simulator Input'!$D$70*'1. Simulator Input'!$D$56*TD86</f>
        <v>0</v>
      </c>
      <c r="UW86" s="200">
        <f>'1. Simulator Input'!$D$80*'1. Simulator Input'!$D$56*TW86</f>
        <v>0</v>
      </c>
      <c r="UX86" s="200">
        <f>'1. Simulator Input'!$D$79*'1. Simulator Input'!$D$56*UB86</f>
        <v>0</v>
      </c>
      <c r="UY86" s="200">
        <f>'1. Simulator Input'!$D$87*'1. Simulator Input'!$D$56*TF86</f>
        <v>35919</v>
      </c>
      <c r="UZ86" s="200">
        <f>'1. Simulator Input'!$D$73*'1. Simulator Input'!$D$56*'Idaho Data'!TG86</f>
        <v>0</v>
      </c>
      <c r="VA86" s="200">
        <f>'1. Simulator Input'!$D$56*'1. Simulator Input'!$D$74*'Idaho Data'!TH86</f>
        <v>0</v>
      </c>
      <c r="VB86" s="200">
        <f>'1. Simulator Input'!$D$56*'1. Simulator Input'!$D$75*'Idaho Data'!TI81</f>
        <v>0</v>
      </c>
      <c r="VC86" s="200">
        <f>'1. Simulator Input'!$D$76*'1. Simulator Input'!$D$56*'Idaho Data'!TJ86</f>
        <v>0</v>
      </c>
      <c r="VD86" s="200">
        <f t="shared" si="188"/>
        <v>853767</v>
      </c>
      <c r="VE86" s="200"/>
      <c r="VF86" s="182"/>
      <c r="VG86" s="200"/>
      <c r="VH86" s="200">
        <f t="shared" si="189"/>
        <v>0</v>
      </c>
      <c r="VI86" s="200">
        <f t="shared" si="190"/>
        <v>0</v>
      </c>
      <c r="VJ86" s="200">
        <f t="shared" si="150"/>
        <v>853767</v>
      </c>
      <c r="VK86" s="200">
        <f t="shared" si="151"/>
        <v>853767</v>
      </c>
      <c r="VL86" s="200"/>
      <c r="VM86" s="182"/>
      <c r="VN86" s="200"/>
      <c r="VO86" s="200">
        <f t="shared" si="191"/>
        <v>183415</v>
      </c>
      <c r="VP86" s="200">
        <f t="shared" si="192"/>
        <v>1705749</v>
      </c>
      <c r="VQ86" s="200">
        <f t="shared" si="193"/>
        <v>657127</v>
      </c>
      <c r="VR86" s="200">
        <f t="shared" si="194"/>
        <v>183415</v>
      </c>
      <c r="VS86" s="200">
        <f t="shared" si="152"/>
        <v>853767</v>
      </c>
      <c r="VT86" s="200">
        <f t="shared" si="153"/>
        <v>657127</v>
      </c>
      <c r="VU86" s="200">
        <f t="shared" si="154"/>
        <v>0</v>
      </c>
      <c r="VV86" s="200"/>
      <c r="VW86" s="182"/>
      <c r="VX86" s="200"/>
      <c r="VZ86" s="199">
        <f t="shared" si="195"/>
        <v>-851982</v>
      </c>
      <c r="WA86" s="199">
        <f t="shared" si="196"/>
        <v>-5756.635135135135</v>
      </c>
      <c r="WB86" s="131">
        <f t="shared" si="197"/>
        <v>-0.49947676944263197</v>
      </c>
      <c r="WC86" s="131"/>
      <c r="WD86" s="461"/>
      <c r="WE86" s="893"/>
      <c r="WF86" s="893">
        <f t="shared" si="198"/>
        <v>17204.66891891892</v>
      </c>
      <c r="WG86" s="893">
        <f t="shared" si="199"/>
        <v>11448.033783783783</v>
      </c>
      <c r="WH86" s="893"/>
      <c r="WI86" s="893">
        <f t="shared" si="200"/>
        <v>1705749</v>
      </c>
      <c r="WJ86" s="893">
        <f t="shared" si="155"/>
        <v>853767</v>
      </c>
      <c r="WK86" s="39">
        <f t="shared" si="156"/>
        <v>0</v>
      </c>
      <c r="WL86" s="39">
        <f t="shared" si="157"/>
        <v>0</v>
      </c>
      <c r="WM86" s="200">
        <f t="shared" si="158"/>
        <v>851982</v>
      </c>
      <c r="WN86" s="39">
        <f t="shared" si="159"/>
        <v>851982</v>
      </c>
      <c r="WO86" s="39"/>
      <c r="WP86" s="182"/>
      <c r="WQ86" s="39"/>
      <c r="WR86" s="305">
        <f t="shared" si="160"/>
        <v>0.81499999999999995</v>
      </c>
      <c r="WT86" s="200">
        <f t="shared" si="161"/>
        <v>11525.331081081082</v>
      </c>
      <c r="WU86" s="131">
        <f t="shared" si="201"/>
        <v>0.89</v>
      </c>
      <c r="WW86" s="199">
        <f t="shared" si="162"/>
        <v>183415</v>
      </c>
      <c r="WX86" s="199">
        <f t="shared" si="163"/>
        <v>853767</v>
      </c>
      <c r="WY86" s="199">
        <f t="shared" si="164"/>
        <v>0</v>
      </c>
      <c r="WZ86" s="199">
        <f t="shared" si="202"/>
        <v>853767</v>
      </c>
      <c r="XA86" s="199">
        <f t="shared" si="165"/>
        <v>0</v>
      </c>
      <c r="XB86" s="199">
        <f t="shared" si="166"/>
        <v>657127</v>
      </c>
      <c r="XC86" s="199">
        <f t="shared" si="167"/>
        <v>657127</v>
      </c>
      <c r="XD86" s="199" t="str">
        <f t="shared" si="168"/>
        <v/>
      </c>
      <c r="XE86" s="199"/>
      <c r="XF86" s="199"/>
      <c r="XG86" s="199"/>
      <c r="XH86" s="199"/>
      <c r="XI86" s="199"/>
      <c r="XJ86" s="199">
        <f t="shared" si="203"/>
        <v>853767</v>
      </c>
      <c r="XP86" s="199">
        <f t="shared" si="169"/>
        <v>853767</v>
      </c>
      <c r="XQ86" s="199">
        <f t="shared" si="170"/>
        <v>5768.6959459459458</v>
      </c>
      <c r="XR86" s="199">
        <f t="shared" si="171"/>
        <v>853767</v>
      </c>
      <c r="XS86" s="199">
        <f t="shared" si="172"/>
        <v>853767</v>
      </c>
      <c r="XT86" s="199">
        <f t="shared" si="173"/>
        <v>5768.6959459459458</v>
      </c>
      <c r="XU86" s="199">
        <f t="shared" si="174"/>
        <v>1705749</v>
      </c>
      <c r="XV86" s="199">
        <f t="shared" si="175"/>
        <v>11525.331081081082</v>
      </c>
      <c r="XW86" s="199">
        <f t="shared" si="176"/>
        <v>1705749</v>
      </c>
      <c r="XX86" s="199">
        <f t="shared" si="177"/>
        <v>11525.331081081082</v>
      </c>
      <c r="XY86" s="199">
        <f t="shared" si="204"/>
        <v>-851982</v>
      </c>
      <c r="XZ86" s="199">
        <f t="shared" si="205"/>
        <v>-5756.6351351351359</v>
      </c>
      <c r="YA86" s="131">
        <f t="shared" si="143"/>
        <v>-0.49947676944263197</v>
      </c>
      <c r="YB86" s="199"/>
      <c r="YC86" s="221"/>
      <c r="YD86" s="199"/>
      <c r="YE86" s="199">
        <f t="shared" si="178"/>
        <v>183415</v>
      </c>
      <c r="YF86" s="200">
        <f t="shared" si="179"/>
        <v>0</v>
      </c>
      <c r="YG86" s="199">
        <f t="shared" si="180"/>
        <v>657127</v>
      </c>
      <c r="YH86" s="199">
        <f t="shared" si="181"/>
        <v>16128</v>
      </c>
    </row>
    <row r="87" spans="1:658">
      <c r="A87" s="3">
        <v>312</v>
      </c>
      <c r="B87" s="2" t="s">
        <v>183</v>
      </c>
      <c r="C87" s="24">
        <v>125</v>
      </c>
      <c r="D87" s="24">
        <v>0</v>
      </c>
      <c r="E87" s="24">
        <v>0</v>
      </c>
      <c r="F87" s="24">
        <v>0</v>
      </c>
      <c r="G87" s="24">
        <v>306573</v>
      </c>
      <c r="H87" s="24">
        <v>0</v>
      </c>
      <c r="I87" s="24">
        <v>1387</v>
      </c>
      <c r="J87" s="24">
        <v>280</v>
      </c>
      <c r="K87" s="24">
        <v>0</v>
      </c>
      <c r="L87" s="24">
        <v>0</v>
      </c>
      <c r="M87" s="24">
        <v>0</v>
      </c>
      <c r="N87" s="24">
        <v>0</v>
      </c>
      <c r="O87" s="24">
        <v>0</v>
      </c>
      <c r="P87" s="24">
        <v>0</v>
      </c>
      <c r="Q87" s="24">
        <v>0</v>
      </c>
      <c r="R87" s="24">
        <v>0</v>
      </c>
      <c r="S87" s="24">
        <v>0</v>
      </c>
      <c r="T87" s="24">
        <v>0</v>
      </c>
      <c r="U87" s="24">
        <v>0</v>
      </c>
      <c r="V87" s="24">
        <v>0</v>
      </c>
      <c r="W87" s="24">
        <v>0</v>
      </c>
      <c r="X87" s="24">
        <v>289175</v>
      </c>
      <c r="Y87" s="24">
        <v>5512</v>
      </c>
      <c r="Z87" s="24">
        <v>0</v>
      </c>
      <c r="AA87" s="24">
        <v>0</v>
      </c>
      <c r="AB87" s="24">
        <v>0</v>
      </c>
      <c r="AC87" s="24">
        <v>0</v>
      </c>
      <c r="AD87" s="24">
        <v>0</v>
      </c>
      <c r="AE87" s="24">
        <v>0</v>
      </c>
      <c r="AF87" s="24">
        <v>0</v>
      </c>
      <c r="AG87" s="24">
        <v>0</v>
      </c>
      <c r="AH87" s="24">
        <v>6075</v>
      </c>
      <c r="AI87" s="24">
        <v>0</v>
      </c>
      <c r="AJ87" s="24">
        <v>0</v>
      </c>
      <c r="AK87" s="24">
        <v>0</v>
      </c>
      <c r="AL87" s="24">
        <v>1046</v>
      </c>
      <c r="AM87" s="24">
        <v>0</v>
      </c>
      <c r="AN87" s="24">
        <v>0</v>
      </c>
      <c r="AO87" s="24">
        <v>0</v>
      </c>
      <c r="AP87" s="24">
        <v>0</v>
      </c>
      <c r="AQ87" s="24">
        <v>0</v>
      </c>
      <c r="AR87" s="24">
        <v>0</v>
      </c>
      <c r="AS87" s="24">
        <v>0</v>
      </c>
      <c r="AT87" s="24">
        <v>0</v>
      </c>
      <c r="AU87" s="24">
        <v>0</v>
      </c>
      <c r="AV87" s="24">
        <v>0</v>
      </c>
      <c r="AW87" s="24">
        <v>0</v>
      </c>
      <c r="AX87" s="24">
        <v>0</v>
      </c>
      <c r="AY87" s="24">
        <v>0</v>
      </c>
      <c r="AZ87" s="24">
        <v>0</v>
      </c>
      <c r="BA87" s="24">
        <v>0</v>
      </c>
      <c r="BB87" s="24">
        <v>0</v>
      </c>
      <c r="BC87" s="24">
        <v>0</v>
      </c>
      <c r="BD87" s="24">
        <v>0</v>
      </c>
      <c r="BE87" s="24">
        <v>0</v>
      </c>
      <c r="BF87" s="24">
        <v>0</v>
      </c>
      <c r="BG87" s="24">
        <v>0</v>
      </c>
      <c r="BH87" s="24">
        <v>0</v>
      </c>
      <c r="BI87" s="24">
        <v>0</v>
      </c>
      <c r="BJ87" s="24">
        <v>0</v>
      </c>
      <c r="BK87" s="24">
        <v>0</v>
      </c>
      <c r="BL87" s="24">
        <v>0</v>
      </c>
      <c r="BM87" s="24">
        <v>0</v>
      </c>
      <c r="BN87" s="24">
        <v>0</v>
      </c>
      <c r="BO87" s="24">
        <v>0</v>
      </c>
      <c r="BP87" s="24">
        <v>0</v>
      </c>
      <c r="BQ87" s="24">
        <v>0</v>
      </c>
      <c r="BR87" s="24">
        <v>0</v>
      </c>
      <c r="BS87" s="24">
        <v>0</v>
      </c>
      <c r="BT87" s="24">
        <v>0</v>
      </c>
      <c r="BU87" s="24">
        <v>0</v>
      </c>
      <c r="BV87" s="24">
        <v>0</v>
      </c>
      <c r="BW87" s="24">
        <v>0</v>
      </c>
      <c r="BX87" s="24">
        <v>0</v>
      </c>
      <c r="BY87" s="24">
        <v>0</v>
      </c>
      <c r="BZ87" s="24">
        <v>0</v>
      </c>
      <c r="CA87" s="24">
        <v>0</v>
      </c>
      <c r="CB87" s="24">
        <v>0</v>
      </c>
      <c r="CC87" s="24">
        <v>0</v>
      </c>
      <c r="CD87" s="24">
        <v>0</v>
      </c>
      <c r="CE87" s="24">
        <v>564</v>
      </c>
      <c r="CF87" s="24">
        <v>0</v>
      </c>
      <c r="CG87" s="24">
        <v>280</v>
      </c>
      <c r="CH87" s="24">
        <v>0</v>
      </c>
      <c r="CI87" s="24">
        <v>0</v>
      </c>
      <c r="CJ87" s="24">
        <v>0</v>
      </c>
      <c r="CK87" s="24">
        <v>0</v>
      </c>
      <c r="CL87" s="24">
        <v>0</v>
      </c>
      <c r="CM87" s="24">
        <v>0</v>
      </c>
      <c r="CN87" s="24">
        <v>0</v>
      </c>
      <c r="CO87" s="24">
        <v>0</v>
      </c>
      <c r="CP87" s="24">
        <v>0</v>
      </c>
      <c r="CQ87" s="24">
        <v>0</v>
      </c>
      <c r="CR87" s="24">
        <v>0</v>
      </c>
      <c r="CS87" s="24">
        <v>0</v>
      </c>
      <c r="CT87" s="24">
        <v>0</v>
      </c>
      <c r="CU87" s="24">
        <v>0</v>
      </c>
      <c r="CV87" s="24">
        <v>0</v>
      </c>
      <c r="CW87" s="24">
        <v>0</v>
      </c>
      <c r="CX87" s="24">
        <v>0</v>
      </c>
      <c r="CY87" s="24">
        <v>0</v>
      </c>
      <c r="CZ87" s="24">
        <v>0</v>
      </c>
      <c r="DA87" s="24">
        <v>0</v>
      </c>
      <c r="DB87" s="24">
        <v>0</v>
      </c>
      <c r="DC87" s="24">
        <v>0</v>
      </c>
      <c r="DD87" s="24">
        <v>0</v>
      </c>
      <c r="DE87" s="24">
        <v>0</v>
      </c>
      <c r="DF87" s="24">
        <v>0</v>
      </c>
      <c r="DG87" s="24">
        <v>0</v>
      </c>
      <c r="DH87" s="24">
        <v>0</v>
      </c>
      <c r="DI87" s="24">
        <v>0</v>
      </c>
      <c r="DJ87" s="24">
        <v>0</v>
      </c>
      <c r="DK87" s="24">
        <v>0</v>
      </c>
      <c r="DL87" s="24">
        <v>0</v>
      </c>
      <c r="DM87" s="24">
        <v>0</v>
      </c>
      <c r="DN87" s="24">
        <v>0</v>
      </c>
      <c r="DO87" s="24">
        <v>0</v>
      </c>
      <c r="DP87" s="24">
        <v>0</v>
      </c>
      <c r="DQ87" s="24">
        <v>0</v>
      </c>
      <c r="DR87" s="24">
        <v>0</v>
      </c>
      <c r="DS87" s="24">
        <v>0</v>
      </c>
      <c r="DT87" s="24">
        <v>0</v>
      </c>
      <c r="DU87" s="24">
        <v>0</v>
      </c>
      <c r="DV87" s="24">
        <v>0</v>
      </c>
      <c r="DW87" s="24">
        <v>0</v>
      </c>
      <c r="DX87" s="24">
        <v>0</v>
      </c>
      <c r="DY87" s="24">
        <v>0</v>
      </c>
      <c r="DZ87" s="24">
        <v>0</v>
      </c>
      <c r="EA87" s="24">
        <v>0</v>
      </c>
      <c r="EB87" s="24">
        <v>0</v>
      </c>
      <c r="EC87" s="24">
        <v>0</v>
      </c>
      <c r="ED87" s="24">
        <v>0</v>
      </c>
      <c r="EE87" s="24">
        <v>0</v>
      </c>
      <c r="EF87" s="24">
        <v>0</v>
      </c>
      <c r="EG87" s="24">
        <v>0</v>
      </c>
      <c r="EH87" s="24">
        <v>0</v>
      </c>
      <c r="EI87" s="24">
        <v>0</v>
      </c>
      <c r="EJ87" s="24">
        <v>0</v>
      </c>
      <c r="EK87" s="24">
        <v>0</v>
      </c>
      <c r="EL87" s="24">
        <v>0</v>
      </c>
      <c r="EM87" s="24">
        <v>0</v>
      </c>
      <c r="EN87" s="24">
        <v>0</v>
      </c>
      <c r="EO87" s="24">
        <v>0</v>
      </c>
      <c r="EP87" s="24">
        <v>0</v>
      </c>
      <c r="EQ87" s="24">
        <v>0</v>
      </c>
      <c r="ER87" s="24">
        <v>0</v>
      </c>
      <c r="ES87" s="24">
        <v>0</v>
      </c>
      <c r="ET87" s="24">
        <v>0</v>
      </c>
      <c r="EU87" s="24">
        <v>0</v>
      </c>
      <c r="EV87" s="24">
        <v>0</v>
      </c>
      <c r="EW87" s="24">
        <v>0</v>
      </c>
      <c r="EX87" s="24">
        <v>0</v>
      </c>
      <c r="EY87" s="24">
        <v>0</v>
      </c>
      <c r="EZ87" s="24">
        <v>0</v>
      </c>
      <c r="FA87" s="24">
        <v>0</v>
      </c>
      <c r="FB87" s="24">
        <v>0</v>
      </c>
      <c r="FC87" s="24">
        <v>0</v>
      </c>
      <c r="FD87" s="24">
        <v>0</v>
      </c>
      <c r="FE87" s="24">
        <v>0</v>
      </c>
      <c r="FF87" s="24">
        <v>0</v>
      </c>
      <c r="FG87" s="24">
        <v>0</v>
      </c>
      <c r="FH87" s="24">
        <v>0</v>
      </c>
      <c r="FI87" s="24">
        <v>0</v>
      </c>
      <c r="FJ87" s="24">
        <v>0</v>
      </c>
      <c r="FK87" s="24">
        <v>0</v>
      </c>
      <c r="FL87" s="24">
        <v>0</v>
      </c>
      <c r="FM87" s="24">
        <v>0</v>
      </c>
      <c r="FN87" s="24">
        <v>0</v>
      </c>
      <c r="FO87" s="24">
        <v>0</v>
      </c>
      <c r="FP87" s="24">
        <v>0</v>
      </c>
      <c r="FQ87" s="24">
        <v>0</v>
      </c>
      <c r="FR87" s="24">
        <v>0</v>
      </c>
      <c r="FS87" s="24">
        <v>4897</v>
      </c>
      <c r="FT87" s="24">
        <v>0</v>
      </c>
      <c r="FU87" s="24">
        <v>134426</v>
      </c>
      <c r="FV87" s="24">
        <v>0</v>
      </c>
      <c r="FW87" s="24">
        <v>0</v>
      </c>
      <c r="FX87" s="24">
        <v>0</v>
      </c>
      <c r="FY87" s="24">
        <v>0</v>
      </c>
      <c r="FZ87" s="24">
        <v>0</v>
      </c>
      <c r="GA87" s="24">
        <v>0</v>
      </c>
      <c r="GB87" s="24">
        <v>0</v>
      </c>
      <c r="GC87" s="24">
        <v>0</v>
      </c>
      <c r="GD87" s="24">
        <v>0</v>
      </c>
      <c r="GE87" s="24">
        <v>0</v>
      </c>
      <c r="GF87" s="24">
        <v>0</v>
      </c>
      <c r="GG87" s="24">
        <v>0</v>
      </c>
      <c r="GH87" s="24">
        <v>0</v>
      </c>
      <c r="GI87" s="24">
        <v>0</v>
      </c>
      <c r="GJ87" s="24">
        <v>0</v>
      </c>
      <c r="GK87" s="24">
        <v>0</v>
      </c>
      <c r="GL87" s="24">
        <v>0</v>
      </c>
      <c r="GM87" s="24">
        <v>0</v>
      </c>
      <c r="GN87" s="24">
        <v>0</v>
      </c>
      <c r="GO87" s="24">
        <v>0</v>
      </c>
      <c r="GP87" s="24">
        <v>0</v>
      </c>
      <c r="GQ87" s="24">
        <v>0</v>
      </c>
      <c r="GR87" s="24">
        <v>56</v>
      </c>
      <c r="GS87" s="24">
        <v>0</v>
      </c>
      <c r="GT87" s="24">
        <v>0</v>
      </c>
      <c r="GU87" s="24">
        <v>0</v>
      </c>
      <c r="GV87" s="24">
        <v>0</v>
      </c>
      <c r="GW87" s="24">
        <v>0</v>
      </c>
      <c r="GX87" s="24">
        <v>0</v>
      </c>
      <c r="GY87" s="24">
        <v>0</v>
      </c>
      <c r="GZ87" s="24">
        <v>0</v>
      </c>
      <c r="HA87" s="24">
        <v>0</v>
      </c>
      <c r="HB87" s="24">
        <v>0</v>
      </c>
      <c r="HC87" s="24">
        <v>0</v>
      </c>
      <c r="HD87" s="24">
        <v>2544075</v>
      </c>
      <c r="HE87" s="24">
        <v>0</v>
      </c>
      <c r="HF87" s="24">
        <v>0</v>
      </c>
      <c r="HG87" s="24">
        <v>0</v>
      </c>
      <c r="HH87" s="24">
        <v>0</v>
      </c>
      <c r="HI87" s="24">
        <v>111552</v>
      </c>
      <c r="HJ87" s="24">
        <v>0</v>
      </c>
      <c r="HK87" s="24">
        <v>0</v>
      </c>
      <c r="HL87" s="24">
        <v>0</v>
      </c>
      <c r="HM87" s="24">
        <v>0</v>
      </c>
      <c r="HN87" s="24">
        <v>0</v>
      </c>
      <c r="HO87" s="24">
        <v>338945</v>
      </c>
      <c r="HP87" s="24">
        <v>171521</v>
      </c>
      <c r="HQ87" s="24">
        <v>0</v>
      </c>
      <c r="HR87" s="24">
        <v>0</v>
      </c>
      <c r="HS87" s="24">
        <v>0</v>
      </c>
      <c r="HT87" s="24">
        <v>0</v>
      </c>
      <c r="HU87" s="24">
        <v>0</v>
      </c>
      <c r="HV87" s="24">
        <v>0</v>
      </c>
      <c r="HW87" s="24">
        <v>0</v>
      </c>
      <c r="HX87" s="24">
        <v>0</v>
      </c>
      <c r="HY87" s="24">
        <v>0</v>
      </c>
      <c r="HZ87" s="24">
        <v>0</v>
      </c>
      <c r="IA87" s="24">
        <v>52321</v>
      </c>
      <c r="IB87" s="24">
        <v>8680</v>
      </c>
      <c r="IC87" s="24">
        <v>0</v>
      </c>
      <c r="ID87" s="24">
        <v>0</v>
      </c>
      <c r="IE87" s="24">
        <v>0</v>
      </c>
      <c r="IF87" s="24">
        <v>26924</v>
      </c>
      <c r="IG87" s="24">
        <v>0</v>
      </c>
      <c r="IH87" s="24">
        <v>0</v>
      </c>
      <c r="II87" s="24">
        <v>0</v>
      </c>
      <c r="IJ87" s="24">
        <v>0</v>
      </c>
      <c r="IK87" s="24">
        <v>0</v>
      </c>
      <c r="IL87" s="24">
        <v>0</v>
      </c>
      <c r="IM87" s="24">
        <v>0</v>
      </c>
      <c r="IN87" s="24">
        <v>0</v>
      </c>
      <c r="IO87" s="24">
        <v>6875</v>
      </c>
      <c r="IP87" s="24">
        <v>0</v>
      </c>
      <c r="IQ87" s="24">
        <v>0</v>
      </c>
      <c r="IR87" s="24">
        <v>24875</v>
      </c>
      <c r="IS87" s="24">
        <v>0</v>
      </c>
      <c r="IT87" s="24">
        <v>0</v>
      </c>
      <c r="IU87" s="24">
        <v>0</v>
      </c>
      <c r="IV87" s="24">
        <v>0</v>
      </c>
      <c r="IW87" s="24">
        <v>68212</v>
      </c>
      <c r="IX87" s="24">
        <v>0</v>
      </c>
      <c r="IY87" s="24">
        <v>0</v>
      </c>
      <c r="IZ87" s="24">
        <v>0</v>
      </c>
      <c r="JA87" s="24">
        <v>0</v>
      </c>
      <c r="JB87" s="24">
        <v>30114</v>
      </c>
      <c r="JC87" s="24">
        <v>0</v>
      </c>
      <c r="JD87" s="24">
        <v>0</v>
      </c>
      <c r="JE87" s="24">
        <v>0</v>
      </c>
      <c r="JF87" s="24">
        <v>0</v>
      </c>
      <c r="JG87" s="24">
        <v>0</v>
      </c>
      <c r="JH87" s="24">
        <v>0</v>
      </c>
      <c r="JI87" s="24">
        <v>0</v>
      </c>
      <c r="JJ87" s="24">
        <v>0</v>
      </c>
      <c r="JK87" s="24">
        <v>0</v>
      </c>
      <c r="JL87" s="24">
        <v>0</v>
      </c>
      <c r="JM87" s="24">
        <v>0</v>
      </c>
      <c r="JN87" s="24">
        <v>0</v>
      </c>
      <c r="JO87" s="24">
        <v>0</v>
      </c>
      <c r="JP87" s="24">
        <v>0</v>
      </c>
      <c r="JQ87" s="24">
        <v>0</v>
      </c>
      <c r="JR87" s="24">
        <v>0</v>
      </c>
      <c r="JS87" s="24">
        <v>0</v>
      </c>
      <c r="JT87" s="24">
        <v>0</v>
      </c>
      <c r="JU87" s="24">
        <v>0</v>
      </c>
      <c r="JV87" s="24">
        <v>0</v>
      </c>
      <c r="JW87" s="24">
        <v>0</v>
      </c>
      <c r="JX87" s="24">
        <v>0</v>
      </c>
      <c r="JY87" s="24">
        <v>0</v>
      </c>
      <c r="JZ87" s="24">
        <v>0</v>
      </c>
      <c r="KA87" s="24">
        <v>0</v>
      </c>
      <c r="KB87" s="24">
        <v>0</v>
      </c>
      <c r="KC87" s="24">
        <v>0</v>
      </c>
      <c r="KD87" s="24">
        <v>0</v>
      </c>
      <c r="KE87" s="24">
        <v>0</v>
      </c>
      <c r="KF87" s="24">
        <v>0</v>
      </c>
      <c r="KG87" s="24">
        <v>0</v>
      </c>
      <c r="KH87" s="24">
        <v>0</v>
      </c>
      <c r="KI87" s="24">
        <v>0</v>
      </c>
      <c r="KJ87" s="24">
        <v>0</v>
      </c>
      <c r="KK87" s="24">
        <v>0</v>
      </c>
      <c r="KL87" s="24">
        <v>0</v>
      </c>
      <c r="KM87" s="24">
        <v>0</v>
      </c>
      <c r="KN87" s="24">
        <v>0</v>
      </c>
      <c r="KO87" s="24">
        <v>0</v>
      </c>
      <c r="KP87" s="24">
        <v>0</v>
      </c>
      <c r="KQ87" s="24">
        <v>0</v>
      </c>
      <c r="KR87" s="24">
        <v>0</v>
      </c>
      <c r="KS87" s="24">
        <v>0</v>
      </c>
      <c r="KT87" s="24">
        <v>0</v>
      </c>
      <c r="KU87" s="24">
        <v>0</v>
      </c>
      <c r="KV87" s="24">
        <v>0</v>
      </c>
      <c r="KW87" s="24">
        <v>0</v>
      </c>
      <c r="KX87" s="24">
        <v>0</v>
      </c>
      <c r="KY87" s="24">
        <v>0</v>
      </c>
      <c r="KZ87" s="24">
        <v>0</v>
      </c>
      <c r="LA87" s="24">
        <v>0</v>
      </c>
      <c r="LB87" s="24">
        <v>0</v>
      </c>
      <c r="LC87" s="24">
        <v>0</v>
      </c>
      <c r="LD87" s="24">
        <v>0</v>
      </c>
      <c r="LE87" s="24">
        <v>0</v>
      </c>
      <c r="LF87" s="24">
        <v>0</v>
      </c>
      <c r="LG87" s="24">
        <v>0</v>
      </c>
      <c r="LH87" s="24">
        <v>0</v>
      </c>
      <c r="LI87" s="24">
        <v>0</v>
      </c>
      <c r="LJ87" s="24">
        <v>0</v>
      </c>
      <c r="LK87" s="24">
        <v>0</v>
      </c>
      <c r="LL87" s="24">
        <v>0</v>
      </c>
      <c r="LM87" s="24">
        <v>0</v>
      </c>
      <c r="LN87" s="24">
        <v>0</v>
      </c>
      <c r="LO87" s="24">
        <v>0</v>
      </c>
      <c r="LP87" s="24">
        <v>0</v>
      </c>
      <c r="LQ87" s="24">
        <v>142538</v>
      </c>
      <c r="LR87" s="24">
        <v>19402</v>
      </c>
      <c r="LS87" s="24">
        <v>0</v>
      </c>
      <c r="LT87" s="24">
        <v>0</v>
      </c>
      <c r="LU87" s="24">
        <v>0</v>
      </c>
      <c r="LV87" s="24">
        <v>0</v>
      </c>
      <c r="LW87" s="24">
        <v>0</v>
      </c>
      <c r="LX87" s="24">
        <v>0</v>
      </c>
      <c r="LY87" s="24">
        <v>0</v>
      </c>
      <c r="LZ87" s="24">
        <v>0</v>
      </c>
      <c r="MA87" s="24">
        <v>0</v>
      </c>
      <c r="MB87" s="24">
        <v>0</v>
      </c>
      <c r="MC87" s="24">
        <v>0</v>
      </c>
      <c r="MD87" s="24">
        <v>0</v>
      </c>
      <c r="ME87" s="24">
        <v>0</v>
      </c>
      <c r="MF87" s="24">
        <v>0</v>
      </c>
      <c r="MG87" s="24">
        <v>0</v>
      </c>
      <c r="MH87" s="24">
        <v>0</v>
      </c>
      <c r="MI87" s="24">
        <v>0</v>
      </c>
      <c r="MJ87" s="24">
        <v>0</v>
      </c>
      <c r="MK87" s="24">
        <v>0</v>
      </c>
      <c r="ML87" s="24">
        <v>0</v>
      </c>
      <c r="MM87" s="24">
        <v>7804</v>
      </c>
      <c r="MN87" s="24">
        <v>0</v>
      </c>
      <c r="MO87" s="24">
        <v>0</v>
      </c>
      <c r="MP87" s="24">
        <v>0</v>
      </c>
      <c r="MQ87" s="24">
        <v>0</v>
      </c>
      <c r="MR87" s="24">
        <v>309663</v>
      </c>
      <c r="MS87" s="24">
        <v>0</v>
      </c>
      <c r="MT87" s="24">
        <v>0</v>
      </c>
      <c r="MU87" s="24">
        <v>0</v>
      </c>
      <c r="MV87" s="24">
        <v>0</v>
      </c>
      <c r="MW87" s="24">
        <v>109771</v>
      </c>
      <c r="MX87" s="24">
        <v>3905</v>
      </c>
      <c r="MY87" s="24">
        <v>0</v>
      </c>
      <c r="MZ87" s="24">
        <v>0</v>
      </c>
      <c r="NA87" s="24">
        <v>0</v>
      </c>
      <c r="NB87" s="24">
        <v>0</v>
      </c>
      <c r="NC87" s="24">
        <v>0</v>
      </c>
      <c r="ND87" s="24">
        <v>0</v>
      </c>
      <c r="NE87" s="24">
        <v>0</v>
      </c>
      <c r="NF87" s="24">
        <v>0</v>
      </c>
      <c r="NG87" s="24">
        <v>0</v>
      </c>
      <c r="NH87" s="24">
        <v>0</v>
      </c>
      <c r="NI87" s="24">
        <v>0</v>
      </c>
      <c r="NJ87" s="24">
        <v>0</v>
      </c>
      <c r="NK87" s="24">
        <v>0</v>
      </c>
      <c r="NL87" s="24">
        <v>0</v>
      </c>
      <c r="NM87" s="24">
        <v>0</v>
      </c>
      <c r="NN87" s="24">
        <v>0</v>
      </c>
      <c r="NO87" s="24">
        <v>0</v>
      </c>
      <c r="NP87" s="24">
        <v>0</v>
      </c>
      <c r="NQ87" s="24">
        <v>46696</v>
      </c>
      <c r="NR87" s="24">
        <v>0</v>
      </c>
      <c r="NS87" s="24">
        <v>0</v>
      </c>
      <c r="NT87" s="24">
        <v>0</v>
      </c>
      <c r="NU87" s="24">
        <v>21937</v>
      </c>
      <c r="NV87" s="24">
        <v>19440</v>
      </c>
      <c r="NW87" s="24">
        <v>0</v>
      </c>
      <c r="NX87" s="24">
        <v>0</v>
      </c>
      <c r="NY87" s="24">
        <v>0</v>
      </c>
      <c r="NZ87" s="24">
        <v>0</v>
      </c>
      <c r="OA87" s="24">
        <v>0</v>
      </c>
      <c r="OB87" s="24">
        <v>0</v>
      </c>
      <c r="OC87" s="24">
        <v>0</v>
      </c>
      <c r="OD87" s="24">
        <v>0</v>
      </c>
      <c r="OE87" s="24">
        <v>0</v>
      </c>
      <c r="OF87" s="24">
        <v>0</v>
      </c>
      <c r="OG87" s="24">
        <v>0</v>
      </c>
      <c r="OH87" s="24">
        <v>0</v>
      </c>
      <c r="OI87" s="24">
        <v>0</v>
      </c>
      <c r="OJ87" s="24">
        <v>0</v>
      </c>
      <c r="OK87" s="24">
        <v>0</v>
      </c>
      <c r="OL87" s="24">
        <v>0</v>
      </c>
      <c r="OM87" s="24">
        <v>0</v>
      </c>
      <c r="ON87" s="24">
        <v>0</v>
      </c>
      <c r="OO87" s="24">
        <v>0</v>
      </c>
      <c r="OP87" s="24">
        <v>0</v>
      </c>
      <c r="OQ87" s="24">
        <v>0</v>
      </c>
      <c r="OR87" s="24">
        <v>0</v>
      </c>
      <c r="OS87" s="24">
        <v>0</v>
      </c>
      <c r="OT87" s="24">
        <v>0</v>
      </c>
      <c r="OU87" s="24">
        <v>0</v>
      </c>
      <c r="OV87" s="24">
        <v>0</v>
      </c>
      <c r="OW87" s="24">
        <v>0</v>
      </c>
      <c r="OX87" s="24">
        <v>0</v>
      </c>
      <c r="OY87" s="24">
        <v>0</v>
      </c>
      <c r="OZ87" s="24">
        <v>0</v>
      </c>
      <c r="PA87" s="24">
        <v>0</v>
      </c>
      <c r="PB87" s="24">
        <v>0</v>
      </c>
      <c r="PC87" s="24">
        <v>0</v>
      </c>
      <c r="PD87" s="24">
        <v>0</v>
      </c>
      <c r="PE87" s="24">
        <v>0</v>
      </c>
      <c r="PF87" s="24">
        <v>0</v>
      </c>
      <c r="PG87" s="24">
        <v>0</v>
      </c>
      <c r="PH87" s="24">
        <v>5526</v>
      </c>
      <c r="PI87" s="24">
        <v>0</v>
      </c>
      <c r="PJ87" s="24">
        <v>0</v>
      </c>
      <c r="PK87" s="24">
        <v>0</v>
      </c>
      <c r="PL87" s="24">
        <v>0</v>
      </c>
      <c r="PM87" s="24">
        <v>0</v>
      </c>
      <c r="PN87" s="24">
        <v>0</v>
      </c>
      <c r="PO87" s="24">
        <v>0</v>
      </c>
      <c r="PP87" s="24">
        <v>0</v>
      </c>
      <c r="PQ87" s="24">
        <v>0</v>
      </c>
      <c r="PR87" s="24">
        <v>0</v>
      </c>
      <c r="PS87" s="24">
        <v>0</v>
      </c>
      <c r="PT87" s="24">
        <v>0</v>
      </c>
      <c r="PU87" s="24">
        <v>0</v>
      </c>
      <c r="PV87" s="24">
        <v>0</v>
      </c>
      <c r="PW87" s="24">
        <v>58687</v>
      </c>
      <c r="PX87" s="24">
        <v>0</v>
      </c>
      <c r="PY87" s="24">
        <v>0</v>
      </c>
      <c r="PZ87" s="24">
        <v>0</v>
      </c>
      <c r="QA87" s="24">
        <v>0</v>
      </c>
      <c r="QB87" s="24">
        <v>0</v>
      </c>
      <c r="QC87" s="24">
        <v>0</v>
      </c>
      <c r="QD87" s="24">
        <v>0</v>
      </c>
      <c r="QE87" s="24">
        <v>0</v>
      </c>
      <c r="QF87" s="24">
        <v>0</v>
      </c>
      <c r="QG87" s="24">
        <v>0</v>
      </c>
      <c r="QH87" s="24">
        <v>0</v>
      </c>
      <c r="QI87" s="24">
        <v>0</v>
      </c>
      <c r="QJ87" s="24">
        <v>9921</v>
      </c>
      <c r="QK87" s="24">
        <v>0</v>
      </c>
      <c r="QL87" s="24">
        <v>0</v>
      </c>
      <c r="QM87" s="24">
        <v>0</v>
      </c>
      <c r="QN87" s="24">
        <v>0</v>
      </c>
      <c r="QO87" s="24">
        <v>0</v>
      </c>
      <c r="QP87" s="24">
        <v>0</v>
      </c>
      <c r="QQ87" s="24">
        <v>0</v>
      </c>
      <c r="QR87" s="24">
        <v>0</v>
      </c>
      <c r="QS87" s="24">
        <v>0</v>
      </c>
      <c r="QT87" s="24">
        <v>0</v>
      </c>
      <c r="QU87" s="24">
        <v>0</v>
      </c>
      <c r="QV87" s="24">
        <v>14537</v>
      </c>
      <c r="QW87" s="24">
        <v>0</v>
      </c>
      <c r="QX87" s="24">
        <v>0</v>
      </c>
      <c r="QY87" s="24">
        <v>0</v>
      </c>
      <c r="QZ87" s="24">
        <v>0</v>
      </c>
      <c r="RA87" s="24">
        <v>0</v>
      </c>
      <c r="RB87" s="24">
        <v>0</v>
      </c>
      <c r="RG87" s="39">
        <f t="shared" si="129"/>
        <v>2544075</v>
      </c>
      <c r="RH87" s="39">
        <f t="shared" si="128"/>
        <v>111552</v>
      </c>
      <c r="RI87" s="39">
        <f t="shared" si="128"/>
        <v>0</v>
      </c>
      <c r="RJ87" s="39">
        <f t="shared" si="128"/>
        <v>0</v>
      </c>
      <c r="RK87" s="39">
        <f t="shared" si="128"/>
        <v>0</v>
      </c>
      <c r="RL87" s="39">
        <f t="shared" ref="RH87:RR110" si="206">SUMIFS($C87:$RB87,$C$7:$RB$7,RL$3)</f>
        <v>338945</v>
      </c>
      <c r="RM87" s="39">
        <f t="shared" si="206"/>
        <v>259446</v>
      </c>
      <c r="RN87" s="39">
        <f t="shared" si="206"/>
        <v>6875</v>
      </c>
      <c r="RO87" s="39">
        <f t="shared" si="206"/>
        <v>24875</v>
      </c>
      <c r="RP87" s="39">
        <f t="shared" si="206"/>
        <v>68212</v>
      </c>
      <c r="RQ87" s="39">
        <f t="shared" si="206"/>
        <v>30114</v>
      </c>
      <c r="RR87" s="39">
        <f t="shared" si="206"/>
        <v>0</v>
      </c>
      <c r="RS87" s="39"/>
      <c r="RT87" s="182"/>
      <c r="RU87" s="39"/>
      <c r="RV87" s="39">
        <f t="shared" si="182"/>
        <v>681156</v>
      </c>
      <c r="RW87" s="39">
        <f t="shared" si="182"/>
        <v>3384094</v>
      </c>
      <c r="RX87" s="39">
        <f t="shared" si="182"/>
        <v>750396</v>
      </c>
      <c r="RY87" s="39">
        <f t="shared" si="182"/>
        <v>88671</v>
      </c>
      <c r="RZ87" s="39"/>
      <c r="SA87" s="182"/>
      <c r="SB87" s="39"/>
      <c r="SC87" s="25">
        <f t="shared" si="183"/>
        <v>1589.8220338983051</v>
      </c>
      <c r="SD87" s="39">
        <f>IFERROR(VLOOKUP(A87, 'Levy Data 15-16'!$B:$O, 3, FALSE), 0)</f>
        <v>172083598</v>
      </c>
      <c r="SE87" s="39">
        <f t="shared" si="144"/>
        <v>364583.89406779659</v>
      </c>
      <c r="SF87" s="631">
        <f>IFERROR(VLOOKUP(A87, 'Levy Data 15-16'!$B:$O, 14, FALSE), 0)*1000</f>
        <v>3.343404</v>
      </c>
      <c r="SG87" s="39">
        <f t="shared" si="145"/>
        <v>0</v>
      </c>
      <c r="SH87" s="39">
        <f t="shared" si="146"/>
        <v>0</v>
      </c>
      <c r="SI87" s="39">
        <f t="shared" si="147"/>
        <v>750396</v>
      </c>
      <c r="SM87" s="39">
        <f t="shared" si="148"/>
        <v>3384094</v>
      </c>
      <c r="SN87" s="39">
        <f t="shared" si="149"/>
        <v>0</v>
      </c>
      <c r="SO87" s="39">
        <f t="shared" si="184"/>
        <v>3384094</v>
      </c>
      <c r="SP87" s="50">
        <f t="shared" si="130"/>
        <v>1</v>
      </c>
      <c r="ST87" s="124">
        <f>IFERROR(VLOOKUP(A87,'Grade Enroll 15-16'!B:AC,27,FALSE),"")</f>
        <v>472</v>
      </c>
      <c r="SU87" s="124">
        <f t="shared" si="185"/>
        <v>329.83132530120486</v>
      </c>
      <c r="SV87" s="131">
        <f>IFERROR(VLOOKUP($A87, 'Title I Enroll 16-17'!S:V, 4, FALSE), 0)</f>
        <v>0.6987951807228916</v>
      </c>
      <c r="SW87" s="729">
        <f>IFERROR(VLOOKUP(A87, 'ELL Enroll 15-16'!$N:$S, 6, FALSE), 0)</f>
        <v>203</v>
      </c>
      <c r="SX87" s="131">
        <f t="shared" si="131"/>
        <v>0.43008474576271188</v>
      </c>
      <c r="SY87" s="124">
        <f>IFERROR(VLOOKUP(A87, 'SPED enroll 2015-16'!$M:$O, 3, FALSE), 0)</f>
        <v>50</v>
      </c>
      <c r="SZ87" s="131">
        <f t="shared" si="132"/>
        <v>0.1059322033898305</v>
      </c>
      <c r="TA87" s="142">
        <f t="shared" si="133"/>
        <v>35</v>
      </c>
      <c r="TB87" s="142">
        <f t="shared" si="133"/>
        <v>10</v>
      </c>
      <c r="TC87" s="142">
        <f t="shared" si="133"/>
        <v>3.5000000000000004</v>
      </c>
      <c r="TD87" s="142">
        <f t="shared" si="133"/>
        <v>1.5</v>
      </c>
      <c r="TE87" s="124">
        <f>VLOOKUP($A87, 'Grade Enroll 15-16'!$B:$AB, 20, FALSE)</f>
        <v>2</v>
      </c>
      <c r="TF87" s="124">
        <f>VLOOKUP($A87, 'Grade Enroll 15-16'!$B:$AB, 21, FALSE)</f>
        <v>44</v>
      </c>
      <c r="TG87" s="124">
        <f>VLOOKUP($A87, 'Grade Enroll 15-16'!$B:$AB, 22, FALSE)</f>
        <v>120</v>
      </c>
      <c r="TH87" s="124">
        <f>VLOOKUP($A87, 'Grade Enroll 15-16'!$B:$AB, 23, FALSE)</f>
        <v>122</v>
      </c>
      <c r="TI87" s="124">
        <f>VLOOKUP($A87, 'Grade Enroll 15-16'!$B:$AB, 24, FALSE)</f>
        <v>68</v>
      </c>
      <c r="TJ87" s="124">
        <f>VLOOKUP($A87, 'Grade Enroll 15-16'!$B:$AB, 25, FALSE)</f>
        <v>162</v>
      </c>
      <c r="TK87" s="124">
        <f>VLOOKUP($A87, 'Grade Enroll 15-16'!$B:$AB, 26, FALSE)</f>
        <v>319</v>
      </c>
      <c r="TL87" s="131">
        <f>SUMIFS('Student Achievement 15-16'!N:N, 'Student Achievement 15-16'!B:B, 'Idaho Data'!A87, 'Student Achievement 15-16'!D:D, "math")/100</f>
        <v>0.42100000000000004</v>
      </c>
      <c r="TM87" s="134">
        <f t="shared" si="186"/>
        <v>198.71200000000002</v>
      </c>
      <c r="TN87" s="131">
        <f>SUMIFS('Student Achievement 15-16'!N:N, 'Student Achievement 15-16'!B:B, 'Idaho Data'!A87, 'Student Achievement 15-16'!D:D, "ela")/100</f>
        <v>0.3</v>
      </c>
      <c r="TO87" s="134">
        <f t="shared" si="134"/>
        <v>141.6</v>
      </c>
      <c r="TP87" s="688">
        <f>IFERROR(VLOOKUP(A87, 'G&amp;T 15-16'!B:G, 6, FALSE), 0)*1</f>
        <v>0</v>
      </c>
      <c r="TQ87" s="168">
        <f t="shared" si="135"/>
        <v>28.32</v>
      </c>
      <c r="TU87" s="168">
        <f t="shared" si="136"/>
        <v>141.6</v>
      </c>
      <c r="TV87" s="168">
        <f t="shared" si="137"/>
        <v>198.71200000000002</v>
      </c>
      <c r="TW87" s="205">
        <f t="shared" si="138"/>
        <v>198.71200000000002</v>
      </c>
      <c r="TX87" s="144"/>
      <c r="TY87" s="129"/>
      <c r="TZ87" s="127">
        <f t="shared" si="139"/>
        <v>0</v>
      </c>
      <c r="UA87" s="127">
        <f t="shared" si="140"/>
        <v>28.32</v>
      </c>
      <c r="UB87" s="205">
        <f t="shared" si="141"/>
        <v>28.32</v>
      </c>
      <c r="UE87" s="853" t="str">
        <f>IF(ST87&lt;='1. Simulator Input'!$E$104, "yes", "")</f>
        <v/>
      </c>
      <c r="UI87" s="199">
        <f t="shared" si="187"/>
        <v>0</v>
      </c>
      <c r="UJ87" s="200">
        <f>IF('Idaho Data'!SI87&gt;=0, ((1-'1. Simulator Input'!$E$39)*'Idaho Data'!SI87), 0)</f>
        <v>0</v>
      </c>
      <c r="UK87" s="200">
        <f t="shared" si="142"/>
        <v>3384094</v>
      </c>
      <c r="UL87" s="39"/>
      <c r="UM87" s="182"/>
      <c r="UN87" s="39"/>
      <c r="UO87" s="39" t="str">
        <f>IF(AND('1. Simulator Input'!$E$96="yes", '1. Simulator Input'!$E$98="yes", '1. Simulator Input'!$E$100="hold harmless"), 'Idaho Data'!WN87, IF(AND('1. Simulator Input'!$E$96="yes", '1. Simulator Input'!$E$98="no", '1. Simulator Input'!$E$100="hold harmless"), 'Idaho Data'!WM87, IF(AND('1. Simulator Input'!$E$96="yes", '1. Simulator Input'!$E$98="yes", '1. Simulator Input'!$E$100="small district grant"), WL87,IF(AND('1. Simulator Input'!$E$96="yes", '1. Simulator Input'!$E$98="no", '1. Simulator Input'!$E$100="small district grant"), WK87, ""))))</f>
        <v/>
      </c>
      <c r="UP87" s="200">
        <f>'1. Simulator Input'!$D$56*('Idaho Data'!ST87)</f>
        <v>2608272</v>
      </c>
      <c r="UQ87" s="204">
        <f>'1. Simulator Input'!$D$65*'1. Simulator Input'!$D$56*'Idaho Data'!SU87</f>
        <v>0</v>
      </c>
      <c r="UR87" s="204">
        <f>'1. Simulator Input'!$D$66*'1. Simulator Input'!$D$56*'Idaho Data'!SW87</f>
        <v>0</v>
      </c>
      <c r="US87" s="200">
        <f>'1. Simulator Input'!$D$67*'1. Simulator Input'!$D$56*'Idaho Data'!TA87</f>
        <v>0</v>
      </c>
      <c r="UT87" s="200">
        <f>'1. Simulator Input'!$D$68*'1. Simulator Input'!$D$56*'Idaho Data'!TB87</f>
        <v>0</v>
      </c>
      <c r="UU87" s="200">
        <f>'1. Simulator Input'!$D$69*'1. Simulator Input'!$D$56*'Idaho Data'!TC87</f>
        <v>0</v>
      </c>
      <c r="UV87" s="200">
        <f>'1. Simulator Input'!$D$70*'1. Simulator Input'!$D$56*TD87</f>
        <v>0</v>
      </c>
      <c r="UW87" s="200">
        <f>'1. Simulator Input'!$D$80*'1. Simulator Input'!$D$56*TW87</f>
        <v>0</v>
      </c>
      <c r="UX87" s="200">
        <f>'1. Simulator Input'!$D$79*'1. Simulator Input'!$D$56*UB87</f>
        <v>0</v>
      </c>
      <c r="UY87" s="200">
        <f>'1. Simulator Input'!$D$87*'1. Simulator Input'!$D$56*TF87</f>
        <v>121572</v>
      </c>
      <c r="UZ87" s="200">
        <f>'1. Simulator Input'!$D$73*'1. Simulator Input'!$D$56*'Idaho Data'!TG87</f>
        <v>0</v>
      </c>
      <c r="VA87" s="200">
        <f>'1. Simulator Input'!$D$56*'1. Simulator Input'!$D$74*'Idaho Data'!TH87</f>
        <v>0</v>
      </c>
      <c r="VB87" s="200">
        <f>'1. Simulator Input'!$D$56*'1. Simulator Input'!$D$75*'Idaho Data'!TI82</f>
        <v>0</v>
      </c>
      <c r="VC87" s="200">
        <f>'1. Simulator Input'!$D$76*'1. Simulator Input'!$D$56*'Idaho Data'!TJ87</f>
        <v>0</v>
      </c>
      <c r="VD87" s="200">
        <f t="shared" si="188"/>
        <v>2729844</v>
      </c>
      <c r="VE87" s="200"/>
      <c r="VF87" s="182"/>
      <c r="VG87" s="200"/>
      <c r="VH87" s="200">
        <f t="shared" si="189"/>
        <v>0</v>
      </c>
      <c r="VI87" s="200">
        <f t="shared" si="190"/>
        <v>0</v>
      </c>
      <c r="VJ87" s="200">
        <f t="shared" si="150"/>
        <v>2729844</v>
      </c>
      <c r="VK87" s="200">
        <f t="shared" si="151"/>
        <v>2729844</v>
      </c>
      <c r="VL87" s="200"/>
      <c r="VM87" s="182"/>
      <c r="VN87" s="200"/>
      <c r="VO87" s="200">
        <f t="shared" si="191"/>
        <v>681156</v>
      </c>
      <c r="VP87" s="200">
        <f t="shared" si="192"/>
        <v>3384094</v>
      </c>
      <c r="VQ87" s="200">
        <f t="shared" si="193"/>
        <v>750396</v>
      </c>
      <c r="VR87" s="200">
        <f t="shared" si="194"/>
        <v>681156</v>
      </c>
      <c r="VS87" s="200">
        <f t="shared" si="152"/>
        <v>2729844</v>
      </c>
      <c r="VT87" s="200">
        <f t="shared" si="153"/>
        <v>750396</v>
      </c>
      <c r="VU87" s="200">
        <f t="shared" si="154"/>
        <v>0</v>
      </c>
      <c r="VV87" s="200"/>
      <c r="VW87" s="182"/>
      <c r="VX87" s="200"/>
      <c r="VZ87" s="199">
        <f t="shared" si="195"/>
        <v>-654250</v>
      </c>
      <c r="WA87" s="199">
        <f t="shared" si="196"/>
        <v>-1386.1228813559321</v>
      </c>
      <c r="WB87" s="131">
        <f t="shared" si="197"/>
        <v>-0.19333091811279474</v>
      </c>
      <c r="WC87" s="131"/>
      <c r="WD87" s="461"/>
      <c r="WE87" s="893"/>
      <c r="WF87" s="893">
        <f t="shared" si="198"/>
        <v>10202.639830508475</v>
      </c>
      <c r="WG87" s="893">
        <f t="shared" si="199"/>
        <v>8816.516949152543</v>
      </c>
      <c r="WH87" s="893"/>
      <c r="WI87" s="893">
        <f t="shared" si="200"/>
        <v>3384094</v>
      </c>
      <c r="WJ87" s="893">
        <f t="shared" si="155"/>
        <v>2729844</v>
      </c>
      <c r="WK87" s="39" t="str">
        <f t="shared" si="156"/>
        <v/>
      </c>
      <c r="WL87" s="39" t="str">
        <f t="shared" si="157"/>
        <v/>
      </c>
      <c r="WM87" s="200" t="str">
        <f t="shared" si="158"/>
        <v/>
      </c>
      <c r="WN87" s="39" t="str">
        <f t="shared" si="159"/>
        <v/>
      </c>
      <c r="WO87" s="39"/>
      <c r="WP87" s="182"/>
      <c r="WQ87" s="39"/>
      <c r="WR87" s="305">
        <f t="shared" si="160"/>
        <v>0.377</v>
      </c>
      <c r="WT87" s="200">
        <f t="shared" si="161"/>
        <v>7169.6906779661012</v>
      </c>
      <c r="WU87" s="131">
        <f t="shared" si="201"/>
        <v>0.65</v>
      </c>
      <c r="WW87" s="199">
        <f t="shared" si="162"/>
        <v>681156</v>
      </c>
      <c r="WX87" s="199">
        <f t="shared" si="163"/>
        <v>2729844</v>
      </c>
      <c r="WY87" s="199">
        <f t="shared" si="164"/>
        <v>0</v>
      </c>
      <c r="WZ87" s="199">
        <f t="shared" si="202"/>
        <v>2729844</v>
      </c>
      <c r="XA87" s="199">
        <f t="shared" si="165"/>
        <v>0</v>
      </c>
      <c r="XB87" s="199">
        <f t="shared" si="166"/>
        <v>750396</v>
      </c>
      <c r="XC87" s="199">
        <f t="shared" si="167"/>
        <v>750396</v>
      </c>
      <c r="XD87" s="199" t="str">
        <f t="shared" si="168"/>
        <v/>
      </c>
      <c r="XE87" s="199"/>
      <c r="XF87" s="199"/>
      <c r="XG87" s="199"/>
      <c r="XH87" s="199"/>
      <c r="XI87" s="199"/>
      <c r="XJ87" s="199">
        <f t="shared" si="203"/>
        <v>2729844</v>
      </c>
      <c r="XP87" s="199">
        <f t="shared" si="169"/>
        <v>2729844</v>
      </c>
      <c r="XQ87" s="199">
        <f t="shared" si="170"/>
        <v>5783.5677966101694</v>
      </c>
      <c r="XR87" s="199">
        <f t="shared" si="171"/>
        <v>2729844</v>
      </c>
      <c r="XS87" s="199">
        <f t="shared" si="172"/>
        <v>2729844</v>
      </c>
      <c r="XT87" s="199">
        <f t="shared" si="173"/>
        <v>5783.5677966101694</v>
      </c>
      <c r="XU87" s="199">
        <f t="shared" si="174"/>
        <v>3384094</v>
      </c>
      <c r="XV87" s="199">
        <f t="shared" si="175"/>
        <v>7169.6906779661012</v>
      </c>
      <c r="XW87" s="199">
        <f t="shared" si="176"/>
        <v>3384094</v>
      </c>
      <c r="XX87" s="199">
        <f t="shared" si="177"/>
        <v>7169.6906779661012</v>
      </c>
      <c r="XY87" s="199">
        <f t="shared" si="204"/>
        <v>-654250</v>
      </c>
      <c r="XZ87" s="199">
        <f t="shared" si="205"/>
        <v>-1386.1228813559319</v>
      </c>
      <c r="YA87" s="131">
        <f t="shared" si="143"/>
        <v>-0.19333091811279471</v>
      </c>
      <c r="YB87" s="199"/>
      <c r="YC87" s="221"/>
      <c r="YD87" s="199"/>
      <c r="YE87" s="199">
        <f t="shared" si="178"/>
        <v>681156</v>
      </c>
      <c r="YF87" s="200">
        <f t="shared" si="179"/>
        <v>0</v>
      </c>
      <c r="YG87" s="199">
        <f t="shared" si="180"/>
        <v>750396</v>
      </c>
      <c r="YH87" s="199">
        <f t="shared" si="181"/>
        <v>88671</v>
      </c>
    </row>
    <row r="88" spans="1:658">
      <c r="A88" s="3">
        <v>314</v>
      </c>
      <c r="B88" s="2" t="s">
        <v>184</v>
      </c>
      <c r="C88" s="24">
        <v>0</v>
      </c>
      <c r="D88" s="24">
        <v>0</v>
      </c>
      <c r="E88" s="24">
        <v>0</v>
      </c>
      <c r="F88" s="24">
        <v>0</v>
      </c>
      <c r="G88" s="24">
        <v>0</v>
      </c>
      <c r="H88" s="24">
        <v>0</v>
      </c>
      <c r="I88" s="24">
        <v>449</v>
      </c>
      <c r="J88" s="24">
        <v>29</v>
      </c>
      <c r="K88" s="24">
        <v>0</v>
      </c>
      <c r="L88" s="24">
        <v>0</v>
      </c>
      <c r="M88" s="24">
        <v>0</v>
      </c>
      <c r="N88" s="24">
        <v>0</v>
      </c>
      <c r="O88" s="24">
        <v>0</v>
      </c>
      <c r="P88" s="24">
        <v>0</v>
      </c>
      <c r="Q88" s="24">
        <v>0</v>
      </c>
      <c r="R88" s="24">
        <v>0</v>
      </c>
      <c r="S88" s="24">
        <v>0</v>
      </c>
      <c r="T88" s="24">
        <v>0</v>
      </c>
      <c r="U88" s="24">
        <v>0</v>
      </c>
      <c r="V88" s="24">
        <v>0</v>
      </c>
      <c r="W88" s="24">
        <v>0</v>
      </c>
      <c r="X88" s="24">
        <v>92123</v>
      </c>
      <c r="Y88" s="24">
        <v>48</v>
      </c>
      <c r="Z88" s="24">
        <v>0</v>
      </c>
      <c r="AA88" s="24">
        <v>397</v>
      </c>
      <c r="AB88" s="24">
        <v>0</v>
      </c>
      <c r="AC88" s="24">
        <v>0</v>
      </c>
      <c r="AD88" s="24">
        <v>2700</v>
      </c>
      <c r="AE88" s="24">
        <v>0</v>
      </c>
      <c r="AF88" s="24">
        <v>0</v>
      </c>
      <c r="AG88" s="24">
        <v>0</v>
      </c>
      <c r="AH88" s="24">
        <v>0</v>
      </c>
      <c r="AI88" s="24">
        <v>0</v>
      </c>
      <c r="AJ88" s="24">
        <v>64160</v>
      </c>
      <c r="AK88" s="24">
        <v>0</v>
      </c>
      <c r="AL88" s="24">
        <v>3823</v>
      </c>
      <c r="AM88" s="24">
        <v>0</v>
      </c>
      <c r="AN88" s="24">
        <v>0</v>
      </c>
      <c r="AO88" s="24">
        <v>0</v>
      </c>
      <c r="AP88" s="24">
        <v>0</v>
      </c>
      <c r="AQ88" s="24">
        <v>0</v>
      </c>
      <c r="AR88" s="24">
        <v>0</v>
      </c>
      <c r="AS88" s="24">
        <v>0</v>
      </c>
      <c r="AT88" s="24">
        <v>0</v>
      </c>
      <c r="AU88" s="24">
        <v>0</v>
      </c>
      <c r="AV88" s="24">
        <v>0</v>
      </c>
      <c r="AW88" s="24">
        <v>0</v>
      </c>
      <c r="AX88" s="24">
        <v>0</v>
      </c>
      <c r="AY88" s="24">
        <v>0</v>
      </c>
      <c r="AZ88" s="24">
        <v>0</v>
      </c>
      <c r="BA88" s="24">
        <v>0</v>
      </c>
      <c r="BB88" s="24">
        <v>0</v>
      </c>
      <c r="BC88" s="24">
        <v>0</v>
      </c>
      <c r="BD88" s="24">
        <v>82483</v>
      </c>
      <c r="BE88" s="24">
        <v>0</v>
      </c>
      <c r="BF88" s="24">
        <v>13</v>
      </c>
      <c r="BG88" s="24">
        <v>0</v>
      </c>
      <c r="BH88" s="24">
        <v>0</v>
      </c>
      <c r="BI88" s="24">
        <v>0</v>
      </c>
      <c r="BJ88" s="24">
        <v>0</v>
      </c>
      <c r="BK88" s="24">
        <v>0</v>
      </c>
      <c r="BL88" s="24">
        <v>0</v>
      </c>
      <c r="BM88" s="24">
        <v>0</v>
      </c>
      <c r="BN88" s="24">
        <v>0</v>
      </c>
      <c r="BO88" s="24">
        <v>0</v>
      </c>
      <c r="BP88" s="24">
        <v>0</v>
      </c>
      <c r="BQ88" s="24">
        <v>0</v>
      </c>
      <c r="BR88" s="24">
        <v>0</v>
      </c>
      <c r="BS88" s="24">
        <v>0</v>
      </c>
      <c r="BT88" s="24">
        <v>0</v>
      </c>
      <c r="BU88" s="24">
        <v>0</v>
      </c>
      <c r="BV88" s="24">
        <v>0</v>
      </c>
      <c r="BW88" s="24">
        <v>0</v>
      </c>
      <c r="BX88" s="24">
        <v>0</v>
      </c>
      <c r="BY88" s="24">
        <v>0</v>
      </c>
      <c r="BZ88" s="24">
        <v>0</v>
      </c>
      <c r="CA88" s="24">
        <v>0</v>
      </c>
      <c r="CB88" s="24">
        <v>0</v>
      </c>
      <c r="CC88" s="24">
        <v>0</v>
      </c>
      <c r="CD88" s="24">
        <v>0</v>
      </c>
      <c r="CE88" s="24">
        <v>26392</v>
      </c>
      <c r="CF88" s="24">
        <v>0</v>
      </c>
      <c r="CG88" s="24">
        <v>804</v>
      </c>
      <c r="CH88" s="24">
        <v>0</v>
      </c>
      <c r="CI88" s="24">
        <v>111</v>
      </c>
      <c r="CJ88" s="24">
        <v>0</v>
      </c>
      <c r="CK88" s="24">
        <v>0</v>
      </c>
      <c r="CL88" s="24">
        <v>0</v>
      </c>
      <c r="CM88" s="24">
        <v>0</v>
      </c>
      <c r="CN88" s="24">
        <v>0</v>
      </c>
      <c r="CO88" s="24">
        <v>0</v>
      </c>
      <c r="CP88" s="24">
        <v>0</v>
      </c>
      <c r="CQ88" s="24">
        <v>0</v>
      </c>
      <c r="CR88" s="24">
        <v>0</v>
      </c>
      <c r="CS88" s="24">
        <v>0</v>
      </c>
      <c r="CT88" s="24">
        <v>0</v>
      </c>
      <c r="CU88" s="24">
        <v>0</v>
      </c>
      <c r="CV88" s="24">
        <v>0</v>
      </c>
      <c r="CW88" s="24">
        <v>0</v>
      </c>
      <c r="CX88" s="24">
        <v>0</v>
      </c>
      <c r="CY88" s="24">
        <v>0</v>
      </c>
      <c r="CZ88" s="24">
        <v>0</v>
      </c>
      <c r="DA88" s="24">
        <v>0</v>
      </c>
      <c r="DB88" s="24">
        <v>0</v>
      </c>
      <c r="DC88" s="24">
        <v>0</v>
      </c>
      <c r="DD88" s="24">
        <v>0</v>
      </c>
      <c r="DE88" s="24">
        <v>0</v>
      </c>
      <c r="DF88" s="24">
        <v>0</v>
      </c>
      <c r="DG88" s="24">
        <v>0</v>
      </c>
      <c r="DH88" s="24">
        <v>0</v>
      </c>
      <c r="DI88" s="24">
        <v>0</v>
      </c>
      <c r="DJ88" s="24">
        <v>0</v>
      </c>
      <c r="DK88" s="24">
        <v>0</v>
      </c>
      <c r="DL88" s="24">
        <v>0</v>
      </c>
      <c r="DM88" s="24">
        <v>0</v>
      </c>
      <c r="DN88" s="24">
        <v>0</v>
      </c>
      <c r="DO88" s="24">
        <v>0</v>
      </c>
      <c r="DP88" s="24">
        <v>0</v>
      </c>
      <c r="DQ88" s="24">
        <v>0</v>
      </c>
      <c r="DR88" s="24">
        <v>0</v>
      </c>
      <c r="DS88" s="24">
        <v>0</v>
      </c>
      <c r="DT88" s="24">
        <v>0</v>
      </c>
      <c r="DU88" s="24">
        <v>16264</v>
      </c>
      <c r="DV88" s="24">
        <v>0</v>
      </c>
      <c r="DW88" s="24">
        <v>0</v>
      </c>
      <c r="DX88" s="24">
        <v>0</v>
      </c>
      <c r="DY88" s="24">
        <v>0</v>
      </c>
      <c r="DZ88" s="24">
        <v>0</v>
      </c>
      <c r="EA88" s="24">
        <v>0</v>
      </c>
      <c r="EB88" s="24">
        <v>0</v>
      </c>
      <c r="EC88" s="24">
        <v>0</v>
      </c>
      <c r="ED88" s="24">
        <v>0</v>
      </c>
      <c r="EE88" s="24">
        <v>0</v>
      </c>
      <c r="EF88" s="24">
        <v>0</v>
      </c>
      <c r="EG88" s="24">
        <v>1414</v>
      </c>
      <c r="EH88" s="24">
        <v>0</v>
      </c>
      <c r="EI88" s="24">
        <v>2000</v>
      </c>
      <c r="EJ88" s="24">
        <v>1500</v>
      </c>
      <c r="EK88" s="24">
        <v>0</v>
      </c>
      <c r="EL88" s="24">
        <v>6000</v>
      </c>
      <c r="EM88" s="24">
        <v>0</v>
      </c>
      <c r="EN88" s="24">
        <v>0</v>
      </c>
      <c r="EO88" s="24">
        <v>0</v>
      </c>
      <c r="EP88" s="24">
        <v>0</v>
      </c>
      <c r="EQ88" s="24">
        <v>0</v>
      </c>
      <c r="ER88" s="24">
        <v>0</v>
      </c>
      <c r="ES88" s="24">
        <v>0</v>
      </c>
      <c r="ET88" s="24">
        <v>0</v>
      </c>
      <c r="EU88" s="24">
        <v>0</v>
      </c>
      <c r="EV88" s="24">
        <v>0</v>
      </c>
      <c r="EW88" s="24">
        <v>0</v>
      </c>
      <c r="EX88" s="24">
        <v>0</v>
      </c>
      <c r="EY88" s="24">
        <v>0</v>
      </c>
      <c r="EZ88" s="24">
        <v>0</v>
      </c>
      <c r="FA88" s="24">
        <v>0</v>
      </c>
      <c r="FB88" s="24">
        <v>0</v>
      </c>
      <c r="FC88" s="24">
        <v>0</v>
      </c>
      <c r="FD88" s="24">
        <v>0</v>
      </c>
      <c r="FE88" s="24">
        <v>0</v>
      </c>
      <c r="FF88" s="24">
        <v>0</v>
      </c>
      <c r="FG88" s="24">
        <v>0</v>
      </c>
      <c r="FH88" s="24">
        <v>0</v>
      </c>
      <c r="FI88" s="24">
        <v>0</v>
      </c>
      <c r="FJ88" s="24">
        <v>0</v>
      </c>
      <c r="FK88" s="24">
        <v>0</v>
      </c>
      <c r="FL88" s="24">
        <v>818</v>
      </c>
      <c r="FM88" s="24">
        <v>0</v>
      </c>
      <c r="FN88" s="24">
        <v>0</v>
      </c>
      <c r="FO88" s="24">
        <v>0</v>
      </c>
      <c r="FP88" s="24">
        <v>0</v>
      </c>
      <c r="FQ88" s="24">
        <v>0</v>
      </c>
      <c r="FR88" s="24">
        <v>0</v>
      </c>
      <c r="FS88" s="24">
        <v>11912</v>
      </c>
      <c r="FT88" s="24">
        <v>0</v>
      </c>
      <c r="FU88" s="24">
        <v>0</v>
      </c>
      <c r="FV88" s="24">
        <v>0</v>
      </c>
      <c r="FW88" s="24">
        <v>0</v>
      </c>
      <c r="FX88" s="24">
        <v>0</v>
      </c>
      <c r="FY88" s="24">
        <v>0</v>
      </c>
      <c r="FZ88" s="24">
        <v>0</v>
      </c>
      <c r="GA88" s="24">
        <v>0</v>
      </c>
      <c r="GB88" s="24">
        <v>0</v>
      </c>
      <c r="GC88" s="24">
        <v>0</v>
      </c>
      <c r="GD88" s="24">
        <v>0</v>
      </c>
      <c r="GE88" s="24">
        <v>0</v>
      </c>
      <c r="GF88" s="24">
        <v>0</v>
      </c>
      <c r="GG88" s="24">
        <v>0</v>
      </c>
      <c r="GH88" s="24">
        <v>0</v>
      </c>
      <c r="GI88" s="24">
        <v>0</v>
      </c>
      <c r="GJ88" s="24">
        <v>0</v>
      </c>
      <c r="GK88" s="24">
        <v>0</v>
      </c>
      <c r="GL88" s="24">
        <v>0</v>
      </c>
      <c r="GM88" s="24">
        <v>0</v>
      </c>
      <c r="GN88" s="24">
        <v>0</v>
      </c>
      <c r="GO88" s="24">
        <v>0</v>
      </c>
      <c r="GP88" s="24">
        <v>0</v>
      </c>
      <c r="GQ88" s="24">
        <v>0</v>
      </c>
      <c r="GR88" s="24">
        <v>0</v>
      </c>
      <c r="GS88" s="24">
        <v>0</v>
      </c>
      <c r="GT88" s="24">
        <v>0</v>
      </c>
      <c r="GU88" s="24">
        <v>0</v>
      </c>
      <c r="GV88" s="24">
        <v>0</v>
      </c>
      <c r="GW88" s="24">
        <v>0</v>
      </c>
      <c r="GX88" s="24">
        <v>0</v>
      </c>
      <c r="GY88" s="24">
        <v>0</v>
      </c>
      <c r="GZ88" s="24">
        <v>0</v>
      </c>
      <c r="HA88" s="24">
        <v>0</v>
      </c>
      <c r="HB88" s="24">
        <v>0</v>
      </c>
      <c r="HC88" s="24">
        <v>0</v>
      </c>
      <c r="HD88" s="24">
        <v>1361690</v>
      </c>
      <c r="HE88" s="24">
        <v>0</v>
      </c>
      <c r="HF88" s="24">
        <v>0</v>
      </c>
      <c r="HG88" s="24">
        <v>0</v>
      </c>
      <c r="HH88" s="24">
        <v>0</v>
      </c>
      <c r="HI88" s="24">
        <v>71709</v>
      </c>
      <c r="HJ88" s="24">
        <v>0</v>
      </c>
      <c r="HK88" s="24">
        <v>0</v>
      </c>
      <c r="HL88" s="24">
        <v>0</v>
      </c>
      <c r="HM88" s="24">
        <v>0</v>
      </c>
      <c r="HN88" s="24">
        <v>23196</v>
      </c>
      <c r="HO88" s="24">
        <v>185017</v>
      </c>
      <c r="HP88" s="24">
        <v>135302</v>
      </c>
      <c r="HQ88" s="24">
        <v>0</v>
      </c>
      <c r="HR88" s="24">
        <v>0</v>
      </c>
      <c r="HS88" s="24">
        <v>0</v>
      </c>
      <c r="HT88" s="24">
        <v>0</v>
      </c>
      <c r="HU88" s="24">
        <v>0</v>
      </c>
      <c r="HV88" s="24">
        <v>0</v>
      </c>
      <c r="HW88" s="24">
        <v>0</v>
      </c>
      <c r="HX88" s="24">
        <v>0</v>
      </c>
      <c r="HY88" s="24">
        <v>0</v>
      </c>
      <c r="HZ88" s="24">
        <v>0</v>
      </c>
      <c r="IA88" s="24">
        <v>23432</v>
      </c>
      <c r="IB88" s="24">
        <v>4955</v>
      </c>
      <c r="IC88" s="24">
        <v>0</v>
      </c>
      <c r="ID88" s="24">
        <v>0</v>
      </c>
      <c r="IE88" s="24">
        <v>0</v>
      </c>
      <c r="IF88" s="24">
        <v>0</v>
      </c>
      <c r="IG88" s="24">
        <v>0</v>
      </c>
      <c r="IH88" s="24">
        <v>0</v>
      </c>
      <c r="II88" s="24">
        <v>0</v>
      </c>
      <c r="IJ88" s="24">
        <v>0</v>
      </c>
      <c r="IK88" s="24">
        <v>0</v>
      </c>
      <c r="IL88" s="24">
        <v>0</v>
      </c>
      <c r="IM88" s="24">
        <v>0</v>
      </c>
      <c r="IN88" s="24">
        <v>0</v>
      </c>
      <c r="IO88" s="24">
        <v>0</v>
      </c>
      <c r="IP88" s="24">
        <v>0</v>
      </c>
      <c r="IQ88" s="24">
        <v>0</v>
      </c>
      <c r="IR88" s="24">
        <v>17683</v>
      </c>
      <c r="IS88" s="24">
        <v>0</v>
      </c>
      <c r="IT88" s="24">
        <v>0</v>
      </c>
      <c r="IU88" s="24">
        <v>0</v>
      </c>
      <c r="IV88" s="24">
        <v>0</v>
      </c>
      <c r="IW88" s="24">
        <v>38508</v>
      </c>
      <c r="IX88" s="24">
        <v>0</v>
      </c>
      <c r="IY88" s="24">
        <v>0</v>
      </c>
      <c r="IZ88" s="24">
        <v>0</v>
      </c>
      <c r="JA88" s="24">
        <v>0</v>
      </c>
      <c r="JB88" s="24">
        <v>0</v>
      </c>
      <c r="JC88" s="24">
        <v>0</v>
      </c>
      <c r="JD88" s="24">
        <v>0</v>
      </c>
      <c r="JE88" s="24">
        <v>2303</v>
      </c>
      <c r="JF88" s="24">
        <v>0</v>
      </c>
      <c r="JG88" s="24">
        <v>0</v>
      </c>
      <c r="JH88" s="24">
        <v>0</v>
      </c>
      <c r="JI88" s="24">
        <v>0</v>
      </c>
      <c r="JJ88" s="24">
        <v>0</v>
      </c>
      <c r="JK88" s="24">
        <v>0</v>
      </c>
      <c r="JL88" s="24">
        <v>0</v>
      </c>
      <c r="JM88" s="24">
        <v>0</v>
      </c>
      <c r="JN88" s="24">
        <v>0</v>
      </c>
      <c r="JO88" s="24">
        <v>0</v>
      </c>
      <c r="JP88" s="24">
        <v>0</v>
      </c>
      <c r="JQ88" s="24">
        <v>0</v>
      </c>
      <c r="JR88" s="24">
        <v>0</v>
      </c>
      <c r="JS88" s="24">
        <v>0</v>
      </c>
      <c r="JT88" s="24">
        <v>0</v>
      </c>
      <c r="JU88" s="24">
        <v>0</v>
      </c>
      <c r="JV88" s="24">
        <v>0</v>
      </c>
      <c r="JW88" s="24">
        <v>0</v>
      </c>
      <c r="JX88" s="24">
        <v>0</v>
      </c>
      <c r="JY88" s="24">
        <v>0</v>
      </c>
      <c r="JZ88" s="24">
        <v>0</v>
      </c>
      <c r="KA88" s="24">
        <v>53974</v>
      </c>
      <c r="KB88" s="24">
        <v>0</v>
      </c>
      <c r="KC88" s="24">
        <v>0</v>
      </c>
      <c r="KD88" s="24">
        <v>0</v>
      </c>
      <c r="KE88" s="24">
        <v>0</v>
      </c>
      <c r="KF88" s="24">
        <v>0</v>
      </c>
      <c r="KG88" s="24">
        <v>0</v>
      </c>
      <c r="KH88" s="24">
        <v>0</v>
      </c>
      <c r="KI88" s="24">
        <v>0</v>
      </c>
      <c r="KJ88" s="24">
        <v>0</v>
      </c>
      <c r="KK88" s="24">
        <v>0</v>
      </c>
      <c r="KL88" s="24">
        <v>0</v>
      </c>
      <c r="KM88" s="24">
        <v>0</v>
      </c>
      <c r="KN88" s="24">
        <v>0</v>
      </c>
      <c r="KO88" s="24">
        <v>0</v>
      </c>
      <c r="KP88" s="24">
        <v>0</v>
      </c>
      <c r="KQ88" s="24">
        <v>0</v>
      </c>
      <c r="KR88" s="24">
        <v>0</v>
      </c>
      <c r="KS88" s="24">
        <v>0</v>
      </c>
      <c r="KT88" s="24">
        <v>0</v>
      </c>
      <c r="KU88" s="24">
        <v>0</v>
      </c>
      <c r="KV88" s="24">
        <v>0</v>
      </c>
      <c r="KW88" s="24">
        <v>0</v>
      </c>
      <c r="KX88" s="24">
        <v>0</v>
      </c>
      <c r="KY88" s="24">
        <v>0</v>
      </c>
      <c r="KZ88" s="24">
        <v>0</v>
      </c>
      <c r="LA88" s="24">
        <v>0</v>
      </c>
      <c r="LB88" s="24">
        <v>0</v>
      </c>
      <c r="LC88" s="24">
        <v>0</v>
      </c>
      <c r="LD88" s="24">
        <v>0</v>
      </c>
      <c r="LE88" s="24">
        <v>0</v>
      </c>
      <c r="LF88" s="24">
        <v>0</v>
      </c>
      <c r="LG88" s="24">
        <v>0</v>
      </c>
      <c r="LH88" s="24">
        <v>0</v>
      </c>
      <c r="LI88" s="24">
        <v>0</v>
      </c>
      <c r="LJ88" s="24">
        <v>0</v>
      </c>
      <c r="LK88" s="24">
        <v>0</v>
      </c>
      <c r="LL88" s="24">
        <v>0</v>
      </c>
      <c r="LM88" s="24">
        <v>0</v>
      </c>
      <c r="LN88" s="24">
        <v>0</v>
      </c>
      <c r="LO88" s="24">
        <v>0</v>
      </c>
      <c r="LP88" s="24">
        <v>0</v>
      </c>
      <c r="LQ88" s="24">
        <v>0</v>
      </c>
      <c r="LR88" s="24">
        <v>27400</v>
      </c>
      <c r="LS88" s="24">
        <v>0</v>
      </c>
      <c r="LT88" s="24">
        <v>0</v>
      </c>
      <c r="LU88" s="24">
        <v>0</v>
      </c>
      <c r="LV88" s="24">
        <v>0</v>
      </c>
      <c r="LW88" s="24">
        <v>0</v>
      </c>
      <c r="LX88" s="24">
        <v>0</v>
      </c>
      <c r="LY88" s="24">
        <v>4502</v>
      </c>
      <c r="LZ88" s="24">
        <v>0</v>
      </c>
      <c r="MA88" s="24">
        <v>0</v>
      </c>
      <c r="MB88" s="24">
        <v>0</v>
      </c>
      <c r="MC88" s="24">
        <v>0</v>
      </c>
      <c r="MD88" s="24">
        <v>45965</v>
      </c>
      <c r="ME88" s="24">
        <v>0</v>
      </c>
      <c r="MF88" s="24">
        <v>0</v>
      </c>
      <c r="MG88" s="24">
        <v>0</v>
      </c>
      <c r="MH88" s="24">
        <v>0</v>
      </c>
      <c r="MI88" s="24">
        <v>0</v>
      </c>
      <c r="MJ88" s="24">
        <v>0</v>
      </c>
      <c r="MK88" s="24">
        <v>0</v>
      </c>
      <c r="ML88" s="24">
        <v>0</v>
      </c>
      <c r="MM88" s="24">
        <v>0</v>
      </c>
      <c r="MN88" s="24">
        <v>0</v>
      </c>
      <c r="MO88" s="24">
        <v>2374</v>
      </c>
      <c r="MP88" s="24">
        <v>0</v>
      </c>
      <c r="MQ88" s="24">
        <v>0</v>
      </c>
      <c r="MR88" s="24">
        <v>99973</v>
      </c>
      <c r="MS88" s="24">
        <v>0</v>
      </c>
      <c r="MT88" s="24">
        <v>0</v>
      </c>
      <c r="MU88" s="24">
        <v>0</v>
      </c>
      <c r="MV88" s="24">
        <v>0</v>
      </c>
      <c r="MW88" s="24">
        <v>44398</v>
      </c>
      <c r="MX88" s="24">
        <v>0</v>
      </c>
      <c r="MY88" s="24">
        <v>0</v>
      </c>
      <c r="MZ88" s="24">
        <v>0</v>
      </c>
      <c r="NA88" s="24">
        <v>0</v>
      </c>
      <c r="NB88" s="24">
        <v>0</v>
      </c>
      <c r="NC88" s="24">
        <v>0</v>
      </c>
      <c r="ND88" s="24">
        <v>0</v>
      </c>
      <c r="NE88" s="24">
        <v>0</v>
      </c>
      <c r="NF88" s="24">
        <v>0</v>
      </c>
      <c r="NG88" s="24">
        <v>0</v>
      </c>
      <c r="NH88" s="24">
        <v>0</v>
      </c>
      <c r="NI88" s="24">
        <v>0</v>
      </c>
      <c r="NJ88" s="24">
        <v>0</v>
      </c>
      <c r="NK88" s="24">
        <v>0</v>
      </c>
      <c r="NL88" s="24">
        <v>0</v>
      </c>
      <c r="NM88" s="24">
        <v>0</v>
      </c>
      <c r="NN88" s="24">
        <v>0</v>
      </c>
      <c r="NO88" s="24">
        <v>0</v>
      </c>
      <c r="NP88" s="24">
        <v>0</v>
      </c>
      <c r="NQ88" s="24">
        <v>7724</v>
      </c>
      <c r="NR88" s="24">
        <v>0</v>
      </c>
      <c r="NS88" s="24">
        <v>0</v>
      </c>
      <c r="NT88" s="24">
        <v>0</v>
      </c>
      <c r="NU88" s="24">
        <v>0</v>
      </c>
      <c r="NV88" s="24">
        <v>0</v>
      </c>
      <c r="NW88" s="24">
        <v>0</v>
      </c>
      <c r="NX88" s="24">
        <v>0</v>
      </c>
      <c r="NY88" s="24">
        <v>0</v>
      </c>
      <c r="NZ88" s="24">
        <v>0</v>
      </c>
      <c r="OA88" s="24">
        <v>0</v>
      </c>
      <c r="OB88" s="24">
        <v>0</v>
      </c>
      <c r="OC88" s="24">
        <v>0</v>
      </c>
      <c r="OD88" s="24">
        <v>0</v>
      </c>
      <c r="OE88" s="24">
        <v>0</v>
      </c>
      <c r="OF88" s="24">
        <v>0</v>
      </c>
      <c r="OG88" s="24">
        <v>0</v>
      </c>
      <c r="OH88" s="24">
        <v>0</v>
      </c>
      <c r="OI88" s="24">
        <v>0</v>
      </c>
      <c r="OJ88" s="24">
        <v>0</v>
      </c>
      <c r="OK88" s="24">
        <v>0</v>
      </c>
      <c r="OL88" s="24">
        <v>0</v>
      </c>
      <c r="OM88" s="24">
        <v>0</v>
      </c>
      <c r="ON88" s="24">
        <v>0</v>
      </c>
      <c r="OO88" s="24">
        <v>0</v>
      </c>
      <c r="OP88" s="24">
        <v>0</v>
      </c>
      <c r="OQ88" s="24">
        <v>0</v>
      </c>
      <c r="OR88" s="24">
        <v>0</v>
      </c>
      <c r="OS88" s="24">
        <v>0</v>
      </c>
      <c r="OT88" s="24">
        <v>0</v>
      </c>
      <c r="OU88" s="24">
        <v>0</v>
      </c>
      <c r="OV88" s="24">
        <v>0</v>
      </c>
      <c r="OW88" s="24">
        <v>122863</v>
      </c>
      <c r="OX88" s="24">
        <v>0</v>
      </c>
      <c r="OY88" s="24">
        <v>0</v>
      </c>
      <c r="OZ88" s="24">
        <v>0</v>
      </c>
      <c r="PA88" s="24">
        <v>0</v>
      </c>
      <c r="PB88" s="24">
        <v>0</v>
      </c>
      <c r="PC88" s="24">
        <v>0</v>
      </c>
      <c r="PD88" s="24">
        <v>0</v>
      </c>
      <c r="PE88" s="24">
        <v>0</v>
      </c>
      <c r="PF88" s="24">
        <v>0</v>
      </c>
      <c r="PG88" s="24">
        <v>0</v>
      </c>
      <c r="PH88" s="24">
        <v>0</v>
      </c>
      <c r="PI88" s="24">
        <v>0</v>
      </c>
      <c r="PJ88" s="24">
        <v>0</v>
      </c>
      <c r="PK88" s="24">
        <v>0</v>
      </c>
      <c r="PL88" s="24">
        <v>0</v>
      </c>
      <c r="PM88" s="24">
        <v>0</v>
      </c>
      <c r="PN88" s="24">
        <v>0</v>
      </c>
      <c r="PO88" s="24">
        <v>0</v>
      </c>
      <c r="PP88" s="24">
        <v>0</v>
      </c>
      <c r="PQ88" s="24">
        <v>0</v>
      </c>
      <c r="PR88" s="24">
        <v>0</v>
      </c>
      <c r="PS88" s="24">
        <v>0</v>
      </c>
      <c r="PT88" s="24">
        <v>0</v>
      </c>
      <c r="PU88" s="24">
        <v>0</v>
      </c>
      <c r="PV88" s="24">
        <v>1991</v>
      </c>
      <c r="PW88" s="24">
        <v>0</v>
      </c>
      <c r="PX88" s="24">
        <v>0</v>
      </c>
      <c r="PY88" s="24">
        <v>0</v>
      </c>
      <c r="PZ88" s="24">
        <v>0</v>
      </c>
      <c r="QA88" s="24">
        <v>0</v>
      </c>
      <c r="QB88" s="24">
        <v>28328</v>
      </c>
      <c r="QC88" s="24">
        <v>0</v>
      </c>
      <c r="QD88" s="24">
        <v>5024</v>
      </c>
      <c r="QE88" s="24">
        <v>933</v>
      </c>
      <c r="QF88" s="24">
        <v>17713</v>
      </c>
      <c r="QG88" s="24">
        <v>1631</v>
      </c>
      <c r="QH88" s="24">
        <v>0</v>
      </c>
      <c r="QI88" s="24">
        <v>0</v>
      </c>
      <c r="QJ88" s="24">
        <v>0</v>
      </c>
      <c r="QK88" s="24">
        <v>0</v>
      </c>
      <c r="QL88" s="24">
        <v>0</v>
      </c>
      <c r="QM88" s="24">
        <v>720</v>
      </c>
      <c r="QN88" s="24">
        <v>0</v>
      </c>
      <c r="QO88" s="24">
        <v>0</v>
      </c>
      <c r="QP88" s="24">
        <v>0</v>
      </c>
      <c r="QQ88" s="24">
        <v>0</v>
      </c>
      <c r="QR88" s="24">
        <v>0</v>
      </c>
      <c r="QS88" s="24">
        <v>3400</v>
      </c>
      <c r="QT88" s="24">
        <v>0</v>
      </c>
      <c r="QU88" s="24">
        <v>0</v>
      </c>
      <c r="QV88" s="24">
        <v>0</v>
      </c>
      <c r="QW88" s="24">
        <v>38754</v>
      </c>
      <c r="QX88" s="24">
        <v>0</v>
      </c>
      <c r="QY88" s="24">
        <v>0</v>
      </c>
      <c r="QZ88" s="24">
        <v>0</v>
      </c>
      <c r="RA88" s="24">
        <v>0</v>
      </c>
      <c r="RB88" s="24">
        <v>0</v>
      </c>
      <c r="RG88" s="39">
        <f t="shared" si="129"/>
        <v>1361690</v>
      </c>
      <c r="RH88" s="39">
        <f t="shared" si="206"/>
        <v>71709</v>
      </c>
      <c r="RI88" s="39">
        <f t="shared" si="206"/>
        <v>0</v>
      </c>
      <c r="RJ88" s="39">
        <f t="shared" si="206"/>
        <v>0</v>
      </c>
      <c r="RK88" s="39">
        <f t="shared" si="206"/>
        <v>23196</v>
      </c>
      <c r="RL88" s="39">
        <f t="shared" si="206"/>
        <v>185017</v>
      </c>
      <c r="RM88" s="39">
        <f t="shared" si="206"/>
        <v>163689</v>
      </c>
      <c r="RN88" s="39">
        <f t="shared" si="206"/>
        <v>0</v>
      </c>
      <c r="RO88" s="39">
        <f t="shared" si="206"/>
        <v>17683</v>
      </c>
      <c r="RP88" s="39">
        <f t="shared" si="206"/>
        <v>38508</v>
      </c>
      <c r="RQ88" s="39">
        <f t="shared" si="206"/>
        <v>0</v>
      </c>
      <c r="RR88" s="39">
        <f t="shared" si="206"/>
        <v>56277</v>
      </c>
      <c r="RS88" s="39"/>
      <c r="RT88" s="182"/>
      <c r="RU88" s="39"/>
      <c r="RV88" s="39">
        <f t="shared" si="182"/>
        <v>232336</v>
      </c>
      <c r="RW88" s="39">
        <f t="shared" si="182"/>
        <v>1917769</v>
      </c>
      <c r="RX88" s="39">
        <f t="shared" si="182"/>
        <v>313440</v>
      </c>
      <c r="RY88" s="39">
        <f t="shared" si="182"/>
        <v>221357</v>
      </c>
      <c r="RZ88" s="39"/>
      <c r="SA88" s="182"/>
      <c r="SB88" s="39"/>
      <c r="SC88" s="25">
        <f t="shared" si="183"/>
        <v>1457.8604651162791</v>
      </c>
      <c r="SD88" s="39">
        <f>IFERROR(VLOOKUP(A88, 'Levy Data 15-16'!$B:$O, 3, FALSE), 0)</f>
        <v>45475608</v>
      </c>
      <c r="SE88" s="39">
        <f t="shared" si="144"/>
        <v>211514.45581395348</v>
      </c>
      <c r="SF88" s="631">
        <f>IFERROR(VLOOKUP(A88, 'Levy Data 15-16'!$B:$O, 14, FALSE), 0)*1000</f>
        <v>1.94557</v>
      </c>
      <c r="SG88" s="39">
        <f t="shared" si="145"/>
        <v>0</v>
      </c>
      <c r="SH88" s="39">
        <f t="shared" si="146"/>
        <v>0</v>
      </c>
      <c r="SI88" s="39">
        <f t="shared" si="147"/>
        <v>313440</v>
      </c>
      <c r="SM88" s="39">
        <f t="shared" si="148"/>
        <v>1917769</v>
      </c>
      <c r="SN88" s="39">
        <f t="shared" si="149"/>
        <v>0</v>
      </c>
      <c r="SO88" s="39">
        <f t="shared" si="184"/>
        <v>1917769</v>
      </c>
      <c r="SP88" s="50">
        <f t="shared" si="130"/>
        <v>1</v>
      </c>
      <c r="ST88" s="124">
        <f>IFERROR(VLOOKUP(A88,'Grade Enroll 15-16'!B:AC,27,FALSE),"")</f>
        <v>215</v>
      </c>
      <c r="SU88" s="124">
        <f t="shared" si="185"/>
        <v>152.52136752136752</v>
      </c>
      <c r="SV88" s="131">
        <f>IFERROR(VLOOKUP($A88, 'Title I Enroll 16-17'!S:V, 4, FALSE), 0)</f>
        <v>0.70940170940170943</v>
      </c>
      <c r="SW88" s="729">
        <f>IFERROR(VLOOKUP(A88, 'ELL Enroll 15-16'!$N:$S, 6, FALSE), 0)</f>
        <v>31</v>
      </c>
      <c r="SX88" s="131">
        <f t="shared" si="131"/>
        <v>0.14418604651162792</v>
      </c>
      <c r="SY88" s="124">
        <f>IFERROR(VLOOKUP(A88, 'SPED enroll 2015-16'!$M:$O, 3, FALSE), 0)</f>
        <v>22</v>
      </c>
      <c r="SZ88" s="131">
        <f t="shared" si="132"/>
        <v>0.10232558139534884</v>
      </c>
      <c r="TA88" s="142">
        <f t="shared" si="133"/>
        <v>15.399999999999999</v>
      </c>
      <c r="TB88" s="142">
        <f t="shared" si="133"/>
        <v>4.4000000000000004</v>
      </c>
      <c r="TC88" s="142">
        <f t="shared" si="133"/>
        <v>1.54</v>
      </c>
      <c r="TD88" s="142">
        <f t="shared" si="133"/>
        <v>0.65999999999999992</v>
      </c>
      <c r="TE88" s="124">
        <f>VLOOKUP($A88, 'Grade Enroll 15-16'!$B:$AB, 20, FALSE)</f>
        <v>2</v>
      </c>
      <c r="TF88" s="124">
        <f>VLOOKUP($A88, 'Grade Enroll 15-16'!$B:$AB, 21, FALSE)</f>
        <v>15</v>
      </c>
      <c r="TG88" s="124">
        <f>VLOOKUP($A88, 'Grade Enroll 15-16'!$B:$AB, 22, FALSE)</f>
        <v>56</v>
      </c>
      <c r="TH88" s="124">
        <f>VLOOKUP($A88, 'Grade Enroll 15-16'!$B:$AB, 23, FALSE)</f>
        <v>59</v>
      </c>
      <c r="TI88" s="124">
        <f>VLOOKUP($A88, 'Grade Enroll 15-16'!$B:$AB, 24, FALSE)</f>
        <v>41</v>
      </c>
      <c r="TJ88" s="124">
        <f>VLOOKUP($A88, 'Grade Enroll 15-16'!$B:$AB, 25, FALSE)</f>
        <v>59</v>
      </c>
      <c r="TK88" s="124">
        <f>VLOOKUP($A88, 'Grade Enroll 15-16'!$B:$AB, 26, FALSE)</f>
        <v>159</v>
      </c>
      <c r="TL88" s="131">
        <f>SUMIFS('Student Achievement 15-16'!N:N, 'Student Achievement 15-16'!B:B, 'Idaho Data'!A88, 'Student Achievement 15-16'!D:D, "math")/100</f>
        <v>0.128</v>
      </c>
      <c r="TM88" s="134">
        <f t="shared" si="186"/>
        <v>27.52</v>
      </c>
      <c r="TN88" s="131">
        <f>SUMIFS('Student Achievement 15-16'!N:N, 'Student Achievement 15-16'!B:B, 'Idaho Data'!A88, 'Student Achievement 15-16'!D:D, "ela")/100</f>
        <v>0.14199999999999999</v>
      </c>
      <c r="TO88" s="134">
        <f t="shared" si="134"/>
        <v>30.529999999999998</v>
      </c>
      <c r="TP88" s="688">
        <f>IFERROR(VLOOKUP(A88, 'G&amp;T 15-16'!B:G, 6, FALSE), 0)*1</f>
        <v>0</v>
      </c>
      <c r="TQ88" s="168">
        <f t="shared" si="135"/>
        <v>12.9</v>
      </c>
      <c r="TU88" s="168">
        <f t="shared" si="136"/>
        <v>27.52</v>
      </c>
      <c r="TV88" s="168">
        <f t="shared" si="137"/>
        <v>30.529999999999998</v>
      </c>
      <c r="TW88" s="205">
        <f t="shared" si="138"/>
        <v>30.529999999999998</v>
      </c>
      <c r="TX88" s="144"/>
      <c r="TY88" s="129"/>
      <c r="TZ88" s="127">
        <f t="shared" si="139"/>
        <v>0</v>
      </c>
      <c r="UA88" s="127">
        <f t="shared" si="140"/>
        <v>12.9</v>
      </c>
      <c r="UB88" s="205">
        <f t="shared" si="141"/>
        <v>12.9</v>
      </c>
      <c r="UE88" s="853" t="str">
        <f>IF(ST88&lt;='1. Simulator Input'!$E$104, "yes", "")</f>
        <v>yes</v>
      </c>
      <c r="UI88" s="199">
        <f t="shared" si="187"/>
        <v>0</v>
      </c>
      <c r="UJ88" s="200">
        <f>IF('Idaho Data'!SI88&gt;=0, ((1-'1. Simulator Input'!$E$39)*'Idaho Data'!SI88), 0)</f>
        <v>0</v>
      </c>
      <c r="UK88" s="200">
        <f t="shared" si="142"/>
        <v>1917769</v>
      </c>
      <c r="UL88" s="39"/>
      <c r="UM88" s="182"/>
      <c r="UN88" s="39"/>
      <c r="UO88" s="39">
        <f>IF(AND('1. Simulator Input'!$E$96="yes", '1. Simulator Input'!$E$98="yes", '1. Simulator Input'!$E$100="hold harmless"), 'Idaho Data'!WN88, IF(AND('1. Simulator Input'!$E$96="yes", '1. Simulator Input'!$E$98="no", '1. Simulator Input'!$E$100="hold harmless"), 'Idaho Data'!WM88, IF(AND('1. Simulator Input'!$E$96="yes", '1. Simulator Input'!$E$98="yes", '1. Simulator Input'!$E$100="small district grant"), WL88,IF(AND('1. Simulator Input'!$E$96="yes", '1. Simulator Input'!$E$98="no", '1. Simulator Input'!$E$100="small district grant"), WK88, ""))))</f>
        <v>0</v>
      </c>
      <c r="UP88" s="200">
        <f>'1. Simulator Input'!$D$56*('Idaho Data'!ST88)</f>
        <v>1188090</v>
      </c>
      <c r="UQ88" s="204">
        <f>'1. Simulator Input'!$D$65*'1. Simulator Input'!$D$56*'Idaho Data'!SU88</f>
        <v>0</v>
      </c>
      <c r="UR88" s="204">
        <f>'1. Simulator Input'!$D$66*'1. Simulator Input'!$D$56*'Idaho Data'!SW88</f>
        <v>0</v>
      </c>
      <c r="US88" s="200">
        <f>'1. Simulator Input'!$D$67*'1. Simulator Input'!$D$56*'Idaho Data'!TA88</f>
        <v>0</v>
      </c>
      <c r="UT88" s="200">
        <f>'1. Simulator Input'!$D$68*'1. Simulator Input'!$D$56*'Idaho Data'!TB88</f>
        <v>0</v>
      </c>
      <c r="UU88" s="200">
        <f>'1. Simulator Input'!$D$69*'1. Simulator Input'!$D$56*'Idaho Data'!TC88</f>
        <v>0</v>
      </c>
      <c r="UV88" s="200">
        <f>'1. Simulator Input'!$D$70*'1. Simulator Input'!$D$56*TD88</f>
        <v>0</v>
      </c>
      <c r="UW88" s="200">
        <f>'1. Simulator Input'!$D$80*'1. Simulator Input'!$D$56*TW88</f>
        <v>0</v>
      </c>
      <c r="UX88" s="200">
        <f>'1. Simulator Input'!$D$79*'1. Simulator Input'!$D$56*UB88</f>
        <v>0</v>
      </c>
      <c r="UY88" s="200">
        <f>'1. Simulator Input'!$D$87*'1. Simulator Input'!$D$56*TF88</f>
        <v>41445</v>
      </c>
      <c r="UZ88" s="200">
        <f>'1. Simulator Input'!$D$73*'1. Simulator Input'!$D$56*'Idaho Data'!TG88</f>
        <v>0</v>
      </c>
      <c r="VA88" s="200">
        <f>'1. Simulator Input'!$D$56*'1. Simulator Input'!$D$74*'Idaho Data'!TH88</f>
        <v>0</v>
      </c>
      <c r="VB88" s="200">
        <f>'1. Simulator Input'!$D$56*'1. Simulator Input'!$D$75*'Idaho Data'!TI83</f>
        <v>0</v>
      </c>
      <c r="VC88" s="200">
        <f>'1. Simulator Input'!$D$76*'1. Simulator Input'!$D$56*'Idaho Data'!TJ88</f>
        <v>0</v>
      </c>
      <c r="VD88" s="200">
        <f t="shared" si="188"/>
        <v>1229535</v>
      </c>
      <c r="VE88" s="200"/>
      <c r="VF88" s="182"/>
      <c r="VG88" s="200"/>
      <c r="VH88" s="200">
        <f t="shared" si="189"/>
        <v>0</v>
      </c>
      <c r="VI88" s="200">
        <f t="shared" si="190"/>
        <v>0</v>
      </c>
      <c r="VJ88" s="200">
        <f t="shared" si="150"/>
        <v>1229535</v>
      </c>
      <c r="VK88" s="200">
        <f t="shared" si="151"/>
        <v>1229535</v>
      </c>
      <c r="VL88" s="200"/>
      <c r="VM88" s="182"/>
      <c r="VN88" s="200"/>
      <c r="VO88" s="200">
        <f t="shared" si="191"/>
        <v>232336</v>
      </c>
      <c r="VP88" s="200">
        <f t="shared" si="192"/>
        <v>1917769</v>
      </c>
      <c r="VQ88" s="200">
        <f t="shared" si="193"/>
        <v>313440</v>
      </c>
      <c r="VR88" s="200">
        <f t="shared" si="194"/>
        <v>232336</v>
      </c>
      <c r="VS88" s="200">
        <f t="shared" si="152"/>
        <v>1229535</v>
      </c>
      <c r="VT88" s="200">
        <f t="shared" si="153"/>
        <v>313440</v>
      </c>
      <c r="VU88" s="200">
        <f t="shared" si="154"/>
        <v>0</v>
      </c>
      <c r="VV88" s="200"/>
      <c r="VW88" s="182"/>
      <c r="VX88" s="200"/>
      <c r="VZ88" s="199">
        <f t="shared" si="195"/>
        <v>-688234</v>
      </c>
      <c r="WA88" s="199">
        <f t="shared" si="196"/>
        <v>-3201.0883720930233</v>
      </c>
      <c r="WB88" s="131">
        <f t="shared" si="197"/>
        <v>-0.35887221036527339</v>
      </c>
      <c r="WC88" s="131"/>
      <c r="WD88" s="461"/>
      <c r="WE88" s="893"/>
      <c r="WF88" s="893">
        <f t="shared" si="198"/>
        <v>11458.348837209302</v>
      </c>
      <c r="WG88" s="893">
        <f t="shared" si="199"/>
        <v>8257.2604651162783</v>
      </c>
      <c r="WH88" s="893"/>
      <c r="WI88" s="893">
        <f t="shared" si="200"/>
        <v>1917769</v>
      </c>
      <c r="WJ88" s="893">
        <f t="shared" si="155"/>
        <v>1229535</v>
      </c>
      <c r="WK88" s="39">
        <f t="shared" si="156"/>
        <v>0</v>
      </c>
      <c r="WL88" s="39">
        <f t="shared" si="157"/>
        <v>0</v>
      </c>
      <c r="WM88" s="200">
        <f t="shared" si="158"/>
        <v>688234</v>
      </c>
      <c r="WN88" s="39">
        <f t="shared" si="159"/>
        <v>688234</v>
      </c>
      <c r="WO88" s="39"/>
      <c r="WP88" s="182"/>
      <c r="WQ88" s="39"/>
      <c r="WR88" s="305">
        <f t="shared" si="160"/>
        <v>4.2999999999999997E-2</v>
      </c>
      <c r="WT88" s="200">
        <f t="shared" si="161"/>
        <v>8919.8558139534889</v>
      </c>
      <c r="WU88" s="131">
        <f t="shared" si="201"/>
        <v>0.81</v>
      </c>
      <c r="WW88" s="199">
        <f t="shared" si="162"/>
        <v>232336</v>
      </c>
      <c r="WX88" s="199">
        <f t="shared" si="163"/>
        <v>1229535</v>
      </c>
      <c r="WY88" s="199">
        <f t="shared" si="164"/>
        <v>0</v>
      </c>
      <c r="WZ88" s="199">
        <f t="shared" si="202"/>
        <v>1229535</v>
      </c>
      <c r="XA88" s="199">
        <f t="shared" si="165"/>
        <v>0</v>
      </c>
      <c r="XB88" s="199">
        <f t="shared" si="166"/>
        <v>313440</v>
      </c>
      <c r="XC88" s="199">
        <f t="shared" si="167"/>
        <v>313440</v>
      </c>
      <c r="XD88" s="199" t="str">
        <f t="shared" si="168"/>
        <v/>
      </c>
      <c r="XE88" s="199"/>
      <c r="XF88" s="199"/>
      <c r="XG88" s="199"/>
      <c r="XH88" s="199"/>
      <c r="XI88" s="199"/>
      <c r="XJ88" s="199">
        <f t="shared" si="203"/>
        <v>1229535</v>
      </c>
      <c r="XP88" s="199">
        <f t="shared" si="169"/>
        <v>1229535</v>
      </c>
      <c r="XQ88" s="199">
        <f t="shared" si="170"/>
        <v>5718.7674418604647</v>
      </c>
      <c r="XR88" s="199">
        <f t="shared" si="171"/>
        <v>1229535</v>
      </c>
      <c r="XS88" s="199">
        <f t="shared" si="172"/>
        <v>1229535</v>
      </c>
      <c r="XT88" s="199">
        <f t="shared" si="173"/>
        <v>5718.7674418604647</v>
      </c>
      <c r="XU88" s="199">
        <f t="shared" si="174"/>
        <v>1917769</v>
      </c>
      <c r="XV88" s="199">
        <f t="shared" si="175"/>
        <v>8919.8558139534889</v>
      </c>
      <c r="XW88" s="199">
        <f t="shared" si="176"/>
        <v>1917769</v>
      </c>
      <c r="XX88" s="199">
        <f t="shared" si="177"/>
        <v>8919.8558139534889</v>
      </c>
      <c r="XY88" s="199">
        <f t="shared" si="204"/>
        <v>-688234</v>
      </c>
      <c r="XZ88" s="199">
        <f t="shared" si="205"/>
        <v>-3201.0883720930242</v>
      </c>
      <c r="YA88" s="131">
        <f t="shared" si="143"/>
        <v>-0.3588722103652735</v>
      </c>
      <c r="YB88" s="199"/>
      <c r="YC88" s="221"/>
      <c r="YD88" s="199"/>
      <c r="YE88" s="199">
        <f t="shared" si="178"/>
        <v>232336</v>
      </c>
      <c r="YF88" s="200">
        <f t="shared" si="179"/>
        <v>0</v>
      </c>
      <c r="YG88" s="199">
        <f t="shared" si="180"/>
        <v>313440</v>
      </c>
      <c r="YH88" s="199">
        <f t="shared" si="181"/>
        <v>221357</v>
      </c>
    </row>
    <row r="89" spans="1:658">
      <c r="A89" s="3">
        <v>316</v>
      </c>
      <c r="B89" s="2" t="s">
        <v>185</v>
      </c>
      <c r="C89" s="24">
        <v>0</v>
      </c>
      <c r="D89" s="24">
        <v>0</v>
      </c>
      <c r="E89" s="24">
        <v>0</v>
      </c>
      <c r="F89" s="24">
        <v>0</v>
      </c>
      <c r="G89" s="24">
        <v>227682</v>
      </c>
      <c r="H89" s="24">
        <v>0</v>
      </c>
      <c r="I89" s="24">
        <v>0</v>
      </c>
      <c r="J89" s="24">
        <v>11837</v>
      </c>
      <c r="K89" s="24">
        <v>0</v>
      </c>
      <c r="L89" s="24">
        <v>0</v>
      </c>
      <c r="M89" s="24">
        <v>0</v>
      </c>
      <c r="N89" s="24">
        <v>0</v>
      </c>
      <c r="O89" s="24">
        <v>0</v>
      </c>
      <c r="P89" s="24">
        <v>0</v>
      </c>
      <c r="Q89" s="24">
        <v>0</v>
      </c>
      <c r="R89" s="24">
        <v>0</v>
      </c>
      <c r="S89" s="24">
        <v>0</v>
      </c>
      <c r="T89" s="24">
        <v>139144</v>
      </c>
      <c r="U89" s="24">
        <v>0</v>
      </c>
      <c r="V89" s="24">
        <v>0</v>
      </c>
      <c r="W89" s="24">
        <v>0</v>
      </c>
      <c r="X89" s="24">
        <v>220</v>
      </c>
      <c r="Y89" s="24">
        <v>1413</v>
      </c>
      <c r="Z89" s="24">
        <v>0</v>
      </c>
      <c r="AA89" s="24">
        <v>85</v>
      </c>
      <c r="AB89" s="24">
        <v>713</v>
      </c>
      <c r="AC89" s="24">
        <v>0</v>
      </c>
      <c r="AD89" s="24">
        <v>0</v>
      </c>
      <c r="AE89" s="24">
        <v>0</v>
      </c>
      <c r="AF89" s="24">
        <v>0</v>
      </c>
      <c r="AG89" s="24">
        <v>0</v>
      </c>
      <c r="AH89" s="24">
        <v>0</v>
      </c>
      <c r="AI89" s="24">
        <v>0</v>
      </c>
      <c r="AJ89" s="24">
        <v>0</v>
      </c>
      <c r="AK89" s="24">
        <v>0</v>
      </c>
      <c r="AL89" s="24">
        <v>3746</v>
      </c>
      <c r="AM89" s="24">
        <v>0</v>
      </c>
      <c r="AN89" s="24">
        <v>0</v>
      </c>
      <c r="AO89" s="24">
        <v>0</v>
      </c>
      <c r="AP89" s="24">
        <v>0</v>
      </c>
      <c r="AQ89" s="24">
        <v>0</v>
      </c>
      <c r="AR89" s="24">
        <v>0</v>
      </c>
      <c r="AS89" s="24">
        <v>0</v>
      </c>
      <c r="AT89" s="24">
        <v>0</v>
      </c>
      <c r="AU89" s="24">
        <v>0</v>
      </c>
      <c r="AV89" s="24">
        <v>0</v>
      </c>
      <c r="AW89" s="24">
        <v>0</v>
      </c>
      <c r="AX89" s="24">
        <v>0</v>
      </c>
      <c r="AY89" s="24">
        <v>0</v>
      </c>
      <c r="AZ89" s="24">
        <v>0</v>
      </c>
      <c r="BA89" s="24">
        <v>0</v>
      </c>
      <c r="BB89" s="24">
        <v>0</v>
      </c>
      <c r="BC89" s="24">
        <v>0</v>
      </c>
      <c r="BD89" s="24">
        <v>0</v>
      </c>
      <c r="BE89" s="24">
        <v>0</v>
      </c>
      <c r="BF89" s="24">
        <v>0</v>
      </c>
      <c r="BG89" s="24">
        <v>0</v>
      </c>
      <c r="BH89" s="24">
        <v>0</v>
      </c>
      <c r="BI89" s="24">
        <v>0</v>
      </c>
      <c r="BJ89" s="24">
        <v>0</v>
      </c>
      <c r="BK89" s="24">
        <v>0</v>
      </c>
      <c r="BL89" s="24">
        <v>0</v>
      </c>
      <c r="BM89" s="24">
        <v>0</v>
      </c>
      <c r="BN89" s="24">
        <v>0</v>
      </c>
      <c r="BO89" s="24">
        <v>0</v>
      </c>
      <c r="BP89" s="24">
        <v>0</v>
      </c>
      <c r="BQ89" s="24">
        <v>0</v>
      </c>
      <c r="BR89" s="24">
        <v>0</v>
      </c>
      <c r="BS89" s="24">
        <v>0</v>
      </c>
      <c r="BT89" s="24">
        <v>0</v>
      </c>
      <c r="BU89" s="24">
        <v>0</v>
      </c>
      <c r="BV89" s="24">
        <v>0</v>
      </c>
      <c r="BW89" s="24">
        <v>0</v>
      </c>
      <c r="BX89" s="24">
        <v>0</v>
      </c>
      <c r="BY89" s="24">
        <v>0</v>
      </c>
      <c r="BZ89" s="24">
        <v>0</v>
      </c>
      <c r="CA89" s="24">
        <v>0</v>
      </c>
      <c r="CB89" s="24">
        <v>0</v>
      </c>
      <c r="CC89" s="24">
        <v>0</v>
      </c>
      <c r="CD89" s="24">
        <v>10210</v>
      </c>
      <c r="CE89" s="24">
        <v>4225</v>
      </c>
      <c r="CF89" s="24">
        <v>0</v>
      </c>
      <c r="CG89" s="24">
        <v>0</v>
      </c>
      <c r="CH89" s="24">
        <v>0</v>
      </c>
      <c r="CI89" s="24">
        <v>0</v>
      </c>
      <c r="CJ89" s="24">
        <v>0</v>
      </c>
      <c r="CK89" s="24">
        <v>0</v>
      </c>
      <c r="CL89" s="24">
        <v>0</v>
      </c>
      <c r="CM89" s="24">
        <v>0</v>
      </c>
      <c r="CN89" s="24">
        <v>0</v>
      </c>
      <c r="CO89" s="24">
        <v>0</v>
      </c>
      <c r="CP89" s="24">
        <v>0</v>
      </c>
      <c r="CQ89" s="24">
        <v>0</v>
      </c>
      <c r="CR89" s="24">
        <v>0</v>
      </c>
      <c r="CS89" s="24">
        <v>0</v>
      </c>
      <c r="CT89" s="24">
        <v>0</v>
      </c>
      <c r="CU89" s="24">
        <v>0</v>
      </c>
      <c r="CV89" s="24">
        <v>0</v>
      </c>
      <c r="CW89" s="24">
        <v>0</v>
      </c>
      <c r="CX89" s="24">
        <v>0</v>
      </c>
      <c r="CY89" s="24">
        <v>0</v>
      </c>
      <c r="CZ89" s="24">
        <v>0</v>
      </c>
      <c r="DA89" s="24">
        <v>0</v>
      </c>
      <c r="DB89" s="24">
        <v>0</v>
      </c>
      <c r="DC89" s="24">
        <v>0</v>
      </c>
      <c r="DD89" s="24">
        <v>0</v>
      </c>
      <c r="DE89" s="24">
        <v>0</v>
      </c>
      <c r="DF89" s="24">
        <v>0</v>
      </c>
      <c r="DG89" s="24">
        <v>0</v>
      </c>
      <c r="DH89" s="24">
        <v>0</v>
      </c>
      <c r="DI89" s="24">
        <v>0</v>
      </c>
      <c r="DJ89" s="24">
        <v>0</v>
      </c>
      <c r="DK89" s="24">
        <v>0</v>
      </c>
      <c r="DL89" s="24">
        <v>0</v>
      </c>
      <c r="DM89" s="24">
        <v>0</v>
      </c>
      <c r="DN89" s="24">
        <v>0</v>
      </c>
      <c r="DO89" s="24">
        <v>0</v>
      </c>
      <c r="DP89" s="24">
        <v>0</v>
      </c>
      <c r="DQ89" s="24">
        <v>0</v>
      </c>
      <c r="DR89" s="24">
        <v>0</v>
      </c>
      <c r="DS89" s="24">
        <v>0</v>
      </c>
      <c r="DT89" s="24">
        <v>0</v>
      </c>
      <c r="DU89" s="24">
        <v>0</v>
      </c>
      <c r="DV89" s="24">
        <v>0</v>
      </c>
      <c r="DW89" s="24">
        <v>0</v>
      </c>
      <c r="DX89" s="24">
        <v>0</v>
      </c>
      <c r="DY89" s="24">
        <v>0</v>
      </c>
      <c r="DZ89" s="24">
        <v>0</v>
      </c>
      <c r="EA89" s="24">
        <v>0</v>
      </c>
      <c r="EB89" s="24">
        <v>0</v>
      </c>
      <c r="EC89" s="24">
        <v>0</v>
      </c>
      <c r="ED89" s="24">
        <v>0</v>
      </c>
      <c r="EE89" s="24">
        <v>0</v>
      </c>
      <c r="EF89" s="24">
        <v>0</v>
      </c>
      <c r="EG89" s="24">
        <v>0</v>
      </c>
      <c r="EH89" s="24">
        <v>0</v>
      </c>
      <c r="EI89" s="24">
        <v>0</v>
      </c>
      <c r="EJ89" s="24">
        <v>0</v>
      </c>
      <c r="EK89" s="24">
        <v>0</v>
      </c>
      <c r="EL89" s="24">
        <v>0</v>
      </c>
      <c r="EM89" s="24">
        <v>0</v>
      </c>
      <c r="EN89" s="24">
        <v>0</v>
      </c>
      <c r="EO89" s="24">
        <v>0</v>
      </c>
      <c r="EP89" s="24">
        <v>0</v>
      </c>
      <c r="EQ89" s="24">
        <v>0</v>
      </c>
      <c r="ER89" s="24">
        <v>0</v>
      </c>
      <c r="ES89" s="24">
        <v>0</v>
      </c>
      <c r="ET89" s="24">
        <v>0</v>
      </c>
      <c r="EU89" s="24">
        <v>0</v>
      </c>
      <c r="EV89" s="24">
        <v>0</v>
      </c>
      <c r="EW89" s="24">
        <v>0</v>
      </c>
      <c r="EX89" s="24">
        <v>0</v>
      </c>
      <c r="EY89" s="24">
        <v>0</v>
      </c>
      <c r="EZ89" s="24">
        <v>0</v>
      </c>
      <c r="FA89" s="24">
        <v>0</v>
      </c>
      <c r="FB89" s="24">
        <v>0</v>
      </c>
      <c r="FC89" s="24">
        <v>0</v>
      </c>
      <c r="FD89" s="24">
        <v>0</v>
      </c>
      <c r="FE89" s="24">
        <v>0</v>
      </c>
      <c r="FF89" s="24">
        <v>0</v>
      </c>
      <c r="FG89" s="24">
        <v>0</v>
      </c>
      <c r="FH89" s="24">
        <v>0</v>
      </c>
      <c r="FI89" s="24">
        <v>0</v>
      </c>
      <c r="FJ89" s="24">
        <v>0</v>
      </c>
      <c r="FK89" s="24">
        <v>0</v>
      </c>
      <c r="FL89" s="24">
        <v>0</v>
      </c>
      <c r="FM89" s="24">
        <v>0</v>
      </c>
      <c r="FN89" s="24">
        <v>0</v>
      </c>
      <c r="FO89" s="24">
        <v>0</v>
      </c>
      <c r="FP89" s="24">
        <v>0</v>
      </c>
      <c r="FQ89" s="24">
        <v>0</v>
      </c>
      <c r="FR89" s="24">
        <v>0</v>
      </c>
      <c r="FS89" s="24">
        <v>14921</v>
      </c>
      <c r="FT89" s="24">
        <v>0</v>
      </c>
      <c r="FU89" s="24">
        <v>0</v>
      </c>
      <c r="FV89" s="24">
        <v>0</v>
      </c>
      <c r="FW89" s="24">
        <v>0</v>
      </c>
      <c r="FX89" s="24">
        <v>0</v>
      </c>
      <c r="FY89" s="24">
        <v>0</v>
      </c>
      <c r="FZ89" s="24">
        <v>0</v>
      </c>
      <c r="GA89" s="24">
        <v>0</v>
      </c>
      <c r="GB89" s="24">
        <v>0</v>
      </c>
      <c r="GC89" s="24">
        <v>0</v>
      </c>
      <c r="GD89" s="24">
        <v>0</v>
      </c>
      <c r="GE89" s="24">
        <v>0</v>
      </c>
      <c r="GF89" s="24">
        <v>0</v>
      </c>
      <c r="GG89" s="24">
        <v>0</v>
      </c>
      <c r="GH89" s="24">
        <v>0</v>
      </c>
      <c r="GI89" s="24">
        <v>0</v>
      </c>
      <c r="GJ89" s="24">
        <v>0</v>
      </c>
      <c r="GK89" s="24">
        <v>0</v>
      </c>
      <c r="GL89" s="24">
        <v>0</v>
      </c>
      <c r="GM89" s="24">
        <v>0</v>
      </c>
      <c r="GN89" s="24">
        <v>0</v>
      </c>
      <c r="GO89" s="24">
        <v>0</v>
      </c>
      <c r="GP89" s="24">
        <v>0</v>
      </c>
      <c r="GQ89" s="24">
        <v>0</v>
      </c>
      <c r="GR89" s="24">
        <v>0</v>
      </c>
      <c r="GS89" s="24">
        <v>0</v>
      </c>
      <c r="GT89" s="24">
        <v>0</v>
      </c>
      <c r="GU89" s="24">
        <v>0</v>
      </c>
      <c r="GV89" s="24">
        <v>0</v>
      </c>
      <c r="GW89" s="24">
        <v>0</v>
      </c>
      <c r="GX89" s="24">
        <v>0</v>
      </c>
      <c r="GY89" s="24">
        <v>0</v>
      </c>
      <c r="GZ89" s="24">
        <v>0</v>
      </c>
      <c r="HA89" s="24">
        <v>0</v>
      </c>
      <c r="HB89" s="24">
        <v>0</v>
      </c>
      <c r="HC89" s="24">
        <v>0</v>
      </c>
      <c r="HD89" s="24">
        <v>1168915</v>
      </c>
      <c r="HE89" s="24">
        <v>0</v>
      </c>
      <c r="HF89" s="24">
        <v>0</v>
      </c>
      <c r="HG89" s="24">
        <v>0</v>
      </c>
      <c r="HH89" s="24">
        <v>0</v>
      </c>
      <c r="HI89" s="24">
        <v>49695</v>
      </c>
      <c r="HJ89" s="24">
        <v>0</v>
      </c>
      <c r="HK89" s="24">
        <v>0</v>
      </c>
      <c r="HL89" s="24">
        <v>467</v>
      </c>
      <c r="HM89" s="24">
        <v>0</v>
      </c>
      <c r="HN89" s="24">
        <v>0</v>
      </c>
      <c r="HO89" s="24">
        <v>155230</v>
      </c>
      <c r="HP89" s="24">
        <v>107540</v>
      </c>
      <c r="HQ89" s="24">
        <v>0</v>
      </c>
      <c r="HR89" s="24">
        <v>0</v>
      </c>
      <c r="HS89" s="24">
        <v>0</v>
      </c>
      <c r="HT89" s="24">
        <v>0</v>
      </c>
      <c r="HU89" s="24">
        <v>0</v>
      </c>
      <c r="HV89" s="24">
        <v>0</v>
      </c>
      <c r="HW89" s="24">
        <v>0</v>
      </c>
      <c r="HX89" s="24">
        <v>0</v>
      </c>
      <c r="HY89" s="24">
        <v>0</v>
      </c>
      <c r="HZ89" s="24">
        <v>0</v>
      </c>
      <c r="IA89" s="24">
        <v>0</v>
      </c>
      <c r="IB89" s="24">
        <v>4577</v>
      </c>
      <c r="IC89" s="24">
        <v>0</v>
      </c>
      <c r="ID89" s="24">
        <v>0</v>
      </c>
      <c r="IE89" s="24">
        <v>0</v>
      </c>
      <c r="IF89" s="24">
        <v>0</v>
      </c>
      <c r="IG89" s="24">
        <v>0</v>
      </c>
      <c r="IH89" s="24">
        <v>0</v>
      </c>
      <c r="II89" s="24">
        <v>0</v>
      </c>
      <c r="IJ89" s="24">
        <v>0</v>
      </c>
      <c r="IK89" s="24">
        <v>0</v>
      </c>
      <c r="IL89" s="24">
        <v>0</v>
      </c>
      <c r="IM89" s="24">
        <v>0</v>
      </c>
      <c r="IN89" s="24">
        <v>0</v>
      </c>
      <c r="IO89" s="24">
        <v>2615</v>
      </c>
      <c r="IP89" s="24">
        <v>0</v>
      </c>
      <c r="IQ89" s="24">
        <v>0</v>
      </c>
      <c r="IR89" s="24">
        <v>17413</v>
      </c>
      <c r="IS89" s="24">
        <v>0</v>
      </c>
      <c r="IT89" s="24">
        <v>0</v>
      </c>
      <c r="IU89" s="24">
        <v>0</v>
      </c>
      <c r="IV89" s="24">
        <v>0</v>
      </c>
      <c r="IW89" s="24">
        <v>0</v>
      </c>
      <c r="IX89" s="24">
        <v>0</v>
      </c>
      <c r="IY89" s="24">
        <v>12255</v>
      </c>
      <c r="IZ89" s="24">
        <v>0</v>
      </c>
      <c r="JA89" s="24">
        <v>0</v>
      </c>
      <c r="JB89" s="24">
        <v>601</v>
      </c>
      <c r="JC89" s="24">
        <v>0</v>
      </c>
      <c r="JD89" s="24">
        <v>0</v>
      </c>
      <c r="JE89" s="24">
        <v>80396</v>
      </c>
      <c r="JF89" s="24">
        <v>0</v>
      </c>
      <c r="JG89" s="24">
        <v>0</v>
      </c>
      <c r="JH89" s="24">
        <v>0</v>
      </c>
      <c r="JI89" s="24">
        <v>0</v>
      </c>
      <c r="JJ89" s="24">
        <v>0</v>
      </c>
      <c r="JK89" s="24">
        <v>0</v>
      </c>
      <c r="JL89" s="24">
        <v>0</v>
      </c>
      <c r="JM89" s="24">
        <v>0</v>
      </c>
      <c r="JN89" s="24">
        <v>0</v>
      </c>
      <c r="JO89" s="24">
        <v>0</v>
      </c>
      <c r="JP89" s="24">
        <v>0</v>
      </c>
      <c r="JQ89" s="24">
        <v>0</v>
      </c>
      <c r="JR89" s="24">
        <v>0</v>
      </c>
      <c r="JS89" s="24">
        <v>0</v>
      </c>
      <c r="JT89" s="24">
        <v>0</v>
      </c>
      <c r="JU89" s="24">
        <v>0</v>
      </c>
      <c r="JV89" s="24">
        <v>0</v>
      </c>
      <c r="JW89" s="24">
        <v>0</v>
      </c>
      <c r="JX89" s="24">
        <v>0</v>
      </c>
      <c r="JY89" s="24">
        <v>0</v>
      </c>
      <c r="JZ89" s="24">
        <v>0</v>
      </c>
      <c r="KA89" s="24">
        <v>0</v>
      </c>
      <c r="KB89" s="24">
        <v>0</v>
      </c>
      <c r="KC89" s="24">
        <v>0</v>
      </c>
      <c r="KD89" s="24">
        <v>9087</v>
      </c>
      <c r="KE89" s="24">
        <v>0</v>
      </c>
      <c r="KF89" s="24">
        <v>0</v>
      </c>
      <c r="KG89" s="24">
        <v>0</v>
      </c>
      <c r="KH89" s="24">
        <v>0</v>
      </c>
      <c r="KI89" s="24">
        <v>0</v>
      </c>
      <c r="KJ89" s="24">
        <v>0</v>
      </c>
      <c r="KK89" s="24">
        <v>0</v>
      </c>
      <c r="KL89" s="24">
        <v>0</v>
      </c>
      <c r="KM89" s="24">
        <v>0</v>
      </c>
      <c r="KN89" s="24">
        <v>0</v>
      </c>
      <c r="KO89" s="24">
        <v>0</v>
      </c>
      <c r="KP89" s="24">
        <v>0</v>
      </c>
      <c r="KQ89" s="24">
        <v>0</v>
      </c>
      <c r="KR89" s="24">
        <v>0</v>
      </c>
      <c r="KS89" s="24">
        <v>0</v>
      </c>
      <c r="KT89" s="24">
        <v>0</v>
      </c>
      <c r="KU89" s="24">
        <v>0</v>
      </c>
      <c r="KV89" s="24">
        <v>0</v>
      </c>
      <c r="KW89" s="24">
        <v>0</v>
      </c>
      <c r="KX89" s="24">
        <v>0</v>
      </c>
      <c r="KY89" s="24">
        <v>0</v>
      </c>
      <c r="KZ89" s="24">
        <v>0</v>
      </c>
      <c r="LA89" s="24">
        <v>0</v>
      </c>
      <c r="LB89" s="24">
        <v>0</v>
      </c>
      <c r="LC89" s="24">
        <v>0</v>
      </c>
      <c r="LD89" s="24">
        <v>0</v>
      </c>
      <c r="LE89" s="24">
        <v>0</v>
      </c>
      <c r="LF89" s="24">
        <v>0</v>
      </c>
      <c r="LG89" s="24">
        <v>0</v>
      </c>
      <c r="LH89" s="24">
        <v>0</v>
      </c>
      <c r="LI89" s="24">
        <v>0</v>
      </c>
      <c r="LJ89" s="24">
        <v>0</v>
      </c>
      <c r="LK89" s="24">
        <v>0</v>
      </c>
      <c r="LL89" s="24">
        <v>0</v>
      </c>
      <c r="LM89" s="24">
        <v>0</v>
      </c>
      <c r="LN89" s="24">
        <v>0</v>
      </c>
      <c r="LO89" s="24">
        <v>0</v>
      </c>
      <c r="LP89" s="24">
        <v>0</v>
      </c>
      <c r="LQ89" s="24">
        <v>22844</v>
      </c>
      <c r="LR89" s="24">
        <v>0</v>
      </c>
      <c r="LS89" s="24">
        <v>0</v>
      </c>
      <c r="LT89" s="24">
        <v>0</v>
      </c>
      <c r="LU89" s="24">
        <v>0</v>
      </c>
      <c r="LV89" s="24">
        <v>0</v>
      </c>
      <c r="LW89" s="24">
        <v>0</v>
      </c>
      <c r="LX89" s="24">
        <v>0</v>
      </c>
      <c r="LY89" s="24">
        <v>0</v>
      </c>
      <c r="LZ89" s="24">
        <v>0</v>
      </c>
      <c r="MA89" s="24">
        <v>0</v>
      </c>
      <c r="MB89" s="24">
        <v>0</v>
      </c>
      <c r="MC89" s="24">
        <v>0</v>
      </c>
      <c r="MD89" s="24">
        <v>0</v>
      </c>
      <c r="ME89" s="24">
        <v>0</v>
      </c>
      <c r="MF89" s="24">
        <v>0</v>
      </c>
      <c r="MG89" s="24">
        <v>0</v>
      </c>
      <c r="MH89" s="24">
        <v>0</v>
      </c>
      <c r="MI89" s="24">
        <v>0</v>
      </c>
      <c r="MJ89" s="24">
        <v>0</v>
      </c>
      <c r="MK89" s="24">
        <v>0</v>
      </c>
      <c r="ML89" s="24">
        <v>0</v>
      </c>
      <c r="MM89" s="24">
        <v>0</v>
      </c>
      <c r="MN89" s="24">
        <v>0</v>
      </c>
      <c r="MO89" s="24">
        <v>0</v>
      </c>
      <c r="MP89" s="24">
        <v>0</v>
      </c>
      <c r="MQ89" s="24">
        <v>0</v>
      </c>
      <c r="MR89" s="24">
        <v>91675</v>
      </c>
      <c r="MS89" s="24">
        <v>0</v>
      </c>
      <c r="MT89" s="24">
        <v>0</v>
      </c>
      <c r="MU89" s="24">
        <v>0</v>
      </c>
      <c r="MV89" s="24">
        <v>0</v>
      </c>
      <c r="MW89" s="24">
        <v>40944</v>
      </c>
      <c r="MX89" s="24">
        <v>4477</v>
      </c>
      <c r="MY89" s="24">
        <v>0</v>
      </c>
      <c r="MZ89" s="24">
        <v>0</v>
      </c>
      <c r="NA89" s="24">
        <v>0</v>
      </c>
      <c r="NB89" s="24">
        <v>0</v>
      </c>
      <c r="NC89" s="24">
        <v>0</v>
      </c>
      <c r="ND89" s="24">
        <v>0</v>
      </c>
      <c r="NE89" s="24">
        <v>0</v>
      </c>
      <c r="NF89" s="24">
        <v>0</v>
      </c>
      <c r="NG89" s="24">
        <v>0</v>
      </c>
      <c r="NH89" s="24">
        <v>0</v>
      </c>
      <c r="NI89" s="24">
        <v>0</v>
      </c>
      <c r="NJ89" s="24">
        <v>0</v>
      </c>
      <c r="NK89" s="24">
        <v>0</v>
      </c>
      <c r="NL89" s="24">
        <v>0</v>
      </c>
      <c r="NM89" s="24">
        <v>0</v>
      </c>
      <c r="NN89" s="24">
        <v>0</v>
      </c>
      <c r="NO89" s="24">
        <v>0</v>
      </c>
      <c r="NP89" s="24">
        <v>0</v>
      </c>
      <c r="NQ89" s="24">
        <v>0</v>
      </c>
      <c r="NR89" s="24">
        <v>0</v>
      </c>
      <c r="NS89" s="24">
        <v>0</v>
      </c>
      <c r="NT89" s="24">
        <v>0</v>
      </c>
      <c r="NU89" s="24">
        <v>0</v>
      </c>
      <c r="NV89" s="24">
        <v>12834</v>
      </c>
      <c r="NW89" s="24">
        <v>0</v>
      </c>
      <c r="NX89" s="24">
        <v>0</v>
      </c>
      <c r="NY89" s="24">
        <v>0</v>
      </c>
      <c r="NZ89" s="24">
        <v>0</v>
      </c>
      <c r="OA89" s="24">
        <v>0</v>
      </c>
      <c r="OB89" s="24">
        <v>0</v>
      </c>
      <c r="OC89" s="24">
        <v>0</v>
      </c>
      <c r="OD89" s="24">
        <v>0</v>
      </c>
      <c r="OE89" s="24">
        <v>0</v>
      </c>
      <c r="OF89" s="24">
        <v>0</v>
      </c>
      <c r="OG89" s="24">
        <v>0</v>
      </c>
      <c r="OH89" s="24">
        <v>0</v>
      </c>
      <c r="OI89" s="24">
        <v>0</v>
      </c>
      <c r="OJ89" s="24">
        <v>0</v>
      </c>
      <c r="OK89" s="24">
        <v>0</v>
      </c>
      <c r="OL89" s="24">
        <v>0</v>
      </c>
      <c r="OM89" s="24">
        <v>0</v>
      </c>
      <c r="ON89" s="24">
        <v>0</v>
      </c>
      <c r="OO89" s="24">
        <v>0</v>
      </c>
      <c r="OP89" s="24">
        <v>0</v>
      </c>
      <c r="OQ89" s="24">
        <v>0</v>
      </c>
      <c r="OR89" s="24">
        <v>0</v>
      </c>
      <c r="OS89" s="24">
        <v>0</v>
      </c>
      <c r="OT89" s="24">
        <v>0</v>
      </c>
      <c r="OU89" s="24">
        <v>0</v>
      </c>
      <c r="OV89" s="24">
        <v>0</v>
      </c>
      <c r="OW89" s="24">
        <v>0</v>
      </c>
      <c r="OX89" s="24">
        <v>0</v>
      </c>
      <c r="OY89" s="24">
        <v>0</v>
      </c>
      <c r="OZ89" s="24">
        <v>0</v>
      </c>
      <c r="PA89" s="24">
        <v>0</v>
      </c>
      <c r="PB89" s="24">
        <v>0</v>
      </c>
      <c r="PC89" s="24">
        <v>0</v>
      </c>
      <c r="PD89" s="24">
        <v>0</v>
      </c>
      <c r="PE89" s="24">
        <v>0</v>
      </c>
      <c r="PF89" s="24">
        <v>0</v>
      </c>
      <c r="PG89" s="24">
        <v>0</v>
      </c>
      <c r="PH89" s="24">
        <v>0</v>
      </c>
      <c r="PI89" s="24">
        <v>0</v>
      </c>
      <c r="PJ89" s="24">
        <v>0</v>
      </c>
      <c r="PK89" s="24">
        <v>0</v>
      </c>
      <c r="PL89" s="24">
        <v>0</v>
      </c>
      <c r="PM89" s="24">
        <v>0</v>
      </c>
      <c r="PN89" s="24">
        <v>0</v>
      </c>
      <c r="PO89" s="24">
        <v>0</v>
      </c>
      <c r="PP89" s="24">
        <v>0</v>
      </c>
      <c r="PQ89" s="24">
        <v>0</v>
      </c>
      <c r="PR89" s="24">
        <v>0</v>
      </c>
      <c r="PS89" s="24">
        <v>0</v>
      </c>
      <c r="PT89" s="24">
        <v>0</v>
      </c>
      <c r="PU89" s="24">
        <v>0</v>
      </c>
      <c r="PV89" s="24">
        <v>0</v>
      </c>
      <c r="PW89" s="24">
        <v>0</v>
      </c>
      <c r="PX89" s="24">
        <v>0</v>
      </c>
      <c r="PY89" s="24">
        <v>0</v>
      </c>
      <c r="PZ89" s="24">
        <v>0</v>
      </c>
      <c r="QA89" s="24">
        <v>0</v>
      </c>
      <c r="QB89" s="24">
        <v>0</v>
      </c>
      <c r="QC89" s="24">
        <v>0</v>
      </c>
      <c r="QD89" s="24">
        <v>0</v>
      </c>
      <c r="QE89" s="24">
        <v>0</v>
      </c>
      <c r="QF89" s="24">
        <v>0</v>
      </c>
      <c r="QG89" s="24">
        <v>0</v>
      </c>
      <c r="QH89" s="24">
        <v>0</v>
      </c>
      <c r="QI89" s="24">
        <v>0</v>
      </c>
      <c r="QJ89" s="24">
        <v>0</v>
      </c>
      <c r="QK89" s="24">
        <v>0</v>
      </c>
      <c r="QL89" s="24">
        <v>0</v>
      </c>
      <c r="QM89" s="24">
        <v>0</v>
      </c>
      <c r="QN89" s="24">
        <v>0</v>
      </c>
      <c r="QO89" s="24">
        <v>0</v>
      </c>
      <c r="QP89" s="24">
        <v>0</v>
      </c>
      <c r="QQ89" s="24">
        <v>0</v>
      </c>
      <c r="QR89" s="24">
        <v>0</v>
      </c>
      <c r="QS89" s="24">
        <v>0</v>
      </c>
      <c r="QT89" s="24">
        <v>0</v>
      </c>
      <c r="QU89" s="24">
        <v>0</v>
      </c>
      <c r="QV89" s="24">
        <v>19449</v>
      </c>
      <c r="QW89" s="24">
        <v>0</v>
      </c>
      <c r="QX89" s="24">
        <v>0</v>
      </c>
      <c r="QY89" s="24">
        <v>0</v>
      </c>
      <c r="QZ89" s="24">
        <v>0</v>
      </c>
      <c r="RA89" s="24">
        <v>0</v>
      </c>
      <c r="RB89" s="24">
        <v>0</v>
      </c>
      <c r="RG89" s="39">
        <f t="shared" si="129"/>
        <v>1168915</v>
      </c>
      <c r="RH89" s="39">
        <f t="shared" si="206"/>
        <v>49695</v>
      </c>
      <c r="RI89" s="39">
        <f t="shared" si="206"/>
        <v>467</v>
      </c>
      <c r="RJ89" s="39">
        <f t="shared" si="206"/>
        <v>0</v>
      </c>
      <c r="RK89" s="39">
        <f t="shared" si="206"/>
        <v>0</v>
      </c>
      <c r="RL89" s="39">
        <f t="shared" si="206"/>
        <v>155230</v>
      </c>
      <c r="RM89" s="39">
        <f t="shared" si="206"/>
        <v>112117</v>
      </c>
      <c r="RN89" s="39">
        <f t="shared" si="206"/>
        <v>2615</v>
      </c>
      <c r="RO89" s="39">
        <f t="shared" si="206"/>
        <v>17413</v>
      </c>
      <c r="RP89" s="39">
        <f t="shared" si="206"/>
        <v>12255</v>
      </c>
      <c r="RQ89" s="39">
        <f t="shared" si="206"/>
        <v>601</v>
      </c>
      <c r="RR89" s="39">
        <f t="shared" si="206"/>
        <v>89483</v>
      </c>
      <c r="RS89" s="39"/>
      <c r="RT89" s="182"/>
      <c r="RU89" s="39"/>
      <c r="RV89" s="39">
        <f t="shared" si="182"/>
        <v>172774</v>
      </c>
      <c r="RW89" s="39">
        <f t="shared" si="182"/>
        <v>1608791</v>
      </c>
      <c r="RX89" s="39">
        <f t="shared" si="182"/>
        <v>414196</v>
      </c>
      <c r="RY89" s="39">
        <f t="shared" si="182"/>
        <v>19449</v>
      </c>
      <c r="RZ89" s="39"/>
      <c r="SA89" s="182"/>
      <c r="SB89" s="39"/>
      <c r="SC89" s="25">
        <f t="shared" si="183"/>
        <v>2146.0932642487046</v>
      </c>
      <c r="SD89" s="39">
        <f>IFERROR(VLOOKUP(A89, 'Levy Data 15-16'!$B:$O, 3, FALSE), 0)</f>
        <v>67072315</v>
      </c>
      <c r="SE89" s="39">
        <f t="shared" si="144"/>
        <v>347524.94818652852</v>
      </c>
      <c r="SF89" s="631">
        <f>IFERROR(VLOOKUP(A89, 'Levy Data 15-16'!$B:$O, 14, FALSE), 0)*1000</f>
        <v>5.6007609999999994</v>
      </c>
      <c r="SG89" s="39">
        <f t="shared" si="145"/>
        <v>0</v>
      </c>
      <c r="SH89" s="39">
        <f t="shared" si="146"/>
        <v>0</v>
      </c>
      <c r="SI89" s="39">
        <f t="shared" si="147"/>
        <v>414196</v>
      </c>
      <c r="SM89" s="39">
        <f t="shared" si="148"/>
        <v>1608791</v>
      </c>
      <c r="SN89" s="39">
        <f t="shared" si="149"/>
        <v>0</v>
      </c>
      <c r="SO89" s="39">
        <f t="shared" si="184"/>
        <v>1608791</v>
      </c>
      <c r="SP89" s="50">
        <f t="shared" si="130"/>
        <v>1</v>
      </c>
      <c r="ST89" s="124">
        <f>IFERROR(VLOOKUP(A89,'Grade Enroll 15-16'!B:AC,27,FALSE),"")</f>
        <v>193</v>
      </c>
      <c r="SU89" s="124">
        <f t="shared" si="185"/>
        <v>95.774436090225564</v>
      </c>
      <c r="SV89" s="131">
        <f>IFERROR(VLOOKUP($A89, 'Title I Enroll 16-17'!S:V, 4, FALSE), 0)</f>
        <v>0.49624060150375937</v>
      </c>
      <c r="SW89" s="729">
        <f>IFERROR(VLOOKUP(A89, 'ELL Enroll 15-16'!$N:$S, 6, FALSE), 0)</f>
        <v>33</v>
      </c>
      <c r="SX89" s="131">
        <f t="shared" si="131"/>
        <v>0.17098445595854922</v>
      </c>
      <c r="SY89" s="124">
        <f>IFERROR(VLOOKUP(A89, 'SPED enroll 2015-16'!$M:$O, 3, FALSE), 0)</f>
        <v>27</v>
      </c>
      <c r="SZ89" s="131">
        <f t="shared" si="132"/>
        <v>0.13989637305699482</v>
      </c>
      <c r="TA89" s="142">
        <f t="shared" si="133"/>
        <v>18.899999999999999</v>
      </c>
      <c r="TB89" s="142">
        <f t="shared" si="133"/>
        <v>5.4</v>
      </c>
      <c r="TC89" s="142">
        <f t="shared" si="133"/>
        <v>1.8900000000000001</v>
      </c>
      <c r="TD89" s="142">
        <f t="shared" si="133"/>
        <v>0.80999999999999994</v>
      </c>
      <c r="TE89" s="124">
        <f>VLOOKUP($A89, 'Grade Enroll 15-16'!$B:$AB, 20, FALSE)</f>
        <v>0</v>
      </c>
      <c r="TF89" s="124">
        <f>VLOOKUP($A89, 'Grade Enroll 15-16'!$B:$AB, 21, FALSE)</f>
        <v>14</v>
      </c>
      <c r="TG89" s="124">
        <f>VLOOKUP($A89, 'Grade Enroll 15-16'!$B:$AB, 22, FALSE)</f>
        <v>59</v>
      </c>
      <c r="TH89" s="124">
        <f>VLOOKUP($A89, 'Grade Enroll 15-16'!$B:$AB, 23, FALSE)</f>
        <v>41</v>
      </c>
      <c r="TI89" s="124">
        <f>VLOOKUP($A89, 'Grade Enroll 15-16'!$B:$AB, 24, FALSE)</f>
        <v>26</v>
      </c>
      <c r="TJ89" s="124">
        <f>VLOOKUP($A89, 'Grade Enroll 15-16'!$B:$AB, 25, FALSE)</f>
        <v>67</v>
      </c>
      <c r="TK89" s="124">
        <f>VLOOKUP($A89, 'Grade Enroll 15-16'!$B:$AB, 26, FALSE)</f>
        <v>116</v>
      </c>
      <c r="TL89" s="131">
        <f>SUMIFS('Student Achievement 15-16'!N:N, 'Student Achievement 15-16'!B:B, 'Idaho Data'!A89, 'Student Achievement 15-16'!D:D, "math")/100</f>
        <v>0.28399999999999997</v>
      </c>
      <c r="TM89" s="134">
        <f t="shared" si="186"/>
        <v>54.811999999999998</v>
      </c>
      <c r="TN89" s="131">
        <f>SUMIFS('Student Achievement 15-16'!N:N, 'Student Achievement 15-16'!B:B, 'Idaho Data'!A89, 'Student Achievement 15-16'!D:D, "ela")/100</f>
        <v>0.22500000000000001</v>
      </c>
      <c r="TO89" s="134">
        <f t="shared" si="134"/>
        <v>43.425000000000004</v>
      </c>
      <c r="TP89" s="688">
        <f>IFERROR(VLOOKUP(A89, 'G&amp;T 15-16'!B:G, 6, FALSE), 0)*1</f>
        <v>0</v>
      </c>
      <c r="TQ89" s="168">
        <f t="shared" si="135"/>
        <v>11.58</v>
      </c>
      <c r="TU89" s="168">
        <f t="shared" si="136"/>
        <v>43.425000000000004</v>
      </c>
      <c r="TV89" s="168">
        <f t="shared" si="137"/>
        <v>54.811999999999998</v>
      </c>
      <c r="TW89" s="205">
        <f t="shared" si="138"/>
        <v>54.811999999999998</v>
      </c>
      <c r="TX89" s="144"/>
      <c r="TY89" s="129"/>
      <c r="TZ89" s="127">
        <f t="shared" si="139"/>
        <v>0</v>
      </c>
      <c r="UA89" s="127">
        <f t="shared" si="140"/>
        <v>11.58</v>
      </c>
      <c r="UB89" s="205">
        <f t="shared" si="141"/>
        <v>11.58</v>
      </c>
      <c r="UE89" s="853" t="str">
        <f>IF(ST89&lt;='1. Simulator Input'!$E$104, "yes", "")</f>
        <v>yes</v>
      </c>
      <c r="UI89" s="199">
        <f t="shared" si="187"/>
        <v>0</v>
      </c>
      <c r="UJ89" s="200">
        <f>IF('Idaho Data'!SI89&gt;=0, ((1-'1. Simulator Input'!$E$39)*'Idaho Data'!SI89), 0)</f>
        <v>0</v>
      </c>
      <c r="UK89" s="200">
        <f t="shared" si="142"/>
        <v>1608791</v>
      </c>
      <c r="UL89" s="39"/>
      <c r="UM89" s="182"/>
      <c r="UN89" s="39"/>
      <c r="UO89" s="39">
        <f>IF(AND('1. Simulator Input'!$E$96="yes", '1. Simulator Input'!$E$98="yes", '1. Simulator Input'!$E$100="hold harmless"), 'Idaho Data'!WN89, IF(AND('1. Simulator Input'!$E$96="yes", '1. Simulator Input'!$E$98="no", '1. Simulator Input'!$E$100="hold harmless"), 'Idaho Data'!WM89, IF(AND('1. Simulator Input'!$E$96="yes", '1. Simulator Input'!$E$98="yes", '1. Simulator Input'!$E$100="small district grant"), WL89,IF(AND('1. Simulator Input'!$E$96="yes", '1. Simulator Input'!$E$98="no", '1. Simulator Input'!$E$100="small district grant"), WK89, ""))))</f>
        <v>0</v>
      </c>
      <c r="UP89" s="200">
        <f>'1. Simulator Input'!$D$56*('Idaho Data'!ST89)</f>
        <v>1066518</v>
      </c>
      <c r="UQ89" s="204">
        <f>'1. Simulator Input'!$D$65*'1. Simulator Input'!$D$56*'Idaho Data'!SU89</f>
        <v>0</v>
      </c>
      <c r="UR89" s="204">
        <f>'1. Simulator Input'!$D$66*'1. Simulator Input'!$D$56*'Idaho Data'!SW89</f>
        <v>0</v>
      </c>
      <c r="US89" s="200">
        <f>'1. Simulator Input'!$D$67*'1. Simulator Input'!$D$56*'Idaho Data'!TA89</f>
        <v>0</v>
      </c>
      <c r="UT89" s="200">
        <f>'1. Simulator Input'!$D$68*'1. Simulator Input'!$D$56*'Idaho Data'!TB89</f>
        <v>0</v>
      </c>
      <c r="UU89" s="200">
        <f>'1. Simulator Input'!$D$69*'1. Simulator Input'!$D$56*'Idaho Data'!TC89</f>
        <v>0</v>
      </c>
      <c r="UV89" s="200">
        <f>'1. Simulator Input'!$D$70*'1. Simulator Input'!$D$56*TD89</f>
        <v>0</v>
      </c>
      <c r="UW89" s="200">
        <f>'1. Simulator Input'!$D$80*'1. Simulator Input'!$D$56*TW89</f>
        <v>0</v>
      </c>
      <c r="UX89" s="200">
        <f>'1. Simulator Input'!$D$79*'1. Simulator Input'!$D$56*UB89</f>
        <v>0</v>
      </c>
      <c r="UY89" s="200">
        <f>'1. Simulator Input'!$D$87*'1. Simulator Input'!$D$56*TF89</f>
        <v>38682</v>
      </c>
      <c r="UZ89" s="200">
        <f>'1. Simulator Input'!$D$73*'1. Simulator Input'!$D$56*'Idaho Data'!TG89</f>
        <v>0</v>
      </c>
      <c r="VA89" s="200">
        <f>'1. Simulator Input'!$D$56*'1. Simulator Input'!$D$74*'Idaho Data'!TH89</f>
        <v>0</v>
      </c>
      <c r="VB89" s="200">
        <f>'1. Simulator Input'!$D$56*'1. Simulator Input'!$D$75*'Idaho Data'!TI84</f>
        <v>0</v>
      </c>
      <c r="VC89" s="200">
        <f>'1. Simulator Input'!$D$76*'1. Simulator Input'!$D$56*'Idaho Data'!TJ89</f>
        <v>0</v>
      </c>
      <c r="VD89" s="200">
        <f t="shared" si="188"/>
        <v>1105200</v>
      </c>
      <c r="VE89" s="200"/>
      <c r="VF89" s="182"/>
      <c r="VG89" s="200"/>
      <c r="VH89" s="200">
        <f t="shared" si="189"/>
        <v>0</v>
      </c>
      <c r="VI89" s="200">
        <f t="shared" si="190"/>
        <v>0</v>
      </c>
      <c r="VJ89" s="200">
        <f t="shared" si="150"/>
        <v>1105200</v>
      </c>
      <c r="VK89" s="200">
        <f t="shared" si="151"/>
        <v>1105200</v>
      </c>
      <c r="VL89" s="200"/>
      <c r="VM89" s="182"/>
      <c r="VN89" s="200"/>
      <c r="VO89" s="200">
        <f t="shared" si="191"/>
        <v>172774</v>
      </c>
      <c r="VP89" s="200">
        <f t="shared" si="192"/>
        <v>1608791</v>
      </c>
      <c r="VQ89" s="200">
        <f t="shared" si="193"/>
        <v>414196</v>
      </c>
      <c r="VR89" s="200">
        <f t="shared" si="194"/>
        <v>172774</v>
      </c>
      <c r="VS89" s="200">
        <f t="shared" si="152"/>
        <v>1105200</v>
      </c>
      <c r="VT89" s="200">
        <f t="shared" si="153"/>
        <v>414196</v>
      </c>
      <c r="VU89" s="200">
        <f t="shared" si="154"/>
        <v>0</v>
      </c>
      <c r="VV89" s="200"/>
      <c r="VW89" s="182"/>
      <c r="VX89" s="200"/>
      <c r="VZ89" s="199">
        <f t="shared" si="195"/>
        <v>-503591</v>
      </c>
      <c r="WA89" s="466">
        <f t="shared" si="196"/>
        <v>-2609.2797927461138</v>
      </c>
      <c r="WB89" s="131">
        <f t="shared" si="197"/>
        <v>-0.31302450100727813</v>
      </c>
      <c r="WC89" s="131"/>
      <c r="WD89" s="461"/>
      <c r="WE89" s="893"/>
      <c r="WF89" s="893">
        <f t="shared" si="198"/>
        <v>11377</v>
      </c>
      <c r="WG89" s="893">
        <f t="shared" si="199"/>
        <v>8767.7202072538857</v>
      </c>
      <c r="WH89" s="893"/>
      <c r="WI89" s="893">
        <f t="shared" si="200"/>
        <v>1608791</v>
      </c>
      <c r="WJ89" s="893">
        <f t="shared" si="155"/>
        <v>1105200</v>
      </c>
      <c r="WK89" s="39">
        <f t="shared" si="156"/>
        <v>0</v>
      </c>
      <c r="WL89" s="39">
        <f t="shared" si="157"/>
        <v>0</v>
      </c>
      <c r="WM89" s="200">
        <f t="shared" si="158"/>
        <v>503591</v>
      </c>
      <c r="WN89" s="39">
        <f t="shared" si="159"/>
        <v>503591</v>
      </c>
      <c r="WO89" s="39"/>
      <c r="WP89" s="182"/>
      <c r="WQ89" s="39"/>
      <c r="WR89" s="305">
        <f t="shared" si="160"/>
        <v>0.35</v>
      </c>
      <c r="WT89" s="200">
        <f t="shared" si="161"/>
        <v>8335.7046632124348</v>
      </c>
      <c r="WU89" s="131">
        <f t="shared" si="201"/>
        <v>0.78</v>
      </c>
      <c r="WW89" s="199">
        <f t="shared" si="162"/>
        <v>172774</v>
      </c>
      <c r="WX89" s="199">
        <f t="shared" si="163"/>
        <v>1105200</v>
      </c>
      <c r="WY89" s="199">
        <f t="shared" si="164"/>
        <v>0</v>
      </c>
      <c r="WZ89" s="199">
        <f t="shared" si="202"/>
        <v>1105200</v>
      </c>
      <c r="XA89" s="199">
        <f t="shared" si="165"/>
        <v>0</v>
      </c>
      <c r="XB89" s="199">
        <f t="shared" si="166"/>
        <v>414196</v>
      </c>
      <c r="XC89" s="199">
        <f t="shared" si="167"/>
        <v>414196</v>
      </c>
      <c r="XD89" s="199" t="str">
        <f t="shared" si="168"/>
        <v/>
      </c>
      <c r="XE89" s="199"/>
      <c r="XF89" s="199"/>
      <c r="XG89" s="199"/>
      <c r="XH89" s="199"/>
      <c r="XI89" s="199"/>
      <c r="XJ89" s="199">
        <f t="shared" si="203"/>
        <v>1105200</v>
      </c>
      <c r="XP89" s="199">
        <f t="shared" si="169"/>
        <v>1105200</v>
      </c>
      <c r="XQ89" s="199">
        <f t="shared" si="170"/>
        <v>5726.4248704663214</v>
      </c>
      <c r="XR89" s="199">
        <f t="shared" si="171"/>
        <v>1105200</v>
      </c>
      <c r="XS89" s="199">
        <f t="shared" si="172"/>
        <v>1105200</v>
      </c>
      <c r="XT89" s="199">
        <f t="shared" si="173"/>
        <v>5726.4248704663214</v>
      </c>
      <c r="XU89" s="199">
        <f t="shared" si="174"/>
        <v>1608791</v>
      </c>
      <c r="XV89" s="199">
        <f t="shared" si="175"/>
        <v>8335.7046632124348</v>
      </c>
      <c r="XW89" s="199">
        <f t="shared" si="176"/>
        <v>1608791</v>
      </c>
      <c r="XX89" s="199">
        <f t="shared" si="177"/>
        <v>8335.7046632124348</v>
      </c>
      <c r="XY89" s="199">
        <f t="shared" si="204"/>
        <v>-503591</v>
      </c>
      <c r="XZ89" s="199">
        <f t="shared" si="205"/>
        <v>-2609.2797927461133</v>
      </c>
      <c r="YA89" s="131">
        <f t="shared" si="143"/>
        <v>-0.31302450100727808</v>
      </c>
      <c r="YB89" s="199"/>
      <c r="YC89" s="221"/>
      <c r="YD89" s="199"/>
      <c r="YE89" s="199">
        <f t="shared" si="178"/>
        <v>172774</v>
      </c>
      <c r="YF89" s="200">
        <f t="shared" si="179"/>
        <v>0</v>
      </c>
      <c r="YG89" s="199">
        <f t="shared" si="180"/>
        <v>414196</v>
      </c>
      <c r="YH89" s="199">
        <f t="shared" si="181"/>
        <v>19449</v>
      </c>
    </row>
    <row r="90" spans="1:658">
      <c r="A90" s="3">
        <v>321</v>
      </c>
      <c r="B90" s="2" t="s">
        <v>186</v>
      </c>
      <c r="C90" s="24">
        <v>0</v>
      </c>
      <c r="D90" s="24">
        <v>0</v>
      </c>
      <c r="E90" s="24">
        <v>0</v>
      </c>
      <c r="F90" s="24">
        <v>0</v>
      </c>
      <c r="G90" s="24">
        <v>2165667</v>
      </c>
      <c r="H90" s="24">
        <v>0</v>
      </c>
      <c r="I90" s="24">
        <v>403761</v>
      </c>
      <c r="J90" s="24">
        <v>72394</v>
      </c>
      <c r="K90" s="24">
        <v>0</v>
      </c>
      <c r="L90" s="24">
        <v>0</v>
      </c>
      <c r="M90" s="24">
        <v>0</v>
      </c>
      <c r="N90" s="24">
        <v>316</v>
      </c>
      <c r="O90" s="24">
        <v>0</v>
      </c>
      <c r="P90" s="24">
        <v>0</v>
      </c>
      <c r="Q90" s="24">
        <v>0</v>
      </c>
      <c r="R90" s="24">
        <v>0</v>
      </c>
      <c r="S90" s="24">
        <v>0</v>
      </c>
      <c r="T90" s="24">
        <v>26416</v>
      </c>
      <c r="U90" s="24">
        <v>0</v>
      </c>
      <c r="V90" s="24">
        <v>0</v>
      </c>
      <c r="W90" s="24">
        <v>0</v>
      </c>
      <c r="X90" s="24">
        <v>4125913</v>
      </c>
      <c r="Y90" s="24">
        <v>3623</v>
      </c>
      <c r="Z90" s="24">
        <v>0</v>
      </c>
      <c r="AA90" s="24">
        <v>19376</v>
      </c>
      <c r="AB90" s="24">
        <v>7274</v>
      </c>
      <c r="AC90" s="24">
        <v>0</v>
      </c>
      <c r="AD90" s="24">
        <v>0</v>
      </c>
      <c r="AE90" s="24">
        <v>0</v>
      </c>
      <c r="AF90" s="24">
        <v>0</v>
      </c>
      <c r="AG90" s="24">
        <v>0</v>
      </c>
      <c r="AH90" s="24">
        <v>0</v>
      </c>
      <c r="AI90" s="24">
        <v>0</v>
      </c>
      <c r="AJ90" s="24">
        <v>0</v>
      </c>
      <c r="AK90" s="24">
        <v>0</v>
      </c>
      <c r="AL90" s="24">
        <v>41596</v>
      </c>
      <c r="AM90" s="24">
        <v>0</v>
      </c>
      <c r="AN90" s="24">
        <v>0</v>
      </c>
      <c r="AO90" s="24">
        <v>0</v>
      </c>
      <c r="AP90" s="24">
        <v>0</v>
      </c>
      <c r="AQ90" s="24">
        <v>0</v>
      </c>
      <c r="AR90" s="24">
        <v>0</v>
      </c>
      <c r="AS90" s="24">
        <v>0</v>
      </c>
      <c r="AT90" s="24">
        <v>0</v>
      </c>
      <c r="AU90" s="24">
        <v>0</v>
      </c>
      <c r="AV90" s="24">
        <v>0</v>
      </c>
      <c r="AW90" s="24">
        <v>0</v>
      </c>
      <c r="AX90" s="24">
        <v>0</v>
      </c>
      <c r="AY90" s="24">
        <v>0</v>
      </c>
      <c r="AZ90" s="24">
        <v>0</v>
      </c>
      <c r="BA90" s="24">
        <v>0</v>
      </c>
      <c r="BB90" s="24">
        <v>0</v>
      </c>
      <c r="BC90" s="24">
        <v>439</v>
      </c>
      <c r="BD90" s="24">
        <v>8174</v>
      </c>
      <c r="BE90" s="24">
        <v>0</v>
      </c>
      <c r="BF90" s="24">
        <v>1664</v>
      </c>
      <c r="BG90" s="24">
        <v>0</v>
      </c>
      <c r="BH90" s="24">
        <v>0</v>
      </c>
      <c r="BI90" s="24">
        <v>0</v>
      </c>
      <c r="BJ90" s="24">
        <v>0</v>
      </c>
      <c r="BK90" s="24">
        <v>0</v>
      </c>
      <c r="BL90" s="24">
        <v>0</v>
      </c>
      <c r="BM90" s="24">
        <v>0</v>
      </c>
      <c r="BN90" s="24">
        <v>0</v>
      </c>
      <c r="BO90" s="24">
        <v>0</v>
      </c>
      <c r="BP90" s="24">
        <v>0</v>
      </c>
      <c r="BQ90" s="24">
        <v>0</v>
      </c>
      <c r="BR90" s="24">
        <v>0</v>
      </c>
      <c r="BS90" s="24">
        <v>0</v>
      </c>
      <c r="BT90" s="24">
        <v>0</v>
      </c>
      <c r="BU90" s="24">
        <v>0</v>
      </c>
      <c r="BV90" s="24">
        <v>0</v>
      </c>
      <c r="BW90" s="24">
        <v>0</v>
      </c>
      <c r="BX90" s="24">
        <v>0</v>
      </c>
      <c r="BY90" s="24">
        <v>0</v>
      </c>
      <c r="BZ90" s="24">
        <v>0</v>
      </c>
      <c r="CA90" s="24">
        <v>0</v>
      </c>
      <c r="CB90" s="24">
        <v>0</v>
      </c>
      <c r="CC90" s="24">
        <v>0</v>
      </c>
      <c r="CD90" s="24">
        <v>387771</v>
      </c>
      <c r="CE90" s="24">
        <v>0</v>
      </c>
      <c r="CF90" s="24">
        <v>0</v>
      </c>
      <c r="CG90" s="24">
        <v>57256</v>
      </c>
      <c r="CH90" s="24">
        <v>0</v>
      </c>
      <c r="CI90" s="24">
        <v>0</v>
      </c>
      <c r="CJ90" s="24">
        <v>0</v>
      </c>
      <c r="CK90" s="24">
        <v>0</v>
      </c>
      <c r="CL90" s="24">
        <v>0</v>
      </c>
      <c r="CM90" s="24">
        <v>0</v>
      </c>
      <c r="CN90" s="24">
        <v>0</v>
      </c>
      <c r="CO90" s="24">
        <v>0</v>
      </c>
      <c r="CP90" s="24">
        <v>0</v>
      </c>
      <c r="CQ90" s="24">
        <v>0</v>
      </c>
      <c r="CR90" s="24">
        <v>0</v>
      </c>
      <c r="CS90" s="24">
        <v>0</v>
      </c>
      <c r="CT90" s="24">
        <v>0</v>
      </c>
      <c r="CU90" s="24">
        <v>0</v>
      </c>
      <c r="CV90" s="24">
        <v>0</v>
      </c>
      <c r="CW90" s="24">
        <v>0</v>
      </c>
      <c r="CX90" s="24">
        <v>0</v>
      </c>
      <c r="CY90" s="24">
        <v>0</v>
      </c>
      <c r="CZ90" s="24">
        <v>0</v>
      </c>
      <c r="DA90" s="24">
        <v>0</v>
      </c>
      <c r="DB90" s="24">
        <v>0</v>
      </c>
      <c r="DC90" s="24">
        <v>0</v>
      </c>
      <c r="DD90" s="24">
        <v>0</v>
      </c>
      <c r="DE90" s="24">
        <v>0</v>
      </c>
      <c r="DF90" s="24">
        <v>0</v>
      </c>
      <c r="DG90" s="24">
        <v>0</v>
      </c>
      <c r="DH90" s="24">
        <v>0</v>
      </c>
      <c r="DI90" s="24">
        <v>0</v>
      </c>
      <c r="DJ90" s="24">
        <v>0</v>
      </c>
      <c r="DK90" s="24">
        <v>0</v>
      </c>
      <c r="DL90" s="24">
        <v>0</v>
      </c>
      <c r="DM90" s="24">
        <v>0</v>
      </c>
      <c r="DN90" s="24">
        <v>0</v>
      </c>
      <c r="DO90" s="24">
        <v>0</v>
      </c>
      <c r="DP90" s="24">
        <v>0</v>
      </c>
      <c r="DQ90" s="24">
        <v>0</v>
      </c>
      <c r="DR90" s="24">
        <v>0</v>
      </c>
      <c r="DS90" s="24">
        <v>0</v>
      </c>
      <c r="DT90" s="24">
        <v>0</v>
      </c>
      <c r="DU90" s="24">
        <v>3450</v>
      </c>
      <c r="DV90" s="24">
        <v>0</v>
      </c>
      <c r="DW90" s="24">
        <v>0</v>
      </c>
      <c r="DX90" s="24">
        <v>0</v>
      </c>
      <c r="DY90" s="24">
        <v>0</v>
      </c>
      <c r="DZ90" s="24">
        <v>0</v>
      </c>
      <c r="EA90" s="24">
        <v>0</v>
      </c>
      <c r="EB90" s="24">
        <v>55803</v>
      </c>
      <c r="EC90" s="24">
        <v>0</v>
      </c>
      <c r="ED90" s="24">
        <v>0</v>
      </c>
      <c r="EE90" s="24">
        <v>0</v>
      </c>
      <c r="EF90" s="24">
        <v>0</v>
      </c>
      <c r="EG90" s="24">
        <v>0</v>
      </c>
      <c r="EH90" s="24">
        <v>0</v>
      </c>
      <c r="EI90" s="24">
        <v>0</v>
      </c>
      <c r="EJ90" s="24">
        <v>0</v>
      </c>
      <c r="EK90" s="24">
        <v>0</v>
      </c>
      <c r="EL90" s="24">
        <v>0</v>
      </c>
      <c r="EM90" s="24">
        <v>0</v>
      </c>
      <c r="EN90" s="24">
        <v>0</v>
      </c>
      <c r="EO90" s="24">
        <v>0</v>
      </c>
      <c r="EP90" s="24">
        <v>0</v>
      </c>
      <c r="EQ90" s="24">
        <v>0</v>
      </c>
      <c r="ER90" s="24">
        <v>0</v>
      </c>
      <c r="ES90" s="24">
        <v>0</v>
      </c>
      <c r="ET90" s="24">
        <v>0</v>
      </c>
      <c r="EU90" s="24">
        <v>0</v>
      </c>
      <c r="EV90" s="24">
        <v>0</v>
      </c>
      <c r="EW90" s="24">
        <v>0</v>
      </c>
      <c r="EX90" s="24">
        <v>0</v>
      </c>
      <c r="EY90" s="24">
        <v>0</v>
      </c>
      <c r="EZ90" s="24">
        <v>0</v>
      </c>
      <c r="FA90" s="24">
        <v>0</v>
      </c>
      <c r="FB90" s="24">
        <v>0</v>
      </c>
      <c r="FC90" s="24">
        <v>0</v>
      </c>
      <c r="FD90" s="24">
        <v>0</v>
      </c>
      <c r="FE90" s="24">
        <v>0</v>
      </c>
      <c r="FF90" s="24">
        <v>0</v>
      </c>
      <c r="FG90" s="24">
        <v>0</v>
      </c>
      <c r="FH90" s="24">
        <v>0</v>
      </c>
      <c r="FI90" s="24">
        <v>0</v>
      </c>
      <c r="FJ90" s="24">
        <v>0</v>
      </c>
      <c r="FK90" s="24">
        <v>0</v>
      </c>
      <c r="FL90" s="24">
        <v>0</v>
      </c>
      <c r="FM90" s="24">
        <v>0</v>
      </c>
      <c r="FN90" s="24">
        <v>0</v>
      </c>
      <c r="FO90" s="24">
        <v>0</v>
      </c>
      <c r="FP90" s="24">
        <v>0</v>
      </c>
      <c r="FQ90" s="24">
        <v>0</v>
      </c>
      <c r="FR90" s="24">
        <v>0</v>
      </c>
      <c r="FS90" s="24">
        <v>36666</v>
      </c>
      <c r="FT90" s="24">
        <v>0</v>
      </c>
      <c r="FU90" s="24">
        <v>0</v>
      </c>
      <c r="FV90" s="24">
        <v>51637</v>
      </c>
      <c r="FW90" s="24">
        <v>0</v>
      </c>
      <c r="FX90" s="24">
        <v>2795</v>
      </c>
      <c r="FY90" s="24">
        <v>0</v>
      </c>
      <c r="FZ90" s="24">
        <v>0</v>
      </c>
      <c r="GA90" s="24">
        <v>0</v>
      </c>
      <c r="GB90" s="24">
        <v>0</v>
      </c>
      <c r="GC90" s="24">
        <v>0</v>
      </c>
      <c r="GD90" s="24">
        <v>0</v>
      </c>
      <c r="GE90" s="24">
        <v>26425</v>
      </c>
      <c r="GF90" s="24">
        <v>0</v>
      </c>
      <c r="GG90" s="24">
        <v>0</v>
      </c>
      <c r="GH90" s="24">
        <v>0</v>
      </c>
      <c r="GI90" s="24">
        <v>0</v>
      </c>
      <c r="GJ90" s="24">
        <v>0</v>
      </c>
      <c r="GK90" s="24">
        <v>0</v>
      </c>
      <c r="GL90" s="24">
        <v>0</v>
      </c>
      <c r="GM90" s="24">
        <v>0</v>
      </c>
      <c r="GN90" s="24">
        <v>0</v>
      </c>
      <c r="GO90" s="24">
        <v>0</v>
      </c>
      <c r="GP90" s="24">
        <v>0</v>
      </c>
      <c r="GQ90" s="24">
        <v>895136</v>
      </c>
      <c r="GR90" s="24">
        <v>0</v>
      </c>
      <c r="GS90" s="24">
        <v>0</v>
      </c>
      <c r="GT90" s="24">
        <v>0</v>
      </c>
      <c r="GU90" s="24">
        <v>0</v>
      </c>
      <c r="GV90" s="24">
        <v>0</v>
      </c>
      <c r="GW90" s="24">
        <v>0</v>
      </c>
      <c r="GX90" s="24">
        <v>0</v>
      </c>
      <c r="GY90" s="24">
        <v>0</v>
      </c>
      <c r="GZ90" s="24">
        <v>0</v>
      </c>
      <c r="HA90" s="24">
        <v>0</v>
      </c>
      <c r="HB90" s="24">
        <v>0</v>
      </c>
      <c r="HC90" s="24">
        <v>0</v>
      </c>
      <c r="HD90" s="24">
        <v>19468855</v>
      </c>
      <c r="HE90" s="24">
        <v>0</v>
      </c>
      <c r="HF90" s="24">
        <v>0</v>
      </c>
      <c r="HG90" s="24">
        <v>0</v>
      </c>
      <c r="HH90" s="24">
        <v>0</v>
      </c>
      <c r="HI90" s="24">
        <v>1101967</v>
      </c>
      <c r="HJ90" s="24">
        <v>0</v>
      </c>
      <c r="HK90" s="24">
        <v>0</v>
      </c>
      <c r="HL90" s="24">
        <v>0</v>
      </c>
      <c r="HM90" s="24">
        <v>0</v>
      </c>
      <c r="HN90" s="24">
        <v>0</v>
      </c>
      <c r="HO90" s="24">
        <v>2562841</v>
      </c>
      <c r="HP90" s="24">
        <v>581072</v>
      </c>
      <c r="HQ90" s="24">
        <v>0</v>
      </c>
      <c r="HR90" s="24">
        <v>0</v>
      </c>
      <c r="HS90" s="24">
        <v>0</v>
      </c>
      <c r="HT90" s="24">
        <v>0</v>
      </c>
      <c r="HU90" s="24">
        <v>0</v>
      </c>
      <c r="HV90" s="24">
        <v>0</v>
      </c>
      <c r="HW90" s="24">
        <v>0</v>
      </c>
      <c r="HX90" s="24">
        <v>0</v>
      </c>
      <c r="HY90" s="24">
        <v>0</v>
      </c>
      <c r="HZ90" s="24">
        <v>0</v>
      </c>
      <c r="IA90" s="24">
        <v>349971</v>
      </c>
      <c r="IB90" s="24">
        <v>68693</v>
      </c>
      <c r="IC90" s="24">
        <v>0</v>
      </c>
      <c r="ID90" s="24">
        <v>0</v>
      </c>
      <c r="IE90" s="24">
        <v>0</v>
      </c>
      <c r="IF90" s="24">
        <v>0</v>
      </c>
      <c r="IG90" s="24">
        <v>0</v>
      </c>
      <c r="IH90" s="24">
        <v>0</v>
      </c>
      <c r="II90" s="24">
        <v>46010</v>
      </c>
      <c r="IJ90" s="24">
        <v>0</v>
      </c>
      <c r="IK90" s="24">
        <v>0</v>
      </c>
      <c r="IL90" s="24">
        <v>0</v>
      </c>
      <c r="IM90" s="24">
        <v>0</v>
      </c>
      <c r="IN90" s="24">
        <v>0</v>
      </c>
      <c r="IO90" s="24">
        <v>32125</v>
      </c>
      <c r="IP90" s="24">
        <v>0</v>
      </c>
      <c r="IQ90" s="24">
        <v>0</v>
      </c>
      <c r="IR90" s="24">
        <v>148042</v>
      </c>
      <c r="IS90" s="24">
        <v>0</v>
      </c>
      <c r="IT90" s="24">
        <v>0</v>
      </c>
      <c r="IU90" s="24">
        <v>0</v>
      </c>
      <c r="IV90" s="24">
        <v>0</v>
      </c>
      <c r="IW90" s="24">
        <v>0</v>
      </c>
      <c r="IX90" s="24">
        <v>0</v>
      </c>
      <c r="IY90" s="24">
        <v>0</v>
      </c>
      <c r="IZ90" s="24">
        <v>0</v>
      </c>
      <c r="JA90" s="24">
        <v>0</v>
      </c>
      <c r="JB90" s="24">
        <v>90029</v>
      </c>
      <c r="JC90" s="24">
        <v>0</v>
      </c>
      <c r="JD90" s="24">
        <v>0</v>
      </c>
      <c r="JE90" s="24">
        <v>0</v>
      </c>
      <c r="JF90" s="24">
        <v>0</v>
      </c>
      <c r="JG90" s="24">
        <v>0</v>
      </c>
      <c r="JH90" s="24">
        <v>0</v>
      </c>
      <c r="JI90" s="24">
        <v>0</v>
      </c>
      <c r="JJ90" s="24">
        <v>0</v>
      </c>
      <c r="JK90" s="24">
        <v>0</v>
      </c>
      <c r="JL90" s="24">
        <v>0</v>
      </c>
      <c r="JM90" s="24">
        <v>0</v>
      </c>
      <c r="JN90" s="24">
        <v>0</v>
      </c>
      <c r="JO90" s="24">
        <v>0</v>
      </c>
      <c r="JP90" s="24">
        <v>0</v>
      </c>
      <c r="JQ90" s="24">
        <v>0</v>
      </c>
      <c r="JR90" s="24">
        <v>0</v>
      </c>
      <c r="JS90" s="24">
        <v>0</v>
      </c>
      <c r="JT90" s="24">
        <v>0</v>
      </c>
      <c r="JU90" s="24">
        <v>0</v>
      </c>
      <c r="JV90" s="24">
        <v>0</v>
      </c>
      <c r="JW90" s="24">
        <v>0</v>
      </c>
      <c r="JX90" s="24">
        <v>0</v>
      </c>
      <c r="JY90" s="24">
        <v>0</v>
      </c>
      <c r="JZ90" s="24">
        <v>0</v>
      </c>
      <c r="KA90" s="24">
        <v>795664</v>
      </c>
      <c r="KB90" s="24">
        <v>383232</v>
      </c>
      <c r="KC90" s="24">
        <v>0</v>
      </c>
      <c r="KD90" s="24">
        <v>0</v>
      </c>
      <c r="KE90" s="24">
        <v>0</v>
      </c>
      <c r="KF90" s="24">
        <v>0</v>
      </c>
      <c r="KG90" s="24">
        <v>22980</v>
      </c>
      <c r="KH90" s="24">
        <v>0</v>
      </c>
      <c r="KI90" s="24">
        <v>0</v>
      </c>
      <c r="KJ90" s="24">
        <v>1406263</v>
      </c>
      <c r="KK90" s="24">
        <v>0</v>
      </c>
      <c r="KL90" s="24">
        <v>0</v>
      </c>
      <c r="KM90" s="24">
        <v>0</v>
      </c>
      <c r="KN90" s="24">
        <v>0</v>
      </c>
      <c r="KO90" s="24">
        <v>0</v>
      </c>
      <c r="KP90" s="24">
        <v>0</v>
      </c>
      <c r="KQ90" s="24">
        <v>0</v>
      </c>
      <c r="KR90" s="24">
        <v>0</v>
      </c>
      <c r="KS90" s="24">
        <v>0</v>
      </c>
      <c r="KT90" s="24">
        <v>0</v>
      </c>
      <c r="KU90" s="24">
        <v>0</v>
      </c>
      <c r="KV90" s="24">
        <v>0</v>
      </c>
      <c r="KW90" s="24">
        <v>0</v>
      </c>
      <c r="KX90" s="24">
        <v>0</v>
      </c>
      <c r="KY90" s="24">
        <v>0</v>
      </c>
      <c r="KZ90" s="24">
        <v>0</v>
      </c>
      <c r="LA90" s="24">
        <v>0</v>
      </c>
      <c r="LB90" s="24">
        <v>0</v>
      </c>
      <c r="LC90" s="24">
        <v>0</v>
      </c>
      <c r="LD90" s="24">
        <v>0</v>
      </c>
      <c r="LE90" s="24">
        <v>36539</v>
      </c>
      <c r="LF90" s="24">
        <v>0</v>
      </c>
      <c r="LG90" s="24">
        <v>0</v>
      </c>
      <c r="LH90" s="24">
        <v>0</v>
      </c>
      <c r="LI90" s="24">
        <v>0</v>
      </c>
      <c r="LJ90" s="24">
        <v>1843327</v>
      </c>
      <c r="LK90" s="24">
        <v>0</v>
      </c>
      <c r="LL90" s="24">
        <v>0</v>
      </c>
      <c r="LM90" s="24">
        <v>0</v>
      </c>
      <c r="LN90" s="24">
        <v>0</v>
      </c>
      <c r="LO90" s="24">
        <v>0</v>
      </c>
      <c r="LP90" s="24">
        <v>0</v>
      </c>
      <c r="LQ90" s="24">
        <v>950840</v>
      </c>
      <c r="LR90" s="24">
        <v>16460</v>
      </c>
      <c r="LS90" s="24">
        <v>0</v>
      </c>
      <c r="LT90" s="24">
        <v>0</v>
      </c>
      <c r="LU90" s="24">
        <v>0</v>
      </c>
      <c r="LV90" s="24">
        <v>0</v>
      </c>
      <c r="LW90" s="24">
        <v>0</v>
      </c>
      <c r="LX90" s="24">
        <v>0</v>
      </c>
      <c r="LY90" s="24">
        <v>0</v>
      </c>
      <c r="LZ90" s="24">
        <v>0</v>
      </c>
      <c r="MA90" s="24">
        <v>0</v>
      </c>
      <c r="MB90" s="24">
        <v>0</v>
      </c>
      <c r="MC90" s="24">
        <v>0</v>
      </c>
      <c r="MD90" s="24">
        <v>0</v>
      </c>
      <c r="ME90" s="24">
        <v>0</v>
      </c>
      <c r="MF90" s="24">
        <v>0</v>
      </c>
      <c r="MG90" s="24">
        <v>0</v>
      </c>
      <c r="MH90" s="24">
        <v>0</v>
      </c>
      <c r="MI90" s="24">
        <v>0</v>
      </c>
      <c r="MJ90" s="24">
        <v>0</v>
      </c>
      <c r="MK90" s="24">
        <v>0</v>
      </c>
      <c r="ML90" s="24">
        <v>0</v>
      </c>
      <c r="MM90" s="24">
        <v>0</v>
      </c>
      <c r="MN90" s="24">
        <v>0</v>
      </c>
      <c r="MO90" s="24">
        <v>58905</v>
      </c>
      <c r="MP90" s="24">
        <v>0</v>
      </c>
      <c r="MQ90" s="24">
        <v>0</v>
      </c>
      <c r="MR90" s="24">
        <v>927050</v>
      </c>
      <c r="MS90" s="24">
        <v>0</v>
      </c>
      <c r="MT90" s="24">
        <v>0</v>
      </c>
      <c r="MU90" s="24">
        <v>0</v>
      </c>
      <c r="MV90" s="24">
        <v>0</v>
      </c>
      <c r="MW90" s="24">
        <v>827347</v>
      </c>
      <c r="MX90" s="24">
        <v>29195</v>
      </c>
      <c r="MY90" s="24">
        <v>0</v>
      </c>
      <c r="MZ90" s="24">
        <v>0</v>
      </c>
      <c r="NA90" s="24">
        <v>127375</v>
      </c>
      <c r="NB90" s="24">
        <v>0</v>
      </c>
      <c r="NC90" s="24">
        <v>0</v>
      </c>
      <c r="ND90" s="24">
        <v>0</v>
      </c>
      <c r="NE90" s="24">
        <v>0</v>
      </c>
      <c r="NF90" s="24">
        <v>0</v>
      </c>
      <c r="NG90" s="24">
        <v>0</v>
      </c>
      <c r="NH90" s="24">
        <v>48369</v>
      </c>
      <c r="NI90" s="24">
        <v>0</v>
      </c>
      <c r="NJ90" s="24">
        <v>0</v>
      </c>
      <c r="NK90" s="24">
        <v>0</v>
      </c>
      <c r="NL90" s="24">
        <v>0</v>
      </c>
      <c r="NM90" s="24">
        <v>0</v>
      </c>
      <c r="NN90" s="24">
        <v>0</v>
      </c>
      <c r="NO90" s="24">
        <v>0</v>
      </c>
      <c r="NP90" s="24">
        <v>0</v>
      </c>
      <c r="NQ90" s="24">
        <v>0</v>
      </c>
      <c r="NR90" s="24">
        <v>0</v>
      </c>
      <c r="NS90" s="24">
        <v>0</v>
      </c>
      <c r="NT90" s="24">
        <v>0</v>
      </c>
      <c r="NU90" s="24">
        <v>20631</v>
      </c>
      <c r="NV90" s="24">
        <v>155502</v>
      </c>
      <c r="NW90" s="24">
        <v>0</v>
      </c>
      <c r="NX90" s="24">
        <v>0</v>
      </c>
      <c r="NY90" s="24">
        <v>0</v>
      </c>
      <c r="NZ90" s="24">
        <v>49312</v>
      </c>
      <c r="OA90" s="24">
        <v>0</v>
      </c>
      <c r="OB90" s="24">
        <v>143340</v>
      </c>
      <c r="OC90" s="24">
        <v>0</v>
      </c>
      <c r="OD90" s="24">
        <v>0</v>
      </c>
      <c r="OE90" s="24">
        <v>123607</v>
      </c>
      <c r="OF90" s="24">
        <v>0</v>
      </c>
      <c r="OG90" s="24">
        <v>0</v>
      </c>
      <c r="OH90" s="24">
        <v>0</v>
      </c>
      <c r="OI90" s="24">
        <v>0</v>
      </c>
      <c r="OJ90" s="24">
        <v>0</v>
      </c>
      <c r="OK90" s="24">
        <v>0</v>
      </c>
      <c r="OL90" s="24">
        <v>0</v>
      </c>
      <c r="OM90" s="24">
        <v>0</v>
      </c>
      <c r="ON90" s="24">
        <v>0</v>
      </c>
      <c r="OO90" s="24">
        <v>0</v>
      </c>
      <c r="OP90" s="24">
        <v>0</v>
      </c>
      <c r="OQ90" s="24">
        <v>0</v>
      </c>
      <c r="OR90" s="24">
        <v>0</v>
      </c>
      <c r="OS90" s="24">
        <v>0</v>
      </c>
      <c r="OT90" s="24">
        <v>678764</v>
      </c>
      <c r="OU90" s="24">
        <v>0</v>
      </c>
      <c r="OV90" s="24">
        <v>0</v>
      </c>
      <c r="OW90" s="24">
        <v>0</v>
      </c>
      <c r="OX90" s="24">
        <v>29368</v>
      </c>
      <c r="OY90" s="24">
        <v>0</v>
      </c>
      <c r="OZ90" s="24">
        <v>0</v>
      </c>
      <c r="PA90" s="24">
        <v>300</v>
      </c>
      <c r="PB90" s="24">
        <v>0</v>
      </c>
      <c r="PC90" s="24">
        <v>7357</v>
      </c>
      <c r="PD90" s="24">
        <v>0</v>
      </c>
      <c r="PE90" s="24">
        <v>0</v>
      </c>
      <c r="PF90" s="24">
        <v>0</v>
      </c>
      <c r="PG90" s="24">
        <v>0</v>
      </c>
      <c r="PH90" s="24">
        <v>0</v>
      </c>
      <c r="PI90" s="24">
        <v>0</v>
      </c>
      <c r="PJ90" s="24">
        <v>0</v>
      </c>
      <c r="PK90" s="24">
        <v>0</v>
      </c>
      <c r="PL90" s="24">
        <v>0</v>
      </c>
      <c r="PM90" s="24">
        <v>0</v>
      </c>
      <c r="PN90" s="24">
        <v>0</v>
      </c>
      <c r="PO90" s="24">
        <v>0</v>
      </c>
      <c r="PP90" s="24">
        <v>0</v>
      </c>
      <c r="PQ90" s="24">
        <v>0</v>
      </c>
      <c r="PR90" s="24">
        <v>0</v>
      </c>
      <c r="PS90" s="24">
        <v>0</v>
      </c>
      <c r="PT90" s="24">
        <v>0</v>
      </c>
      <c r="PU90" s="24">
        <v>0</v>
      </c>
      <c r="PV90" s="24">
        <v>0</v>
      </c>
      <c r="PW90" s="24">
        <v>0</v>
      </c>
      <c r="PX90" s="24">
        <v>0</v>
      </c>
      <c r="PY90" s="24">
        <v>0</v>
      </c>
      <c r="PZ90" s="24">
        <v>0</v>
      </c>
      <c r="QA90" s="24">
        <v>0</v>
      </c>
      <c r="QB90" s="24">
        <v>0</v>
      </c>
      <c r="QC90" s="24">
        <v>0</v>
      </c>
      <c r="QD90" s="24">
        <v>0</v>
      </c>
      <c r="QE90" s="24">
        <v>0</v>
      </c>
      <c r="QF90" s="24">
        <v>0</v>
      </c>
      <c r="QG90" s="24">
        <v>0</v>
      </c>
      <c r="QH90" s="24">
        <v>0</v>
      </c>
      <c r="QI90" s="24">
        <v>0</v>
      </c>
      <c r="QJ90" s="24">
        <v>0</v>
      </c>
      <c r="QK90" s="24">
        <v>0</v>
      </c>
      <c r="QL90" s="24">
        <v>0</v>
      </c>
      <c r="QM90" s="24">
        <v>0</v>
      </c>
      <c r="QN90" s="24">
        <v>0</v>
      </c>
      <c r="QO90" s="24">
        <v>0</v>
      </c>
      <c r="QP90" s="24">
        <v>0</v>
      </c>
      <c r="QQ90" s="24">
        <v>0</v>
      </c>
      <c r="QR90" s="24">
        <v>0</v>
      </c>
      <c r="QS90" s="24">
        <v>0</v>
      </c>
      <c r="QT90" s="24">
        <v>0</v>
      </c>
      <c r="QU90" s="24">
        <v>0</v>
      </c>
      <c r="QV90" s="24">
        <v>1842823</v>
      </c>
      <c r="QW90" s="24">
        <v>0</v>
      </c>
      <c r="QX90" s="24">
        <v>0</v>
      </c>
      <c r="QY90" s="24">
        <v>0</v>
      </c>
      <c r="QZ90" s="24">
        <v>0</v>
      </c>
      <c r="RA90" s="24">
        <v>0</v>
      </c>
      <c r="RB90" s="24">
        <v>0</v>
      </c>
      <c r="RG90" s="39">
        <f t="shared" si="129"/>
        <v>19468855</v>
      </c>
      <c r="RH90" s="39">
        <f t="shared" si="206"/>
        <v>1101967</v>
      </c>
      <c r="RI90" s="39">
        <f t="shared" si="206"/>
        <v>0</v>
      </c>
      <c r="RJ90" s="39">
        <f t="shared" si="206"/>
        <v>0</v>
      </c>
      <c r="RK90" s="39">
        <f t="shared" si="206"/>
        <v>0</v>
      </c>
      <c r="RL90" s="39">
        <f t="shared" si="206"/>
        <v>2562841</v>
      </c>
      <c r="RM90" s="39">
        <f t="shared" si="206"/>
        <v>1045746</v>
      </c>
      <c r="RN90" s="39">
        <f t="shared" si="206"/>
        <v>32125</v>
      </c>
      <c r="RO90" s="39">
        <f t="shared" si="206"/>
        <v>148042</v>
      </c>
      <c r="RP90" s="39">
        <f t="shared" si="206"/>
        <v>0</v>
      </c>
      <c r="RQ90" s="39">
        <f t="shared" si="206"/>
        <v>90029</v>
      </c>
      <c r="RR90" s="39">
        <f t="shared" si="206"/>
        <v>1178896</v>
      </c>
      <c r="RS90" s="39"/>
      <c r="RT90" s="182"/>
      <c r="RU90" s="39"/>
      <c r="RV90" s="39">
        <f t="shared" si="182"/>
        <v>6787042</v>
      </c>
      <c r="RW90" s="39">
        <f t="shared" si="182"/>
        <v>25628501</v>
      </c>
      <c r="RX90" s="39">
        <f t="shared" si="182"/>
        <v>8393552</v>
      </c>
      <c r="RY90" s="39">
        <f t="shared" si="182"/>
        <v>2558612</v>
      </c>
      <c r="RZ90" s="39"/>
      <c r="SA90" s="182"/>
      <c r="SB90" s="39"/>
      <c r="SC90" s="25">
        <f t="shared" si="183"/>
        <v>1737.4357275926309</v>
      </c>
      <c r="SD90" s="39">
        <f>IFERROR(VLOOKUP(A90, 'Levy Data 15-16'!$B:$O, 3, FALSE), 0)</f>
        <v>1357561996</v>
      </c>
      <c r="SE90" s="39">
        <f t="shared" si="144"/>
        <v>281010.55599254812</v>
      </c>
      <c r="SF90" s="631">
        <f>IFERROR(VLOOKUP(A90, 'Levy Data 15-16'!$B:$O, 14, FALSE), 0)*1000</f>
        <v>4.6121570000000007</v>
      </c>
      <c r="SG90" s="39">
        <f t="shared" si="145"/>
        <v>0</v>
      </c>
      <c r="SH90" s="39">
        <f t="shared" si="146"/>
        <v>0</v>
      </c>
      <c r="SI90" s="39">
        <f t="shared" si="147"/>
        <v>8393552</v>
      </c>
      <c r="SM90" s="39">
        <f t="shared" si="148"/>
        <v>25628501</v>
      </c>
      <c r="SN90" s="39">
        <f t="shared" si="149"/>
        <v>0</v>
      </c>
      <c r="SO90" s="39">
        <f t="shared" si="184"/>
        <v>25628501</v>
      </c>
      <c r="SP90" s="50">
        <f t="shared" si="130"/>
        <v>1</v>
      </c>
      <c r="ST90" s="124">
        <f>IFERROR(VLOOKUP(A90,'Grade Enroll 15-16'!B:AC,27,FALSE),"")</f>
        <v>4831</v>
      </c>
      <c r="SU90" s="124">
        <f t="shared" si="185"/>
        <v>1893.4313006561174</v>
      </c>
      <c r="SV90" s="131">
        <f>IFERROR(VLOOKUP($A90, 'Title I Enroll 16-17'!S:V, 4, FALSE), 0)</f>
        <v>0.3919336163643381</v>
      </c>
      <c r="SW90" s="729">
        <f>IFERROR(VLOOKUP(A90, 'ELL Enroll 15-16'!$N:$S, 6, FALSE), 0)</f>
        <v>232</v>
      </c>
      <c r="SX90" s="131">
        <f t="shared" si="131"/>
        <v>4.8023183605878698E-2</v>
      </c>
      <c r="SY90" s="124">
        <f>IFERROR(VLOOKUP(A90, 'SPED enroll 2015-16'!$M:$O, 3, FALSE), 0)</f>
        <v>486</v>
      </c>
      <c r="SZ90" s="131">
        <f t="shared" si="132"/>
        <v>0.10060028979507349</v>
      </c>
      <c r="TA90" s="142">
        <f t="shared" si="133"/>
        <v>340.2</v>
      </c>
      <c r="TB90" s="142">
        <f t="shared" si="133"/>
        <v>97.2</v>
      </c>
      <c r="TC90" s="142">
        <f t="shared" si="133"/>
        <v>34.020000000000003</v>
      </c>
      <c r="TD90" s="142">
        <f t="shared" si="133"/>
        <v>14.58</v>
      </c>
      <c r="TE90" s="124">
        <f>VLOOKUP($A90, 'Grade Enroll 15-16'!$B:$AB, 20, FALSE)</f>
        <v>62</v>
      </c>
      <c r="TF90" s="124">
        <f>VLOOKUP($A90, 'Grade Enroll 15-16'!$B:$AB, 21, FALSE)</f>
        <v>418</v>
      </c>
      <c r="TG90" s="124">
        <f>VLOOKUP($A90, 'Grade Enroll 15-16'!$B:$AB, 22, FALSE)</f>
        <v>1240</v>
      </c>
      <c r="TH90" s="124">
        <f>VLOOKUP($A90, 'Grade Enroll 15-16'!$B:$AB, 23, FALSE)</f>
        <v>1232</v>
      </c>
      <c r="TI90" s="124">
        <f>VLOOKUP($A90, 'Grade Enroll 15-16'!$B:$AB, 24, FALSE)</f>
        <v>802</v>
      </c>
      <c r="TJ90" s="124">
        <f>VLOOKUP($A90, 'Grade Enroll 15-16'!$B:$AB, 25, FALSE)</f>
        <v>1557</v>
      </c>
      <c r="TK90" s="124">
        <f>VLOOKUP($A90, 'Grade Enroll 15-16'!$B:$AB, 26, FALSE)</f>
        <v>3244</v>
      </c>
      <c r="TL90" s="131">
        <f>SUMIFS('Student Achievement 15-16'!N:N, 'Student Achievement 15-16'!B:B, 'Idaho Data'!A90, 'Student Achievement 15-16'!D:D, "math")/100</f>
        <v>0.24100000000000002</v>
      </c>
      <c r="TM90" s="134">
        <f t="shared" si="186"/>
        <v>1164.2710000000002</v>
      </c>
      <c r="TN90" s="131">
        <f>SUMIFS('Student Achievement 15-16'!N:N, 'Student Achievement 15-16'!B:B, 'Idaho Data'!A90, 'Student Achievement 15-16'!D:D, "ela")/100</f>
        <v>0.247</v>
      </c>
      <c r="TO90" s="134">
        <f t="shared" si="134"/>
        <v>1193.2570000000001</v>
      </c>
      <c r="TP90" s="688">
        <f>IFERROR(VLOOKUP(A90, 'G&amp;T 15-16'!B:G, 6, FALSE), 0)*1</f>
        <v>115</v>
      </c>
      <c r="TQ90" s="168">
        <f t="shared" si="135"/>
        <v>289.86</v>
      </c>
      <c r="TU90" s="168">
        <f t="shared" si="136"/>
        <v>1164.2710000000002</v>
      </c>
      <c r="TV90" s="168">
        <f t="shared" si="137"/>
        <v>1193.2570000000001</v>
      </c>
      <c r="TW90" s="205">
        <f t="shared" si="138"/>
        <v>1193.2570000000001</v>
      </c>
      <c r="TX90" s="144"/>
      <c r="TY90" s="129"/>
      <c r="TZ90" s="127">
        <f t="shared" si="139"/>
        <v>115</v>
      </c>
      <c r="UA90" s="127">
        <f t="shared" si="140"/>
        <v>289.86</v>
      </c>
      <c r="UB90" s="205">
        <f t="shared" si="141"/>
        <v>289.86</v>
      </c>
      <c r="UE90" s="853" t="str">
        <f>IF(ST90&lt;='1. Simulator Input'!$E$104, "yes", "")</f>
        <v/>
      </c>
      <c r="UI90" s="199">
        <f t="shared" si="187"/>
        <v>0</v>
      </c>
      <c r="UJ90" s="200">
        <f>IF('Idaho Data'!SI90&gt;=0, ((1-'1. Simulator Input'!$E$39)*'Idaho Data'!SI90), 0)</f>
        <v>0</v>
      </c>
      <c r="UK90" s="200">
        <f t="shared" si="142"/>
        <v>25628501</v>
      </c>
      <c r="UL90" s="39"/>
      <c r="UM90" s="182"/>
      <c r="UN90" s="39"/>
      <c r="UO90" s="39" t="str">
        <f>IF(AND('1. Simulator Input'!$E$96="yes", '1. Simulator Input'!$E$98="yes", '1. Simulator Input'!$E$100="hold harmless"), 'Idaho Data'!WN90, IF(AND('1. Simulator Input'!$E$96="yes", '1. Simulator Input'!$E$98="no", '1. Simulator Input'!$E$100="hold harmless"), 'Idaho Data'!WM90, IF(AND('1. Simulator Input'!$E$96="yes", '1. Simulator Input'!$E$98="yes", '1. Simulator Input'!$E$100="small district grant"), WL90,IF(AND('1. Simulator Input'!$E$96="yes", '1. Simulator Input'!$E$98="no", '1. Simulator Input'!$E$100="small district grant"), WK90, ""))))</f>
        <v/>
      </c>
      <c r="UP90" s="200">
        <f>'1. Simulator Input'!$D$56*('Idaho Data'!ST90)</f>
        <v>26696106</v>
      </c>
      <c r="UQ90" s="204">
        <f>'1. Simulator Input'!$D$65*'1. Simulator Input'!$D$56*'Idaho Data'!SU90</f>
        <v>0</v>
      </c>
      <c r="UR90" s="204">
        <f>'1. Simulator Input'!$D$66*'1. Simulator Input'!$D$56*'Idaho Data'!SW90</f>
        <v>0</v>
      </c>
      <c r="US90" s="200">
        <f>'1. Simulator Input'!$D$67*'1. Simulator Input'!$D$56*'Idaho Data'!TA90</f>
        <v>0</v>
      </c>
      <c r="UT90" s="200">
        <f>'1. Simulator Input'!$D$68*'1. Simulator Input'!$D$56*'Idaho Data'!TB90</f>
        <v>0</v>
      </c>
      <c r="UU90" s="200">
        <f>'1. Simulator Input'!$D$69*'1. Simulator Input'!$D$56*'Idaho Data'!TC90</f>
        <v>0</v>
      </c>
      <c r="UV90" s="200">
        <f>'1. Simulator Input'!$D$70*'1. Simulator Input'!$D$56*TD90</f>
        <v>0</v>
      </c>
      <c r="UW90" s="200">
        <f>'1. Simulator Input'!$D$80*'1. Simulator Input'!$D$56*TW90</f>
        <v>0</v>
      </c>
      <c r="UX90" s="200">
        <f>'1. Simulator Input'!$D$79*'1. Simulator Input'!$D$56*UB90</f>
        <v>0</v>
      </c>
      <c r="UY90" s="200">
        <f>'1. Simulator Input'!$D$87*'1. Simulator Input'!$D$56*TF90</f>
        <v>1154934</v>
      </c>
      <c r="UZ90" s="200">
        <f>'1. Simulator Input'!$D$73*'1. Simulator Input'!$D$56*'Idaho Data'!TG90</f>
        <v>0</v>
      </c>
      <c r="VA90" s="200">
        <f>'1. Simulator Input'!$D$56*'1. Simulator Input'!$D$74*'Idaho Data'!TH90</f>
        <v>0</v>
      </c>
      <c r="VB90" s="200">
        <f>'1. Simulator Input'!$D$56*'1. Simulator Input'!$D$75*'Idaho Data'!TI85</f>
        <v>0</v>
      </c>
      <c r="VC90" s="200">
        <f>'1. Simulator Input'!$D$76*'1. Simulator Input'!$D$56*'Idaho Data'!TJ90</f>
        <v>0</v>
      </c>
      <c r="VD90" s="200">
        <f t="shared" si="188"/>
        <v>27851040</v>
      </c>
      <c r="VE90" s="200"/>
      <c r="VF90" s="182"/>
      <c r="VG90" s="200"/>
      <c r="VH90" s="200">
        <f t="shared" si="189"/>
        <v>0</v>
      </c>
      <c r="VI90" s="200">
        <f t="shared" si="190"/>
        <v>0</v>
      </c>
      <c r="VJ90" s="200">
        <f t="shared" si="150"/>
        <v>27851040</v>
      </c>
      <c r="VK90" s="200">
        <f t="shared" si="151"/>
        <v>27851040</v>
      </c>
      <c r="VL90" s="200"/>
      <c r="VM90" s="182"/>
      <c r="VN90" s="200"/>
      <c r="VO90" s="200">
        <f t="shared" si="191"/>
        <v>6787042</v>
      </c>
      <c r="VP90" s="200">
        <f t="shared" si="192"/>
        <v>25628501</v>
      </c>
      <c r="VQ90" s="200">
        <f t="shared" si="193"/>
        <v>8393552</v>
      </c>
      <c r="VR90" s="200">
        <f t="shared" si="194"/>
        <v>6787042</v>
      </c>
      <c r="VS90" s="200">
        <f t="shared" si="152"/>
        <v>27851040</v>
      </c>
      <c r="VT90" s="200">
        <f t="shared" si="153"/>
        <v>8393552</v>
      </c>
      <c r="VU90" s="200">
        <f t="shared" si="154"/>
        <v>0</v>
      </c>
      <c r="VV90" s="200"/>
      <c r="VW90" s="182"/>
      <c r="VX90" s="200"/>
      <c r="VZ90" s="199">
        <f t="shared" si="195"/>
        <v>2222539</v>
      </c>
      <c r="WA90" s="199">
        <f t="shared" si="196"/>
        <v>460.05775201821569</v>
      </c>
      <c r="WB90" s="131">
        <f t="shared" si="197"/>
        <v>8.6721381012490745E-2</v>
      </c>
      <c r="WC90" s="131"/>
      <c r="WD90" s="461"/>
      <c r="WE90" s="893"/>
      <c r="WF90" s="893">
        <f t="shared" si="198"/>
        <v>8447.3390602359759</v>
      </c>
      <c r="WG90" s="893">
        <f t="shared" si="199"/>
        <v>8907.3968122541919</v>
      </c>
      <c r="WH90" s="893"/>
      <c r="WI90" s="893">
        <f t="shared" si="200"/>
        <v>25628501</v>
      </c>
      <c r="WJ90" s="893">
        <f t="shared" si="155"/>
        <v>27851040</v>
      </c>
      <c r="WK90" s="39" t="str">
        <f t="shared" si="156"/>
        <v/>
      </c>
      <c r="WL90" s="39" t="str">
        <f t="shared" si="157"/>
        <v/>
      </c>
      <c r="WM90" s="200" t="str">
        <f t="shared" si="158"/>
        <v/>
      </c>
      <c r="WN90" s="39" t="str">
        <f t="shared" si="159"/>
        <v/>
      </c>
      <c r="WO90" s="39"/>
      <c r="WP90" s="182"/>
      <c r="WQ90" s="39"/>
      <c r="WR90" s="305">
        <f t="shared" si="160"/>
        <v>0.192</v>
      </c>
      <c r="WT90" s="200">
        <f t="shared" si="161"/>
        <v>5305.0095218381284</v>
      </c>
      <c r="WU90" s="131">
        <f t="shared" si="201"/>
        <v>0.05</v>
      </c>
      <c r="WW90" s="199">
        <f t="shared" si="162"/>
        <v>6787042</v>
      </c>
      <c r="WX90" s="199">
        <f t="shared" si="163"/>
        <v>27851040</v>
      </c>
      <c r="WY90" s="199">
        <f t="shared" si="164"/>
        <v>0</v>
      </c>
      <c r="WZ90" s="199">
        <f t="shared" si="202"/>
        <v>27851040</v>
      </c>
      <c r="XA90" s="199">
        <f t="shared" si="165"/>
        <v>0</v>
      </c>
      <c r="XB90" s="199">
        <f t="shared" si="166"/>
        <v>8393552</v>
      </c>
      <c r="XC90" s="199">
        <f t="shared" si="167"/>
        <v>8393552</v>
      </c>
      <c r="XD90" s="199" t="str">
        <f t="shared" si="168"/>
        <v/>
      </c>
      <c r="XE90" s="199"/>
      <c r="XF90" s="199"/>
      <c r="XG90" s="199"/>
      <c r="XH90" s="199"/>
      <c r="XI90" s="199"/>
      <c r="XJ90" s="199">
        <f t="shared" si="203"/>
        <v>27851040</v>
      </c>
      <c r="XP90" s="199">
        <f t="shared" si="169"/>
        <v>27851040</v>
      </c>
      <c r="XQ90" s="199">
        <f t="shared" si="170"/>
        <v>5765.0672738563444</v>
      </c>
      <c r="XR90" s="199">
        <f t="shared" si="171"/>
        <v>27851040</v>
      </c>
      <c r="XS90" s="199">
        <f t="shared" si="172"/>
        <v>27851040</v>
      </c>
      <c r="XT90" s="199">
        <f t="shared" si="173"/>
        <v>5765.0672738563444</v>
      </c>
      <c r="XU90" s="199">
        <f t="shared" si="174"/>
        <v>25628501</v>
      </c>
      <c r="XV90" s="199">
        <f t="shared" si="175"/>
        <v>5305.0095218381284</v>
      </c>
      <c r="XW90" s="199">
        <f t="shared" si="176"/>
        <v>25628501</v>
      </c>
      <c r="XX90" s="199">
        <f t="shared" si="177"/>
        <v>5305.0095218381284</v>
      </c>
      <c r="XY90" s="199">
        <f t="shared" si="204"/>
        <v>2222539</v>
      </c>
      <c r="XZ90" s="199">
        <f t="shared" si="205"/>
        <v>460.05775201821598</v>
      </c>
      <c r="YA90" s="131">
        <f t="shared" si="143"/>
        <v>8.67213810124908E-2</v>
      </c>
      <c r="YB90" s="199"/>
      <c r="YC90" s="221"/>
      <c r="YD90" s="199"/>
      <c r="YE90" s="199">
        <f t="shared" si="178"/>
        <v>6787042</v>
      </c>
      <c r="YF90" s="200">
        <f t="shared" si="179"/>
        <v>0</v>
      </c>
      <c r="YG90" s="199">
        <f t="shared" si="180"/>
        <v>8393552</v>
      </c>
      <c r="YH90" s="199">
        <f t="shared" si="181"/>
        <v>2558612</v>
      </c>
    </row>
    <row r="91" spans="1:658">
      <c r="A91" s="3">
        <v>322</v>
      </c>
      <c r="B91" s="2" t="s">
        <v>187</v>
      </c>
      <c r="C91" s="24">
        <v>0</v>
      </c>
      <c r="D91" s="24">
        <v>0</v>
      </c>
      <c r="E91" s="24">
        <v>0</v>
      </c>
      <c r="F91" s="24">
        <v>0</v>
      </c>
      <c r="G91" s="24">
        <v>448208</v>
      </c>
      <c r="H91" s="24">
        <v>0</v>
      </c>
      <c r="I91" s="24">
        <v>344</v>
      </c>
      <c r="J91" s="24">
        <v>5646</v>
      </c>
      <c r="K91" s="24">
        <v>0</v>
      </c>
      <c r="L91" s="24">
        <v>0</v>
      </c>
      <c r="M91" s="24">
        <v>0</v>
      </c>
      <c r="N91" s="24">
        <v>6956</v>
      </c>
      <c r="O91" s="24">
        <v>0</v>
      </c>
      <c r="P91" s="24">
        <v>0</v>
      </c>
      <c r="Q91" s="24">
        <v>0</v>
      </c>
      <c r="R91" s="24">
        <v>0</v>
      </c>
      <c r="S91" s="24">
        <v>0</v>
      </c>
      <c r="T91" s="24">
        <v>0</v>
      </c>
      <c r="U91" s="24">
        <v>0</v>
      </c>
      <c r="V91" s="24">
        <v>0</v>
      </c>
      <c r="W91" s="24">
        <v>0</v>
      </c>
      <c r="X91" s="24">
        <v>862973</v>
      </c>
      <c r="Y91" s="24">
        <v>642</v>
      </c>
      <c r="Z91" s="24">
        <v>0</v>
      </c>
      <c r="AA91" s="24">
        <v>4114</v>
      </c>
      <c r="AB91" s="24">
        <v>0</v>
      </c>
      <c r="AC91" s="24">
        <v>0</v>
      </c>
      <c r="AD91" s="24">
        <v>0</v>
      </c>
      <c r="AE91" s="24">
        <v>0</v>
      </c>
      <c r="AF91" s="24">
        <v>0</v>
      </c>
      <c r="AG91" s="24">
        <v>0</v>
      </c>
      <c r="AH91" s="24">
        <v>0</v>
      </c>
      <c r="AI91" s="24">
        <v>0</v>
      </c>
      <c r="AJ91" s="24">
        <v>0</v>
      </c>
      <c r="AK91" s="24">
        <v>0</v>
      </c>
      <c r="AL91" s="24">
        <v>8154</v>
      </c>
      <c r="AM91" s="24">
        <v>0</v>
      </c>
      <c r="AN91" s="24">
        <v>0</v>
      </c>
      <c r="AO91" s="24">
        <v>0</v>
      </c>
      <c r="AP91" s="24">
        <v>0</v>
      </c>
      <c r="AQ91" s="24">
        <v>0</v>
      </c>
      <c r="AR91" s="24">
        <v>0</v>
      </c>
      <c r="AS91" s="24">
        <v>0</v>
      </c>
      <c r="AT91" s="24">
        <v>0</v>
      </c>
      <c r="AU91" s="24">
        <v>0</v>
      </c>
      <c r="AV91" s="24">
        <v>0</v>
      </c>
      <c r="AW91" s="24">
        <v>0</v>
      </c>
      <c r="AX91" s="24">
        <v>0</v>
      </c>
      <c r="AY91" s="24">
        <v>0</v>
      </c>
      <c r="AZ91" s="24">
        <v>0</v>
      </c>
      <c r="BA91" s="24">
        <v>0</v>
      </c>
      <c r="BB91" s="24">
        <v>0</v>
      </c>
      <c r="BC91" s="24">
        <v>0</v>
      </c>
      <c r="BD91" s="24">
        <v>3148</v>
      </c>
      <c r="BE91" s="24">
        <v>10</v>
      </c>
      <c r="BF91" s="24">
        <v>0</v>
      </c>
      <c r="BG91" s="24">
        <v>0</v>
      </c>
      <c r="BH91" s="24">
        <v>0</v>
      </c>
      <c r="BI91" s="24">
        <v>0</v>
      </c>
      <c r="BJ91" s="24">
        <v>0</v>
      </c>
      <c r="BK91" s="24">
        <v>0</v>
      </c>
      <c r="BL91" s="24">
        <v>0</v>
      </c>
      <c r="BM91" s="24">
        <v>0</v>
      </c>
      <c r="BN91" s="24">
        <v>0</v>
      </c>
      <c r="BO91" s="24">
        <v>0</v>
      </c>
      <c r="BP91" s="24">
        <v>0</v>
      </c>
      <c r="BQ91" s="24">
        <v>0</v>
      </c>
      <c r="BR91" s="24">
        <v>0</v>
      </c>
      <c r="BS91" s="24">
        <v>0</v>
      </c>
      <c r="BT91" s="24">
        <v>0</v>
      </c>
      <c r="BU91" s="24">
        <v>0</v>
      </c>
      <c r="BV91" s="24">
        <v>0</v>
      </c>
      <c r="BW91" s="24">
        <v>0</v>
      </c>
      <c r="BX91" s="24">
        <v>0</v>
      </c>
      <c r="BY91" s="24">
        <v>0</v>
      </c>
      <c r="BZ91" s="24">
        <v>0</v>
      </c>
      <c r="CA91" s="24">
        <v>0</v>
      </c>
      <c r="CB91" s="24">
        <v>0</v>
      </c>
      <c r="CC91" s="24">
        <v>0</v>
      </c>
      <c r="CD91" s="24">
        <v>212437</v>
      </c>
      <c r="CE91" s="24">
        <v>8562</v>
      </c>
      <c r="CF91" s="24">
        <v>0</v>
      </c>
      <c r="CG91" s="24">
        <v>0</v>
      </c>
      <c r="CH91" s="24">
        <v>0</v>
      </c>
      <c r="CI91" s="24">
        <v>0</v>
      </c>
      <c r="CJ91" s="24">
        <v>0</v>
      </c>
      <c r="CK91" s="24">
        <v>0</v>
      </c>
      <c r="CL91" s="24">
        <v>0</v>
      </c>
      <c r="CM91" s="24">
        <v>0</v>
      </c>
      <c r="CN91" s="24">
        <v>0</v>
      </c>
      <c r="CO91" s="24">
        <v>0</v>
      </c>
      <c r="CP91" s="24">
        <v>0</v>
      </c>
      <c r="CQ91" s="24">
        <v>0</v>
      </c>
      <c r="CR91" s="24">
        <v>0</v>
      </c>
      <c r="CS91" s="24">
        <v>0</v>
      </c>
      <c r="CT91" s="24">
        <v>0</v>
      </c>
      <c r="CU91" s="24">
        <v>0</v>
      </c>
      <c r="CV91" s="24">
        <v>0</v>
      </c>
      <c r="CW91" s="24">
        <v>0</v>
      </c>
      <c r="CX91" s="24">
        <v>0</v>
      </c>
      <c r="CY91" s="24">
        <v>0</v>
      </c>
      <c r="CZ91" s="24">
        <v>0</v>
      </c>
      <c r="DA91" s="24">
        <v>0</v>
      </c>
      <c r="DB91" s="24">
        <v>0</v>
      </c>
      <c r="DC91" s="24">
        <v>0</v>
      </c>
      <c r="DD91" s="24">
        <v>0</v>
      </c>
      <c r="DE91" s="24">
        <v>0</v>
      </c>
      <c r="DF91" s="24">
        <v>0</v>
      </c>
      <c r="DG91" s="24">
        <v>25397</v>
      </c>
      <c r="DH91" s="24">
        <v>0</v>
      </c>
      <c r="DI91" s="24">
        <v>0</v>
      </c>
      <c r="DJ91" s="24">
        <v>0</v>
      </c>
      <c r="DK91" s="24">
        <v>0</v>
      </c>
      <c r="DL91" s="24">
        <v>0</v>
      </c>
      <c r="DM91" s="24">
        <v>0</v>
      </c>
      <c r="DN91" s="24">
        <v>0</v>
      </c>
      <c r="DO91" s="24">
        <v>0</v>
      </c>
      <c r="DP91" s="24">
        <v>0</v>
      </c>
      <c r="DQ91" s="24">
        <v>0</v>
      </c>
      <c r="DR91" s="24">
        <v>0</v>
      </c>
      <c r="DS91" s="24">
        <v>0</v>
      </c>
      <c r="DT91" s="24">
        <v>0</v>
      </c>
      <c r="DU91" s="24">
        <v>0</v>
      </c>
      <c r="DV91" s="24">
        <v>0</v>
      </c>
      <c r="DW91" s="24">
        <v>0</v>
      </c>
      <c r="DX91" s="24">
        <v>0</v>
      </c>
      <c r="DY91" s="24">
        <v>0</v>
      </c>
      <c r="DZ91" s="24">
        <v>0</v>
      </c>
      <c r="EA91" s="24">
        <v>0</v>
      </c>
      <c r="EB91" s="24">
        <v>0</v>
      </c>
      <c r="EC91" s="24">
        <v>0</v>
      </c>
      <c r="ED91" s="24">
        <v>0</v>
      </c>
      <c r="EE91" s="24">
        <v>0</v>
      </c>
      <c r="EF91" s="24">
        <v>0</v>
      </c>
      <c r="EG91" s="24">
        <v>200</v>
      </c>
      <c r="EH91" s="24">
        <v>0</v>
      </c>
      <c r="EI91" s="24">
        <v>0</v>
      </c>
      <c r="EJ91" s="24">
        <v>0</v>
      </c>
      <c r="EK91" s="24">
        <v>0</v>
      </c>
      <c r="EL91" s="24">
        <v>0</v>
      </c>
      <c r="EM91" s="24">
        <v>0</v>
      </c>
      <c r="EN91" s="24">
        <v>0</v>
      </c>
      <c r="EO91" s="24">
        <v>0</v>
      </c>
      <c r="EP91" s="24">
        <v>0</v>
      </c>
      <c r="EQ91" s="24">
        <v>0</v>
      </c>
      <c r="ER91" s="24">
        <v>0</v>
      </c>
      <c r="ES91" s="24">
        <v>0</v>
      </c>
      <c r="ET91" s="24">
        <v>0</v>
      </c>
      <c r="EU91" s="24">
        <v>0</v>
      </c>
      <c r="EV91" s="24">
        <v>0</v>
      </c>
      <c r="EW91" s="24">
        <v>0</v>
      </c>
      <c r="EX91" s="24">
        <v>0</v>
      </c>
      <c r="EY91" s="24">
        <v>0</v>
      </c>
      <c r="EZ91" s="24">
        <v>0</v>
      </c>
      <c r="FA91" s="24">
        <v>0</v>
      </c>
      <c r="FB91" s="24">
        <v>0</v>
      </c>
      <c r="FC91" s="24">
        <v>0</v>
      </c>
      <c r="FD91" s="24">
        <v>0</v>
      </c>
      <c r="FE91" s="24">
        <v>0</v>
      </c>
      <c r="FF91" s="24">
        <v>0</v>
      </c>
      <c r="FG91" s="24">
        <v>0</v>
      </c>
      <c r="FH91" s="24">
        <v>0</v>
      </c>
      <c r="FI91" s="24">
        <v>0</v>
      </c>
      <c r="FJ91" s="24">
        <v>0</v>
      </c>
      <c r="FK91" s="24">
        <v>0</v>
      </c>
      <c r="FL91" s="24">
        <v>0</v>
      </c>
      <c r="FM91" s="24">
        <v>0</v>
      </c>
      <c r="FN91" s="24">
        <v>0</v>
      </c>
      <c r="FO91" s="24">
        <v>0</v>
      </c>
      <c r="FP91" s="24">
        <v>0</v>
      </c>
      <c r="FQ91" s="24">
        <v>0</v>
      </c>
      <c r="FR91" s="24">
        <v>0</v>
      </c>
      <c r="FS91" s="24">
        <v>96229</v>
      </c>
      <c r="FT91" s="24">
        <v>0</v>
      </c>
      <c r="FU91" s="24">
        <v>0</v>
      </c>
      <c r="FV91" s="24">
        <v>0</v>
      </c>
      <c r="FW91" s="24">
        <v>0</v>
      </c>
      <c r="FX91" s="24">
        <v>0</v>
      </c>
      <c r="FY91" s="24">
        <v>319866</v>
      </c>
      <c r="FZ91" s="24">
        <v>0</v>
      </c>
      <c r="GA91" s="24">
        <v>0</v>
      </c>
      <c r="GB91" s="24">
        <v>0</v>
      </c>
      <c r="GC91" s="24">
        <v>0</v>
      </c>
      <c r="GD91" s="24">
        <v>0</v>
      </c>
      <c r="GE91" s="24">
        <v>17931</v>
      </c>
      <c r="GF91" s="24">
        <v>0</v>
      </c>
      <c r="GG91" s="24">
        <v>69661</v>
      </c>
      <c r="GH91" s="24">
        <v>0</v>
      </c>
      <c r="GI91" s="24">
        <v>0</v>
      </c>
      <c r="GJ91" s="24">
        <v>7065</v>
      </c>
      <c r="GK91" s="24">
        <v>0</v>
      </c>
      <c r="GL91" s="24">
        <v>0</v>
      </c>
      <c r="GM91" s="24">
        <v>0</v>
      </c>
      <c r="GN91" s="24">
        <v>0</v>
      </c>
      <c r="GO91" s="24">
        <v>0</v>
      </c>
      <c r="GP91" s="24">
        <v>0</v>
      </c>
      <c r="GQ91" s="24">
        <v>0</v>
      </c>
      <c r="GR91" s="24">
        <v>4208</v>
      </c>
      <c r="GS91" s="24">
        <v>0</v>
      </c>
      <c r="GT91" s="24">
        <v>0</v>
      </c>
      <c r="GU91" s="24">
        <v>0</v>
      </c>
      <c r="GV91" s="24">
        <v>0</v>
      </c>
      <c r="GW91" s="24">
        <v>0</v>
      </c>
      <c r="GX91" s="24">
        <v>0</v>
      </c>
      <c r="GY91" s="24">
        <v>0</v>
      </c>
      <c r="GZ91" s="24">
        <v>0</v>
      </c>
      <c r="HA91" s="24">
        <v>0</v>
      </c>
      <c r="HB91" s="24">
        <v>0</v>
      </c>
      <c r="HC91" s="24">
        <v>0</v>
      </c>
      <c r="HD91" s="24">
        <v>6527222</v>
      </c>
      <c r="HE91" s="24">
        <v>0</v>
      </c>
      <c r="HF91" s="24">
        <v>0</v>
      </c>
      <c r="HG91" s="24">
        <v>0</v>
      </c>
      <c r="HH91" s="24">
        <v>0</v>
      </c>
      <c r="HI91" s="24">
        <v>277817</v>
      </c>
      <c r="HJ91" s="24">
        <v>0</v>
      </c>
      <c r="HK91" s="24">
        <v>0</v>
      </c>
      <c r="HL91" s="24">
        <v>0</v>
      </c>
      <c r="HM91" s="24">
        <v>0</v>
      </c>
      <c r="HN91" s="24">
        <v>0</v>
      </c>
      <c r="HO91" s="24">
        <v>853669</v>
      </c>
      <c r="HP91" s="24">
        <v>257791</v>
      </c>
      <c r="HQ91" s="24">
        <v>0</v>
      </c>
      <c r="HR91" s="24">
        <v>0</v>
      </c>
      <c r="HS91" s="24">
        <v>0</v>
      </c>
      <c r="HT91" s="24">
        <v>0</v>
      </c>
      <c r="HU91" s="24">
        <v>0</v>
      </c>
      <c r="HV91" s="24">
        <v>0</v>
      </c>
      <c r="HW91" s="24">
        <v>0</v>
      </c>
      <c r="HX91" s="24">
        <v>0</v>
      </c>
      <c r="HY91" s="24">
        <v>0</v>
      </c>
      <c r="HZ91" s="24">
        <v>0</v>
      </c>
      <c r="IA91" s="24">
        <v>24670</v>
      </c>
      <c r="IB91" s="24">
        <v>22138</v>
      </c>
      <c r="IC91" s="24">
        <v>0</v>
      </c>
      <c r="ID91" s="24">
        <v>17770</v>
      </c>
      <c r="IE91" s="24">
        <v>0</v>
      </c>
      <c r="IF91" s="24">
        <v>0</v>
      </c>
      <c r="IG91" s="24">
        <v>0</v>
      </c>
      <c r="IH91" s="24">
        <v>0</v>
      </c>
      <c r="II91" s="24">
        <v>0</v>
      </c>
      <c r="IJ91" s="24">
        <v>278033</v>
      </c>
      <c r="IK91" s="24">
        <v>0</v>
      </c>
      <c r="IL91" s="24">
        <v>0</v>
      </c>
      <c r="IM91" s="24">
        <v>0</v>
      </c>
      <c r="IN91" s="24">
        <v>0</v>
      </c>
      <c r="IO91" s="24">
        <v>13875</v>
      </c>
      <c r="IP91" s="24">
        <v>0</v>
      </c>
      <c r="IQ91" s="24">
        <v>0</v>
      </c>
      <c r="IR91" s="24">
        <v>56024</v>
      </c>
      <c r="IS91" s="24">
        <v>0</v>
      </c>
      <c r="IT91" s="24">
        <v>0</v>
      </c>
      <c r="IU91" s="24">
        <v>0</v>
      </c>
      <c r="IV91" s="24">
        <v>0</v>
      </c>
      <c r="IW91" s="24">
        <v>141733</v>
      </c>
      <c r="IX91" s="24">
        <v>0</v>
      </c>
      <c r="IY91" s="24">
        <v>0</v>
      </c>
      <c r="IZ91" s="24">
        <v>0</v>
      </c>
      <c r="JA91" s="24">
        <v>0</v>
      </c>
      <c r="JB91" s="24">
        <v>40623</v>
      </c>
      <c r="JC91" s="24">
        <v>0</v>
      </c>
      <c r="JD91" s="24">
        <v>0</v>
      </c>
      <c r="JE91" s="24">
        <v>22611</v>
      </c>
      <c r="JF91" s="24">
        <v>0</v>
      </c>
      <c r="JG91" s="24">
        <v>0</v>
      </c>
      <c r="JH91" s="24">
        <v>0</v>
      </c>
      <c r="JI91" s="24">
        <v>0</v>
      </c>
      <c r="JJ91" s="24">
        <v>0</v>
      </c>
      <c r="JK91" s="24">
        <v>0</v>
      </c>
      <c r="JL91" s="24">
        <v>0</v>
      </c>
      <c r="JM91" s="24">
        <v>0</v>
      </c>
      <c r="JN91" s="24">
        <v>0</v>
      </c>
      <c r="JO91" s="24">
        <v>0</v>
      </c>
      <c r="JP91" s="24">
        <v>0</v>
      </c>
      <c r="JQ91" s="24">
        <v>0</v>
      </c>
      <c r="JR91" s="24">
        <v>0</v>
      </c>
      <c r="JS91" s="24">
        <v>0</v>
      </c>
      <c r="JT91" s="24">
        <v>0</v>
      </c>
      <c r="JU91" s="24">
        <v>0</v>
      </c>
      <c r="JV91" s="24">
        <v>0</v>
      </c>
      <c r="JW91" s="24">
        <v>0</v>
      </c>
      <c r="JX91" s="24">
        <v>0</v>
      </c>
      <c r="JY91" s="24">
        <v>0</v>
      </c>
      <c r="JZ91" s="24">
        <v>0</v>
      </c>
      <c r="KA91" s="24">
        <v>0</v>
      </c>
      <c r="KB91" s="24">
        <v>2173</v>
      </c>
      <c r="KC91" s="24">
        <v>0</v>
      </c>
      <c r="KD91" s="24">
        <v>0</v>
      </c>
      <c r="KE91" s="24">
        <v>0</v>
      </c>
      <c r="KF91" s="24">
        <v>0</v>
      </c>
      <c r="KG91" s="24">
        <v>59730</v>
      </c>
      <c r="KH91" s="24">
        <v>0</v>
      </c>
      <c r="KI91" s="24">
        <v>0</v>
      </c>
      <c r="KJ91" s="24">
        <v>0</v>
      </c>
      <c r="KK91" s="24">
        <v>0</v>
      </c>
      <c r="KL91" s="24">
        <v>0</v>
      </c>
      <c r="KM91" s="24">
        <v>0</v>
      </c>
      <c r="KN91" s="24">
        <v>0</v>
      </c>
      <c r="KO91" s="24">
        <v>0</v>
      </c>
      <c r="KP91" s="24">
        <v>0</v>
      </c>
      <c r="KQ91" s="24">
        <v>0</v>
      </c>
      <c r="KR91" s="24">
        <v>0</v>
      </c>
      <c r="KS91" s="24">
        <v>0</v>
      </c>
      <c r="KT91" s="24">
        <v>0</v>
      </c>
      <c r="KU91" s="24">
        <v>0</v>
      </c>
      <c r="KV91" s="24">
        <v>0</v>
      </c>
      <c r="KW91" s="24">
        <v>0</v>
      </c>
      <c r="KX91" s="24">
        <v>0</v>
      </c>
      <c r="KY91" s="24">
        <v>0</v>
      </c>
      <c r="KZ91" s="24">
        <v>0</v>
      </c>
      <c r="LA91" s="24">
        <v>0</v>
      </c>
      <c r="LB91" s="24">
        <v>0</v>
      </c>
      <c r="LC91" s="24">
        <v>0</v>
      </c>
      <c r="LD91" s="24">
        <v>0</v>
      </c>
      <c r="LE91" s="24">
        <v>0</v>
      </c>
      <c r="LF91" s="24">
        <v>0</v>
      </c>
      <c r="LG91" s="24">
        <v>0</v>
      </c>
      <c r="LH91" s="24">
        <v>0</v>
      </c>
      <c r="LI91" s="24">
        <v>0</v>
      </c>
      <c r="LJ91" s="24">
        <v>0</v>
      </c>
      <c r="LK91" s="24">
        <v>0</v>
      </c>
      <c r="LL91" s="24">
        <v>0</v>
      </c>
      <c r="LM91" s="24">
        <v>0</v>
      </c>
      <c r="LN91" s="24">
        <v>0</v>
      </c>
      <c r="LO91" s="24">
        <v>0</v>
      </c>
      <c r="LP91" s="24">
        <v>0</v>
      </c>
      <c r="LQ91" s="24">
        <v>151851</v>
      </c>
      <c r="LR91" s="24">
        <v>0</v>
      </c>
      <c r="LS91" s="24">
        <v>0</v>
      </c>
      <c r="LT91" s="24">
        <v>0</v>
      </c>
      <c r="LU91" s="24">
        <v>0</v>
      </c>
      <c r="LV91" s="24">
        <v>0</v>
      </c>
      <c r="LW91" s="24">
        <v>0</v>
      </c>
      <c r="LX91" s="24">
        <v>0</v>
      </c>
      <c r="LY91" s="24">
        <v>0</v>
      </c>
      <c r="LZ91" s="24">
        <v>0</v>
      </c>
      <c r="MA91" s="24">
        <v>0</v>
      </c>
      <c r="MB91" s="24">
        <v>0</v>
      </c>
      <c r="MC91" s="24">
        <v>0</v>
      </c>
      <c r="MD91" s="24">
        <v>0</v>
      </c>
      <c r="ME91" s="24">
        <v>0</v>
      </c>
      <c r="MF91" s="24">
        <v>0</v>
      </c>
      <c r="MG91" s="24">
        <v>0</v>
      </c>
      <c r="MH91" s="24">
        <v>0</v>
      </c>
      <c r="MI91" s="24">
        <v>0</v>
      </c>
      <c r="MJ91" s="24">
        <v>0</v>
      </c>
      <c r="MK91" s="24">
        <v>0</v>
      </c>
      <c r="ML91" s="24">
        <v>0</v>
      </c>
      <c r="MM91" s="24">
        <v>0</v>
      </c>
      <c r="MN91" s="24">
        <v>0</v>
      </c>
      <c r="MO91" s="24">
        <v>13598</v>
      </c>
      <c r="MP91" s="24">
        <v>0</v>
      </c>
      <c r="MQ91" s="24">
        <v>0</v>
      </c>
      <c r="MR91" s="24">
        <v>513402</v>
      </c>
      <c r="MS91" s="24">
        <v>0</v>
      </c>
      <c r="MT91" s="24">
        <v>0</v>
      </c>
      <c r="MU91" s="24">
        <v>0</v>
      </c>
      <c r="MV91" s="24">
        <v>0</v>
      </c>
      <c r="MW91" s="24">
        <v>240733</v>
      </c>
      <c r="MX91" s="24">
        <v>10560</v>
      </c>
      <c r="MY91" s="24">
        <v>0</v>
      </c>
      <c r="MZ91" s="24">
        <v>0</v>
      </c>
      <c r="NA91" s="24">
        <v>0</v>
      </c>
      <c r="NB91" s="24">
        <v>0</v>
      </c>
      <c r="NC91" s="24">
        <v>0</v>
      </c>
      <c r="ND91" s="24">
        <v>0</v>
      </c>
      <c r="NE91" s="24">
        <v>0</v>
      </c>
      <c r="NF91" s="24">
        <v>0</v>
      </c>
      <c r="NG91" s="24">
        <v>0</v>
      </c>
      <c r="NH91" s="24">
        <v>0</v>
      </c>
      <c r="NI91" s="24">
        <v>0</v>
      </c>
      <c r="NJ91" s="24">
        <v>0</v>
      </c>
      <c r="NK91" s="24">
        <v>0</v>
      </c>
      <c r="NL91" s="24">
        <v>0</v>
      </c>
      <c r="NM91" s="24">
        <v>0</v>
      </c>
      <c r="NN91" s="24">
        <v>0</v>
      </c>
      <c r="NO91" s="24">
        <v>0</v>
      </c>
      <c r="NP91" s="24">
        <v>0</v>
      </c>
      <c r="NQ91" s="24">
        <v>0</v>
      </c>
      <c r="NR91" s="24">
        <v>0</v>
      </c>
      <c r="NS91" s="24">
        <v>0</v>
      </c>
      <c r="NT91" s="24">
        <v>0</v>
      </c>
      <c r="NU91" s="24">
        <v>0</v>
      </c>
      <c r="NV91" s="24">
        <v>36604</v>
      </c>
      <c r="NW91" s="24">
        <v>0</v>
      </c>
      <c r="NX91" s="24">
        <v>0</v>
      </c>
      <c r="NY91" s="24">
        <v>81775</v>
      </c>
      <c r="NZ91" s="24">
        <v>59506</v>
      </c>
      <c r="OA91" s="24">
        <v>0</v>
      </c>
      <c r="OB91" s="24">
        <v>0</v>
      </c>
      <c r="OC91" s="24">
        <v>0</v>
      </c>
      <c r="OD91" s="24">
        <v>0</v>
      </c>
      <c r="OE91" s="24">
        <v>0</v>
      </c>
      <c r="OF91" s="24">
        <v>0</v>
      </c>
      <c r="OG91" s="24">
        <v>0</v>
      </c>
      <c r="OH91" s="24">
        <v>0</v>
      </c>
      <c r="OI91" s="24">
        <v>0</v>
      </c>
      <c r="OJ91" s="24">
        <v>0</v>
      </c>
      <c r="OK91" s="24">
        <v>0</v>
      </c>
      <c r="OL91" s="24">
        <v>0</v>
      </c>
      <c r="OM91" s="24">
        <v>0</v>
      </c>
      <c r="ON91" s="24">
        <v>0</v>
      </c>
      <c r="OO91" s="24">
        <v>0</v>
      </c>
      <c r="OP91" s="24">
        <v>0</v>
      </c>
      <c r="OQ91" s="24">
        <v>0</v>
      </c>
      <c r="OR91" s="24">
        <v>0</v>
      </c>
      <c r="OS91" s="24">
        <v>0</v>
      </c>
      <c r="OT91" s="24">
        <v>0</v>
      </c>
      <c r="OU91" s="24">
        <v>0</v>
      </c>
      <c r="OV91" s="24">
        <v>0</v>
      </c>
      <c r="OW91" s="24">
        <v>0</v>
      </c>
      <c r="OX91" s="24">
        <v>0</v>
      </c>
      <c r="OY91" s="24">
        <v>0</v>
      </c>
      <c r="OZ91" s="24">
        <v>0</v>
      </c>
      <c r="PA91" s="24">
        <v>0</v>
      </c>
      <c r="PB91" s="24">
        <v>0</v>
      </c>
      <c r="PC91" s="24">
        <v>0</v>
      </c>
      <c r="PD91" s="24">
        <v>0</v>
      </c>
      <c r="PE91" s="24">
        <v>0</v>
      </c>
      <c r="PF91" s="24">
        <v>0</v>
      </c>
      <c r="PG91" s="24">
        <v>0</v>
      </c>
      <c r="PH91" s="24">
        <v>6560</v>
      </c>
      <c r="PI91" s="24">
        <v>0</v>
      </c>
      <c r="PJ91" s="24">
        <v>0</v>
      </c>
      <c r="PK91" s="24">
        <v>0</v>
      </c>
      <c r="PL91" s="24">
        <v>0</v>
      </c>
      <c r="PM91" s="24">
        <v>0</v>
      </c>
      <c r="PN91" s="24">
        <v>100000</v>
      </c>
      <c r="PO91" s="24">
        <v>0</v>
      </c>
      <c r="PP91" s="24">
        <v>0</v>
      </c>
      <c r="PQ91" s="24">
        <v>0</v>
      </c>
      <c r="PR91" s="24">
        <v>0</v>
      </c>
      <c r="PS91" s="24">
        <v>0</v>
      </c>
      <c r="PT91" s="24">
        <v>0</v>
      </c>
      <c r="PU91" s="24">
        <v>0</v>
      </c>
      <c r="PV91" s="24">
        <v>2850</v>
      </c>
      <c r="PW91" s="24">
        <v>68140</v>
      </c>
      <c r="PX91" s="24">
        <v>0</v>
      </c>
      <c r="PY91" s="24">
        <v>0</v>
      </c>
      <c r="PZ91" s="24">
        <v>0</v>
      </c>
      <c r="QA91" s="24">
        <v>0</v>
      </c>
      <c r="QB91" s="24">
        <v>0</v>
      </c>
      <c r="QC91" s="24">
        <v>0</v>
      </c>
      <c r="QD91" s="24">
        <v>0</v>
      </c>
      <c r="QE91" s="24">
        <v>0</v>
      </c>
      <c r="QF91" s="24">
        <v>0</v>
      </c>
      <c r="QG91" s="24">
        <v>0</v>
      </c>
      <c r="QH91" s="24">
        <v>0</v>
      </c>
      <c r="QI91" s="24">
        <v>0</v>
      </c>
      <c r="QJ91" s="24">
        <v>0</v>
      </c>
      <c r="QK91" s="24">
        <v>0</v>
      </c>
      <c r="QL91" s="24">
        <v>0</v>
      </c>
      <c r="QM91" s="24">
        <v>0</v>
      </c>
      <c r="QN91" s="24">
        <v>0</v>
      </c>
      <c r="QO91" s="24">
        <v>0</v>
      </c>
      <c r="QP91" s="24">
        <v>0</v>
      </c>
      <c r="QQ91" s="24">
        <v>0</v>
      </c>
      <c r="QR91" s="24">
        <v>0</v>
      </c>
      <c r="QS91" s="24">
        <v>17230</v>
      </c>
      <c r="QT91" s="24">
        <v>0</v>
      </c>
      <c r="QU91" s="24">
        <v>255339</v>
      </c>
      <c r="QV91" s="24">
        <v>50554</v>
      </c>
      <c r="QW91" s="24">
        <v>0</v>
      </c>
      <c r="QX91" s="24">
        <v>0</v>
      </c>
      <c r="QY91" s="24">
        <v>0</v>
      </c>
      <c r="QZ91" s="24">
        <v>0</v>
      </c>
      <c r="RA91" s="24">
        <v>0</v>
      </c>
      <c r="RB91" s="24">
        <v>0</v>
      </c>
      <c r="RG91" s="39">
        <f t="shared" si="129"/>
        <v>6527222</v>
      </c>
      <c r="RH91" s="39">
        <f t="shared" si="206"/>
        <v>277817</v>
      </c>
      <c r="RI91" s="39">
        <f t="shared" si="206"/>
        <v>0</v>
      </c>
      <c r="RJ91" s="39">
        <f t="shared" si="206"/>
        <v>0</v>
      </c>
      <c r="RK91" s="39">
        <f t="shared" si="206"/>
        <v>0</v>
      </c>
      <c r="RL91" s="39">
        <f t="shared" si="206"/>
        <v>853669</v>
      </c>
      <c r="RM91" s="39">
        <f t="shared" si="206"/>
        <v>600402</v>
      </c>
      <c r="RN91" s="39">
        <f t="shared" si="206"/>
        <v>13875</v>
      </c>
      <c r="RO91" s="39">
        <f t="shared" si="206"/>
        <v>56024</v>
      </c>
      <c r="RP91" s="39">
        <f t="shared" si="206"/>
        <v>141733</v>
      </c>
      <c r="RQ91" s="39">
        <f t="shared" si="206"/>
        <v>40623</v>
      </c>
      <c r="RR91" s="39">
        <f t="shared" si="206"/>
        <v>24784</v>
      </c>
      <c r="RS91" s="39"/>
      <c r="RT91" s="182"/>
      <c r="RU91" s="39"/>
      <c r="RV91" s="39">
        <f t="shared" si="182"/>
        <v>1167759</v>
      </c>
      <c r="RW91" s="39">
        <f t="shared" si="182"/>
        <v>8536149</v>
      </c>
      <c r="RX91" s="39">
        <f t="shared" si="182"/>
        <v>2101751</v>
      </c>
      <c r="RY91" s="39">
        <f t="shared" si="182"/>
        <v>500673</v>
      </c>
      <c r="RZ91" s="39"/>
      <c r="SA91" s="182"/>
      <c r="SB91" s="39"/>
      <c r="SC91" s="25">
        <f t="shared" si="183"/>
        <v>1440.5421521590131</v>
      </c>
      <c r="SD91" s="39">
        <f>IFERROR(VLOOKUP(A91, 'Levy Data 15-16'!$B:$O, 3, FALSE), 0)</f>
        <v>257439953</v>
      </c>
      <c r="SE91" s="39">
        <f t="shared" si="144"/>
        <v>176449.59081562713</v>
      </c>
      <c r="SF91" s="631">
        <f>IFERROR(VLOOKUP(A91, 'Levy Data 15-16'!$B:$O, 14, FALSE), 0)*1000</f>
        <v>5.1139260000000002</v>
      </c>
      <c r="SG91" s="39">
        <f t="shared" si="145"/>
        <v>0</v>
      </c>
      <c r="SH91" s="39">
        <f t="shared" si="146"/>
        <v>0</v>
      </c>
      <c r="SI91" s="39">
        <f t="shared" si="147"/>
        <v>2101751</v>
      </c>
      <c r="SM91" s="39">
        <f t="shared" si="148"/>
        <v>8536149</v>
      </c>
      <c r="SN91" s="39">
        <f t="shared" si="149"/>
        <v>0</v>
      </c>
      <c r="SO91" s="39">
        <f t="shared" si="184"/>
        <v>8536149</v>
      </c>
      <c r="SP91" s="50">
        <f t="shared" si="130"/>
        <v>1</v>
      </c>
      <c r="ST91" s="124">
        <f>IFERROR(VLOOKUP(A91,'Grade Enroll 15-16'!B:AC,27,FALSE),"")</f>
        <v>1459</v>
      </c>
      <c r="SU91" s="124">
        <f t="shared" si="185"/>
        <v>676.3698543381887</v>
      </c>
      <c r="SV91" s="131">
        <f>IFERROR(VLOOKUP($A91, 'Title I Enroll 16-17'!S:V, 4, FALSE), 0)</f>
        <v>0.46358454718176062</v>
      </c>
      <c r="SW91" s="729">
        <f>IFERROR(VLOOKUP(A91, 'ELL Enroll 15-16'!$N:$S, 6, FALSE), 0)</f>
        <v>73</v>
      </c>
      <c r="SX91" s="131">
        <f t="shared" si="131"/>
        <v>5.0034270047978065E-2</v>
      </c>
      <c r="SY91" s="124">
        <f>IFERROR(VLOOKUP(A91, 'SPED enroll 2015-16'!$M:$O, 3, FALSE), 0)</f>
        <v>113</v>
      </c>
      <c r="SZ91" s="131">
        <f t="shared" si="132"/>
        <v>7.7450308430431797E-2</v>
      </c>
      <c r="TA91" s="142">
        <f t="shared" si="133"/>
        <v>79.099999999999994</v>
      </c>
      <c r="TB91" s="142">
        <f t="shared" si="133"/>
        <v>22.6</v>
      </c>
      <c r="TC91" s="142">
        <f t="shared" si="133"/>
        <v>7.910000000000001</v>
      </c>
      <c r="TD91" s="142">
        <f t="shared" si="133"/>
        <v>3.3899999999999997</v>
      </c>
      <c r="TE91" s="124">
        <f>VLOOKUP($A91, 'Grade Enroll 15-16'!$B:$AB, 20, FALSE)</f>
        <v>27</v>
      </c>
      <c r="TF91" s="124">
        <f>VLOOKUP($A91, 'Grade Enroll 15-16'!$B:$AB, 21, FALSE)</f>
        <v>87</v>
      </c>
      <c r="TG91" s="124">
        <f>VLOOKUP($A91, 'Grade Enroll 15-16'!$B:$AB, 22, FALSE)</f>
        <v>339</v>
      </c>
      <c r="TH91" s="124">
        <f>VLOOKUP($A91, 'Grade Enroll 15-16'!$B:$AB, 23, FALSE)</f>
        <v>339</v>
      </c>
      <c r="TI91" s="124">
        <f>VLOOKUP($A91, 'Grade Enroll 15-16'!$B:$AB, 24, FALSE)</f>
        <v>256</v>
      </c>
      <c r="TJ91" s="124">
        <f>VLOOKUP($A91, 'Grade Enroll 15-16'!$B:$AB, 25, FALSE)</f>
        <v>525</v>
      </c>
      <c r="TK91" s="124">
        <f>VLOOKUP($A91, 'Grade Enroll 15-16'!$B:$AB, 26, FALSE)</f>
        <v>987</v>
      </c>
      <c r="TL91" s="131">
        <f>SUMIFS('Student Achievement 15-16'!N:N, 'Student Achievement 15-16'!B:B, 'Idaho Data'!A91, 'Student Achievement 15-16'!D:D, "math")/100</f>
        <v>0.23499999999999999</v>
      </c>
      <c r="TM91" s="134">
        <f t="shared" si="186"/>
        <v>342.86499999999995</v>
      </c>
      <c r="TN91" s="131">
        <f>SUMIFS('Student Achievement 15-16'!N:N, 'Student Achievement 15-16'!B:B, 'Idaho Data'!A91, 'Student Achievement 15-16'!D:D, "ela")/100</f>
        <v>0.23699999999999999</v>
      </c>
      <c r="TO91" s="134">
        <f t="shared" si="134"/>
        <v>345.78299999999996</v>
      </c>
      <c r="TP91" s="688">
        <f>IFERROR(VLOOKUP(A91, 'G&amp;T 15-16'!B:G, 6, FALSE), 0)*1</f>
        <v>122</v>
      </c>
      <c r="TQ91" s="168">
        <f t="shared" si="135"/>
        <v>87.539999999999992</v>
      </c>
      <c r="TU91" s="168">
        <f t="shared" si="136"/>
        <v>342.86499999999995</v>
      </c>
      <c r="TV91" s="168">
        <f t="shared" si="137"/>
        <v>345.78299999999996</v>
      </c>
      <c r="TW91" s="205">
        <f t="shared" si="138"/>
        <v>345.78299999999996</v>
      </c>
      <c r="TX91" s="144"/>
      <c r="TY91" s="129"/>
      <c r="TZ91" s="127">
        <f t="shared" si="139"/>
        <v>87.539999999999992</v>
      </c>
      <c r="UA91" s="127">
        <f t="shared" si="140"/>
        <v>122</v>
      </c>
      <c r="UB91" s="205">
        <f t="shared" si="141"/>
        <v>122</v>
      </c>
      <c r="UE91" s="853" t="str">
        <f>IF(ST91&lt;='1. Simulator Input'!$E$104, "yes", "")</f>
        <v/>
      </c>
      <c r="UI91" s="199">
        <f t="shared" si="187"/>
        <v>0</v>
      </c>
      <c r="UJ91" s="200">
        <f>IF('Idaho Data'!SI91&gt;=0, ((1-'1. Simulator Input'!$E$39)*'Idaho Data'!SI91), 0)</f>
        <v>0</v>
      </c>
      <c r="UK91" s="200">
        <f t="shared" si="142"/>
        <v>8536149</v>
      </c>
      <c r="UL91" s="39"/>
      <c r="UM91" s="182"/>
      <c r="UN91" s="39"/>
      <c r="UO91" s="39" t="str">
        <f>IF(AND('1. Simulator Input'!$E$96="yes", '1. Simulator Input'!$E$98="yes", '1. Simulator Input'!$E$100="hold harmless"), 'Idaho Data'!WN91, IF(AND('1. Simulator Input'!$E$96="yes", '1. Simulator Input'!$E$98="no", '1. Simulator Input'!$E$100="hold harmless"), 'Idaho Data'!WM91, IF(AND('1. Simulator Input'!$E$96="yes", '1. Simulator Input'!$E$98="yes", '1. Simulator Input'!$E$100="small district grant"), WL91,IF(AND('1. Simulator Input'!$E$96="yes", '1. Simulator Input'!$E$98="no", '1. Simulator Input'!$E$100="small district grant"), WK91, ""))))</f>
        <v/>
      </c>
      <c r="UP91" s="200">
        <f>'1. Simulator Input'!$D$56*('Idaho Data'!ST91)</f>
        <v>8062434</v>
      </c>
      <c r="UQ91" s="204">
        <f>'1. Simulator Input'!$D$65*'1. Simulator Input'!$D$56*'Idaho Data'!SU91</f>
        <v>0</v>
      </c>
      <c r="UR91" s="204">
        <f>'1. Simulator Input'!$D$66*'1. Simulator Input'!$D$56*'Idaho Data'!SW91</f>
        <v>0</v>
      </c>
      <c r="US91" s="200">
        <f>'1. Simulator Input'!$D$67*'1. Simulator Input'!$D$56*'Idaho Data'!TA91</f>
        <v>0</v>
      </c>
      <c r="UT91" s="200">
        <f>'1. Simulator Input'!$D$68*'1. Simulator Input'!$D$56*'Idaho Data'!TB91</f>
        <v>0</v>
      </c>
      <c r="UU91" s="200">
        <f>'1. Simulator Input'!$D$69*'1. Simulator Input'!$D$56*'Idaho Data'!TC91</f>
        <v>0</v>
      </c>
      <c r="UV91" s="200">
        <f>'1. Simulator Input'!$D$70*'1. Simulator Input'!$D$56*TD91</f>
        <v>0</v>
      </c>
      <c r="UW91" s="200">
        <f>'1. Simulator Input'!$D$80*'1. Simulator Input'!$D$56*TW91</f>
        <v>0</v>
      </c>
      <c r="UX91" s="200">
        <f>'1. Simulator Input'!$D$79*'1. Simulator Input'!$D$56*UB91</f>
        <v>0</v>
      </c>
      <c r="UY91" s="200">
        <f>'1. Simulator Input'!$D$87*'1. Simulator Input'!$D$56*TF91</f>
        <v>240381</v>
      </c>
      <c r="UZ91" s="200">
        <f>'1. Simulator Input'!$D$73*'1. Simulator Input'!$D$56*'Idaho Data'!TG91</f>
        <v>0</v>
      </c>
      <c r="VA91" s="200">
        <f>'1. Simulator Input'!$D$56*'1. Simulator Input'!$D$74*'Idaho Data'!TH91</f>
        <v>0</v>
      </c>
      <c r="VB91" s="200">
        <f>'1. Simulator Input'!$D$56*'1. Simulator Input'!$D$75*'Idaho Data'!TI86</f>
        <v>0</v>
      </c>
      <c r="VC91" s="200">
        <f>'1. Simulator Input'!$D$76*'1. Simulator Input'!$D$56*'Idaho Data'!TJ91</f>
        <v>0</v>
      </c>
      <c r="VD91" s="200">
        <f t="shared" si="188"/>
        <v>8302815</v>
      </c>
      <c r="VE91" s="200"/>
      <c r="VF91" s="182"/>
      <c r="VG91" s="200"/>
      <c r="VH91" s="200">
        <f t="shared" si="189"/>
        <v>0</v>
      </c>
      <c r="VI91" s="200">
        <f t="shared" si="190"/>
        <v>0</v>
      </c>
      <c r="VJ91" s="200">
        <f t="shared" si="150"/>
        <v>8302815</v>
      </c>
      <c r="VK91" s="200">
        <f t="shared" si="151"/>
        <v>8302815</v>
      </c>
      <c r="VL91" s="200"/>
      <c r="VM91" s="182"/>
      <c r="VN91" s="200"/>
      <c r="VO91" s="200">
        <f t="shared" si="191"/>
        <v>1167759</v>
      </c>
      <c r="VP91" s="200">
        <f t="shared" si="192"/>
        <v>8536149</v>
      </c>
      <c r="VQ91" s="200">
        <f t="shared" si="193"/>
        <v>2101751</v>
      </c>
      <c r="VR91" s="200">
        <f t="shared" si="194"/>
        <v>1167759</v>
      </c>
      <c r="VS91" s="200">
        <f t="shared" si="152"/>
        <v>8302815</v>
      </c>
      <c r="VT91" s="200">
        <f t="shared" si="153"/>
        <v>2101751</v>
      </c>
      <c r="VU91" s="200">
        <f t="shared" si="154"/>
        <v>0</v>
      </c>
      <c r="VV91" s="200"/>
      <c r="VW91" s="182"/>
      <c r="VX91" s="200"/>
      <c r="VZ91" s="199">
        <f t="shared" si="195"/>
        <v>-233334</v>
      </c>
      <c r="WA91" s="199">
        <f t="shared" si="196"/>
        <v>-159.92734749828651</v>
      </c>
      <c r="WB91" s="131">
        <f t="shared" si="197"/>
        <v>-2.733480870589302E-2</v>
      </c>
      <c r="WC91" s="131"/>
      <c r="WD91" s="461"/>
      <c r="WE91" s="893"/>
      <c r="WF91" s="893">
        <f t="shared" si="198"/>
        <v>8091.61000685401</v>
      </c>
      <c r="WG91" s="893">
        <f t="shared" si="199"/>
        <v>7931.6826593557234</v>
      </c>
      <c r="WH91" s="893"/>
      <c r="WI91" s="893">
        <f t="shared" si="200"/>
        <v>8536149</v>
      </c>
      <c r="WJ91" s="893">
        <f t="shared" si="155"/>
        <v>8302815</v>
      </c>
      <c r="WK91" s="39" t="str">
        <f t="shared" si="156"/>
        <v/>
      </c>
      <c r="WL91" s="39" t="str">
        <f t="shared" si="157"/>
        <v/>
      </c>
      <c r="WM91" s="200" t="str">
        <f t="shared" si="158"/>
        <v/>
      </c>
      <c r="WN91" s="39" t="str">
        <f t="shared" si="159"/>
        <v/>
      </c>
      <c r="WO91" s="39"/>
      <c r="WP91" s="182"/>
      <c r="WQ91" s="39"/>
      <c r="WR91" s="305">
        <f t="shared" si="160"/>
        <v>0</v>
      </c>
      <c r="WT91" s="200">
        <f t="shared" si="161"/>
        <v>5850.684715558602</v>
      </c>
      <c r="WU91" s="131">
        <f t="shared" si="201"/>
        <v>0.25</v>
      </c>
      <c r="WW91" s="199">
        <f t="shared" si="162"/>
        <v>1167759</v>
      </c>
      <c r="WX91" s="199">
        <f t="shared" si="163"/>
        <v>8302815</v>
      </c>
      <c r="WY91" s="199">
        <f t="shared" si="164"/>
        <v>0</v>
      </c>
      <c r="WZ91" s="199">
        <f t="shared" si="202"/>
        <v>8302815</v>
      </c>
      <c r="XA91" s="199">
        <f t="shared" si="165"/>
        <v>0</v>
      </c>
      <c r="XB91" s="199">
        <f t="shared" si="166"/>
        <v>2101751</v>
      </c>
      <c r="XC91" s="199">
        <f t="shared" si="167"/>
        <v>2101751</v>
      </c>
      <c r="XD91" s="199" t="str">
        <f t="shared" si="168"/>
        <v/>
      </c>
      <c r="XE91" s="199"/>
      <c r="XF91" s="199"/>
      <c r="XG91" s="199"/>
      <c r="XH91" s="199"/>
      <c r="XI91" s="199"/>
      <c r="XJ91" s="199">
        <f t="shared" si="203"/>
        <v>8302815</v>
      </c>
      <c r="XP91" s="199">
        <f t="shared" si="169"/>
        <v>8302815</v>
      </c>
      <c r="XQ91" s="199">
        <f t="shared" si="170"/>
        <v>5690.7573680603155</v>
      </c>
      <c r="XR91" s="199">
        <f t="shared" si="171"/>
        <v>8302815</v>
      </c>
      <c r="XS91" s="199">
        <f t="shared" si="172"/>
        <v>8302815</v>
      </c>
      <c r="XT91" s="199">
        <f t="shared" si="173"/>
        <v>5690.7573680603155</v>
      </c>
      <c r="XU91" s="199">
        <f t="shared" si="174"/>
        <v>8536149</v>
      </c>
      <c r="XV91" s="199">
        <f t="shared" si="175"/>
        <v>5850.684715558602</v>
      </c>
      <c r="XW91" s="199">
        <f t="shared" si="176"/>
        <v>8536149</v>
      </c>
      <c r="XX91" s="199">
        <f t="shared" si="177"/>
        <v>5850.684715558602</v>
      </c>
      <c r="XY91" s="199">
        <f t="shared" si="204"/>
        <v>-233334</v>
      </c>
      <c r="XZ91" s="199">
        <f t="shared" si="205"/>
        <v>-159.92734749828651</v>
      </c>
      <c r="YA91" s="131">
        <f t="shared" si="143"/>
        <v>-2.733480870589302E-2</v>
      </c>
      <c r="YB91" s="199"/>
      <c r="YC91" s="221"/>
      <c r="YD91" s="199"/>
      <c r="YE91" s="199">
        <f t="shared" si="178"/>
        <v>1167759</v>
      </c>
      <c r="YF91" s="200">
        <f t="shared" si="179"/>
        <v>0</v>
      </c>
      <c r="YG91" s="199">
        <f t="shared" si="180"/>
        <v>2101751</v>
      </c>
      <c r="YH91" s="199">
        <f t="shared" si="181"/>
        <v>500673</v>
      </c>
    </row>
    <row r="92" spans="1:658">
      <c r="A92" s="3">
        <v>331</v>
      </c>
      <c r="B92" s="2" t="s">
        <v>188</v>
      </c>
      <c r="C92" s="400">
        <v>35</v>
      </c>
      <c r="D92" s="400">
        <v>0</v>
      </c>
      <c r="E92" s="400">
        <v>0</v>
      </c>
      <c r="F92" s="400">
        <v>0</v>
      </c>
      <c r="G92" s="400">
        <v>1942830</v>
      </c>
      <c r="H92" s="400">
        <v>0</v>
      </c>
      <c r="I92" s="400">
        <v>0</v>
      </c>
      <c r="J92" s="400">
        <v>0</v>
      </c>
      <c r="K92" s="400">
        <v>0</v>
      </c>
      <c r="L92" s="24">
        <v>0</v>
      </c>
      <c r="M92" s="400">
        <v>0</v>
      </c>
      <c r="N92" s="400">
        <v>1926</v>
      </c>
      <c r="O92" s="400">
        <v>0</v>
      </c>
      <c r="P92" s="400">
        <v>0</v>
      </c>
      <c r="Q92" s="400">
        <v>0</v>
      </c>
      <c r="R92" s="400">
        <v>0</v>
      </c>
      <c r="S92" s="400">
        <v>0</v>
      </c>
      <c r="T92" s="400">
        <v>0</v>
      </c>
      <c r="U92" s="400">
        <v>0</v>
      </c>
      <c r="V92" s="400">
        <v>0</v>
      </c>
      <c r="W92" s="400">
        <v>0</v>
      </c>
      <c r="X92" s="400">
        <v>1758454</v>
      </c>
      <c r="Y92" s="400">
        <v>9359</v>
      </c>
      <c r="Z92" s="400">
        <v>0</v>
      </c>
      <c r="AA92" s="400">
        <v>10844</v>
      </c>
      <c r="AB92" s="400">
        <v>0</v>
      </c>
      <c r="AC92" s="400">
        <v>0</v>
      </c>
      <c r="AD92" s="400">
        <v>36221</v>
      </c>
      <c r="AE92" s="400">
        <v>0</v>
      </c>
      <c r="AF92" s="400">
        <v>0</v>
      </c>
      <c r="AG92" s="400">
        <v>0</v>
      </c>
      <c r="AH92" s="400">
        <v>0</v>
      </c>
      <c r="AI92" s="400">
        <v>0</v>
      </c>
      <c r="AJ92" s="400">
        <v>5563</v>
      </c>
      <c r="AK92" s="400">
        <v>0</v>
      </c>
      <c r="AL92" s="400">
        <v>22705</v>
      </c>
      <c r="AM92" s="400">
        <v>0</v>
      </c>
      <c r="AN92" s="400">
        <v>0</v>
      </c>
      <c r="AO92" s="400">
        <v>0</v>
      </c>
      <c r="AP92" s="400">
        <v>0</v>
      </c>
      <c r="AQ92" s="400">
        <v>0</v>
      </c>
      <c r="AR92" s="400">
        <v>0</v>
      </c>
      <c r="AS92" s="400">
        <v>0</v>
      </c>
      <c r="AT92" s="400">
        <v>0</v>
      </c>
      <c r="AU92" s="400">
        <v>0</v>
      </c>
      <c r="AV92" s="400">
        <v>0</v>
      </c>
      <c r="AW92" s="400">
        <v>0</v>
      </c>
      <c r="AX92" s="400">
        <v>0</v>
      </c>
      <c r="AY92" s="400">
        <v>0</v>
      </c>
      <c r="AZ92" s="400">
        <v>0</v>
      </c>
      <c r="BA92" s="400">
        <v>0</v>
      </c>
      <c r="BB92" s="400">
        <v>0</v>
      </c>
      <c r="BC92" s="400">
        <v>2453</v>
      </c>
      <c r="BD92" s="400">
        <v>624</v>
      </c>
      <c r="BE92" s="400">
        <v>0</v>
      </c>
      <c r="BF92" s="400">
        <v>0</v>
      </c>
      <c r="BG92" s="400">
        <v>0</v>
      </c>
      <c r="BH92" s="400">
        <v>0</v>
      </c>
      <c r="BI92" s="400">
        <v>0</v>
      </c>
      <c r="BJ92" s="400">
        <v>0</v>
      </c>
      <c r="BK92" s="400">
        <v>0</v>
      </c>
      <c r="BL92" s="400">
        <v>0</v>
      </c>
      <c r="BM92" s="400">
        <v>0</v>
      </c>
      <c r="BN92" s="400">
        <v>0</v>
      </c>
      <c r="BO92" s="400">
        <v>0</v>
      </c>
      <c r="BP92" s="400">
        <v>0</v>
      </c>
      <c r="BQ92" s="400">
        <v>0</v>
      </c>
      <c r="BR92" s="400">
        <v>0</v>
      </c>
      <c r="BS92" s="400">
        <v>0</v>
      </c>
      <c r="BT92" s="400">
        <v>0</v>
      </c>
      <c r="BU92" s="400">
        <v>0</v>
      </c>
      <c r="BV92" s="400">
        <v>0</v>
      </c>
      <c r="BW92" s="400">
        <v>0</v>
      </c>
      <c r="BX92" s="400">
        <v>0</v>
      </c>
      <c r="BY92" s="400">
        <v>0</v>
      </c>
      <c r="BZ92" s="400">
        <v>0</v>
      </c>
      <c r="CA92" s="400">
        <v>0</v>
      </c>
      <c r="CB92" s="400">
        <v>0</v>
      </c>
      <c r="CC92" s="400">
        <v>0</v>
      </c>
      <c r="CD92" s="400">
        <v>224578</v>
      </c>
      <c r="CE92" s="400">
        <v>19871</v>
      </c>
      <c r="CF92" s="400">
        <v>0</v>
      </c>
      <c r="CG92" s="400">
        <v>0</v>
      </c>
      <c r="CH92" s="400">
        <v>0</v>
      </c>
      <c r="CI92" s="400">
        <v>0</v>
      </c>
      <c r="CJ92" s="400">
        <v>0</v>
      </c>
      <c r="CK92" s="400">
        <v>0</v>
      </c>
      <c r="CL92" s="400">
        <v>0</v>
      </c>
      <c r="CM92" s="400">
        <v>0</v>
      </c>
      <c r="CN92" s="400">
        <v>0</v>
      </c>
      <c r="CO92" s="400">
        <v>0</v>
      </c>
      <c r="CP92" s="400">
        <v>0</v>
      </c>
      <c r="CQ92" s="400">
        <v>0</v>
      </c>
      <c r="CR92" s="400">
        <v>0</v>
      </c>
      <c r="CS92" s="400">
        <v>0</v>
      </c>
      <c r="CT92" s="400">
        <v>0</v>
      </c>
      <c r="CU92" s="400">
        <v>0</v>
      </c>
      <c r="CV92" s="400">
        <v>0</v>
      </c>
      <c r="CW92" s="400">
        <v>0</v>
      </c>
      <c r="CX92" s="400">
        <v>0</v>
      </c>
      <c r="CY92" s="400">
        <v>0</v>
      </c>
      <c r="CZ92" s="400">
        <v>0</v>
      </c>
      <c r="DA92" s="400">
        <v>0</v>
      </c>
      <c r="DB92" s="400">
        <v>6336</v>
      </c>
      <c r="DC92" s="400">
        <v>0</v>
      </c>
      <c r="DD92" s="400">
        <v>0</v>
      </c>
      <c r="DE92" s="400">
        <v>0</v>
      </c>
      <c r="DF92" s="400">
        <v>0</v>
      </c>
      <c r="DG92" s="400">
        <v>0</v>
      </c>
      <c r="DH92" s="400">
        <v>0</v>
      </c>
      <c r="DI92" s="400">
        <v>0</v>
      </c>
      <c r="DJ92" s="400">
        <v>0</v>
      </c>
      <c r="DK92" s="400">
        <v>0</v>
      </c>
      <c r="DL92" s="400">
        <v>0</v>
      </c>
      <c r="DM92" s="400">
        <v>0</v>
      </c>
      <c r="DN92" s="400">
        <v>0</v>
      </c>
      <c r="DO92" s="400">
        <v>0</v>
      </c>
      <c r="DP92" s="400">
        <v>0</v>
      </c>
      <c r="DQ92" s="400">
        <v>0</v>
      </c>
      <c r="DR92" s="400">
        <v>0</v>
      </c>
      <c r="DS92" s="400">
        <v>0</v>
      </c>
      <c r="DT92" s="400">
        <v>0</v>
      </c>
      <c r="DU92" s="400">
        <v>25134</v>
      </c>
      <c r="DV92" s="400">
        <v>0</v>
      </c>
      <c r="DW92" s="400">
        <v>0</v>
      </c>
      <c r="DX92" s="400">
        <v>0</v>
      </c>
      <c r="DY92" s="400">
        <v>0</v>
      </c>
      <c r="DZ92" s="400">
        <v>0</v>
      </c>
      <c r="EA92" s="400">
        <v>0</v>
      </c>
      <c r="EB92" s="400">
        <v>0</v>
      </c>
      <c r="EC92" s="400">
        <v>0</v>
      </c>
      <c r="ED92" s="400">
        <v>0</v>
      </c>
      <c r="EE92" s="400">
        <v>0</v>
      </c>
      <c r="EF92" s="400">
        <v>0</v>
      </c>
      <c r="EG92" s="400">
        <v>0</v>
      </c>
      <c r="EH92" s="400">
        <v>0</v>
      </c>
      <c r="EI92" s="400">
        <v>0</v>
      </c>
      <c r="EJ92" s="400">
        <v>0</v>
      </c>
      <c r="EK92" s="400">
        <v>0</v>
      </c>
      <c r="EL92" s="400">
        <v>0</v>
      </c>
      <c r="EM92" s="400">
        <v>0</v>
      </c>
      <c r="EN92" s="400">
        <v>0</v>
      </c>
      <c r="EO92" s="400">
        <v>0</v>
      </c>
      <c r="EP92" s="400">
        <v>0</v>
      </c>
      <c r="EQ92" s="400">
        <v>0</v>
      </c>
      <c r="ER92" s="400">
        <v>0</v>
      </c>
      <c r="ES92" s="400">
        <v>0</v>
      </c>
      <c r="ET92" s="400">
        <v>0</v>
      </c>
      <c r="EU92" s="400">
        <v>0</v>
      </c>
      <c r="EV92" s="400">
        <v>0</v>
      </c>
      <c r="EW92" s="400">
        <v>0</v>
      </c>
      <c r="EX92" s="400">
        <v>0</v>
      </c>
      <c r="EY92" s="400">
        <v>0</v>
      </c>
      <c r="EZ92" s="400">
        <v>0</v>
      </c>
      <c r="FA92" s="400">
        <v>0</v>
      </c>
      <c r="FB92" s="400">
        <v>0</v>
      </c>
      <c r="FC92" s="400">
        <v>0</v>
      </c>
      <c r="FD92" s="400">
        <v>77809</v>
      </c>
      <c r="FE92" s="400">
        <v>0</v>
      </c>
      <c r="FF92" s="400">
        <v>0</v>
      </c>
      <c r="FG92" s="400">
        <v>0</v>
      </c>
      <c r="FH92" s="400">
        <v>0</v>
      </c>
      <c r="FI92" s="400">
        <v>0</v>
      </c>
      <c r="FJ92" s="400">
        <v>0</v>
      </c>
      <c r="FK92" s="400">
        <v>0</v>
      </c>
      <c r="FL92" s="400">
        <v>2066</v>
      </c>
      <c r="FM92" s="400">
        <v>0</v>
      </c>
      <c r="FN92" s="400">
        <v>0</v>
      </c>
      <c r="FO92" s="400">
        <v>0</v>
      </c>
      <c r="FP92" s="400">
        <v>0</v>
      </c>
      <c r="FQ92" s="400">
        <v>0</v>
      </c>
      <c r="FR92" s="400">
        <v>0</v>
      </c>
      <c r="FS92" s="400">
        <v>726331</v>
      </c>
      <c r="FT92" s="400">
        <v>0</v>
      </c>
      <c r="FU92" s="400">
        <v>0</v>
      </c>
      <c r="FV92" s="400">
        <v>0</v>
      </c>
      <c r="FW92" s="400">
        <v>0</v>
      </c>
      <c r="FX92" s="400">
        <v>0</v>
      </c>
      <c r="FY92" s="400">
        <v>0</v>
      </c>
      <c r="FZ92" s="400">
        <v>0</v>
      </c>
      <c r="GA92" s="400">
        <v>0</v>
      </c>
      <c r="GB92" s="400">
        <v>0</v>
      </c>
      <c r="GC92" s="400">
        <v>0</v>
      </c>
      <c r="GD92" s="400">
        <v>0</v>
      </c>
      <c r="GE92" s="400">
        <v>0</v>
      </c>
      <c r="GF92" s="400">
        <v>0</v>
      </c>
      <c r="GG92" s="400">
        <v>0</v>
      </c>
      <c r="GH92" s="400">
        <v>0</v>
      </c>
      <c r="GI92" s="400">
        <v>0</v>
      </c>
      <c r="GJ92" s="400">
        <v>0</v>
      </c>
      <c r="GK92" s="400">
        <v>0</v>
      </c>
      <c r="GL92" s="400">
        <v>0</v>
      </c>
      <c r="GM92" s="400">
        <v>0</v>
      </c>
      <c r="GN92" s="400">
        <v>0</v>
      </c>
      <c r="GO92" s="400">
        <v>0</v>
      </c>
      <c r="GP92" s="400">
        <v>0</v>
      </c>
      <c r="GQ92" s="400">
        <v>0</v>
      </c>
      <c r="GR92" s="400">
        <v>1959</v>
      </c>
      <c r="GS92" s="400">
        <v>0</v>
      </c>
      <c r="GT92" s="400">
        <v>0</v>
      </c>
      <c r="GU92" s="400">
        <v>0</v>
      </c>
      <c r="GV92" s="400">
        <v>0</v>
      </c>
      <c r="GW92" s="400">
        <v>0</v>
      </c>
      <c r="GX92" s="400">
        <v>0</v>
      </c>
      <c r="GY92" s="400">
        <v>0</v>
      </c>
      <c r="GZ92" s="400">
        <v>0</v>
      </c>
      <c r="HA92" s="400">
        <v>0</v>
      </c>
      <c r="HB92" s="400">
        <v>0</v>
      </c>
      <c r="HC92" s="400">
        <v>160</v>
      </c>
      <c r="HD92" s="400">
        <v>17475609</v>
      </c>
      <c r="HE92" s="400">
        <v>0</v>
      </c>
      <c r="HF92" s="400">
        <v>0</v>
      </c>
      <c r="HG92" s="400">
        <v>0</v>
      </c>
      <c r="HH92" s="400">
        <v>0</v>
      </c>
      <c r="HI92" s="400">
        <v>1195208</v>
      </c>
      <c r="HJ92" s="400">
        <v>0</v>
      </c>
      <c r="HK92" s="400">
        <v>0</v>
      </c>
      <c r="HL92" s="400">
        <v>0</v>
      </c>
      <c r="HM92" s="400">
        <v>0</v>
      </c>
      <c r="HN92" s="400">
        <v>147259</v>
      </c>
      <c r="HO92" s="400">
        <v>2291527</v>
      </c>
      <c r="HP92" s="400">
        <v>537151</v>
      </c>
      <c r="HQ92" s="400">
        <v>0</v>
      </c>
      <c r="HR92" s="400">
        <v>0</v>
      </c>
      <c r="HS92" s="400">
        <v>0</v>
      </c>
      <c r="HT92" s="400">
        <v>0</v>
      </c>
      <c r="HU92" s="400">
        <v>0</v>
      </c>
      <c r="HV92" s="400">
        <v>0</v>
      </c>
      <c r="HW92" s="400">
        <v>0</v>
      </c>
      <c r="HX92" s="400">
        <v>0</v>
      </c>
      <c r="HY92" s="400">
        <v>0</v>
      </c>
      <c r="HZ92" s="400">
        <v>0</v>
      </c>
      <c r="IA92" s="400">
        <v>0</v>
      </c>
      <c r="IB92" s="400">
        <v>0</v>
      </c>
      <c r="IC92" s="400">
        <v>0</v>
      </c>
      <c r="ID92" s="400">
        <v>0</v>
      </c>
      <c r="IE92" s="400">
        <v>0</v>
      </c>
      <c r="IF92" s="400">
        <v>0</v>
      </c>
      <c r="IG92" s="400">
        <v>0</v>
      </c>
      <c r="IH92" s="400">
        <v>0</v>
      </c>
      <c r="II92" s="400">
        <v>0</v>
      </c>
      <c r="IJ92" s="400">
        <v>263019</v>
      </c>
      <c r="IK92" s="400">
        <v>0</v>
      </c>
      <c r="IL92" s="400">
        <v>0</v>
      </c>
      <c r="IM92" s="400">
        <v>0</v>
      </c>
      <c r="IN92" s="400">
        <v>0</v>
      </c>
      <c r="IO92" s="400">
        <v>4397</v>
      </c>
      <c r="IP92" s="400">
        <v>0</v>
      </c>
      <c r="IQ92" s="400">
        <v>0</v>
      </c>
      <c r="IR92" s="400">
        <v>130268</v>
      </c>
      <c r="IS92" s="400">
        <v>0</v>
      </c>
      <c r="IT92" s="400">
        <v>0</v>
      </c>
      <c r="IU92" s="400">
        <v>0</v>
      </c>
      <c r="IV92" s="400">
        <v>0</v>
      </c>
      <c r="IW92" s="400">
        <v>317052</v>
      </c>
      <c r="IX92" s="400">
        <v>0</v>
      </c>
      <c r="IY92" s="400">
        <v>0</v>
      </c>
      <c r="IZ92" s="400">
        <v>0</v>
      </c>
      <c r="JA92" s="400">
        <v>0</v>
      </c>
      <c r="JB92" s="400">
        <v>119133</v>
      </c>
      <c r="JC92" s="400">
        <v>0</v>
      </c>
      <c r="JD92" s="400">
        <v>0</v>
      </c>
      <c r="JE92" s="400">
        <v>1007131</v>
      </c>
      <c r="JF92" s="400">
        <v>0</v>
      </c>
      <c r="JG92" s="400">
        <v>0</v>
      </c>
      <c r="JH92" s="400">
        <v>0</v>
      </c>
      <c r="JI92" s="400">
        <v>0</v>
      </c>
      <c r="JJ92" s="400">
        <v>0</v>
      </c>
      <c r="JK92" s="400">
        <v>0</v>
      </c>
      <c r="JL92" s="400">
        <v>0</v>
      </c>
      <c r="JM92" s="400">
        <v>0</v>
      </c>
      <c r="JN92" s="400">
        <v>0</v>
      </c>
      <c r="JO92" s="400">
        <v>697</v>
      </c>
      <c r="JP92" s="400">
        <v>0</v>
      </c>
      <c r="JQ92" s="400">
        <v>0</v>
      </c>
      <c r="JR92" s="400">
        <v>0</v>
      </c>
      <c r="JS92" s="400">
        <v>0</v>
      </c>
      <c r="JT92" s="400">
        <v>198741</v>
      </c>
      <c r="JU92" s="400">
        <v>48214</v>
      </c>
      <c r="JV92" s="400">
        <v>0</v>
      </c>
      <c r="JW92" s="400">
        <v>0</v>
      </c>
      <c r="JX92" s="400">
        <v>0</v>
      </c>
      <c r="JY92" s="400">
        <v>0</v>
      </c>
      <c r="JZ92" s="400">
        <v>0</v>
      </c>
      <c r="KA92" s="400">
        <v>0</v>
      </c>
      <c r="KB92" s="400">
        <v>0</v>
      </c>
      <c r="KC92" s="400">
        <v>0</v>
      </c>
      <c r="KD92" s="400">
        <v>0</v>
      </c>
      <c r="KE92" s="400">
        <v>0</v>
      </c>
      <c r="KF92" s="400">
        <v>0</v>
      </c>
      <c r="KG92" s="400">
        <v>0</v>
      </c>
      <c r="KH92" s="400">
        <v>0</v>
      </c>
      <c r="KI92" s="400">
        <v>0</v>
      </c>
      <c r="KJ92" s="400">
        <v>0</v>
      </c>
      <c r="KK92" s="400">
        <v>0</v>
      </c>
      <c r="KL92" s="400">
        <v>0</v>
      </c>
      <c r="KM92" s="400">
        <v>0</v>
      </c>
      <c r="KN92" s="400">
        <v>0</v>
      </c>
      <c r="KO92" s="400">
        <v>0</v>
      </c>
      <c r="KP92" s="400">
        <v>0</v>
      </c>
      <c r="KQ92" s="400">
        <v>0</v>
      </c>
      <c r="KR92" s="400">
        <v>1830</v>
      </c>
      <c r="KS92" s="400">
        <v>0</v>
      </c>
      <c r="KT92" s="400">
        <v>0</v>
      </c>
      <c r="KU92" s="400">
        <v>0</v>
      </c>
      <c r="KV92" s="400">
        <v>0</v>
      </c>
      <c r="KW92" s="400">
        <v>0</v>
      </c>
      <c r="KX92" s="400">
        <v>0</v>
      </c>
      <c r="KY92" s="400">
        <v>0</v>
      </c>
      <c r="KZ92" s="400">
        <v>0</v>
      </c>
      <c r="LA92" s="400">
        <v>0</v>
      </c>
      <c r="LB92" s="400">
        <v>0</v>
      </c>
      <c r="LC92" s="400">
        <v>0</v>
      </c>
      <c r="LD92" s="400">
        <v>0</v>
      </c>
      <c r="LE92" s="400">
        <v>0</v>
      </c>
      <c r="LF92" s="400">
        <v>0</v>
      </c>
      <c r="LG92" s="400">
        <v>0</v>
      </c>
      <c r="LH92" s="400">
        <v>0</v>
      </c>
      <c r="LI92" s="400">
        <v>0</v>
      </c>
      <c r="LJ92" s="400">
        <v>0</v>
      </c>
      <c r="LK92" s="400">
        <v>0</v>
      </c>
      <c r="LL92" s="400">
        <v>0</v>
      </c>
      <c r="LM92" s="400">
        <v>0</v>
      </c>
      <c r="LN92" s="400">
        <v>0</v>
      </c>
      <c r="LO92" s="400">
        <v>0</v>
      </c>
      <c r="LP92" s="400">
        <v>0</v>
      </c>
      <c r="LQ92" s="400">
        <v>718999</v>
      </c>
      <c r="LR92" s="400">
        <v>192478</v>
      </c>
      <c r="LS92" s="400">
        <v>0</v>
      </c>
      <c r="LT92" s="400">
        <v>0</v>
      </c>
      <c r="LU92" s="400">
        <v>0</v>
      </c>
      <c r="LV92" s="400">
        <v>0</v>
      </c>
      <c r="LW92" s="400">
        <v>0</v>
      </c>
      <c r="LX92" s="400">
        <v>37495</v>
      </c>
      <c r="LY92" s="400">
        <v>0</v>
      </c>
      <c r="LZ92" s="400">
        <v>0</v>
      </c>
      <c r="MA92" s="400">
        <v>0</v>
      </c>
      <c r="MB92" s="400">
        <v>0</v>
      </c>
      <c r="MC92" s="400">
        <v>0</v>
      </c>
      <c r="MD92" s="400">
        <v>0</v>
      </c>
      <c r="ME92" s="400">
        <v>0</v>
      </c>
      <c r="MF92" s="400">
        <v>0</v>
      </c>
      <c r="MG92" s="400">
        <v>0</v>
      </c>
      <c r="MH92" s="400">
        <v>0</v>
      </c>
      <c r="MI92" s="400">
        <v>0</v>
      </c>
      <c r="MJ92" s="400">
        <v>0</v>
      </c>
      <c r="MK92" s="400">
        <v>0</v>
      </c>
      <c r="ML92" s="400">
        <v>0</v>
      </c>
      <c r="MM92" s="400">
        <v>0</v>
      </c>
      <c r="MN92" s="400">
        <v>0</v>
      </c>
      <c r="MO92" s="400">
        <v>48386</v>
      </c>
      <c r="MP92" s="400">
        <v>304853</v>
      </c>
      <c r="MQ92" s="400">
        <v>6043</v>
      </c>
      <c r="MR92" s="400">
        <v>1710479</v>
      </c>
      <c r="MS92" s="400">
        <v>0</v>
      </c>
      <c r="MT92" s="400">
        <v>0</v>
      </c>
      <c r="MU92" s="400">
        <v>0</v>
      </c>
      <c r="MV92" s="400">
        <v>0</v>
      </c>
      <c r="MW92" s="400">
        <v>842306</v>
      </c>
      <c r="MX92" s="400">
        <v>45028</v>
      </c>
      <c r="MY92" s="400">
        <v>0</v>
      </c>
      <c r="MZ92" s="400">
        <v>0</v>
      </c>
      <c r="NA92" s="400">
        <v>0</v>
      </c>
      <c r="NB92" s="400">
        <v>0</v>
      </c>
      <c r="NC92" s="400">
        <v>0</v>
      </c>
      <c r="ND92" s="400">
        <v>0</v>
      </c>
      <c r="NE92" s="400">
        <v>0</v>
      </c>
      <c r="NF92" s="400">
        <v>0</v>
      </c>
      <c r="NG92" s="400">
        <v>0</v>
      </c>
      <c r="NH92" s="400">
        <v>0</v>
      </c>
      <c r="NI92" s="400">
        <v>0</v>
      </c>
      <c r="NJ92" s="400">
        <v>0</v>
      </c>
      <c r="NK92" s="400">
        <v>0</v>
      </c>
      <c r="NL92" s="400">
        <v>0</v>
      </c>
      <c r="NM92" s="400">
        <v>0</v>
      </c>
      <c r="NN92" s="400">
        <v>0</v>
      </c>
      <c r="NO92" s="400">
        <v>0</v>
      </c>
      <c r="NP92" s="400">
        <v>0</v>
      </c>
      <c r="NQ92" s="400">
        <v>0</v>
      </c>
      <c r="NR92" s="400">
        <v>0</v>
      </c>
      <c r="NS92" s="400">
        <v>0</v>
      </c>
      <c r="NT92" s="400">
        <v>0</v>
      </c>
      <c r="NU92" s="400">
        <v>0</v>
      </c>
      <c r="NV92" s="400">
        <v>234409</v>
      </c>
      <c r="NW92" s="400">
        <v>0</v>
      </c>
      <c r="NX92" s="400">
        <v>0</v>
      </c>
      <c r="NY92" s="400">
        <v>0</v>
      </c>
      <c r="NZ92" s="400">
        <v>0</v>
      </c>
      <c r="OA92" s="400">
        <v>0</v>
      </c>
      <c r="OB92" s="400">
        <v>0</v>
      </c>
      <c r="OC92" s="400">
        <v>0</v>
      </c>
      <c r="OD92" s="400">
        <v>0</v>
      </c>
      <c r="OE92" s="400">
        <v>0</v>
      </c>
      <c r="OF92" s="400">
        <v>101795</v>
      </c>
      <c r="OG92" s="400">
        <v>0</v>
      </c>
      <c r="OH92" s="400">
        <v>0</v>
      </c>
      <c r="OI92" s="400">
        <v>0</v>
      </c>
      <c r="OJ92" s="400">
        <v>0</v>
      </c>
      <c r="OK92" s="400">
        <v>95059</v>
      </c>
      <c r="OL92" s="400">
        <v>0</v>
      </c>
      <c r="OM92" s="400">
        <v>0</v>
      </c>
      <c r="ON92" s="400">
        <v>0</v>
      </c>
      <c r="OO92" s="400">
        <v>0</v>
      </c>
      <c r="OP92" s="400">
        <v>0</v>
      </c>
      <c r="OQ92" s="400">
        <v>0</v>
      </c>
      <c r="OR92" s="400">
        <v>0</v>
      </c>
      <c r="OS92" s="400">
        <v>0</v>
      </c>
      <c r="OT92" s="400">
        <v>0</v>
      </c>
      <c r="OU92" s="400">
        <v>0</v>
      </c>
      <c r="OV92" s="400">
        <v>0</v>
      </c>
      <c r="OW92" s="400">
        <v>0</v>
      </c>
      <c r="OX92" s="400">
        <v>0</v>
      </c>
      <c r="OY92" s="400">
        <v>0</v>
      </c>
      <c r="OZ92" s="400">
        <v>0</v>
      </c>
      <c r="PA92" s="400">
        <v>0</v>
      </c>
      <c r="PB92" s="400">
        <v>0</v>
      </c>
      <c r="PC92" s="400">
        <v>0</v>
      </c>
      <c r="PD92" s="400">
        <v>0</v>
      </c>
      <c r="PE92" s="400">
        <v>0</v>
      </c>
      <c r="PF92" s="400">
        <v>0</v>
      </c>
      <c r="PG92" s="400">
        <v>0</v>
      </c>
      <c r="PH92" s="400">
        <v>93990</v>
      </c>
      <c r="PI92" s="400">
        <v>0</v>
      </c>
      <c r="PJ92" s="400">
        <v>0</v>
      </c>
      <c r="PK92" s="400">
        <v>0</v>
      </c>
      <c r="PL92" s="400">
        <v>0</v>
      </c>
      <c r="PM92" s="400">
        <v>0</v>
      </c>
      <c r="PN92" s="400">
        <v>0</v>
      </c>
      <c r="PO92" s="400">
        <v>0</v>
      </c>
      <c r="PP92" s="400">
        <v>0</v>
      </c>
      <c r="PQ92" s="400">
        <v>0</v>
      </c>
      <c r="PR92" s="400">
        <v>0</v>
      </c>
      <c r="PS92" s="400">
        <v>0</v>
      </c>
      <c r="PT92" s="400">
        <v>0</v>
      </c>
      <c r="PU92" s="400">
        <v>0</v>
      </c>
      <c r="PV92" s="400">
        <v>0</v>
      </c>
      <c r="PW92" s="400">
        <v>0</v>
      </c>
      <c r="PX92" s="400">
        <v>0</v>
      </c>
      <c r="PY92" s="400">
        <v>0</v>
      </c>
      <c r="PZ92" s="400">
        <v>0</v>
      </c>
      <c r="QA92" s="400">
        <v>0</v>
      </c>
      <c r="QB92" s="400">
        <v>0</v>
      </c>
      <c r="QC92" s="400">
        <v>0</v>
      </c>
      <c r="QD92" s="400">
        <v>0</v>
      </c>
      <c r="QE92" s="400">
        <v>0</v>
      </c>
      <c r="QF92" s="400">
        <v>0</v>
      </c>
      <c r="QG92" s="400">
        <v>0</v>
      </c>
      <c r="QH92" s="400">
        <v>0</v>
      </c>
      <c r="QI92" s="400">
        <v>0</v>
      </c>
      <c r="QJ92" s="400">
        <v>0</v>
      </c>
      <c r="QK92" s="400">
        <v>0</v>
      </c>
      <c r="QL92" s="400">
        <v>0</v>
      </c>
      <c r="QM92" s="400">
        <v>0</v>
      </c>
      <c r="QN92" s="400">
        <v>0</v>
      </c>
      <c r="QO92" s="400">
        <v>0</v>
      </c>
      <c r="QP92" s="400">
        <v>0</v>
      </c>
      <c r="QQ92" s="400">
        <v>0</v>
      </c>
      <c r="QR92" s="400">
        <v>0</v>
      </c>
      <c r="QS92" s="400">
        <v>41100</v>
      </c>
      <c r="QT92" s="400">
        <v>104245</v>
      </c>
      <c r="QU92" s="400">
        <v>0</v>
      </c>
      <c r="QV92" s="400">
        <v>834085</v>
      </c>
      <c r="QW92" s="400">
        <v>0</v>
      </c>
      <c r="QX92" s="400">
        <v>0</v>
      </c>
      <c r="QY92" s="400">
        <v>0</v>
      </c>
      <c r="QZ92" s="400">
        <v>0</v>
      </c>
      <c r="RA92" s="400">
        <v>0</v>
      </c>
      <c r="RB92" s="400">
        <v>0</v>
      </c>
      <c r="RG92" s="39">
        <f t="shared" si="129"/>
        <v>17475609</v>
      </c>
      <c r="RH92" s="39">
        <f t="shared" si="206"/>
        <v>1195208</v>
      </c>
      <c r="RI92" s="39">
        <f t="shared" si="206"/>
        <v>0</v>
      </c>
      <c r="RJ92" s="39">
        <f t="shared" si="206"/>
        <v>0</v>
      </c>
      <c r="RK92" s="39">
        <f t="shared" si="206"/>
        <v>147259</v>
      </c>
      <c r="RL92" s="39">
        <f t="shared" si="206"/>
        <v>2291527</v>
      </c>
      <c r="RM92" s="39">
        <f t="shared" si="206"/>
        <v>800170</v>
      </c>
      <c r="RN92" s="39">
        <f t="shared" si="206"/>
        <v>4397</v>
      </c>
      <c r="RO92" s="39">
        <f t="shared" si="206"/>
        <v>130268</v>
      </c>
      <c r="RP92" s="39">
        <f t="shared" si="206"/>
        <v>317052</v>
      </c>
      <c r="RQ92" s="39">
        <f t="shared" si="206"/>
        <v>119133</v>
      </c>
      <c r="RR92" s="39">
        <f t="shared" si="206"/>
        <v>1254783</v>
      </c>
      <c r="RS92" s="39"/>
      <c r="RT92" s="182"/>
      <c r="RU92" s="39"/>
      <c r="RV92" s="39">
        <f t="shared" si="182"/>
        <v>4339160</v>
      </c>
      <c r="RW92" s="39">
        <f t="shared" si="182"/>
        <v>23735406</v>
      </c>
      <c r="RX92" s="39">
        <f t="shared" si="182"/>
        <v>4875098</v>
      </c>
      <c r="RY92" s="39">
        <f t="shared" si="182"/>
        <v>1073420</v>
      </c>
      <c r="RZ92" s="39"/>
      <c r="SA92" s="182"/>
      <c r="SB92" s="39"/>
      <c r="SC92" s="25">
        <f t="shared" si="183"/>
        <v>1230.4639071176173</v>
      </c>
      <c r="SD92" s="39">
        <f>IFERROR(VLOOKUP(A92, 'Levy Data 15-16'!$B:$O, 3, FALSE), 0)</f>
        <v>1260616018</v>
      </c>
      <c r="SE92" s="39">
        <f t="shared" si="144"/>
        <v>318176.68298838969</v>
      </c>
      <c r="SF92" s="631">
        <f>IFERROR(VLOOKUP(A92, 'Levy Data 15-16'!$B:$O, 14, FALSE), 0)*1000</f>
        <v>2.8893210000000003</v>
      </c>
      <c r="SG92" s="39">
        <f t="shared" si="145"/>
        <v>0</v>
      </c>
      <c r="SH92" s="39">
        <f t="shared" si="146"/>
        <v>0</v>
      </c>
      <c r="SI92" s="39">
        <f t="shared" si="147"/>
        <v>4875098</v>
      </c>
      <c r="SM92" s="39">
        <f t="shared" si="148"/>
        <v>23735406</v>
      </c>
      <c r="SN92" s="39">
        <f t="shared" si="149"/>
        <v>0</v>
      </c>
      <c r="SO92" s="39">
        <f t="shared" si="184"/>
        <v>23735406</v>
      </c>
      <c r="SP92" s="50">
        <f t="shared" si="130"/>
        <v>1</v>
      </c>
      <c r="ST92" s="124">
        <f>IFERROR(VLOOKUP(A92,'Grade Enroll 15-16'!B:AC,27,FALSE),"")</f>
        <v>3962</v>
      </c>
      <c r="SU92" s="124">
        <f t="shared" si="185"/>
        <v>2515.7543774319065</v>
      </c>
      <c r="SV92" s="131">
        <f>IFERROR(VLOOKUP($A92, 'Title I Enroll 16-17'!S:V, 4, FALSE), 0)</f>
        <v>0.63497081712062253</v>
      </c>
      <c r="SW92" s="729">
        <f>IFERROR(VLOOKUP(A92, 'ELL Enroll 15-16'!$N:$S, 6, FALSE), 0)</f>
        <v>757</v>
      </c>
      <c r="SX92" s="131">
        <f t="shared" si="131"/>
        <v>0.19106511862695608</v>
      </c>
      <c r="SY92" s="124">
        <f>IFERROR(VLOOKUP(A92, 'SPED enroll 2015-16'!$M:$O, 3, FALSE), 0)</f>
        <v>508</v>
      </c>
      <c r="SZ92" s="131">
        <f t="shared" si="132"/>
        <v>0.12821807168096921</v>
      </c>
      <c r="TA92" s="142">
        <f t="shared" si="133"/>
        <v>355.59999999999997</v>
      </c>
      <c r="TB92" s="142">
        <f t="shared" si="133"/>
        <v>101.60000000000001</v>
      </c>
      <c r="TC92" s="142">
        <f t="shared" si="133"/>
        <v>35.56</v>
      </c>
      <c r="TD92" s="142">
        <f t="shared" si="133"/>
        <v>15.24</v>
      </c>
      <c r="TE92" s="124">
        <f>VLOOKUP($A92, 'Grade Enroll 15-16'!$B:$AB, 20, FALSE)</f>
        <v>82</v>
      </c>
      <c r="TF92" s="124">
        <f>VLOOKUP($A92, 'Grade Enroll 15-16'!$B:$AB, 21, FALSE)</f>
        <v>338</v>
      </c>
      <c r="TG92" s="124">
        <f>VLOOKUP($A92, 'Grade Enroll 15-16'!$B:$AB, 22, FALSE)</f>
        <v>1052</v>
      </c>
      <c r="TH92" s="124">
        <f>VLOOKUP($A92, 'Grade Enroll 15-16'!$B:$AB, 23, FALSE)</f>
        <v>966</v>
      </c>
      <c r="TI92" s="124">
        <f>VLOOKUP($A92, 'Grade Enroll 15-16'!$B:$AB, 24, FALSE)</f>
        <v>593</v>
      </c>
      <c r="TJ92" s="124">
        <f>VLOOKUP($A92, 'Grade Enroll 15-16'!$B:$AB, 25, FALSE)</f>
        <v>1351</v>
      </c>
      <c r="TK92" s="124">
        <f>VLOOKUP($A92, 'Grade Enroll 15-16'!$B:$AB, 26, FALSE)</f>
        <v>2554</v>
      </c>
      <c r="TL92" s="131">
        <f>SUMIFS('Student Achievement 15-16'!N:N, 'Student Achievement 15-16'!B:B, 'Idaho Data'!A92, 'Student Achievement 15-16'!D:D, "math")/100</f>
        <v>0.317</v>
      </c>
      <c r="TM92" s="134">
        <f t="shared" si="186"/>
        <v>1255.954</v>
      </c>
      <c r="TN92" s="131">
        <f>SUMIFS('Student Achievement 15-16'!N:N, 'Student Achievement 15-16'!B:B, 'Idaho Data'!A92, 'Student Achievement 15-16'!D:D, "ela")/100</f>
        <v>0.253</v>
      </c>
      <c r="TO92" s="134">
        <f t="shared" si="134"/>
        <v>1002.386</v>
      </c>
      <c r="TP92" s="688">
        <f>IFERROR(VLOOKUP(A92, 'G&amp;T 15-16'!B:G, 6, FALSE), 0)*1</f>
        <v>0</v>
      </c>
      <c r="TQ92" s="168">
        <f t="shared" si="135"/>
        <v>237.72</v>
      </c>
      <c r="TU92" s="168">
        <f t="shared" si="136"/>
        <v>1002.386</v>
      </c>
      <c r="TV92" s="168">
        <f t="shared" si="137"/>
        <v>1255.954</v>
      </c>
      <c r="TW92" s="205">
        <f t="shared" si="138"/>
        <v>1255.954</v>
      </c>
      <c r="TX92" s="144"/>
      <c r="TY92" s="129"/>
      <c r="TZ92" s="127">
        <f t="shared" si="139"/>
        <v>0</v>
      </c>
      <c r="UA92" s="127">
        <f t="shared" si="140"/>
        <v>237.72</v>
      </c>
      <c r="UB92" s="205">
        <f t="shared" si="141"/>
        <v>237.72</v>
      </c>
      <c r="UE92" s="853" t="str">
        <f>IF(ST92&lt;='1. Simulator Input'!$E$104, "yes", "")</f>
        <v/>
      </c>
      <c r="UI92" s="199">
        <f t="shared" si="187"/>
        <v>0</v>
      </c>
      <c r="UJ92" s="200">
        <f>IF('Idaho Data'!SI92&gt;=0, ((1-'1. Simulator Input'!$E$39)*'Idaho Data'!SI92), 0)</f>
        <v>0</v>
      </c>
      <c r="UK92" s="200">
        <f t="shared" si="142"/>
        <v>23735406</v>
      </c>
      <c r="UL92" s="39"/>
      <c r="UM92" s="182"/>
      <c r="UN92" s="39"/>
      <c r="UO92" s="39" t="str">
        <f>IF(AND('1. Simulator Input'!$E$96="yes", '1. Simulator Input'!$E$98="yes", '1. Simulator Input'!$E$100="hold harmless"), 'Idaho Data'!WN92, IF(AND('1. Simulator Input'!$E$96="yes", '1. Simulator Input'!$E$98="no", '1. Simulator Input'!$E$100="hold harmless"), 'Idaho Data'!WM92, IF(AND('1. Simulator Input'!$E$96="yes", '1. Simulator Input'!$E$98="yes", '1. Simulator Input'!$E$100="small district grant"), WL92,IF(AND('1. Simulator Input'!$E$96="yes", '1. Simulator Input'!$E$98="no", '1. Simulator Input'!$E$100="small district grant"), WK92, ""))))</f>
        <v/>
      </c>
      <c r="UP92" s="200">
        <f>'1. Simulator Input'!$D$56*('Idaho Data'!ST92)</f>
        <v>21894012</v>
      </c>
      <c r="UQ92" s="204">
        <f>'1. Simulator Input'!$D$65*'1. Simulator Input'!$D$56*'Idaho Data'!SU92</f>
        <v>0</v>
      </c>
      <c r="UR92" s="204">
        <f>'1. Simulator Input'!$D$66*'1. Simulator Input'!$D$56*'Idaho Data'!SW92</f>
        <v>0</v>
      </c>
      <c r="US92" s="200">
        <f>'1. Simulator Input'!$D$67*'1. Simulator Input'!$D$56*'Idaho Data'!TA92</f>
        <v>0</v>
      </c>
      <c r="UT92" s="200">
        <f>'1. Simulator Input'!$D$68*'1. Simulator Input'!$D$56*'Idaho Data'!TB92</f>
        <v>0</v>
      </c>
      <c r="UU92" s="200">
        <f>'1. Simulator Input'!$D$69*'1. Simulator Input'!$D$56*'Idaho Data'!TC92</f>
        <v>0</v>
      </c>
      <c r="UV92" s="200">
        <f>'1. Simulator Input'!$D$70*'1. Simulator Input'!$D$56*TD92</f>
        <v>0</v>
      </c>
      <c r="UW92" s="200">
        <f>'1. Simulator Input'!$D$80*'1. Simulator Input'!$D$56*TW92</f>
        <v>0</v>
      </c>
      <c r="UX92" s="200">
        <f>'1. Simulator Input'!$D$79*'1. Simulator Input'!$D$56*UB92</f>
        <v>0</v>
      </c>
      <c r="UY92" s="200">
        <f>'1. Simulator Input'!$D$87*'1. Simulator Input'!$D$56*TF92</f>
        <v>933894</v>
      </c>
      <c r="UZ92" s="200">
        <f>'1. Simulator Input'!$D$73*'1. Simulator Input'!$D$56*'Idaho Data'!TG92</f>
        <v>0</v>
      </c>
      <c r="VA92" s="200">
        <f>'1. Simulator Input'!$D$56*'1. Simulator Input'!$D$74*'Idaho Data'!TH92</f>
        <v>0</v>
      </c>
      <c r="VB92" s="200">
        <f>'1. Simulator Input'!$D$56*'1. Simulator Input'!$D$75*'Idaho Data'!TI87</f>
        <v>0</v>
      </c>
      <c r="VC92" s="200">
        <f>'1. Simulator Input'!$D$76*'1. Simulator Input'!$D$56*'Idaho Data'!TJ92</f>
        <v>0</v>
      </c>
      <c r="VD92" s="200">
        <f t="shared" si="188"/>
        <v>22827906</v>
      </c>
      <c r="VE92" s="200"/>
      <c r="VF92" s="182"/>
      <c r="VG92" s="200"/>
      <c r="VH92" s="200">
        <f t="shared" si="189"/>
        <v>0</v>
      </c>
      <c r="VI92" s="200">
        <f t="shared" si="190"/>
        <v>0</v>
      </c>
      <c r="VJ92" s="200">
        <f t="shared" si="150"/>
        <v>22827906</v>
      </c>
      <c r="VK92" s="200">
        <f t="shared" si="151"/>
        <v>22827906</v>
      </c>
      <c r="VL92" s="200"/>
      <c r="VM92" s="182"/>
      <c r="VN92" s="200"/>
      <c r="VO92" s="200">
        <f t="shared" si="191"/>
        <v>4339160</v>
      </c>
      <c r="VP92" s="200">
        <f t="shared" si="192"/>
        <v>23735406</v>
      </c>
      <c r="VQ92" s="200">
        <f t="shared" si="193"/>
        <v>4875098</v>
      </c>
      <c r="VR92" s="200">
        <f t="shared" si="194"/>
        <v>4339160</v>
      </c>
      <c r="VS92" s="200">
        <f t="shared" si="152"/>
        <v>22827906</v>
      </c>
      <c r="VT92" s="200">
        <f t="shared" si="153"/>
        <v>4875098</v>
      </c>
      <c r="VU92" s="200">
        <f t="shared" si="154"/>
        <v>0</v>
      </c>
      <c r="VV92" s="200"/>
      <c r="VW92" s="182"/>
      <c r="VX92" s="200"/>
      <c r="VZ92" s="199">
        <f t="shared" si="195"/>
        <v>-907500</v>
      </c>
      <c r="WA92" s="199">
        <f t="shared" si="196"/>
        <v>-229.05098435133772</v>
      </c>
      <c r="WB92" s="131">
        <f t="shared" si="197"/>
        <v>-3.8234020517702541E-2</v>
      </c>
      <c r="WC92" s="131"/>
      <c r="WD92" s="461"/>
      <c r="WE92" s="893"/>
      <c r="WF92" s="893">
        <f t="shared" si="198"/>
        <v>8316.42200908632</v>
      </c>
      <c r="WG92" s="893">
        <f t="shared" si="199"/>
        <v>8087.3710247349827</v>
      </c>
      <c r="WH92" s="893"/>
      <c r="WI92" s="893">
        <f t="shared" si="200"/>
        <v>23735406</v>
      </c>
      <c r="WJ92" s="893">
        <f t="shared" si="155"/>
        <v>22827906</v>
      </c>
      <c r="WK92" s="39" t="str">
        <f t="shared" si="156"/>
        <v/>
      </c>
      <c r="WL92" s="39" t="str">
        <f t="shared" si="157"/>
        <v/>
      </c>
      <c r="WM92" s="200" t="str">
        <f t="shared" si="158"/>
        <v/>
      </c>
      <c r="WN92" s="39" t="str">
        <f t="shared" si="159"/>
        <v/>
      </c>
      <c r="WO92" s="39"/>
      <c r="WP92" s="182"/>
      <c r="WQ92" s="39"/>
      <c r="WR92" s="305">
        <f t="shared" si="160"/>
        <v>0.307</v>
      </c>
      <c r="WT92" s="200">
        <f t="shared" si="161"/>
        <v>5990.7637556789505</v>
      </c>
      <c r="WU92" s="131">
        <f t="shared" si="201"/>
        <v>0.34</v>
      </c>
      <c r="WW92" s="199">
        <f t="shared" si="162"/>
        <v>4339160</v>
      </c>
      <c r="WX92" s="199">
        <f t="shared" si="163"/>
        <v>22827906</v>
      </c>
      <c r="WY92" s="199">
        <f t="shared" si="164"/>
        <v>0</v>
      </c>
      <c r="WZ92" s="199">
        <f t="shared" si="202"/>
        <v>22827906</v>
      </c>
      <c r="XA92" s="199">
        <f t="shared" si="165"/>
        <v>0</v>
      </c>
      <c r="XB92" s="199">
        <f t="shared" si="166"/>
        <v>4875098</v>
      </c>
      <c r="XC92" s="199">
        <f t="shared" si="167"/>
        <v>4875098</v>
      </c>
      <c r="XD92" s="199" t="str">
        <f t="shared" si="168"/>
        <v/>
      </c>
      <c r="XE92" s="199"/>
      <c r="XF92" s="199"/>
      <c r="XG92" s="199"/>
      <c r="XH92" s="199"/>
      <c r="XI92" s="199"/>
      <c r="XJ92" s="199">
        <f t="shared" si="203"/>
        <v>22827906</v>
      </c>
      <c r="XP92" s="199">
        <f t="shared" si="169"/>
        <v>22827906</v>
      </c>
      <c r="XQ92" s="199">
        <f t="shared" si="170"/>
        <v>5761.7127713276122</v>
      </c>
      <c r="XR92" s="199">
        <f t="shared" si="171"/>
        <v>22827906</v>
      </c>
      <c r="XS92" s="199">
        <f t="shared" si="172"/>
        <v>22827906</v>
      </c>
      <c r="XT92" s="199">
        <f t="shared" si="173"/>
        <v>5761.7127713276122</v>
      </c>
      <c r="XU92" s="199">
        <f t="shared" si="174"/>
        <v>23735406</v>
      </c>
      <c r="XV92" s="199">
        <f t="shared" si="175"/>
        <v>5990.7637556789505</v>
      </c>
      <c r="XW92" s="199">
        <f t="shared" si="176"/>
        <v>23735406</v>
      </c>
      <c r="XX92" s="199">
        <f t="shared" si="177"/>
        <v>5990.7637556789505</v>
      </c>
      <c r="XY92" s="199">
        <f t="shared" si="204"/>
        <v>-907500</v>
      </c>
      <c r="XZ92" s="199">
        <f t="shared" si="205"/>
        <v>-229.05098435133823</v>
      </c>
      <c r="YA92" s="131">
        <f t="shared" si="143"/>
        <v>-3.8234020517702624E-2</v>
      </c>
      <c r="YB92" s="199"/>
      <c r="YC92" s="221"/>
      <c r="YD92" s="199"/>
      <c r="YE92" s="199">
        <f t="shared" si="178"/>
        <v>4339160</v>
      </c>
      <c r="YF92" s="200">
        <f t="shared" si="179"/>
        <v>0</v>
      </c>
      <c r="YG92" s="199">
        <f t="shared" si="180"/>
        <v>4875098</v>
      </c>
      <c r="YH92" s="199">
        <f t="shared" si="181"/>
        <v>1073420</v>
      </c>
    </row>
    <row r="93" spans="1:658">
      <c r="A93" s="3">
        <v>340</v>
      </c>
      <c r="B93" s="2" t="s">
        <v>190</v>
      </c>
      <c r="C93" s="24">
        <v>13409315</v>
      </c>
      <c r="D93" s="24">
        <v>0</v>
      </c>
      <c r="E93" s="24">
        <v>0</v>
      </c>
      <c r="F93" s="24">
        <v>0</v>
      </c>
      <c r="G93" s="24">
        <v>0</v>
      </c>
      <c r="H93" s="24">
        <v>0</v>
      </c>
      <c r="I93" s="24">
        <v>0</v>
      </c>
      <c r="J93" s="24">
        <v>0</v>
      </c>
      <c r="K93" s="24">
        <v>0</v>
      </c>
      <c r="L93" s="24">
        <v>0</v>
      </c>
      <c r="M93" s="24">
        <v>0</v>
      </c>
      <c r="N93" s="24">
        <v>170837</v>
      </c>
      <c r="O93" s="24">
        <v>0</v>
      </c>
      <c r="P93" s="24">
        <v>0</v>
      </c>
      <c r="Q93" s="24">
        <v>0</v>
      </c>
      <c r="R93" s="24">
        <v>0</v>
      </c>
      <c r="S93" s="24">
        <v>0</v>
      </c>
      <c r="T93" s="24">
        <v>0</v>
      </c>
      <c r="U93" s="24">
        <v>0</v>
      </c>
      <c r="V93" s="24">
        <v>0</v>
      </c>
      <c r="W93" s="24">
        <v>0</v>
      </c>
      <c r="X93" s="24">
        <v>0</v>
      </c>
      <c r="Y93" s="24">
        <v>64061</v>
      </c>
      <c r="Z93" s="24">
        <v>0</v>
      </c>
      <c r="AA93" s="24">
        <v>0</v>
      </c>
      <c r="AB93" s="24">
        <v>0</v>
      </c>
      <c r="AC93" s="24">
        <v>0</v>
      </c>
      <c r="AD93" s="24">
        <v>0</v>
      </c>
      <c r="AE93" s="24">
        <v>0</v>
      </c>
      <c r="AF93" s="24">
        <v>0</v>
      </c>
      <c r="AG93" s="24">
        <v>0</v>
      </c>
      <c r="AH93" s="24">
        <v>0</v>
      </c>
      <c r="AI93" s="24">
        <v>0</v>
      </c>
      <c r="AJ93" s="24">
        <v>2665</v>
      </c>
      <c r="AK93" s="24">
        <v>0</v>
      </c>
      <c r="AL93" s="24">
        <v>23437</v>
      </c>
      <c r="AM93" s="24">
        <v>0</v>
      </c>
      <c r="AN93" s="24">
        <v>0</v>
      </c>
      <c r="AO93" s="24">
        <v>0</v>
      </c>
      <c r="AP93" s="24">
        <v>0</v>
      </c>
      <c r="AQ93" s="24">
        <v>0</v>
      </c>
      <c r="AR93" s="24">
        <v>0</v>
      </c>
      <c r="AS93" s="24">
        <v>0</v>
      </c>
      <c r="AT93" s="24">
        <v>2157</v>
      </c>
      <c r="AU93" s="24">
        <v>0</v>
      </c>
      <c r="AV93" s="24">
        <v>0</v>
      </c>
      <c r="AW93" s="24">
        <v>0</v>
      </c>
      <c r="AX93" s="24">
        <v>0</v>
      </c>
      <c r="AY93" s="24">
        <v>0</v>
      </c>
      <c r="AZ93" s="24">
        <v>0</v>
      </c>
      <c r="BA93" s="24">
        <v>0</v>
      </c>
      <c r="BB93" s="24">
        <v>0</v>
      </c>
      <c r="BC93" s="24">
        <v>803</v>
      </c>
      <c r="BD93" s="24">
        <v>0</v>
      </c>
      <c r="BE93" s="24">
        <v>0</v>
      </c>
      <c r="BF93" s="24">
        <v>5725</v>
      </c>
      <c r="BG93" s="24">
        <v>0</v>
      </c>
      <c r="BH93" s="24">
        <v>0</v>
      </c>
      <c r="BI93" s="24">
        <v>0</v>
      </c>
      <c r="BJ93" s="24">
        <v>0</v>
      </c>
      <c r="BK93" s="24">
        <v>0</v>
      </c>
      <c r="BL93" s="24">
        <v>327</v>
      </c>
      <c r="BM93" s="24">
        <v>0</v>
      </c>
      <c r="BN93" s="24">
        <v>0</v>
      </c>
      <c r="BO93" s="24">
        <v>0</v>
      </c>
      <c r="BP93" s="24">
        <v>0</v>
      </c>
      <c r="BQ93" s="24">
        <v>0</v>
      </c>
      <c r="BR93" s="24">
        <v>0</v>
      </c>
      <c r="BS93" s="24">
        <v>0</v>
      </c>
      <c r="BT93" s="24">
        <v>0</v>
      </c>
      <c r="BU93" s="24">
        <v>0</v>
      </c>
      <c r="BV93" s="24">
        <v>0</v>
      </c>
      <c r="BW93" s="24">
        <v>0</v>
      </c>
      <c r="BX93" s="24">
        <v>0</v>
      </c>
      <c r="BY93" s="24">
        <v>0</v>
      </c>
      <c r="BZ93" s="24">
        <v>0</v>
      </c>
      <c r="CA93" s="24">
        <v>0</v>
      </c>
      <c r="CB93" s="24">
        <v>0</v>
      </c>
      <c r="CC93" s="24">
        <v>0</v>
      </c>
      <c r="CD93" s="24">
        <v>680112</v>
      </c>
      <c r="CE93" s="24">
        <v>624</v>
      </c>
      <c r="CF93" s="24">
        <v>0</v>
      </c>
      <c r="CG93" s="24">
        <v>0</v>
      </c>
      <c r="CH93" s="24">
        <v>0</v>
      </c>
      <c r="CI93" s="24">
        <v>9428</v>
      </c>
      <c r="CJ93" s="24">
        <v>0</v>
      </c>
      <c r="CK93" s="24">
        <v>0</v>
      </c>
      <c r="CL93" s="24">
        <v>0</v>
      </c>
      <c r="CM93" s="24">
        <v>0</v>
      </c>
      <c r="CN93" s="24">
        <v>0</v>
      </c>
      <c r="CO93" s="24">
        <v>0</v>
      </c>
      <c r="CP93" s="24">
        <v>0</v>
      </c>
      <c r="CQ93" s="24">
        <v>0</v>
      </c>
      <c r="CR93" s="24">
        <v>0</v>
      </c>
      <c r="CS93" s="24">
        <v>0</v>
      </c>
      <c r="CT93" s="24">
        <v>0</v>
      </c>
      <c r="CU93" s="24">
        <v>0</v>
      </c>
      <c r="CV93" s="24">
        <v>0</v>
      </c>
      <c r="CW93" s="24">
        <v>0</v>
      </c>
      <c r="CX93" s="24">
        <v>0</v>
      </c>
      <c r="CY93" s="24">
        <v>0</v>
      </c>
      <c r="CZ93" s="24">
        <v>0</v>
      </c>
      <c r="DA93" s="24">
        <v>0</v>
      </c>
      <c r="DB93" s="24">
        <v>0</v>
      </c>
      <c r="DC93" s="24">
        <v>0</v>
      </c>
      <c r="DD93" s="24">
        <v>56780</v>
      </c>
      <c r="DE93" s="24">
        <v>0</v>
      </c>
      <c r="DF93" s="24">
        <v>0</v>
      </c>
      <c r="DG93" s="24">
        <v>0</v>
      </c>
      <c r="DH93" s="24">
        <v>0</v>
      </c>
      <c r="DI93" s="24">
        <v>0</v>
      </c>
      <c r="DJ93" s="24">
        <v>0</v>
      </c>
      <c r="DK93" s="24">
        <v>0</v>
      </c>
      <c r="DL93" s="24">
        <v>0</v>
      </c>
      <c r="DM93" s="24">
        <v>0</v>
      </c>
      <c r="DN93" s="24">
        <v>0</v>
      </c>
      <c r="DO93" s="24">
        <v>0</v>
      </c>
      <c r="DP93" s="24">
        <v>0</v>
      </c>
      <c r="DQ93" s="24">
        <v>0</v>
      </c>
      <c r="DR93" s="24">
        <v>0</v>
      </c>
      <c r="DS93" s="24">
        <v>0</v>
      </c>
      <c r="DT93" s="24">
        <v>0</v>
      </c>
      <c r="DU93" s="24">
        <v>13931</v>
      </c>
      <c r="DV93" s="24">
        <v>0</v>
      </c>
      <c r="DW93" s="24">
        <v>0</v>
      </c>
      <c r="DX93" s="24">
        <v>0</v>
      </c>
      <c r="DY93" s="24">
        <v>26673</v>
      </c>
      <c r="DZ93" s="24">
        <v>0</v>
      </c>
      <c r="EA93" s="24">
        <v>0</v>
      </c>
      <c r="EB93" s="24">
        <v>10200</v>
      </c>
      <c r="EC93" s="24">
        <v>0</v>
      </c>
      <c r="ED93" s="24">
        <v>0</v>
      </c>
      <c r="EE93" s="24">
        <v>0</v>
      </c>
      <c r="EF93" s="24">
        <v>0</v>
      </c>
      <c r="EG93" s="24">
        <v>4223</v>
      </c>
      <c r="EH93" s="24">
        <v>0</v>
      </c>
      <c r="EI93" s="24">
        <v>0</v>
      </c>
      <c r="EJ93" s="24">
        <v>0</v>
      </c>
      <c r="EK93" s="24">
        <v>0</v>
      </c>
      <c r="EL93" s="24">
        <v>0</v>
      </c>
      <c r="EM93" s="24">
        <v>0</v>
      </c>
      <c r="EN93" s="24">
        <v>0</v>
      </c>
      <c r="EO93" s="24">
        <v>0</v>
      </c>
      <c r="EP93" s="24">
        <v>0</v>
      </c>
      <c r="EQ93" s="24">
        <v>0</v>
      </c>
      <c r="ER93" s="24">
        <v>0</v>
      </c>
      <c r="ES93" s="24">
        <v>0</v>
      </c>
      <c r="ET93" s="24">
        <v>0</v>
      </c>
      <c r="EU93" s="24">
        <v>0</v>
      </c>
      <c r="EV93" s="24">
        <v>0</v>
      </c>
      <c r="EW93" s="24">
        <v>0</v>
      </c>
      <c r="EX93" s="24">
        <v>0</v>
      </c>
      <c r="EY93" s="24">
        <v>0</v>
      </c>
      <c r="EZ93" s="24">
        <v>0</v>
      </c>
      <c r="FA93" s="24">
        <v>0</v>
      </c>
      <c r="FB93" s="24">
        <v>0</v>
      </c>
      <c r="FC93" s="24">
        <v>0</v>
      </c>
      <c r="FD93" s="24">
        <v>0</v>
      </c>
      <c r="FE93" s="24">
        <v>0</v>
      </c>
      <c r="FF93" s="24">
        <v>0</v>
      </c>
      <c r="FG93" s="24">
        <v>0</v>
      </c>
      <c r="FH93" s="24">
        <v>0</v>
      </c>
      <c r="FI93" s="24">
        <v>0</v>
      </c>
      <c r="FJ93" s="24">
        <v>0</v>
      </c>
      <c r="FK93" s="24">
        <v>0</v>
      </c>
      <c r="FL93" s="24">
        <v>0</v>
      </c>
      <c r="FM93" s="24">
        <v>0</v>
      </c>
      <c r="FN93" s="24">
        <v>0</v>
      </c>
      <c r="FO93" s="24">
        <v>0</v>
      </c>
      <c r="FP93" s="24">
        <v>0</v>
      </c>
      <c r="FQ93" s="24">
        <v>0</v>
      </c>
      <c r="FR93" s="24">
        <v>0</v>
      </c>
      <c r="FS93" s="24">
        <v>32149</v>
      </c>
      <c r="FT93" s="24">
        <v>0</v>
      </c>
      <c r="FU93" s="24">
        <v>0</v>
      </c>
      <c r="FV93" s="24">
        <v>0</v>
      </c>
      <c r="FW93" s="24">
        <v>15229</v>
      </c>
      <c r="FX93" s="24">
        <v>782298</v>
      </c>
      <c r="FY93" s="24">
        <v>0</v>
      </c>
      <c r="FZ93" s="24">
        <v>0</v>
      </c>
      <c r="GA93" s="24">
        <v>0</v>
      </c>
      <c r="GB93" s="24">
        <v>0</v>
      </c>
      <c r="GC93" s="24">
        <v>0</v>
      </c>
      <c r="GD93" s="24">
        <v>0</v>
      </c>
      <c r="GE93" s="24">
        <v>0</v>
      </c>
      <c r="GF93" s="24">
        <v>0</v>
      </c>
      <c r="GG93" s="24">
        <v>8000</v>
      </c>
      <c r="GH93" s="24">
        <v>0</v>
      </c>
      <c r="GI93" s="24">
        <v>0</v>
      </c>
      <c r="GJ93" s="24">
        <v>0</v>
      </c>
      <c r="GK93" s="24">
        <v>0</v>
      </c>
      <c r="GL93" s="24">
        <v>0</v>
      </c>
      <c r="GM93" s="24">
        <v>0</v>
      </c>
      <c r="GN93" s="24">
        <v>0</v>
      </c>
      <c r="GO93" s="24">
        <v>0</v>
      </c>
      <c r="GP93" s="24">
        <v>0</v>
      </c>
      <c r="GQ93" s="24">
        <v>0</v>
      </c>
      <c r="GR93" s="24">
        <v>0</v>
      </c>
      <c r="GS93" s="24">
        <v>0</v>
      </c>
      <c r="GT93" s="24">
        <v>0</v>
      </c>
      <c r="GU93" s="24">
        <v>33718</v>
      </c>
      <c r="GV93" s="24">
        <v>0</v>
      </c>
      <c r="GW93" s="24">
        <v>0</v>
      </c>
      <c r="GX93" s="24">
        <v>0</v>
      </c>
      <c r="GY93" s="24">
        <v>0</v>
      </c>
      <c r="GZ93" s="24">
        <v>112780</v>
      </c>
      <c r="HA93" s="24">
        <v>0</v>
      </c>
      <c r="HB93" s="24">
        <v>0</v>
      </c>
      <c r="HC93" s="24">
        <v>0</v>
      </c>
      <c r="HD93" s="24">
        <v>18501534</v>
      </c>
      <c r="HE93" s="24">
        <v>0</v>
      </c>
      <c r="HF93" s="24">
        <v>0</v>
      </c>
      <c r="HG93" s="24">
        <v>0</v>
      </c>
      <c r="HH93" s="24">
        <v>0</v>
      </c>
      <c r="HI93" s="24">
        <v>884553</v>
      </c>
      <c r="HJ93" s="24">
        <v>0</v>
      </c>
      <c r="HK93" s="24">
        <v>0</v>
      </c>
      <c r="HL93" s="24">
        <v>87305</v>
      </c>
      <c r="HM93" s="24">
        <v>0</v>
      </c>
      <c r="HN93" s="24">
        <v>0</v>
      </c>
      <c r="HO93" s="24">
        <v>2474378</v>
      </c>
      <c r="HP93" s="24">
        <v>978955</v>
      </c>
      <c r="HQ93" s="24">
        <v>0</v>
      </c>
      <c r="HR93" s="24">
        <v>0</v>
      </c>
      <c r="HS93" s="24">
        <v>0</v>
      </c>
      <c r="HT93" s="24">
        <v>0</v>
      </c>
      <c r="HU93" s="24">
        <v>0</v>
      </c>
      <c r="HV93" s="24">
        <v>0</v>
      </c>
      <c r="HW93" s="24">
        <v>92481</v>
      </c>
      <c r="HX93" s="24">
        <v>0</v>
      </c>
      <c r="HY93" s="24">
        <v>0</v>
      </c>
      <c r="HZ93" s="24">
        <v>0</v>
      </c>
      <c r="IA93" s="24">
        <v>1268</v>
      </c>
      <c r="IB93" s="24">
        <v>0</v>
      </c>
      <c r="IC93" s="24">
        <v>0</v>
      </c>
      <c r="ID93" s="24">
        <v>0</v>
      </c>
      <c r="IE93" s="24">
        <v>0</v>
      </c>
      <c r="IF93" s="24">
        <v>0</v>
      </c>
      <c r="IG93" s="24">
        <v>0</v>
      </c>
      <c r="IH93" s="24">
        <v>0</v>
      </c>
      <c r="II93" s="24">
        <v>0</v>
      </c>
      <c r="IJ93" s="24">
        <v>0</v>
      </c>
      <c r="IK93" s="24">
        <v>0</v>
      </c>
      <c r="IL93" s="24">
        <v>0</v>
      </c>
      <c r="IM93" s="24">
        <v>0</v>
      </c>
      <c r="IN93" s="24">
        <v>23777</v>
      </c>
      <c r="IO93" s="24">
        <v>0</v>
      </c>
      <c r="IP93" s="24">
        <v>0</v>
      </c>
      <c r="IQ93" s="24">
        <v>117715</v>
      </c>
      <c r="IR93" s="24">
        <v>0</v>
      </c>
      <c r="IS93" s="24">
        <v>0</v>
      </c>
      <c r="IT93" s="24">
        <v>0</v>
      </c>
      <c r="IU93" s="24">
        <v>0</v>
      </c>
      <c r="IV93" s="24">
        <v>0</v>
      </c>
      <c r="IW93" s="24">
        <v>0</v>
      </c>
      <c r="IX93" s="24">
        <v>0</v>
      </c>
      <c r="IY93" s="24">
        <v>282089</v>
      </c>
      <c r="IZ93" s="24">
        <v>0</v>
      </c>
      <c r="JA93" s="24">
        <v>0</v>
      </c>
      <c r="JB93" s="24">
        <v>222981</v>
      </c>
      <c r="JC93" s="24">
        <v>0</v>
      </c>
      <c r="JD93" s="24">
        <v>0</v>
      </c>
      <c r="JE93" s="24">
        <v>0</v>
      </c>
      <c r="JF93" s="24">
        <v>0</v>
      </c>
      <c r="JG93" s="24">
        <v>0</v>
      </c>
      <c r="JH93" s="24">
        <v>0</v>
      </c>
      <c r="JI93" s="24">
        <v>0</v>
      </c>
      <c r="JJ93" s="24">
        <v>0</v>
      </c>
      <c r="JK93" s="24">
        <v>0</v>
      </c>
      <c r="JL93" s="24">
        <v>0</v>
      </c>
      <c r="JM93" s="24">
        <v>0</v>
      </c>
      <c r="JN93" s="24">
        <v>0</v>
      </c>
      <c r="JO93" s="24">
        <v>0</v>
      </c>
      <c r="JP93" s="24">
        <v>44454</v>
      </c>
      <c r="JQ93" s="24">
        <v>0</v>
      </c>
      <c r="JR93" s="24">
        <v>0</v>
      </c>
      <c r="JS93" s="24">
        <v>0</v>
      </c>
      <c r="JT93" s="24">
        <v>0</v>
      </c>
      <c r="JU93" s="24">
        <v>0</v>
      </c>
      <c r="JV93" s="24">
        <v>0</v>
      </c>
      <c r="JW93" s="24">
        <v>0</v>
      </c>
      <c r="JX93" s="24">
        <v>0</v>
      </c>
      <c r="JY93" s="24">
        <v>0</v>
      </c>
      <c r="JZ93" s="24">
        <v>0</v>
      </c>
      <c r="KA93" s="24">
        <v>0</v>
      </c>
      <c r="KB93" s="24">
        <v>0</v>
      </c>
      <c r="KC93" s="24">
        <v>0</v>
      </c>
      <c r="KD93" s="24">
        <v>0</v>
      </c>
      <c r="KE93" s="24">
        <v>0</v>
      </c>
      <c r="KF93" s="24">
        <v>0</v>
      </c>
      <c r="KG93" s="24">
        <v>0</v>
      </c>
      <c r="KH93" s="24">
        <v>0</v>
      </c>
      <c r="KI93" s="24">
        <v>0</v>
      </c>
      <c r="KJ93" s="24">
        <v>0</v>
      </c>
      <c r="KK93" s="24">
        <v>0</v>
      </c>
      <c r="KL93" s="24">
        <v>0</v>
      </c>
      <c r="KM93" s="24">
        <v>0</v>
      </c>
      <c r="KN93" s="24">
        <v>0</v>
      </c>
      <c r="KO93" s="24">
        <v>0</v>
      </c>
      <c r="KP93" s="24">
        <v>0</v>
      </c>
      <c r="KQ93" s="24">
        <v>0</v>
      </c>
      <c r="KR93" s="24">
        <v>0</v>
      </c>
      <c r="KS93" s="24">
        <v>0</v>
      </c>
      <c r="KT93" s="24">
        <v>0</v>
      </c>
      <c r="KU93" s="24">
        <v>0</v>
      </c>
      <c r="KV93" s="24">
        <v>0</v>
      </c>
      <c r="KW93" s="24">
        <v>0</v>
      </c>
      <c r="KX93" s="24">
        <v>0</v>
      </c>
      <c r="KY93" s="24">
        <v>0</v>
      </c>
      <c r="KZ93" s="24">
        <v>0</v>
      </c>
      <c r="LA93" s="24">
        <v>0</v>
      </c>
      <c r="LB93" s="24">
        <v>0</v>
      </c>
      <c r="LC93" s="24">
        <v>0</v>
      </c>
      <c r="LD93" s="24">
        <v>0</v>
      </c>
      <c r="LE93" s="24">
        <v>0</v>
      </c>
      <c r="LF93" s="24">
        <v>0</v>
      </c>
      <c r="LG93" s="24">
        <v>0</v>
      </c>
      <c r="LH93" s="24">
        <v>0</v>
      </c>
      <c r="LI93" s="24">
        <v>0</v>
      </c>
      <c r="LJ93" s="24">
        <v>0</v>
      </c>
      <c r="LK93" s="24">
        <v>0</v>
      </c>
      <c r="LL93" s="24">
        <v>0</v>
      </c>
      <c r="LM93" s="24">
        <v>0</v>
      </c>
      <c r="LN93" s="24">
        <v>0</v>
      </c>
      <c r="LO93" s="24">
        <v>0</v>
      </c>
      <c r="LP93" s="24">
        <v>0</v>
      </c>
      <c r="LQ93" s="24">
        <v>740195</v>
      </c>
      <c r="LR93" s="24">
        <v>0</v>
      </c>
      <c r="LS93" s="24">
        <v>0</v>
      </c>
      <c r="LT93" s="24">
        <v>0</v>
      </c>
      <c r="LU93" s="24">
        <v>0</v>
      </c>
      <c r="LV93" s="24">
        <v>0</v>
      </c>
      <c r="LW93" s="24">
        <v>0</v>
      </c>
      <c r="LX93" s="24">
        <v>0</v>
      </c>
      <c r="LY93" s="24">
        <v>0</v>
      </c>
      <c r="LZ93" s="24">
        <v>0</v>
      </c>
      <c r="MA93" s="24">
        <v>0</v>
      </c>
      <c r="MB93" s="24">
        <v>0</v>
      </c>
      <c r="MC93" s="24">
        <v>0</v>
      </c>
      <c r="MD93" s="24">
        <v>0</v>
      </c>
      <c r="ME93" s="24">
        <v>0</v>
      </c>
      <c r="MF93" s="24">
        <v>0</v>
      </c>
      <c r="MG93" s="24">
        <v>0</v>
      </c>
      <c r="MH93" s="24">
        <v>0</v>
      </c>
      <c r="MI93" s="24">
        <v>0</v>
      </c>
      <c r="MJ93" s="24">
        <v>0</v>
      </c>
      <c r="MK93" s="24">
        <v>0</v>
      </c>
      <c r="ML93" s="24">
        <v>0</v>
      </c>
      <c r="MM93" s="24">
        <v>0</v>
      </c>
      <c r="MN93" s="24">
        <v>0</v>
      </c>
      <c r="MO93" s="24">
        <v>50899</v>
      </c>
      <c r="MP93" s="24">
        <v>0</v>
      </c>
      <c r="MQ93" s="24">
        <v>0</v>
      </c>
      <c r="MR93" s="24">
        <v>1274819</v>
      </c>
      <c r="MS93" s="24">
        <v>0</v>
      </c>
      <c r="MT93" s="24">
        <v>0</v>
      </c>
      <c r="MU93" s="24">
        <v>0</v>
      </c>
      <c r="MV93" s="24">
        <v>0</v>
      </c>
      <c r="MW93" s="24">
        <v>899517</v>
      </c>
      <c r="MX93" s="24">
        <v>38624</v>
      </c>
      <c r="MY93" s="24">
        <v>0</v>
      </c>
      <c r="MZ93" s="24">
        <v>0</v>
      </c>
      <c r="NA93" s="24">
        <v>76099</v>
      </c>
      <c r="NB93" s="24">
        <v>0</v>
      </c>
      <c r="NC93" s="24">
        <v>0</v>
      </c>
      <c r="ND93" s="24">
        <v>0</v>
      </c>
      <c r="NE93" s="24">
        <v>0</v>
      </c>
      <c r="NF93" s="24">
        <v>0</v>
      </c>
      <c r="NG93" s="24">
        <v>0</v>
      </c>
      <c r="NH93" s="24">
        <v>0</v>
      </c>
      <c r="NI93" s="24">
        <v>0</v>
      </c>
      <c r="NJ93" s="24">
        <v>0</v>
      </c>
      <c r="NK93" s="24">
        <v>0</v>
      </c>
      <c r="NL93" s="24">
        <v>0</v>
      </c>
      <c r="NM93" s="24">
        <v>0</v>
      </c>
      <c r="NN93" s="24">
        <v>0</v>
      </c>
      <c r="NO93" s="24">
        <v>0</v>
      </c>
      <c r="NP93" s="24">
        <v>0</v>
      </c>
      <c r="NQ93" s="24">
        <v>0</v>
      </c>
      <c r="NR93" s="24">
        <v>0</v>
      </c>
      <c r="NS93" s="24">
        <v>12073</v>
      </c>
      <c r="NT93" s="24">
        <v>0</v>
      </c>
      <c r="NU93" s="24">
        <v>0</v>
      </c>
      <c r="NV93" s="24">
        <v>192173</v>
      </c>
      <c r="NW93" s="24">
        <v>0</v>
      </c>
      <c r="NX93" s="24">
        <v>0</v>
      </c>
      <c r="NY93" s="24">
        <v>76728</v>
      </c>
      <c r="NZ93" s="24">
        <v>0</v>
      </c>
      <c r="OA93" s="24">
        <v>0</v>
      </c>
      <c r="OB93" s="24">
        <v>0</v>
      </c>
      <c r="OC93" s="24">
        <v>0</v>
      </c>
      <c r="OD93" s="24">
        <v>0</v>
      </c>
      <c r="OE93" s="24">
        <v>0</v>
      </c>
      <c r="OF93" s="24">
        <v>0</v>
      </c>
      <c r="OG93" s="24">
        <v>0</v>
      </c>
      <c r="OH93" s="24">
        <v>0</v>
      </c>
      <c r="OI93" s="24">
        <v>0</v>
      </c>
      <c r="OJ93" s="24">
        <v>0</v>
      </c>
      <c r="OK93" s="24">
        <v>0</v>
      </c>
      <c r="OL93" s="24">
        <v>0</v>
      </c>
      <c r="OM93" s="24">
        <v>0</v>
      </c>
      <c r="ON93" s="24">
        <v>0</v>
      </c>
      <c r="OO93" s="24">
        <v>0</v>
      </c>
      <c r="OP93" s="24">
        <v>0</v>
      </c>
      <c r="OQ93" s="24">
        <v>0</v>
      </c>
      <c r="OR93" s="24">
        <v>0</v>
      </c>
      <c r="OS93" s="24">
        <v>0</v>
      </c>
      <c r="OT93" s="24">
        <v>0</v>
      </c>
      <c r="OU93" s="24">
        <v>0</v>
      </c>
      <c r="OV93" s="24">
        <v>0</v>
      </c>
      <c r="OW93" s="24">
        <v>0</v>
      </c>
      <c r="OX93" s="24">
        <v>12118</v>
      </c>
      <c r="OY93" s="24">
        <v>0</v>
      </c>
      <c r="OZ93" s="24">
        <v>0</v>
      </c>
      <c r="PA93" s="24">
        <v>0</v>
      </c>
      <c r="PB93" s="24">
        <v>0</v>
      </c>
      <c r="PC93" s="24">
        <v>0</v>
      </c>
      <c r="PD93" s="24">
        <v>0</v>
      </c>
      <c r="PE93" s="24">
        <v>0</v>
      </c>
      <c r="PF93" s="24">
        <v>0</v>
      </c>
      <c r="PG93" s="24">
        <v>0</v>
      </c>
      <c r="PH93" s="24">
        <v>0</v>
      </c>
      <c r="PI93" s="24">
        <v>0</v>
      </c>
      <c r="PJ93" s="24">
        <v>0</v>
      </c>
      <c r="PK93" s="24">
        <v>0</v>
      </c>
      <c r="PL93" s="24">
        <v>0</v>
      </c>
      <c r="PM93" s="24">
        <v>0</v>
      </c>
      <c r="PN93" s="24">
        <v>0</v>
      </c>
      <c r="PO93" s="24">
        <v>0</v>
      </c>
      <c r="PP93" s="24">
        <v>0</v>
      </c>
      <c r="PQ93" s="24">
        <v>0</v>
      </c>
      <c r="PR93" s="24">
        <v>0</v>
      </c>
      <c r="PS93" s="24">
        <v>0</v>
      </c>
      <c r="PT93" s="24">
        <v>0</v>
      </c>
      <c r="PU93" s="24">
        <v>0</v>
      </c>
      <c r="PV93" s="24">
        <v>0</v>
      </c>
      <c r="PW93" s="24">
        <v>0</v>
      </c>
      <c r="PX93" s="24">
        <v>0</v>
      </c>
      <c r="PY93" s="24">
        <v>0</v>
      </c>
      <c r="PZ93" s="24">
        <v>0</v>
      </c>
      <c r="QA93" s="24">
        <v>0</v>
      </c>
      <c r="QB93" s="24">
        <v>0</v>
      </c>
      <c r="QC93" s="24">
        <v>0</v>
      </c>
      <c r="QD93" s="24">
        <v>0</v>
      </c>
      <c r="QE93" s="24">
        <v>0</v>
      </c>
      <c r="QF93" s="24">
        <v>0</v>
      </c>
      <c r="QG93" s="24">
        <v>0</v>
      </c>
      <c r="QH93" s="24">
        <v>0</v>
      </c>
      <c r="QI93" s="24">
        <v>0</v>
      </c>
      <c r="QJ93" s="24">
        <v>0</v>
      </c>
      <c r="QK93" s="24">
        <v>0</v>
      </c>
      <c r="QL93" s="24">
        <v>0</v>
      </c>
      <c r="QM93" s="24">
        <v>0</v>
      </c>
      <c r="QN93" s="24">
        <v>0</v>
      </c>
      <c r="QO93" s="24">
        <v>0</v>
      </c>
      <c r="QP93" s="24">
        <v>0</v>
      </c>
      <c r="QQ93" s="24">
        <v>0</v>
      </c>
      <c r="QR93" s="24">
        <v>0</v>
      </c>
      <c r="QS93" s="24">
        <v>66919</v>
      </c>
      <c r="QT93" s="24">
        <v>0</v>
      </c>
      <c r="QU93" s="24">
        <v>0</v>
      </c>
      <c r="QV93" s="24">
        <v>86070</v>
      </c>
      <c r="QW93" s="24">
        <v>0</v>
      </c>
      <c r="QX93" s="24">
        <v>0</v>
      </c>
      <c r="QY93" s="24">
        <v>0</v>
      </c>
      <c r="QZ93" s="24">
        <v>150000</v>
      </c>
      <c r="RA93" s="24">
        <v>0</v>
      </c>
      <c r="RB93" s="24">
        <v>0</v>
      </c>
      <c r="RG93" s="39">
        <f t="shared" si="129"/>
        <v>18501534</v>
      </c>
      <c r="RH93" s="39">
        <f t="shared" si="206"/>
        <v>884553</v>
      </c>
      <c r="RI93" s="39">
        <f t="shared" si="206"/>
        <v>87305</v>
      </c>
      <c r="RJ93" s="39">
        <f t="shared" si="206"/>
        <v>0</v>
      </c>
      <c r="RK93" s="39">
        <f t="shared" si="206"/>
        <v>0</v>
      </c>
      <c r="RL93" s="39">
        <f t="shared" si="206"/>
        <v>2474378</v>
      </c>
      <c r="RM93" s="39">
        <f t="shared" si="206"/>
        <v>1072704</v>
      </c>
      <c r="RN93" s="39">
        <f t="shared" si="206"/>
        <v>23777</v>
      </c>
      <c r="RO93" s="39">
        <f t="shared" si="206"/>
        <v>117715</v>
      </c>
      <c r="RP93" s="39">
        <f t="shared" si="206"/>
        <v>282089</v>
      </c>
      <c r="RQ93" s="39">
        <f t="shared" si="206"/>
        <v>222981</v>
      </c>
      <c r="RR93" s="39">
        <f t="shared" si="206"/>
        <v>44454</v>
      </c>
      <c r="RS93" s="39"/>
      <c r="RT93" s="182"/>
      <c r="RU93" s="39"/>
      <c r="RV93" s="39">
        <f t="shared" si="182"/>
        <v>3361127</v>
      </c>
      <c r="RW93" s="39">
        <f t="shared" si="182"/>
        <v>23711490</v>
      </c>
      <c r="RX93" s="39">
        <f t="shared" si="182"/>
        <v>15465472</v>
      </c>
      <c r="RY93" s="39">
        <f t="shared" si="182"/>
        <v>315107</v>
      </c>
      <c r="RZ93" s="39"/>
      <c r="SA93" s="182"/>
      <c r="SB93" s="39"/>
      <c r="SC93" s="25">
        <f t="shared" si="183"/>
        <v>3544.68760027504</v>
      </c>
      <c r="SD93" s="39">
        <f>IFERROR(VLOOKUP(A93, 'Levy Data 15-16'!$B:$O, 3, FALSE), 0)</f>
        <v>2500914212</v>
      </c>
      <c r="SE93" s="39">
        <f t="shared" si="144"/>
        <v>573209.76667430671</v>
      </c>
      <c r="SF93" s="631">
        <f>IFERROR(VLOOKUP(A93, 'Levy Data 15-16'!$B:$O, 14, FALSE), 0)*1000</f>
        <v>5.2001259999999991</v>
      </c>
      <c r="SG93" s="39">
        <f t="shared" si="145"/>
        <v>0</v>
      </c>
      <c r="SH93" s="39">
        <f t="shared" si="146"/>
        <v>0</v>
      </c>
      <c r="SI93" s="39">
        <f t="shared" si="147"/>
        <v>15465472</v>
      </c>
      <c r="SM93" s="39">
        <f t="shared" si="148"/>
        <v>23711490</v>
      </c>
      <c r="SN93" s="39">
        <f t="shared" si="149"/>
        <v>0</v>
      </c>
      <c r="SO93" s="39">
        <f t="shared" si="184"/>
        <v>23711490</v>
      </c>
      <c r="SP93" s="50">
        <f t="shared" si="130"/>
        <v>1</v>
      </c>
      <c r="ST93" s="124">
        <f>IFERROR(VLOOKUP(A93,'Grade Enroll 15-16'!B:AC,27,FALSE),"")</f>
        <v>4363</v>
      </c>
      <c r="SU93" s="124">
        <f t="shared" si="185"/>
        <v>1705.6381522668948</v>
      </c>
      <c r="SV93" s="131">
        <f>IFERROR(VLOOKUP($A93, 'Title I Enroll 16-17'!S:V, 4, FALSE), 0)</f>
        <v>0.39093242087254065</v>
      </c>
      <c r="SW93" s="729">
        <f>IFERROR(VLOOKUP(A93, 'ELL Enroll 15-16'!$N:$S, 6, FALSE), 0)</f>
        <v>19</v>
      </c>
      <c r="SX93" s="131">
        <f t="shared" si="131"/>
        <v>4.3548017419206969E-3</v>
      </c>
      <c r="SY93" s="124">
        <f>IFERROR(VLOOKUP(A93, 'SPED enroll 2015-16'!$M:$O, 3, FALSE), 0)</f>
        <v>532</v>
      </c>
      <c r="SZ93" s="131">
        <f t="shared" si="132"/>
        <v>0.12193444877377951</v>
      </c>
      <c r="TA93" s="142">
        <f t="shared" si="133"/>
        <v>372.4</v>
      </c>
      <c r="TB93" s="142">
        <f t="shared" si="133"/>
        <v>106.4</v>
      </c>
      <c r="TC93" s="142">
        <f t="shared" si="133"/>
        <v>37.24</v>
      </c>
      <c r="TD93" s="142">
        <f t="shared" si="133"/>
        <v>15.959999999999999</v>
      </c>
      <c r="TE93" s="124">
        <f>VLOOKUP($A93, 'Grade Enroll 15-16'!$B:$AB, 20, FALSE)</f>
        <v>52</v>
      </c>
      <c r="TF93" s="124">
        <f>VLOOKUP($A93, 'Grade Enroll 15-16'!$B:$AB, 21, FALSE)</f>
        <v>323</v>
      </c>
      <c r="TG93" s="124">
        <f>VLOOKUP($A93, 'Grade Enroll 15-16'!$B:$AB, 22, FALSE)</f>
        <v>1032</v>
      </c>
      <c r="TH93" s="124">
        <f>VLOOKUP($A93, 'Grade Enroll 15-16'!$B:$AB, 23, FALSE)</f>
        <v>1106</v>
      </c>
      <c r="TI93" s="124">
        <f>VLOOKUP($A93, 'Grade Enroll 15-16'!$B:$AB, 24, FALSE)</f>
        <v>718</v>
      </c>
      <c r="TJ93" s="124">
        <f>VLOOKUP($A93, 'Grade Enroll 15-16'!$B:$AB, 25, FALSE)</f>
        <v>1507</v>
      </c>
      <c r="TK93" s="124">
        <f>VLOOKUP($A93, 'Grade Enroll 15-16'!$B:$AB, 26, FALSE)</f>
        <v>2941</v>
      </c>
      <c r="TL93" s="131">
        <f>SUMIFS('Student Achievement 15-16'!N:N, 'Student Achievement 15-16'!B:B, 'Idaho Data'!A93, 'Student Achievement 15-16'!D:D, "math")/100</f>
        <v>0.245</v>
      </c>
      <c r="TM93" s="134">
        <f t="shared" si="186"/>
        <v>1068.9349999999999</v>
      </c>
      <c r="TN93" s="131">
        <f>SUMIFS('Student Achievement 15-16'!N:N, 'Student Achievement 15-16'!B:B, 'Idaho Data'!A93, 'Student Achievement 15-16'!D:D, "ela")/100</f>
        <v>0.21600000000000003</v>
      </c>
      <c r="TO93" s="134">
        <f t="shared" si="134"/>
        <v>942.40800000000013</v>
      </c>
      <c r="TP93" s="688">
        <f>IFERROR(VLOOKUP(A93, 'G&amp;T 15-16'!B:G, 6, FALSE), 0)*1</f>
        <v>619</v>
      </c>
      <c r="TQ93" s="168">
        <f t="shared" si="135"/>
        <v>261.77999999999997</v>
      </c>
      <c r="TU93" s="168">
        <f t="shared" si="136"/>
        <v>942.40800000000013</v>
      </c>
      <c r="TV93" s="168">
        <f t="shared" si="137"/>
        <v>1068.9349999999999</v>
      </c>
      <c r="TW93" s="205">
        <f t="shared" si="138"/>
        <v>1068.9349999999999</v>
      </c>
      <c r="TX93" s="144"/>
      <c r="TY93" s="129"/>
      <c r="TZ93" s="127">
        <f t="shared" si="139"/>
        <v>261.77999999999997</v>
      </c>
      <c r="UA93" s="127">
        <f t="shared" si="140"/>
        <v>619</v>
      </c>
      <c r="UB93" s="205">
        <f t="shared" si="141"/>
        <v>619</v>
      </c>
      <c r="UE93" s="853" t="str">
        <f>IF(ST93&lt;='1. Simulator Input'!$E$104, "yes", "")</f>
        <v/>
      </c>
      <c r="UI93" s="199">
        <f t="shared" si="187"/>
        <v>0</v>
      </c>
      <c r="UJ93" s="200">
        <f>IF('Idaho Data'!SI93&gt;=0, ((1-'1. Simulator Input'!$E$39)*'Idaho Data'!SI93), 0)</f>
        <v>0</v>
      </c>
      <c r="UK93" s="200">
        <f t="shared" si="142"/>
        <v>23711490</v>
      </c>
      <c r="UL93" s="39"/>
      <c r="UM93" s="182"/>
      <c r="UN93" s="39"/>
      <c r="UO93" s="39" t="str">
        <f>IF(AND('1. Simulator Input'!$E$96="yes", '1. Simulator Input'!$E$98="yes", '1. Simulator Input'!$E$100="hold harmless"), 'Idaho Data'!WN93, IF(AND('1. Simulator Input'!$E$96="yes", '1. Simulator Input'!$E$98="no", '1. Simulator Input'!$E$100="hold harmless"), 'Idaho Data'!WM93, IF(AND('1. Simulator Input'!$E$96="yes", '1. Simulator Input'!$E$98="yes", '1. Simulator Input'!$E$100="small district grant"), WL93,IF(AND('1. Simulator Input'!$E$96="yes", '1. Simulator Input'!$E$98="no", '1. Simulator Input'!$E$100="small district grant"), WK93, ""))))</f>
        <v/>
      </c>
      <c r="UP93" s="200">
        <f>'1. Simulator Input'!$D$56*('Idaho Data'!ST93)</f>
        <v>24109938</v>
      </c>
      <c r="UQ93" s="204">
        <f>'1. Simulator Input'!$D$65*'1. Simulator Input'!$D$56*'Idaho Data'!SU93</f>
        <v>0</v>
      </c>
      <c r="UR93" s="204">
        <f>'1. Simulator Input'!$D$66*'1. Simulator Input'!$D$56*'Idaho Data'!SW93</f>
        <v>0</v>
      </c>
      <c r="US93" s="200">
        <f>'1. Simulator Input'!$D$67*'1. Simulator Input'!$D$56*'Idaho Data'!TA93</f>
        <v>0</v>
      </c>
      <c r="UT93" s="200">
        <f>'1. Simulator Input'!$D$68*'1. Simulator Input'!$D$56*'Idaho Data'!TB93</f>
        <v>0</v>
      </c>
      <c r="UU93" s="200">
        <f>'1. Simulator Input'!$D$69*'1. Simulator Input'!$D$56*'Idaho Data'!TC93</f>
        <v>0</v>
      </c>
      <c r="UV93" s="200">
        <f>'1. Simulator Input'!$D$70*'1. Simulator Input'!$D$56*TD93</f>
        <v>0</v>
      </c>
      <c r="UW93" s="200">
        <f>'1. Simulator Input'!$D$80*'1. Simulator Input'!$D$56*TW93</f>
        <v>0</v>
      </c>
      <c r="UX93" s="200">
        <f>'1. Simulator Input'!$D$79*'1. Simulator Input'!$D$56*UB93</f>
        <v>0</v>
      </c>
      <c r="UY93" s="200">
        <f>'1. Simulator Input'!$D$87*'1. Simulator Input'!$D$56*TF93</f>
        <v>892449</v>
      </c>
      <c r="UZ93" s="200">
        <f>'1. Simulator Input'!$D$73*'1. Simulator Input'!$D$56*'Idaho Data'!TG93</f>
        <v>0</v>
      </c>
      <c r="VA93" s="200">
        <f>'1. Simulator Input'!$D$56*'1. Simulator Input'!$D$74*'Idaho Data'!TH93</f>
        <v>0</v>
      </c>
      <c r="VB93" s="200">
        <f>'1. Simulator Input'!$D$56*'1. Simulator Input'!$D$75*'Idaho Data'!TI88</f>
        <v>0</v>
      </c>
      <c r="VC93" s="200">
        <f>'1. Simulator Input'!$D$76*'1. Simulator Input'!$D$56*'Idaho Data'!TJ93</f>
        <v>0</v>
      </c>
      <c r="VD93" s="200">
        <f t="shared" si="188"/>
        <v>25002387</v>
      </c>
      <c r="VE93" s="200"/>
      <c r="VF93" s="182"/>
      <c r="VG93" s="200"/>
      <c r="VH93" s="200">
        <f t="shared" si="189"/>
        <v>0</v>
      </c>
      <c r="VI93" s="200">
        <f t="shared" si="190"/>
        <v>0</v>
      </c>
      <c r="VJ93" s="200">
        <f t="shared" si="150"/>
        <v>25002387</v>
      </c>
      <c r="VK93" s="200">
        <f t="shared" si="151"/>
        <v>25002387</v>
      </c>
      <c r="VL93" s="200"/>
      <c r="VM93" s="182"/>
      <c r="VN93" s="200"/>
      <c r="VO93" s="200">
        <f t="shared" si="191"/>
        <v>3361127</v>
      </c>
      <c r="VP93" s="200">
        <f t="shared" si="192"/>
        <v>23711490</v>
      </c>
      <c r="VQ93" s="200">
        <f t="shared" si="193"/>
        <v>15465472</v>
      </c>
      <c r="VR93" s="200">
        <f t="shared" si="194"/>
        <v>3361127</v>
      </c>
      <c r="VS93" s="200">
        <f t="shared" si="152"/>
        <v>25002387</v>
      </c>
      <c r="VT93" s="200">
        <f t="shared" si="153"/>
        <v>15465472</v>
      </c>
      <c r="VU93" s="200">
        <f t="shared" si="154"/>
        <v>0</v>
      </c>
      <c r="VV93" s="200"/>
      <c r="VW93" s="182"/>
      <c r="VX93" s="200"/>
      <c r="VZ93" s="199">
        <f t="shared" si="195"/>
        <v>1290897</v>
      </c>
      <c r="WA93" s="199">
        <f t="shared" si="196"/>
        <v>295.8737107494843</v>
      </c>
      <c r="WB93" s="131">
        <f t="shared" si="197"/>
        <v>5.4441833895718911E-2</v>
      </c>
      <c r="WC93" s="131"/>
      <c r="WD93" s="461"/>
      <c r="WE93" s="893"/>
      <c r="WF93" s="893">
        <f t="shared" si="198"/>
        <v>9749.7338986935592</v>
      </c>
      <c r="WG93" s="893">
        <f t="shared" si="199"/>
        <v>10045.607609443045</v>
      </c>
      <c r="WH93" s="893"/>
      <c r="WI93" s="893">
        <f t="shared" si="200"/>
        <v>23711490</v>
      </c>
      <c r="WJ93" s="893">
        <f t="shared" si="155"/>
        <v>25002387</v>
      </c>
      <c r="WK93" s="39" t="str">
        <f t="shared" si="156"/>
        <v/>
      </c>
      <c r="WL93" s="39" t="str">
        <f t="shared" si="157"/>
        <v/>
      </c>
      <c r="WM93" s="200" t="str">
        <f t="shared" si="158"/>
        <v/>
      </c>
      <c r="WN93" s="39" t="str">
        <f t="shared" si="159"/>
        <v/>
      </c>
      <c r="WO93" s="39"/>
      <c r="WP93" s="182"/>
      <c r="WQ93" s="39"/>
      <c r="WR93" s="305">
        <f t="shared" si="160"/>
        <v>0.58699999999999997</v>
      </c>
      <c r="WT93" s="200">
        <f t="shared" si="161"/>
        <v>5434.6756818702725</v>
      </c>
      <c r="WU93" s="131">
        <f t="shared" si="201"/>
        <v>0.09</v>
      </c>
      <c r="WW93" s="199">
        <f t="shared" si="162"/>
        <v>3361127</v>
      </c>
      <c r="WX93" s="199">
        <f t="shared" si="163"/>
        <v>25002387</v>
      </c>
      <c r="WY93" s="199">
        <f t="shared" si="164"/>
        <v>0</v>
      </c>
      <c r="WZ93" s="199">
        <f t="shared" si="202"/>
        <v>25002387</v>
      </c>
      <c r="XA93" s="199">
        <f t="shared" si="165"/>
        <v>0</v>
      </c>
      <c r="XB93" s="199">
        <f t="shared" si="166"/>
        <v>15465472</v>
      </c>
      <c r="XC93" s="199">
        <f t="shared" si="167"/>
        <v>15465472</v>
      </c>
      <c r="XD93" s="199" t="str">
        <f t="shared" si="168"/>
        <v/>
      </c>
      <c r="XE93" s="199"/>
      <c r="XF93" s="199"/>
      <c r="XG93" s="199"/>
      <c r="XH93" s="199"/>
      <c r="XI93" s="199"/>
      <c r="XJ93" s="199">
        <f t="shared" si="203"/>
        <v>25002387</v>
      </c>
      <c r="XP93" s="199">
        <f t="shared" si="169"/>
        <v>25002387</v>
      </c>
      <c r="XQ93" s="199">
        <f t="shared" si="170"/>
        <v>5730.5493926197569</v>
      </c>
      <c r="XR93" s="199">
        <f t="shared" si="171"/>
        <v>25002387</v>
      </c>
      <c r="XS93" s="199">
        <f t="shared" si="172"/>
        <v>25002387</v>
      </c>
      <c r="XT93" s="199">
        <f t="shared" si="173"/>
        <v>5730.5493926197569</v>
      </c>
      <c r="XU93" s="199">
        <f t="shared" si="174"/>
        <v>23711490</v>
      </c>
      <c r="XV93" s="199">
        <f t="shared" si="175"/>
        <v>5434.6756818702725</v>
      </c>
      <c r="XW93" s="199">
        <f t="shared" si="176"/>
        <v>23711490</v>
      </c>
      <c r="XX93" s="199">
        <f t="shared" si="177"/>
        <v>5434.6756818702725</v>
      </c>
      <c r="XY93" s="199">
        <f t="shared" si="204"/>
        <v>1290897</v>
      </c>
      <c r="XZ93" s="199">
        <f t="shared" si="205"/>
        <v>295.87371074948442</v>
      </c>
      <c r="YA93" s="131">
        <f t="shared" si="143"/>
        <v>5.4441833895718938E-2</v>
      </c>
      <c r="YB93" s="199"/>
      <c r="YC93" s="221"/>
      <c r="YD93" s="199"/>
      <c r="YE93" s="199">
        <f t="shared" si="178"/>
        <v>3361127</v>
      </c>
      <c r="YF93" s="200">
        <f t="shared" si="179"/>
        <v>0</v>
      </c>
      <c r="YG93" s="199">
        <f t="shared" si="180"/>
        <v>15465472</v>
      </c>
      <c r="YH93" s="199">
        <f t="shared" si="181"/>
        <v>315107</v>
      </c>
    </row>
    <row r="94" spans="1:658">
      <c r="A94" s="3">
        <v>341</v>
      </c>
      <c r="B94" s="2" t="s">
        <v>191</v>
      </c>
      <c r="C94" s="24">
        <v>0</v>
      </c>
      <c r="D94" s="24">
        <v>0</v>
      </c>
      <c r="E94" s="24">
        <v>0</v>
      </c>
      <c r="F94" s="24">
        <v>0</v>
      </c>
      <c r="G94" s="24">
        <v>0</v>
      </c>
      <c r="H94" s="24">
        <v>0</v>
      </c>
      <c r="I94" s="24">
        <v>0</v>
      </c>
      <c r="J94" s="24">
        <v>32912</v>
      </c>
      <c r="K94" s="24">
        <v>0</v>
      </c>
      <c r="L94" s="24">
        <v>0</v>
      </c>
      <c r="M94" s="24">
        <v>0</v>
      </c>
      <c r="N94" s="24">
        <v>8098</v>
      </c>
      <c r="O94" s="24">
        <v>0</v>
      </c>
      <c r="P94" s="24">
        <v>0</v>
      </c>
      <c r="Q94" s="24">
        <v>0</v>
      </c>
      <c r="R94" s="24">
        <v>0</v>
      </c>
      <c r="S94" s="24">
        <v>0</v>
      </c>
      <c r="T94" s="24">
        <v>0</v>
      </c>
      <c r="U94" s="24">
        <v>0</v>
      </c>
      <c r="V94" s="24">
        <v>0</v>
      </c>
      <c r="W94" s="24">
        <v>0</v>
      </c>
      <c r="X94" s="24">
        <v>244367</v>
      </c>
      <c r="Y94" s="24">
        <v>2781</v>
      </c>
      <c r="Z94" s="24">
        <v>0</v>
      </c>
      <c r="AA94" s="24">
        <v>0</v>
      </c>
      <c r="AB94" s="24">
        <v>0</v>
      </c>
      <c r="AC94" s="24">
        <v>0</v>
      </c>
      <c r="AD94" s="24">
        <v>0</v>
      </c>
      <c r="AE94" s="24">
        <v>0</v>
      </c>
      <c r="AF94" s="24">
        <v>0</v>
      </c>
      <c r="AG94" s="24">
        <v>0</v>
      </c>
      <c r="AH94" s="24">
        <v>0</v>
      </c>
      <c r="AI94" s="24">
        <v>0</v>
      </c>
      <c r="AJ94" s="24">
        <v>0</v>
      </c>
      <c r="AK94" s="24">
        <v>0</v>
      </c>
      <c r="AL94" s="24">
        <v>4966</v>
      </c>
      <c r="AM94" s="24">
        <v>0</v>
      </c>
      <c r="AN94" s="24">
        <v>0</v>
      </c>
      <c r="AO94" s="24">
        <v>0</v>
      </c>
      <c r="AP94" s="24">
        <v>0</v>
      </c>
      <c r="AQ94" s="24">
        <v>0</v>
      </c>
      <c r="AR94" s="24">
        <v>0</v>
      </c>
      <c r="AS94" s="24">
        <v>0</v>
      </c>
      <c r="AT94" s="24">
        <v>0</v>
      </c>
      <c r="AU94" s="24">
        <v>0</v>
      </c>
      <c r="AV94" s="24">
        <v>0</v>
      </c>
      <c r="AW94" s="24">
        <v>0</v>
      </c>
      <c r="AX94" s="24">
        <v>0</v>
      </c>
      <c r="AY94" s="24">
        <v>0</v>
      </c>
      <c r="AZ94" s="24">
        <v>0</v>
      </c>
      <c r="BA94" s="24">
        <v>0</v>
      </c>
      <c r="BB94" s="24">
        <v>0</v>
      </c>
      <c r="BC94" s="24">
        <v>0</v>
      </c>
      <c r="BD94" s="24">
        <v>26</v>
      </c>
      <c r="BE94" s="24">
        <v>0</v>
      </c>
      <c r="BF94" s="24">
        <v>0</v>
      </c>
      <c r="BG94" s="24">
        <v>0</v>
      </c>
      <c r="BH94" s="24">
        <v>0</v>
      </c>
      <c r="BI94" s="24">
        <v>0</v>
      </c>
      <c r="BJ94" s="24">
        <v>0</v>
      </c>
      <c r="BK94" s="24">
        <v>0</v>
      </c>
      <c r="BL94" s="24">
        <v>0</v>
      </c>
      <c r="BM94" s="24">
        <v>3516</v>
      </c>
      <c r="BN94" s="24">
        <v>0</v>
      </c>
      <c r="BO94" s="24">
        <v>0</v>
      </c>
      <c r="BP94" s="24">
        <v>0</v>
      </c>
      <c r="BQ94" s="24">
        <v>0</v>
      </c>
      <c r="BR94" s="24">
        <v>0</v>
      </c>
      <c r="BS94" s="24">
        <v>0</v>
      </c>
      <c r="BT94" s="24">
        <v>0</v>
      </c>
      <c r="BU94" s="24">
        <v>0</v>
      </c>
      <c r="BV94" s="24">
        <v>0</v>
      </c>
      <c r="BW94" s="24">
        <v>0</v>
      </c>
      <c r="BX94" s="24">
        <v>0</v>
      </c>
      <c r="BY94" s="24">
        <v>0</v>
      </c>
      <c r="BZ94" s="24">
        <v>0</v>
      </c>
      <c r="CA94" s="24">
        <v>0</v>
      </c>
      <c r="CB94" s="24">
        <v>0</v>
      </c>
      <c r="CC94" s="24">
        <v>0</v>
      </c>
      <c r="CD94" s="24">
        <v>0</v>
      </c>
      <c r="CE94" s="24">
        <v>7505</v>
      </c>
      <c r="CF94" s="24">
        <v>0</v>
      </c>
      <c r="CG94" s="24">
        <v>0</v>
      </c>
      <c r="CH94" s="24">
        <v>0</v>
      </c>
      <c r="CI94" s="24">
        <v>0</v>
      </c>
      <c r="CJ94" s="24">
        <v>0</v>
      </c>
      <c r="CK94" s="24">
        <v>0</v>
      </c>
      <c r="CL94" s="24">
        <v>0</v>
      </c>
      <c r="CM94" s="24">
        <v>0</v>
      </c>
      <c r="CN94" s="24">
        <v>0</v>
      </c>
      <c r="CO94" s="24">
        <v>0</v>
      </c>
      <c r="CP94" s="24">
        <v>0</v>
      </c>
      <c r="CQ94" s="24">
        <v>0</v>
      </c>
      <c r="CR94" s="24">
        <v>0</v>
      </c>
      <c r="CS94" s="24">
        <v>0</v>
      </c>
      <c r="CT94" s="24">
        <v>0</v>
      </c>
      <c r="CU94" s="24">
        <v>0</v>
      </c>
      <c r="CV94" s="24">
        <v>0</v>
      </c>
      <c r="CW94" s="24">
        <v>0</v>
      </c>
      <c r="CX94" s="24">
        <v>0</v>
      </c>
      <c r="CY94" s="24">
        <v>0</v>
      </c>
      <c r="CZ94" s="24">
        <v>0</v>
      </c>
      <c r="DA94" s="24">
        <v>0</v>
      </c>
      <c r="DB94" s="24">
        <v>0</v>
      </c>
      <c r="DC94" s="24">
        <v>0</v>
      </c>
      <c r="DD94" s="24">
        <v>0</v>
      </c>
      <c r="DE94" s="24">
        <v>0</v>
      </c>
      <c r="DF94" s="24">
        <v>0</v>
      </c>
      <c r="DG94" s="24">
        <v>0</v>
      </c>
      <c r="DH94" s="24">
        <v>0</v>
      </c>
      <c r="DI94" s="24">
        <v>0</v>
      </c>
      <c r="DJ94" s="24">
        <v>0</v>
      </c>
      <c r="DK94" s="24">
        <v>0</v>
      </c>
      <c r="DL94" s="24">
        <v>0</v>
      </c>
      <c r="DM94" s="24">
        <v>0</v>
      </c>
      <c r="DN94" s="24">
        <v>0</v>
      </c>
      <c r="DO94" s="24">
        <v>0</v>
      </c>
      <c r="DP94" s="24">
        <v>0</v>
      </c>
      <c r="DQ94" s="24">
        <v>0</v>
      </c>
      <c r="DR94" s="24">
        <v>0</v>
      </c>
      <c r="DS94" s="24">
        <v>0</v>
      </c>
      <c r="DT94" s="24">
        <v>0</v>
      </c>
      <c r="DU94" s="24">
        <v>0</v>
      </c>
      <c r="DV94" s="24">
        <v>0</v>
      </c>
      <c r="DW94" s="24">
        <v>0</v>
      </c>
      <c r="DX94" s="24">
        <v>0</v>
      </c>
      <c r="DY94" s="24">
        <v>0</v>
      </c>
      <c r="DZ94" s="24">
        <v>0</v>
      </c>
      <c r="EA94" s="24">
        <v>0</v>
      </c>
      <c r="EB94" s="24">
        <v>0</v>
      </c>
      <c r="EC94" s="24">
        <v>0</v>
      </c>
      <c r="ED94" s="24">
        <v>0</v>
      </c>
      <c r="EE94" s="24">
        <v>0</v>
      </c>
      <c r="EF94" s="24">
        <v>0</v>
      </c>
      <c r="EG94" s="24">
        <v>0</v>
      </c>
      <c r="EH94" s="24">
        <v>0</v>
      </c>
      <c r="EI94" s="24">
        <v>0</v>
      </c>
      <c r="EJ94" s="24">
        <v>0</v>
      </c>
      <c r="EK94" s="24">
        <v>0</v>
      </c>
      <c r="EL94" s="24">
        <v>0</v>
      </c>
      <c r="EM94" s="24">
        <v>0</v>
      </c>
      <c r="EN94" s="24">
        <v>0</v>
      </c>
      <c r="EO94" s="24">
        <v>0</v>
      </c>
      <c r="EP94" s="24">
        <v>0</v>
      </c>
      <c r="EQ94" s="24">
        <v>0</v>
      </c>
      <c r="ER94" s="24">
        <v>0</v>
      </c>
      <c r="ES94" s="24">
        <v>0</v>
      </c>
      <c r="ET94" s="24">
        <v>0</v>
      </c>
      <c r="EU94" s="24">
        <v>0</v>
      </c>
      <c r="EV94" s="24">
        <v>0</v>
      </c>
      <c r="EW94" s="24">
        <v>0</v>
      </c>
      <c r="EX94" s="24">
        <v>0</v>
      </c>
      <c r="EY94" s="24">
        <v>0</v>
      </c>
      <c r="EZ94" s="24">
        <v>0</v>
      </c>
      <c r="FA94" s="24">
        <v>0</v>
      </c>
      <c r="FB94" s="24">
        <v>4920</v>
      </c>
      <c r="FC94" s="24">
        <v>0</v>
      </c>
      <c r="FD94" s="24">
        <v>0</v>
      </c>
      <c r="FE94" s="24">
        <v>0</v>
      </c>
      <c r="FF94" s="24">
        <v>0</v>
      </c>
      <c r="FG94" s="24">
        <v>0</v>
      </c>
      <c r="FH94" s="24">
        <v>0</v>
      </c>
      <c r="FI94" s="24">
        <v>0</v>
      </c>
      <c r="FJ94" s="24">
        <v>0</v>
      </c>
      <c r="FK94" s="24">
        <v>0</v>
      </c>
      <c r="FL94" s="24">
        <v>0</v>
      </c>
      <c r="FM94" s="24">
        <v>0</v>
      </c>
      <c r="FN94" s="24">
        <v>0</v>
      </c>
      <c r="FO94" s="24">
        <v>0</v>
      </c>
      <c r="FP94" s="24">
        <v>0</v>
      </c>
      <c r="FQ94" s="24">
        <v>0</v>
      </c>
      <c r="FR94" s="24">
        <v>0</v>
      </c>
      <c r="FS94" s="24">
        <v>165634</v>
      </c>
      <c r="FT94" s="24">
        <v>0</v>
      </c>
      <c r="FU94" s="24">
        <v>0</v>
      </c>
      <c r="FV94" s="24">
        <v>0</v>
      </c>
      <c r="FW94" s="24">
        <v>28000</v>
      </c>
      <c r="FX94" s="24">
        <v>0</v>
      </c>
      <c r="FY94" s="24">
        <v>0</v>
      </c>
      <c r="FZ94" s="24">
        <v>0</v>
      </c>
      <c r="GA94" s="24">
        <v>0</v>
      </c>
      <c r="GB94" s="24">
        <v>0</v>
      </c>
      <c r="GC94" s="24">
        <v>0</v>
      </c>
      <c r="GD94" s="24">
        <v>0</v>
      </c>
      <c r="GE94" s="24">
        <v>0</v>
      </c>
      <c r="GF94" s="24">
        <v>0</v>
      </c>
      <c r="GG94" s="24">
        <v>0</v>
      </c>
      <c r="GH94" s="24">
        <v>3433</v>
      </c>
      <c r="GI94" s="24">
        <v>0</v>
      </c>
      <c r="GJ94" s="24">
        <v>0</v>
      </c>
      <c r="GK94" s="24">
        <v>0</v>
      </c>
      <c r="GL94" s="24">
        <v>0</v>
      </c>
      <c r="GM94" s="24">
        <v>0</v>
      </c>
      <c r="GN94" s="24">
        <v>0</v>
      </c>
      <c r="GO94" s="24">
        <v>0</v>
      </c>
      <c r="GP94" s="24">
        <v>0</v>
      </c>
      <c r="GQ94" s="24">
        <v>0</v>
      </c>
      <c r="GR94" s="24">
        <v>0</v>
      </c>
      <c r="GS94" s="24">
        <v>0</v>
      </c>
      <c r="GT94" s="24">
        <v>0</v>
      </c>
      <c r="GU94" s="24">
        <v>0</v>
      </c>
      <c r="GV94" s="24">
        <v>0</v>
      </c>
      <c r="GW94" s="24">
        <v>0</v>
      </c>
      <c r="GX94" s="24">
        <v>0</v>
      </c>
      <c r="GY94" s="24">
        <v>0</v>
      </c>
      <c r="GZ94" s="24">
        <v>0</v>
      </c>
      <c r="HA94" s="24">
        <v>0</v>
      </c>
      <c r="HB94" s="24">
        <v>0</v>
      </c>
      <c r="HC94" s="24">
        <v>0</v>
      </c>
      <c r="HD94" s="24">
        <v>2347749</v>
      </c>
      <c r="HE94" s="24">
        <v>0</v>
      </c>
      <c r="HF94" s="24">
        <v>0</v>
      </c>
      <c r="HG94" s="24">
        <v>0</v>
      </c>
      <c r="HH94" s="24">
        <v>0</v>
      </c>
      <c r="HI94" s="24">
        <v>112787</v>
      </c>
      <c r="HJ94" s="24">
        <v>0</v>
      </c>
      <c r="HK94" s="24">
        <v>24358</v>
      </c>
      <c r="HL94" s="24">
        <v>51764</v>
      </c>
      <c r="HM94" s="24">
        <v>0</v>
      </c>
      <c r="HN94" s="24">
        <v>0</v>
      </c>
      <c r="HO94" s="24">
        <v>316417</v>
      </c>
      <c r="HP94" s="24">
        <v>141116</v>
      </c>
      <c r="HQ94" s="24">
        <v>0</v>
      </c>
      <c r="HR94" s="24">
        <v>0</v>
      </c>
      <c r="HS94" s="24">
        <v>0</v>
      </c>
      <c r="HT94" s="24">
        <v>0</v>
      </c>
      <c r="HU94" s="24">
        <v>0</v>
      </c>
      <c r="HV94" s="24">
        <v>0</v>
      </c>
      <c r="HW94" s="24">
        <v>0</v>
      </c>
      <c r="HX94" s="24">
        <v>0</v>
      </c>
      <c r="HY94" s="24">
        <v>0</v>
      </c>
      <c r="HZ94" s="24">
        <v>0</v>
      </c>
      <c r="IA94" s="24">
        <v>0</v>
      </c>
      <c r="IB94" s="24">
        <v>107510</v>
      </c>
      <c r="IC94" s="24">
        <v>0</v>
      </c>
      <c r="ID94" s="24">
        <v>0</v>
      </c>
      <c r="IE94" s="24">
        <v>0</v>
      </c>
      <c r="IF94" s="24">
        <v>0</v>
      </c>
      <c r="IG94" s="24">
        <v>0</v>
      </c>
      <c r="IH94" s="24">
        <v>0</v>
      </c>
      <c r="II94" s="24">
        <v>0</v>
      </c>
      <c r="IJ94" s="24">
        <v>0</v>
      </c>
      <c r="IK94" s="24">
        <v>0</v>
      </c>
      <c r="IL94" s="24">
        <v>0</v>
      </c>
      <c r="IM94" s="24">
        <v>0</v>
      </c>
      <c r="IN94" s="24">
        <v>2500</v>
      </c>
      <c r="IO94" s="24">
        <v>0</v>
      </c>
      <c r="IP94" s="24">
        <v>0</v>
      </c>
      <c r="IQ94" s="24">
        <v>0</v>
      </c>
      <c r="IR94" s="24">
        <v>21105</v>
      </c>
      <c r="IS94" s="24">
        <v>0</v>
      </c>
      <c r="IT94" s="24">
        <v>0</v>
      </c>
      <c r="IU94" s="24">
        <v>0</v>
      </c>
      <c r="IV94" s="24">
        <v>0</v>
      </c>
      <c r="IW94" s="24">
        <v>71916</v>
      </c>
      <c r="IX94" s="24">
        <v>0</v>
      </c>
      <c r="IY94" s="24">
        <v>0</v>
      </c>
      <c r="IZ94" s="24">
        <v>0</v>
      </c>
      <c r="JA94" s="24">
        <v>0</v>
      </c>
      <c r="JB94" s="24">
        <v>4766</v>
      </c>
      <c r="JC94" s="24">
        <v>0</v>
      </c>
      <c r="JD94" s="24">
        <v>0</v>
      </c>
      <c r="JE94" s="24">
        <v>0</v>
      </c>
      <c r="JF94" s="24">
        <v>0</v>
      </c>
      <c r="JG94" s="24">
        <v>0</v>
      </c>
      <c r="JH94" s="24">
        <v>0</v>
      </c>
      <c r="JI94" s="24">
        <v>0</v>
      </c>
      <c r="JJ94" s="24">
        <v>0</v>
      </c>
      <c r="JK94" s="24">
        <v>0</v>
      </c>
      <c r="JL94" s="24">
        <v>0</v>
      </c>
      <c r="JM94" s="24">
        <v>0</v>
      </c>
      <c r="JN94" s="24">
        <v>0</v>
      </c>
      <c r="JO94" s="24">
        <v>0</v>
      </c>
      <c r="JP94" s="24">
        <v>0</v>
      </c>
      <c r="JQ94" s="24">
        <v>0</v>
      </c>
      <c r="JR94" s="24">
        <v>0</v>
      </c>
      <c r="JS94" s="24">
        <v>0</v>
      </c>
      <c r="JT94" s="24">
        <v>0</v>
      </c>
      <c r="JU94" s="24">
        <v>0</v>
      </c>
      <c r="JV94" s="24">
        <v>0</v>
      </c>
      <c r="JW94" s="24">
        <v>0</v>
      </c>
      <c r="JX94" s="24">
        <v>0</v>
      </c>
      <c r="JY94" s="24">
        <v>0</v>
      </c>
      <c r="JZ94" s="24">
        <v>0</v>
      </c>
      <c r="KA94" s="24">
        <v>42767</v>
      </c>
      <c r="KB94" s="24">
        <v>0</v>
      </c>
      <c r="KC94" s="24">
        <v>0</v>
      </c>
      <c r="KD94" s="24">
        <v>0</v>
      </c>
      <c r="KE94" s="24">
        <v>0</v>
      </c>
      <c r="KF94" s="24">
        <v>86</v>
      </c>
      <c r="KG94" s="24">
        <v>0</v>
      </c>
      <c r="KH94" s="24">
        <v>0</v>
      </c>
      <c r="KI94" s="24">
        <v>0</v>
      </c>
      <c r="KJ94" s="24">
        <v>0</v>
      </c>
      <c r="KK94" s="24">
        <v>0</v>
      </c>
      <c r="KL94" s="24">
        <v>0</v>
      </c>
      <c r="KM94" s="24">
        <v>0</v>
      </c>
      <c r="KN94" s="24">
        <v>0</v>
      </c>
      <c r="KO94" s="24">
        <v>0</v>
      </c>
      <c r="KP94" s="24">
        <v>0</v>
      </c>
      <c r="KQ94" s="24">
        <v>0</v>
      </c>
      <c r="KR94" s="24">
        <v>0</v>
      </c>
      <c r="KS94" s="24">
        <v>0</v>
      </c>
      <c r="KT94" s="24">
        <v>0</v>
      </c>
      <c r="KU94" s="24">
        <v>0</v>
      </c>
      <c r="KV94" s="24">
        <v>0</v>
      </c>
      <c r="KW94" s="24">
        <v>28279</v>
      </c>
      <c r="KX94" s="24">
        <v>88096</v>
      </c>
      <c r="KY94" s="24">
        <v>0</v>
      </c>
      <c r="KZ94" s="24">
        <v>0</v>
      </c>
      <c r="LA94" s="24">
        <v>0</v>
      </c>
      <c r="LB94" s="24">
        <v>0</v>
      </c>
      <c r="LC94" s="24">
        <v>0</v>
      </c>
      <c r="LD94" s="24">
        <v>0</v>
      </c>
      <c r="LE94" s="24">
        <v>0</v>
      </c>
      <c r="LF94" s="24">
        <v>0</v>
      </c>
      <c r="LG94" s="24">
        <v>0</v>
      </c>
      <c r="LH94" s="24">
        <v>242964</v>
      </c>
      <c r="LI94" s="24">
        <v>0</v>
      </c>
      <c r="LJ94" s="24">
        <v>0</v>
      </c>
      <c r="LK94" s="24">
        <v>0</v>
      </c>
      <c r="LL94" s="24">
        <v>0</v>
      </c>
      <c r="LM94" s="24">
        <v>0</v>
      </c>
      <c r="LN94" s="24">
        <v>0</v>
      </c>
      <c r="LO94" s="24">
        <v>0</v>
      </c>
      <c r="LP94" s="24">
        <v>0</v>
      </c>
      <c r="LQ94" s="24">
        <v>376393</v>
      </c>
      <c r="LR94" s="24">
        <v>0</v>
      </c>
      <c r="LS94" s="24">
        <v>0</v>
      </c>
      <c r="LT94" s="24">
        <v>0</v>
      </c>
      <c r="LU94" s="24">
        <v>0</v>
      </c>
      <c r="LV94" s="24">
        <v>0</v>
      </c>
      <c r="LW94" s="24">
        <v>0</v>
      </c>
      <c r="LX94" s="24">
        <v>0</v>
      </c>
      <c r="LY94" s="24">
        <v>0</v>
      </c>
      <c r="LZ94" s="24">
        <v>0</v>
      </c>
      <c r="MA94" s="24">
        <v>0</v>
      </c>
      <c r="MB94" s="24">
        <v>0</v>
      </c>
      <c r="MC94" s="24">
        <v>0</v>
      </c>
      <c r="MD94" s="24">
        <v>0</v>
      </c>
      <c r="ME94" s="24">
        <v>0</v>
      </c>
      <c r="MF94" s="24">
        <v>0</v>
      </c>
      <c r="MG94" s="24">
        <v>0</v>
      </c>
      <c r="MH94" s="24">
        <v>0</v>
      </c>
      <c r="MI94" s="24">
        <v>0</v>
      </c>
      <c r="MJ94" s="24">
        <v>0</v>
      </c>
      <c r="MK94" s="24">
        <v>0</v>
      </c>
      <c r="ML94" s="24">
        <v>0</v>
      </c>
      <c r="MM94" s="24">
        <v>0</v>
      </c>
      <c r="MN94" s="24">
        <v>0</v>
      </c>
      <c r="MO94" s="24">
        <v>0</v>
      </c>
      <c r="MP94" s="24">
        <v>0</v>
      </c>
      <c r="MQ94" s="24">
        <v>0</v>
      </c>
      <c r="MR94" s="24">
        <v>330886</v>
      </c>
      <c r="MS94" s="24">
        <v>0</v>
      </c>
      <c r="MT94" s="24">
        <v>0</v>
      </c>
      <c r="MU94" s="24">
        <v>0</v>
      </c>
      <c r="MV94" s="24">
        <v>0</v>
      </c>
      <c r="MW94" s="24">
        <v>120732</v>
      </c>
      <c r="MX94" s="24">
        <v>2964</v>
      </c>
      <c r="MY94" s="24">
        <v>0</v>
      </c>
      <c r="MZ94" s="24">
        <v>0</v>
      </c>
      <c r="NA94" s="24">
        <v>309563</v>
      </c>
      <c r="NB94" s="24">
        <v>0</v>
      </c>
      <c r="NC94" s="24">
        <v>0</v>
      </c>
      <c r="ND94" s="24">
        <v>0</v>
      </c>
      <c r="NE94" s="24">
        <v>0</v>
      </c>
      <c r="NF94" s="24">
        <v>0</v>
      </c>
      <c r="NG94" s="24">
        <v>0</v>
      </c>
      <c r="NH94" s="24">
        <v>0</v>
      </c>
      <c r="NI94" s="24">
        <v>0</v>
      </c>
      <c r="NJ94" s="24">
        <v>0</v>
      </c>
      <c r="NK94" s="24">
        <v>0</v>
      </c>
      <c r="NL94" s="24">
        <v>0</v>
      </c>
      <c r="NM94" s="24">
        <v>0</v>
      </c>
      <c r="NN94" s="24">
        <v>0</v>
      </c>
      <c r="NO94" s="24">
        <v>0</v>
      </c>
      <c r="NP94" s="24">
        <v>0</v>
      </c>
      <c r="NQ94" s="24">
        <v>0</v>
      </c>
      <c r="NR94" s="24">
        <v>0</v>
      </c>
      <c r="NS94" s="24">
        <v>0</v>
      </c>
      <c r="NT94" s="24">
        <v>0</v>
      </c>
      <c r="NU94" s="24">
        <v>0</v>
      </c>
      <c r="NV94" s="24">
        <v>49588</v>
      </c>
      <c r="NW94" s="24">
        <v>0</v>
      </c>
      <c r="NX94" s="24">
        <v>0</v>
      </c>
      <c r="NY94" s="24">
        <v>0</v>
      </c>
      <c r="NZ94" s="24">
        <v>0</v>
      </c>
      <c r="OA94" s="24">
        <v>41212</v>
      </c>
      <c r="OB94" s="24">
        <v>0</v>
      </c>
      <c r="OC94" s="24">
        <v>0</v>
      </c>
      <c r="OD94" s="24">
        <v>0</v>
      </c>
      <c r="OE94" s="24">
        <v>0</v>
      </c>
      <c r="OF94" s="24">
        <v>0</v>
      </c>
      <c r="OG94" s="24">
        <v>0</v>
      </c>
      <c r="OH94" s="24">
        <v>0</v>
      </c>
      <c r="OI94" s="24">
        <v>0</v>
      </c>
      <c r="OJ94" s="24">
        <v>0</v>
      </c>
      <c r="OK94" s="24">
        <v>0</v>
      </c>
      <c r="OL94" s="24">
        <v>0</v>
      </c>
      <c r="OM94" s="24">
        <v>0</v>
      </c>
      <c r="ON94" s="24">
        <v>2396202</v>
      </c>
      <c r="OO94" s="24">
        <v>0</v>
      </c>
      <c r="OP94" s="24">
        <v>0</v>
      </c>
      <c r="OQ94" s="24">
        <v>0</v>
      </c>
      <c r="OR94" s="24">
        <v>0</v>
      </c>
      <c r="OS94" s="24">
        <v>0</v>
      </c>
      <c r="OT94" s="24">
        <v>0</v>
      </c>
      <c r="OU94" s="24">
        <v>0</v>
      </c>
      <c r="OV94" s="24">
        <v>0</v>
      </c>
      <c r="OW94" s="24">
        <v>0</v>
      </c>
      <c r="OX94" s="24">
        <v>1500</v>
      </c>
      <c r="OY94" s="24">
        <v>0</v>
      </c>
      <c r="OZ94" s="24">
        <v>0</v>
      </c>
      <c r="PA94" s="24">
        <v>0</v>
      </c>
      <c r="PB94" s="24">
        <v>0</v>
      </c>
      <c r="PC94" s="24">
        <v>0</v>
      </c>
      <c r="PD94" s="24">
        <v>0</v>
      </c>
      <c r="PE94" s="24">
        <v>0</v>
      </c>
      <c r="PF94" s="24">
        <v>0</v>
      </c>
      <c r="PG94" s="24">
        <v>0</v>
      </c>
      <c r="PH94" s="24">
        <v>1848</v>
      </c>
      <c r="PI94" s="24">
        <v>0</v>
      </c>
      <c r="PJ94" s="24">
        <v>0</v>
      </c>
      <c r="PK94" s="24">
        <v>0</v>
      </c>
      <c r="PL94" s="24">
        <v>2496</v>
      </c>
      <c r="PM94" s="24">
        <v>0</v>
      </c>
      <c r="PN94" s="24">
        <v>0</v>
      </c>
      <c r="PO94" s="24">
        <v>0</v>
      </c>
      <c r="PP94" s="24">
        <v>0</v>
      </c>
      <c r="PQ94" s="24">
        <v>0</v>
      </c>
      <c r="PR94" s="24">
        <v>0</v>
      </c>
      <c r="PS94" s="24">
        <v>0</v>
      </c>
      <c r="PT94" s="24">
        <v>0</v>
      </c>
      <c r="PU94" s="24">
        <v>0</v>
      </c>
      <c r="PV94" s="24">
        <v>0</v>
      </c>
      <c r="PW94" s="24">
        <v>0</v>
      </c>
      <c r="PX94" s="24">
        <v>0</v>
      </c>
      <c r="PY94" s="24">
        <v>0</v>
      </c>
      <c r="PZ94" s="24">
        <v>0</v>
      </c>
      <c r="QA94" s="24">
        <v>0</v>
      </c>
      <c r="QB94" s="24">
        <v>0</v>
      </c>
      <c r="QC94" s="24">
        <v>0</v>
      </c>
      <c r="QD94" s="24">
        <v>0</v>
      </c>
      <c r="QE94" s="24">
        <v>0</v>
      </c>
      <c r="QF94" s="24">
        <v>0</v>
      </c>
      <c r="QG94" s="24">
        <v>0</v>
      </c>
      <c r="QH94" s="24">
        <v>0</v>
      </c>
      <c r="QI94" s="24">
        <v>0</v>
      </c>
      <c r="QJ94" s="24">
        <v>0</v>
      </c>
      <c r="QK94" s="24">
        <v>0</v>
      </c>
      <c r="QL94" s="24">
        <v>0</v>
      </c>
      <c r="QM94" s="24">
        <v>0</v>
      </c>
      <c r="QN94" s="24">
        <v>0</v>
      </c>
      <c r="QO94" s="24">
        <v>0</v>
      </c>
      <c r="QP94" s="24">
        <v>0</v>
      </c>
      <c r="QQ94" s="24">
        <v>0</v>
      </c>
      <c r="QR94" s="24">
        <v>0</v>
      </c>
      <c r="QS94" s="24">
        <v>0</v>
      </c>
      <c r="QT94" s="24">
        <v>0</v>
      </c>
      <c r="QU94" s="24">
        <v>0</v>
      </c>
      <c r="QV94" s="24">
        <v>0</v>
      </c>
      <c r="QW94" s="24">
        <v>0</v>
      </c>
      <c r="QX94" s="24">
        <v>0</v>
      </c>
      <c r="QY94" s="24">
        <v>0</v>
      </c>
      <c r="QZ94" s="24">
        <v>0</v>
      </c>
      <c r="RA94" s="24">
        <v>0</v>
      </c>
      <c r="RB94" s="24">
        <v>0</v>
      </c>
      <c r="RG94" s="39">
        <f t="shared" si="129"/>
        <v>2347749</v>
      </c>
      <c r="RH94" s="39">
        <f t="shared" si="206"/>
        <v>137145</v>
      </c>
      <c r="RI94" s="39">
        <f t="shared" si="206"/>
        <v>51764</v>
      </c>
      <c r="RJ94" s="39">
        <f t="shared" si="206"/>
        <v>0</v>
      </c>
      <c r="RK94" s="39">
        <f t="shared" si="206"/>
        <v>0</v>
      </c>
      <c r="RL94" s="39">
        <f t="shared" si="206"/>
        <v>316417</v>
      </c>
      <c r="RM94" s="39">
        <f t="shared" si="206"/>
        <v>248626</v>
      </c>
      <c r="RN94" s="39">
        <f t="shared" si="206"/>
        <v>2500</v>
      </c>
      <c r="RO94" s="39">
        <f t="shared" si="206"/>
        <v>21105</v>
      </c>
      <c r="RP94" s="39">
        <f t="shared" si="206"/>
        <v>71916</v>
      </c>
      <c r="RQ94" s="39">
        <f t="shared" si="206"/>
        <v>4766</v>
      </c>
      <c r="RR94" s="39">
        <f t="shared" si="206"/>
        <v>42767</v>
      </c>
      <c r="RS94" s="39"/>
      <c r="RT94" s="182"/>
      <c r="RU94" s="39"/>
      <c r="RV94" s="39">
        <f t="shared" si="182"/>
        <v>3986965</v>
      </c>
      <c r="RW94" s="39">
        <f t="shared" si="182"/>
        <v>3244755</v>
      </c>
      <c r="RX94" s="39">
        <f t="shared" si="182"/>
        <v>506158</v>
      </c>
      <c r="RY94" s="39">
        <f t="shared" si="182"/>
        <v>5844</v>
      </c>
      <c r="RZ94" s="39"/>
      <c r="SA94" s="182"/>
      <c r="SB94" s="39"/>
      <c r="SC94" s="25">
        <f t="shared" si="183"/>
        <v>1127.3006681514476</v>
      </c>
      <c r="SD94" s="39">
        <f>IFERROR(VLOOKUP(A94, 'Levy Data 15-16'!$B:$O, 3, FALSE), 0)</f>
        <v>143272438</v>
      </c>
      <c r="SE94" s="39">
        <f t="shared" si="144"/>
        <v>319092.28953229397</v>
      </c>
      <c r="SF94" s="631">
        <f>IFERROR(VLOOKUP(A94, 'Levy Data 15-16'!$B:$O, 14, FALSE), 0)*1000</f>
        <v>1.935627</v>
      </c>
      <c r="SG94" s="39">
        <f t="shared" si="145"/>
        <v>0</v>
      </c>
      <c r="SH94" s="39">
        <f t="shared" si="146"/>
        <v>0</v>
      </c>
      <c r="SI94" s="39">
        <f t="shared" si="147"/>
        <v>506158</v>
      </c>
      <c r="SM94" s="39">
        <f t="shared" si="148"/>
        <v>3244755</v>
      </c>
      <c r="SN94" s="39">
        <f t="shared" si="149"/>
        <v>0</v>
      </c>
      <c r="SO94" s="39">
        <f t="shared" si="184"/>
        <v>3244755</v>
      </c>
      <c r="SP94" s="50">
        <f t="shared" si="130"/>
        <v>1</v>
      </c>
      <c r="ST94" s="124">
        <f>IFERROR(VLOOKUP(A94,'Grade Enroll 15-16'!B:AC,27,FALSE),"")</f>
        <v>449</v>
      </c>
      <c r="SU94" s="124">
        <f t="shared" si="185"/>
        <v>399.57649253731347</v>
      </c>
      <c r="SV94" s="131">
        <f>IFERROR(VLOOKUP($A94, 'Title I Enroll 16-17'!S:V, 4, FALSE), 0)</f>
        <v>0.8899253731343284</v>
      </c>
      <c r="SW94" s="729">
        <f>IFERROR(VLOOKUP(A94, 'ELL Enroll 15-16'!$N:$S, 6, FALSE), 0)</f>
        <v>5</v>
      </c>
      <c r="SX94" s="131">
        <f t="shared" si="131"/>
        <v>1.1135857461024499E-2</v>
      </c>
      <c r="SY94" s="124">
        <f>IFERROR(VLOOKUP(A94, 'SPED enroll 2015-16'!$M:$O, 3, FALSE), 0)</f>
        <v>118</v>
      </c>
      <c r="SZ94" s="131">
        <f t="shared" si="132"/>
        <v>0.26280623608017817</v>
      </c>
      <c r="TA94" s="142">
        <f t="shared" si="133"/>
        <v>82.6</v>
      </c>
      <c r="TB94" s="142">
        <f t="shared" si="133"/>
        <v>23.6</v>
      </c>
      <c r="TC94" s="142">
        <f t="shared" si="133"/>
        <v>8.2600000000000016</v>
      </c>
      <c r="TD94" s="142">
        <f t="shared" si="133"/>
        <v>3.54</v>
      </c>
      <c r="TE94" s="124">
        <f>VLOOKUP($A94, 'Grade Enroll 15-16'!$B:$AB, 20, FALSE)</f>
        <v>19</v>
      </c>
      <c r="TF94" s="124">
        <f>VLOOKUP($A94, 'Grade Enroll 15-16'!$B:$AB, 21, FALSE)</f>
        <v>38</v>
      </c>
      <c r="TG94" s="124">
        <f>VLOOKUP($A94, 'Grade Enroll 15-16'!$B:$AB, 22, FALSE)</f>
        <v>115</v>
      </c>
      <c r="TH94" s="124">
        <f>VLOOKUP($A94, 'Grade Enroll 15-16'!$B:$AB, 23, FALSE)</f>
        <v>133</v>
      </c>
      <c r="TI94" s="124">
        <f>VLOOKUP($A94, 'Grade Enroll 15-16'!$B:$AB, 24, FALSE)</f>
        <v>65</v>
      </c>
      <c r="TJ94" s="124">
        <f>VLOOKUP($A94, 'Grade Enroll 15-16'!$B:$AB, 25, FALSE)</f>
        <v>136</v>
      </c>
      <c r="TK94" s="124">
        <f>VLOOKUP($A94, 'Grade Enroll 15-16'!$B:$AB, 26, FALSE)</f>
        <v>301</v>
      </c>
      <c r="TL94" s="131">
        <f>SUMIFS('Student Achievement 15-16'!N:N, 'Student Achievement 15-16'!B:B, 'Idaho Data'!A94, 'Student Achievement 15-16'!D:D, "math")/100</f>
        <v>0.47100000000000003</v>
      </c>
      <c r="TM94" s="134">
        <f t="shared" si="186"/>
        <v>211.47900000000001</v>
      </c>
      <c r="TN94" s="131">
        <f>SUMIFS('Student Achievement 15-16'!N:N, 'Student Achievement 15-16'!B:B, 'Idaho Data'!A94, 'Student Achievement 15-16'!D:D, "ela")/100</f>
        <v>0.46899999999999997</v>
      </c>
      <c r="TO94" s="134">
        <f t="shared" si="134"/>
        <v>210.58099999999999</v>
      </c>
      <c r="TP94" s="688">
        <f>IFERROR(VLOOKUP(A94, 'G&amp;T 15-16'!B:G, 6, FALSE), 0)*1</f>
        <v>0</v>
      </c>
      <c r="TQ94" s="168">
        <f t="shared" si="135"/>
        <v>26.939999999999998</v>
      </c>
      <c r="TU94" s="168">
        <f t="shared" si="136"/>
        <v>210.58099999999999</v>
      </c>
      <c r="TV94" s="168">
        <f t="shared" si="137"/>
        <v>211.47900000000001</v>
      </c>
      <c r="TW94" s="205">
        <f t="shared" si="138"/>
        <v>211.47900000000001</v>
      </c>
      <c r="TX94" s="144"/>
      <c r="TY94" s="129"/>
      <c r="TZ94" s="127">
        <f t="shared" si="139"/>
        <v>0</v>
      </c>
      <c r="UA94" s="127">
        <f t="shared" si="140"/>
        <v>26.939999999999998</v>
      </c>
      <c r="UB94" s="205">
        <f t="shared" si="141"/>
        <v>26.939999999999998</v>
      </c>
      <c r="UE94" s="853" t="str">
        <f>IF(ST94&lt;='1. Simulator Input'!$E$104, "yes", "")</f>
        <v/>
      </c>
      <c r="UI94" s="199">
        <f t="shared" si="187"/>
        <v>0</v>
      </c>
      <c r="UJ94" s="200">
        <f>IF('Idaho Data'!SI94&gt;=0, ((1-'1. Simulator Input'!$E$39)*'Idaho Data'!SI94), 0)</f>
        <v>0</v>
      </c>
      <c r="UK94" s="200">
        <f t="shared" si="142"/>
        <v>3244755</v>
      </c>
      <c r="UL94" s="39"/>
      <c r="UM94" s="182"/>
      <c r="UN94" s="39"/>
      <c r="UO94" s="39" t="str">
        <f>IF(AND('1. Simulator Input'!$E$96="yes", '1. Simulator Input'!$E$98="yes", '1. Simulator Input'!$E$100="hold harmless"), 'Idaho Data'!WN94, IF(AND('1. Simulator Input'!$E$96="yes", '1. Simulator Input'!$E$98="no", '1. Simulator Input'!$E$100="hold harmless"), 'Idaho Data'!WM94, IF(AND('1. Simulator Input'!$E$96="yes", '1. Simulator Input'!$E$98="yes", '1. Simulator Input'!$E$100="small district grant"), WL94,IF(AND('1. Simulator Input'!$E$96="yes", '1. Simulator Input'!$E$98="no", '1. Simulator Input'!$E$100="small district grant"), WK94, ""))))</f>
        <v/>
      </c>
      <c r="UP94" s="200">
        <f>'1. Simulator Input'!$D$56*('Idaho Data'!ST94)</f>
        <v>2481174</v>
      </c>
      <c r="UQ94" s="204">
        <f>'1. Simulator Input'!$D$65*'1. Simulator Input'!$D$56*'Idaho Data'!SU94</f>
        <v>0</v>
      </c>
      <c r="UR94" s="204">
        <f>'1. Simulator Input'!$D$66*'1. Simulator Input'!$D$56*'Idaho Data'!SW94</f>
        <v>0</v>
      </c>
      <c r="US94" s="200">
        <f>'1. Simulator Input'!$D$67*'1. Simulator Input'!$D$56*'Idaho Data'!TA94</f>
        <v>0</v>
      </c>
      <c r="UT94" s="200">
        <f>'1. Simulator Input'!$D$68*'1. Simulator Input'!$D$56*'Idaho Data'!TB94</f>
        <v>0</v>
      </c>
      <c r="UU94" s="200">
        <f>'1. Simulator Input'!$D$69*'1. Simulator Input'!$D$56*'Idaho Data'!TC94</f>
        <v>0</v>
      </c>
      <c r="UV94" s="200">
        <f>'1. Simulator Input'!$D$70*'1. Simulator Input'!$D$56*TD94</f>
        <v>0</v>
      </c>
      <c r="UW94" s="200">
        <f>'1. Simulator Input'!$D$80*'1. Simulator Input'!$D$56*TW94</f>
        <v>0</v>
      </c>
      <c r="UX94" s="200">
        <f>'1. Simulator Input'!$D$79*'1. Simulator Input'!$D$56*UB94</f>
        <v>0</v>
      </c>
      <c r="UY94" s="200">
        <f>'1. Simulator Input'!$D$87*'1. Simulator Input'!$D$56*TF94</f>
        <v>104994</v>
      </c>
      <c r="UZ94" s="200">
        <f>'1. Simulator Input'!$D$73*'1. Simulator Input'!$D$56*'Idaho Data'!TG94</f>
        <v>0</v>
      </c>
      <c r="VA94" s="200">
        <f>'1. Simulator Input'!$D$56*'1. Simulator Input'!$D$74*'Idaho Data'!TH94</f>
        <v>0</v>
      </c>
      <c r="VB94" s="200">
        <f>'1. Simulator Input'!$D$56*'1. Simulator Input'!$D$75*'Idaho Data'!TI89</f>
        <v>0</v>
      </c>
      <c r="VC94" s="200">
        <f>'1. Simulator Input'!$D$76*'1. Simulator Input'!$D$56*'Idaho Data'!TJ94</f>
        <v>0</v>
      </c>
      <c r="VD94" s="200">
        <f t="shared" si="188"/>
        <v>2586168</v>
      </c>
      <c r="VE94" s="200"/>
      <c r="VF94" s="182"/>
      <c r="VG94" s="200"/>
      <c r="VH94" s="200">
        <f t="shared" si="189"/>
        <v>0</v>
      </c>
      <c r="VI94" s="200">
        <f t="shared" si="190"/>
        <v>0</v>
      </c>
      <c r="VJ94" s="200">
        <f t="shared" si="150"/>
        <v>2586168</v>
      </c>
      <c r="VK94" s="200">
        <f t="shared" si="151"/>
        <v>2586168</v>
      </c>
      <c r="VL94" s="200"/>
      <c r="VM94" s="182"/>
      <c r="VN94" s="200"/>
      <c r="VO94" s="200">
        <f t="shared" si="191"/>
        <v>3986965</v>
      </c>
      <c r="VP94" s="200">
        <f t="shared" si="192"/>
        <v>3244755</v>
      </c>
      <c r="VQ94" s="200">
        <f t="shared" si="193"/>
        <v>506158</v>
      </c>
      <c r="VR94" s="200">
        <f t="shared" si="194"/>
        <v>3986965</v>
      </c>
      <c r="VS94" s="200">
        <f t="shared" si="152"/>
        <v>2586168</v>
      </c>
      <c r="VT94" s="200">
        <f t="shared" si="153"/>
        <v>506158</v>
      </c>
      <c r="VU94" s="200">
        <f t="shared" si="154"/>
        <v>0</v>
      </c>
      <c r="VV94" s="200"/>
      <c r="VW94" s="182"/>
      <c r="VX94" s="200"/>
      <c r="VZ94" s="199">
        <f t="shared" si="195"/>
        <v>-658587</v>
      </c>
      <c r="WA94" s="199">
        <f t="shared" si="196"/>
        <v>-1466.7861915367482</v>
      </c>
      <c r="WB94" s="131">
        <f t="shared" si="197"/>
        <v>-0.20296971574125011</v>
      </c>
      <c r="WC94" s="131"/>
      <c r="WD94" s="461"/>
      <c r="WE94" s="893"/>
      <c r="WF94" s="893">
        <f t="shared" si="198"/>
        <v>17233.581291759467</v>
      </c>
      <c r="WG94" s="893">
        <f t="shared" si="199"/>
        <v>15766.795100222716</v>
      </c>
      <c r="WH94" s="893"/>
      <c r="WI94" s="893">
        <f t="shared" si="200"/>
        <v>3244755</v>
      </c>
      <c r="WJ94" s="893">
        <f t="shared" si="155"/>
        <v>2586168</v>
      </c>
      <c r="WK94" s="39" t="str">
        <f t="shared" si="156"/>
        <v/>
      </c>
      <c r="WL94" s="39" t="str">
        <f t="shared" si="157"/>
        <v/>
      </c>
      <c r="WM94" s="200" t="str">
        <f t="shared" si="158"/>
        <v/>
      </c>
      <c r="WN94" s="39" t="str">
        <f t="shared" si="159"/>
        <v/>
      </c>
      <c r="WO94" s="39"/>
      <c r="WP94" s="182"/>
      <c r="WQ94" s="39"/>
      <c r="WR94" s="305">
        <f t="shared" si="160"/>
        <v>0.315</v>
      </c>
      <c r="WT94" s="200">
        <f t="shared" si="161"/>
        <v>7226.6258351893093</v>
      </c>
      <c r="WU94" s="131">
        <f t="shared" si="201"/>
        <v>0.65</v>
      </c>
      <c r="WW94" s="199">
        <f t="shared" si="162"/>
        <v>3986965</v>
      </c>
      <c r="WX94" s="199">
        <f t="shared" si="163"/>
        <v>2586168</v>
      </c>
      <c r="WY94" s="199">
        <f t="shared" si="164"/>
        <v>0</v>
      </c>
      <c r="WZ94" s="199">
        <f t="shared" si="202"/>
        <v>2586168</v>
      </c>
      <c r="XA94" s="199">
        <f t="shared" si="165"/>
        <v>0</v>
      </c>
      <c r="XB94" s="199">
        <f t="shared" si="166"/>
        <v>506158</v>
      </c>
      <c r="XC94" s="199">
        <f t="shared" si="167"/>
        <v>506158</v>
      </c>
      <c r="XD94" s="199" t="str">
        <f t="shared" si="168"/>
        <v/>
      </c>
      <c r="XE94" s="199"/>
      <c r="XF94" s="199"/>
      <c r="XG94" s="199"/>
      <c r="XH94" s="199"/>
      <c r="XI94" s="199"/>
      <c r="XJ94" s="199">
        <f t="shared" si="203"/>
        <v>2586168</v>
      </c>
      <c r="XP94" s="199">
        <f t="shared" si="169"/>
        <v>2586168</v>
      </c>
      <c r="XQ94" s="199">
        <f t="shared" si="170"/>
        <v>5759.8396436525609</v>
      </c>
      <c r="XR94" s="199">
        <f t="shared" si="171"/>
        <v>2586168</v>
      </c>
      <c r="XS94" s="199">
        <f t="shared" si="172"/>
        <v>2586168</v>
      </c>
      <c r="XT94" s="199">
        <f t="shared" si="173"/>
        <v>5759.8396436525609</v>
      </c>
      <c r="XU94" s="199">
        <f t="shared" si="174"/>
        <v>3244755</v>
      </c>
      <c r="XV94" s="199">
        <f t="shared" si="175"/>
        <v>7226.6258351893093</v>
      </c>
      <c r="XW94" s="199">
        <f t="shared" si="176"/>
        <v>3244755</v>
      </c>
      <c r="XX94" s="199">
        <f t="shared" si="177"/>
        <v>7226.6258351893093</v>
      </c>
      <c r="XY94" s="199">
        <f t="shared" si="204"/>
        <v>-658587</v>
      </c>
      <c r="XZ94" s="199">
        <f t="shared" si="205"/>
        <v>-1466.7861915367484</v>
      </c>
      <c r="YA94" s="131">
        <f t="shared" si="143"/>
        <v>-0.20296971574125014</v>
      </c>
      <c r="YB94" s="199"/>
      <c r="YC94" s="221"/>
      <c r="YD94" s="199"/>
      <c r="YE94" s="199">
        <f t="shared" si="178"/>
        <v>3986965</v>
      </c>
      <c r="YF94" s="200">
        <f t="shared" si="179"/>
        <v>0</v>
      </c>
      <c r="YG94" s="199">
        <f t="shared" si="180"/>
        <v>506158</v>
      </c>
      <c r="YH94" s="199">
        <f t="shared" si="181"/>
        <v>5844</v>
      </c>
    </row>
    <row r="95" spans="1:658">
      <c r="A95" s="3">
        <v>342</v>
      </c>
      <c r="B95" s="2" t="s">
        <v>192</v>
      </c>
      <c r="C95" s="24">
        <v>16461</v>
      </c>
      <c r="D95" s="24">
        <v>0</v>
      </c>
      <c r="E95" s="24">
        <v>0</v>
      </c>
      <c r="F95" s="24">
        <v>0</v>
      </c>
      <c r="G95" s="24">
        <v>208504</v>
      </c>
      <c r="H95" s="24">
        <v>0</v>
      </c>
      <c r="I95" s="24">
        <v>0</v>
      </c>
      <c r="J95" s="24">
        <v>0</v>
      </c>
      <c r="K95" s="24">
        <v>0</v>
      </c>
      <c r="L95" s="24">
        <v>18744</v>
      </c>
      <c r="M95" s="24">
        <v>0</v>
      </c>
      <c r="N95" s="24">
        <v>0</v>
      </c>
      <c r="O95" s="24">
        <v>0</v>
      </c>
      <c r="P95" s="24">
        <v>0</v>
      </c>
      <c r="Q95" s="24">
        <v>0</v>
      </c>
      <c r="R95" s="24">
        <v>0</v>
      </c>
      <c r="S95" s="24">
        <v>0</v>
      </c>
      <c r="T95" s="24">
        <v>916</v>
      </c>
      <c r="U95" s="24">
        <v>0</v>
      </c>
      <c r="V95" s="24">
        <v>0</v>
      </c>
      <c r="W95" s="24">
        <v>0</v>
      </c>
      <c r="X95" s="24">
        <v>0</v>
      </c>
      <c r="Y95" s="24">
        <v>4443</v>
      </c>
      <c r="Z95" s="24">
        <v>0</v>
      </c>
      <c r="AA95" s="24">
        <v>0</v>
      </c>
      <c r="AB95" s="24">
        <v>0</v>
      </c>
      <c r="AC95" s="24">
        <v>0</v>
      </c>
      <c r="AD95" s="24">
        <v>0</v>
      </c>
      <c r="AE95" s="24">
        <v>0</v>
      </c>
      <c r="AF95" s="24">
        <v>0</v>
      </c>
      <c r="AG95" s="24">
        <v>0</v>
      </c>
      <c r="AH95" s="24">
        <v>0</v>
      </c>
      <c r="AI95" s="24">
        <v>0</v>
      </c>
      <c r="AJ95" s="24">
        <v>0</v>
      </c>
      <c r="AK95" s="24">
        <v>0</v>
      </c>
      <c r="AL95" s="24">
        <v>4106</v>
      </c>
      <c r="AM95" s="24">
        <v>0</v>
      </c>
      <c r="AN95" s="24">
        <v>0</v>
      </c>
      <c r="AO95" s="24">
        <v>0</v>
      </c>
      <c r="AP95" s="24">
        <v>0</v>
      </c>
      <c r="AQ95" s="24">
        <v>0</v>
      </c>
      <c r="AR95" s="24">
        <v>0</v>
      </c>
      <c r="AS95" s="24">
        <v>0</v>
      </c>
      <c r="AT95" s="24">
        <v>0</v>
      </c>
      <c r="AU95" s="24">
        <v>0</v>
      </c>
      <c r="AV95" s="24">
        <v>0</v>
      </c>
      <c r="AW95" s="24">
        <v>0</v>
      </c>
      <c r="AX95" s="24">
        <v>0</v>
      </c>
      <c r="AY95" s="24">
        <v>0</v>
      </c>
      <c r="AZ95" s="24">
        <v>0</v>
      </c>
      <c r="BA95" s="24">
        <v>0</v>
      </c>
      <c r="BB95" s="24">
        <v>0</v>
      </c>
      <c r="BC95" s="24">
        <v>14</v>
      </c>
      <c r="BD95" s="24">
        <v>0</v>
      </c>
      <c r="BE95" s="24">
        <v>0</v>
      </c>
      <c r="BF95" s="24">
        <v>125</v>
      </c>
      <c r="BG95" s="24">
        <v>179</v>
      </c>
      <c r="BH95" s="24">
        <v>0</v>
      </c>
      <c r="BI95" s="24">
        <v>0</v>
      </c>
      <c r="BJ95" s="24">
        <v>0</v>
      </c>
      <c r="BK95" s="24">
        <v>0</v>
      </c>
      <c r="BL95" s="24">
        <v>0</v>
      </c>
      <c r="BM95" s="24">
        <v>1</v>
      </c>
      <c r="BN95" s="24">
        <v>0</v>
      </c>
      <c r="BO95" s="24">
        <v>0</v>
      </c>
      <c r="BP95" s="24">
        <v>0</v>
      </c>
      <c r="BQ95" s="24">
        <v>10</v>
      </c>
      <c r="BR95" s="24">
        <v>0</v>
      </c>
      <c r="BS95" s="24">
        <v>0</v>
      </c>
      <c r="BT95" s="24">
        <v>0</v>
      </c>
      <c r="BU95" s="24">
        <v>0</v>
      </c>
      <c r="BV95" s="24">
        <v>0</v>
      </c>
      <c r="BW95" s="24">
        <v>0</v>
      </c>
      <c r="BX95" s="24">
        <v>0</v>
      </c>
      <c r="BY95" s="24">
        <v>0</v>
      </c>
      <c r="BZ95" s="24">
        <v>0</v>
      </c>
      <c r="CA95" s="24">
        <v>0</v>
      </c>
      <c r="CB95" s="24">
        <v>0</v>
      </c>
      <c r="CC95" s="24">
        <v>0</v>
      </c>
      <c r="CD95" s="24">
        <v>13836</v>
      </c>
      <c r="CE95" s="24">
        <v>3324</v>
      </c>
      <c r="CF95" s="24">
        <v>0</v>
      </c>
      <c r="CG95" s="24">
        <v>489</v>
      </c>
      <c r="CH95" s="24">
        <v>0</v>
      </c>
      <c r="CI95" s="24">
        <v>0</v>
      </c>
      <c r="CJ95" s="24">
        <v>0</v>
      </c>
      <c r="CK95" s="24">
        <v>0</v>
      </c>
      <c r="CL95" s="24">
        <v>0</v>
      </c>
      <c r="CM95" s="24">
        <v>0</v>
      </c>
      <c r="CN95" s="24">
        <v>0</v>
      </c>
      <c r="CO95" s="24">
        <v>0</v>
      </c>
      <c r="CP95" s="24">
        <v>0</v>
      </c>
      <c r="CQ95" s="24">
        <v>0</v>
      </c>
      <c r="CR95" s="24">
        <v>0</v>
      </c>
      <c r="CS95" s="24">
        <v>0</v>
      </c>
      <c r="CT95" s="24">
        <v>0</v>
      </c>
      <c r="CU95" s="24">
        <v>0</v>
      </c>
      <c r="CV95" s="24">
        <v>0</v>
      </c>
      <c r="CW95" s="24">
        <v>0</v>
      </c>
      <c r="CX95" s="24">
        <v>0</v>
      </c>
      <c r="CY95" s="24">
        <v>0</v>
      </c>
      <c r="CZ95" s="24">
        <v>0</v>
      </c>
      <c r="DA95" s="24">
        <v>0</v>
      </c>
      <c r="DB95" s="24">
        <v>0</v>
      </c>
      <c r="DC95" s="24">
        <v>0</v>
      </c>
      <c r="DD95" s="24">
        <v>0</v>
      </c>
      <c r="DE95" s="24">
        <v>0</v>
      </c>
      <c r="DF95" s="24">
        <v>0</v>
      </c>
      <c r="DG95" s="24">
        <v>0</v>
      </c>
      <c r="DH95" s="24">
        <v>0</v>
      </c>
      <c r="DI95" s="24">
        <v>0</v>
      </c>
      <c r="DJ95" s="24">
        <v>0</v>
      </c>
      <c r="DK95" s="24">
        <v>0</v>
      </c>
      <c r="DL95" s="24">
        <v>0</v>
      </c>
      <c r="DM95" s="24">
        <v>0</v>
      </c>
      <c r="DN95" s="24">
        <v>0</v>
      </c>
      <c r="DO95" s="24">
        <v>0</v>
      </c>
      <c r="DP95" s="24">
        <v>0</v>
      </c>
      <c r="DQ95" s="24">
        <v>0</v>
      </c>
      <c r="DR95" s="24">
        <v>0</v>
      </c>
      <c r="DS95" s="24">
        <v>0</v>
      </c>
      <c r="DT95" s="24">
        <v>0</v>
      </c>
      <c r="DU95" s="24">
        <v>0</v>
      </c>
      <c r="DV95" s="24">
        <v>0</v>
      </c>
      <c r="DW95" s="24">
        <v>0</v>
      </c>
      <c r="DX95" s="24">
        <v>0</v>
      </c>
      <c r="DY95" s="24">
        <v>0</v>
      </c>
      <c r="DZ95" s="24">
        <v>0</v>
      </c>
      <c r="EA95" s="24">
        <v>0</v>
      </c>
      <c r="EB95" s="24">
        <v>0</v>
      </c>
      <c r="EC95" s="24">
        <v>0</v>
      </c>
      <c r="ED95" s="24">
        <v>0</v>
      </c>
      <c r="EE95" s="24">
        <v>0</v>
      </c>
      <c r="EF95" s="24">
        <v>0</v>
      </c>
      <c r="EG95" s="24">
        <v>0</v>
      </c>
      <c r="EH95" s="24">
        <v>0</v>
      </c>
      <c r="EI95" s="24">
        <v>0</v>
      </c>
      <c r="EJ95" s="24">
        <v>0</v>
      </c>
      <c r="EK95" s="24">
        <v>0</v>
      </c>
      <c r="EL95" s="24">
        <v>0</v>
      </c>
      <c r="EM95" s="24">
        <v>0</v>
      </c>
      <c r="EN95" s="24">
        <v>0</v>
      </c>
      <c r="EO95" s="24">
        <v>0</v>
      </c>
      <c r="EP95" s="24">
        <v>0</v>
      </c>
      <c r="EQ95" s="24">
        <v>0</v>
      </c>
      <c r="ER95" s="24">
        <v>0</v>
      </c>
      <c r="ES95" s="24">
        <v>0</v>
      </c>
      <c r="ET95" s="24">
        <v>0</v>
      </c>
      <c r="EU95" s="24">
        <v>0</v>
      </c>
      <c r="EV95" s="24">
        <v>0</v>
      </c>
      <c r="EW95" s="24">
        <v>0</v>
      </c>
      <c r="EX95" s="24">
        <v>0</v>
      </c>
      <c r="EY95" s="24">
        <v>0</v>
      </c>
      <c r="EZ95" s="24">
        <v>0</v>
      </c>
      <c r="FA95" s="24">
        <v>0</v>
      </c>
      <c r="FB95" s="24">
        <v>0</v>
      </c>
      <c r="FC95" s="24">
        <v>0</v>
      </c>
      <c r="FD95" s="24">
        <v>0</v>
      </c>
      <c r="FE95" s="24">
        <v>0</v>
      </c>
      <c r="FF95" s="24">
        <v>0</v>
      </c>
      <c r="FG95" s="24">
        <v>0</v>
      </c>
      <c r="FH95" s="24">
        <v>0</v>
      </c>
      <c r="FI95" s="24">
        <v>0</v>
      </c>
      <c r="FJ95" s="24">
        <v>0</v>
      </c>
      <c r="FK95" s="24">
        <v>0</v>
      </c>
      <c r="FL95" s="24">
        <v>0</v>
      </c>
      <c r="FM95" s="24">
        <v>0</v>
      </c>
      <c r="FN95" s="24">
        <v>0</v>
      </c>
      <c r="FO95" s="24">
        <v>0</v>
      </c>
      <c r="FP95" s="24">
        <v>0</v>
      </c>
      <c r="FQ95" s="24">
        <v>0</v>
      </c>
      <c r="FR95" s="24">
        <v>0</v>
      </c>
      <c r="FS95" s="24">
        <v>12565</v>
      </c>
      <c r="FT95" s="24">
        <v>0</v>
      </c>
      <c r="FU95" s="24">
        <v>0</v>
      </c>
      <c r="FV95" s="24">
        <v>10000</v>
      </c>
      <c r="FW95" s="24">
        <v>0</v>
      </c>
      <c r="FX95" s="24">
        <v>0</v>
      </c>
      <c r="FY95" s="24">
        <v>0</v>
      </c>
      <c r="FZ95" s="24">
        <v>0</v>
      </c>
      <c r="GA95" s="24">
        <v>0</v>
      </c>
      <c r="GB95" s="24">
        <v>0</v>
      </c>
      <c r="GC95" s="24">
        <v>0</v>
      </c>
      <c r="GD95" s="24">
        <v>0</v>
      </c>
      <c r="GE95" s="24">
        <v>0</v>
      </c>
      <c r="GF95" s="24">
        <v>0</v>
      </c>
      <c r="GG95" s="24">
        <v>0</v>
      </c>
      <c r="GH95" s="24">
        <v>0</v>
      </c>
      <c r="GI95" s="24">
        <v>0</v>
      </c>
      <c r="GJ95" s="24">
        <v>0</v>
      </c>
      <c r="GK95" s="24">
        <v>0</v>
      </c>
      <c r="GL95" s="24">
        <v>0</v>
      </c>
      <c r="GM95" s="24">
        <v>0</v>
      </c>
      <c r="GN95" s="24">
        <v>0</v>
      </c>
      <c r="GO95" s="24">
        <v>0</v>
      </c>
      <c r="GP95" s="24">
        <v>0</v>
      </c>
      <c r="GQ95" s="24">
        <v>0</v>
      </c>
      <c r="GR95" s="24">
        <v>0</v>
      </c>
      <c r="GS95" s="24">
        <v>0</v>
      </c>
      <c r="GT95" s="24">
        <v>0</v>
      </c>
      <c r="GU95" s="24">
        <v>0</v>
      </c>
      <c r="GV95" s="24">
        <v>1838</v>
      </c>
      <c r="GW95" s="24">
        <v>0</v>
      </c>
      <c r="GX95" s="24">
        <v>0</v>
      </c>
      <c r="GY95" s="24">
        <v>0</v>
      </c>
      <c r="GZ95" s="24">
        <v>0</v>
      </c>
      <c r="HA95" s="24">
        <v>0</v>
      </c>
      <c r="HB95" s="24">
        <v>0</v>
      </c>
      <c r="HC95" s="24">
        <v>0</v>
      </c>
      <c r="HD95" s="24">
        <v>934421</v>
      </c>
      <c r="HE95" s="24">
        <v>0</v>
      </c>
      <c r="HF95" s="24">
        <v>0</v>
      </c>
      <c r="HG95" s="24">
        <v>0</v>
      </c>
      <c r="HH95" s="24">
        <v>0</v>
      </c>
      <c r="HI95" s="24">
        <v>37642</v>
      </c>
      <c r="HJ95" s="24">
        <v>0</v>
      </c>
      <c r="HK95" s="24">
        <v>0</v>
      </c>
      <c r="HL95" s="24">
        <v>0</v>
      </c>
      <c r="HM95" s="24">
        <v>0</v>
      </c>
      <c r="HN95" s="24">
        <v>0</v>
      </c>
      <c r="HO95" s="24">
        <v>125190</v>
      </c>
      <c r="HP95" s="24">
        <v>82147</v>
      </c>
      <c r="HQ95" s="24">
        <v>0</v>
      </c>
      <c r="HR95" s="24">
        <v>0</v>
      </c>
      <c r="HS95" s="24">
        <v>0</v>
      </c>
      <c r="HT95" s="24">
        <v>0</v>
      </c>
      <c r="HU95" s="24">
        <v>0</v>
      </c>
      <c r="HV95" s="24">
        <v>0</v>
      </c>
      <c r="HW95" s="24">
        <v>0</v>
      </c>
      <c r="HX95" s="24">
        <v>0</v>
      </c>
      <c r="HY95" s="24">
        <v>0</v>
      </c>
      <c r="HZ95" s="24">
        <v>0</v>
      </c>
      <c r="IA95" s="24">
        <v>10664</v>
      </c>
      <c r="IB95" s="24">
        <v>3111</v>
      </c>
      <c r="IC95" s="24">
        <v>0</v>
      </c>
      <c r="ID95" s="24">
        <v>0</v>
      </c>
      <c r="IE95" s="24">
        <v>0</v>
      </c>
      <c r="IF95" s="24">
        <v>0</v>
      </c>
      <c r="IG95" s="24">
        <v>0</v>
      </c>
      <c r="IH95" s="24">
        <v>0</v>
      </c>
      <c r="II95" s="24">
        <v>0</v>
      </c>
      <c r="IJ95" s="24">
        <v>0</v>
      </c>
      <c r="IK95" s="24">
        <v>0</v>
      </c>
      <c r="IL95" s="24">
        <v>0</v>
      </c>
      <c r="IM95" s="24">
        <v>0</v>
      </c>
      <c r="IN95" s="24">
        <v>0</v>
      </c>
      <c r="IO95" s="24">
        <v>0</v>
      </c>
      <c r="IP95" s="24">
        <v>0</v>
      </c>
      <c r="IQ95" s="24">
        <v>27030</v>
      </c>
      <c r="IR95" s="24">
        <v>0</v>
      </c>
      <c r="IS95" s="24">
        <v>0</v>
      </c>
      <c r="IT95" s="24">
        <v>0</v>
      </c>
      <c r="IU95" s="24">
        <v>0</v>
      </c>
      <c r="IV95" s="24">
        <v>0</v>
      </c>
      <c r="IW95" s="24">
        <v>21608</v>
      </c>
      <c r="IX95" s="24">
        <v>0</v>
      </c>
      <c r="IY95" s="24">
        <v>0</v>
      </c>
      <c r="IZ95" s="24">
        <v>0</v>
      </c>
      <c r="JA95" s="24">
        <v>0</v>
      </c>
      <c r="JB95" s="24">
        <v>16040</v>
      </c>
      <c r="JC95" s="24">
        <v>0</v>
      </c>
      <c r="JD95" s="24">
        <v>0</v>
      </c>
      <c r="JE95" s="24">
        <v>1000</v>
      </c>
      <c r="JF95" s="24">
        <v>0</v>
      </c>
      <c r="JG95" s="24">
        <v>0</v>
      </c>
      <c r="JH95" s="24">
        <v>0</v>
      </c>
      <c r="JI95" s="24">
        <v>0</v>
      </c>
      <c r="JJ95" s="24">
        <v>0</v>
      </c>
      <c r="JK95" s="24">
        <v>0</v>
      </c>
      <c r="JL95" s="24">
        <v>0</v>
      </c>
      <c r="JM95" s="24">
        <v>0</v>
      </c>
      <c r="JN95" s="24">
        <v>0</v>
      </c>
      <c r="JO95" s="24">
        <v>0</v>
      </c>
      <c r="JP95" s="24">
        <v>0</v>
      </c>
      <c r="JQ95" s="24">
        <v>0</v>
      </c>
      <c r="JR95" s="24">
        <v>0</v>
      </c>
      <c r="JS95" s="24">
        <v>0</v>
      </c>
      <c r="JT95" s="24">
        <v>0</v>
      </c>
      <c r="JU95" s="24">
        <v>0</v>
      </c>
      <c r="JV95" s="24">
        <v>0</v>
      </c>
      <c r="JW95" s="24">
        <v>0</v>
      </c>
      <c r="JX95" s="24">
        <v>0</v>
      </c>
      <c r="JY95" s="24">
        <v>0</v>
      </c>
      <c r="JZ95" s="24">
        <v>0</v>
      </c>
      <c r="KA95" s="24">
        <v>0</v>
      </c>
      <c r="KB95" s="24">
        <v>0</v>
      </c>
      <c r="KC95" s="24">
        <v>0</v>
      </c>
      <c r="KD95" s="24">
        <v>0</v>
      </c>
      <c r="KE95" s="24">
        <v>0</v>
      </c>
      <c r="KF95" s="24">
        <v>46881</v>
      </c>
      <c r="KG95" s="24">
        <v>0</v>
      </c>
      <c r="KH95" s="24">
        <v>0</v>
      </c>
      <c r="KI95" s="24">
        <v>0</v>
      </c>
      <c r="KJ95" s="24">
        <v>0</v>
      </c>
      <c r="KK95" s="24">
        <v>0</v>
      </c>
      <c r="KL95" s="24">
        <v>0</v>
      </c>
      <c r="KM95" s="24">
        <v>0</v>
      </c>
      <c r="KN95" s="24">
        <v>0</v>
      </c>
      <c r="KO95" s="24">
        <v>0</v>
      </c>
      <c r="KP95" s="24">
        <v>0</v>
      </c>
      <c r="KQ95" s="24">
        <v>0</v>
      </c>
      <c r="KR95" s="24">
        <v>0</v>
      </c>
      <c r="KS95" s="24">
        <v>0</v>
      </c>
      <c r="KT95" s="24">
        <v>0</v>
      </c>
      <c r="KU95" s="24">
        <v>0</v>
      </c>
      <c r="KV95" s="24">
        <v>0</v>
      </c>
      <c r="KW95" s="24">
        <v>0</v>
      </c>
      <c r="KX95" s="24">
        <v>0</v>
      </c>
      <c r="KY95" s="24">
        <v>295</v>
      </c>
      <c r="KZ95" s="24">
        <v>0</v>
      </c>
      <c r="LA95" s="24">
        <v>0</v>
      </c>
      <c r="LB95" s="24">
        <v>0</v>
      </c>
      <c r="LC95" s="24">
        <v>0</v>
      </c>
      <c r="LD95" s="24">
        <v>0</v>
      </c>
      <c r="LE95" s="24">
        <v>0</v>
      </c>
      <c r="LF95" s="24">
        <v>0</v>
      </c>
      <c r="LG95" s="24">
        <v>0</v>
      </c>
      <c r="LH95" s="24">
        <v>0</v>
      </c>
      <c r="LI95" s="24">
        <v>0</v>
      </c>
      <c r="LJ95" s="24">
        <v>0</v>
      </c>
      <c r="LK95" s="24">
        <v>0</v>
      </c>
      <c r="LL95" s="24">
        <v>0</v>
      </c>
      <c r="LM95" s="24">
        <v>0</v>
      </c>
      <c r="LN95" s="24">
        <v>0</v>
      </c>
      <c r="LO95" s="24">
        <v>0</v>
      </c>
      <c r="LP95" s="24">
        <v>0</v>
      </c>
      <c r="LQ95" s="24">
        <v>41800</v>
      </c>
      <c r="LR95" s="24">
        <v>0</v>
      </c>
      <c r="LS95" s="24">
        <v>0</v>
      </c>
      <c r="LT95" s="24">
        <v>0</v>
      </c>
      <c r="LU95" s="24">
        <v>0</v>
      </c>
      <c r="LV95" s="24">
        <v>0</v>
      </c>
      <c r="LW95" s="24">
        <v>0</v>
      </c>
      <c r="LX95" s="24">
        <v>0</v>
      </c>
      <c r="LY95" s="24">
        <v>0</v>
      </c>
      <c r="LZ95" s="24">
        <v>0</v>
      </c>
      <c r="MA95" s="24">
        <v>0</v>
      </c>
      <c r="MB95" s="24">
        <v>0</v>
      </c>
      <c r="MC95" s="24">
        <v>0</v>
      </c>
      <c r="MD95" s="24">
        <v>0</v>
      </c>
      <c r="ME95" s="24">
        <v>0</v>
      </c>
      <c r="MF95" s="24">
        <v>0</v>
      </c>
      <c r="MG95" s="24">
        <v>0</v>
      </c>
      <c r="MH95" s="24">
        <v>0</v>
      </c>
      <c r="MI95" s="24">
        <v>0</v>
      </c>
      <c r="MJ95" s="24">
        <v>0</v>
      </c>
      <c r="MK95" s="24">
        <v>0</v>
      </c>
      <c r="ML95" s="24">
        <v>0</v>
      </c>
      <c r="MM95" s="24">
        <v>0</v>
      </c>
      <c r="MN95" s="24">
        <v>0</v>
      </c>
      <c r="MO95" s="24">
        <v>5287</v>
      </c>
      <c r="MP95" s="24">
        <v>0</v>
      </c>
      <c r="MQ95" s="24">
        <v>0</v>
      </c>
      <c r="MR95" s="24">
        <v>23566</v>
      </c>
      <c r="MS95" s="24">
        <v>0</v>
      </c>
      <c r="MT95" s="24">
        <v>0</v>
      </c>
      <c r="MU95" s="24">
        <v>0</v>
      </c>
      <c r="MV95" s="24">
        <v>0</v>
      </c>
      <c r="MW95" s="24">
        <v>26773</v>
      </c>
      <c r="MX95" s="24">
        <v>1320</v>
      </c>
      <c r="MY95" s="24">
        <v>0</v>
      </c>
      <c r="MZ95" s="24">
        <v>0</v>
      </c>
      <c r="NA95" s="24">
        <v>0</v>
      </c>
      <c r="NB95" s="24">
        <v>1538</v>
      </c>
      <c r="NC95" s="24">
        <v>0</v>
      </c>
      <c r="ND95" s="24">
        <v>0</v>
      </c>
      <c r="NE95" s="24">
        <v>0</v>
      </c>
      <c r="NF95" s="24">
        <v>0</v>
      </c>
      <c r="NG95" s="24">
        <v>0</v>
      </c>
      <c r="NH95" s="24">
        <v>0</v>
      </c>
      <c r="NI95" s="24">
        <v>0</v>
      </c>
      <c r="NJ95" s="24">
        <v>0</v>
      </c>
      <c r="NK95" s="24">
        <v>0</v>
      </c>
      <c r="NL95" s="24">
        <v>0</v>
      </c>
      <c r="NM95" s="24">
        <v>0</v>
      </c>
      <c r="NN95" s="24">
        <v>0</v>
      </c>
      <c r="NO95" s="24">
        <v>0</v>
      </c>
      <c r="NP95" s="24">
        <v>0</v>
      </c>
      <c r="NQ95" s="24">
        <v>8547</v>
      </c>
      <c r="NR95" s="24">
        <v>0</v>
      </c>
      <c r="NS95" s="24">
        <v>0</v>
      </c>
      <c r="NT95" s="24">
        <v>0</v>
      </c>
      <c r="NU95" s="24">
        <v>0</v>
      </c>
      <c r="NV95" s="24">
        <v>7769</v>
      </c>
      <c r="NW95" s="24">
        <v>0</v>
      </c>
      <c r="NX95" s="24">
        <v>0</v>
      </c>
      <c r="NY95" s="24">
        <v>0</v>
      </c>
      <c r="NZ95" s="24">
        <v>0</v>
      </c>
      <c r="OA95" s="24">
        <v>0</v>
      </c>
      <c r="OB95" s="24">
        <v>0</v>
      </c>
      <c r="OC95" s="24">
        <v>0</v>
      </c>
      <c r="OD95" s="24">
        <v>0</v>
      </c>
      <c r="OE95" s="24">
        <v>0</v>
      </c>
      <c r="OF95" s="24">
        <v>0</v>
      </c>
      <c r="OG95" s="24">
        <v>0</v>
      </c>
      <c r="OH95" s="24">
        <v>0</v>
      </c>
      <c r="OI95" s="24">
        <v>0</v>
      </c>
      <c r="OJ95" s="24">
        <v>27988</v>
      </c>
      <c r="OK95" s="24">
        <v>3638</v>
      </c>
      <c r="OL95" s="24">
        <v>0</v>
      </c>
      <c r="OM95" s="24">
        <v>0</v>
      </c>
      <c r="ON95" s="24">
        <v>0</v>
      </c>
      <c r="OO95" s="24">
        <v>0</v>
      </c>
      <c r="OP95" s="24">
        <v>0</v>
      </c>
      <c r="OQ95" s="24">
        <v>0</v>
      </c>
      <c r="OR95" s="24">
        <v>0</v>
      </c>
      <c r="OS95" s="24">
        <v>0</v>
      </c>
      <c r="OT95" s="24">
        <v>0</v>
      </c>
      <c r="OU95" s="24">
        <v>0</v>
      </c>
      <c r="OV95" s="24">
        <v>0</v>
      </c>
      <c r="OW95" s="24">
        <v>0</v>
      </c>
      <c r="OX95" s="24">
        <v>0</v>
      </c>
      <c r="OY95" s="24">
        <v>0</v>
      </c>
      <c r="OZ95" s="24">
        <v>0</v>
      </c>
      <c r="PA95" s="24">
        <v>0</v>
      </c>
      <c r="PB95" s="24">
        <v>0</v>
      </c>
      <c r="PC95" s="24">
        <v>0</v>
      </c>
      <c r="PD95" s="24">
        <v>0</v>
      </c>
      <c r="PE95" s="24">
        <v>0</v>
      </c>
      <c r="PF95" s="24">
        <v>0</v>
      </c>
      <c r="PG95" s="24">
        <v>0</v>
      </c>
      <c r="PH95" s="24">
        <v>0</v>
      </c>
      <c r="PI95" s="24">
        <v>0</v>
      </c>
      <c r="PJ95" s="24">
        <v>0</v>
      </c>
      <c r="PK95" s="24">
        <v>0</v>
      </c>
      <c r="PL95" s="24">
        <v>0</v>
      </c>
      <c r="PM95" s="24">
        <v>0</v>
      </c>
      <c r="PN95" s="24">
        <v>0</v>
      </c>
      <c r="PO95" s="24">
        <v>0</v>
      </c>
      <c r="PP95" s="24">
        <v>0</v>
      </c>
      <c r="PQ95" s="24">
        <v>0</v>
      </c>
      <c r="PR95" s="24">
        <v>0</v>
      </c>
      <c r="PS95" s="24">
        <v>0</v>
      </c>
      <c r="PT95" s="24">
        <v>0</v>
      </c>
      <c r="PU95" s="24">
        <v>0</v>
      </c>
      <c r="PV95" s="24">
        <v>0</v>
      </c>
      <c r="PW95" s="24">
        <v>0</v>
      </c>
      <c r="PX95" s="24">
        <v>0</v>
      </c>
      <c r="PY95" s="24">
        <v>0</v>
      </c>
      <c r="PZ95" s="24">
        <v>0</v>
      </c>
      <c r="QA95" s="24">
        <v>0</v>
      </c>
      <c r="QB95" s="24">
        <v>0</v>
      </c>
      <c r="QC95" s="24">
        <v>0</v>
      </c>
      <c r="QD95" s="24">
        <v>0</v>
      </c>
      <c r="QE95" s="24">
        <v>0</v>
      </c>
      <c r="QF95" s="24">
        <v>0</v>
      </c>
      <c r="QG95" s="24">
        <v>0</v>
      </c>
      <c r="QH95" s="24">
        <v>0</v>
      </c>
      <c r="QI95" s="24">
        <v>0</v>
      </c>
      <c r="QJ95" s="24">
        <v>0</v>
      </c>
      <c r="QK95" s="24">
        <v>0</v>
      </c>
      <c r="QL95" s="24">
        <v>0</v>
      </c>
      <c r="QM95" s="24">
        <v>0</v>
      </c>
      <c r="QN95" s="24">
        <v>0</v>
      </c>
      <c r="QO95" s="24">
        <v>0</v>
      </c>
      <c r="QP95" s="24">
        <v>0</v>
      </c>
      <c r="QQ95" s="24">
        <v>0</v>
      </c>
      <c r="QR95" s="24">
        <v>0</v>
      </c>
      <c r="QS95" s="24">
        <v>0</v>
      </c>
      <c r="QT95" s="24">
        <v>0</v>
      </c>
      <c r="QU95" s="24">
        <v>0</v>
      </c>
      <c r="QV95" s="24">
        <v>1538</v>
      </c>
      <c r="QW95" s="24">
        <v>6516</v>
      </c>
      <c r="QX95" s="24">
        <v>0</v>
      </c>
      <c r="QY95" s="24">
        <v>0</v>
      </c>
      <c r="QZ95" s="24">
        <v>0</v>
      </c>
      <c r="RA95" s="24">
        <v>0</v>
      </c>
      <c r="RB95" s="24">
        <v>0</v>
      </c>
      <c r="RG95" s="39">
        <f t="shared" si="129"/>
        <v>934421</v>
      </c>
      <c r="RH95" s="39">
        <f t="shared" si="206"/>
        <v>37642</v>
      </c>
      <c r="RI95" s="39">
        <f t="shared" si="206"/>
        <v>0</v>
      </c>
      <c r="RJ95" s="39">
        <f t="shared" si="206"/>
        <v>0</v>
      </c>
      <c r="RK95" s="39">
        <f t="shared" si="206"/>
        <v>0</v>
      </c>
      <c r="RL95" s="39">
        <f t="shared" si="206"/>
        <v>125190</v>
      </c>
      <c r="RM95" s="39">
        <f t="shared" si="206"/>
        <v>95922</v>
      </c>
      <c r="RN95" s="39">
        <f t="shared" si="206"/>
        <v>0</v>
      </c>
      <c r="RO95" s="39">
        <f t="shared" si="206"/>
        <v>27030</v>
      </c>
      <c r="RP95" s="39">
        <f t="shared" si="206"/>
        <v>21608</v>
      </c>
      <c r="RQ95" s="39">
        <f t="shared" si="206"/>
        <v>16040</v>
      </c>
      <c r="RR95" s="39">
        <f t="shared" si="206"/>
        <v>1000</v>
      </c>
      <c r="RS95" s="39"/>
      <c r="RT95" s="182"/>
      <c r="RU95" s="39"/>
      <c r="RV95" s="39">
        <f t="shared" si="182"/>
        <v>195402</v>
      </c>
      <c r="RW95" s="39">
        <f t="shared" si="182"/>
        <v>1258853</v>
      </c>
      <c r="RX95" s="39">
        <f t="shared" si="182"/>
        <v>295555</v>
      </c>
      <c r="RY95" s="39">
        <f t="shared" si="182"/>
        <v>8054</v>
      </c>
      <c r="RZ95" s="39"/>
      <c r="SA95" s="182"/>
      <c r="SB95" s="39"/>
      <c r="SC95" s="25">
        <f t="shared" si="183"/>
        <v>4162.7464788732395</v>
      </c>
      <c r="SD95" s="39">
        <f>IFERROR(VLOOKUP(A95, 'Levy Data 15-16'!$B:$O, 3, FALSE), 0)</f>
        <v>54044145</v>
      </c>
      <c r="SE95" s="39">
        <f t="shared" si="144"/>
        <v>761185.14084507048</v>
      </c>
      <c r="SF95" s="631">
        <f>IFERROR(VLOOKUP(A95, 'Levy Data 15-16'!$B:$O, 14, FALSE), 0)*1000</f>
        <v>4.6413349999999998</v>
      </c>
      <c r="SG95" s="39">
        <f t="shared" si="145"/>
        <v>0</v>
      </c>
      <c r="SH95" s="39">
        <f t="shared" si="146"/>
        <v>0</v>
      </c>
      <c r="SI95" s="39">
        <f t="shared" si="147"/>
        <v>295555</v>
      </c>
      <c r="SM95" s="39">
        <f t="shared" si="148"/>
        <v>1258853</v>
      </c>
      <c r="SN95" s="39">
        <f t="shared" si="149"/>
        <v>0</v>
      </c>
      <c r="SO95" s="39">
        <f t="shared" si="184"/>
        <v>1258853</v>
      </c>
      <c r="SP95" s="50">
        <f t="shared" si="130"/>
        <v>1</v>
      </c>
      <c r="ST95" s="124">
        <f>IFERROR(VLOOKUP(A95,'Grade Enroll 15-16'!B:AC,27,FALSE),"")</f>
        <v>71</v>
      </c>
      <c r="SU95" s="124">
        <f t="shared" si="185"/>
        <v>42.131868131868131</v>
      </c>
      <c r="SV95" s="131">
        <f>IFERROR(VLOOKUP($A95, 'Title I Enroll 16-17'!S:V, 4, FALSE), 0)</f>
        <v>0.59340659340659341</v>
      </c>
      <c r="SW95" s="729">
        <f>IFERROR(VLOOKUP(A95, 'ELL Enroll 15-16'!$N:$S, 6, FALSE), 0)</f>
        <v>5</v>
      </c>
      <c r="SX95" s="131">
        <f t="shared" si="131"/>
        <v>7.0422535211267609E-2</v>
      </c>
      <c r="SY95" s="124">
        <f>IFERROR(VLOOKUP(A95, 'SPED enroll 2015-16'!$M:$O, 3, FALSE), 0)</f>
        <v>15</v>
      </c>
      <c r="SZ95" s="131">
        <f t="shared" si="132"/>
        <v>0.21126760563380281</v>
      </c>
      <c r="TA95" s="142">
        <f t="shared" si="133"/>
        <v>10.5</v>
      </c>
      <c r="TB95" s="142">
        <f t="shared" si="133"/>
        <v>3</v>
      </c>
      <c r="TC95" s="142">
        <f t="shared" si="133"/>
        <v>1.05</v>
      </c>
      <c r="TD95" s="142">
        <f t="shared" si="133"/>
        <v>0.44999999999999996</v>
      </c>
      <c r="TE95" s="124">
        <f>VLOOKUP($A95, 'Grade Enroll 15-16'!$B:$AB, 20, FALSE)</f>
        <v>0</v>
      </c>
      <c r="TF95" s="124">
        <f>VLOOKUP($A95, 'Grade Enroll 15-16'!$B:$AB, 21, FALSE)</f>
        <v>3</v>
      </c>
      <c r="TG95" s="124">
        <f>VLOOKUP($A95, 'Grade Enroll 15-16'!$B:$AB, 22, FALSE)</f>
        <v>18</v>
      </c>
      <c r="TH95" s="124">
        <f>VLOOKUP($A95, 'Grade Enroll 15-16'!$B:$AB, 23, FALSE)</f>
        <v>18</v>
      </c>
      <c r="TI95" s="124">
        <f>VLOOKUP($A95, 'Grade Enroll 15-16'!$B:$AB, 24, FALSE)</f>
        <v>13</v>
      </c>
      <c r="TJ95" s="124">
        <f>VLOOKUP($A95, 'Grade Enroll 15-16'!$B:$AB, 25, FALSE)</f>
        <v>22</v>
      </c>
      <c r="TK95" s="124">
        <f>VLOOKUP($A95, 'Grade Enroll 15-16'!$B:$AB, 26, FALSE)</f>
        <v>46</v>
      </c>
      <c r="TL95" s="131">
        <f>SUMIFS('Student Achievement 15-16'!N:N, 'Student Achievement 15-16'!B:B, 'Idaho Data'!A95, 'Student Achievement 15-16'!D:D, "math")/100</f>
        <v>0.47899999999999998</v>
      </c>
      <c r="TM95" s="134">
        <f t="shared" si="186"/>
        <v>34.009</v>
      </c>
      <c r="TN95" s="131">
        <f>SUMIFS('Student Achievement 15-16'!N:N, 'Student Achievement 15-16'!B:B, 'Idaho Data'!A95, 'Student Achievement 15-16'!D:D, "ela")/100</f>
        <v>0.35399999999999998</v>
      </c>
      <c r="TO95" s="134">
        <f t="shared" si="134"/>
        <v>25.134</v>
      </c>
      <c r="TP95" s="688">
        <f>IFERROR(VLOOKUP(A95, 'G&amp;T 15-16'!B:G, 6, FALSE), 0)*1</f>
        <v>0</v>
      </c>
      <c r="TQ95" s="168">
        <f t="shared" si="135"/>
        <v>4.26</v>
      </c>
      <c r="TU95" s="168">
        <f t="shared" si="136"/>
        <v>25.134</v>
      </c>
      <c r="TV95" s="168">
        <f t="shared" si="137"/>
        <v>34.009</v>
      </c>
      <c r="TW95" s="205">
        <f t="shared" si="138"/>
        <v>34.009</v>
      </c>
      <c r="TX95" s="144"/>
      <c r="TY95" s="129"/>
      <c r="TZ95" s="127">
        <f t="shared" si="139"/>
        <v>0</v>
      </c>
      <c r="UA95" s="127">
        <f t="shared" si="140"/>
        <v>4.26</v>
      </c>
      <c r="UB95" s="205">
        <f t="shared" si="141"/>
        <v>4.26</v>
      </c>
      <c r="UE95" s="853" t="str">
        <f>IF(ST95&lt;='1. Simulator Input'!$E$104, "yes", "")</f>
        <v>yes</v>
      </c>
      <c r="UI95" s="199">
        <f t="shared" si="187"/>
        <v>0</v>
      </c>
      <c r="UJ95" s="200">
        <f>IF('Idaho Data'!SI95&gt;=0, ((1-'1. Simulator Input'!$E$39)*'Idaho Data'!SI95), 0)</f>
        <v>0</v>
      </c>
      <c r="UK95" s="200">
        <f t="shared" si="142"/>
        <v>1258853</v>
      </c>
      <c r="UL95" s="39"/>
      <c r="UM95" s="182"/>
      <c r="UN95" s="39"/>
      <c r="UO95" s="39">
        <f>IF(AND('1. Simulator Input'!$E$96="yes", '1. Simulator Input'!$E$98="yes", '1. Simulator Input'!$E$100="hold harmless"), 'Idaho Data'!WN95, IF(AND('1. Simulator Input'!$E$96="yes", '1. Simulator Input'!$E$98="no", '1. Simulator Input'!$E$100="hold harmless"), 'Idaho Data'!WM95, IF(AND('1. Simulator Input'!$E$96="yes", '1. Simulator Input'!$E$98="yes", '1. Simulator Input'!$E$100="small district grant"), WL95,IF(AND('1. Simulator Input'!$E$96="yes", '1. Simulator Input'!$E$98="no", '1. Simulator Input'!$E$100="small district grant"), WK95, ""))))</f>
        <v>0</v>
      </c>
      <c r="UP95" s="200">
        <f>'1. Simulator Input'!$D$56*('Idaho Data'!ST95)</f>
        <v>392346</v>
      </c>
      <c r="UQ95" s="204">
        <f>'1. Simulator Input'!$D$65*'1. Simulator Input'!$D$56*'Idaho Data'!SU95</f>
        <v>0</v>
      </c>
      <c r="UR95" s="204">
        <f>'1. Simulator Input'!$D$66*'1. Simulator Input'!$D$56*'Idaho Data'!SW95</f>
        <v>0</v>
      </c>
      <c r="US95" s="200">
        <f>'1. Simulator Input'!$D$67*'1. Simulator Input'!$D$56*'Idaho Data'!TA95</f>
        <v>0</v>
      </c>
      <c r="UT95" s="200">
        <f>'1. Simulator Input'!$D$68*'1. Simulator Input'!$D$56*'Idaho Data'!TB95</f>
        <v>0</v>
      </c>
      <c r="UU95" s="200">
        <f>'1. Simulator Input'!$D$69*'1. Simulator Input'!$D$56*'Idaho Data'!TC95</f>
        <v>0</v>
      </c>
      <c r="UV95" s="200">
        <f>'1. Simulator Input'!$D$70*'1. Simulator Input'!$D$56*TD95</f>
        <v>0</v>
      </c>
      <c r="UW95" s="200">
        <f>'1. Simulator Input'!$D$80*'1. Simulator Input'!$D$56*TW95</f>
        <v>0</v>
      </c>
      <c r="UX95" s="200">
        <f>'1. Simulator Input'!$D$79*'1. Simulator Input'!$D$56*UB95</f>
        <v>0</v>
      </c>
      <c r="UY95" s="200">
        <f>'1. Simulator Input'!$D$87*'1. Simulator Input'!$D$56*TF95</f>
        <v>8289</v>
      </c>
      <c r="UZ95" s="200">
        <f>'1. Simulator Input'!$D$73*'1. Simulator Input'!$D$56*'Idaho Data'!TG95</f>
        <v>0</v>
      </c>
      <c r="VA95" s="200">
        <f>'1. Simulator Input'!$D$56*'1. Simulator Input'!$D$74*'Idaho Data'!TH95</f>
        <v>0</v>
      </c>
      <c r="VB95" s="200">
        <f>'1. Simulator Input'!$D$56*'1. Simulator Input'!$D$75*'Idaho Data'!TI90</f>
        <v>0</v>
      </c>
      <c r="VC95" s="200">
        <f>'1. Simulator Input'!$D$76*'1. Simulator Input'!$D$56*'Idaho Data'!TJ95</f>
        <v>0</v>
      </c>
      <c r="VD95" s="200">
        <f t="shared" si="188"/>
        <v>400635</v>
      </c>
      <c r="VE95" s="200"/>
      <c r="VF95" s="182"/>
      <c r="VG95" s="200"/>
      <c r="VH95" s="200">
        <f t="shared" si="189"/>
        <v>0</v>
      </c>
      <c r="VI95" s="200">
        <f t="shared" si="190"/>
        <v>0</v>
      </c>
      <c r="VJ95" s="200">
        <f t="shared" si="150"/>
        <v>400635</v>
      </c>
      <c r="VK95" s="200">
        <f t="shared" si="151"/>
        <v>400635</v>
      </c>
      <c r="VL95" s="200"/>
      <c r="VM95" s="182"/>
      <c r="VN95" s="200"/>
      <c r="VO95" s="200">
        <f t="shared" si="191"/>
        <v>195402</v>
      </c>
      <c r="VP95" s="200">
        <f t="shared" si="192"/>
        <v>1258853</v>
      </c>
      <c r="VQ95" s="200">
        <f t="shared" si="193"/>
        <v>295555</v>
      </c>
      <c r="VR95" s="200">
        <f t="shared" si="194"/>
        <v>195402</v>
      </c>
      <c r="VS95" s="200">
        <f t="shared" si="152"/>
        <v>400635</v>
      </c>
      <c r="VT95" s="200">
        <f t="shared" si="153"/>
        <v>295555</v>
      </c>
      <c r="VU95" s="200">
        <f t="shared" si="154"/>
        <v>0</v>
      </c>
      <c r="VV95" s="200"/>
      <c r="VW95" s="182"/>
      <c r="VX95" s="200"/>
      <c r="VZ95" s="199">
        <f t="shared" si="195"/>
        <v>-858218</v>
      </c>
      <c r="WA95" s="466">
        <f t="shared" si="196"/>
        <v>-12087.577464788732</v>
      </c>
      <c r="WB95" s="131">
        <f t="shared" si="197"/>
        <v>-0.68174600211462344</v>
      </c>
      <c r="WC95" s="131"/>
      <c r="WD95" s="461"/>
      <c r="WE95" s="893"/>
      <c r="WF95" s="893">
        <f t="shared" si="198"/>
        <v>24645.211267605635</v>
      </c>
      <c r="WG95" s="893">
        <f t="shared" si="199"/>
        <v>12557.633802816901</v>
      </c>
      <c r="WH95" s="893"/>
      <c r="WI95" s="893">
        <f t="shared" si="200"/>
        <v>1258853</v>
      </c>
      <c r="WJ95" s="893">
        <f t="shared" si="155"/>
        <v>400635</v>
      </c>
      <c r="WK95" s="39">
        <f t="shared" si="156"/>
        <v>0</v>
      </c>
      <c r="WL95" s="39">
        <f t="shared" si="157"/>
        <v>0</v>
      </c>
      <c r="WM95" s="200">
        <f t="shared" si="158"/>
        <v>858218</v>
      </c>
      <c r="WN95" s="39">
        <f t="shared" si="159"/>
        <v>858218</v>
      </c>
      <c r="WO95" s="39"/>
      <c r="WP95" s="182"/>
      <c r="WQ95" s="39"/>
      <c r="WR95" s="305">
        <f t="shared" si="160"/>
        <v>0.71</v>
      </c>
      <c r="WT95" s="200">
        <f t="shared" si="161"/>
        <v>17730.323943661973</v>
      </c>
      <c r="WU95" s="131">
        <f t="shared" si="201"/>
        <v>0.96</v>
      </c>
      <c r="WW95" s="199">
        <f t="shared" si="162"/>
        <v>195402</v>
      </c>
      <c r="WX95" s="199">
        <f t="shared" si="163"/>
        <v>400635</v>
      </c>
      <c r="WY95" s="199">
        <f t="shared" si="164"/>
        <v>0</v>
      </c>
      <c r="WZ95" s="199">
        <f t="shared" si="202"/>
        <v>400635</v>
      </c>
      <c r="XA95" s="199">
        <f t="shared" si="165"/>
        <v>0</v>
      </c>
      <c r="XB95" s="199">
        <f t="shared" si="166"/>
        <v>295555</v>
      </c>
      <c r="XC95" s="199">
        <f t="shared" si="167"/>
        <v>295555</v>
      </c>
      <c r="XD95" s="199" t="str">
        <f t="shared" si="168"/>
        <v/>
      </c>
      <c r="XE95" s="199"/>
      <c r="XF95" s="199"/>
      <c r="XG95" s="199"/>
      <c r="XH95" s="199"/>
      <c r="XI95" s="199"/>
      <c r="XJ95" s="199">
        <f t="shared" si="203"/>
        <v>400635</v>
      </c>
      <c r="XP95" s="199">
        <f t="shared" si="169"/>
        <v>400635</v>
      </c>
      <c r="XQ95" s="199">
        <f t="shared" si="170"/>
        <v>5642.7464788732395</v>
      </c>
      <c r="XR95" s="199">
        <f t="shared" si="171"/>
        <v>400635</v>
      </c>
      <c r="XS95" s="199">
        <f t="shared" si="172"/>
        <v>400635</v>
      </c>
      <c r="XT95" s="199">
        <f t="shared" si="173"/>
        <v>5642.7464788732395</v>
      </c>
      <c r="XU95" s="199">
        <f t="shared" si="174"/>
        <v>1258853</v>
      </c>
      <c r="XV95" s="199">
        <f t="shared" si="175"/>
        <v>17730.323943661973</v>
      </c>
      <c r="XW95" s="199">
        <f t="shared" si="176"/>
        <v>1258853</v>
      </c>
      <c r="XX95" s="199">
        <f t="shared" si="177"/>
        <v>17730.323943661973</v>
      </c>
      <c r="XY95" s="199">
        <f t="shared" si="204"/>
        <v>-858218</v>
      </c>
      <c r="XZ95" s="199">
        <f t="shared" si="205"/>
        <v>-12087.577464788734</v>
      </c>
      <c r="YA95" s="131">
        <f t="shared" si="143"/>
        <v>-0.68174600211462344</v>
      </c>
      <c r="YB95" s="199"/>
      <c r="YC95" s="221"/>
      <c r="YD95" s="199"/>
      <c r="YE95" s="199">
        <f t="shared" si="178"/>
        <v>195402</v>
      </c>
      <c r="YF95" s="200">
        <f t="shared" si="179"/>
        <v>0</v>
      </c>
      <c r="YG95" s="199">
        <f t="shared" si="180"/>
        <v>295555</v>
      </c>
      <c r="YH95" s="199">
        <f t="shared" si="181"/>
        <v>8054</v>
      </c>
    </row>
    <row r="96" spans="1:658">
      <c r="A96" s="3">
        <v>351</v>
      </c>
      <c r="B96" s="2" t="s">
        <v>193</v>
      </c>
      <c r="C96" s="24">
        <v>0</v>
      </c>
      <c r="D96" s="24">
        <v>0</v>
      </c>
      <c r="E96" s="24">
        <v>0</v>
      </c>
      <c r="F96" s="24">
        <v>0</v>
      </c>
      <c r="G96" s="24">
        <v>331966</v>
      </c>
      <c r="H96" s="24">
        <v>0</v>
      </c>
      <c r="I96" s="24">
        <v>0</v>
      </c>
      <c r="J96" s="24">
        <v>0</v>
      </c>
      <c r="K96" s="24">
        <v>0</v>
      </c>
      <c r="L96" s="24">
        <v>0</v>
      </c>
      <c r="M96" s="24">
        <v>0</v>
      </c>
      <c r="N96" s="24">
        <v>0</v>
      </c>
      <c r="O96" s="24">
        <v>0</v>
      </c>
      <c r="P96" s="24">
        <v>0</v>
      </c>
      <c r="Q96" s="24">
        <v>0</v>
      </c>
      <c r="R96" s="24">
        <v>0</v>
      </c>
      <c r="S96" s="24">
        <v>0</v>
      </c>
      <c r="T96" s="24">
        <v>118160</v>
      </c>
      <c r="U96" s="24">
        <v>0</v>
      </c>
      <c r="V96" s="24">
        <v>0</v>
      </c>
      <c r="W96" s="24">
        <v>0</v>
      </c>
      <c r="X96" s="24">
        <v>174535</v>
      </c>
      <c r="Y96" s="24">
        <v>4108</v>
      </c>
      <c r="Z96" s="24">
        <v>0</v>
      </c>
      <c r="AA96" s="24">
        <v>4066</v>
      </c>
      <c r="AB96" s="24">
        <v>1640</v>
      </c>
      <c r="AC96" s="24">
        <v>0</v>
      </c>
      <c r="AD96" s="24">
        <v>0</v>
      </c>
      <c r="AE96" s="24">
        <v>0</v>
      </c>
      <c r="AF96" s="24">
        <v>0</v>
      </c>
      <c r="AG96" s="24">
        <v>0</v>
      </c>
      <c r="AH96" s="24">
        <v>0</v>
      </c>
      <c r="AI96" s="24">
        <v>0</v>
      </c>
      <c r="AJ96" s="24">
        <v>0</v>
      </c>
      <c r="AK96" s="24">
        <v>0</v>
      </c>
      <c r="AL96" s="24">
        <v>5483</v>
      </c>
      <c r="AM96" s="24">
        <v>0</v>
      </c>
      <c r="AN96" s="24">
        <v>0</v>
      </c>
      <c r="AO96" s="24">
        <v>0</v>
      </c>
      <c r="AP96" s="24">
        <v>0</v>
      </c>
      <c r="AQ96" s="24">
        <v>0</v>
      </c>
      <c r="AR96" s="24">
        <v>0</v>
      </c>
      <c r="AS96" s="24">
        <v>0</v>
      </c>
      <c r="AT96" s="24">
        <v>0</v>
      </c>
      <c r="AU96" s="24">
        <v>0</v>
      </c>
      <c r="AV96" s="24">
        <v>0</v>
      </c>
      <c r="AW96" s="24">
        <v>0</v>
      </c>
      <c r="AX96" s="24">
        <v>0</v>
      </c>
      <c r="AY96" s="24">
        <v>0</v>
      </c>
      <c r="AZ96" s="24">
        <v>0</v>
      </c>
      <c r="BA96" s="24">
        <v>0</v>
      </c>
      <c r="BB96" s="24">
        <v>0</v>
      </c>
      <c r="BC96" s="24">
        <v>0</v>
      </c>
      <c r="BD96" s="24">
        <v>0</v>
      </c>
      <c r="BE96" s="24">
        <v>0</v>
      </c>
      <c r="BF96" s="24">
        <v>0</v>
      </c>
      <c r="BG96" s="24">
        <v>0</v>
      </c>
      <c r="BH96" s="24">
        <v>0</v>
      </c>
      <c r="BI96" s="24">
        <v>0</v>
      </c>
      <c r="BJ96" s="24">
        <v>0</v>
      </c>
      <c r="BK96" s="24">
        <v>0</v>
      </c>
      <c r="BL96" s="24">
        <v>0</v>
      </c>
      <c r="BM96" s="24">
        <v>0</v>
      </c>
      <c r="BN96" s="24">
        <v>0</v>
      </c>
      <c r="BO96" s="24">
        <v>0</v>
      </c>
      <c r="BP96" s="24">
        <v>0</v>
      </c>
      <c r="BQ96" s="24">
        <v>0</v>
      </c>
      <c r="BR96" s="24">
        <v>0</v>
      </c>
      <c r="BS96" s="24">
        <v>0</v>
      </c>
      <c r="BT96" s="24">
        <v>0</v>
      </c>
      <c r="BU96" s="24">
        <v>0</v>
      </c>
      <c r="BV96" s="24">
        <v>0</v>
      </c>
      <c r="BW96" s="24">
        <v>0</v>
      </c>
      <c r="BX96" s="24">
        <v>0</v>
      </c>
      <c r="BY96" s="24">
        <v>0</v>
      </c>
      <c r="BZ96" s="24">
        <v>0</v>
      </c>
      <c r="CA96" s="24">
        <v>0</v>
      </c>
      <c r="CB96" s="24">
        <v>0</v>
      </c>
      <c r="CC96" s="24">
        <v>0</v>
      </c>
      <c r="CD96" s="24">
        <v>75244</v>
      </c>
      <c r="CE96" s="24">
        <v>0</v>
      </c>
      <c r="CF96" s="24">
        <v>0</v>
      </c>
      <c r="CG96" s="24">
        <v>0</v>
      </c>
      <c r="CH96" s="24">
        <v>7393</v>
      </c>
      <c r="CI96" s="24">
        <v>0</v>
      </c>
      <c r="CJ96" s="24">
        <v>0</v>
      </c>
      <c r="CK96" s="24">
        <v>0</v>
      </c>
      <c r="CL96" s="24">
        <v>0</v>
      </c>
      <c r="CM96" s="24">
        <v>0</v>
      </c>
      <c r="CN96" s="24">
        <v>0</v>
      </c>
      <c r="CO96" s="24">
        <v>0</v>
      </c>
      <c r="CP96" s="24">
        <v>0</v>
      </c>
      <c r="CQ96" s="24">
        <v>0</v>
      </c>
      <c r="CR96" s="24">
        <v>0</v>
      </c>
      <c r="CS96" s="24">
        <v>0</v>
      </c>
      <c r="CT96" s="24">
        <v>0</v>
      </c>
      <c r="CU96" s="24">
        <v>0</v>
      </c>
      <c r="CV96" s="24">
        <v>0</v>
      </c>
      <c r="CW96" s="24">
        <v>0</v>
      </c>
      <c r="CX96" s="24">
        <v>0</v>
      </c>
      <c r="CY96" s="24">
        <v>0</v>
      </c>
      <c r="CZ96" s="24">
        <v>0</v>
      </c>
      <c r="DA96" s="24">
        <v>0</v>
      </c>
      <c r="DB96" s="24">
        <v>0</v>
      </c>
      <c r="DC96" s="24">
        <v>0</v>
      </c>
      <c r="DD96" s="24">
        <v>0</v>
      </c>
      <c r="DE96" s="24">
        <v>0</v>
      </c>
      <c r="DF96" s="24">
        <v>0</v>
      </c>
      <c r="DG96" s="24">
        <v>0</v>
      </c>
      <c r="DH96" s="24">
        <v>0</v>
      </c>
      <c r="DI96" s="24">
        <v>0</v>
      </c>
      <c r="DJ96" s="24">
        <v>0</v>
      </c>
      <c r="DK96" s="24">
        <v>0</v>
      </c>
      <c r="DL96" s="24">
        <v>0</v>
      </c>
      <c r="DM96" s="24">
        <v>0</v>
      </c>
      <c r="DN96" s="24">
        <v>0</v>
      </c>
      <c r="DO96" s="24">
        <v>0</v>
      </c>
      <c r="DP96" s="24">
        <v>0</v>
      </c>
      <c r="DQ96" s="24">
        <v>0</v>
      </c>
      <c r="DR96" s="24">
        <v>0</v>
      </c>
      <c r="DS96" s="24">
        <v>0</v>
      </c>
      <c r="DT96" s="24">
        <v>0</v>
      </c>
      <c r="DU96" s="24">
        <v>4025</v>
      </c>
      <c r="DV96" s="24">
        <v>0</v>
      </c>
      <c r="DW96" s="24">
        <v>0</v>
      </c>
      <c r="DX96" s="24">
        <v>0</v>
      </c>
      <c r="DY96" s="24">
        <v>0</v>
      </c>
      <c r="DZ96" s="24">
        <v>0</v>
      </c>
      <c r="EA96" s="24">
        <v>0</v>
      </c>
      <c r="EB96" s="24">
        <v>0</v>
      </c>
      <c r="EC96" s="24">
        <v>0</v>
      </c>
      <c r="ED96" s="24">
        <v>0</v>
      </c>
      <c r="EE96" s="24">
        <v>0</v>
      </c>
      <c r="EF96" s="24">
        <v>0</v>
      </c>
      <c r="EG96" s="24">
        <v>0</v>
      </c>
      <c r="EH96" s="24">
        <v>0</v>
      </c>
      <c r="EI96" s="24">
        <v>0</v>
      </c>
      <c r="EJ96" s="24">
        <v>0</v>
      </c>
      <c r="EK96" s="24">
        <v>0</v>
      </c>
      <c r="EL96" s="24">
        <v>0</v>
      </c>
      <c r="EM96" s="24">
        <v>0</v>
      </c>
      <c r="EN96" s="24">
        <v>0</v>
      </c>
      <c r="EO96" s="24">
        <v>0</v>
      </c>
      <c r="EP96" s="24">
        <v>0</v>
      </c>
      <c r="EQ96" s="24">
        <v>0</v>
      </c>
      <c r="ER96" s="24">
        <v>0</v>
      </c>
      <c r="ES96" s="24">
        <v>0</v>
      </c>
      <c r="ET96" s="24">
        <v>0</v>
      </c>
      <c r="EU96" s="24">
        <v>0</v>
      </c>
      <c r="EV96" s="24">
        <v>0</v>
      </c>
      <c r="EW96" s="24">
        <v>0</v>
      </c>
      <c r="EX96" s="24">
        <v>0</v>
      </c>
      <c r="EY96" s="24">
        <v>0</v>
      </c>
      <c r="EZ96" s="24">
        <v>0</v>
      </c>
      <c r="FA96" s="24">
        <v>0</v>
      </c>
      <c r="FB96" s="24">
        <v>0</v>
      </c>
      <c r="FC96" s="24">
        <v>0</v>
      </c>
      <c r="FD96" s="24">
        <v>0</v>
      </c>
      <c r="FE96" s="24">
        <v>0</v>
      </c>
      <c r="FF96" s="24">
        <v>0</v>
      </c>
      <c r="FG96" s="24">
        <v>0</v>
      </c>
      <c r="FH96" s="24">
        <v>0</v>
      </c>
      <c r="FI96" s="24">
        <v>0</v>
      </c>
      <c r="FJ96" s="24">
        <v>0</v>
      </c>
      <c r="FK96" s="24">
        <v>0</v>
      </c>
      <c r="FL96" s="24">
        <v>60306</v>
      </c>
      <c r="FM96" s="24">
        <v>0</v>
      </c>
      <c r="FN96" s="24">
        <v>0</v>
      </c>
      <c r="FO96" s="24">
        <v>0</v>
      </c>
      <c r="FP96" s="24">
        <v>0</v>
      </c>
      <c r="FQ96" s="24">
        <v>0</v>
      </c>
      <c r="FR96" s="24">
        <v>0</v>
      </c>
      <c r="FS96" s="24">
        <v>8172</v>
      </c>
      <c r="FT96" s="24">
        <v>0</v>
      </c>
      <c r="FU96" s="24">
        <v>0</v>
      </c>
      <c r="FV96" s="24">
        <v>0</v>
      </c>
      <c r="FW96" s="24">
        <v>0</v>
      </c>
      <c r="FX96" s="24">
        <v>0</v>
      </c>
      <c r="FY96" s="24">
        <v>0</v>
      </c>
      <c r="FZ96" s="24">
        <v>0</v>
      </c>
      <c r="GA96" s="24">
        <v>0</v>
      </c>
      <c r="GB96" s="24">
        <v>0</v>
      </c>
      <c r="GC96" s="24">
        <v>0</v>
      </c>
      <c r="GD96" s="24">
        <v>0</v>
      </c>
      <c r="GE96" s="24">
        <v>3705</v>
      </c>
      <c r="GF96" s="24">
        <v>0</v>
      </c>
      <c r="GG96" s="24">
        <v>0</v>
      </c>
      <c r="GH96" s="24">
        <v>0</v>
      </c>
      <c r="GI96" s="24">
        <v>0</v>
      </c>
      <c r="GJ96" s="24">
        <v>0</v>
      </c>
      <c r="GK96" s="24">
        <v>0</v>
      </c>
      <c r="GL96" s="24">
        <v>0</v>
      </c>
      <c r="GM96" s="24">
        <v>0</v>
      </c>
      <c r="GN96" s="24">
        <v>0</v>
      </c>
      <c r="GO96" s="24">
        <v>0</v>
      </c>
      <c r="GP96" s="24">
        <v>0</v>
      </c>
      <c r="GQ96" s="24">
        <v>0</v>
      </c>
      <c r="GR96" s="24">
        <v>0</v>
      </c>
      <c r="GS96" s="24">
        <v>0</v>
      </c>
      <c r="GT96" s="24">
        <v>0</v>
      </c>
      <c r="GU96" s="24">
        <v>75029</v>
      </c>
      <c r="GV96" s="24">
        <v>0</v>
      </c>
      <c r="GW96" s="24">
        <v>0</v>
      </c>
      <c r="GX96" s="24">
        <v>0</v>
      </c>
      <c r="GY96" s="24">
        <v>0</v>
      </c>
      <c r="GZ96" s="24">
        <v>0</v>
      </c>
      <c r="HA96" s="24">
        <v>0</v>
      </c>
      <c r="HB96" s="24">
        <v>841</v>
      </c>
      <c r="HC96" s="24">
        <v>0</v>
      </c>
      <c r="HD96" s="24">
        <v>3725969</v>
      </c>
      <c r="HE96" s="24">
        <v>0</v>
      </c>
      <c r="HF96" s="24">
        <v>0</v>
      </c>
      <c r="HG96" s="24">
        <v>0</v>
      </c>
      <c r="HH96" s="24">
        <v>0</v>
      </c>
      <c r="HI96" s="24">
        <v>185363</v>
      </c>
      <c r="HJ96" s="24">
        <v>0</v>
      </c>
      <c r="HK96" s="24">
        <v>0</v>
      </c>
      <c r="HL96" s="24">
        <v>0</v>
      </c>
      <c r="HM96" s="24">
        <v>49652</v>
      </c>
      <c r="HN96" s="24">
        <v>0</v>
      </c>
      <c r="HO96" s="24">
        <v>489747</v>
      </c>
      <c r="HP96" s="24">
        <v>84148</v>
      </c>
      <c r="HQ96" s="24">
        <v>0</v>
      </c>
      <c r="HR96" s="24">
        <v>0</v>
      </c>
      <c r="HS96" s="24">
        <v>0</v>
      </c>
      <c r="HT96" s="24">
        <v>0</v>
      </c>
      <c r="HU96" s="24">
        <v>0</v>
      </c>
      <c r="HV96" s="24">
        <v>0</v>
      </c>
      <c r="HW96" s="24">
        <v>0</v>
      </c>
      <c r="HX96" s="24">
        <v>0</v>
      </c>
      <c r="HY96" s="24">
        <v>0</v>
      </c>
      <c r="HZ96" s="24">
        <v>0</v>
      </c>
      <c r="IA96" s="24">
        <v>62729</v>
      </c>
      <c r="IB96" s="24">
        <v>12985</v>
      </c>
      <c r="IC96" s="24">
        <v>0</v>
      </c>
      <c r="ID96" s="24">
        <v>0</v>
      </c>
      <c r="IE96" s="24">
        <v>0</v>
      </c>
      <c r="IF96" s="24">
        <v>0</v>
      </c>
      <c r="IG96" s="24">
        <v>0</v>
      </c>
      <c r="IH96" s="24">
        <v>0</v>
      </c>
      <c r="II96" s="24">
        <v>0</v>
      </c>
      <c r="IJ96" s="24">
        <v>0</v>
      </c>
      <c r="IK96" s="24">
        <v>0</v>
      </c>
      <c r="IL96" s="24">
        <v>0</v>
      </c>
      <c r="IM96" s="24">
        <v>0</v>
      </c>
      <c r="IN96" s="24">
        <v>0</v>
      </c>
      <c r="IO96" s="24">
        <v>3689</v>
      </c>
      <c r="IP96" s="24">
        <v>0</v>
      </c>
      <c r="IQ96" s="24">
        <v>0</v>
      </c>
      <c r="IR96" s="24">
        <v>57267</v>
      </c>
      <c r="IS96" s="24">
        <v>0</v>
      </c>
      <c r="IT96" s="24">
        <v>0</v>
      </c>
      <c r="IU96" s="24">
        <v>0</v>
      </c>
      <c r="IV96" s="24">
        <v>0</v>
      </c>
      <c r="IW96" s="24">
        <v>51305</v>
      </c>
      <c r="IX96" s="24">
        <v>0</v>
      </c>
      <c r="IY96" s="24">
        <v>0</v>
      </c>
      <c r="IZ96" s="24">
        <v>0</v>
      </c>
      <c r="JA96" s="24">
        <v>0</v>
      </c>
      <c r="JB96" s="24">
        <v>18843</v>
      </c>
      <c r="JC96" s="24">
        <v>0</v>
      </c>
      <c r="JD96" s="24">
        <v>0</v>
      </c>
      <c r="JE96" s="24">
        <v>0</v>
      </c>
      <c r="JF96" s="24">
        <v>0</v>
      </c>
      <c r="JG96" s="24">
        <v>0</v>
      </c>
      <c r="JH96" s="24">
        <v>0</v>
      </c>
      <c r="JI96" s="24">
        <v>0</v>
      </c>
      <c r="JJ96" s="24">
        <v>0</v>
      </c>
      <c r="JK96" s="24">
        <v>0</v>
      </c>
      <c r="JL96" s="24">
        <v>0</v>
      </c>
      <c r="JM96" s="24">
        <v>0</v>
      </c>
      <c r="JN96" s="24">
        <v>0</v>
      </c>
      <c r="JO96" s="24">
        <v>0</v>
      </c>
      <c r="JP96" s="24">
        <v>0</v>
      </c>
      <c r="JQ96" s="24">
        <v>0</v>
      </c>
      <c r="JR96" s="24">
        <v>0</v>
      </c>
      <c r="JS96" s="24">
        <v>0</v>
      </c>
      <c r="JT96" s="24">
        <v>0</v>
      </c>
      <c r="JU96" s="24">
        <v>0</v>
      </c>
      <c r="JV96" s="24">
        <v>0</v>
      </c>
      <c r="JW96" s="24">
        <v>0</v>
      </c>
      <c r="JX96" s="24">
        <v>0</v>
      </c>
      <c r="JY96" s="24">
        <v>0</v>
      </c>
      <c r="JZ96" s="24">
        <v>0</v>
      </c>
      <c r="KA96" s="24">
        <v>0</v>
      </c>
      <c r="KB96" s="24">
        <v>0</v>
      </c>
      <c r="KC96" s="24">
        <v>0</v>
      </c>
      <c r="KD96" s="24">
        <v>0</v>
      </c>
      <c r="KE96" s="24">
        <v>0</v>
      </c>
      <c r="KF96" s="24">
        <v>0</v>
      </c>
      <c r="KG96" s="24">
        <v>42170</v>
      </c>
      <c r="KH96" s="24">
        <v>0</v>
      </c>
      <c r="KI96" s="24">
        <v>0</v>
      </c>
      <c r="KJ96" s="24">
        <v>0</v>
      </c>
      <c r="KK96" s="24">
        <v>0</v>
      </c>
      <c r="KL96" s="24">
        <v>0</v>
      </c>
      <c r="KM96" s="24">
        <v>0</v>
      </c>
      <c r="KN96" s="24">
        <v>0</v>
      </c>
      <c r="KO96" s="24">
        <v>0</v>
      </c>
      <c r="KP96" s="24">
        <v>0</v>
      </c>
      <c r="KQ96" s="24">
        <v>0</v>
      </c>
      <c r="KR96" s="24">
        <v>0</v>
      </c>
      <c r="KS96" s="24">
        <v>0</v>
      </c>
      <c r="KT96" s="24">
        <v>0</v>
      </c>
      <c r="KU96" s="24">
        <v>0</v>
      </c>
      <c r="KV96" s="24">
        <v>0</v>
      </c>
      <c r="KW96" s="24">
        <v>0</v>
      </c>
      <c r="KX96" s="24">
        <v>0</v>
      </c>
      <c r="KY96" s="24">
        <v>0</v>
      </c>
      <c r="KZ96" s="24">
        <v>0</v>
      </c>
      <c r="LA96" s="24">
        <v>0</v>
      </c>
      <c r="LB96" s="24">
        <v>0</v>
      </c>
      <c r="LC96" s="24">
        <v>0</v>
      </c>
      <c r="LD96" s="24">
        <v>0</v>
      </c>
      <c r="LE96" s="24">
        <v>0</v>
      </c>
      <c r="LF96" s="24">
        <v>0</v>
      </c>
      <c r="LG96" s="24">
        <v>0</v>
      </c>
      <c r="LH96" s="24">
        <v>0</v>
      </c>
      <c r="LI96" s="24">
        <v>0</v>
      </c>
      <c r="LJ96" s="24">
        <v>0</v>
      </c>
      <c r="LK96" s="24">
        <v>0</v>
      </c>
      <c r="LL96" s="24">
        <v>0</v>
      </c>
      <c r="LM96" s="24">
        <v>0</v>
      </c>
      <c r="LN96" s="24">
        <v>0</v>
      </c>
      <c r="LO96" s="24">
        <v>0</v>
      </c>
      <c r="LP96" s="24">
        <v>0</v>
      </c>
      <c r="LQ96" s="24">
        <v>116384</v>
      </c>
      <c r="LR96" s="24">
        <v>0</v>
      </c>
      <c r="LS96" s="24">
        <v>0</v>
      </c>
      <c r="LT96" s="24">
        <v>0</v>
      </c>
      <c r="LU96" s="24">
        <v>0</v>
      </c>
      <c r="LV96" s="24">
        <v>0</v>
      </c>
      <c r="LW96" s="24">
        <v>0</v>
      </c>
      <c r="LX96" s="24">
        <v>0</v>
      </c>
      <c r="LY96" s="24">
        <v>0</v>
      </c>
      <c r="LZ96" s="24">
        <v>0</v>
      </c>
      <c r="MA96" s="24">
        <v>0</v>
      </c>
      <c r="MB96" s="24">
        <v>0</v>
      </c>
      <c r="MC96" s="24">
        <v>0</v>
      </c>
      <c r="MD96" s="24">
        <v>0</v>
      </c>
      <c r="ME96" s="24">
        <v>0</v>
      </c>
      <c r="MF96" s="24">
        <v>0</v>
      </c>
      <c r="MG96" s="24">
        <v>0</v>
      </c>
      <c r="MH96" s="24">
        <v>0</v>
      </c>
      <c r="MI96" s="24">
        <v>0</v>
      </c>
      <c r="MJ96" s="24">
        <v>0</v>
      </c>
      <c r="MK96" s="24">
        <v>0</v>
      </c>
      <c r="ML96" s="24">
        <v>0</v>
      </c>
      <c r="MM96" s="24">
        <v>0</v>
      </c>
      <c r="MN96" s="24">
        <v>0</v>
      </c>
      <c r="MO96" s="24">
        <v>0</v>
      </c>
      <c r="MP96" s="24">
        <v>0</v>
      </c>
      <c r="MQ96" s="24">
        <v>0</v>
      </c>
      <c r="MR96" s="24">
        <v>296614</v>
      </c>
      <c r="MS96" s="24">
        <v>0</v>
      </c>
      <c r="MT96" s="24">
        <v>0</v>
      </c>
      <c r="MU96" s="24">
        <v>0</v>
      </c>
      <c r="MV96" s="24">
        <v>0</v>
      </c>
      <c r="MW96" s="24">
        <v>168913</v>
      </c>
      <c r="MX96" s="24">
        <v>50</v>
      </c>
      <c r="MY96" s="24">
        <v>0</v>
      </c>
      <c r="MZ96" s="24">
        <v>0</v>
      </c>
      <c r="NA96" s="24">
        <v>88915</v>
      </c>
      <c r="NB96" s="24">
        <v>0</v>
      </c>
      <c r="NC96" s="24">
        <v>0</v>
      </c>
      <c r="ND96" s="24">
        <v>0</v>
      </c>
      <c r="NE96" s="24">
        <v>0</v>
      </c>
      <c r="NF96" s="24">
        <v>0</v>
      </c>
      <c r="NG96" s="24">
        <v>0</v>
      </c>
      <c r="NH96" s="24">
        <v>0</v>
      </c>
      <c r="NI96" s="24">
        <v>0</v>
      </c>
      <c r="NJ96" s="24">
        <v>0</v>
      </c>
      <c r="NK96" s="24">
        <v>0</v>
      </c>
      <c r="NL96" s="24">
        <v>0</v>
      </c>
      <c r="NM96" s="24">
        <v>0</v>
      </c>
      <c r="NN96" s="24">
        <v>0</v>
      </c>
      <c r="NO96" s="24">
        <v>0</v>
      </c>
      <c r="NP96" s="24">
        <v>0</v>
      </c>
      <c r="NQ96" s="24">
        <v>0</v>
      </c>
      <c r="NR96" s="24">
        <v>0</v>
      </c>
      <c r="NS96" s="24">
        <v>0</v>
      </c>
      <c r="NT96" s="24">
        <v>0</v>
      </c>
      <c r="NU96" s="24">
        <v>0</v>
      </c>
      <c r="NV96" s="24">
        <v>40775</v>
      </c>
      <c r="NW96" s="24">
        <v>0</v>
      </c>
      <c r="NX96" s="24">
        <v>0</v>
      </c>
      <c r="NY96" s="24">
        <v>0</v>
      </c>
      <c r="NZ96" s="24">
        <v>0</v>
      </c>
      <c r="OA96" s="24">
        <v>0</v>
      </c>
      <c r="OB96" s="24">
        <v>0</v>
      </c>
      <c r="OC96" s="24">
        <v>0</v>
      </c>
      <c r="OD96" s="24">
        <v>9180</v>
      </c>
      <c r="OE96" s="24">
        <v>0</v>
      </c>
      <c r="OF96" s="24">
        <v>0</v>
      </c>
      <c r="OG96" s="24">
        <v>0</v>
      </c>
      <c r="OH96" s="24">
        <v>0</v>
      </c>
      <c r="OI96" s="24">
        <v>0</v>
      </c>
      <c r="OJ96" s="24">
        <v>0</v>
      </c>
      <c r="OK96" s="24">
        <v>23383</v>
      </c>
      <c r="OL96" s="24">
        <v>0</v>
      </c>
      <c r="OM96" s="24">
        <v>19255</v>
      </c>
      <c r="ON96" s="24">
        <v>0</v>
      </c>
      <c r="OO96" s="24">
        <v>0</v>
      </c>
      <c r="OP96" s="24">
        <v>0</v>
      </c>
      <c r="OQ96" s="24">
        <v>0</v>
      </c>
      <c r="OR96" s="24">
        <v>200000</v>
      </c>
      <c r="OS96" s="24">
        <v>0</v>
      </c>
      <c r="OT96" s="24">
        <v>0</v>
      </c>
      <c r="OU96" s="24">
        <v>0</v>
      </c>
      <c r="OV96" s="24">
        <v>0</v>
      </c>
      <c r="OW96" s="24">
        <v>177360</v>
      </c>
      <c r="OX96" s="24">
        <v>0</v>
      </c>
      <c r="OY96" s="24">
        <v>0</v>
      </c>
      <c r="OZ96" s="24">
        <v>0</v>
      </c>
      <c r="PA96" s="24">
        <v>0</v>
      </c>
      <c r="PB96" s="24">
        <v>0</v>
      </c>
      <c r="PC96" s="24">
        <v>0</v>
      </c>
      <c r="PD96" s="24">
        <v>0</v>
      </c>
      <c r="PE96" s="24">
        <v>0</v>
      </c>
      <c r="PF96" s="24">
        <v>0</v>
      </c>
      <c r="PG96" s="24">
        <v>0</v>
      </c>
      <c r="PH96" s="24">
        <v>0</v>
      </c>
      <c r="PI96" s="24">
        <v>0</v>
      </c>
      <c r="PJ96" s="24">
        <v>0</v>
      </c>
      <c r="PK96" s="24">
        <v>0</v>
      </c>
      <c r="PL96" s="24">
        <v>0</v>
      </c>
      <c r="PM96" s="24">
        <v>0</v>
      </c>
      <c r="PN96" s="24">
        <v>0</v>
      </c>
      <c r="PO96" s="24">
        <v>0</v>
      </c>
      <c r="PP96" s="24">
        <v>0</v>
      </c>
      <c r="PQ96" s="24">
        <v>0</v>
      </c>
      <c r="PR96" s="24">
        <v>0</v>
      </c>
      <c r="PS96" s="24">
        <v>0</v>
      </c>
      <c r="PT96" s="24">
        <v>0</v>
      </c>
      <c r="PU96" s="24">
        <v>0</v>
      </c>
      <c r="PV96" s="24">
        <v>0</v>
      </c>
      <c r="PW96" s="24">
        <v>0</v>
      </c>
      <c r="PX96" s="24">
        <v>0</v>
      </c>
      <c r="PY96" s="24">
        <v>0</v>
      </c>
      <c r="PZ96" s="24">
        <v>0</v>
      </c>
      <c r="QA96" s="24">
        <v>0</v>
      </c>
      <c r="QB96" s="24">
        <v>0</v>
      </c>
      <c r="QC96" s="24">
        <v>0</v>
      </c>
      <c r="QD96" s="24">
        <v>0</v>
      </c>
      <c r="QE96" s="24">
        <v>0</v>
      </c>
      <c r="QF96" s="24">
        <v>0</v>
      </c>
      <c r="QG96" s="24">
        <v>0</v>
      </c>
      <c r="QH96" s="24">
        <v>0</v>
      </c>
      <c r="QI96" s="24">
        <v>0</v>
      </c>
      <c r="QJ96" s="24">
        <v>0</v>
      </c>
      <c r="QK96" s="24">
        <v>0</v>
      </c>
      <c r="QL96" s="24">
        <v>0</v>
      </c>
      <c r="QM96" s="24">
        <v>0</v>
      </c>
      <c r="QN96" s="24">
        <v>0</v>
      </c>
      <c r="QO96" s="24">
        <v>0</v>
      </c>
      <c r="QP96" s="24">
        <v>0</v>
      </c>
      <c r="QQ96" s="24">
        <v>0</v>
      </c>
      <c r="QR96" s="24">
        <v>0</v>
      </c>
      <c r="QS96" s="24">
        <v>0</v>
      </c>
      <c r="QT96" s="24">
        <v>0</v>
      </c>
      <c r="QU96" s="24">
        <v>0</v>
      </c>
      <c r="QV96" s="24">
        <v>0</v>
      </c>
      <c r="QW96" s="24">
        <v>68801</v>
      </c>
      <c r="QX96" s="24">
        <v>0</v>
      </c>
      <c r="QY96" s="24">
        <v>0</v>
      </c>
      <c r="QZ96" s="24">
        <v>0</v>
      </c>
      <c r="RA96" s="24">
        <v>0</v>
      </c>
      <c r="RB96" s="24">
        <v>0</v>
      </c>
      <c r="RG96" s="39">
        <f t="shared" si="129"/>
        <v>3725969</v>
      </c>
      <c r="RH96" s="39">
        <f t="shared" si="206"/>
        <v>185363</v>
      </c>
      <c r="RI96" s="39">
        <f t="shared" si="206"/>
        <v>0</v>
      </c>
      <c r="RJ96" s="39">
        <f t="shared" si="206"/>
        <v>49652</v>
      </c>
      <c r="RK96" s="39">
        <f t="shared" si="206"/>
        <v>0</v>
      </c>
      <c r="RL96" s="39">
        <f t="shared" si="206"/>
        <v>489747</v>
      </c>
      <c r="RM96" s="39">
        <f t="shared" si="206"/>
        <v>159862</v>
      </c>
      <c r="RN96" s="39">
        <f t="shared" si="206"/>
        <v>3689</v>
      </c>
      <c r="RO96" s="39">
        <f t="shared" si="206"/>
        <v>57267</v>
      </c>
      <c r="RP96" s="39">
        <f t="shared" si="206"/>
        <v>51305</v>
      </c>
      <c r="RQ96" s="39">
        <f t="shared" si="206"/>
        <v>18843</v>
      </c>
      <c r="RR96" s="39">
        <f t="shared" si="206"/>
        <v>0</v>
      </c>
      <c r="RS96" s="39"/>
      <c r="RT96" s="182"/>
      <c r="RU96" s="39"/>
      <c r="RV96" s="39">
        <f t="shared" si="182"/>
        <v>805639</v>
      </c>
      <c r="RW96" s="39">
        <f t="shared" si="182"/>
        <v>4741697</v>
      </c>
      <c r="RX96" s="39">
        <f t="shared" si="182"/>
        <v>874673</v>
      </c>
      <c r="RY96" s="39">
        <f t="shared" si="182"/>
        <v>446161</v>
      </c>
      <c r="RZ96" s="39"/>
      <c r="SA96" s="182"/>
      <c r="SB96" s="39"/>
      <c r="SC96" s="25">
        <f t="shared" si="183"/>
        <v>1093.3412499999999</v>
      </c>
      <c r="SD96" s="39">
        <f>IFERROR(VLOOKUP(A96, 'Levy Data 15-16'!$B:$O, 3, FALSE), 0)</f>
        <v>300829804</v>
      </c>
      <c r="SE96" s="39">
        <f t="shared" si="144"/>
        <v>376037.255</v>
      </c>
      <c r="SF96" s="631">
        <f>IFERROR(VLOOKUP(A96, 'Levy Data 15-16'!$B:$O, 14, FALSE), 0)*1000</f>
        <v>2.0984929999999999</v>
      </c>
      <c r="SG96" s="39">
        <f t="shared" si="145"/>
        <v>0</v>
      </c>
      <c r="SH96" s="39">
        <f t="shared" si="146"/>
        <v>0</v>
      </c>
      <c r="SI96" s="39">
        <f t="shared" si="147"/>
        <v>874673</v>
      </c>
      <c r="SM96" s="39">
        <f t="shared" si="148"/>
        <v>4741697</v>
      </c>
      <c r="SN96" s="39">
        <f t="shared" si="149"/>
        <v>0</v>
      </c>
      <c r="SO96" s="39">
        <f t="shared" si="184"/>
        <v>4741697</v>
      </c>
      <c r="SP96" s="50">
        <f t="shared" si="130"/>
        <v>1</v>
      </c>
      <c r="ST96" s="124">
        <f>IFERROR(VLOOKUP(A96,'Grade Enroll 15-16'!B:AC,27,FALSE),"")</f>
        <v>800</v>
      </c>
      <c r="SU96" s="124">
        <f t="shared" si="185"/>
        <v>374.03740374037403</v>
      </c>
      <c r="SV96" s="131">
        <f>IFERROR(VLOOKUP($A96, 'Title I Enroll 16-17'!S:V, 4, FALSE), 0)</f>
        <v>0.46754675467546752</v>
      </c>
      <c r="SW96" s="729">
        <f>IFERROR(VLOOKUP(A96, 'ELL Enroll 15-16'!$N:$S, 6, FALSE), 0)</f>
        <v>5</v>
      </c>
      <c r="SX96" s="131">
        <f t="shared" si="131"/>
        <v>6.2500000000000003E-3</v>
      </c>
      <c r="SY96" s="124">
        <f>IFERROR(VLOOKUP(A96, 'SPED enroll 2015-16'!$M:$O, 3, FALSE), 0)</f>
        <v>85</v>
      </c>
      <c r="SZ96" s="131">
        <f t="shared" si="132"/>
        <v>0.10625</v>
      </c>
      <c r="TA96" s="142">
        <f t="shared" si="133"/>
        <v>59.499999999999993</v>
      </c>
      <c r="TB96" s="142">
        <f t="shared" si="133"/>
        <v>17</v>
      </c>
      <c r="TC96" s="142">
        <f t="shared" si="133"/>
        <v>5.95</v>
      </c>
      <c r="TD96" s="142">
        <f t="shared" si="133"/>
        <v>2.5499999999999998</v>
      </c>
      <c r="TE96" s="124">
        <f>VLOOKUP($A96, 'Grade Enroll 15-16'!$B:$AB, 20, FALSE)</f>
        <v>3</v>
      </c>
      <c r="TF96" s="124">
        <f>VLOOKUP($A96, 'Grade Enroll 15-16'!$B:$AB, 21, FALSE)</f>
        <v>74</v>
      </c>
      <c r="TG96" s="124">
        <f>VLOOKUP($A96, 'Grade Enroll 15-16'!$B:$AB, 22, FALSE)</f>
        <v>217</v>
      </c>
      <c r="TH96" s="124">
        <f>VLOOKUP($A96, 'Grade Enroll 15-16'!$B:$AB, 23, FALSE)</f>
        <v>204</v>
      </c>
      <c r="TI96" s="124">
        <f>VLOOKUP($A96, 'Grade Enroll 15-16'!$B:$AB, 24, FALSE)</f>
        <v>145</v>
      </c>
      <c r="TJ96" s="124">
        <f>VLOOKUP($A96, 'Grade Enroll 15-16'!$B:$AB, 25, FALSE)</f>
        <v>234</v>
      </c>
      <c r="TK96" s="124">
        <f>VLOOKUP($A96, 'Grade Enroll 15-16'!$B:$AB, 26, FALSE)</f>
        <v>538</v>
      </c>
      <c r="TL96" s="131">
        <f>SUMIFS('Student Achievement 15-16'!N:N, 'Student Achievement 15-16'!B:B, 'Idaho Data'!A96, 'Student Achievement 15-16'!D:D, "math")/100</f>
        <v>0.27500000000000002</v>
      </c>
      <c r="TM96" s="134">
        <f t="shared" si="186"/>
        <v>220.00000000000003</v>
      </c>
      <c r="TN96" s="131">
        <f>SUMIFS('Student Achievement 15-16'!N:N, 'Student Achievement 15-16'!B:B, 'Idaho Data'!A96, 'Student Achievement 15-16'!D:D, "ela")/100</f>
        <v>0.22699999999999998</v>
      </c>
      <c r="TO96" s="134">
        <f t="shared" si="134"/>
        <v>181.6</v>
      </c>
      <c r="TP96" s="688">
        <f>IFERROR(VLOOKUP(A96, 'G&amp;T 15-16'!B:G, 6, FALSE), 0)*1</f>
        <v>76</v>
      </c>
      <c r="TQ96" s="168">
        <f t="shared" si="135"/>
        <v>48</v>
      </c>
      <c r="TU96" s="168">
        <f t="shared" si="136"/>
        <v>181.6</v>
      </c>
      <c r="TV96" s="168">
        <f t="shared" si="137"/>
        <v>220.00000000000003</v>
      </c>
      <c r="TW96" s="205">
        <f t="shared" si="138"/>
        <v>220.00000000000003</v>
      </c>
      <c r="TX96" s="144"/>
      <c r="TY96" s="129"/>
      <c r="TZ96" s="127">
        <f t="shared" si="139"/>
        <v>48</v>
      </c>
      <c r="UA96" s="127">
        <f t="shared" si="140"/>
        <v>76</v>
      </c>
      <c r="UB96" s="205">
        <f t="shared" si="141"/>
        <v>76</v>
      </c>
      <c r="UE96" s="853" t="str">
        <f>IF(ST96&lt;='1. Simulator Input'!$E$104, "yes", "")</f>
        <v/>
      </c>
      <c r="UI96" s="199">
        <f t="shared" si="187"/>
        <v>0</v>
      </c>
      <c r="UJ96" s="200">
        <f>IF('Idaho Data'!SI96&gt;=0, ((1-'1. Simulator Input'!$E$39)*'Idaho Data'!SI96), 0)</f>
        <v>0</v>
      </c>
      <c r="UK96" s="200">
        <f t="shared" si="142"/>
        <v>4741697</v>
      </c>
      <c r="UL96" s="39"/>
      <c r="UM96" s="182"/>
      <c r="UN96" s="39"/>
      <c r="UO96" s="39" t="str">
        <f>IF(AND('1. Simulator Input'!$E$96="yes", '1. Simulator Input'!$E$98="yes", '1. Simulator Input'!$E$100="hold harmless"), 'Idaho Data'!WN96, IF(AND('1. Simulator Input'!$E$96="yes", '1. Simulator Input'!$E$98="no", '1. Simulator Input'!$E$100="hold harmless"), 'Idaho Data'!WM96, IF(AND('1. Simulator Input'!$E$96="yes", '1. Simulator Input'!$E$98="yes", '1. Simulator Input'!$E$100="small district grant"), WL96,IF(AND('1. Simulator Input'!$E$96="yes", '1. Simulator Input'!$E$98="no", '1. Simulator Input'!$E$100="small district grant"), WK96, ""))))</f>
        <v/>
      </c>
      <c r="UP96" s="200">
        <f>'1. Simulator Input'!$D$56*('Idaho Data'!ST96)</f>
        <v>4420800</v>
      </c>
      <c r="UQ96" s="204">
        <f>'1. Simulator Input'!$D$65*'1. Simulator Input'!$D$56*'Idaho Data'!SU96</f>
        <v>0</v>
      </c>
      <c r="UR96" s="204">
        <f>'1. Simulator Input'!$D$66*'1. Simulator Input'!$D$56*'Idaho Data'!SW96</f>
        <v>0</v>
      </c>
      <c r="US96" s="200">
        <f>'1. Simulator Input'!$D$67*'1. Simulator Input'!$D$56*'Idaho Data'!TA96</f>
        <v>0</v>
      </c>
      <c r="UT96" s="200">
        <f>'1. Simulator Input'!$D$68*'1. Simulator Input'!$D$56*'Idaho Data'!TB96</f>
        <v>0</v>
      </c>
      <c r="UU96" s="200">
        <f>'1. Simulator Input'!$D$69*'1. Simulator Input'!$D$56*'Idaho Data'!TC96</f>
        <v>0</v>
      </c>
      <c r="UV96" s="200">
        <f>'1. Simulator Input'!$D$70*'1. Simulator Input'!$D$56*TD96</f>
        <v>0</v>
      </c>
      <c r="UW96" s="200">
        <f>'1. Simulator Input'!$D$80*'1. Simulator Input'!$D$56*TW96</f>
        <v>0</v>
      </c>
      <c r="UX96" s="200">
        <f>'1. Simulator Input'!$D$79*'1. Simulator Input'!$D$56*UB96</f>
        <v>0</v>
      </c>
      <c r="UY96" s="200">
        <f>'1. Simulator Input'!$D$87*'1. Simulator Input'!$D$56*TF96</f>
        <v>204462</v>
      </c>
      <c r="UZ96" s="200">
        <f>'1. Simulator Input'!$D$73*'1. Simulator Input'!$D$56*'Idaho Data'!TG96</f>
        <v>0</v>
      </c>
      <c r="VA96" s="200">
        <f>'1. Simulator Input'!$D$56*'1. Simulator Input'!$D$74*'Idaho Data'!TH96</f>
        <v>0</v>
      </c>
      <c r="VB96" s="200">
        <f>'1. Simulator Input'!$D$56*'1. Simulator Input'!$D$75*'Idaho Data'!TI91</f>
        <v>0</v>
      </c>
      <c r="VC96" s="200">
        <f>'1. Simulator Input'!$D$76*'1. Simulator Input'!$D$56*'Idaho Data'!TJ96</f>
        <v>0</v>
      </c>
      <c r="VD96" s="200">
        <f t="shared" si="188"/>
        <v>4625262</v>
      </c>
      <c r="VE96" s="200"/>
      <c r="VF96" s="182"/>
      <c r="VG96" s="200"/>
      <c r="VH96" s="200">
        <f t="shared" si="189"/>
        <v>0</v>
      </c>
      <c r="VI96" s="200">
        <f t="shared" si="190"/>
        <v>0</v>
      </c>
      <c r="VJ96" s="200">
        <f t="shared" si="150"/>
        <v>4625262</v>
      </c>
      <c r="VK96" s="200">
        <f t="shared" si="151"/>
        <v>4625262</v>
      </c>
      <c r="VL96" s="200"/>
      <c r="VM96" s="182"/>
      <c r="VN96" s="200"/>
      <c r="VO96" s="200">
        <f t="shared" si="191"/>
        <v>805639</v>
      </c>
      <c r="VP96" s="200">
        <f t="shared" si="192"/>
        <v>4741697</v>
      </c>
      <c r="VQ96" s="200">
        <f t="shared" si="193"/>
        <v>874673</v>
      </c>
      <c r="VR96" s="200">
        <f t="shared" si="194"/>
        <v>805639</v>
      </c>
      <c r="VS96" s="200">
        <f t="shared" si="152"/>
        <v>4625262</v>
      </c>
      <c r="VT96" s="200">
        <f t="shared" si="153"/>
        <v>874673</v>
      </c>
      <c r="VU96" s="200">
        <f t="shared" si="154"/>
        <v>0</v>
      </c>
      <c r="VV96" s="200"/>
      <c r="VW96" s="182"/>
      <c r="VX96" s="200"/>
      <c r="VZ96" s="199">
        <f t="shared" si="195"/>
        <v>-116435</v>
      </c>
      <c r="WA96" s="199">
        <f t="shared" si="196"/>
        <v>-145.54374999999999</v>
      </c>
      <c r="WB96" s="131">
        <f t="shared" si="197"/>
        <v>-2.4555554688542942E-2</v>
      </c>
      <c r="WC96" s="131"/>
      <c r="WD96" s="461"/>
      <c r="WE96" s="893"/>
      <c r="WF96" s="893">
        <f t="shared" si="198"/>
        <v>8027.5112499999996</v>
      </c>
      <c r="WG96" s="893">
        <f t="shared" si="199"/>
        <v>7881.9674999999997</v>
      </c>
      <c r="WH96" s="893"/>
      <c r="WI96" s="893">
        <f t="shared" si="200"/>
        <v>4741697</v>
      </c>
      <c r="WJ96" s="893">
        <f t="shared" si="155"/>
        <v>4625262</v>
      </c>
      <c r="WK96" s="39" t="str">
        <f t="shared" si="156"/>
        <v/>
      </c>
      <c r="WL96" s="39" t="str">
        <f t="shared" si="157"/>
        <v/>
      </c>
      <c r="WM96" s="200" t="str">
        <f t="shared" si="158"/>
        <v/>
      </c>
      <c r="WN96" s="39" t="str">
        <f t="shared" si="159"/>
        <v/>
      </c>
      <c r="WO96" s="39"/>
      <c r="WP96" s="182"/>
      <c r="WQ96" s="39"/>
      <c r="WR96" s="305">
        <f t="shared" si="160"/>
        <v>0.38500000000000001</v>
      </c>
      <c r="WT96" s="200">
        <f t="shared" si="161"/>
        <v>5927.1212500000001</v>
      </c>
      <c r="WU96" s="131">
        <f t="shared" si="201"/>
        <v>0.31</v>
      </c>
      <c r="WW96" s="199">
        <f t="shared" si="162"/>
        <v>805639</v>
      </c>
      <c r="WX96" s="199">
        <f t="shared" si="163"/>
        <v>4625262</v>
      </c>
      <c r="WY96" s="199">
        <f t="shared" si="164"/>
        <v>0</v>
      </c>
      <c r="WZ96" s="199">
        <f t="shared" si="202"/>
        <v>4625262</v>
      </c>
      <c r="XA96" s="199">
        <f t="shared" si="165"/>
        <v>0</v>
      </c>
      <c r="XB96" s="199">
        <f t="shared" si="166"/>
        <v>874673</v>
      </c>
      <c r="XC96" s="199">
        <f t="shared" si="167"/>
        <v>874673</v>
      </c>
      <c r="XD96" s="199" t="str">
        <f t="shared" si="168"/>
        <v/>
      </c>
      <c r="XE96" s="199"/>
      <c r="XF96" s="199"/>
      <c r="XG96" s="199"/>
      <c r="XH96" s="199"/>
      <c r="XI96" s="199"/>
      <c r="XJ96" s="199">
        <f t="shared" si="203"/>
        <v>4625262</v>
      </c>
      <c r="XP96" s="199">
        <f t="shared" si="169"/>
        <v>4625262</v>
      </c>
      <c r="XQ96" s="199">
        <f t="shared" si="170"/>
        <v>5781.5775000000003</v>
      </c>
      <c r="XR96" s="199">
        <f t="shared" si="171"/>
        <v>4625262</v>
      </c>
      <c r="XS96" s="199">
        <f t="shared" si="172"/>
        <v>4625262</v>
      </c>
      <c r="XT96" s="199">
        <f t="shared" si="173"/>
        <v>5781.5775000000003</v>
      </c>
      <c r="XU96" s="199">
        <f t="shared" si="174"/>
        <v>4741697</v>
      </c>
      <c r="XV96" s="199">
        <f t="shared" si="175"/>
        <v>5927.1212500000001</v>
      </c>
      <c r="XW96" s="199">
        <f t="shared" si="176"/>
        <v>4741697</v>
      </c>
      <c r="XX96" s="199">
        <f t="shared" si="177"/>
        <v>5927.1212500000001</v>
      </c>
      <c r="XY96" s="199">
        <f t="shared" si="204"/>
        <v>-116435</v>
      </c>
      <c r="XZ96" s="199">
        <f t="shared" si="205"/>
        <v>-145.54374999999982</v>
      </c>
      <c r="YA96" s="131">
        <f t="shared" si="143"/>
        <v>-2.455555468854291E-2</v>
      </c>
      <c r="YB96" s="199"/>
      <c r="YC96" s="221"/>
      <c r="YD96" s="199"/>
      <c r="YE96" s="199">
        <f t="shared" si="178"/>
        <v>805639</v>
      </c>
      <c r="YF96" s="200">
        <f t="shared" si="179"/>
        <v>0</v>
      </c>
      <c r="YG96" s="199">
        <f t="shared" si="180"/>
        <v>874673</v>
      </c>
      <c r="YH96" s="199">
        <f t="shared" si="181"/>
        <v>446161</v>
      </c>
    </row>
    <row r="97" spans="1:658">
      <c r="A97" s="3">
        <v>363</v>
      </c>
      <c r="B97" s="2" t="s">
        <v>194</v>
      </c>
      <c r="C97" s="24">
        <v>1931</v>
      </c>
      <c r="D97" s="24">
        <v>0</v>
      </c>
      <c r="E97" s="24">
        <v>0</v>
      </c>
      <c r="F97" s="24">
        <v>0</v>
      </c>
      <c r="G97" s="24">
        <v>384516</v>
      </c>
      <c r="H97" s="24">
        <v>0</v>
      </c>
      <c r="I97" s="24">
        <v>0</v>
      </c>
      <c r="J97" s="24">
        <v>14355</v>
      </c>
      <c r="K97" s="24">
        <v>194585</v>
      </c>
      <c r="L97" s="24">
        <v>0</v>
      </c>
      <c r="M97" s="24">
        <v>0</v>
      </c>
      <c r="N97" s="24">
        <v>0</v>
      </c>
      <c r="O97" s="24">
        <v>0</v>
      </c>
      <c r="P97" s="24">
        <v>0</v>
      </c>
      <c r="Q97" s="24">
        <v>0</v>
      </c>
      <c r="R97" s="24">
        <v>15251</v>
      </c>
      <c r="S97" s="24">
        <v>0</v>
      </c>
      <c r="T97" s="24">
        <v>0</v>
      </c>
      <c r="U97" s="24">
        <v>0</v>
      </c>
      <c r="V97" s="24">
        <v>0</v>
      </c>
      <c r="W97" s="24">
        <v>0</v>
      </c>
      <c r="X97" s="24">
        <v>312129</v>
      </c>
      <c r="Y97" s="24">
        <v>4095</v>
      </c>
      <c r="Z97" s="24">
        <v>0</v>
      </c>
      <c r="AA97" s="24">
        <v>7467</v>
      </c>
      <c r="AB97" s="24">
        <v>0</v>
      </c>
      <c r="AC97" s="24">
        <v>0</v>
      </c>
      <c r="AD97" s="24">
        <v>0</v>
      </c>
      <c r="AE97" s="24">
        <v>0</v>
      </c>
      <c r="AF97" s="24">
        <v>0</v>
      </c>
      <c r="AG97" s="24">
        <v>0</v>
      </c>
      <c r="AH97" s="24">
        <v>0</v>
      </c>
      <c r="AI97" s="24">
        <v>0</v>
      </c>
      <c r="AJ97" s="24">
        <v>0</v>
      </c>
      <c r="AK97" s="24">
        <v>0</v>
      </c>
      <c r="AL97" s="24">
        <v>8399</v>
      </c>
      <c r="AM97" s="24">
        <v>0</v>
      </c>
      <c r="AN97" s="24">
        <v>0</v>
      </c>
      <c r="AO97" s="24">
        <v>0</v>
      </c>
      <c r="AP97" s="24">
        <v>0</v>
      </c>
      <c r="AQ97" s="24">
        <v>0</v>
      </c>
      <c r="AR97" s="24">
        <v>0</v>
      </c>
      <c r="AS97" s="24">
        <v>0</v>
      </c>
      <c r="AT97" s="24">
        <v>0</v>
      </c>
      <c r="AU97" s="24">
        <v>0</v>
      </c>
      <c r="AV97" s="24">
        <v>0</v>
      </c>
      <c r="AW97" s="24">
        <v>0</v>
      </c>
      <c r="AX97" s="24">
        <v>0</v>
      </c>
      <c r="AY97" s="24">
        <v>0</v>
      </c>
      <c r="AZ97" s="24">
        <v>0</v>
      </c>
      <c r="BA97" s="24">
        <v>0</v>
      </c>
      <c r="BB97" s="24">
        <v>0</v>
      </c>
      <c r="BC97" s="24">
        <v>0</v>
      </c>
      <c r="BD97" s="24">
        <v>0</v>
      </c>
      <c r="BE97" s="24">
        <v>0</v>
      </c>
      <c r="BF97" s="24">
        <v>0</v>
      </c>
      <c r="BG97" s="24">
        <v>0</v>
      </c>
      <c r="BH97" s="24">
        <v>0</v>
      </c>
      <c r="BI97" s="24">
        <v>0</v>
      </c>
      <c r="BJ97" s="24">
        <v>0</v>
      </c>
      <c r="BK97" s="24">
        <v>0</v>
      </c>
      <c r="BL97" s="24">
        <v>0</v>
      </c>
      <c r="BM97" s="24">
        <v>0</v>
      </c>
      <c r="BN97" s="24">
        <v>0</v>
      </c>
      <c r="BO97" s="24">
        <v>0</v>
      </c>
      <c r="BP97" s="24">
        <v>0</v>
      </c>
      <c r="BQ97" s="24">
        <v>0</v>
      </c>
      <c r="BR97" s="24">
        <v>0</v>
      </c>
      <c r="BS97" s="24">
        <v>0</v>
      </c>
      <c r="BT97" s="24">
        <v>0</v>
      </c>
      <c r="BU97" s="24">
        <v>0</v>
      </c>
      <c r="BV97" s="24">
        <v>0</v>
      </c>
      <c r="BW97" s="24">
        <v>0</v>
      </c>
      <c r="BX97" s="24">
        <v>0</v>
      </c>
      <c r="BY97" s="24">
        <v>0</v>
      </c>
      <c r="BZ97" s="24">
        <v>0</v>
      </c>
      <c r="CA97" s="24">
        <v>0</v>
      </c>
      <c r="CB97" s="24">
        <v>0</v>
      </c>
      <c r="CC97" s="24">
        <v>0</v>
      </c>
      <c r="CD97" s="24">
        <v>60200</v>
      </c>
      <c r="CE97" s="24">
        <v>0</v>
      </c>
      <c r="CF97" s="24">
        <v>0</v>
      </c>
      <c r="CG97" s="24">
        <v>0</v>
      </c>
      <c r="CH97" s="24">
        <v>0</v>
      </c>
      <c r="CI97" s="24">
        <v>0</v>
      </c>
      <c r="CJ97" s="24">
        <v>0</v>
      </c>
      <c r="CK97" s="24">
        <v>0</v>
      </c>
      <c r="CL97" s="24">
        <v>0</v>
      </c>
      <c r="CM97" s="24">
        <v>0</v>
      </c>
      <c r="CN97" s="24">
        <v>0</v>
      </c>
      <c r="CO97" s="24">
        <v>0</v>
      </c>
      <c r="CP97" s="24">
        <v>0</v>
      </c>
      <c r="CQ97" s="24">
        <v>0</v>
      </c>
      <c r="CR97" s="24">
        <v>0</v>
      </c>
      <c r="CS97" s="24">
        <v>0</v>
      </c>
      <c r="CT97" s="24">
        <v>0</v>
      </c>
      <c r="CU97" s="24">
        <v>0</v>
      </c>
      <c r="CV97" s="24">
        <v>0</v>
      </c>
      <c r="CW97" s="24">
        <v>0</v>
      </c>
      <c r="CX97" s="24">
        <v>0</v>
      </c>
      <c r="CY97" s="24">
        <v>0</v>
      </c>
      <c r="CZ97" s="24">
        <v>0</v>
      </c>
      <c r="DA97" s="24">
        <v>0</v>
      </c>
      <c r="DB97" s="24">
        <v>0</v>
      </c>
      <c r="DC97" s="24">
        <v>0</v>
      </c>
      <c r="DD97" s="24">
        <v>0</v>
      </c>
      <c r="DE97" s="24">
        <v>0</v>
      </c>
      <c r="DF97" s="24">
        <v>0</v>
      </c>
      <c r="DG97" s="24">
        <v>0</v>
      </c>
      <c r="DH97" s="24">
        <v>0</v>
      </c>
      <c r="DI97" s="24">
        <v>0</v>
      </c>
      <c r="DJ97" s="24">
        <v>0</v>
      </c>
      <c r="DK97" s="24">
        <v>0</v>
      </c>
      <c r="DL97" s="24">
        <v>0</v>
      </c>
      <c r="DM97" s="24">
        <v>0</v>
      </c>
      <c r="DN97" s="24">
        <v>0</v>
      </c>
      <c r="DO97" s="24">
        <v>0</v>
      </c>
      <c r="DP97" s="24">
        <v>0</v>
      </c>
      <c r="DQ97" s="24">
        <v>0</v>
      </c>
      <c r="DR97" s="24">
        <v>0</v>
      </c>
      <c r="DS97" s="24">
        <v>0</v>
      </c>
      <c r="DT97" s="24">
        <v>0</v>
      </c>
      <c r="DU97" s="24">
        <v>0</v>
      </c>
      <c r="DV97" s="24">
        <v>0</v>
      </c>
      <c r="DW97" s="24">
        <v>0</v>
      </c>
      <c r="DX97" s="24">
        <v>0</v>
      </c>
      <c r="DY97" s="24">
        <v>0</v>
      </c>
      <c r="DZ97" s="24">
        <v>0</v>
      </c>
      <c r="EA97" s="24">
        <v>0</v>
      </c>
      <c r="EB97" s="24">
        <v>0</v>
      </c>
      <c r="EC97" s="24">
        <v>0</v>
      </c>
      <c r="ED97" s="24">
        <v>0</v>
      </c>
      <c r="EE97" s="24">
        <v>0</v>
      </c>
      <c r="EF97" s="24">
        <v>0</v>
      </c>
      <c r="EG97" s="24">
        <v>0</v>
      </c>
      <c r="EH97" s="24">
        <v>0</v>
      </c>
      <c r="EI97" s="24">
        <v>0</v>
      </c>
      <c r="EJ97" s="24">
        <v>0</v>
      </c>
      <c r="EK97" s="24">
        <v>0</v>
      </c>
      <c r="EL97" s="24">
        <v>0</v>
      </c>
      <c r="EM97" s="24">
        <v>0</v>
      </c>
      <c r="EN97" s="24">
        <v>0</v>
      </c>
      <c r="EO97" s="24">
        <v>0</v>
      </c>
      <c r="EP97" s="24">
        <v>0</v>
      </c>
      <c r="EQ97" s="24">
        <v>0</v>
      </c>
      <c r="ER97" s="24">
        <v>0</v>
      </c>
      <c r="ES97" s="24">
        <v>0</v>
      </c>
      <c r="ET97" s="24">
        <v>0</v>
      </c>
      <c r="EU97" s="24">
        <v>0</v>
      </c>
      <c r="EV97" s="24">
        <v>0</v>
      </c>
      <c r="EW97" s="24">
        <v>0</v>
      </c>
      <c r="EX97" s="24">
        <v>0</v>
      </c>
      <c r="EY97" s="24">
        <v>0</v>
      </c>
      <c r="EZ97" s="24">
        <v>0</v>
      </c>
      <c r="FA97" s="24">
        <v>0</v>
      </c>
      <c r="FB97" s="24">
        <v>0</v>
      </c>
      <c r="FC97" s="24">
        <v>0</v>
      </c>
      <c r="FD97" s="24">
        <v>0</v>
      </c>
      <c r="FE97" s="24">
        <v>0</v>
      </c>
      <c r="FF97" s="24">
        <v>0</v>
      </c>
      <c r="FG97" s="24">
        <v>0</v>
      </c>
      <c r="FH97" s="24">
        <v>0</v>
      </c>
      <c r="FI97" s="24">
        <v>0</v>
      </c>
      <c r="FJ97" s="24">
        <v>0</v>
      </c>
      <c r="FK97" s="24">
        <v>0</v>
      </c>
      <c r="FL97" s="24">
        <v>0</v>
      </c>
      <c r="FM97" s="24">
        <v>0</v>
      </c>
      <c r="FN97" s="24">
        <v>0</v>
      </c>
      <c r="FO97" s="24">
        <v>0</v>
      </c>
      <c r="FP97" s="24">
        <v>0</v>
      </c>
      <c r="FQ97" s="24">
        <v>0</v>
      </c>
      <c r="FR97" s="24">
        <v>0</v>
      </c>
      <c r="FS97" s="24">
        <v>65013</v>
      </c>
      <c r="FT97" s="24">
        <v>0</v>
      </c>
      <c r="FU97" s="24">
        <v>0</v>
      </c>
      <c r="FV97" s="24">
        <v>38995</v>
      </c>
      <c r="FW97" s="24">
        <v>0</v>
      </c>
      <c r="FX97" s="24">
        <v>0</v>
      </c>
      <c r="FY97" s="24">
        <v>0</v>
      </c>
      <c r="FZ97" s="24">
        <v>0</v>
      </c>
      <c r="GA97" s="24">
        <v>0</v>
      </c>
      <c r="GB97" s="24">
        <v>0</v>
      </c>
      <c r="GC97" s="24">
        <v>0</v>
      </c>
      <c r="GD97" s="24">
        <v>0</v>
      </c>
      <c r="GE97" s="24">
        <v>0</v>
      </c>
      <c r="GF97" s="24">
        <v>0</v>
      </c>
      <c r="GG97" s="24">
        <v>0</v>
      </c>
      <c r="GH97" s="24">
        <v>0</v>
      </c>
      <c r="GI97" s="24">
        <v>0</v>
      </c>
      <c r="GJ97" s="24">
        <v>0</v>
      </c>
      <c r="GK97" s="24">
        <v>0</v>
      </c>
      <c r="GL97" s="24">
        <v>0</v>
      </c>
      <c r="GM97" s="24">
        <v>0</v>
      </c>
      <c r="GN97" s="24">
        <v>0</v>
      </c>
      <c r="GO97" s="24">
        <v>0</v>
      </c>
      <c r="GP97" s="24">
        <v>0</v>
      </c>
      <c r="GQ97" s="24">
        <v>0</v>
      </c>
      <c r="GR97" s="24">
        <v>1075</v>
      </c>
      <c r="GS97" s="24">
        <v>0</v>
      </c>
      <c r="GT97" s="24">
        <v>0</v>
      </c>
      <c r="GU97" s="24">
        <v>0</v>
      </c>
      <c r="GV97" s="24">
        <v>0</v>
      </c>
      <c r="GW97" s="24">
        <v>0</v>
      </c>
      <c r="GX97" s="24">
        <v>0</v>
      </c>
      <c r="GY97" s="24">
        <v>0</v>
      </c>
      <c r="GZ97" s="24">
        <v>0</v>
      </c>
      <c r="HA97" s="24">
        <v>0</v>
      </c>
      <c r="HB97" s="24">
        <v>0</v>
      </c>
      <c r="HC97" s="24">
        <v>0</v>
      </c>
      <c r="HD97" s="24">
        <v>3629914</v>
      </c>
      <c r="HE97" s="24">
        <v>0</v>
      </c>
      <c r="HF97" s="24">
        <v>0</v>
      </c>
      <c r="HG97" s="24">
        <v>0</v>
      </c>
      <c r="HH97" s="24">
        <v>0</v>
      </c>
      <c r="HI97" s="24">
        <v>192276</v>
      </c>
      <c r="HJ97" s="24">
        <v>0</v>
      </c>
      <c r="HK97" s="24">
        <v>0</v>
      </c>
      <c r="HL97" s="24">
        <v>0</v>
      </c>
      <c r="HM97" s="24">
        <v>0</v>
      </c>
      <c r="HN97" s="24">
        <v>0</v>
      </c>
      <c r="HO97" s="24">
        <v>466242</v>
      </c>
      <c r="HP97" s="24">
        <v>140056</v>
      </c>
      <c r="HQ97" s="24">
        <v>0</v>
      </c>
      <c r="HR97" s="24">
        <v>0</v>
      </c>
      <c r="HS97" s="24">
        <v>0</v>
      </c>
      <c r="HT97" s="24">
        <v>0</v>
      </c>
      <c r="HU97" s="24">
        <v>0</v>
      </c>
      <c r="HV97" s="24">
        <v>0</v>
      </c>
      <c r="HW97" s="24">
        <v>0</v>
      </c>
      <c r="HX97" s="24">
        <v>0</v>
      </c>
      <c r="HY97" s="24">
        <v>0</v>
      </c>
      <c r="HZ97" s="24">
        <v>0</v>
      </c>
      <c r="IA97" s="24">
        <v>46899</v>
      </c>
      <c r="IB97" s="24">
        <v>0</v>
      </c>
      <c r="IC97" s="24">
        <v>0</v>
      </c>
      <c r="ID97" s="24">
        <v>0</v>
      </c>
      <c r="IE97" s="24">
        <v>0</v>
      </c>
      <c r="IF97" s="24">
        <v>0</v>
      </c>
      <c r="IG97" s="24">
        <v>0</v>
      </c>
      <c r="IH97" s="24">
        <v>0</v>
      </c>
      <c r="II97" s="24">
        <v>0</v>
      </c>
      <c r="IJ97" s="24">
        <v>27359</v>
      </c>
      <c r="IK97" s="24">
        <v>0</v>
      </c>
      <c r="IL97" s="24">
        <v>0</v>
      </c>
      <c r="IM97" s="24">
        <v>0</v>
      </c>
      <c r="IN97" s="24">
        <v>0</v>
      </c>
      <c r="IO97" s="24">
        <v>0</v>
      </c>
      <c r="IP97" s="24">
        <v>0</v>
      </c>
      <c r="IQ97" s="24">
        <v>0</v>
      </c>
      <c r="IR97" s="24">
        <v>26515</v>
      </c>
      <c r="IS97" s="24">
        <v>0</v>
      </c>
      <c r="IT97" s="24">
        <v>0</v>
      </c>
      <c r="IU97" s="24">
        <v>0</v>
      </c>
      <c r="IV97" s="24">
        <v>0</v>
      </c>
      <c r="IW97" s="24">
        <v>50458</v>
      </c>
      <c r="IX97" s="24">
        <v>6552</v>
      </c>
      <c r="IY97" s="24">
        <v>0</v>
      </c>
      <c r="IZ97" s="24">
        <v>0</v>
      </c>
      <c r="JA97" s="24">
        <v>0</v>
      </c>
      <c r="JB97" s="24">
        <v>23958</v>
      </c>
      <c r="JC97" s="24">
        <v>0</v>
      </c>
      <c r="JD97" s="24">
        <v>0</v>
      </c>
      <c r="JE97" s="24">
        <v>24650</v>
      </c>
      <c r="JF97" s="24">
        <v>0</v>
      </c>
      <c r="JG97" s="24">
        <v>0</v>
      </c>
      <c r="JH97" s="24">
        <v>0</v>
      </c>
      <c r="JI97" s="24">
        <v>0</v>
      </c>
      <c r="JJ97" s="24">
        <v>0</v>
      </c>
      <c r="JK97" s="24">
        <v>0</v>
      </c>
      <c r="JL97" s="24">
        <v>0</v>
      </c>
      <c r="JM97" s="24">
        <v>0</v>
      </c>
      <c r="JN97" s="24">
        <v>0</v>
      </c>
      <c r="JO97" s="24">
        <v>0</v>
      </c>
      <c r="JP97" s="24">
        <v>0</v>
      </c>
      <c r="JQ97" s="24">
        <v>0</v>
      </c>
      <c r="JR97" s="24">
        <v>0</v>
      </c>
      <c r="JS97" s="24">
        <v>0</v>
      </c>
      <c r="JT97" s="24">
        <v>0</v>
      </c>
      <c r="JU97" s="24">
        <v>0</v>
      </c>
      <c r="JV97" s="24">
        <v>0</v>
      </c>
      <c r="JW97" s="24">
        <v>0</v>
      </c>
      <c r="JX97" s="24">
        <v>0</v>
      </c>
      <c r="JY97" s="24">
        <v>0</v>
      </c>
      <c r="JZ97" s="24">
        <v>0</v>
      </c>
      <c r="KA97" s="24">
        <v>0</v>
      </c>
      <c r="KB97" s="24">
        <v>0</v>
      </c>
      <c r="KC97" s="24">
        <v>0</v>
      </c>
      <c r="KD97" s="24">
        <v>0</v>
      </c>
      <c r="KE97" s="24">
        <v>0</v>
      </c>
      <c r="KF97" s="24">
        <v>0</v>
      </c>
      <c r="KG97" s="24">
        <v>0</v>
      </c>
      <c r="KH97" s="24">
        <v>0</v>
      </c>
      <c r="KI97" s="24">
        <v>0</v>
      </c>
      <c r="KJ97" s="24">
        <v>0</v>
      </c>
      <c r="KK97" s="24">
        <v>0</v>
      </c>
      <c r="KL97" s="24">
        <v>0</v>
      </c>
      <c r="KM97" s="24">
        <v>0</v>
      </c>
      <c r="KN97" s="24">
        <v>0</v>
      </c>
      <c r="KO97" s="24">
        <v>0</v>
      </c>
      <c r="KP97" s="24">
        <v>0</v>
      </c>
      <c r="KQ97" s="24">
        <v>0</v>
      </c>
      <c r="KR97" s="24">
        <v>0</v>
      </c>
      <c r="KS97" s="24">
        <v>12806</v>
      </c>
      <c r="KT97" s="24">
        <v>0</v>
      </c>
      <c r="KU97" s="24">
        <v>0</v>
      </c>
      <c r="KV97" s="24">
        <v>0</v>
      </c>
      <c r="KW97" s="24">
        <v>0</v>
      </c>
      <c r="KX97" s="24">
        <v>0</v>
      </c>
      <c r="KY97" s="24">
        <v>0</v>
      </c>
      <c r="KZ97" s="24">
        <v>0</v>
      </c>
      <c r="LA97" s="24">
        <v>0</v>
      </c>
      <c r="LB97" s="24">
        <v>0</v>
      </c>
      <c r="LC97" s="24">
        <v>0</v>
      </c>
      <c r="LD97" s="24">
        <v>0</v>
      </c>
      <c r="LE97" s="24">
        <v>0</v>
      </c>
      <c r="LF97" s="24">
        <v>0</v>
      </c>
      <c r="LG97" s="24">
        <v>0</v>
      </c>
      <c r="LH97" s="24">
        <v>0</v>
      </c>
      <c r="LI97" s="24">
        <v>0</v>
      </c>
      <c r="LJ97" s="24">
        <v>0</v>
      </c>
      <c r="LK97" s="24">
        <v>0</v>
      </c>
      <c r="LL97" s="24">
        <v>0</v>
      </c>
      <c r="LM97" s="24">
        <v>0</v>
      </c>
      <c r="LN97" s="24">
        <v>0</v>
      </c>
      <c r="LO97" s="24">
        <v>0</v>
      </c>
      <c r="LP97" s="24">
        <v>0</v>
      </c>
      <c r="LQ97" s="24">
        <v>244861</v>
      </c>
      <c r="LR97" s="24">
        <v>54904</v>
      </c>
      <c r="LS97" s="24">
        <v>0</v>
      </c>
      <c r="LT97" s="24">
        <v>0</v>
      </c>
      <c r="LU97" s="24">
        <v>0</v>
      </c>
      <c r="LV97" s="24">
        <v>0</v>
      </c>
      <c r="LW97" s="24">
        <v>0</v>
      </c>
      <c r="LX97" s="24">
        <v>0</v>
      </c>
      <c r="LY97" s="24">
        <v>0</v>
      </c>
      <c r="LZ97" s="24">
        <v>0</v>
      </c>
      <c r="MA97" s="24">
        <v>0</v>
      </c>
      <c r="MB97" s="24">
        <v>0</v>
      </c>
      <c r="MC97" s="24">
        <v>0</v>
      </c>
      <c r="MD97" s="24">
        <v>0</v>
      </c>
      <c r="ME97" s="24">
        <v>0</v>
      </c>
      <c r="MF97" s="24">
        <v>0</v>
      </c>
      <c r="MG97" s="24">
        <v>0</v>
      </c>
      <c r="MH97" s="24">
        <v>0</v>
      </c>
      <c r="MI97" s="24">
        <v>0</v>
      </c>
      <c r="MJ97" s="24">
        <v>0</v>
      </c>
      <c r="MK97" s="24">
        <v>0</v>
      </c>
      <c r="ML97" s="24">
        <v>0</v>
      </c>
      <c r="MM97" s="24">
        <v>0</v>
      </c>
      <c r="MN97" s="24">
        <v>18150</v>
      </c>
      <c r="MO97" s="24">
        <v>0</v>
      </c>
      <c r="MP97" s="24">
        <v>0</v>
      </c>
      <c r="MQ97" s="24">
        <v>0</v>
      </c>
      <c r="MR97" s="24">
        <v>396019</v>
      </c>
      <c r="MS97" s="24">
        <v>0</v>
      </c>
      <c r="MT97" s="24">
        <v>0</v>
      </c>
      <c r="MU97" s="24">
        <v>0</v>
      </c>
      <c r="MV97" s="24">
        <v>0</v>
      </c>
      <c r="MW97" s="24">
        <v>0</v>
      </c>
      <c r="MX97" s="24">
        <v>0</v>
      </c>
      <c r="MY97" s="24">
        <v>0</v>
      </c>
      <c r="MZ97" s="24">
        <v>0</v>
      </c>
      <c r="NA97" s="24">
        <v>0</v>
      </c>
      <c r="NB97" s="24">
        <v>0</v>
      </c>
      <c r="NC97" s="24">
        <v>0</v>
      </c>
      <c r="ND97" s="24">
        <v>0</v>
      </c>
      <c r="NE97" s="24">
        <v>0</v>
      </c>
      <c r="NF97" s="24">
        <v>0</v>
      </c>
      <c r="NG97" s="24">
        <v>0</v>
      </c>
      <c r="NH97" s="24">
        <v>0</v>
      </c>
      <c r="NI97" s="24">
        <v>0</v>
      </c>
      <c r="NJ97" s="24">
        <v>0</v>
      </c>
      <c r="NK97" s="24">
        <v>0</v>
      </c>
      <c r="NL97" s="24">
        <v>0</v>
      </c>
      <c r="NM97" s="24">
        <v>0</v>
      </c>
      <c r="NN97" s="24">
        <v>0</v>
      </c>
      <c r="NO97" s="24">
        <v>0</v>
      </c>
      <c r="NP97" s="24">
        <v>0</v>
      </c>
      <c r="NQ97" s="24">
        <v>0</v>
      </c>
      <c r="NR97" s="24">
        <v>0</v>
      </c>
      <c r="NS97" s="24">
        <v>0</v>
      </c>
      <c r="NT97" s="24">
        <v>0</v>
      </c>
      <c r="NU97" s="24">
        <v>12137</v>
      </c>
      <c r="NV97" s="24">
        <v>55042</v>
      </c>
      <c r="NW97" s="24">
        <v>49613</v>
      </c>
      <c r="NX97" s="24">
        <v>312585</v>
      </c>
      <c r="NY97" s="24">
        <v>0</v>
      </c>
      <c r="NZ97" s="24">
        <v>0</v>
      </c>
      <c r="OA97" s="24">
        <v>0</v>
      </c>
      <c r="OB97" s="24">
        <v>0</v>
      </c>
      <c r="OC97" s="24">
        <v>0</v>
      </c>
      <c r="OD97" s="24">
        <v>0</v>
      </c>
      <c r="OE97" s="24">
        <v>0</v>
      </c>
      <c r="OF97" s="24">
        <v>0</v>
      </c>
      <c r="OG97" s="24">
        <v>0</v>
      </c>
      <c r="OH97" s="24">
        <v>0</v>
      </c>
      <c r="OI97" s="24">
        <v>8132</v>
      </c>
      <c r="OJ97" s="24">
        <v>0</v>
      </c>
      <c r="OK97" s="24">
        <v>72122</v>
      </c>
      <c r="OL97" s="24">
        <v>0</v>
      </c>
      <c r="OM97" s="24">
        <v>0</v>
      </c>
      <c r="ON97" s="24">
        <v>10019</v>
      </c>
      <c r="OO97" s="24">
        <v>0</v>
      </c>
      <c r="OP97" s="24">
        <v>0</v>
      </c>
      <c r="OQ97" s="24">
        <v>0</v>
      </c>
      <c r="OR97" s="24">
        <v>0</v>
      </c>
      <c r="OS97" s="24">
        <v>0</v>
      </c>
      <c r="OT97" s="24">
        <v>0</v>
      </c>
      <c r="OU97" s="24">
        <v>0</v>
      </c>
      <c r="OV97" s="24">
        <v>0</v>
      </c>
      <c r="OW97" s="24">
        <v>0</v>
      </c>
      <c r="OX97" s="24">
        <v>0</v>
      </c>
      <c r="OY97" s="24">
        <v>0</v>
      </c>
      <c r="OZ97" s="24">
        <v>0</v>
      </c>
      <c r="PA97" s="24">
        <v>0</v>
      </c>
      <c r="PB97" s="24">
        <v>0</v>
      </c>
      <c r="PC97" s="24">
        <v>0</v>
      </c>
      <c r="PD97" s="24">
        <v>0</v>
      </c>
      <c r="PE97" s="24">
        <v>0</v>
      </c>
      <c r="PF97" s="24">
        <v>0</v>
      </c>
      <c r="PG97" s="24">
        <v>0</v>
      </c>
      <c r="PH97" s="24">
        <v>149655</v>
      </c>
      <c r="PI97" s="24">
        <v>0</v>
      </c>
      <c r="PJ97" s="24">
        <v>0</v>
      </c>
      <c r="PK97" s="24">
        <v>0</v>
      </c>
      <c r="PL97" s="24">
        <v>0</v>
      </c>
      <c r="PM97" s="24">
        <v>0</v>
      </c>
      <c r="PN97" s="24">
        <v>0</v>
      </c>
      <c r="PO97" s="24">
        <v>0</v>
      </c>
      <c r="PP97" s="24">
        <v>0</v>
      </c>
      <c r="PQ97" s="24">
        <v>0</v>
      </c>
      <c r="PR97" s="24">
        <v>0</v>
      </c>
      <c r="PS97" s="24">
        <v>0</v>
      </c>
      <c r="PT97" s="24">
        <v>207606</v>
      </c>
      <c r="PU97" s="24">
        <v>0</v>
      </c>
      <c r="PV97" s="24">
        <v>0</v>
      </c>
      <c r="PW97" s="24">
        <v>25445</v>
      </c>
      <c r="PX97" s="24">
        <v>0</v>
      </c>
      <c r="PY97" s="24">
        <v>0</v>
      </c>
      <c r="PZ97" s="24">
        <v>0</v>
      </c>
      <c r="QA97" s="24">
        <v>0</v>
      </c>
      <c r="QB97" s="24">
        <v>0</v>
      </c>
      <c r="QC97" s="24">
        <v>0</v>
      </c>
      <c r="QD97" s="24">
        <v>0</v>
      </c>
      <c r="QE97" s="24">
        <v>0</v>
      </c>
      <c r="QF97" s="24">
        <v>0</v>
      </c>
      <c r="QG97" s="24">
        <v>0</v>
      </c>
      <c r="QH97" s="24">
        <v>0</v>
      </c>
      <c r="QI97" s="24">
        <v>0</v>
      </c>
      <c r="QJ97" s="24">
        <v>0</v>
      </c>
      <c r="QK97" s="24">
        <v>0</v>
      </c>
      <c r="QL97" s="24">
        <v>0</v>
      </c>
      <c r="QM97" s="24">
        <v>0</v>
      </c>
      <c r="QN97" s="24">
        <v>0</v>
      </c>
      <c r="QO97" s="24">
        <v>0</v>
      </c>
      <c r="QP97" s="24">
        <v>0</v>
      </c>
      <c r="QQ97" s="24">
        <v>0</v>
      </c>
      <c r="QR97" s="24">
        <v>0</v>
      </c>
      <c r="QS97" s="24">
        <v>9702</v>
      </c>
      <c r="QT97" s="24">
        <v>0</v>
      </c>
      <c r="QU97" s="24">
        <v>0</v>
      </c>
      <c r="QV97" s="24">
        <v>244250</v>
      </c>
      <c r="QW97" s="24">
        <v>73654</v>
      </c>
      <c r="QX97" s="24">
        <v>0</v>
      </c>
      <c r="QY97" s="24">
        <v>0</v>
      </c>
      <c r="QZ97" s="24">
        <v>0</v>
      </c>
      <c r="RA97" s="24">
        <v>0</v>
      </c>
      <c r="RB97" s="24">
        <v>0</v>
      </c>
      <c r="RG97" s="39">
        <f t="shared" si="129"/>
        <v>3629914</v>
      </c>
      <c r="RH97" s="39">
        <f t="shared" si="206"/>
        <v>192276</v>
      </c>
      <c r="RI97" s="39">
        <f t="shared" si="206"/>
        <v>0</v>
      </c>
      <c r="RJ97" s="39">
        <f t="shared" si="206"/>
        <v>0</v>
      </c>
      <c r="RK97" s="39">
        <f t="shared" si="206"/>
        <v>0</v>
      </c>
      <c r="RL97" s="39">
        <f t="shared" si="206"/>
        <v>466242</v>
      </c>
      <c r="RM97" s="39">
        <f t="shared" si="206"/>
        <v>214314</v>
      </c>
      <c r="RN97" s="39">
        <f t="shared" si="206"/>
        <v>0</v>
      </c>
      <c r="RO97" s="39">
        <f t="shared" si="206"/>
        <v>26515</v>
      </c>
      <c r="RP97" s="39">
        <f t="shared" si="206"/>
        <v>57010</v>
      </c>
      <c r="RQ97" s="39">
        <f t="shared" si="206"/>
        <v>23958</v>
      </c>
      <c r="RR97" s="39">
        <f t="shared" si="206"/>
        <v>24650</v>
      </c>
      <c r="RS97" s="39"/>
      <c r="RT97" s="182"/>
      <c r="RU97" s="39"/>
      <c r="RV97" s="39">
        <f t="shared" si="182"/>
        <v>1246390</v>
      </c>
      <c r="RW97" s="39">
        <f t="shared" si="182"/>
        <v>4634879</v>
      </c>
      <c r="RX97" s="39">
        <f t="shared" si="182"/>
        <v>1108011</v>
      </c>
      <c r="RY97" s="39">
        <f t="shared" si="182"/>
        <v>710312</v>
      </c>
      <c r="RZ97" s="39"/>
      <c r="SA97" s="182"/>
      <c r="SB97" s="39"/>
      <c r="SC97" s="25">
        <f t="shared" si="183"/>
        <v>1431.5387596899225</v>
      </c>
      <c r="SD97" s="39">
        <f>IFERROR(VLOOKUP(A97, 'Levy Data 15-16'!$B:$O, 3, FALSE), 0)</f>
        <v>227571248</v>
      </c>
      <c r="SE97" s="39">
        <f t="shared" si="144"/>
        <v>294019.7002583979</v>
      </c>
      <c r="SF97" s="631">
        <f>IFERROR(VLOOKUP(A97, 'Levy Data 15-16'!$B:$O, 14, FALSE), 0)*1000</f>
        <v>4.0787129999999996</v>
      </c>
      <c r="SG97" s="39">
        <f t="shared" si="145"/>
        <v>0</v>
      </c>
      <c r="SH97" s="39">
        <f t="shared" si="146"/>
        <v>0</v>
      </c>
      <c r="SI97" s="39">
        <f t="shared" si="147"/>
        <v>1108011</v>
      </c>
      <c r="SM97" s="39">
        <f t="shared" si="148"/>
        <v>4634879</v>
      </c>
      <c r="SN97" s="39">
        <f t="shared" si="149"/>
        <v>0</v>
      </c>
      <c r="SO97" s="39">
        <f t="shared" si="184"/>
        <v>4634879</v>
      </c>
      <c r="SP97" s="50">
        <f t="shared" si="130"/>
        <v>1</v>
      </c>
      <c r="ST97" s="124">
        <f>IFERROR(VLOOKUP(A97,'Grade Enroll 15-16'!B:AC,27,FALSE),"")</f>
        <v>774</v>
      </c>
      <c r="SU97" s="124">
        <f t="shared" si="185"/>
        <v>513.80825242718447</v>
      </c>
      <c r="SV97" s="131">
        <f>IFERROR(VLOOKUP($A97, 'Title I Enroll 16-17'!S:V, 4, FALSE), 0)</f>
        <v>0.66383495145631066</v>
      </c>
      <c r="SW97" s="729">
        <f>IFERROR(VLOOKUP(A97, 'ELL Enroll 15-16'!$N:$S, 6, FALSE), 0)</f>
        <v>233</v>
      </c>
      <c r="SX97" s="131">
        <f t="shared" si="131"/>
        <v>0.30103359173126615</v>
      </c>
      <c r="SY97" s="124">
        <f>IFERROR(VLOOKUP(A97, 'SPED enroll 2015-16'!$M:$O, 3, FALSE), 0)</f>
        <v>86</v>
      </c>
      <c r="SZ97" s="131">
        <f t="shared" si="132"/>
        <v>0.1111111111111111</v>
      </c>
      <c r="TA97" s="142">
        <f t="shared" ref="TA97:TD124" si="207">$SY97*TA$8</f>
        <v>60.199999999999996</v>
      </c>
      <c r="TB97" s="142">
        <f t="shared" si="207"/>
        <v>17.2</v>
      </c>
      <c r="TC97" s="142">
        <f t="shared" si="207"/>
        <v>6.0200000000000005</v>
      </c>
      <c r="TD97" s="142">
        <f t="shared" si="207"/>
        <v>2.58</v>
      </c>
      <c r="TE97" s="124">
        <f>VLOOKUP($A97, 'Grade Enroll 15-16'!$B:$AB, 20, FALSE)</f>
        <v>0</v>
      </c>
      <c r="TF97" s="124">
        <f>VLOOKUP($A97, 'Grade Enroll 15-16'!$B:$AB, 21, FALSE)</f>
        <v>55</v>
      </c>
      <c r="TG97" s="124">
        <f>VLOOKUP($A97, 'Grade Enroll 15-16'!$B:$AB, 22, FALSE)</f>
        <v>186</v>
      </c>
      <c r="TH97" s="124">
        <f>VLOOKUP($A97, 'Grade Enroll 15-16'!$B:$AB, 23, FALSE)</f>
        <v>189</v>
      </c>
      <c r="TI97" s="124">
        <f>VLOOKUP($A97, 'Grade Enroll 15-16'!$B:$AB, 24, FALSE)</f>
        <v>152</v>
      </c>
      <c r="TJ97" s="124">
        <f>VLOOKUP($A97, 'Grade Enroll 15-16'!$B:$AB, 25, FALSE)</f>
        <v>247</v>
      </c>
      <c r="TK97" s="124">
        <f>VLOOKUP($A97, 'Grade Enroll 15-16'!$B:$AB, 26, FALSE)</f>
        <v>553</v>
      </c>
      <c r="TL97" s="131">
        <f>SUMIFS('Student Achievement 15-16'!N:N, 'Student Achievement 15-16'!B:B, 'Idaho Data'!A97, 'Student Achievement 15-16'!D:D, "math")/100</f>
        <v>0.40600000000000003</v>
      </c>
      <c r="TM97" s="134">
        <f t="shared" si="186"/>
        <v>314.24400000000003</v>
      </c>
      <c r="TN97" s="131">
        <f>SUMIFS('Student Achievement 15-16'!N:N, 'Student Achievement 15-16'!B:B, 'Idaho Data'!A97, 'Student Achievement 15-16'!D:D, "ela")/100</f>
        <v>0.34399999999999997</v>
      </c>
      <c r="TO97" s="134">
        <f t="shared" si="134"/>
        <v>266.25599999999997</v>
      </c>
      <c r="TP97" s="688">
        <f>IFERROR(VLOOKUP(A97, 'G&amp;T 15-16'!B:G, 6, FALSE), 0)*1</f>
        <v>39</v>
      </c>
      <c r="TQ97" s="168">
        <f t="shared" si="135"/>
        <v>46.44</v>
      </c>
      <c r="TU97" s="168">
        <f t="shared" si="136"/>
        <v>266.25599999999997</v>
      </c>
      <c r="TV97" s="168">
        <f t="shared" si="137"/>
        <v>314.24400000000003</v>
      </c>
      <c r="TW97" s="205">
        <f t="shared" si="138"/>
        <v>314.24400000000003</v>
      </c>
      <c r="TX97" s="144"/>
      <c r="TY97" s="129"/>
      <c r="TZ97" s="127">
        <f t="shared" si="139"/>
        <v>39</v>
      </c>
      <c r="UA97" s="127">
        <f t="shared" si="140"/>
        <v>46.44</v>
      </c>
      <c r="UB97" s="205">
        <f t="shared" si="141"/>
        <v>46.44</v>
      </c>
      <c r="UE97" s="853" t="str">
        <f>IF(ST97&lt;='1. Simulator Input'!$E$104, "yes", "")</f>
        <v/>
      </c>
      <c r="UI97" s="199">
        <f t="shared" si="187"/>
        <v>0</v>
      </c>
      <c r="UJ97" s="200">
        <f>IF('Idaho Data'!SI97&gt;=0, ((1-'1. Simulator Input'!$E$39)*'Idaho Data'!SI97), 0)</f>
        <v>0</v>
      </c>
      <c r="UK97" s="200">
        <f t="shared" si="142"/>
        <v>4634879</v>
      </c>
      <c r="UL97" s="39"/>
      <c r="UM97" s="182"/>
      <c r="UN97" s="39"/>
      <c r="UO97" s="39" t="str">
        <f>IF(AND('1. Simulator Input'!$E$96="yes", '1. Simulator Input'!$E$98="yes", '1. Simulator Input'!$E$100="hold harmless"), 'Idaho Data'!WN97, IF(AND('1. Simulator Input'!$E$96="yes", '1. Simulator Input'!$E$98="no", '1. Simulator Input'!$E$100="hold harmless"), 'Idaho Data'!WM97, IF(AND('1. Simulator Input'!$E$96="yes", '1. Simulator Input'!$E$98="yes", '1. Simulator Input'!$E$100="small district grant"), WL97,IF(AND('1. Simulator Input'!$E$96="yes", '1. Simulator Input'!$E$98="no", '1. Simulator Input'!$E$100="small district grant"), WK97, ""))))</f>
        <v/>
      </c>
      <c r="UP97" s="200">
        <f>'1. Simulator Input'!$D$56*('Idaho Data'!ST97)</f>
        <v>4277124</v>
      </c>
      <c r="UQ97" s="204">
        <f>'1. Simulator Input'!$D$65*'1. Simulator Input'!$D$56*'Idaho Data'!SU97</f>
        <v>0</v>
      </c>
      <c r="UR97" s="204">
        <f>'1. Simulator Input'!$D$66*'1. Simulator Input'!$D$56*'Idaho Data'!SW97</f>
        <v>0</v>
      </c>
      <c r="US97" s="200">
        <f>'1. Simulator Input'!$D$67*'1. Simulator Input'!$D$56*'Idaho Data'!TA97</f>
        <v>0</v>
      </c>
      <c r="UT97" s="200">
        <f>'1. Simulator Input'!$D$68*'1. Simulator Input'!$D$56*'Idaho Data'!TB97</f>
        <v>0</v>
      </c>
      <c r="UU97" s="200">
        <f>'1. Simulator Input'!$D$69*'1. Simulator Input'!$D$56*'Idaho Data'!TC97</f>
        <v>0</v>
      </c>
      <c r="UV97" s="200">
        <f>'1. Simulator Input'!$D$70*'1. Simulator Input'!$D$56*TD97</f>
        <v>0</v>
      </c>
      <c r="UW97" s="200">
        <f>'1. Simulator Input'!$D$80*'1. Simulator Input'!$D$56*TW97</f>
        <v>0</v>
      </c>
      <c r="UX97" s="200">
        <f>'1. Simulator Input'!$D$79*'1. Simulator Input'!$D$56*UB97</f>
        <v>0</v>
      </c>
      <c r="UY97" s="200">
        <f>'1. Simulator Input'!$D$87*'1. Simulator Input'!$D$56*TF97</f>
        <v>151965</v>
      </c>
      <c r="UZ97" s="200">
        <f>'1. Simulator Input'!$D$73*'1. Simulator Input'!$D$56*'Idaho Data'!TG97</f>
        <v>0</v>
      </c>
      <c r="VA97" s="200">
        <f>'1. Simulator Input'!$D$56*'1. Simulator Input'!$D$74*'Idaho Data'!TH97</f>
        <v>0</v>
      </c>
      <c r="VB97" s="200">
        <f>'1. Simulator Input'!$D$56*'1. Simulator Input'!$D$75*'Idaho Data'!TI92</f>
        <v>0</v>
      </c>
      <c r="VC97" s="200">
        <f>'1. Simulator Input'!$D$76*'1. Simulator Input'!$D$56*'Idaho Data'!TJ97</f>
        <v>0</v>
      </c>
      <c r="VD97" s="200">
        <f t="shared" si="188"/>
        <v>4429089</v>
      </c>
      <c r="VE97" s="200"/>
      <c r="VF97" s="182"/>
      <c r="VG97" s="200"/>
      <c r="VH97" s="200">
        <f t="shared" si="189"/>
        <v>0</v>
      </c>
      <c r="VI97" s="200">
        <f t="shared" si="190"/>
        <v>0</v>
      </c>
      <c r="VJ97" s="200">
        <f t="shared" si="150"/>
        <v>4429089</v>
      </c>
      <c r="VK97" s="200">
        <f t="shared" si="151"/>
        <v>4429089</v>
      </c>
      <c r="VL97" s="200"/>
      <c r="VM97" s="182"/>
      <c r="VN97" s="200"/>
      <c r="VO97" s="200">
        <f t="shared" si="191"/>
        <v>1246390</v>
      </c>
      <c r="VP97" s="200">
        <f t="shared" si="192"/>
        <v>4634879</v>
      </c>
      <c r="VQ97" s="200">
        <f t="shared" si="193"/>
        <v>1108011</v>
      </c>
      <c r="VR97" s="200">
        <f t="shared" si="194"/>
        <v>1246390</v>
      </c>
      <c r="VS97" s="200">
        <f t="shared" si="152"/>
        <v>4429089</v>
      </c>
      <c r="VT97" s="200">
        <f t="shared" si="153"/>
        <v>1108011</v>
      </c>
      <c r="VU97" s="200">
        <f t="shared" si="154"/>
        <v>0</v>
      </c>
      <c r="VV97" s="200"/>
      <c r="VW97" s="182"/>
      <c r="VX97" s="200"/>
      <c r="VZ97" s="199">
        <f t="shared" si="195"/>
        <v>-205790</v>
      </c>
      <c r="WA97" s="199">
        <f t="shared" si="196"/>
        <v>-265.87855297157626</v>
      </c>
      <c r="WB97" s="131">
        <f t="shared" si="197"/>
        <v>-4.4400296102659852E-2</v>
      </c>
      <c r="WC97" s="131"/>
      <c r="WD97" s="461"/>
      <c r="WE97" s="893"/>
      <c r="WF97" s="893">
        <f t="shared" si="198"/>
        <v>9030.0775193798454</v>
      </c>
      <c r="WG97" s="893">
        <f t="shared" si="199"/>
        <v>8764.1989664082685</v>
      </c>
      <c r="WH97" s="893"/>
      <c r="WI97" s="893">
        <f t="shared" si="200"/>
        <v>4634879</v>
      </c>
      <c r="WJ97" s="893">
        <f t="shared" si="155"/>
        <v>4429089</v>
      </c>
      <c r="WK97" s="39" t="str">
        <f t="shared" si="156"/>
        <v/>
      </c>
      <c r="WL97" s="39" t="str">
        <f t="shared" si="157"/>
        <v/>
      </c>
      <c r="WM97" s="200" t="str">
        <f t="shared" si="158"/>
        <v/>
      </c>
      <c r="WN97" s="39" t="str">
        <f t="shared" si="159"/>
        <v/>
      </c>
      <c r="WO97" s="39"/>
      <c r="WP97" s="182"/>
      <c r="WQ97" s="39"/>
      <c r="WR97" s="305">
        <f t="shared" si="160"/>
        <v>0.23599999999999999</v>
      </c>
      <c r="WT97" s="200">
        <f t="shared" si="161"/>
        <v>5988.2157622739014</v>
      </c>
      <c r="WU97" s="131">
        <f t="shared" si="201"/>
        <v>0.34</v>
      </c>
      <c r="WW97" s="199">
        <f t="shared" si="162"/>
        <v>1246390</v>
      </c>
      <c r="WX97" s="199">
        <f t="shared" si="163"/>
        <v>4429089</v>
      </c>
      <c r="WY97" s="199">
        <f t="shared" si="164"/>
        <v>0</v>
      </c>
      <c r="WZ97" s="199">
        <f t="shared" si="202"/>
        <v>4429089</v>
      </c>
      <c r="XA97" s="199">
        <f t="shared" si="165"/>
        <v>0</v>
      </c>
      <c r="XB97" s="199">
        <f t="shared" si="166"/>
        <v>1108011</v>
      </c>
      <c r="XC97" s="199">
        <f t="shared" si="167"/>
        <v>1108011</v>
      </c>
      <c r="XD97" s="199" t="str">
        <f t="shared" si="168"/>
        <v/>
      </c>
      <c r="XE97" s="199"/>
      <c r="XF97" s="199"/>
      <c r="XG97" s="199"/>
      <c r="XH97" s="199"/>
      <c r="XI97" s="199"/>
      <c r="XJ97" s="199">
        <f t="shared" si="203"/>
        <v>4429089</v>
      </c>
      <c r="XP97" s="199">
        <f t="shared" si="169"/>
        <v>4429089</v>
      </c>
      <c r="XQ97" s="199">
        <f t="shared" si="170"/>
        <v>5722.3372093023254</v>
      </c>
      <c r="XR97" s="199">
        <f t="shared" si="171"/>
        <v>4429089</v>
      </c>
      <c r="XS97" s="199">
        <f t="shared" si="172"/>
        <v>4429089</v>
      </c>
      <c r="XT97" s="199">
        <f t="shared" si="173"/>
        <v>5722.3372093023254</v>
      </c>
      <c r="XU97" s="199">
        <f t="shared" si="174"/>
        <v>4634879</v>
      </c>
      <c r="XV97" s="199">
        <f t="shared" si="175"/>
        <v>5988.2157622739014</v>
      </c>
      <c r="XW97" s="199">
        <f t="shared" si="176"/>
        <v>4634879</v>
      </c>
      <c r="XX97" s="199">
        <f t="shared" si="177"/>
        <v>5988.2157622739014</v>
      </c>
      <c r="XY97" s="199">
        <f t="shared" si="204"/>
        <v>-205790</v>
      </c>
      <c r="XZ97" s="199">
        <f t="shared" si="205"/>
        <v>-265.87855297157603</v>
      </c>
      <c r="YA97" s="131">
        <f t="shared" si="143"/>
        <v>-4.4400296102659824E-2</v>
      </c>
      <c r="YB97" s="199"/>
      <c r="YC97" s="221"/>
      <c r="YD97" s="199"/>
      <c r="YE97" s="199">
        <f t="shared" si="178"/>
        <v>1246390</v>
      </c>
      <c r="YF97" s="200">
        <f t="shared" si="179"/>
        <v>0</v>
      </c>
      <c r="YG97" s="199">
        <f t="shared" si="180"/>
        <v>1108011</v>
      </c>
      <c r="YH97" s="199">
        <f t="shared" si="181"/>
        <v>710312</v>
      </c>
    </row>
    <row r="98" spans="1:658">
      <c r="A98" s="3">
        <v>364</v>
      </c>
      <c r="B98" s="2" t="s">
        <v>195</v>
      </c>
      <c r="C98" s="24">
        <v>209</v>
      </c>
      <c r="D98" s="24">
        <v>0</v>
      </c>
      <c r="E98" s="24">
        <v>0</v>
      </c>
      <c r="F98" s="24">
        <v>0</v>
      </c>
      <c r="G98" s="24">
        <v>0</v>
      </c>
      <c r="H98" s="24">
        <v>0</v>
      </c>
      <c r="I98" s="24">
        <v>0</v>
      </c>
      <c r="J98" s="24">
        <v>12816</v>
      </c>
      <c r="K98" s="24">
        <v>0</v>
      </c>
      <c r="L98" s="24">
        <v>0</v>
      </c>
      <c r="M98" s="24">
        <v>0</v>
      </c>
      <c r="N98" s="24">
        <v>0</v>
      </c>
      <c r="O98" s="24">
        <v>0</v>
      </c>
      <c r="P98" s="24">
        <v>0</v>
      </c>
      <c r="Q98" s="24">
        <v>0</v>
      </c>
      <c r="R98" s="24">
        <v>0</v>
      </c>
      <c r="S98" s="24">
        <v>0</v>
      </c>
      <c r="T98" s="24">
        <v>0</v>
      </c>
      <c r="U98" s="24">
        <v>0</v>
      </c>
      <c r="V98" s="24">
        <v>0</v>
      </c>
      <c r="W98" s="24">
        <v>0</v>
      </c>
      <c r="X98" s="24">
        <v>0</v>
      </c>
      <c r="Y98" s="24">
        <v>0</v>
      </c>
      <c r="Z98" s="24">
        <v>0</v>
      </c>
      <c r="AA98" s="24">
        <v>0</v>
      </c>
      <c r="AB98" s="24">
        <v>0</v>
      </c>
      <c r="AC98" s="24">
        <v>0</v>
      </c>
      <c r="AD98" s="24">
        <v>0</v>
      </c>
      <c r="AE98" s="24">
        <v>0</v>
      </c>
      <c r="AF98" s="24">
        <v>0</v>
      </c>
      <c r="AG98" s="24">
        <v>0</v>
      </c>
      <c r="AH98" s="24">
        <v>0</v>
      </c>
      <c r="AI98" s="24">
        <v>0</v>
      </c>
      <c r="AJ98" s="24">
        <v>0</v>
      </c>
      <c r="AK98" s="24">
        <v>0</v>
      </c>
      <c r="AL98" s="24">
        <v>419</v>
      </c>
      <c r="AM98" s="24">
        <v>0</v>
      </c>
      <c r="AN98" s="24">
        <v>0</v>
      </c>
      <c r="AO98" s="24">
        <v>0</v>
      </c>
      <c r="AP98" s="24">
        <v>0</v>
      </c>
      <c r="AQ98" s="24">
        <v>0</v>
      </c>
      <c r="AR98" s="24">
        <v>0</v>
      </c>
      <c r="AS98" s="24">
        <v>0</v>
      </c>
      <c r="AT98" s="24">
        <v>0</v>
      </c>
      <c r="AU98" s="24">
        <v>0</v>
      </c>
      <c r="AV98" s="24">
        <v>0</v>
      </c>
      <c r="AW98" s="24">
        <v>0</v>
      </c>
      <c r="AX98" s="24">
        <v>0</v>
      </c>
      <c r="AY98" s="24">
        <v>0</v>
      </c>
      <c r="AZ98" s="24">
        <v>0</v>
      </c>
      <c r="BA98" s="24">
        <v>0</v>
      </c>
      <c r="BB98" s="24">
        <v>0</v>
      </c>
      <c r="BC98" s="24">
        <v>0</v>
      </c>
      <c r="BD98" s="24">
        <v>0</v>
      </c>
      <c r="BE98" s="24">
        <v>0</v>
      </c>
      <c r="BF98" s="24">
        <v>3</v>
      </c>
      <c r="BG98" s="24">
        <v>0</v>
      </c>
      <c r="BH98" s="24">
        <v>0</v>
      </c>
      <c r="BI98" s="24">
        <v>0</v>
      </c>
      <c r="BJ98" s="24">
        <v>0</v>
      </c>
      <c r="BK98" s="24">
        <v>0</v>
      </c>
      <c r="BL98" s="24">
        <v>0</v>
      </c>
      <c r="BM98" s="24">
        <v>0</v>
      </c>
      <c r="BN98" s="24">
        <v>0</v>
      </c>
      <c r="BO98" s="24">
        <v>0</v>
      </c>
      <c r="BP98" s="24">
        <v>0</v>
      </c>
      <c r="BQ98" s="24">
        <v>0</v>
      </c>
      <c r="BR98" s="24">
        <v>0</v>
      </c>
      <c r="BS98" s="24">
        <v>0</v>
      </c>
      <c r="BT98" s="24">
        <v>0</v>
      </c>
      <c r="BU98" s="24">
        <v>0</v>
      </c>
      <c r="BV98" s="24">
        <v>0</v>
      </c>
      <c r="BW98" s="24">
        <v>0</v>
      </c>
      <c r="BX98" s="24">
        <v>0</v>
      </c>
      <c r="BY98" s="24">
        <v>0</v>
      </c>
      <c r="BZ98" s="24">
        <v>0</v>
      </c>
      <c r="CA98" s="24">
        <v>0</v>
      </c>
      <c r="CB98" s="24">
        <v>0</v>
      </c>
      <c r="CC98" s="24">
        <v>0</v>
      </c>
      <c r="CD98" s="24">
        <v>0</v>
      </c>
      <c r="CE98" s="24">
        <v>0</v>
      </c>
      <c r="CF98" s="24">
        <v>0</v>
      </c>
      <c r="CG98" s="24">
        <v>0</v>
      </c>
      <c r="CH98" s="24">
        <v>0</v>
      </c>
      <c r="CI98" s="24">
        <v>0</v>
      </c>
      <c r="CJ98" s="24">
        <v>0</v>
      </c>
      <c r="CK98" s="24">
        <v>0</v>
      </c>
      <c r="CL98" s="24">
        <v>0</v>
      </c>
      <c r="CM98" s="24">
        <v>0</v>
      </c>
      <c r="CN98" s="24">
        <v>0</v>
      </c>
      <c r="CO98" s="24">
        <v>0</v>
      </c>
      <c r="CP98" s="24">
        <v>0</v>
      </c>
      <c r="CQ98" s="24">
        <v>0</v>
      </c>
      <c r="CR98" s="24">
        <v>0</v>
      </c>
      <c r="CS98" s="24">
        <v>0</v>
      </c>
      <c r="CT98" s="24">
        <v>0</v>
      </c>
      <c r="CU98" s="24">
        <v>0</v>
      </c>
      <c r="CV98" s="24">
        <v>0</v>
      </c>
      <c r="CW98" s="24">
        <v>0</v>
      </c>
      <c r="CX98" s="24">
        <v>0</v>
      </c>
      <c r="CY98" s="24">
        <v>0</v>
      </c>
      <c r="CZ98" s="24">
        <v>0</v>
      </c>
      <c r="DA98" s="24">
        <v>0</v>
      </c>
      <c r="DB98" s="24">
        <v>0</v>
      </c>
      <c r="DC98" s="24">
        <v>0</v>
      </c>
      <c r="DD98" s="24">
        <v>0</v>
      </c>
      <c r="DE98" s="24">
        <v>0</v>
      </c>
      <c r="DF98" s="24">
        <v>0</v>
      </c>
      <c r="DG98" s="24">
        <v>0</v>
      </c>
      <c r="DH98" s="24">
        <v>0</v>
      </c>
      <c r="DI98" s="24">
        <v>0</v>
      </c>
      <c r="DJ98" s="24">
        <v>0</v>
      </c>
      <c r="DK98" s="24">
        <v>0</v>
      </c>
      <c r="DL98" s="24">
        <v>0</v>
      </c>
      <c r="DM98" s="24">
        <v>0</v>
      </c>
      <c r="DN98" s="24">
        <v>0</v>
      </c>
      <c r="DO98" s="24">
        <v>0</v>
      </c>
      <c r="DP98" s="24">
        <v>0</v>
      </c>
      <c r="DQ98" s="24">
        <v>0</v>
      </c>
      <c r="DR98" s="24">
        <v>0</v>
      </c>
      <c r="DS98" s="24">
        <v>0</v>
      </c>
      <c r="DT98" s="24">
        <v>0</v>
      </c>
      <c r="DU98" s="24">
        <v>0</v>
      </c>
      <c r="DV98" s="24">
        <v>0</v>
      </c>
      <c r="DW98" s="24">
        <v>0</v>
      </c>
      <c r="DX98" s="24">
        <v>0</v>
      </c>
      <c r="DY98" s="24">
        <v>0</v>
      </c>
      <c r="DZ98" s="24">
        <v>0</v>
      </c>
      <c r="EA98" s="24">
        <v>0</v>
      </c>
      <c r="EB98" s="24">
        <v>0</v>
      </c>
      <c r="EC98" s="24">
        <v>0</v>
      </c>
      <c r="ED98" s="24">
        <v>0</v>
      </c>
      <c r="EE98" s="24">
        <v>0</v>
      </c>
      <c r="EF98" s="24">
        <v>0</v>
      </c>
      <c r="EG98" s="24">
        <v>0</v>
      </c>
      <c r="EH98" s="24">
        <v>0</v>
      </c>
      <c r="EI98" s="24">
        <v>0</v>
      </c>
      <c r="EJ98" s="24">
        <v>0</v>
      </c>
      <c r="EK98" s="24">
        <v>0</v>
      </c>
      <c r="EL98" s="24">
        <v>0</v>
      </c>
      <c r="EM98" s="24">
        <v>0</v>
      </c>
      <c r="EN98" s="24">
        <v>0</v>
      </c>
      <c r="EO98" s="24">
        <v>0</v>
      </c>
      <c r="EP98" s="24">
        <v>0</v>
      </c>
      <c r="EQ98" s="24">
        <v>0</v>
      </c>
      <c r="ER98" s="24">
        <v>0</v>
      </c>
      <c r="ES98" s="24">
        <v>0</v>
      </c>
      <c r="ET98" s="24">
        <v>0</v>
      </c>
      <c r="EU98" s="24">
        <v>0</v>
      </c>
      <c r="EV98" s="24">
        <v>0</v>
      </c>
      <c r="EW98" s="24">
        <v>0</v>
      </c>
      <c r="EX98" s="24">
        <v>0</v>
      </c>
      <c r="EY98" s="24">
        <v>0</v>
      </c>
      <c r="EZ98" s="24">
        <v>0</v>
      </c>
      <c r="FA98" s="24">
        <v>0</v>
      </c>
      <c r="FB98" s="24">
        <v>0</v>
      </c>
      <c r="FC98" s="24">
        <v>0</v>
      </c>
      <c r="FD98" s="24">
        <v>0</v>
      </c>
      <c r="FE98" s="24">
        <v>0</v>
      </c>
      <c r="FF98" s="24">
        <v>0</v>
      </c>
      <c r="FG98" s="24">
        <v>0</v>
      </c>
      <c r="FH98" s="24">
        <v>0</v>
      </c>
      <c r="FI98" s="24">
        <v>0</v>
      </c>
      <c r="FJ98" s="24">
        <v>0</v>
      </c>
      <c r="FK98" s="24">
        <v>0</v>
      </c>
      <c r="FL98" s="24">
        <v>0</v>
      </c>
      <c r="FM98" s="24">
        <v>0</v>
      </c>
      <c r="FN98" s="24">
        <v>0</v>
      </c>
      <c r="FO98" s="24">
        <v>0</v>
      </c>
      <c r="FP98" s="24">
        <v>0</v>
      </c>
      <c r="FQ98" s="24">
        <v>0</v>
      </c>
      <c r="FR98" s="24">
        <v>0</v>
      </c>
      <c r="FS98" s="24">
        <v>4195</v>
      </c>
      <c r="FT98" s="24">
        <v>0</v>
      </c>
      <c r="FU98" s="24">
        <v>0</v>
      </c>
      <c r="FV98" s="24">
        <v>4000</v>
      </c>
      <c r="FW98" s="24">
        <v>0</v>
      </c>
      <c r="FX98" s="24">
        <v>0</v>
      </c>
      <c r="FY98" s="24">
        <v>0</v>
      </c>
      <c r="FZ98" s="24">
        <v>0</v>
      </c>
      <c r="GA98" s="24">
        <v>0</v>
      </c>
      <c r="GB98" s="24">
        <v>0</v>
      </c>
      <c r="GC98" s="24">
        <v>0</v>
      </c>
      <c r="GD98" s="24">
        <v>0</v>
      </c>
      <c r="GE98" s="24">
        <v>0</v>
      </c>
      <c r="GF98" s="24">
        <v>0</v>
      </c>
      <c r="GG98" s="24">
        <v>0</v>
      </c>
      <c r="GH98" s="24">
        <v>0</v>
      </c>
      <c r="GI98" s="24">
        <v>0</v>
      </c>
      <c r="GJ98" s="24">
        <v>0</v>
      </c>
      <c r="GK98" s="24">
        <v>0</v>
      </c>
      <c r="GL98" s="24">
        <v>0</v>
      </c>
      <c r="GM98" s="24">
        <v>0</v>
      </c>
      <c r="GN98" s="24">
        <v>0</v>
      </c>
      <c r="GO98" s="24">
        <v>0</v>
      </c>
      <c r="GP98" s="24">
        <v>0</v>
      </c>
      <c r="GQ98" s="24">
        <v>0</v>
      </c>
      <c r="GR98" s="24">
        <v>0</v>
      </c>
      <c r="GS98" s="24">
        <v>0</v>
      </c>
      <c r="GT98" s="24">
        <v>0</v>
      </c>
      <c r="GU98" s="24">
        <v>0</v>
      </c>
      <c r="GV98" s="24">
        <v>0</v>
      </c>
      <c r="GW98" s="24">
        <v>0</v>
      </c>
      <c r="GX98" s="24">
        <v>0</v>
      </c>
      <c r="GY98" s="24">
        <v>0</v>
      </c>
      <c r="GZ98" s="24">
        <v>0</v>
      </c>
      <c r="HA98" s="24">
        <v>0</v>
      </c>
      <c r="HB98" s="24">
        <v>0</v>
      </c>
      <c r="HC98" s="24">
        <v>0</v>
      </c>
      <c r="HD98" s="24">
        <v>201004</v>
      </c>
      <c r="HE98" s="24">
        <v>0</v>
      </c>
      <c r="HF98" s="24">
        <v>0</v>
      </c>
      <c r="HG98" s="24">
        <v>0</v>
      </c>
      <c r="HH98" s="24">
        <v>0</v>
      </c>
      <c r="HI98" s="24">
        <v>2080</v>
      </c>
      <c r="HJ98" s="24">
        <v>0</v>
      </c>
      <c r="HK98" s="24">
        <v>0</v>
      </c>
      <c r="HL98" s="24">
        <v>0</v>
      </c>
      <c r="HM98" s="24">
        <v>0</v>
      </c>
      <c r="HN98" s="24">
        <v>0</v>
      </c>
      <c r="HO98" s="24">
        <v>0</v>
      </c>
      <c r="HP98" s="24">
        <v>23441</v>
      </c>
      <c r="HQ98" s="24">
        <v>0</v>
      </c>
      <c r="HR98" s="24">
        <v>0</v>
      </c>
      <c r="HS98" s="24">
        <v>0</v>
      </c>
      <c r="HT98" s="24">
        <v>0</v>
      </c>
      <c r="HU98" s="24">
        <v>0</v>
      </c>
      <c r="HV98" s="24">
        <v>0</v>
      </c>
      <c r="HW98" s="24">
        <v>0</v>
      </c>
      <c r="HX98" s="24">
        <v>0</v>
      </c>
      <c r="HY98" s="24">
        <v>0</v>
      </c>
      <c r="HZ98" s="24">
        <v>0</v>
      </c>
      <c r="IA98" s="24">
        <v>478</v>
      </c>
      <c r="IB98" s="24">
        <v>0</v>
      </c>
      <c r="IC98" s="24">
        <v>0</v>
      </c>
      <c r="ID98" s="24">
        <v>0</v>
      </c>
      <c r="IE98" s="24">
        <v>0</v>
      </c>
      <c r="IF98" s="24">
        <v>0</v>
      </c>
      <c r="IG98" s="24">
        <v>0</v>
      </c>
      <c r="IH98" s="24">
        <v>0</v>
      </c>
      <c r="II98" s="24">
        <v>0</v>
      </c>
      <c r="IJ98" s="24">
        <v>0</v>
      </c>
      <c r="IK98" s="24">
        <v>0</v>
      </c>
      <c r="IL98" s="24">
        <v>0</v>
      </c>
      <c r="IM98" s="24">
        <v>0</v>
      </c>
      <c r="IN98" s="24">
        <v>0</v>
      </c>
      <c r="IO98" s="24">
        <v>0</v>
      </c>
      <c r="IP98" s="24">
        <v>0</v>
      </c>
      <c r="IQ98" s="24">
        <v>0</v>
      </c>
      <c r="IR98" s="24">
        <v>0</v>
      </c>
      <c r="IS98" s="24">
        <v>0</v>
      </c>
      <c r="IT98" s="24">
        <v>0</v>
      </c>
      <c r="IU98" s="24">
        <v>0</v>
      </c>
      <c r="IV98" s="24">
        <v>0</v>
      </c>
      <c r="IW98" s="24">
        <v>0</v>
      </c>
      <c r="IX98" s="24">
        <v>0</v>
      </c>
      <c r="IY98" s="24">
        <v>0</v>
      </c>
      <c r="IZ98" s="24">
        <v>0</v>
      </c>
      <c r="JA98" s="24">
        <v>0</v>
      </c>
      <c r="JB98" s="24">
        <v>0</v>
      </c>
      <c r="JC98" s="24">
        <v>0</v>
      </c>
      <c r="JD98" s="24">
        <v>0</v>
      </c>
      <c r="JE98" s="24">
        <v>0</v>
      </c>
      <c r="JF98" s="24">
        <v>0</v>
      </c>
      <c r="JG98" s="24">
        <v>0</v>
      </c>
      <c r="JH98" s="24">
        <v>0</v>
      </c>
      <c r="JI98" s="24">
        <v>0</v>
      </c>
      <c r="JJ98" s="24">
        <v>0</v>
      </c>
      <c r="JK98" s="24">
        <v>0</v>
      </c>
      <c r="JL98" s="24">
        <v>0</v>
      </c>
      <c r="JM98" s="24">
        <v>0</v>
      </c>
      <c r="JN98" s="24">
        <v>0</v>
      </c>
      <c r="JO98" s="24">
        <v>1064</v>
      </c>
      <c r="JP98" s="24">
        <v>0</v>
      </c>
      <c r="JQ98" s="24">
        <v>0</v>
      </c>
      <c r="JR98" s="24">
        <v>0</v>
      </c>
      <c r="JS98" s="24">
        <v>0</v>
      </c>
      <c r="JT98" s="24">
        <v>0</v>
      </c>
      <c r="JU98" s="24">
        <v>0</v>
      </c>
      <c r="JV98" s="24">
        <v>0</v>
      </c>
      <c r="JW98" s="24">
        <v>0</v>
      </c>
      <c r="JX98" s="24">
        <v>0</v>
      </c>
      <c r="JY98" s="24">
        <v>0</v>
      </c>
      <c r="JZ98" s="24">
        <v>0</v>
      </c>
      <c r="KA98" s="24">
        <v>0</v>
      </c>
      <c r="KB98" s="24">
        <v>0</v>
      </c>
      <c r="KC98" s="24">
        <v>0</v>
      </c>
      <c r="KD98" s="24">
        <v>0</v>
      </c>
      <c r="KE98" s="24">
        <v>0</v>
      </c>
      <c r="KF98" s="24">
        <v>0</v>
      </c>
      <c r="KG98" s="24">
        <v>0</v>
      </c>
      <c r="KH98" s="24">
        <v>0</v>
      </c>
      <c r="KI98" s="24">
        <v>0</v>
      </c>
      <c r="KJ98" s="24">
        <v>0</v>
      </c>
      <c r="KK98" s="24">
        <v>0</v>
      </c>
      <c r="KL98" s="24">
        <v>0</v>
      </c>
      <c r="KM98" s="24">
        <v>0</v>
      </c>
      <c r="KN98" s="24">
        <v>0</v>
      </c>
      <c r="KO98" s="24">
        <v>0</v>
      </c>
      <c r="KP98" s="24">
        <v>0</v>
      </c>
      <c r="KQ98" s="24">
        <v>0</v>
      </c>
      <c r="KR98" s="24">
        <v>0</v>
      </c>
      <c r="KS98" s="24">
        <v>0</v>
      </c>
      <c r="KT98" s="24">
        <v>0</v>
      </c>
      <c r="KU98" s="24">
        <v>0</v>
      </c>
      <c r="KV98" s="24">
        <v>0</v>
      </c>
      <c r="KW98" s="24">
        <v>0</v>
      </c>
      <c r="KX98" s="24">
        <v>0</v>
      </c>
      <c r="KY98" s="24">
        <v>0</v>
      </c>
      <c r="KZ98" s="24">
        <v>0</v>
      </c>
      <c r="LA98" s="24">
        <v>0</v>
      </c>
      <c r="LB98" s="24">
        <v>0</v>
      </c>
      <c r="LC98" s="24">
        <v>0</v>
      </c>
      <c r="LD98" s="24">
        <v>0</v>
      </c>
      <c r="LE98" s="24">
        <v>0</v>
      </c>
      <c r="LF98" s="24">
        <v>0</v>
      </c>
      <c r="LG98" s="24">
        <v>0</v>
      </c>
      <c r="LH98" s="24">
        <v>0</v>
      </c>
      <c r="LI98" s="24">
        <v>0</v>
      </c>
      <c r="LJ98" s="24">
        <v>0</v>
      </c>
      <c r="LK98" s="24">
        <v>0</v>
      </c>
      <c r="LL98" s="24">
        <v>0</v>
      </c>
      <c r="LM98" s="24">
        <v>0</v>
      </c>
      <c r="LN98" s="24">
        <v>0</v>
      </c>
      <c r="LO98" s="24">
        <v>0</v>
      </c>
      <c r="LP98" s="24">
        <v>0</v>
      </c>
      <c r="LQ98" s="24">
        <v>0</v>
      </c>
      <c r="LR98" s="24">
        <v>0</v>
      </c>
      <c r="LS98" s="24">
        <v>0</v>
      </c>
      <c r="LT98" s="24">
        <v>0</v>
      </c>
      <c r="LU98" s="24">
        <v>0</v>
      </c>
      <c r="LV98" s="24">
        <v>0</v>
      </c>
      <c r="LW98" s="24">
        <v>0</v>
      </c>
      <c r="LX98" s="24">
        <v>0</v>
      </c>
      <c r="LY98" s="24">
        <v>0</v>
      </c>
      <c r="LZ98" s="24">
        <v>0</v>
      </c>
      <c r="MA98" s="24">
        <v>0</v>
      </c>
      <c r="MB98" s="24">
        <v>0</v>
      </c>
      <c r="MC98" s="24">
        <v>0</v>
      </c>
      <c r="MD98" s="24">
        <v>0</v>
      </c>
      <c r="ME98" s="24">
        <v>0</v>
      </c>
      <c r="MF98" s="24">
        <v>0</v>
      </c>
      <c r="MG98" s="24">
        <v>0</v>
      </c>
      <c r="MH98" s="24">
        <v>0</v>
      </c>
      <c r="MI98" s="24">
        <v>0</v>
      </c>
      <c r="MJ98" s="24">
        <v>0</v>
      </c>
      <c r="MK98" s="24">
        <v>0</v>
      </c>
      <c r="ML98" s="24">
        <v>0</v>
      </c>
      <c r="MM98" s="24">
        <v>0</v>
      </c>
      <c r="MN98" s="24">
        <v>0</v>
      </c>
      <c r="MO98" s="24">
        <v>0</v>
      </c>
      <c r="MP98" s="24">
        <v>0</v>
      </c>
      <c r="MQ98" s="24">
        <v>0</v>
      </c>
      <c r="MR98" s="24">
        <v>0</v>
      </c>
      <c r="MS98" s="24">
        <v>0</v>
      </c>
      <c r="MT98" s="24">
        <v>0</v>
      </c>
      <c r="MU98" s="24">
        <v>0</v>
      </c>
      <c r="MV98" s="24">
        <v>0</v>
      </c>
      <c r="MW98" s="24">
        <v>0</v>
      </c>
      <c r="MX98" s="24">
        <v>0</v>
      </c>
      <c r="MY98" s="24">
        <v>11618</v>
      </c>
      <c r="MZ98" s="24">
        <v>0</v>
      </c>
      <c r="NA98" s="24">
        <v>0</v>
      </c>
      <c r="NB98" s="24">
        <v>0</v>
      </c>
      <c r="NC98" s="24">
        <v>0</v>
      </c>
      <c r="ND98" s="24">
        <v>0</v>
      </c>
      <c r="NE98" s="24">
        <v>0</v>
      </c>
      <c r="NF98" s="24">
        <v>0</v>
      </c>
      <c r="NG98" s="24">
        <v>0</v>
      </c>
      <c r="NH98" s="24">
        <v>0</v>
      </c>
      <c r="NI98" s="24">
        <v>0</v>
      </c>
      <c r="NJ98" s="24">
        <v>0</v>
      </c>
      <c r="NK98" s="24">
        <v>0</v>
      </c>
      <c r="NL98" s="24">
        <v>0</v>
      </c>
      <c r="NM98" s="24">
        <v>0</v>
      </c>
      <c r="NN98" s="24">
        <v>0</v>
      </c>
      <c r="NO98" s="24">
        <v>0</v>
      </c>
      <c r="NP98" s="24">
        <v>0</v>
      </c>
      <c r="NQ98" s="24">
        <v>0</v>
      </c>
      <c r="NR98" s="24">
        <v>0</v>
      </c>
      <c r="NS98" s="24">
        <v>0</v>
      </c>
      <c r="NT98" s="24">
        <v>0</v>
      </c>
      <c r="NU98" s="24">
        <v>0</v>
      </c>
      <c r="NV98" s="24">
        <v>0</v>
      </c>
      <c r="NW98" s="24">
        <v>0</v>
      </c>
      <c r="NX98" s="24">
        <v>0</v>
      </c>
      <c r="NY98" s="24">
        <v>0</v>
      </c>
      <c r="NZ98" s="24">
        <v>0</v>
      </c>
      <c r="OA98" s="24">
        <v>0</v>
      </c>
      <c r="OB98" s="24">
        <v>0</v>
      </c>
      <c r="OC98" s="24">
        <v>0</v>
      </c>
      <c r="OD98" s="24">
        <v>0</v>
      </c>
      <c r="OE98" s="24">
        <v>0</v>
      </c>
      <c r="OF98" s="24">
        <v>0</v>
      </c>
      <c r="OG98" s="24">
        <v>0</v>
      </c>
      <c r="OH98" s="24">
        <v>0</v>
      </c>
      <c r="OI98" s="24">
        <v>0</v>
      </c>
      <c r="OJ98" s="24">
        <v>0</v>
      </c>
      <c r="OK98" s="24">
        <v>0</v>
      </c>
      <c r="OL98" s="24">
        <v>0</v>
      </c>
      <c r="OM98" s="24">
        <v>0</v>
      </c>
      <c r="ON98" s="24">
        <v>0</v>
      </c>
      <c r="OO98" s="24">
        <v>0</v>
      </c>
      <c r="OP98" s="24">
        <v>0</v>
      </c>
      <c r="OQ98" s="24">
        <v>0</v>
      </c>
      <c r="OR98" s="24">
        <v>0</v>
      </c>
      <c r="OS98" s="24">
        <v>0</v>
      </c>
      <c r="OT98" s="24">
        <v>0</v>
      </c>
      <c r="OU98" s="24">
        <v>0</v>
      </c>
      <c r="OV98" s="24">
        <v>0</v>
      </c>
      <c r="OW98" s="24">
        <v>0</v>
      </c>
      <c r="OX98" s="24">
        <v>0</v>
      </c>
      <c r="OY98" s="24">
        <v>0</v>
      </c>
      <c r="OZ98" s="24">
        <v>0</v>
      </c>
      <c r="PA98" s="24">
        <v>0</v>
      </c>
      <c r="PB98" s="24">
        <v>0</v>
      </c>
      <c r="PC98" s="24">
        <v>0</v>
      </c>
      <c r="PD98" s="24">
        <v>0</v>
      </c>
      <c r="PE98" s="24">
        <v>0</v>
      </c>
      <c r="PF98" s="24">
        <v>0</v>
      </c>
      <c r="PG98" s="24">
        <v>0</v>
      </c>
      <c r="PH98" s="24">
        <v>0</v>
      </c>
      <c r="PI98" s="24">
        <v>0</v>
      </c>
      <c r="PJ98" s="24">
        <v>0</v>
      </c>
      <c r="PK98" s="24">
        <v>0</v>
      </c>
      <c r="PL98" s="24">
        <v>0</v>
      </c>
      <c r="PM98" s="24">
        <v>0</v>
      </c>
      <c r="PN98" s="24">
        <v>0</v>
      </c>
      <c r="PO98" s="24">
        <v>0</v>
      </c>
      <c r="PP98" s="24">
        <v>0</v>
      </c>
      <c r="PQ98" s="24">
        <v>0</v>
      </c>
      <c r="PR98" s="24">
        <v>0</v>
      </c>
      <c r="PS98" s="24">
        <v>0</v>
      </c>
      <c r="PT98" s="24">
        <v>0</v>
      </c>
      <c r="PU98" s="24">
        <v>0</v>
      </c>
      <c r="PV98" s="24">
        <v>0</v>
      </c>
      <c r="PW98" s="24">
        <v>0</v>
      </c>
      <c r="PX98" s="24">
        <v>0</v>
      </c>
      <c r="PY98" s="24">
        <v>0</v>
      </c>
      <c r="PZ98" s="24">
        <v>0</v>
      </c>
      <c r="QA98" s="24">
        <v>0</v>
      </c>
      <c r="QB98" s="24">
        <v>0</v>
      </c>
      <c r="QC98" s="24">
        <v>0</v>
      </c>
      <c r="QD98" s="24">
        <v>0</v>
      </c>
      <c r="QE98" s="24">
        <v>0</v>
      </c>
      <c r="QF98" s="24">
        <v>8571</v>
      </c>
      <c r="QG98" s="24">
        <v>0</v>
      </c>
      <c r="QH98" s="24">
        <v>0</v>
      </c>
      <c r="QI98" s="24">
        <v>0</v>
      </c>
      <c r="QJ98" s="24">
        <v>0</v>
      </c>
      <c r="QK98" s="24">
        <v>0</v>
      </c>
      <c r="QL98" s="24">
        <v>0</v>
      </c>
      <c r="QM98" s="24">
        <v>0</v>
      </c>
      <c r="QN98" s="24">
        <v>0</v>
      </c>
      <c r="QO98" s="24">
        <v>0</v>
      </c>
      <c r="QP98" s="24">
        <v>0</v>
      </c>
      <c r="QQ98" s="24">
        <v>0</v>
      </c>
      <c r="QR98" s="24">
        <v>0</v>
      </c>
      <c r="QS98" s="24">
        <v>0</v>
      </c>
      <c r="QT98" s="24">
        <v>0</v>
      </c>
      <c r="QU98" s="24">
        <v>0</v>
      </c>
      <c r="QV98" s="24">
        <v>0</v>
      </c>
      <c r="QW98" s="24">
        <v>0</v>
      </c>
      <c r="QX98" s="24">
        <v>0</v>
      </c>
      <c r="QY98" s="24">
        <v>0</v>
      </c>
      <c r="QZ98" s="24">
        <v>0</v>
      </c>
      <c r="RA98" s="24">
        <v>0</v>
      </c>
      <c r="RB98" s="24">
        <v>0</v>
      </c>
      <c r="RG98" s="39">
        <f t="shared" si="129"/>
        <v>201004</v>
      </c>
      <c r="RH98" s="39">
        <f t="shared" si="206"/>
        <v>2080</v>
      </c>
      <c r="RI98" s="39">
        <f t="shared" si="206"/>
        <v>0</v>
      </c>
      <c r="RJ98" s="39">
        <f t="shared" si="206"/>
        <v>0</v>
      </c>
      <c r="RK98" s="39">
        <f t="shared" si="206"/>
        <v>0</v>
      </c>
      <c r="RL98" s="39">
        <f t="shared" si="206"/>
        <v>0</v>
      </c>
      <c r="RM98" s="39">
        <f t="shared" si="206"/>
        <v>23919</v>
      </c>
      <c r="RN98" s="39">
        <f t="shared" si="206"/>
        <v>0</v>
      </c>
      <c r="RO98" s="39">
        <f t="shared" si="206"/>
        <v>0</v>
      </c>
      <c r="RP98" s="39">
        <f t="shared" si="206"/>
        <v>0</v>
      </c>
      <c r="RQ98" s="39">
        <f t="shared" si="206"/>
        <v>0</v>
      </c>
      <c r="RR98" s="39">
        <f t="shared" si="206"/>
        <v>1064</v>
      </c>
      <c r="RS98" s="39"/>
      <c r="RT98" s="182"/>
      <c r="RU98" s="39"/>
      <c r="RV98" s="39">
        <f t="shared" si="182"/>
        <v>11618</v>
      </c>
      <c r="RW98" s="39">
        <f t="shared" si="182"/>
        <v>228067</v>
      </c>
      <c r="RX98" s="39">
        <f t="shared" si="182"/>
        <v>21642</v>
      </c>
      <c r="RY98" s="39">
        <f t="shared" si="182"/>
        <v>8571</v>
      </c>
      <c r="RZ98" s="39"/>
      <c r="SA98" s="182"/>
      <c r="SB98" s="39"/>
      <c r="SC98" s="39">
        <f t="shared" si="183"/>
        <v>1967.4545454545455</v>
      </c>
      <c r="SD98" s="39">
        <f>IFERROR(VLOOKUP(A98, 'Levy Data 15-16'!$B:$O, 3, FALSE), 0)</f>
        <v>18488940</v>
      </c>
      <c r="SE98" s="39">
        <f t="shared" si="144"/>
        <v>1680812.7272727273</v>
      </c>
      <c r="SF98" s="631">
        <f>IFERROR(VLOOKUP(A98, 'Levy Data 15-16'!$B:$O, 14, FALSE), 0)*1000</f>
        <v>0.54870600000000003</v>
      </c>
      <c r="SG98" s="39">
        <f t="shared" si="145"/>
        <v>0</v>
      </c>
      <c r="SH98" s="39">
        <f t="shared" si="146"/>
        <v>0</v>
      </c>
      <c r="SI98" s="39">
        <f t="shared" si="147"/>
        <v>21642</v>
      </c>
      <c r="SM98" s="39">
        <f t="shared" si="148"/>
        <v>228067</v>
      </c>
      <c r="SN98" s="39">
        <f t="shared" si="149"/>
        <v>0</v>
      </c>
      <c r="SO98" s="39">
        <f t="shared" si="184"/>
        <v>228067</v>
      </c>
      <c r="SP98" s="50">
        <f t="shared" si="130"/>
        <v>1</v>
      </c>
      <c r="ST98" s="124">
        <f>IFERROR(VLOOKUP(A98,'Grade Enroll 15-16'!B:AC,27,FALSE),"")</f>
        <v>11</v>
      </c>
      <c r="SU98" s="124">
        <f t="shared" si="185"/>
        <v>0</v>
      </c>
      <c r="SV98" s="131">
        <f>IFERROR(VLOOKUP($A98, 'Title I Enroll 16-17'!S:V, 4, FALSE), 0)</f>
        <v>0</v>
      </c>
      <c r="SW98" s="729">
        <f>IFERROR(VLOOKUP(A98, 'ELL Enroll 15-16'!$N:$S, 6, FALSE), 0)</f>
        <v>5</v>
      </c>
      <c r="SX98" s="131">
        <f t="shared" si="131"/>
        <v>0.45454545454545453</v>
      </c>
      <c r="SY98" s="124">
        <f>IFERROR(VLOOKUP(A98, 'SPED enroll 2015-16'!$M:$O, 3, FALSE), 0)</f>
        <v>5</v>
      </c>
      <c r="SZ98" s="131">
        <f t="shared" si="132"/>
        <v>0.45454545454545453</v>
      </c>
      <c r="TA98" s="142">
        <f t="shared" si="207"/>
        <v>3.5</v>
      </c>
      <c r="TB98" s="142">
        <f t="shared" si="207"/>
        <v>1</v>
      </c>
      <c r="TC98" s="142">
        <f t="shared" si="207"/>
        <v>0.35000000000000003</v>
      </c>
      <c r="TD98" s="142">
        <f t="shared" si="207"/>
        <v>0.15</v>
      </c>
      <c r="TE98" s="124">
        <f>VLOOKUP($A98, 'Grade Enroll 15-16'!$B:$AB, 20, FALSE)</f>
        <v>0</v>
      </c>
      <c r="TF98" s="124">
        <f>VLOOKUP($A98, 'Grade Enroll 15-16'!$B:$AB, 21, FALSE)</f>
        <v>1</v>
      </c>
      <c r="TG98" s="124">
        <f>VLOOKUP($A98, 'Grade Enroll 15-16'!$B:$AB, 22, FALSE)</f>
        <v>6</v>
      </c>
      <c r="TH98" s="124">
        <f>VLOOKUP($A98, 'Grade Enroll 15-16'!$B:$AB, 23, FALSE)</f>
        <v>5</v>
      </c>
      <c r="TI98" s="124">
        <f>VLOOKUP($A98, 'Grade Enroll 15-16'!$B:$AB, 24, FALSE)</f>
        <v>0</v>
      </c>
      <c r="TJ98" s="124">
        <f>VLOOKUP($A98, 'Grade Enroll 15-16'!$B:$AB, 25, FALSE)</f>
        <v>0</v>
      </c>
      <c r="TK98" s="124">
        <f>VLOOKUP($A98, 'Grade Enroll 15-16'!$B:$AB, 26, FALSE)</f>
        <v>6</v>
      </c>
      <c r="TL98" s="131">
        <f>SUMIFS('Student Achievement 15-16'!N:N, 'Student Achievement 15-16'!B:B, 'Idaho Data'!A98, 'Student Achievement 15-16'!D:D, "math")/100</f>
        <v>0.05</v>
      </c>
      <c r="TM98" s="134">
        <f t="shared" si="186"/>
        <v>0.55000000000000004</v>
      </c>
      <c r="TN98" s="131">
        <f>SUMIFS('Student Achievement 15-16'!N:N, 'Student Achievement 15-16'!B:B, 'Idaho Data'!A98, 'Student Achievement 15-16'!D:D, "ela")/100</f>
        <v>0.05</v>
      </c>
      <c r="TO98" s="134">
        <f t="shared" si="134"/>
        <v>0.55000000000000004</v>
      </c>
      <c r="TP98" s="688">
        <f>IFERROR(VLOOKUP(A98, 'G&amp;T 15-16'!B:G, 6, FALSE), 0)*1</f>
        <v>0</v>
      </c>
      <c r="TQ98" s="168">
        <f t="shared" si="135"/>
        <v>0.65999999999999992</v>
      </c>
      <c r="TU98" s="168">
        <f t="shared" si="136"/>
        <v>0.55000000000000004</v>
      </c>
      <c r="TV98" s="168">
        <f t="shared" si="137"/>
        <v>0.55000000000000004</v>
      </c>
      <c r="TW98" s="205">
        <f t="shared" si="138"/>
        <v>0.55000000000000004</v>
      </c>
      <c r="TX98" s="144"/>
      <c r="TY98" s="129"/>
      <c r="TZ98" s="127">
        <f t="shared" si="139"/>
        <v>0</v>
      </c>
      <c r="UA98" s="127">
        <f t="shared" si="140"/>
        <v>0.65999999999999992</v>
      </c>
      <c r="UB98" s="205">
        <f t="shared" si="141"/>
        <v>0.65999999999999992</v>
      </c>
      <c r="UE98" s="853" t="str">
        <f>IF(ST98&lt;='1. Simulator Input'!$E$104, "yes", "")</f>
        <v>yes</v>
      </c>
      <c r="UI98" s="199">
        <f t="shared" si="187"/>
        <v>0</v>
      </c>
      <c r="UJ98" s="200">
        <f>IF('Idaho Data'!SI98&gt;=0, ((1-'1. Simulator Input'!$E$39)*'Idaho Data'!SI98), 0)</f>
        <v>0</v>
      </c>
      <c r="UK98" s="200">
        <f t="shared" si="142"/>
        <v>228067</v>
      </c>
      <c r="UL98" s="39"/>
      <c r="UM98" s="182"/>
      <c r="UN98" s="39"/>
      <c r="UO98" s="39">
        <f>IF(AND('1. Simulator Input'!$E$96="yes", '1. Simulator Input'!$E$98="yes", '1. Simulator Input'!$E$100="hold harmless"), 'Idaho Data'!WN98, IF(AND('1. Simulator Input'!$E$96="yes", '1. Simulator Input'!$E$98="no", '1. Simulator Input'!$E$100="hold harmless"), 'Idaho Data'!WM98, IF(AND('1. Simulator Input'!$E$96="yes", '1. Simulator Input'!$E$98="yes", '1. Simulator Input'!$E$100="small district grant"), WL98,IF(AND('1. Simulator Input'!$E$96="yes", '1. Simulator Input'!$E$98="no", '1. Simulator Input'!$E$100="small district grant"), WK98, ""))))</f>
        <v>0</v>
      </c>
      <c r="UP98" s="200">
        <f>'1. Simulator Input'!$D$56*('Idaho Data'!ST98)</f>
        <v>60786</v>
      </c>
      <c r="UQ98" s="204">
        <f>'1. Simulator Input'!$D$65*'1. Simulator Input'!$D$56*'Idaho Data'!SU98</f>
        <v>0</v>
      </c>
      <c r="UR98" s="204">
        <f>'1. Simulator Input'!$D$66*'1. Simulator Input'!$D$56*'Idaho Data'!SW98</f>
        <v>0</v>
      </c>
      <c r="US98" s="200">
        <f>'1. Simulator Input'!$D$67*'1. Simulator Input'!$D$56*'Idaho Data'!TA98</f>
        <v>0</v>
      </c>
      <c r="UT98" s="200">
        <f>'1. Simulator Input'!$D$68*'1. Simulator Input'!$D$56*'Idaho Data'!TB98</f>
        <v>0</v>
      </c>
      <c r="UU98" s="200">
        <f>'1. Simulator Input'!$D$69*'1. Simulator Input'!$D$56*'Idaho Data'!TC98</f>
        <v>0</v>
      </c>
      <c r="UV98" s="200">
        <f>'1. Simulator Input'!$D$70*'1. Simulator Input'!$D$56*TD98</f>
        <v>0</v>
      </c>
      <c r="UW98" s="200">
        <f>'1. Simulator Input'!$D$80*'1. Simulator Input'!$D$56*TW98</f>
        <v>0</v>
      </c>
      <c r="UX98" s="200">
        <f>'1. Simulator Input'!$D$79*'1. Simulator Input'!$D$56*UB98</f>
        <v>0</v>
      </c>
      <c r="UY98" s="200">
        <f>'1. Simulator Input'!$D$87*'1. Simulator Input'!$D$56*TF98</f>
        <v>2763</v>
      </c>
      <c r="UZ98" s="200">
        <f>'1. Simulator Input'!$D$73*'1. Simulator Input'!$D$56*'Idaho Data'!TG98</f>
        <v>0</v>
      </c>
      <c r="VA98" s="200">
        <f>'1. Simulator Input'!$D$56*'1. Simulator Input'!$D$74*'Idaho Data'!TH98</f>
        <v>0</v>
      </c>
      <c r="VB98" s="200">
        <f>'1. Simulator Input'!$D$56*'1. Simulator Input'!$D$75*'Idaho Data'!TI93</f>
        <v>0</v>
      </c>
      <c r="VC98" s="200">
        <f>'1. Simulator Input'!$D$76*'1. Simulator Input'!$D$56*'Idaho Data'!TJ98</f>
        <v>0</v>
      </c>
      <c r="VD98" s="200">
        <f t="shared" si="188"/>
        <v>63549</v>
      </c>
      <c r="VE98" s="200"/>
      <c r="VF98" s="182"/>
      <c r="VG98" s="200"/>
      <c r="VH98" s="200">
        <f t="shared" si="189"/>
        <v>0</v>
      </c>
      <c r="VI98" s="200">
        <f t="shared" si="190"/>
        <v>0</v>
      </c>
      <c r="VJ98" s="200">
        <f t="shared" si="150"/>
        <v>63549</v>
      </c>
      <c r="VK98" s="200">
        <f t="shared" si="151"/>
        <v>63549</v>
      </c>
      <c r="VL98" s="200"/>
      <c r="VM98" s="182"/>
      <c r="VN98" s="200"/>
      <c r="VO98" s="200">
        <f t="shared" si="191"/>
        <v>11618</v>
      </c>
      <c r="VP98" s="200">
        <f t="shared" si="192"/>
        <v>228067</v>
      </c>
      <c r="VQ98" s="200">
        <f t="shared" si="193"/>
        <v>21642</v>
      </c>
      <c r="VR98" s="200">
        <f t="shared" si="194"/>
        <v>11618</v>
      </c>
      <c r="VS98" s="200">
        <f t="shared" si="152"/>
        <v>63549</v>
      </c>
      <c r="VT98" s="200">
        <f t="shared" si="153"/>
        <v>21642</v>
      </c>
      <c r="VU98" s="200">
        <f t="shared" si="154"/>
        <v>0</v>
      </c>
      <c r="VV98" s="200"/>
      <c r="VW98" s="182"/>
      <c r="VX98" s="200"/>
      <c r="VZ98" s="199">
        <f t="shared" si="195"/>
        <v>-164518</v>
      </c>
      <c r="WA98" s="466">
        <f t="shared" si="196"/>
        <v>-14956.181818181818</v>
      </c>
      <c r="WB98" s="131">
        <f t="shared" si="197"/>
        <v>-0.72135819737182494</v>
      </c>
      <c r="WC98" s="131"/>
      <c r="WD98" s="461"/>
      <c r="WE98" s="893"/>
      <c r="WF98" s="893">
        <f t="shared" si="198"/>
        <v>23757</v>
      </c>
      <c r="WG98" s="893">
        <f t="shared" si="199"/>
        <v>8800.818181818182</v>
      </c>
      <c r="WH98" s="893"/>
      <c r="WI98" s="893">
        <f t="shared" si="200"/>
        <v>228067</v>
      </c>
      <c r="WJ98" s="893">
        <f t="shared" si="155"/>
        <v>63549</v>
      </c>
      <c r="WK98" s="39">
        <f t="shared" si="156"/>
        <v>0</v>
      </c>
      <c r="WL98" s="39">
        <f t="shared" si="157"/>
        <v>0</v>
      </c>
      <c r="WM98" s="200">
        <f t="shared" si="158"/>
        <v>164518</v>
      </c>
      <c r="WN98" s="39">
        <f t="shared" si="159"/>
        <v>164518</v>
      </c>
      <c r="WO98" s="39"/>
      <c r="WP98" s="182"/>
      <c r="WQ98" s="39"/>
      <c r="WR98" s="305">
        <f t="shared" si="160"/>
        <v>0.90300000000000002</v>
      </c>
      <c r="WT98" s="200">
        <f t="shared" si="161"/>
        <v>20733.363636363636</v>
      </c>
      <c r="WU98" s="131">
        <f t="shared" si="201"/>
        <v>0.98</v>
      </c>
      <c r="WW98" s="199">
        <f t="shared" si="162"/>
        <v>11618</v>
      </c>
      <c r="WX98" s="199">
        <f t="shared" si="163"/>
        <v>63549</v>
      </c>
      <c r="WY98" s="199">
        <f t="shared" si="164"/>
        <v>0</v>
      </c>
      <c r="WZ98" s="199">
        <f t="shared" si="202"/>
        <v>63549</v>
      </c>
      <c r="XA98" s="199">
        <f t="shared" si="165"/>
        <v>0</v>
      </c>
      <c r="XB98" s="199">
        <f t="shared" si="166"/>
        <v>21642</v>
      </c>
      <c r="XC98" s="199">
        <f t="shared" si="167"/>
        <v>21642</v>
      </c>
      <c r="XD98" s="199" t="str">
        <f t="shared" si="168"/>
        <v/>
      </c>
      <c r="XE98" s="199"/>
      <c r="XF98" s="199"/>
      <c r="XG98" s="199"/>
      <c r="XH98" s="199"/>
      <c r="XI98" s="199"/>
      <c r="XJ98" s="199">
        <f t="shared" si="203"/>
        <v>63549</v>
      </c>
      <c r="XP98" s="199">
        <f t="shared" si="169"/>
        <v>63549</v>
      </c>
      <c r="XQ98" s="199">
        <f t="shared" si="170"/>
        <v>5777.181818181818</v>
      </c>
      <c r="XR98" s="199">
        <f t="shared" si="171"/>
        <v>63549</v>
      </c>
      <c r="XS98" s="199">
        <f t="shared" si="172"/>
        <v>63549</v>
      </c>
      <c r="XT98" s="199">
        <f t="shared" si="173"/>
        <v>5777.181818181818</v>
      </c>
      <c r="XU98" s="199">
        <f t="shared" si="174"/>
        <v>228067</v>
      </c>
      <c r="XV98" s="199">
        <f t="shared" si="175"/>
        <v>20733.363636363636</v>
      </c>
      <c r="XW98" s="199">
        <f t="shared" si="176"/>
        <v>228067</v>
      </c>
      <c r="XX98" s="199">
        <f t="shared" si="177"/>
        <v>20733.363636363636</v>
      </c>
      <c r="XY98" s="199">
        <f t="shared" si="204"/>
        <v>-164518</v>
      </c>
      <c r="XZ98" s="199">
        <f t="shared" si="205"/>
        <v>-14956.181818181818</v>
      </c>
      <c r="YA98" s="131">
        <f t="shared" si="143"/>
        <v>-0.72135819737182494</v>
      </c>
      <c r="YB98" s="199"/>
      <c r="YC98" s="221"/>
      <c r="YD98" s="199"/>
      <c r="YE98" s="199">
        <f t="shared" si="178"/>
        <v>11618</v>
      </c>
      <c r="YF98" s="200">
        <f t="shared" si="179"/>
        <v>0</v>
      </c>
      <c r="YG98" s="199">
        <f t="shared" si="180"/>
        <v>21642</v>
      </c>
      <c r="YH98" s="199">
        <f t="shared" si="181"/>
        <v>8571</v>
      </c>
    </row>
    <row r="99" spans="1:658">
      <c r="A99" s="3">
        <v>365</v>
      </c>
      <c r="B99" s="2" t="s">
        <v>196</v>
      </c>
      <c r="C99" s="24">
        <v>0</v>
      </c>
      <c r="D99" s="24">
        <v>0</v>
      </c>
      <c r="E99" s="24">
        <v>0</v>
      </c>
      <c r="F99" s="24">
        <v>0</v>
      </c>
      <c r="G99" s="24">
        <v>669815</v>
      </c>
      <c r="H99" s="24">
        <v>0</v>
      </c>
      <c r="I99" s="24">
        <v>0</v>
      </c>
      <c r="J99" s="24">
        <v>14</v>
      </c>
      <c r="K99" s="24">
        <v>0</v>
      </c>
      <c r="L99" s="24">
        <v>70</v>
      </c>
      <c r="M99" s="24">
        <v>0</v>
      </c>
      <c r="N99" s="24">
        <v>1299</v>
      </c>
      <c r="O99" s="24">
        <v>0</v>
      </c>
      <c r="P99" s="24">
        <v>0</v>
      </c>
      <c r="Q99" s="24">
        <v>0</v>
      </c>
      <c r="R99" s="24">
        <v>0</v>
      </c>
      <c r="S99" s="24">
        <v>0</v>
      </c>
      <c r="T99" s="24">
        <v>0</v>
      </c>
      <c r="U99" s="24">
        <v>0</v>
      </c>
      <c r="V99" s="24">
        <v>0</v>
      </c>
      <c r="W99" s="24">
        <v>0</v>
      </c>
      <c r="X99" s="24">
        <v>360841</v>
      </c>
      <c r="Y99" s="24">
        <v>2957</v>
      </c>
      <c r="Z99" s="24">
        <v>0</v>
      </c>
      <c r="AA99" s="24">
        <v>2775</v>
      </c>
      <c r="AB99" s="24">
        <v>0</v>
      </c>
      <c r="AC99" s="24">
        <v>0</v>
      </c>
      <c r="AD99" s="24">
        <v>0</v>
      </c>
      <c r="AE99" s="24">
        <v>0</v>
      </c>
      <c r="AF99" s="24">
        <v>0</v>
      </c>
      <c r="AG99" s="24">
        <v>0</v>
      </c>
      <c r="AH99" s="24">
        <v>0</v>
      </c>
      <c r="AI99" s="24">
        <v>0</v>
      </c>
      <c r="AJ99" s="24">
        <v>0</v>
      </c>
      <c r="AK99" s="24">
        <v>0</v>
      </c>
      <c r="AL99" s="24">
        <v>5162</v>
      </c>
      <c r="AM99" s="24">
        <v>0</v>
      </c>
      <c r="AN99" s="24">
        <v>67</v>
      </c>
      <c r="AO99" s="24">
        <v>0</v>
      </c>
      <c r="AP99" s="24">
        <v>0</v>
      </c>
      <c r="AQ99" s="24">
        <v>0</v>
      </c>
      <c r="AR99" s="24">
        <v>0</v>
      </c>
      <c r="AS99" s="24">
        <v>0</v>
      </c>
      <c r="AT99" s="24">
        <v>0</v>
      </c>
      <c r="AU99" s="24">
        <v>0</v>
      </c>
      <c r="AV99" s="24">
        <v>0</v>
      </c>
      <c r="AW99" s="24">
        <v>0</v>
      </c>
      <c r="AX99" s="24">
        <v>0</v>
      </c>
      <c r="AY99" s="24">
        <v>0</v>
      </c>
      <c r="AZ99" s="24">
        <v>0</v>
      </c>
      <c r="BA99" s="24">
        <v>0</v>
      </c>
      <c r="BB99" s="24">
        <v>0</v>
      </c>
      <c r="BC99" s="24">
        <v>0</v>
      </c>
      <c r="BD99" s="24">
        <v>846</v>
      </c>
      <c r="BE99" s="24">
        <v>0</v>
      </c>
      <c r="BF99" s="24">
        <v>95</v>
      </c>
      <c r="BG99" s="24">
        <v>0</v>
      </c>
      <c r="BH99" s="24">
        <v>84</v>
      </c>
      <c r="BI99" s="24">
        <v>0</v>
      </c>
      <c r="BJ99" s="24">
        <v>0</v>
      </c>
      <c r="BK99" s="24">
        <v>0</v>
      </c>
      <c r="BL99" s="24">
        <v>0</v>
      </c>
      <c r="BM99" s="24">
        <v>0</v>
      </c>
      <c r="BN99" s="24">
        <v>0</v>
      </c>
      <c r="BO99" s="24">
        <v>0</v>
      </c>
      <c r="BP99" s="24">
        <v>0</v>
      </c>
      <c r="BQ99" s="24">
        <v>0</v>
      </c>
      <c r="BR99" s="24">
        <v>0</v>
      </c>
      <c r="BS99" s="24">
        <v>70</v>
      </c>
      <c r="BT99" s="24">
        <v>0</v>
      </c>
      <c r="BU99" s="24">
        <v>0</v>
      </c>
      <c r="BV99" s="24">
        <v>0</v>
      </c>
      <c r="BW99" s="24">
        <v>0</v>
      </c>
      <c r="BX99" s="24">
        <v>0</v>
      </c>
      <c r="BY99" s="24">
        <v>0</v>
      </c>
      <c r="BZ99" s="24">
        <v>0</v>
      </c>
      <c r="CA99" s="24">
        <v>0</v>
      </c>
      <c r="CB99" s="24">
        <v>0</v>
      </c>
      <c r="CC99" s="24">
        <v>0</v>
      </c>
      <c r="CD99" s="24">
        <v>22366</v>
      </c>
      <c r="CE99" s="24">
        <v>2773</v>
      </c>
      <c r="CF99" s="24">
        <v>0</v>
      </c>
      <c r="CG99" s="24">
        <v>0</v>
      </c>
      <c r="CH99" s="24">
        <v>0</v>
      </c>
      <c r="CI99" s="24">
        <v>0</v>
      </c>
      <c r="CJ99" s="24">
        <v>0</v>
      </c>
      <c r="CK99" s="24">
        <v>0</v>
      </c>
      <c r="CL99" s="24">
        <v>0</v>
      </c>
      <c r="CM99" s="24">
        <v>0</v>
      </c>
      <c r="CN99" s="24">
        <v>0</v>
      </c>
      <c r="CO99" s="24">
        <v>0</v>
      </c>
      <c r="CP99" s="24">
        <v>0</v>
      </c>
      <c r="CQ99" s="24">
        <v>0</v>
      </c>
      <c r="CR99" s="24">
        <v>0</v>
      </c>
      <c r="CS99" s="24">
        <v>0</v>
      </c>
      <c r="CT99" s="24">
        <v>0</v>
      </c>
      <c r="CU99" s="24">
        <v>0</v>
      </c>
      <c r="CV99" s="24">
        <v>0</v>
      </c>
      <c r="CW99" s="24">
        <v>0</v>
      </c>
      <c r="CX99" s="24">
        <v>0</v>
      </c>
      <c r="CY99" s="24">
        <v>0</v>
      </c>
      <c r="CZ99" s="24">
        <v>0</v>
      </c>
      <c r="DA99" s="24">
        <v>0</v>
      </c>
      <c r="DB99" s="24">
        <v>0</v>
      </c>
      <c r="DC99" s="24">
        <v>0</v>
      </c>
      <c r="DD99" s="24">
        <v>0</v>
      </c>
      <c r="DE99" s="24">
        <v>0</v>
      </c>
      <c r="DF99" s="24">
        <v>0</v>
      </c>
      <c r="DG99" s="24">
        <v>0</v>
      </c>
      <c r="DH99" s="24">
        <v>0</v>
      </c>
      <c r="DI99" s="24">
        <v>0</v>
      </c>
      <c r="DJ99" s="24">
        <v>0</v>
      </c>
      <c r="DK99" s="24">
        <v>0</v>
      </c>
      <c r="DL99" s="24">
        <v>0</v>
      </c>
      <c r="DM99" s="24">
        <v>0</v>
      </c>
      <c r="DN99" s="24">
        <v>0</v>
      </c>
      <c r="DO99" s="24">
        <v>0</v>
      </c>
      <c r="DP99" s="24">
        <v>0</v>
      </c>
      <c r="DQ99" s="24">
        <v>0</v>
      </c>
      <c r="DR99" s="24">
        <v>0</v>
      </c>
      <c r="DS99" s="24">
        <v>0</v>
      </c>
      <c r="DT99" s="24">
        <v>0</v>
      </c>
      <c r="DU99" s="24">
        <v>470</v>
      </c>
      <c r="DV99" s="24">
        <v>23150</v>
      </c>
      <c r="DW99" s="24">
        <v>0</v>
      </c>
      <c r="DX99" s="24">
        <v>0</v>
      </c>
      <c r="DY99" s="24">
        <v>0</v>
      </c>
      <c r="DZ99" s="24">
        <v>0</v>
      </c>
      <c r="EA99" s="24">
        <v>0</v>
      </c>
      <c r="EB99" s="24">
        <v>0</v>
      </c>
      <c r="EC99" s="24">
        <v>0</v>
      </c>
      <c r="ED99" s="24">
        <v>0</v>
      </c>
      <c r="EE99" s="24">
        <v>0</v>
      </c>
      <c r="EF99" s="24">
        <v>0</v>
      </c>
      <c r="EG99" s="24">
        <v>687</v>
      </c>
      <c r="EH99" s="24">
        <v>0</v>
      </c>
      <c r="EI99" s="24">
        <v>0</v>
      </c>
      <c r="EJ99" s="24">
        <v>0</v>
      </c>
      <c r="EK99" s="24">
        <v>0</v>
      </c>
      <c r="EL99" s="24">
        <v>0</v>
      </c>
      <c r="EM99" s="24">
        <v>0</v>
      </c>
      <c r="EN99" s="24">
        <v>0</v>
      </c>
      <c r="EO99" s="24">
        <v>0</v>
      </c>
      <c r="EP99" s="24">
        <v>0</v>
      </c>
      <c r="EQ99" s="24">
        <v>0</v>
      </c>
      <c r="ER99" s="24">
        <v>0</v>
      </c>
      <c r="ES99" s="24">
        <v>0</v>
      </c>
      <c r="ET99" s="24">
        <v>0</v>
      </c>
      <c r="EU99" s="24">
        <v>0</v>
      </c>
      <c r="EV99" s="24">
        <v>0</v>
      </c>
      <c r="EW99" s="24">
        <v>0</v>
      </c>
      <c r="EX99" s="24">
        <v>0</v>
      </c>
      <c r="EY99" s="24">
        <v>0</v>
      </c>
      <c r="EZ99" s="24">
        <v>0</v>
      </c>
      <c r="FA99" s="24">
        <v>0</v>
      </c>
      <c r="FB99" s="24">
        <v>0</v>
      </c>
      <c r="FC99" s="24">
        <v>0</v>
      </c>
      <c r="FD99" s="24">
        <v>0</v>
      </c>
      <c r="FE99" s="24">
        <v>0</v>
      </c>
      <c r="FF99" s="24">
        <v>0</v>
      </c>
      <c r="FG99" s="24">
        <v>0</v>
      </c>
      <c r="FH99" s="24">
        <v>0</v>
      </c>
      <c r="FI99" s="24">
        <v>0</v>
      </c>
      <c r="FJ99" s="24">
        <v>0</v>
      </c>
      <c r="FK99" s="24">
        <v>0</v>
      </c>
      <c r="FL99" s="24">
        <v>0</v>
      </c>
      <c r="FM99" s="24">
        <v>0</v>
      </c>
      <c r="FN99" s="24">
        <v>0</v>
      </c>
      <c r="FO99" s="24">
        <v>0</v>
      </c>
      <c r="FP99" s="24">
        <v>0</v>
      </c>
      <c r="FQ99" s="24">
        <v>0</v>
      </c>
      <c r="FR99" s="24">
        <v>0</v>
      </c>
      <c r="FS99" s="24">
        <v>87429</v>
      </c>
      <c r="FT99" s="24">
        <v>0</v>
      </c>
      <c r="FU99" s="24">
        <v>0</v>
      </c>
      <c r="FV99" s="24">
        <v>0</v>
      </c>
      <c r="FW99" s="24">
        <v>0</v>
      </c>
      <c r="FX99" s="24">
        <v>0</v>
      </c>
      <c r="FY99" s="24">
        <v>0</v>
      </c>
      <c r="FZ99" s="24">
        <v>0</v>
      </c>
      <c r="GA99" s="24">
        <v>0</v>
      </c>
      <c r="GB99" s="24">
        <v>0</v>
      </c>
      <c r="GC99" s="24">
        <v>0</v>
      </c>
      <c r="GD99" s="24">
        <v>0</v>
      </c>
      <c r="GE99" s="24">
        <v>2700</v>
      </c>
      <c r="GF99" s="24">
        <v>0</v>
      </c>
      <c r="GG99" s="24">
        <v>0</v>
      </c>
      <c r="GH99" s="24">
        <v>0</v>
      </c>
      <c r="GI99" s="24">
        <v>0</v>
      </c>
      <c r="GJ99" s="24">
        <v>0</v>
      </c>
      <c r="GK99" s="24">
        <v>0</v>
      </c>
      <c r="GL99" s="24">
        <v>0</v>
      </c>
      <c r="GM99" s="24">
        <v>0</v>
      </c>
      <c r="GN99" s="24">
        <v>0</v>
      </c>
      <c r="GO99" s="24">
        <v>0</v>
      </c>
      <c r="GP99" s="24">
        <v>0</v>
      </c>
      <c r="GQ99" s="24">
        <v>0</v>
      </c>
      <c r="GR99" s="24">
        <v>3377</v>
      </c>
      <c r="GS99" s="24">
        <v>0</v>
      </c>
      <c r="GT99" s="24">
        <v>0</v>
      </c>
      <c r="GU99" s="24">
        <v>0</v>
      </c>
      <c r="GV99" s="24">
        <v>0</v>
      </c>
      <c r="GW99" s="24">
        <v>0</v>
      </c>
      <c r="GX99" s="24">
        <v>0</v>
      </c>
      <c r="GY99" s="24">
        <v>0</v>
      </c>
      <c r="GZ99" s="24">
        <v>0</v>
      </c>
      <c r="HA99" s="24">
        <v>0</v>
      </c>
      <c r="HB99" s="24">
        <v>0</v>
      </c>
      <c r="HC99" s="24">
        <v>0</v>
      </c>
      <c r="HD99" s="24">
        <v>1657528</v>
      </c>
      <c r="HE99" s="24">
        <v>0</v>
      </c>
      <c r="HF99" s="24">
        <v>0</v>
      </c>
      <c r="HG99" s="24">
        <v>0</v>
      </c>
      <c r="HH99" s="24">
        <v>0</v>
      </c>
      <c r="HI99" s="24">
        <v>138476</v>
      </c>
      <c r="HJ99" s="24">
        <v>0</v>
      </c>
      <c r="HK99" s="24">
        <v>0</v>
      </c>
      <c r="HL99" s="24">
        <v>0</v>
      </c>
      <c r="HM99" s="24">
        <v>747149</v>
      </c>
      <c r="HN99" s="24">
        <v>0</v>
      </c>
      <c r="HO99" s="24">
        <v>214270</v>
      </c>
      <c r="HP99" s="24">
        <v>145133</v>
      </c>
      <c r="HQ99" s="24">
        <v>0</v>
      </c>
      <c r="HR99" s="24">
        <v>0</v>
      </c>
      <c r="HS99" s="24">
        <v>0</v>
      </c>
      <c r="HT99" s="24">
        <v>0</v>
      </c>
      <c r="HU99" s="24">
        <v>0</v>
      </c>
      <c r="HV99" s="24">
        <v>0</v>
      </c>
      <c r="HW99" s="24">
        <v>0</v>
      </c>
      <c r="HX99" s="24">
        <v>0</v>
      </c>
      <c r="HY99" s="24">
        <v>0</v>
      </c>
      <c r="HZ99" s="24">
        <v>0</v>
      </c>
      <c r="IA99" s="24">
        <v>23882</v>
      </c>
      <c r="IB99" s="24">
        <v>5733</v>
      </c>
      <c r="IC99" s="24">
        <v>0</v>
      </c>
      <c r="ID99" s="24">
        <v>0</v>
      </c>
      <c r="IE99" s="24">
        <v>0</v>
      </c>
      <c r="IF99" s="24">
        <v>0</v>
      </c>
      <c r="IG99" s="24">
        <v>0</v>
      </c>
      <c r="IH99" s="24">
        <v>0</v>
      </c>
      <c r="II99" s="24">
        <v>0</v>
      </c>
      <c r="IJ99" s="24">
        <v>0</v>
      </c>
      <c r="IK99" s="24">
        <v>0</v>
      </c>
      <c r="IL99" s="24">
        <v>0</v>
      </c>
      <c r="IM99" s="24">
        <v>0</v>
      </c>
      <c r="IN99" s="24">
        <v>0</v>
      </c>
      <c r="IO99" s="24">
        <v>443</v>
      </c>
      <c r="IP99" s="24">
        <v>0</v>
      </c>
      <c r="IQ99" s="24">
        <v>0</v>
      </c>
      <c r="IR99" s="24">
        <v>32550</v>
      </c>
      <c r="IS99" s="24">
        <v>0</v>
      </c>
      <c r="IT99" s="24">
        <v>0</v>
      </c>
      <c r="IU99" s="24">
        <v>0</v>
      </c>
      <c r="IV99" s="24">
        <v>0</v>
      </c>
      <c r="IW99" s="24">
        <v>41978</v>
      </c>
      <c r="IX99" s="24">
        <v>0</v>
      </c>
      <c r="IY99" s="24">
        <v>0</v>
      </c>
      <c r="IZ99" s="24">
        <v>0</v>
      </c>
      <c r="JA99" s="24">
        <v>0</v>
      </c>
      <c r="JB99" s="24">
        <v>33722</v>
      </c>
      <c r="JC99" s="24">
        <v>0</v>
      </c>
      <c r="JD99" s="24">
        <v>0</v>
      </c>
      <c r="JE99" s="24">
        <v>0</v>
      </c>
      <c r="JF99" s="24">
        <v>0</v>
      </c>
      <c r="JG99" s="24">
        <v>0</v>
      </c>
      <c r="JH99" s="24">
        <v>0</v>
      </c>
      <c r="JI99" s="24">
        <v>0</v>
      </c>
      <c r="JJ99" s="24">
        <v>0</v>
      </c>
      <c r="JK99" s="24">
        <v>0</v>
      </c>
      <c r="JL99" s="24">
        <v>0</v>
      </c>
      <c r="JM99" s="24">
        <v>0</v>
      </c>
      <c r="JN99" s="24">
        <v>0</v>
      </c>
      <c r="JO99" s="24">
        <v>0</v>
      </c>
      <c r="JP99" s="24">
        <v>0</v>
      </c>
      <c r="JQ99" s="24">
        <v>0</v>
      </c>
      <c r="JR99" s="24">
        <v>0</v>
      </c>
      <c r="JS99" s="24">
        <v>0</v>
      </c>
      <c r="JT99" s="24">
        <v>0</v>
      </c>
      <c r="JU99" s="24">
        <v>0</v>
      </c>
      <c r="JV99" s="24">
        <v>0</v>
      </c>
      <c r="JW99" s="24">
        <v>0</v>
      </c>
      <c r="JX99" s="24">
        <v>0</v>
      </c>
      <c r="JY99" s="24">
        <v>0</v>
      </c>
      <c r="JZ99" s="24">
        <v>0</v>
      </c>
      <c r="KA99" s="24">
        <v>10882</v>
      </c>
      <c r="KB99" s="24">
        <v>0</v>
      </c>
      <c r="KC99" s="24">
        <v>0</v>
      </c>
      <c r="KD99" s="24">
        <v>0</v>
      </c>
      <c r="KE99" s="24">
        <v>0</v>
      </c>
      <c r="KF99" s="24">
        <v>0</v>
      </c>
      <c r="KG99" s="24">
        <v>2758</v>
      </c>
      <c r="KH99" s="24">
        <v>0</v>
      </c>
      <c r="KI99" s="24">
        <v>0</v>
      </c>
      <c r="KJ99" s="24">
        <v>0</v>
      </c>
      <c r="KK99" s="24">
        <v>700</v>
      </c>
      <c r="KL99" s="24">
        <v>0</v>
      </c>
      <c r="KM99" s="24">
        <v>0</v>
      </c>
      <c r="KN99" s="24">
        <v>0</v>
      </c>
      <c r="KO99" s="24">
        <v>0</v>
      </c>
      <c r="KP99" s="24">
        <v>0</v>
      </c>
      <c r="KQ99" s="24">
        <v>0</v>
      </c>
      <c r="KR99" s="24">
        <v>0</v>
      </c>
      <c r="KS99" s="24">
        <v>0</v>
      </c>
      <c r="KT99" s="24">
        <v>0</v>
      </c>
      <c r="KU99" s="24">
        <v>0</v>
      </c>
      <c r="KV99" s="24">
        <v>0</v>
      </c>
      <c r="KW99" s="24">
        <v>0</v>
      </c>
      <c r="KX99" s="24">
        <v>0</v>
      </c>
      <c r="KY99" s="24">
        <v>0</v>
      </c>
      <c r="KZ99" s="24">
        <v>0</v>
      </c>
      <c r="LA99" s="24">
        <v>0</v>
      </c>
      <c r="LB99" s="24">
        <v>0</v>
      </c>
      <c r="LC99" s="24">
        <v>0</v>
      </c>
      <c r="LD99" s="24">
        <v>0</v>
      </c>
      <c r="LE99" s="24">
        <v>0</v>
      </c>
      <c r="LF99" s="24">
        <v>0</v>
      </c>
      <c r="LG99" s="24">
        <v>0</v>
      </c>
      <c r="LH99" s="24">
        <v>0</v>
      </c>
      <c r="LI99" s="24">
        <v>0</v>
      </c>
      <c r="LJ99" s="24">
        <v>0</v>
      </c>
      <c r="LK99" s="24">
        <v>0</v>
      </c>
      <c r="LL99" s="24">
        <v>0</v>
      </c>
      <c r="LM99" s="24">
        <v>0</v>
      </c>
      <c r="LN99" s="24">
        <v>0</v>
      </c>
      <c r="LO99" s="24">
        <v>0</v>
      </c>
      <c r="LP99" s="24">
        <v>0</v>
      </c>
      <c r="LQ99" s="24">
        <v>243376</v>
      </c>
      <c r="LR99" s="24">
        <v>9632</v>
      </c>
      <c r="LS99" s="24">
        <v>0</v>
      </c>
      <c r="LT99" s="24">
        <v>0</v>
      </c>
      <c r="LU99" s="24">
        <v>0</v>
      </c>
      <c r="LV99" s="24">
        <v>0</v>
      </c>
      <c r="LW99" s="24">
        <v>0</v>
      </c>
      <c r="LX99" s="24">
        <v>0</v>
      </c>
      <c r="LY99" s="24">
        <v>0</v>
      </c>
      <c r="LZ99" s="24">
        <v>0</v>
      </c>
      <c r="MA99" s="24">
        <v>0</v>
      </c>
      <c r="MB99" s="24">
        <v>0</v>
      </c>
      <c r="MC99" s="24">
        <v>0</v>
      </c>
      <c r="MD99" s="24">
        <v>0</v>
      </c>
      <c r="ME99" s="24">
        <v>0</v>
      </c>
      <c r="MF99" s="24">
        <v>0</v>
      </c>
      <c r="MG99" s="24">
        <v>0</v>
      </c>
      <c r="MH99" s="24">
        <v>0</v>
      </c>
      <c r="MI99" s="24">
        <v>0</v>
      </c>
      <c r="MJ99" s="24">
        <v>0</v>
      </c>
      <c r="MK99" s="24">
        <v>0</v>
      </c>
      <c r="ML99" s="24">
        <v>0</v>
      </c>
      <c r="MM99" s="24">
        <v>0</v>
      </c>
      <c r="MN99" s="24">
        <v>0</v>
      </c>
      <c r="MO99" s="24">
        <v>0</v>
      </c>
      <c r="MP99" s="24">
        <v>0</v>
      </c>
      <c r="MQ99" s="24">
        <v>0</v>
      </c>
      <c r="MR99" s="24">
        <v>125833</v>
      </c>
      <c r="MS99" s="24">
        <v>0</v>
      </c>
      <c r="MT99" s="24">
        <v>0</v>
      </c>
      <c r="MU99" s="24">
        <v>0</v>
      </c>
      <c r="MV99" s="24">
        <v>-1099</v>
      </c>
      <c r="MW99" s="24">
        <v>113819</v>
      </c>
      <c r="MX99" s="24">
        <v>10949</v>
      </c>
      <c r="MY99" s="24">
        <v>0</v>
      </c>
      <c r="MZ99" s="24">
        <v>0</v>
      </c>
      <c r="NA99" s="24">
        <v>0</v>
      </c>
      <c r="NB99" s="24">
        <v>0</v>
      </c>
      <c r="NC99" s="24">
        <v>0</v>
      </c>
      <c r="ND99" s="24">
        <v>0</v>
      </c>
      <c r="NE99" s="24">
        <v>0</v>
      </c>
      <c r="NF99" s="24">
        <v>0</v>
      </c>
      <c r="NG99" s="24">
        <v>0</v>
      </c>
      <c r="NH99" s="24">
        <v>0</v>
      </c>
      <c r="NI99" s="24">
        <v>0</v>
      </c>
      <c r="NJ99" s="24">
        <v>0</v>
      </c>
      <c r="NK99" s="24">
        <v>0</v>
      </c>
      <c r="NL99" s="24">
        <v>0</v>
      </c>
      <c r="NM99" s="24">
        <v>0</v>
      </c>
      <c r="NN99" s="24">
        <v>0</v>
      </c>
      <c r="NO99" s="24">
        <v>0</v>
      </c>
      <c r="NP99" s="24">
        <v>0</v>
      </c>
      <c r="NQ99" s="24">
        <v>0</v>
      </c>
      <c r="NR99" s="24">
        <v>0</v>
      </c>
      <c r="NS99" s="24">
        <v>0</v>
      </c>
      <c r="NT99" s="24">
        <v>0</v>
      </c>
      <c r="NU99" s="24">
        <v>0</v>
      </c>
      <c r="NV99" s="24">
        <v>56681</v>
      </c>
      <c r="NW99" s="24">
        <v>0</v>
      </c>
      <c r="NX99" s="24">
        <v>0</v>
      </c>
      <c r="NY99" s="24">
        <v>0</v>
      </c>
      <c r="NZ99" s="24">
        <v>0</v>
      </c>
      <c r="OA99" s="24">
        <v>0</v>
      </c>
      <c r="OB99" s="24">
        <v>0</v>
      </c>
      <c r="OC99" s="24">
        <v>0</v>
      </c>
      <c r="OD99" s="24">
        <v>0</v>
      </c>
      <c r="OE99" s="24">
        <v>0</v>
      </c>
      <c r="OF99" s="24">
        <v>0</v>
      </c>
      <c r="OG99" s="24">
        <v>0</v>
      </c>
      <c r="OH99" s="24">
        <v>0</v>
      </c>
      <c r="OI99" s="24">
        <v>0</v>
      </c>
      <c r="OJ99" s="24">
        <v>0</v>
      </c>
      <c r="OK99" s="24">
        <v>13411</v>
      </c>
      <c r="OL99" s="24">
        <v>0</v>
      </c>
      <c r="OM99" s="24">
        <v>0</v>
      </c>
      <c r="ON99" s="24">
        <v>141114</v>
      </c>
      <c r="OO99" s="24">
        <v>0</v>
      </c>
      <c r="OP99" s="24">
        <v>0</v>
      </c>
      <c r="OQ99" s="24">
        <v>0</v>
      </c>
      <c r="OR99" s="24">
        <v>0</v>
      </c>
      <c r="OS99" s="24">
        <v>0</v>
      </c>
      <c r="OT99" s="24">
        <v>0</v>
      </c>
      <c r="OU99" s="24">
        <v>0</v>
      </c>
      <c r="OV99" s="24">
        <v>0</v>
      </c>
      <c r="OW99" s="24">
        <v>0</v>
      </c>
      <c r="OX99" s="24">
        <v>0</v>
      </c>
      <c r="OY99" s="24">
        <v>0</v>
      </c>
      <c r="OZ99" s="24">
        <v>0</v>
      </c>
      <c r="PA99" s="24">
        <v>0</v>
      </c>
      <c r="PB99" s="24">
        <v>0</v>
      </c>
      <c r="PC99" s="24">
        <v>0</v>
      </c>
      <c r="PD99" s="24">
        <v>0</v>
      </c>
      <c r="PE99" s="24">
        <v>0</v>
      </c>
      <c r="PF99" s="24">
        <v>0</v>
      </c>
      <c r="PG99" s="24">
        <v>0</v>
      </c>
      <c r="PH99" s="24">
        <v>0</v>
      </c>
      <c r="PI99" s="24">
        <v>0</v>
      </c>
      <c r="PJ99" s="24">
        <v>0</v>
      </c>
      <c r="PK99" s="24">
        <v>0</v>
      </c>
      <c r="PL99" s="24">
        <v>0</v>
      </c>
      <c r="PM99" s="24">
        <v>0</v>
      </c>
      <c r="PN99" s="24">
        <v>0</v>
      </c>
      <c r="PO99" s="24">
        <v>0</v>
      </c>
      <c r="PP99" s="24">
        <v>0</v>
      </c>
      <c r="PQ99" s="24">
        <v>0</v>
      </c>
      <c r="PR99" s="24">
        <v>0</v>
      </c>
      <c r="PS99" s="24">
        <v>0</v>
      </c>
      <c r="PT99" s="24">
        <v>0</v>
      </c>
      <c r="PU99" s="24">
        <v>0</v>
      </c>
      <c r="PV99" s="24">
        <v>0</v>
      </c>
      <c r="PW99" s="24">
        <v>0</v>
      </c>
      <c r="PX99" s="24">
        <v>0</v>
      </c>
      <c r="PY99" s="24">
        <v>0</v>
      </c>
      <c r="PZ99" s="24">
        <v>0</v>
      </c>
      <c r="QA99" s="24">
        <v>0</v>
      </c>
      <c r="QB99" s="24">
        <v>0</v>
      </c>
      <c r="QC99" s="24">
        <v>0</v>
      </c>
      <c r="QD99" s="24">
        <v>0</v>
      </c>
      <c r="QE99" s="24">
        <v>0</v>
      </c>
      <c r="QF99" s="24">
        <v>0</v>
      </c>
      <c r="QG99" s="24">
        <v>0</v>
      </c>
      <c r="QH99" s="24">
        <v>0</v>
      </c>
      <c r="QI99" s="24">
        <v>0</v>
      </c>
      <c r="QJ99" s="24">
        <v>0</v>
      </c>
      <c r="QK99" s="24">
        <v>0</v>
      </c>
      <c r="QL99" s="24">
        <v>0</v>
      </c>
      <c r="QM99" s="24">
        <v>0</v>
      </c>
      <c r="QN99" s="24">
        <v>0</v>
      </c>
      <c r="QO99" s="24">
        <v>0</v>
      </c>
      <c r="QP99" s="24">
        <v>0</v>
      </c>
      <c r="QQ99" s="24">
        <v>0</v>
      </c>
      <c r="QR99" s="24">
        <v>0</v>
      </c>
      <c r="QS99" s="24">
        <v>31603</v>
      </c>
      <c r="QT99" s="24">
        <v>0</v>
      </c>
      <c r="QU99" s="24">
        <v>0</v>
      </c>
      <c r="QV99" s="24">
        <v>350000</v>
      </c>
      <c r="QW99" s="24">
        <v>22024</v>
      </c>
      <c r="QX99" s="24">
        <v>0</v>
      </c>
      <c r="QY99" s="24">
        <v>0</v>
      </c>
      <c r="QZ99" s="24">
        <v>0</v>
      </c>
      <c r="RA99" s="24">
        <v>0</v>
      </c>
      <c r="RB99" s="24">
        <v>0</v>
      </c>
      <c r="RG99" s="39">
        <f t="shared" si="129"/>
        <v>1657528</v>
      </c>
      <c r="RH99" s="39">
        <f t="shared" si="206"/>
        <v>138476</v>
      </c>
      <c r="RI99" s="39">
        <f t="shared" si="206"/>
        <v>0</v>
      </c>
      <c r="RJ99" s="39">
        <f t="shared" si="206"/>
        <v>747149</v>
      </c>
      <c r="RK99" s="39">
        <f t="shared" si="206"/>
        <v>0</v>
      </c>
      <c r="RL99" s="39">
        <f t="shared" si="206"/>
        <v>214270</v>
      </c>
      <c r="RM99" s="39">
        <f t="shared" si="206"/>
        <v>174748</v>
      </c>
      <c r="RN99" s="39">
        <f t="shared" si="206"/>
        <v>443</v>
      </c>
      <c r="RO99" s="39">
        <f t="shared" si="206"/>
        <v>32550</v>
      </c>
      <c r="RP99" s="39">
        <f t="shared" si="206"/>
        <v>41978</v>
      </c>
      <c r="RQ99" s="39">
        <f t="shared" si="206"/>
        <v>33722</v>
      </c>
      <c r="RR99" s="39">
        <f t="shared" si="206"/>
        <v>10882</v>
      </c>
      <c r="RS99" s="39"/>
      <c r="RT99" s="182"/>
      <c r="RU99" s="39"/>
      <c r="RV99" s="39">
        <f t="shared" si="182"/>
        <v>717174</v>
      </c>
      <c r="RW99" s="39">
        <f t="shared" si="182"/>
        <v>3051746</v>
      </c>
      <c r="RX99" s="39">
        <f t="shared" si="182"/>
        <v>1187047</v>
      </c>
      <c r="RY99" s="39">
        <f t="shared" si="182"/>
        <v>403627</v>
      </c>
      <c r="RZ99" s="39"/>
      <c r="SA99" s="182"/>
      <c r="SB99" s="39"/>
      <c r="SC99" s="25">
        <f t="shared" si="183"/>
        <v>4239.4535714285712</v>
      </c>
      <c r="SD99" s="39">
        <f>IFERROR(VLOOKUP(A99, 'Levy Data 15-16'!$B:$O, 3, FALSE), 0)</f>
        <v>194030203</v>
      </c>
      <c r="SE99" s="39">
        <f t="shared" si="144"/>
        <v>692965.01071428566</v>
      </c>
      <c r="SF99" s="631">
        <f>IFERROR(VLOOKUP(A99, 'Levy Data 15-16'!$B:$O, 14, FALSE), 0)*1000</f>
        <v>5.2650459999999999</v>
      </c>
      <c r="SG99" s="39">
        <f t="shared" si="145"/>
        <v>0</v>
      </c>
      <c r="SH99" s="39">
        <f t="shared" si="146"/>
        <v>0</v>
      </c>
      <c r="SI99" s="39">
        <f t="shared" si="147"/>
        <v>1187047</v>
      </c>
      <c r="SM99" s="39">
        <f t="shared" si="148"/>
        <v>3051746</v>
      </c>
      <c r="SN99" s="39">
        <f t="shared" si="149"/>
        <v>0</v>
      </c>
      <c r="SO99" s="39">
        <f t="shared" si="184"/>
        <v>3051746</v>
      </c>
      <c r="SP99" s="50">
        <f t="shared" si="130"/>
        <v>1</v>
      </c>
      <c r="ST99" s="124">
        <f>IFERROR(VLOOKUP(A99,'Grade Enroll 15-16'!B:AC,27,FALSE),"")</f>
        <v>280</v>
      </c>
      <c r="SU99" s="124">
        <f t="shared" si="185"/>
        <v>179.20000000000002</v>
      </c>
      <c r="SV99" s="131">
        <f>IFERROR(VLOOKUP($A99, 'Title I Enroll 16-17'!S:V, 4, FALSE), 0)</f>
        <v>0.64</v>
      </c>
      <c r="SW99" s="729">
        <f>IFERROR(VLOOKUP(A99, 'ELL Enroll 15-16'!$N:$S, 6, FALSE), 0)</f>
        <v>57</v>
      </c>
      <c r="SX99" s="131">
        <f t="shared" si="131"/>
        <v>0.20357142857142857</v>
      </c>
      <c r="SY99" s="124">
        <f>IFERROR(VLOOKUP(A99, 'SPED enroll 2015-16'!$M:$O, 3, FALSE), 0)</f>
        <v>30</v>
      </c>
      <c r="SZ99" s="131">
        <f t="shared" si="132"/>
        <v>0.10714285714285714</v>
      </c>
      <c r="TA99" s="142">
        <f t="shared" si="207"/>
        <v>21</v>
      </c>
      <c r="TB99" s="142">
        <f t="shared" si="207"/>
        <v>6</v>
      </c>
      <c r="TC99" s="142">
        <f t="shared" si="207"/>
        <v>2.1</v>
      </c>
      <c r="TD99" s="142">
        <f t="shared" si="207"/>
        <v>0.89999999999999991</v>
      </c>
      <c r="TE99" s="124">
        <f>VLOOKUP($A99, 'Grade Enroll 15-16'!$B:$AB, 20, FALSE)</f>
        <v>28</v>
      </c>
      <c r="TF99" s="124">
        <f>VLOOKUP($A99, 'Grade Enroll 15-16'!$B:$AB, 21, FALSE)</f>
        <v>19</v>
      </c>
      <c r="TG99" s="124">
        <f>VLOOKUP($A99, 'Grade Enroll 15-16'!$B:$AB, 22, FALSE)</f>
        <v>81</v>
      </c>
      <c r="TH99" s="124">
        <f>VLOOKUP($A99, 'Grade Enroll 15-16'!$B:$AB, 23, FALSE)</f>
        <v>73</v>
      </c>
      <c r="TI99" s="124">
        <f>VLOOKUP($A99, 'Grade Enroll 15-16'!$B:$AB, 24, FALSE)</f>
        <v>54</v>
      </c>
      <c r="TJ99" s="124">
        <f>VLOOKUP($A99, 'Grade Enroll 15-16'!$B:$AB, 25, FALSE)</f>
        <v>72</v>
      </c>
      <c r="TK99" s="124">
        <f>VLOOKUP($A99, 'Grade Enroll 15-16'!$B:$AB, 26, FALSE)</f>
        <v>195</v>
      </c>
      <c r="TL99" s="131">
        <f>SUMIFS('Student Achievement 15-16'!N:N, 'Student Achievement 15-16'!B:B, 'Idaho Data'!A99, 'Student Achievement 15-16'!D:D, "math")/100</f>
        <v>0.59699999999999998</v>
      </c>
      <c r="TM99" s="134">
        <f t="shared" si="186"/>
        <v>167.16</v>
      </c>
      <c r="TN99" s="131">
        <f>SUMIFS('Student Achievement 15-16'!N:N, 'Student Achievement 15-16'!B:B, 'Idaho Data'!A99, 'Student Achievement 15-16'!D:D, "ela")/100</f>
        <v>0.63500000000000001</v>
      </c>
      <c r="TO99" s="134">
        <f t="shared" si="134"/>
        <v>177.8</v>
      </c>
      <c r="TP99" s="688">
        <f>IFERROR(VLOOKUP(A99, 'G&amp;T 15-16'!B:G, 6, FALSE), 0)*1</f>
        <v>0</v>
      </c>
      <c r="TQ99" s="168">
        <f t="shared" si="135"/>
        <v>16.8</v>
      </c>
      <c r="TU99" s="168">
        <f t="shared" si="136"/>
        <v>167.16</v>
      </c>
      <c r="TV99" s="168">
        <f t="shared" si="137"/>
        <v>177.8</v>
      </c>
      <c r="TW99" s="205">
        <f t="shared" si="138"/>
        <v>177.8</v>
      </c>
      <c r="TX99" s="144"/>
      <c r="TY99" s="129"/>
      <c r="TZ99" s="127">
        <f t="shared" si="139"/>
        <v>0</v>
      </c>
      <c r="UA99" s="127">
        <f t="shared" si="140"/>
        <v>16.8</v>
      </c>
      <c r="UB99" s="205">
        <f t="shared" si="141"/>
        <v>16.8</v>
      </c>
      <c r="UE99" s="853" t="str">
        <f>IF(ST99&lt;='1. Simulator Input'!$E$104, "yes", "")</f>
        <v>yes</v>
      </c>
      <c r="UI99" s="199">
        <f t="shared" si="187"/>
        <v>0</v>
      </c>
      <c r="UJ99" s="200">
        <f>IF('Idaho Data'!SI99&gt;=0, ((1-'1. Simulator Input'!$E$39)*'Idaho Data'!SI99), 0)</f>
        <v>0</v>
      </c>
      <c r="UK99" s="200">
        <f t="shared" si="142"/>
        <v>3051746</v>
      </c>
      <c r="UL99" s="39"/>
      <c r="UM99" s="182"/>
      <c r="UN99" s="39"/>
      <c r="UO99" s="39">
        <f>IF(AND('1. Simulator Input'!$E$96="yes", '1. Simulator Input'!$E$98="yes", '1. Simulator Input'!$E$100="hold harmless"), 'Idaho Data'!WN99, IF(AND('1. Simulator Input'!$E$96="yes", '1. Simulator Input'!$E$98="no", '1. Simulator Input'!$E$100="hold harmless"), 'Idaho Data'!WM99, IF(AND('1. Simulator Input'!$E$96="yes", '1. Simulator Input'!$E$98="yes", '1. Simulator Input'!$E$100="small district grant"), WL99,IF(AND('1. Simulator Input'!$E$96="yes", '1. Simulator Input'!$E$98="no", '1. Simulator Input'!$E$100="small district grant"), WK99, ""))))</f>
        <v>0</v>
      </c>
      <c r="UP99" s="200">
        <f>'1. Simulator Input'!$D$56*('Idaho Data'!ST99)</f>
        <v>1547280</v>
      </c>
      <c r="UQ99" s="204">
        <f>'1. Simulator Input'!$D$65*'1. Simulator Input'!$D$56*'Idaho Data'!SU99</f>
        <v>0</v>
      </c>
      <c r="UR99" s="204">
        <f>'1. Simulator Input'!$D$66*'1. Simulator Input'!$D$56*'Idaho Data'!SW99</f>
        <v>0</v>
      </c>
      <c r="US99" s="200">
        <f>'1. Simulator Input'!$D$67*'1. Simulator Input'!$D$56*'Idaho Data'!TA99</f>
        <v>0</v>
      </c>
      <c r="UT99" s="200">
        <f>'1. Simulator Input'!$D$68*'1. Simulator Input'!$D$56*'Idaho Data'!TB99</f>
        <v>0</v>
      </c>
      <c r="UU99" s="200">
        <f>'1. Simulator Input'!$D$69*'1. Simulator Input'!$D$56*'Idaho Data'!TC99</f>
        <v>0</v>
      </c>
      <c r="UV99" s="200">
        <f>'1. Simulator Input'!$D$70*'1. Simulator Input'!$D$56*TD99</f>
        <v>0</v>
      </c>
      <c r="UW99" s="200">
        <f>'1. Simulator Input'!$D$80*'1. Simulator Input'!$D$56*TW99</f>
        <v>0</v>
      </c>
      <c r="UX99" s="200">
        <f>'1. Simulator Input'!$D$79*'1. Simulator Input'!$D$56*UB99</f>
        <v>0</v>
      </c>
      <c r="UY99" s="200">
        <f>'1. Simulator Input'!$D$87*'1. Simulator Input'!$D$56*TF99</f>
        <v>52497</v>
      </c>
      <c r="UZ99" s="200">
        <f>'1. Simulator Input'!$D$73*'1. Simulator Input'!$D$56*'Idaho Data'!TG99</f>
        <v>0</v>
      </c>
      <c r="VA99" s="200">
        <f>'1. Simulator Input'!$D$56*'1. Simulator Input'!$D$74*'Idaho Data'!TH99</f>
        <v>0</v>
      </c>
      <c r="VB99" s="200">
        <f>'1. Simulator Input'!$D$56*'1. Simulator Input'!$D$75*'Idaho Data'!TI94</f>
        <v>0</v>
      </c>
      <c r="VC99" s="200">
        <f>'1. Simulator Input'!$D$76*'1. Simulator Input'!$D$56*'Idaho Data'!TJ99</f>
        <v>0</v>
      </c>
      <c r="VD99" s="200">
        <f t="shared" si="188"/>
        <v>1599777</v>
      </c>
      <c r="VE99" s="200"/>
      <c r="VF99" s="182"/>
      <c r="VG99" s="200"/>
      <c r="VH99" s="200">
        <f t="shared" si="189"/>
        <v>0</v>
      </c>
      <c r="VI99" s="200">
        <f t="shared" si="190"/>
        <v>0</v>
      </c>
      <c r="VJ99" s="200">
        <f t="shared" si="150"/>
        <v>1599777</v>
      </c>
      <c r="VK99" s="200">
        <f t="shared" si="151"/>
        <v>1599777</v>
      </c>
      <c r="VL99" s="200"/>
      <c r="VM99" s="182"/>
      <c r="VN99" s="200"/>
      <c r="VO99" s="200">
        <f t="shared" si="191"/>
        <v>717174</v>
      </c>
      <c r="VP99" s="200">
        <f t="shared" si="192"/>
        <v>3051746</v>
      </c>
      <c r="VQ99" s="200">
        <f t="shared" si="193"/>
        <v>1187047</v>
      </c>
      <c r="VR99" s="200">
        <f t="shared" si="194"/>
        <v>717174</v>
      </c>
      <c r="VS99" s="200">
        <f t="shared" si="152"/>
        <v>1599777</v>
      </c>
      <c r="VT99" s="200">
        <f t="shared" si="153"/>
        <v>1187047</v>
      </c>
      <c r="VU99" s="200">
        <f t="shared" si="154"/>
        <v>0</v>
      </c>
      <c r="VV99" s="200"/>
      <c r="VW99" s="182"/>
      <c r="VX99" s="200"/>
      <c r="VZ99" s="199">
        <f t="shared" si="195"/>
        <v>-1451969</v>
      </c>
      <c r="WA99" s="466">
        <f t="shared" si="196"/>
        <v>-5185.6035714285717</v>
      </c>
      <c r="WB99" s="131">
        <f t="shared" si="197"/>
        <v>-0.47578304354294232</v>
      </c>
      <c r="WC99" s="131"/>
      <c r="WD99" s="461"/>
      <c r="WE99" s="893"/>
      <c r="WF99" s="893">
        <f t="shared" si="198"/>
        <v>17699.882142857143</v>
      </c>
      <c r="WG99" s="893">
        <f t="shared" si="199"/>
        <v>12514.278571428571</v>
      </c>
      <c r="WH99" s="893"/>
      <c r="WI99" s="893">
        <f t="shared" si="200"/>
        <v>3051746</v>
      </c>
      <c r="WJ99" s="893">
        <f t="shared" si="155"/>
        <v>1599777</v>
      </c>
      <c r="WK99" s="39">
        <f t="shared" si="156"/>
        <v>0</v>
      </c>
      <c r="WL99" s="39">
        <f t="shared" si="157"/>
        <v>0</v>
      </c>
      <c r="WM99" s="200">
        <f t="shared" si="158"/>
        <v>1451969</v>
      </c>
      <c r="WN99" s="39">
        <f t="shared" si="159"/>
        <v>1451969</v>
      </c>
      <c r="WO99" s="39"/>
      <c r="WP99" s="182"/>
      <c r="WQ99" s="39"/>
      <c r="WR99" s="305">
        <f t="shared" si="160"/>
        <v>0.67500000000000004</v>
      </c>
      <c r="WT99" s="200">
        <f t="shared" si="161"/>
        <v>10899.092857142858</v>
      </c>
      <c r="WU99" s="131">
        <f t="shared" si="201"/>
        <v>0.88</v>
      </c>
      <c r="WW99" s="199">
        <f t="shared" si="162"/>
        <v>717174</v>
      </c>
      <c r="WX99" s="199">
        <f t="shared" si="163"/>
        <v>1599777</v>
      </c>
      <c r="WY99" s="199">
        <f t="shared" si="164"/>
        <v>0</v>
      </c>
      <c r="WZ99" s="199">
        <f t="shared" si="202"/>
        <v>1599777</v>
      </c>
      <c r="XA99" s="199">
        <f t="shared" si="165"/>
        <v>0</v>
      </c>
      <c r="XB99" s="199">
        <f t="shared" si="166"/>
        <v>1187047</v>
      </c>
      <c r="XC99" s="199">
        <f t="shared" si="167"/>
        <v>1187047</v>
      </c>
      <c r="XD99" s="199" t="str">
        <f t="shared" si="168"/>
        <v/>
      </c>
      <c r="XE99" s="199"/>
      <c r="XF99" s="199"/>
      <c r="XG99" s="199"/>
      <c r="XH99" s="199"/>
      <c r="XI99" s="199"/>
      <c r="XJ99" s="199">
        <f t="shared" si="203"/>
        <v>1599777</v>
      </c>
      <c r="XP99" s="199">
        <f t="shared" si="169"/>
        <v>1599777</v>
      </c>
      <c r="XQ99" s="199">
        <f t="shared" si="170"/>
        <v>5713.4892857142859</v>
      </c>
      <c r="XR99" s="199">
        <f t="shared" si="171"/>
        <v>1599777</v>
      </c>
      <c r="XS99" s="199">
        <f t="shared" si="172"/>
        <v>1599777</v>
      </c>
      <c r="XT99" s="199">
        <f t="shared" si="173"/>
        <v>5713.4892857142859</v>
      </c>
      <c r="XU99" s="199">
        <f t="shared" si="174"/>
        <v>3051746</v>
      </c>
      <c r="XV99" s="199">
        <f t="shared" si="175"/>
        <v>10899.092857142858</v>
      </c>
      <c r="XW99" s="199">
        <f t="shared" si="176"/>
        <v>3051746</v>
      </c>
      <c r="XX99" s="199">
        <f t="shared" si="177"/>
        <v>10899.092857142858</v>
      </c>
      <c r="XY99" s="199">
        <f t="shared" si="204"/>
        <v>-1451969</v>
      </c>
      <c r="XZ99" s="199">
        <f t="shared" si="205"/>
        <v>-5185.6035714285717</v>
      </c>
      <c r="YA99" s="131">
        <f t="shared" si="143"/>
        <v>-0.47578304354294232</v>
      </c>
      <c r="YB99" s="199"/>
      <c r="YC99" s="221"/>
      <c r="YD99" s="199"/>
      <c r="YE99" s="199">
        <f t="shared" si="178"/>
        <v>717174</v>
      </c>
      <c r="YF99" s="200">
        <f t="shared" si="179"/>
        <v>0</v>
      </c>
      <c r="YG99" s="199">
        <f t="shared" si="180"/>
        <v>1187047</v>
      </c>
      <c r="YH99" s="199">
        <f t="shared" si="181"/>
        <v>403627</v>
      </c>
    </row>
    <row r="100" spans="1:658">
      <c r="A100" s="3">
        <v>370</v>
      </c>
      <c r="B100" s="2" t="s">
        <v>197</v>
      </c>
      <c r="C100" s="24">
        <v>0</v>
      </c>
      <c r="D100" s="24">
        <v>0</v>
      </c>
      <c r="E100" s="24">
        <v>0</v>
      </c>
      <c r="F100" s="24">
        <v>0</v>
      </c>
      <c r="G100" s="24">
        <v>2791</v>
      </c>
      <c r="H100" s="24">
        <v>0</v>
      </c>
      <c r="I100" s="24">
        <v>0</v>
      </c>
      <c r="J100" s="24">
        <v>152</v>
      </c>
      <c r="K100" s="24">
        <v>232845</v>
      </c>
      <c r="L100" s="24">
        <v>0</v>
      </c>
      <c r="M100" s="24">
        <v>0</v>
      </c>
      <c r="N100" s="24">
        <v>54</v>
      </c>
      <c r="O100" s="24">
        <v>0</v>
      </c>
      <c r="P100" s="24">
        <v>0</v>
      </c>
      <c r="Q100" s="24">
        <v>0</v>
      </c>
      <c r="R100" s="24">
        <v>0</v>
      </c>
      <c r="S100" s="24">
        <v>0</v>
      </c>
      <c r="T100" s="24">
        <v>144009</v>
      </c>
      <c r="U100" s="24">
        <v>0</v>
      </c>
      <c r="V100" s="24">
        <v>0</v>
      </c>
      <c r="W100" s="24">
        <v>0</v>
      </c>
      <c r="X100" s="24">
        <v>508633</v>
      </c>
      <c r="Y100" s="24">
        <v>1761</v>
      </c>
      <c r="Z100" s="24">
        <v>0</v>
      </c>
      <c r="AA100" s="24">
        <v>4462</v>
      </c>
      <c r="AB100" s="24">
        <v>1323</v>
      </c>
      <c r="AC100" s="24">
        <v>0</v>
      </c>
      <c r="AD100" s="24">
        <v>0</v>
      </c>
      <c r="AE100" s="24">
        <v>0</v>
      </c>
      <c r="AF100" s="24">
        <v>0</v>
      </c>
      <c r="AG100" s="24">
        <v>0</v>
      </c>
      <c r="AH100" s="24">
        <v>0</v>
      </c>
      <c r="AI100" s="24">
        <v>0</v>
      </c>
      <c r="AJ100" s="24">
        <v>0</v>
      </c>
      <c r="AK100" s="24">
        <v>0</v>
      </c>
      <c r="AL100" s="24">
        <v>53353</v>
      </c>
      <c r="AM100" s="24">
        <v>0</v>
      </c>
      <c r="AN100" s="24">
        <v>0</v>
      </c>
      <c r="AO100" s="24">
        <v>168</v>
      </c>
      <c r="AP100" s="24">
        <v>32</v>
      </c>
      <c r="AQ100" s="24">
        <v>0</v>
      </c>
      <c r="AR100" s="24">
        <v>0</v>
      </c>
      <c r="AS100" s="24">
        <v>0</v>
      </c>
      <c r="AT100" s="24">
        <v>0</v>
      </c>
      <c r="AU100" s="24">
        <v>0</v>
      </c>
      <c r="AV100" s="24">
        <v>0</v>
      </c>
      <c r="AW100" s="24">
        <v>0</v>
      </c>
      <c r="AX100" s="24">
        <v>0</v>
      </c>
      <c r="AY100" s="24">
        <v>0</v>
      </c>
      <c r="AZ100" s="24">
        <v>0</v>
      </c>
      <c r="BA100" s="24">
        <v>0</v>
      </c>
      <c r="BB100" s="24">
        <v>0</v>
      </c>
      <c r="BC100" s="24">
        <v>0</v>
      </c>
      <c r="BD100" s="24">
        <v>2018</v>
      </c>
      <c r="BE100" s="24">
        <v>0</v>
      </c>
      <c r="BF100" s="24">
        <v>756</v>
      </c>
      <c r="BG100" s="24">
        <v>0</v>
      </c>
      <c r="BH100" s="24">
        <v>0</v>
      </c>
      <c r="BI100" s="24">
        <v>0</v>
      </c>
      <c r="BJ100" s="24">
        <v>0</v>
      </c>
      <c r="BK100" s="24">
        <v>0</v>
      </c>
      <c r="BL100" s="24">
        <v>0</v>
      </c>
      <c r="BM100" s="24">
        <v>6</v>
      </c>
      <c r="BN100" s="24">
        <v>0</v>
      </c>
      <c r="BO100" s="24">
        <v>0</v>
      </c>
      <c r="BP100" s="24">
        <v>0</v>
      </c>
      <c r="BQ100" s="24">
        <v>0</v>
      </c>
      <c r="BR100" s="24">
        <v>0</v>
      </c>
      <c r="BS100" s="24">
        <v>0</v>
      </c>
      <c r="BT100" s="24">
        <v>0</v>
      </c>
      <c r="BU100" s="24">
        <v>0</v>
      </c>
      <c r="BV100" s="24">
        <v>0</v>
      </c>
      <c r="BW100" s="24">
        <v>0</v>
      </c>
      <c r="BX100" s="24">
        <v>0</v>
      </c>
      <c r="BY100" s="24">
        <v>0</v>
      </c>
      <c r="BZ100" s="24">
        <v>0</v>
      </c>
      <c r="CA100" s="24">
        <v>0</v>
      </c>
      <c r="CB100" s="24">
        <v>0</v>
      </c>
      <c r="CC100" s="24">
        <v>0</v>
      </c>
      <c r="CD100" s="24">
        <v>68695</v>
      </c>
      <c r="CE100" s="24">
        <v>4952</v>
      </c>
      <c r="CF100" s="24">
        <v>0</v>
      </c>
      <c r="CG100" s="24">
        <v>0</v>
      </c>
      <c r="CH100" s="24">
        <v>0</v>
      </c>
      <c r="CI100" s="24">
        <v>0</v>
      </c>
      <c r="CJ100" s="24">
        <v>0</v>
      </c>
      <c r="CK100" s="24">
        <v>0</v>
      </c>
      <c r="CL100" s="24">
        <v>0</v>
      </c>
      <c r="CM100" s="24">
        <v>0</v>
      </c>
      <c r="CN100" s="24">
        <v>0</v>
      </c>
      <c r="CO100" s="24">
        <v>0</v>
      </c>
      <c r="CP100" s="24">
        <v>0</v>
      </c>
      <c r="CQ100" s="24">
        <v>0</v>
      </c>
      <c r="CR100" s="24">
        <v>0</v>
      </c>
      <c r="CS100" s="24">
        <v>0</v>
      </c>
      <c r="CT100" s="24">
        <v>0</v>
      </c>
      <c r="CU100" s="24">
        <v>0</v>
      </c>
      <c r="CV100" s="24">
        <v>0</v>
      </c>
      <c r="CW100" s="24">
        <v>0</v>
      </c>
      <c r="CX100" s="24">
        <v>0</v>
      </c>
      <c r="CY100" s="24">
        <v>0</v>
      </c>
      <c r="CZ100" s="24">
        <v>0</v>
      </c>
      <c r="DA100" s="24">
        <v>0</v>
      </c>
      <c r="DB100" s="24">
        <v>0</v>
      </c>
      <c r="DC100" s="24">
        <v>0</v>
      </c>
      <c r="DD100" s="24">
        <v>0</v>
      </c>
      <c r="DE100" s="24">
        <v>0</v>
      </c>
      <c r="DF100" s="24">
        <v>0</v>
      </c>
      <c r="DG100" s="24">
        <v>0</v>
      </c>
      <c r="DH100" s="24">
        <v>0</v>
      </c>
      <c r="DI100" s="24">
        <v>0</v>
      </c>
      <c r="DJ100" s="24">
        <v>0</v>
      </c>
      <c r="DK100" s="24">
        <v>0</v>
      </c>
      <c r="DL100" s="24">
        <v>0</v>
      </c>
      <c r="DM100" s="24">
        <v>0</v>
      </c>
      <c r="DN100" s="24">
        <v>0</v>
      </c>
      <c r="DO100" s="24">
        <v>0</v>
      </c>
      <c r="DP100" s="24">
        <v>0</v>
      </c>
      <c r="DQ100" s="24">
        <v>0</v>
      </c>
      <c r="DR100" s="24">
        <v>0</v>
      </c>
      <c r="DS100" s="24">
        <v>0</v>
      </c>
      <c r="DT100" s="24">
        <v>0</v>
      </c>
      <c r="DU100" s="24">
        <v>0</v>
      </c>
      <c r="DV100" s="24">
        <v>0</v>
      </c>
      <c r="DW100" s="24">
        <v>0</v>
      </c>
      <c r="DX100" s="24">
        <v>0</v>
      </c>
      <c r="DY100" s="24">
        <v>0</v>
      </c>
      <c r="DZ100" s="24">
        <v>0</v>
      </c>
      <c r="EA100" s="24">
        <v>0</v>
      </c>
      <c r="EB100" s="24">
        <v>0</v>
      </c>
      <c r="EC100" s="24">
        <v>0</v>
      </c>
      <c r="ED100" s="24">
        <v>0</v>
      </c>
      <c r="EE100" s="24">
        <v>0</v>
      </c>
      <c r="EF100" s="24">
        <v>0</v>
      </c>
      <c r="EG100" s="24">
        <v>0</v>
      </c>
      <c r="EH100" s="24">
        <v>0</v>
      </c>
      <c r="EI100" s="24">
        <v>0</v>
      </c>
      <c r="EJ100" s="24">
        <v>0</v>
      </c>
      <c r="EK100" s="24">
        <v>0</v>
      </c>
      <c r="EL100" s="24">
        <v>0</v>
      </c>
      <c r="EM100" s="24">
        <v>0</v>
      </c>
      <c r="EN100" s="24">
        <v>0</v>
      </c>
      <c r="EO100" s="24">
        <v>0</v>
      </c>
      <c r="EP100" s="24">
        <v>0</v>
      </c>
      <c r="EQ100" s="24">
        <v>0</v>
      </c>
      <c r="ER100" s="24">
        <v>0</v>
      </c>
      <c r="ES100" s="24">
        <v>0</v>
      </c>
      <c r="ET100" s="24">
        <v>0</v>
      </c>
      <c r="EU100" s="24">
        <v>0</v>
      </c>
      <c r="EV100" s="24">
        <v>0</v>
      </c>
      <c r="EW100" s="24">
        <v>0</v>
      </c>
      <c r="EX100" s="24">
        <v>0</v>
      </c>
      <c r="EY100" s="24">
        <v>0</v>
      </c>
      <c r="EZ100" s="24">
        <v>0</v>
      </c>
      <c r="FA100" s="24">
        <v>0</v>
      </c>
      <c r="FB100" s="24">
        <v>4861</v>
      </c>
      <c r="FC100" s="24">
        <v>0</v>
      </c>
      <c r="FD100" s="24">
        <v>0</v>
      </c>
      <c r="FE100" s="24">
        <v>0</v>
      </c>
      <c r="FF100" s="24">
        <v>0</v>
      </c>
      <c r="FG100" s="24">
        <v>0</v>
      </c>
      <c r="FH100" s="24">
        <v>0</v>
      </c>
      <c r="FI100" s="24">
        <v>0</v>
      </c>
      <c r="FJ100" s="24">
        <v>0</v>
      </c>
      <c r="FK100" s="24">
        <v>0</v>
      </c>
      <c r="FL100" s="24">
        <v>0</v>
      </c>
      <c r="FM100" s="24">
        <v>0</v>
      </c>
      <c r="FN100" s="24">
        <v>0</v>
      </c>
      <c r="FO100" s="24">
        <v>0</v>
      </c>
      <c r="FP100" s="24">
        <v>0</v>
      </c>
      <c r="FQ100" s="24">
        <v>0</v>
      </c>
      <c r="FR100" s="24">
        <v>0</v>
      </c>
      <c r="FS100" s="24">
        <v>88680</v>
      </c>
      <c r="FT100" s="24">
        <v>0</v>
      </c>
      <c r="FU100" s="24">
        <v>0</v>
      </c>
      <c r="FV100" s="24">
        <v>0</v>
      </c>
      <c r="FW100" s="24">
        <v>0</v>
      </c>
      <c r="FX100" s="24">
        <v>0</v>
      </c>
      <c r="FY100" s="24">
        <v>10750</v>
      </c>
      <c r="FZ100" s="24">
        <v>0</v>
      </c>
      <c r="GA100" s="24">
        <v>0</v>
      </c>
      <c r="GB100" s="24">
        <v>0</v>
      </c>
      <c r="GC100" s="24">
        <v>0</v>
      </c>
      <c r="GD100" s="24">
        <v>0</v>
      </c>
      <c r="GE100" s="24">
        <v>0</v>
      </c>
      <c r="GF100" s="24">
        <v>0</v>
      </c>
      <c r="GG100" s="24">
        <v>0</v>
      </c>
      <c r="GH100" s="24">
        <v>0</v>
      </c>
      <c r="GI100" s="24">
        <v>0</v>
      </c>
      <c r="GJ100" s="24">
        <v>0</v>
      </c>
      <c r="GK100" s="24">
        <v>0</v>
      </c>
      <c r="GL100" s="24">
        <v>10000</v>
      </c>
      <c r="GM100" s="24">
        <v>0</v>
      </c>
      <c r="GN100" s="24">
        <v>0</v>
      </c>
      <c r="GO100" s="24">
        <v>0</v>
      </c>
      <c r="GP100" s="24">
        <v>0</v>
      </c>
      <c r="GQ100" s="24">
        <v>0</v>
      </c>
      <c r="GR100" s="24">
        <v>29124</v>
      </c>
      <c r="GS100" s="24">
        <v>0</v>
      </c>
      <c r="GT100" s="24">
        <v>0</v>
      </c>
      <c r="GU100" s="24">
        <v>0</v>
      </c>
      <c r="GV100" s="24">
        <v>0</v>
      </c>
      <c r="GW100" s="24">
        <v>0</v>
      </c>
      <c r="GX100" s="24">
        <v>0</v>
      </c>
      <c r="GY100" s="24">
        <v>0</v>
      </c>
      <c r="GZ100" s="24">
        <v>0</v>
      </c>
      <c r="HA100" s="24">
        <v>0</v>
      </c>
      <c r="HB100" s="24">
        <v>0</v>
      </c>
      <c r="HC100" s="24">
        <v>0</v>
      </c>
      <c r="HD100" s="24">
        <v>4796741</v>
      </c>
      <c r="HE100" s="24">
        <v>0</v>
      </c>
      <c r="HF100" s="24">
        <v>0</v>
      </c>
      <c r="HG100" s="24">
        <v>0</v>
      </c>
      <c r="HH100" s="24">
        <v>0</v>
      </c>
      <c r="HI100" s="24">
        <v>287126</v>
      </c>
      <c r="HJ100" s="24">
        <v>0</v>
      </c>
      <c r="HK100" s="24">
        <v>0</v>
      </c>
      <c r="HL100" s="24">
        <v>0</v>
      </c>
      <c r="HM100" s="24">
        <v>0</v>
      </c>
      <c r="HN100" s="24">
        <v>1031</v>
      </c>
      <c r="HO100" s="24">
        <v>634337</v>
      </c>
      <c r="HP100" s="24">
        <v>229363</v>
      </c>
      <c r="HQ100" s="24">
        <v>0</v>
      </c>
      <c r="HR100" s="24">
        <v>0</v>
      </c>
      <c r="HS100" s="24">
        <v>0</v>
      </c>
      <c r="HT100" s="24">
        <v>0</v>
      </c>
      <c r="HU100" s="24">
        <v>0</v>
      </c>
      <c r="HV100" s="24">
        <v>0</v>
      </c>
      <c r="HW100" s="24">
        <v>0</v>
      </c>
      <c r="HX100" s="24">
        <v>0</v>
      </c>
      <c r="HY100" s="24">
        <v>0</v>
      </c>
      <c r="HZ100" s="24">
        <v>0</v>
      </c>
      <c r="IA100" s="24">
        <v>74625</v>
      </c>
      <c r="IB100" s="24">
        <v>17503</v>
      </c>
      <c r="IC100" s="24">
        <v>0</v>
      </c>
      <c r="ID100" s="24">
        <v>0</v>
      </c>
      <c r="IE100" s="24">
        <v>0</v>
      </c>
      <c r="IF100" s="24">
        <v>0</v>
      </c>
      <c r="IG100" s="24">
        <v>0</v>
      </c>
      <c r="IH100" s="24">
        <v>0</v>
      </c>
      <c r="II100" s="24">
        <v>0</v>
      </c>
      <c r="IJ100" s="24">
        <v>0</v>
      </c>
      <c r="IK100" s="24">
        <v>0</v>
      </c>
      <c r="IL100" s="24">
        <v>0</v>
      </c>
      <c r="IM100" s="24">
        <v>0</v>
      </c>
      <c r="IN100" s="24">
        <v>0</v>
      </c>
      <c r="IO100" s="24">
        <v>0</v>
      </c>
      <c r="IP100" s="24">
        <v>0</v>
      </c>
      <c r="IQ100" s="24">
        <v>0</v>
      </c>
      <c r="IR100" s="24">
        <v>42468</v>
      </c>
      <c r="IS100" s="24">
        <v>0</v>
      </c>
      <c r="IT100" s="24">
        <v>0</v>
      </c>
      <c r="IU100" s="24">
        <v>0</v>
      </c>
      <c r="IV100" s="24">
        <v>0</v>
      </c>
      <c r="IW100" s="24">
        <v>105700</v>
      </c>
      <c r="IX100" s="24">
        <v>0</v>
      </c>
      <c r="IY100" s="24">
        <v>0</v>
      </c>
      <c r="IZ100" s="24">
        <v>0</v>
      </c>
      <c r="JA100" s="24">
        <v>0</v>
      </c>
      <c r="JB100" s="24">
        <v>37402</v>
      </c>
      <c r="JC100" s="24">
        <v>0</v>
      </c>
      <c r="JD100" s="24">
        <v>0</v>
      </c>
      <c r="JE100" s="24">
        <v>0</v>
      </c>
      <c r="JF100" s="24">
        <v>0</v>
      </c>
      <c r="JG100" s="24">
        <v>0</v>
      </c>
      <c r="JH100" s="24">
        <v>0</v>
      </c>
      <c r="JI100" s="24">
        <v>0</v>
      </c>
      <c r="JJ100" s="24">
        <v>0</v>
      </c>
      <c r="JK100" s="24">
        <v>0</v>
      </c>
      <c r="JL100" s="24">
        <v>0</v>
      </c>
      <c r="JM100" s="24">
        <v>0</v>
      </c>
      <c r="JN100" s="24">
        <v>0</v>
      </c>
      <c r="JO100" s="24">
        <v>0</v>
      </c>
      <c r="JP100" s="24">
        <v>0</v>
      </c>
      <c r="JQ100" s="24">
        <v>0</v>
      </c>
      <c r="JR100" s="24">
        <v>0</v>
      </c>
      <c r="JS100" s="24">
        <v>0</v>
      </c>
      <c r="JT100" s="24">
        <v>0</v>
      </c>
      <c r="JU100" s="24">
        <v>0</v>
      </c>
      <c r="JV100" s="24">
        <v>0</v>
      </c>
      <c r="JW100" s="24">
        <v>0</v>
      </c>
      <c r="JX100" s="24">
        <v>0</v>
      </c>
      <c r="JY100" s="24">
        <v>0</v>
      </c>
      <c r="JZ100" s="24">
        <v>0</v>
      </c>
      <c r="KA100" s="24">
        <v>0</v>
      </c>
      <c r="KB100" s="24">
        <v>0</v>
      </c>
      <c r="KC100" s="24">
        <v>0</v>
      </c>
      <c r="KD100" s="24">
        <v>0</v>
      </c>
      <c r="KE100" s="24">
        <v>0</v>
      </c>
      <c r="KF100" s="24">
        <v>0</v>
      </c>
      <c r="KG100" s="24">
        <v>0</v>
      </c>
      <c r="KH100" s="24">
        <v>0</v>
      </c>
      <c r="KI100" s="24">
        <v>0</v>
      </c>
      <c r="KJ100" s="24">
        <v>0</v>
      </c>
      <c r="KK100" s="24">
        <v>0</v>
      </c>
      <c r="KL100" s="24">
        <v>0</v>
      </c>
      <c r="KM100" s="24">
        <v>0</v>
      </c>
      <c r="KN100" s="24">
        <v>0</v>
      </c>
      <c r="KO100" s="24">
        <v>0</v>
      </c>
      <c r="KP100" s="24">
        <v>0</v>
      </c>
      <c r="KQ100" s="24">
        <v>0</v>
      </c>
      <c r="KR100" s="24">
        <v>0</v>
      </c>
      <c r="KS100" s="24">
        <v>0</v>
      </c>
      <c r="KT100" s="24">
        <v>0</v>
      </c>
      <c r="KU100" s="24">
        <v>0</v>
      </c>
      <c r="KV100" s="24">
        <v>0</v>
      </c>
      <c r="KW100" s="24">
        <v>0</v>
      </c>
      <c r="KX100" s="24">
        <v>0</v>
      </c>
      <c r="KY100" s="24">
        <v>0</v>
      </c>
      <c r="KZ100" s="24">
        <v>0</v>
      </c>
      <c r="LA100" s="24">
        <v>0</v>
      </c>
      <c r="LB100" s="24">
        <v>0</v>
      </c>
      <c r="LC100" s="24">
        <v>0</v>
      </c>
      <c r="LD100" s="24">
        <v>0</v>
      </c>
      <c r="LE100" s="24">
        <v>0</v>
      </c>
      <c r="LF100" s="24">
        <v>0</v>
      </c>
      <c r="LG100" s="24">
        <v>0</v>
      </c>
      <c r="LH100" s="24">
        <v>0</v>
      </c>
      <c r="LI100" s="24">
        <v>0</v>
      </c>
      <c r="LJ100" s="24">
        <v>0</v>
      </c>
      <c r="LK100" s="24">
        <v>0</v>
      </c>
      <c r="LL100" s="24">
        <v>0</v>
      </c>
      <c r="LM100" s="24">
        <v>0</v>
      </c>
      <c r="LN100" s="24">
        <v>0</v>
      </c>
      <c r="LO100" s="24">
        <v>0</v>
      </c>
      <c r="LP100" s="24">
        <v>0</v>
      </c>
      <c r="LQ100" s="24">
        <v>249475</v>
      </c>
      <c r="LR100" s="24">
        <v>113167</v>
      </c>
      <c r="LS100" s="24">
        <v>0</v>
      </c>
      <c r="LT100" s="24">
        <v>0</v>
      </c>
      <c r="LU100" s="24">
        <v>0</v>
      </c>
      <c r="LV100" s="24">
        <v>0</v>
      </c>
      <c r="LW100" s="24">
        <v>0</v>
      </c>
      <c r="LX100" s="24">
        <v>0</v>
      </c>
      <c r="LY100" s="24">
        <v>0</v>
      </c>
      <c r="LZ100" s="24">
        <v>0</v>
      </c>
      <c r="MA100" s="24">
        <v>0</v>
      </c>
      <c r="MB100" s="24">
        <v>0</v>
      </c>
      <c r="MC100" s="24">
        <v>0</v>
      </c>
      <c r="MD100" s="24">
        <v>0</v>
      </c>
      <c r="ME100" s="24">
        <v>0</v>
      </c>
      <c r="MF100" s="24">
        <v>0</v>
      </c>
      <c r="MG100" s="24">
        <v>0</v>
      </c>
      <c r="MH100" s="24">
        <v>0</v>
      </c>
      <c r="MI100" s="24">
        <v>0</v>
      </c>
      <c r="MJ100" s="24">
        <v>0</v>
      </c>
      <c r="MK100" s="24">
        <v>0</v>
      </c>
      <c r="ML100" s="24">
        <v>0</v>
      </c>
      <c r="MM100" s="24">
        <v>0</v>
      </c>
      <c r="MN100" s="24">
        <v>0</v>
      </c>
      <c r="MO100" s="24">
        <v>0</v>
      </c>
      <c r="MP100" s="24">
        <v>0</v>
      </c>
      <c r="MQ100" s="24">
        <v>0</v>
      </c>
      <c r="MR100" s="24">
        <v>491180</v>
      </c>
      <c r="MS100" s="24">
        <v>0</v>
      </c>
      <c r="MT100" s="24">
        <v>0</v>
      </c>
      <c r="MU100" s="24">
        <v>0</v>
      </c>
      <c r="MV100" s="24">
        <v>0</v>
      </c>
      <c r="MW100" s="24">
        <v>0</v>
      </c>
      <c r="MX100" s="24">
        <v>0</v>
      </c>
      <c r="MY100" s="24">
        <v>0</v>
      </c>
      <c r="MZ100" s="24">
        <v>0</v>
      </c>
      <c r="NA100" s="24">
        <v>0</v>
      </c>
      <c r="NB100" s="24">
        <v>0</v>
      </c>
      <c r="NC100" s="24">
        <v>0</v>
      </c>
      <c r="ND100" s="24">
        <v>0</v>
      </c>
      <c r="NE100" s="24">
        <v>0</v>
      </c>
      <c r="NF100" s="24">
        <v>0</v>
      </c>
      <c r="NG100" s="24">
        <v>0</v>
      </c>
      <c r="NH100" s="24">
        <v>0</v>
      </c>
      <c r="NI100" s="24">
        <v>0</v>
      </c>
      <c r="NJ100" s="24">
        <v>0</v>
      </c>
      <c r="NK100" s="24">
        <v>0</v>
      </c>
      <c r="NL100" s="24">
        <v>0</v>
      </c>
      <c r="NM100" s="24">
        <v>0</v>
      </c>
      <c r="NN100" s="24">
        <v>0</v>
      </c>
      <c r="NO100" s="24">
        <v>0</v>
      </c>
      <c r="NP100" s="24">
        <v>0</v>
      </c>
      <c r="NQ100" s="24">
        <v>0</v>
      </c>
      <c r="NR100" s="24">
        <v>0</v>
      </c>
      <c r="NS100" s="24">
        <v>0</v>
      </c>
      <c r="NT100" s="24">
        <v>0</v>
      </c>
      <c r="NU100" s="24">
        <v>13845</v>
      </c>
      <c r="NV100" s="24">
        <v>56696</v>
      </c>
      <c r="NW100" s="24">
        <v>51580</v>
      </c>
      <c r="NX100" s="24">
        <v>0</v>
      </c>
      <c r="NY100" s="24">
        <v>0</v>
      </c>
      <c r="NZ100" s="24">
        <v>0</v>
      </c>
      <c r="OA100" s="24">
        <v>0</v>
      </c>
      <c r="OB100" s="24">
        <v>0</v>
      </c>
      <c r="OC100" s="24">
        <v>0</v>
      </c>
      <c r="OD100" s="24">
        <v>0</v>
      </c>
      <c r="OE100" s="24">
        <v>0</v>
      </c>
      <c r="OF100" s="24">
        <v>0</v>
      </c>
      <c r="OG100" s="24">
        <v>0</v>
      </c>
      <c r="OH100" s="24">
        <v>0</v>
      </c>
      <c r="OI100" s="24">
        <v>0</v>
      </c>
      <c r="OJ100" s="24">
        <v>0</v>
      </c>
      <c r="OK100" s="24">
        <v>0</v>
      </c>
      <c r="OL100" s="24">
        <v>0</v>
      </c>
      <c r="OM100" s="24">
        <v>0</v>
      </c>
      <c r="ON100" s="24">
        <v>0</v>
      </c>
      <c r="OO100" s="24">
        <v>0</v>
      </c>
      <c r="OP100" s="24">
        <v>0</v>
      </c>
      <c r="OQ100" s="24">
        <v>0</v>
      </c>
      <c r="OR100" s="24">
        <v>0</v>
      </c>
      <c r="OS100" s="24">
        <v>0</v>
      </c>
      <c r="OT100" s="24">
        <v>0</v>
      </c>
      <c r="OU100" s="24">
        <v>0</v>
      </c>
      <c r="OV100" s="24">
        <v>0</v>
      </c>
      <c r="OW100" s="24">
        <v>0</v>
      </c>
      <c r="OX100" s="24">
        <v>0</v>
      </c>
      <c r="OY100" s="24">
        <v>0</v>
      </c>
      <c r="OZ100" s="24">
        <v>0</v>
      </c>
      <c r="PA100" s="24">
        <v>0</v>
      </c>
      <c r="PB100" s="24">
        <v>0</v>
      </c>
      <c r="PC100" s="24">
        <v>0</v>
      </c>
      <c r="PD100" s="24">
        <v>0</v>
      </c>
      <c r="PE100" s="24">
        <v>0</v>
      </c>
      <c r="PF100" s="24">
        <v>0</v>
      </c>
      <c r="PG100" s="24">
        <v>0</v>
      </c>
      <c r="PH100" s="24">
        <v>30142</v>
      </c>
      <c r="PI100" s="24">
        <v>0</v>
      </c>
      <c r="PJ100" s="24">
        <v>0</v>
      </c>
      <c r="PK100" s="24">
        <v>0</v>
      </c>
      <c r="PL100" s="24">
        <v>0</v>
      </c>
      <c r="PM100" s="24">
        <v>0</v>
      </c>
      <c r="PN100" s="24">
        <v>0</v>
      </c>
      <c r="PO100" s="24">
        <v>0</v>
      </c>
      <c r="PP100" s="24">
        <v>0</v>
      </c>
      <c r="PQ100" s="24">
        <v>0</v>
      </c>
      <c r="PR100" s="24">
        <v>0</v>
      </c>
      <c r="PS100" s="24">
        <v>300000</v>
      </c>
      <c r="PT100" s="24">
        <v>0</v>
      </c>
      <c r="PU100" s="24">
        <v>0</v>
      </c>
      <c r="PV100" s="24">
        <v>0</v>
      </c>
      <c r="PW100" s="24">
        <v>0</v>
      </c>
      <c r="PX100" s="24">
        <v>0</v>
      </c>
      <c r="PY100" s="24">
        <v>0</v>
      </c>
      <c r="PZ100" s="24">
        <v>0</v>
      </c>
      <c r="QA100" s="24">
        <v>0</v>
      </c>
      <c r="QB100" s="24">
        <v>0</v>
      </c>
      <c r="QC100" s="24">
        <v>0</v>
      </c>
      <c r="QD100" s="24">
        <v>0</v>
      </c>
      <c r="QE100" s="24">
        <v>0</v>
      </c>
      <c r="QF100" s="24">
        <v>0</v>
      </c>
      <c r="QG100" s="24">
        <v>0</v>
      </c>
      <c r="QH100" s="24">
        <v>0</v>
      </c>
      <c r="QI100" s="24">
        <v>0</v>
      </c>
      <c r="QJ100" s="24">
        <v>0</v>
      </c>
      <c r="QK100" s="24">
        <v>0</v>
      </c>
      <c r="QL100" s="24">
        <v>0</v>
      </c>
      <c r="QM100" s="24">
        <v>0</v>
      </c>
      <c r="QN100" s="24">
        <v>0</v>
      </c>
      <c r="QO100" s="24">
        <v>0</v>
      </c>
      <c r="QP100" s="24">
        <v>0</v>
      </c>
      <c r="QQ100" s="24">
        <v>0</v>
      </c>
      <c r="QR100" s="24">
        <v>0</v>
      </c>
      <c r="QS100" s="24">
        <v>0</v>
      </c>
      <c r="QT100" s="24">
        <v>0</v>
      </c>
      <c r="QU100" s="24">
        <v>0</v>
      </c>
      <c r="QV100" s="24">
        <v>0</v>
      </c>
      <c r="QW100" s="24">
        <v>86812</v>
      </c>
      <c r="QX100" s="24">
        <v>0</v>
      </c>
      <c r="QY100" s="24">
        <v>98778</v>
      </c>
      <c r="QZ100" s="24">
        <v>0</v>
      </c>
      <c r="RA100" s="24">
        <v>0</v>
      </c>
      <c r="RB100" s="24">
        <v>0</v>
      </c>
      <c r="RG100" s="39">
        <f t="shared" si="129"/>
        <v>4796741</v>
      </c>
      <c r="RH100" s="39">
        <f t="shared" si="206"/>
        <v>287126</v>
      </c>
      <c r="RI100" s="39">
        <f t="shared" si="206"/>
        <v>0</v>
      </c>
      <c r="RJ100" s="39">
        <f t="shared" si="206"/>
        <v>0</v>
      </c>
      <c r="RK100" s="39">
        <f t="shared" si="206"/>
        <v>1031</v>
      </c>
      <c r="RL100" s="39">
        <f t="shared" si="206"/>
        <v>634337</v>
      </c>
      <c r="RM100" s="39">
        <f t="shared" si="206"/>
        <v>321491</v>
      </c>
      <c r="RN100" s="39">
        <f t="shared" si="206"/>
        <v>0</v>
      </c>
      <c r="RO100" s="39">
        <f t="shared" si="206"/>
        <v>42468</v>
      </c>
      <c r="RP100" s="39">
        <f t="shared" si="206"/>
        <v>105700</v>
      </c>
      <c r="RQ100" s="39">
        <f t="shared" si="206"/>
        <v>37402</v>
      </c>
      <c r="RR100" s="39">
        <f t="shared" si="206"/>
        <v>0</v>
      </c>
      <c r="RS100" s="39"/>
      <c r="RT100" s="182"/>
      <c r="RU100" s="39"/>
      <c r="RV100" s="39">
        <f t="shared" si="182"/>
        <v>975943</v>
      </c>
      <c r="RW100" s="39">
        <f t="shared" si="182"/>
        <v>6226296</v>
      </c>
      <c r="RX100" s="39">
        <f t="shared" si="182"/>
        <v>1169425</v>
      </c>
      <c r="RY100" s="39">
        <f t="shared" si="182"/>
        <v>515732</v>
      </c>
      <c r="RZ100" s="39"/>
      <c r="SA100" s="182"/>
      <c r="SB100" s="39"/>
      <c r="SC100" s="25">
        <f t="shared" si="183"/>
        <v>1046.933751119069</v>
      </c>
      <c r="SD100" s="39">
        <f>IFERROR(VLOOKUP(A100, 'Levy Data 15-16'!$B:$O, 3, FALSE), 0)</f>
        <v>245561925</v>
      </c>
      <c r="SE100" s="39">
        <f t="shared" si="144"/>
        <v>219840.57743957028</v>
      </c>
      <c r="SF100" s="631">
        <f>IFERROR(VLOOKUP(A100, 'Levy Data 15-16'!$B:$O, 14, FALSE), 0)*1000</f>
        <v>3.7671999999999999</v>
      </c>
      <c r="SG100" s="39">
        <f t="shared" si="145"/>
        <v>0</v>
      </c>
      <c r="SH100" s="39">
        <f t="shared" si="146"/>
        <v>0</v>
      </c>
      <c r="SI100" s="39">
        <f t="shared" si="147"/>
        <v>1169425</v>
      </c>
      <c r="SM100" s="39">
        <f t="shared" si="148"/>
        <v>6226296</v>
      </c>
      <c r="SN100" s="39">
        <f t="shared" si="149"/>
        <v>0</v>
      </c>
      <c r="SO100" s="39">
        <f t="shared" si="184"/>
        <v>6226296</v>
      </c>
      <c r="SP100" s="50">
        <f t="shared" si="130"/>
        <v>1</v>
      </c>
      <c r="ST100" s="124">
        <f>IFERROR(VLOOKUP(A100,'Grade Enroll 15-16'!B:AC,27,FALSE),"")</f>
        <v>1117</v>
      </c>
      <c r="SU100" s="124">
        <f t="shared" si="185"/>
        <v>679.62616033755273</v>
      </c>
      <c r="SV100" s="131">
        <f>IFERROR(VLOOKUP($A100, 'Title I Enroll 16-17'!S:V, 4, FALSE), 0)</f>
        <v>0.60843881856540083</v>
      </c>
      <c r="SW100" s="729">
        <f>IFERROR(VLOOKUP(A100, 'ELL Enroll 15-16'!$N:$S, 6, FALSE), 0)</f>
        <v>266</v>
      </c>
      <c r="SX100" s="131">
        <f t="shared" si="131"/>
        <v>0.23813786929274844</v>
      </c>
      <c r="SY100" s="124">
        <f>IFERROR(VLOOKUP(A100, 'SPED enroll 2015-16'!$M:$O, 3, FALSE), 0)</f>
        <v>105</v>
      </c>
      <c r="SZ100" s="131">
        <f t="shared" si="132"/>
        <v>9.4001790510295433E-2</v>
      </c>
      <c r="TA100" s="142">
        <f t="shared" si="207"/>
        <v>73.5</v>
      </c>
      <c r="TB100" s="142">
        <f t="shared" si="207"/>
        <v>21</v>
      </c>
      <c r="TC100" s="142">
        <f t="shared" si="207"/>
        <v>7.3500000000000005</v>
      </c>
      <c r="TD100" s="142">
        <f t="shared" si="207"/>
        <v>3.15</v>
      </c>
      <c r="TE100" s="124">
        <f>VLOOKUP($A100, 'Grade Enroll 15-16'!$B:$AB, 20, FALSE)</f>
        <v>0</v>
      </c>
      <c r="TF100" s="124">
        <f>VLOOKUP($A100, 'Grade Enroll 15-16'!$B:$AB, 21, FALSE)</f>
        <v>78</v>
      </c>
      <c r="TG100" s="124">
        <f>VLOOKUP($A100, 'Grade Enroll 15-16'!$B:$AB, 22, FALSE)</f>
        <v>285</v>
      </c>
      <c r="TH100" s="124">
        <f>VLOOKUP($A100, 'Grade Enroll 15-16'!$B:$AB, 23, FALSE)</f>
        <v>275</v>
      </c>
      <c r="TI100" s="124">
        <f>VLOOKUP($A100, 'Grade Enroll 15-16'!$B:$AB, 24, FALSE)</f>
        <v>195</v>
      </c>
      <c r="TJ100" s="124">
        <f>VLOOKUP($A100, 'Grade Enroll 15-16'!$B:$AB, 25, FALSE)</f>
        <v>362</v>
      </c>
      <c r="TK100" s="124">
        <f>VLOOKUP($A100, 'Grade Enroll 15-16'!$B:$AB, 26, FALSE)</f>
        <v>748</v>
      </c>
      <c r="TL100" s="131">
        <f>SUMIFS('Student Achievement 15-16'!N:N, 'Student Achievement 15-16'!B:B, 'Idaho Data'!A100, 'Student Achievement 15-16'!D:D, "math")/100</f>
        <v>0.42100000000000004</v>
      </c>
      <c r="TM100" s="134">
        <f t="shared" si="186"/>
        <v>470.25700000000006</v>
      </c>
      <c r="TN100" s="131">
        <f>SUMIFS('Student Achievement 15-16'!N:N, 'Student Achievement 15-16'!B:B, 'Idaho Data'!A100, 'Student Achievement 15-16'!D:D, "ela")/100</f>
        <v>0.255</v>
      </c>
      <c r="TO100" s="134">
        <f t="shared" si="134"/>
        <v>284.83499999999998</v>
      </c>
      <c r="TP100" s="688">
        <f>IFERROR(VLOOKUP(A100, 'G&amp;T 15-16'!B:G, 6, FALSE), 0)*1</f>
        <v>53</v>
      </c>
      <c r="TQ100" s="168">
        <f t="shared" si="135"/>
        <v>67.02</v>
      </c>
      <c r="TU100" s="168">
        <f t="shared" si="136"/>
        <v>284.83499999999998</v>
      </c>
      <c r="TV100" s="168">
        <f t="shared" si="137"/>
        <v>470.25700000000006</v>
      </c>
      <c r="TW100" s="205">
        <f t="shared" si="138"/>
        <v>470.25700000000006</v>
      </c>
      <c r="TX100" s="144"/>
      <c r="TY100" s="129"/>
      <c r="TZ100" s="127">
        <f t="shared" si="139"/>
        <v>53</v>
      </c>
      <c r="UA100" s="127">
        <f t="shared" si="140"/>
        <v>67.02</v>
      </c>
      <c r="UB100" s="205">
        <f t="shared" si="141"/>
        <v>67.02</v>
      </c>
      <c r="UE100" s="853" t="str">
        <f>IF(ST100&lt;='1. Simulator Input'!$E$104, "yes", "")</f>
        <v/>
      </c>
      <c r="UI100" s="199">
        <f t="shared" si="187"/>
        <v>0</v>
      </c>
      <c r="UJ100" s="200">
        <f>IF('Idaho Data'!SI100&gt;=0, ((1-'1. Simulator Input'!$E$39)*'Idaho Data'!SI100), 0)</f>
        <v>0</v>
      </c>
      <c r="UK100" s="200">
        <f t="shared" si="142"/>
        <v>6226296</v>
      </c>
      <c r="UL100" s="39"/>
      <c r="UM100" s="182"/>
      <c r="UN100" s="39"/>
      <c r="UO100" s="39" t="str">
        <f>IF(AND('1. Simulator Input'!$E$96="yes", '1. Simulator Input'!$E$98="yes", '1. Simulator Input'!$E$100="hold harmless"), 'Idaho Data'!WN100, IF(AND('1. Simulator Input'!$E$96="yes", '1. Simulator Input'!$E$98="no", '1. Simulator Input'!$E$100="hold harmless"), 'Idaho Data'!WM100, IF(AND('1. Simulator Input'!$E$96="yes", '1. Simulator Input'!$E$98="yes", '1. Simulator Input'!$E$100="small district grant"), WL100,IF(AND('1. Simulator Input'!$E$96="yes", '1. Simulator Input'!$E$98="no", '1. Simulator Input'!$E$100="small district grant"), WK100, ""))))</f>
        <v/>
      </c>
      <c r="UP100" s="200">
        <f>'1. Simulator Input'!$D$56*('Idaho Data'!ST100)</f>
        <v>6172542</v>
      </c>
      <c r="UQ100" s="204">
        <f>'1. Simulator Input'!$D$65*'1. Simulator Input'!$D$56*'Idaho Data'!SU100</f>
        <v>0</v>
      </c>
      <c r="UR100" s="204">
        <f>'1. Simulator Input'!$D$66*'1. Simulator Input'!$D$56*'Idaho Data'!SW100</f>
        <v>0</v>
      </c>
      <c r="US100" s="200">
        <f>'1. Simulator Input'!$D$67*'1. Simulator Input'!$D$56*'Idaho Data'!TA100</f>
        <v>0</v>
      </c>
      <c r="UT100" s="200">
        <f>'1. Simulator Input'!$D$68*'1. Simulator Input'!$D$56*'Idaho Data'!TB100</f>
        <v>0</v>
      </c>
      <c r="UU100" s="200">
        <f>'1. Simulator Input'!$D$69*'1. Simulator Input'!$D$56*'Idaho Data'!TC100</f>
        <v>0</v>
      </c>
      <c r="UV100" s="200">
        <f>'1. Simulator Input'!$D$70*'1. Simulator Input'!$D$56*TD100</f>
        <v>0</v>
      </c>
      <c r="UW100" s="200">
        <f>'1. Simulator Input'!$D$80*'1. Simulator Input'!$D$56*TW100</f>
        <v>0</v>
      </c>
      <c r="UX100" s="200">
        <f>'1. Simulator Input'!$D$79*'1. Simulator Input'!$D$56*UB100</f>
        <v>0</v>
      </c>
      <c r="UY100" s="200">
        <f>'1. Simulator Input'!$D$87*'1. Simulator Input'!$D$56*TF100</f>
        <v>215514</v>
      </c>
      <c r="UZ100" s="200">
        <f>'1. Simulator Input'!$D$73*'1. Simulator Input'!$D$56*'Idaho Data'!TG100</f>
        <v>0</v>
      </c>
      <c r="VA100" s="200">
        <f>'1. Simulator Input'!$D$56*'1. Simulator Input'!$D$74*'Idaho Data'!TH100</f>
        <v>0</v>
      </c>
      <c r="VB100" s="200">
        <f>'1. Simulator Input'!$D$56*'1. Simulator Input'!$D$75*'Idaho Data'!TI95</f>
        <v>0</v>
      </c>
      <c r="VC100" s="200">
        <f>'1. Simulator Input'!$D$76*'1. Simulator Input'!$D$56*'Idaho Data'!TJ100</f>
        <v>0</v>
      </c>
      <c r="VD100" s="200">
        <f t="shared" si="188"/>
        <v>6388056</v>
      </c>
      <c r="VE100" s="200"/>
      <c r="VF100" s="182"/>
      <c r="VG100" s="200"/>
      <c r="VH100" s="200">
        <f t="shared" si="189"/>
        <v>0</v>
      </c>
      <c r="VI100" s="200">
        <f t="shared" si="190"/>
        <v>0</v>
      </c>
      <c r="VJ100" s="200">
        <f t="shared" si="150"/>
        <v>6388056</v>
      </c>
      <c r="VK100" s="200">
        <f t="shared" si="151"/>
        <v>6388056</v>
      </c>
      <c r="VL100" s="200"/>
      <c r="VM100" s="182"/>
      <c r="VN100" s="200"/>
      <c r="VO100" s="200">
        <f t="shared" si="191"/>
        <v>975943</v>
      </c>
      <c r="VP100" s="200">
        <f t="shared" si="192"/>
        <v>6226296</v>
      </c>
      <c r="VQ100" s="200">
        <f t="shared" si="193"/>
        <v>1169425</v>
      </c>
      <c r="VR100" s="200">
        <f t="shared" si="194"/>
        <v>975943</v>
      </c>
      <c r="VS100" s="200">
        <f t="shared" si="152"/>
        <v>6388056</v>
      </c>
      <c r="VT100" s="200">
        <f t="shared" si="153"/>
        <v>1169425</v>
      </c>
      <c r="VU100" s="200">
        <f t="shared" si="154"/>
        <v>0</v>
      </c>
      <c r="VV100" s="200"/>
      <c r="VW100" s="182"/>
      <c r="VX100" s="200"/>
      <c r="VZ100" s="199">
        <f t="shared" si="195"/>
        <v>161760</v>
      </c>
      <c r="WA100" s="199">
        <f t="shared" si="196"/>
        <v>144.81647269471799</v>
      </c>
      <c r="WB100" s="131">
        <f t="shared" si="197"/>
        <v>2.5980133292731345E-2</v>
      </c>
      <c r="WC100" s="131"/>
      <c r="WD100" s="461"/>
      <c r="WE100" s="893"/>
      <c r="WF100" s="893">
        <f t="shared" si="198"/>
        <v>7494.7752909579231</v>
      </c>
      <c r="WG100" s="893">
        <f t="shared" si="199"/>
        <v>7639.591763652641</v>
      </c>
      <c r="WH100" s="893"/>
      <c r="WI100" s="893">
        <f t="shared" si="200"/>
        <v>6226296</v>
      </c>
      <c r="WJ100" s="893">
        <f t="shared" si="155"/>
        <v>6388056</v>
      </c>
      <c r="WK100" s="39" t="str">
        <f t="shared" si="156"/>
        <v/>
      </c>
      <c r="WL100" s="39" t="str">
        <f t="shared" si="157"/>
        <v/>
      </c>
      <c r="WM100" s="200" t="str">
        <f t="shared" si="158"/>
        <v/>
      </c>
      <c r="WN100" s="39" t="str">
        <f t="shared" si="159"/>
        <v/>
      </c>
      <c r="WO100" s="39"/>
      <c r="WP100" s="182"/>
      <c r="WQ100" s="39"/>
      <c r="WR100" s="305">
        <f t="shared" si="160"/>
        <v>5.1999999999999998E-2</v>
      </c>
      <c r="WT100" s="200">
        <f t="shared" si="161"/>
        <v>5574.1235452103847</v>
      </c>
      <c r="WU100" s="131">
        <f t="shared" si="201"/>
        <v>0.16</v>
      </c>
      <c r="WW100" s="199">
        <f t="shared" si="162"/>
        <v>975943</v>
      </c>
      <c r="WX100" s="199">
        <f t="shared" si="163"/>
        <v>6388056</v>
      </c>
      <c r="WY100" s="199">
        <f t="shared" si="164"/>
        <v>0</v>
      </c>
      <c r="WZ100" s="199">
        <f t="shared" si="202"/>
        <v>6388056</v>
      </c>
      <c r="XA100" s="199">
        <f t="shared" si="165"/>
        <v>0</v>
      </c>
      <c r="XB100" s="199">
        <f t="shared" si="166"/>
        <v>1169425</v>
      </c>
      <c r="XC100" s="199">
        <f t="shared" si="167"/>
        <v>1169425</v>
      </c>
      <c r="XD100" s="199" t="str">
        <f t="shared" si="168"/>
        <v/>
      </c>
      <c r="XE100" s="199"/>
      <c r="XF100" s="199"/>
      <c r="XG100" s="199"/>
      <c r="XH100" s="199"/>
      <c r="XI100" s="199"/>
      <c r="XJ100" s="199">
        <f t="shared" si="203"/>
        <v>6388056</v>
      </c>
      <c r="XP100" s="199">
        <f t="shared" si="169"/>
        <v>6388056</v>
      </c>
      <c r="XQ100" s="199">
        <f t="shared" si="170"/>
        <v>5718.9400179051026</v>
      </c>
      <c r="XR100" s="199">
        <f t="shared" si="171"/>
        <v>6388056</v>
      </c>
      <c r="XS100" s="199">
        <f t="shared" si="172"/>
        <v>6388056</v>
      </c>
      <c r="XT100" s="199">
        <f t="shared" si="173"/>
        <v>5718.9400179051026</v>
      </c>
      <c r="XU100" s="199">
        <f t="shared" si="174"/>
        <v>6226296</v>
      </c>
      <c r="XV100" s="199">
        <f t="shared" si="175"/>
        <v>5574.1235452103847</v>
      </c>
      <c r="XW100" s="199">
        <f t="shared" si="176"/>
        <v>6226296</v>
      </c>
      <c r="XX100" s="199">
        <f t="shared" si="177"/>
        <v>5574.1235452103847</v>
      </c>
      <c r="XY100" s="199">
        <f t="shared" si="204"/>
        <v>161760</v>
      </c>
      <c r="XZ100" s="199">
        <f t="shared" si="205"/>
        <v>144.81647269471796</v>
      </c>
      <c r="YA100" s="131">
        <f t="shared" si="143"/>
        <v>2.5980133292731338E-2</v>
      </c>
      <c r="YB100" s="199"/>
      <c r="YC100" s="221"/>
      <c r="YD100" s="199"/>
      <c r="YE100" s="199">
        <f t="shared" si="178"/>
        <v>975943</v>
      </c>
      <c r="YF100" s="200">
        <f t="shared" si="179"/>
        <v>0</v>
      </c>
      <c r="YG100" s="199">
        <f t="shared" si="180"/>
        <v>1169425</v>
      </c>
      <c r="YH100" s="199">
        <f t="shared" si="181"/>
        <v>515732</v>
      </c>
    </row>
    <row r="101" spans="1:658">
      <c r="A101" s="3">
        <v>371</v>
      </c>
      <c r="B101" s="2" t="s">
        <v>198</v>
      </c>
      <c r="C101" s="24">
        <v>0</v>
      </c>
      <c r="D101" s="24">
        <v>0</v>
      </c>
      <c r="E101" s="24">
        <v>0</v>
      </c>
      <c r="F101" s="24">
        <v>0</v>
      </c>
      <c r="G101" s="24">
        <v>868102</v>
      </c>
      <c r="H101" s="24">
        <v>0</v>
      </c>
      <c r="I101" s="24">
        <v>0</v>
      </c>
      <c r="J101" s="24">
        <v>0</v>
      </c>
      <c r="K101" s="24">
        <v>0</v>
      </c>
      <c r="L101" s="24">
        <v>0</v>
      </c>
      <c r="M101" s="24">
        <v>0</v>
      </c>
      <c r="N101" s="24">
        <v>0</v>
      </c>
      <c r="O101" s="24">
        <v>0</v>
      </c>
      <c r="P101" s="24">
        <v>0</v>
      </c>
      <c r="Q101" s="24">
        <v>0</v>
      </c>
      <c r="R101" s="24">
        <v>0</v>
      </c>
      <c r="S101" s="24">
        <v>0</v>
      </c>
      <c r="T101" s="24">
        <v>0</v>
      </c>
      <c r="U101" s="24">
        <v>0</v>
      </c>
      <c r="V101" s="24">
        <v>0</v>
      </c>
      <c r="W101" s="24">
        <v>0</v>
      </c>
      <c r="X101" s="24">
        <v>40520</v>
      </c>
      <c r="Y101" s="24">
        <v>14663</v>
      </c>
      <c r="Z101" s="24">
        <v>0</v>
      </c>
      <c r="AA101" s="24">
        <v>0</v>
      </c>
      <c r="AB101" s="24">
        <v>0</v>
      </c>
      <c r="AC101" s="24">
        <v>0</v>
      </c>
      <c r="AD101" s="24">
        <v>0</v>
      </c>
      <c r="AE101" s="24">
        <v>0</v>
      </c>
      <c r="AF101" s="24">
        <v>0</v>
      </c>
      <c r="AG101" s="24">
        <v>0</v>
      </c>
      <c r="AH101" s="24">
        <v>10995</v>
      </c>
      <c r="AI101" s="24">
        <v>0</v>
      </c>
      <c r="AJ101" s="24">
        <v>0</v>
      </c>
      <c r="AK101" s="24">
        <v>0</v>
      </c>
      <c r="AL101" s="24">
        <v>7801</v>
      </c>
      <c r="AM101" s="24">
        <v>0</v>
      </c>
      <c r="AN101" s="24">
        <v>0</v>
      </c>
      <c r="AO101" s="24">
        <v>963</v>
      </c>
      <c r="AP101" s="24">
        <v>0</v>
      </c>
      <c r="AQ101" s="24">
        <v>0</v>
      </c>
      <c r="AR101" s="24">
        <v>0</v>
      </c>
      <c r="AS101" s="24">
        <v>0</v>
      </c>
      <c r="AT101" s="24">
        <v>0</v>
      </c>
      <c r="AU101" s="24">
        <v>0</v>
      </c>
      <c r="AV101" s="24">
        <v>0</v>
      </c>
      <c r="AW101" s="24">
        <v>0</v>
      </c>
      <c r="AX101" s="24">
        <v>0</v>
      </c>
      <c r="AY101" s="24">
        <v>0</v>
      </c>
      <c r="AZ101" s="24">
        <v>0</v>
      </c>
      <c r="BA101" s="24">
        <v>0</v>
      </c>
      <c r="BB101" s="24">
        <v>0</v>
      </c>
      <c r="BC101" s="24">
        <v>140</v>
      </c>
      <c r="BD101" s="24">
        <v>469</v>
      </c>
      <c r="BE101" s="24">
        <v>0</v>
      </c>
      <c r="BF101" s="24">
        <v>2860</v>
      </c>
      <c r="BG101" s="24">
        <v>0</v>
      </c>
      <c r="BH101" s="24">
        <v>0</v>
      </c>
      <c r="BI101" s="24">
        <v>0</v>
      </c>
      <c r="BJ101" s="24">
        <v>0</v>
      </c>
      <c r="BK101" s="24">
        <v>0</v>
      </c>
      <c r="BL101" s="24">
        <v>0</v>
      </c>
      <c r="BM101" s="24">
        <v>4034</v>
      </c>
      <c r="BN101" s="24">
        <v>0</v>
      </c>
      <c r="BO101" s="24">
        <v>0</v>
      </c>
      <c r="BP101" s="24">
        <v>0</v>
      </c>
      <c r="BQ101" s="24">
        <v>0</v>
      </c>
      <c r="BR101" s="24">
        <v>0</v>
      </c>
      <c r="BS101" s="24">
        <v>412</v>
      </c>
      <c r="BT101" s="24">
        <v>0</v>
      </c>
      <c r="BU101" s="24">
        <v>0</v>
      </c>
      <c r="BV101" s="24">
        <v>0</v>
      </c>
      <c r="BW101" s="24">
        <v>0</v>
      </c>
      <c r="BX101" s="24">
        <v>0</v>
      </c>
      <c r="BY101" s="24">
        <v>0</v>
      </c>
      <c r="BZ101" s="24">
        <v>0</v>
      </c>
      <c r="CA101" s="24">
        <v>0</v>
      </c>
      <c r="CB101" s="24">
        <v>0</v>
      </c>
      <c r="CC101" s="24">
        <v>0</v>
      </c>
      <c r="CD101" s="24">
        <v>3483</v>
      </c>
      <c r="CE101" s="24">
        <v>6171</v>
      </c>
      <c r="CF101" s="24">
        <v>0</v>
      </c>
      <c r="CG101" s="24">
        <v>0</v>
      </c>
      <c r="CH101" s="24">
        <v>0</v>
      </c>
      <c r="CI101" s="24">
        <v>0</v>
      </c>
      <c r="CJ101" s="24">
        <v>0</v>
      </c>
      <c r="CK101" s="24">
        <v>0</v>
      </c>
      <c r="CL101" s="24">
        <v>0</v>
      </c>
      <c r="CM101" s="24">
        <v>0</v>
      </c>
      <c r="CN101" s="24">
        <v>0</v>
      </c>
      <c r="CO101" s="24">
        <v>0</v>
      </c>
      <c r="CP101" s="24">
        <v>0</v>
      </c>
      <c r="CQ101" s="24">
        <v>0</v>
      </c>
      <c r="CR101" s="24">
        <v>0</v>
      </c>
      <c r="CS101" s="24">
        <v>0</v>
      </c>
      <c r="CT101" s="24">
        <v>0</v>
      </c>
      <c r="CU101" s="24">
        <v>0</v>
      </c>
      <c r="CV101" s="24">
        <v>0</v>
      </c>
      <c r="CW101" s="24">
        <v>0</v>
      </c>
      <c r="CX101" s="24">
        <v>0</v>
      </c>
      <c r="CY101" s="24">
        <v>0</v>
      </c>
      <c r="CZ101" s="24">
        <v>0</v>
      </c>
      <c r="DA101" s="24">
        <v>0</v>
      </c>
      <c r="DB101" s="24">
        <v>0</v>
      </c>
      <c r="DC101" s="24">
        <v>0</v>
      </c>
      <c r="DD101" s="24">
        <v>0</v>
      </c>
      <c r="DE101" s="24">
        <v>0</v>
      </c>
      <c r="DF101" s="24">
        <v>0</v>
      </c>
      <c r="DG101" s="24">
        <v>0</v>
      </c>
      <c r="DH101" s="24">
        <v>0</v>
      </c>
      <c r="DI101" s="24">
        <v>0</v>
      </c>
      <c r="DJ101" s="24">
        <v>0</v>
      </c>
      <c r="DK101" s="24">
        <v>0</v>
      </c>
      <c r="DL101" s="24">
        <v>0</v>
      </c>
      <c r="DM101" s="24">
        <v>0</v>
      </c>
      <c r="DN101" s="24">
        <v>0</v>
      </c>
      <c r="DO101" s="24">
        <v>0</v>
      </c>
      <c r="DP101" s="24">
        <v>0</v>
      </c>
      <c r="DQ101" s="24">
        <v>0</v>
      </c>
      <c r="DR101" s="24">
        <v>0</v>
      </c>
      <c r="DS101" s="24">
        <v>0</v>
      </c>
      <c r="DT101" s="24">
        <v>0</v>
      </c>
      <c r="DU101" s="24">
        <v>0</v>
      </c>
      <c r="DV101" s="24">
        <v>0</v>
      </c>
      <c r="DW101" s="24">
        <v>0</v>
      </c>
      <c r="DX101" s="24">
        <v>0</v>
      </c>
      <c r="DY101" s="24">
        <v>0</v>
      </c>
      <c r="DZ101" s="24">
        <v>0</v>
      </c>
      <c r="EA101" s="24">
        <v>0</v>
      </c>
      <c r="EB101" s="24">
        <v>0</v>
      </c>
      <c r="EC101" s="24">
        <v>0</v>
      </c>
      <c r="ED101" s="24">
        <v>0</v>
      </c>
      <c r="EE101" s="24">
        <v>0</v>
      </c>
      <c r="EF101" s="24">
        <v>0</v>
      </c>
      <c r="EG101" s="24">
        <v>100</v>
      </c>
      <c r="EH101" s="24">
        <v>0</v>
      </c>
      <c r="EI101" s="24">
        <v>50004</v>
      </c>
      <c r="EJ101" s="24">
        <v>0</v>
      </c>
      <c r="EK101" s="24">
        <v>0</v>
      </c>
      <c r="EL101" s="24">
        <v>0</v>
      </c>
      <c r="EM101" s="24">
        <v>0</v>
      </c>
      <c r="EN101" s="24">
        <v>0</v>
      </c>
      <c r="EO101" s="24">
        <v>0</v>
      </c>
      <c r="EP101" s="24">
        <v>0</v>
      </c>
      <c r="EQ101" s="24">
        <v>0</v>
      </c>
      <c r="ER101" s="24">
        <v>0</v>
      </c>
      <c r="ES101" s="24">
        <v>0</v>
      </c>
      <c r="ET101" s="24">
        <v>0</v>
      </c>
      <c r="EU101" s="24">
        <v>0</v>
      </c>
      <c r="EV101" s="24">
        <v>0</v>
      </c>
      <c r="EW101" s="24">
        <v>0</v>
      </c>
      <c r="EX101" s="24">
        <v>0</v>
      </c>
      <c r="EY101" s="24">
        <v>0</v>
      </c>
      <c r="EZ101" s="24">
        <v>0</v>
      </c>
      <c r="FA101" s="24">
        <v>0</v>
      </c>
      <c r="FB101" s="24">
        <v>0</v>
      </c>
      <c r="FC101" s="24">
        <v>0</v>
      </c>
      <c r="FD101" s="24">
        <v>0</v>
      </c>
      <c r="FE101" s="24">
        <v>0</v>
      </c>
      <c r="FF101" s="24">
        <v>0</v>
      </c>
      <c r="FG101" s="24">
        <v>2850</v>
      </c>
      <c r="FH101" s="24">
        <v>0</v>
      </c>
      <c r="FI101" s="24">
        <v>0</v>
      </c>
      <c r="FJ101" s="24">
        <v>0</v>
      </c>
      <c r="FK101" s="24">
        <v>0</v>
      </c>
      <c r="FL101" s="24">
        <v>0</v>
      </c>
      <c r="FM101" s="24">
        <v>0</v>
      </c>
      <c r="FN101" s="24">
        <v>0</v>
      </c>
      <c r="FO101" s="24">
        <v>0</v>
      </c>
      <c r="FP101" s="24">
        <v>0</v>
      </c>
      <c r="FQ101" s="24">
        <v>0</v>
      </c>
      <c r="FR101" s="24">
        <v>0</v>
      </c>
      <c r="FS101" s="24">
        <v>8029</v>
      </c>
      <c r="FT101" s="24">
        <v>0</v>
      </c>
      <c r="FU101" s="24">
        <v>32726</v>
      </c>
      <c r="FV101" s="24">
        <v>0</v>
      </c>
      <c r="FW101" s="24">
        <v>0</v>
      </c>
      <c r="FX101" s="24">
        <v>0</v>
      </c>
      <c r="FY101" s="24">
        <v>0</v>
      </c>
      <c r="FZ101" s="24">
        <v>0</v>
      </c>
      <c r="GA101" s="24">
        <v>0</v>
      </c>
      <c r="GB101" s="24">
        <v>0</v>
      </c>
      <c r="GC101" s="24">
        <v>0</v>
      </c>
      <c r="GD101" s="24">
        <v>0</v>
      </c>
      <c r="GE101" s="24">
        <v>0</v>
      </c>
      <c r="GF101" s="24">
        <v>0</v>
      </c>
      <c r="GG101" s="24">
        <v>0</v>
      </c>
      <c r="GH101" s="24">
        <v>0</v>
      </c>
      <c r="GI101" s="24">
        <v>0</v>
      </c>
      <c r="GJ101" s="24">
        <v>0</v>
      </c>
      <c r="GK101" s="24">
        <v>0</v>
      </c>
      <c r="GL101" s="24">
        <v>0</v>
      </c>
      <c r="GM101" s="24">
        <v>0</v>
      </c>
      <c r="GN101" s="24">
        <v>0</v>
      </c>
      <c r="GO101" s="24">
        <v>0</v>
      </c>
      <c r="GP101" s="24">
        <v>0</v>
      </c>
      <c r="GQ101" s="24">
        <v>0</v>
      </c>
      <c r="GR101" s="24">
        <v>0</v>
      </c>
      <c r="GS101" s="24">
        <v>0</v>
      </c>
      <c r="GT101" s="24">
        <v>0</v>
      </c>
      <c r="GU101" s="24">
        <v>44755</v>
      </c>
      <c r="GV101" s="24">
        <v>1200</v>
      </c>
      <c r="GW101" s="24">
        <v>0</v>
      </c>
      <c r="GX101" s="24">
        <v>0</v>
      </c>
      <c r="GY101" s="24">
        <v>0</v>
      </c>
      <c r="GZ101" s="24">
        <v>0</v>
      </c>
      <c r="HA101" s="24">
        <v>0</v>
      </c>
      <c r="HB101" s="24">
        <v>0</v>
      </c>
      <c r="HC101" s="24">
        <v>0</v>
      </c>
      <c r="HD101" s="24">
        <v>6316325</v>
      </c>
      <c r="HE101" s="24">
        <v>0</v>
      </c>
      <c r="HF101" s="24">
        <v>0</v>
      </c>
      <c r="HG101" s="24">
        <v>0</v>
      </c>
      <c r="HH101" s="24">
        <v>0</v>
      </c>
      <c r="HI101" s="24">
        <v>264723</v>
      </c>
      <c r="HJ101" s="24">
        <v>0</v>
      </c>
      <c r="HK101" s="24">
        <v>0</v>
      </c>
      <c r="HL101" s="24">
        <v>0</v>
      </c>
      <c r="HM101" s="24">
        <v>0</v>
      </c>
      <c r="HN101" s="24">
        <v>8508</v>
      </c>
      <c r="HO101" s="24">
        <v>831700</v>
      </c>
      <c r="HP101" s="24">
        <v>325408</v>
      </c>
      <c r="HQ101" s="24">
        <v>0</v>
      </c>
      <c r="HR101" s="24">
        <v>0</v>
      </c>
      <c r="HS101" s="24">
        <v>0</v>
      </c>
      <c r="HT101" s="24">
        <v>0</v>
      </c>
      <c r="HU101" s="24">
        <v>0</v>
      </c>
      <c r="HV101" s="24">
        <v>0</v>
      </c>
      <c r="HW101" s="24">
        <v>0</v>
      </c>
      <c r="HX101" s="24">
        <v>0</v>
      </c>
      <c r="HY101" s="24">
        <v>0</v>
      </c>
      <c r="HZ101" s="24">
        <v>0</v>
      </c>
      <c r="IA101" s="24">
        <v>76507</v>
      </c>
      <c r="IB101" s="24">
        <v>21371</v>
      </c>
      <c r="IC101" s="24">
        <v>0</v>
      </c>
      <c r="ID101" s="24">
        <v>0</v>
      </c>
      <c r="IE101" s="24">
        <v>0</v>
      </c>
      <c r="IF101" s="24">
        <v>0</v>
      </c>
      <c r="IG101" s="24">
        <v>0</v>
      </c>
      <c r="IH101" s="24">
        <v>0</v>
      </c>
      <c r="II101" s="24">
        <v>0</v>
      </c>
      <c r="IJ101" s="24">
        <v>254197</v>
      </c>
      <c r="IK101" s="24">
        <v>0</v>
      </c>
      <c r="IL101" s="24">
        <v>0</v>
      </c>
      <c r="IM101" s="24">
        <v>0</v>
      </c>
      <c r="IN101" s="24">
        <v>0</v>
      </c>
      <c r="IO101" s="24">
        <v>11125</v>
      </c>
      <c r="IP101" s="24">
        <v>0</v>
      </c>
      <c r="IQ101" s="24">
        <v>0</v>
      </c>
      <c r="IR101" s="24">
        <v>42652</v>
      </c>
      <c r="IS101" s="24">
        <v>0</v>
      </c>
      <c r="IT101" s="24">
        <v>0</v>
      </c>
      <c r="IU101" s="24">
        <v>0</v>
      </c>
      <c r="IV101" s="24">
        <v>0</v>
      </c>
      <c r="IW101" s="24">
        <v>0</v>
      </c>
      <c r="IX101" s="24">
        <v>0</v>
      </c>
      <c r="IY101" s="24">
        <v>164492</v>
      </c>
      <c r="IZ101" s="24">
        <v>0</v>
      </c>
      <c r="JA101" s="24">
        <v>0</v>
      </c>
      <c r="JB101" s="24">
        <v>33063</v>
      </c>
      <c r="JC101" s="24">
        <v>0</v>
      </c>
      <c r="JD101" s="24">
        <v>0</v>
      </c>
      <c r="JE101" s="24">
        <v>0</v>
      </c>
      <c r="JF101" s="24">
        <v>0</v>
      </c>
      <c r="JG101" s="24">
        <v>0</v>
      </c>
      <c r="JH101" s="24">
        <v>0</v>
      </c>
      <c r="JI101" s="24">
        <v>0</v>
      </c>
      <c r="JJ101" s="24">
        <v>0</v>
      </c>
      <c r="JK101" s="24">
        <v>0</v>
      </c>
      <c r="JL101" s="24">
        <v>0</v>
      </c>
      <c r="JM101" s="24">
        <v>0</v>
      </c>
      <c r="JN101" s="24">
        <v>0</v>
      </c>
      <c r="JO101" s="24">
        <v>0</v>
      </c>
      <c r="JP101" s="24">
        <v>0</v>
      </c>
      <c r="JQ101" s="24">
        <v>0</v>
      </c>
      <c r="JR101" s="24">
        <v>0</v>
      </c>
      <c r="JS101" s="24">
        <v>0</v>
      </c>
      <c r="JT101" s="24">
        <v>0</v>
      </c>
      <c r="JU101" s="24">
        <v>0</v>
      </c>
      <c r="JV101" s="24">
        <v>0</v>
      </c>
      <c r="JW101" s="24">
        <v>0</v>
      </c>
      <c r="JX101" s="24">
        <v>0</v>
      </c>
      <c r="JY101" s="24">
        <v>0</v>
      </c>
      <c r="JZ101" s="24">
        <v>0</v>
      </c>
      <c r="KA101" s="24">
        <v>0</v>
      </c>
      <c r="KB101" s="24">
        <v>0</v>
      </c>
      <c r="KC101" s="24">
        <v>0</v>
      </c>
      <c r="KD101" s="24">
        <v>0</v>
      </c>
      <c r="KE101" s="24">
        <v>0</v>
      </c>
      <c r="KF101" s="24">
        <v>0</v>
      </c>
      <c r="KG101" s="24">
        <v>0</v>
      </c>
      <c r="KH101" s="24">
        <v>0</v>
      </c>
      <c r="KI101" s="24">
        <v>0</v>
      </c>
      <c r="KJ101" s="24">
        <v>0</v>
      </c>
      <c r="KK101" s="24">
        <v>0</v>
      </c>
      <c r="KL101" s="24">
        <v>0</v>
      </c>
      <c r="KM101" s="24">
        <v>0</v>
      </c>
      <c r="KN101" s="24">
        <v>0</v>
      </c>
      <c r="KO101" s="24">
        <v>0</v>
      </c>
      <c r="KP101" s="24">
        <v>0</v>
      </c>
      <c r="KQ101" s="24">
        <v>0</v>
      </c>
      <c r="KR101" s="24">
        <v>0</v>
      </c>
      <c r="KS101" s="24">
        <v>0</v>
      </c>
      <c r="KT101" s="24">
        <v>0</v>
      </c>
      <c r="KU101" s="24">
        <v>0</v>
      </c>
      <c r="KV101" s="24">
        <v>0</v>
      </c>
      <c r="KW101" s="24">
        <v>0</v>
      </c>
      <c r="KX101" s="24">
        <v>0</v>
      </c>
      <c r="KY101" s="24">
        <v>0</v>
      </c>
      <c r="KZ101" s="24">
        <v>0</v>
      </c>
      <c r="LA101" s="24">
        <v>0</v>
      </c>
      <c r="LB101" s="24">
        <v>0</v>
      </c>
      <c r="LC101" s="24">
        <v>0</v>
      </c>
      <c r="LD101" s="24">
        <v>0</v>
      </c>
      <c r="LE101" s="24">
        <v>0</v>
      </c>
      <c r="LF101" s="24">
        <v>0</v>
      </c>
      <c r="LG101" s="24">
        <v>0</v>
      </c>
      <c r="LH101" s="24">
        <v>0</v>
      </c>
      <c r="LI101" s="24">
        <v>0</v>
      </c>
      <c r="LJ101" s="24">
        <v>0</v>
      </c>
      <c r="LK101" s="24">
        <v>0</v>
      </c>
      <c r="LL101" s="24">
        <v>0</v>
      </c>
      <c r="LM101" s="24">
        <v>0</v>
      </c>
      <c r="LN101" s="24">
        <v>0</v>
      </c>
      <c r="LO101" s="24">
        <v>0</v>
      </c>
      <c r="LP101" s="24">
        <v>0</v>
      </c>
      <c r="LQ101" s="24">
        <v>549093</v>
      </c>
      <c r="LR101" s="24">
        <v>34185</v>
      </c>
      <c r="LS101" s="24">
        <v>0</v>
      </c>
      <c r="LT101" s="24">
        <v>0</v>
      </c>
      <c r="LU101" s="24">
        <v>0</v>
      </c>
      <c r="LV101" s="24">
        <v>0</v>
      </c>
      <c r="LW101" s="24">
        <v>0</v>
      </c>
      <c r="LX101" s="24">
        <v>23458</v>
      </c>
      <c r="LY101" s="24">
        <v>0</v>
      </c>
      <c r="LZ101" s="24">
        <v>129373</v>
      </c>
      <c r="MA101" s="24">
        <v>0</v>
      </c>
      <c r="MB101" s="24">
        <v>0</v>
      </c>
      <c r="MC101" s="24">
        <v>0</v>
      </c>
      <c r="MD101" s="24">
        <v>0</v>
      </c>
      <c r="ME101" s="24">
        <v>0</v>
      </c>
      <c r="MF101" s="24">
        <v>0</v>
      </c>
      <c r="MG101" s="24">
        <v>0</v>
      </c>
      <c r="MH101" s="24">
        <v>0</v>
      </c>
      <c r="MI101" s="24">
        <v>0</v>
      </c>
      <c r="MJ101" s="24">
        <v>0</v>
      </c>
      <c r="MK101" s="24">
        <v>0</v>
      </c>
      <c r="ML101" s="24">
        <v>0</v>
      </c>
      <c r="MM101" s="24">
        <v>0</v>
      </c>
      <c r="MN101" s="24">
        <v>0</v>
      </c>
      <c r="MO101" s="24">
        <v>24783</v>
      </c>
      <c r="MP101" s="24">
        <v>0</v>
      </c>
      <c r="MQ101" s="24">
        <v>0</v>
      </c>
      <c r="MR101" s="24">
        <v>818872</v>
      </c>
      <c r="MS101" s="24">
        <v>0</v>
      </c>
      <c r="MT101" s="24">
        <v>0</v>
      </c>
      <c r="MU101" s="24">
        <v>0</v>
      </c>
      <c r="MV101" s="24">
        <v>0</v>
      </c>
      <c r="MW101" s="24">
        <v>362022</v>
      </c>
      <c r="MX101" s="24">
        <v>11272</v>
      </c>
      <c r="MY101" s="24">
        <v>0</v>
      </c>
      <c r="MZ101" s="24">
        <v>0</v>
      </c>
      <c r="NA101" s="24">
        <v>281</v>
      </c>
      <c r="NB101" s="24">
        <v>0</v>
      </c>
      <c r="NC101" s="24">
        <v>0</v>
      </c>
      <c r="ND101" s="24">
        <v>0</v>
      </c>
      <c r="NE101" s="24">
        <v>0</v>
      </c>
      <c r="NF101" s="24">
        <v>0</v>
      </c>
      <c r="NG101" s="24">
        <v>0</v>
      </c>
      <c r="NH101" s="24">
        <v>0</v>
      </c>
      <c r="NI101" s="24">
        <v>0</v>
      </c>
      <c r="NJ101" s="24">
        <v>0</v>
      </c>
      <c r="NK101" s="24">
        <v>0</v>
      </c>
      <c r="NL101" s="24">
        <v>0</v>
      </c>
      <c r="NM101" s="24">
        <v>0</v>
      </c>
      <c r="NN101" s="24">
        <v>0</v>
      </c>
      <c r="NO101" s="24">
        <v>0</v>
      </c>
      <c r="NP101" s="24">
        <v>0</v>
      </c>
      <c r="NQ101" s="24">
        <v>38357</v>
      </c>
      <c r="NR101" s="24">
        <v>0</v>
      </c>
      <c r="NS101" s="24">
        <v>0</v>
      </c>
      <c r="NT101" s="24">
        <v>0</v>
      </c>
      <c r="NU101" s="24">
        <v>0</v>
      </c>
      <c r="NV101" s="24">
        <v>94116</v>
      </c>
      <c r="NW101" s="24">
        <v>0</v>
      </c>
      <c r="NX101" s="24">
        <v>0</v>
      </c>
      <c r="NY101" s="24">
        <v>0</v>
      </c>
      <c r="NZ101" s="24">
        <v>0</v>
      </c>
      <c r="OA101" s="24">
        <v>0</v>
      </c>
      <c r="OB101" s="24">
        <v>0</v>
      </c>
      <c r="OC101" s="24">
        <v>0</v>
      </c>
      <c r="OD101" s="24">
        <v>0</v>
      </c>
      <c r="OE101" s="24">
        <v>0</v>
      </c>
      <c r="OF101" s="24">
        <v>0</v>
      </c>
      <c r="OG101" s="24">
        <v>0</v>
      </c>
      <c r="OH101" s="24">
        <v>0</v>
      </c>
      <c r="OI101" s="24">
        <v>0</v>
      </c>
      <c r="OJ101" s="24">
        <v>0</v>
      </c>
      <c r="OK101" s="24">
        <v>52980</v>
      </c>
      <c r="OL101" s="24">
        <v>0</v>
      </c>
      <c r="OM101" s="24">
        <v>0</v>
      </c>
      <c r="ON101" s="24">
        <v>0</v>
      </c>
      <c r="OO101" s="24">
        <v>0</v>
      </c>
      <c r="OP101" s="24">
        <v>0</v>
      </c>
      <c r="OQ101" s="24">
        <v>0</v>
      </c>
      <c r="OR101" s="24">
        <v>0</v>
      </c>
      <c r="OS101" s="24">
        <v>0</v>
      </c>
      <c r="OT101" s="24">
        <v>0</v>
      </c>
      <c r="OU101" s="24">
        <v>0</v>
      </c>
      <c r="OV101" s="24">
        <v>0</v>
      </c>
      <c r="OW101" s="24">
        <v>0</v>
      </c>
      <c r="OX101" s="24">
        <v>0</v>
      </c>
      <c r="OY101" s="24">
        <v>0</v>
      </c>
      <c r="OZ101" s="24">
        <v>0</v>
      </c>
      <c r="PA101" s="24">
        <v>0</v>
      </c>
      <c r="PB101" s="24">
        <v>0</v>
      </c>
      <c r="PC101" s="24">
        <v>0</v>
      </c>
      <c r="PD101" s="24">
        <v>0</v>
      </c>
      <c r="PE101" s="24">
        <v>0</v>
      </c>
      <c r="PF101" s="24">
        <v>0</v>
      </c>
      <c r="PG101" s="24">
        <v>0</v>
      </c>
      <c r="PH101" s="24">
        <v>23241</v>
      </c>
      <c r="PI101" s="24">
        <v>0</v>
      </c>
      <c r="PJ101" s="24">
        <v>0</v>
      </c>
      <c r="PK101" s="24">
        <v>0</v>
      </c>
      <c r="PL101" s="24">
        <v>0</v>
      </c>
      <c r="PM101" s="24">
        <v>0</v>
      </c>
      <c r="PN101" s="24">
        <v>0</v>
      </c>
      <c r="PO101" s="24">
        <v>0</v>
      </c>
      <c r="PP101" s="24">
        <v>0</v>
      </c>
      <c r="PQ101" s="24">
        <v>0</v>
      </c>
      <c r="PR101" s="24">
        <v>0</v>
      </c>
      <c r="PS101" s="24">
        <v>0</v>
      </c>
      <c r="PT101" s="24">
        <v>0</v>
      </c>
      <c r="PU101" s="24">
        <v>0</v>
      </c>
      <c r="PV101" s="24">
        <v>0</v>
      </c>
      <c r="PW101" s="24">
        <v>30000</v>
      </c>
      <c r="PX101" s="24">
        <v>0</v>
      </c>
      <c r="PY101" s="24">
        <v>0</v>
      </c>
      <c r="PZ101" s="24">
        <v>0</v>
      </c>
      <c r="QA101" s="24">
        <v>0</v>
      </c>
      <c r="QB101" s="24">
        <v>0</v>
      </c>
      <c r="QC101" s="24">
        <v>0</v>
      </c>
      <c r="QD101" s="24">
        <v>0</v>
      </c>
      <c r="QE101" s="24">
        <v>0</v>
      </c>
      <c r="QF101" s="24">
        <v>0</v>
      </c>
      <c r="QG101" s="24">
        <v>0</v>
      </c>
      <c r="QH101" s="24">
        <v>0</v>
      </c>
      <c r="QI101" s="24">
        <v>0</v>
      </c>
      <c r="QJ101" s="24">
        <v>0</v>
      </c>
      <c r="QK101" s="24">
        <v>0</v>
      </c>
      <c r="QL101" s="24">
        <v>0</v>
      </c>
      <c r="QM101" s="24">
        <v>0</v>
      </c>
      <c r="QN101" s="24">
        <v>0</v>
      </c>
      <c r="QO101" s="24">
        <v>0</v>
      </c>
      <c r="QP101" s="24">
        <v>0</v>
      </c>
      <c r="QQ101" s="24">
        <v>0</v>
      </c>
      <c r="QR101" s="24">
        <v>0</v>
      </c>
      <c r="QS101" s="24">
        <v>0</v>
      </c>
      <c r="QT101" s="24">
        <v>0</v>
      </c>
      <c r="QU101" s="24">
        <v>0</v>
      </c>
      <c r="QV101" s="24">
        <v>299975</v>
      </c>
      <c r="QW101" s="24">
        <v>90660</v>
      </c>
      <c r="QX101" s="24">
        <v>0</v>
      </c>
      <c r="QY101" s="24">
        <v>0</v>
      </c>
      <c r="QZ101" s="24">
        <v>0</v>
      </c>
      <c r="RA101" s="24">
        <v>0</v>
      </c>
      <c r="RB101" s="24">
        <v>0</v>
      </c>
      <c r="RG101" s="39">
        <f t="shared" si="129"/>
        <v>6316325</v>
      </c>
      <c r="RH101" s="39">
        <f t="shared" si="206"/>
        <v>264723</v>
      </c>
      <c r="RI101" s="39">
        <f t="shared" si="206"/>
        <v>0</v>
      </c>
      <c r="RJ101" s="39">
        <f t="shared" si="206"/>
        <v>0</v>
      </c>
      <c r="RK101" s="39">
        <f t="shared" si="206"/>
        <v>8508</v>
      </c>
      <c r="RL101" s="39">
        <f t="shared" si="206"/>
        <v>831700</v>
      </c>
      <c r="RM101" s="39">
        <f t="shared" si="206"/>
        <v>677483</v>
      </c>
      <c r="RN101" s="39">
        <f t="shared" si="206"/>
        <v>11125</v>
      </c>
      <c r="RO101" s="39">
        <f t="shared" si="206"/>
        <v>42652</v>
      </c>
      <c r="RP101" s="39">
        <f t="shared" si="206"/>
        <v>164492</v>
      </c>
      <c r="RQ101" s="39">
        <f t="shared" si="206"/>
        <v>33063</v>
      </c>
      <c r="RR101" s="39">
        <f t="shared" si="206"/>
        <v>0</v>
      </c>
      <c r="RS101" s="39"/>
      <c r="RT101" s="182"/>
      <c r="RU101" s="39"/>
      <c r="RV101" s="39">
        <f t="shared" si="182"/>
        <v>2138792</v>
      </c>
      <c r="RW101" s="39">
        <f t="shared" si="182"/>
        <v>8350071</v>
      </c>
      <c r="RX101" s="39">
        <f t="shared" si="182"/>
        <v>1100277</v>
      </c>
      <c r="RY101" s="39">
        <f t="shared" si="182"/>
        <v>443876</v>
      </c>
      <c r="RZ101" s="39"/>
      <c r="SA101" s="182"/>
      <c r="SB101" s="39"/>
      <c r="SC101" s="25">
        <f t="shared" si="183"/>
        <v>798.45936139332366</v>
      </c>
      <c r="SD101" s="39">
        <f>IFERROR(VLOOKUP(A101, 'Levy Data 15-16'!$B:$O, 3, FALSE), 0)</f>
        <v>368695235</v>
      </c>
      <c r="SE101" s="39">
        <f t="shared" si="144"/>
        <v>267558.22568940494</v>
      </c>
      <c r="SF101" s="631">
        <f>IFERROR(VLOOKUP(A101, 'Levy Data 15-16'!$B:$O, 14, FALSE), 0)*1000</f>
        <v>2.3740869999999998</v>
      </c>
      <c r="SG101" s="39">
        <f t="shared" si="145"/>
        <v>0</v>
      </c>
      <c r="SH101" s="39">
        <f t="shared" si="146"/>
        <v>0</v>
      </c>
      <c r="SI101" s="39">
        <f t="shared" si="147"/>
        <v>1100277</v>
      </c>
      <c r="SM101" s="39">
        <f t="shared" si="148"/>
        <v>8350071</v>
      </c>
      <c r="SN101" s="39">
        <f t="shared" si="149"/>
        <v>0</v>
      </c>
      <c r="SO101" s="39">
        <f t="shared" si="184"/>
        <v>8350071</v>
      </c>
      <c r="SP101" s="50">
        <f t="shared" si="130"/>
        <v>1</v>
      </c>
      <c r="ST101" s="124">
        <f>IFERROR(VLOOKUP(A101,'Grade Enroll 15-16'!B:AC,27,FALSE),"")</f>
        <v>1378</v>
      </c>
      <c r="SU101" s="124">
        <f t="shared" si="185"/>
        <v>1057.3719008264463</v>
      </c>
      <c r="SV101" s="131">
        <f>IFERROR(VLOOKUP($A101, 'Title I Enroll 16-17'!S:V, 4, FALSE), 0)</f>
        <v>0.76732358550540369</v>
      </c>
      <c r="SW101" s="729">
        <f>IFERROR(VLOOKUP(A101, 'ELL Enroll 15-16'!$N:$S, 6, FALSE), 0)</f>
        <v>214</v>
      </c>
      <c r="SX101" s="131">
        <f t="shared" si="131"/>
        <v>0.15529753265602322</v>
      </c>
      <c r="SY101" s="124">
        <f>IFERROR(VLOOKUP(A101, 'SPED enroll 2015-16'!$M:$O, 3, FALSE), 0)</f>
        <v>160</v>
      </c>
      <c r="SZ101" s="131">
        <f t="shared" si="132"/>
        <v>0.11611030478955008</v>
      </c>
      <c r="TA101" s="142">
        <f t="shared" si="207"/>
        <v>112</v>
      </c>
      <c r="TB101" s="142">
        <f t="shared" si="207"/>
        <v>32</v>
      </c>
      <c r="TC101" s="142">
        <f t="shared" si="207"/>
        <v>11.200000000000001</v>
      </c>
      <c r="TD101" s="142">
        <f t="shared" si="207"/>
        <v>4.8</v>
      </c>
      <c r="TE101" s="124">
        <f>VLOOKUP($A101, 'Grade Enroll 15-16'!$B:$AB, 20, FALSE)</f>
        <v>51</v>
      </c>
      <c r="TF101" s="124">
        <f>VLOOKUP($A101, 'Grade Enroll 15-16'!$B:$AB, 21, FALSE)</f>
        <v>126</v>
      </c>
      <c r="TG101" s="124">
        <f>VLOOKUP($A101, 'Grade Enroll 15-16'!$B:$AB, 22, FALSE)</f>
        <v>354</v>
      </c>
      <c r="TH101" s="124">
        <f>VLOOKUP($A101, 'Grade Enroll 15-16'!$B:$AB, 23, FALSE)</f>
        <v>338</v>
      </c>
      <c r="TI101" s="124">
        <f>VLOOKUP($A101, 'Grade Enroll 15-16'!$B:$AB, 24, FALSE)</f>
        <v>231</v>
      </c>
      <c r="TJ101" s="124">
        <f>VLOOKUP($A101, 'Grade Enroll 15-16'!$B:$AB, 25, FALSE)</f>
        <v>455</v>
      </c>
      <c r="TK101" s="124">
        <f>VLOOKUP($A101, 'Grade Enroll 15-16'!$B:$AB, 26, FALSE)</f>
        <v>944</v>
      </c>
      <c r="TL101" s="131">
        <f>SUMIFS('Student Achievement 15-16'!N:N, 'Student Achievement 15-16'!B:B, 'Idaho Data'!A101, 'Student Achievement 15-16'!D:D, "math")/100</f>
        <v>0.40700000000000003</v>
      </c>
      <c r="TM101" s="134">
        <f t="shared" si="186"/>
        <v>560.846</v>
      </c>
      <c r="TN101" s="131">
        <f>SUMIFS('Student Achievement 15-16'!N:N, 'Student Achievement 15-16'!B:B, 'Idaho Data'!A101, 'Student Achievement 15-16'!D:D, "ela")/100</f>
        <v>0.28999999999999998</v>
      </c>
      <c r="TO101" s="134">
        <f t="shared" si="134"/>
        <v>399.61999999999995</v>
      </c>
      <c r="TP101" s="688">
        <f>IFERROR(VLOOKUP(A101, 'G&amp;T 15-16'!B:G, 6, FALSE), 0)*1</f>
        <v>169</v>
      </c>
      <c r="TQ101" s="168">
        <f t="shared" si="135"/>
        <v>82.679999999999993</v>
      </c>
      <c r="TU101" s="168">
        <f t="shared" si="136"/>
        <v>399.61999999999995</v>
      </c>
      <c r="TV101" s="168">
        <f t="shared" si="137"/>
        <v>560.846</v>
      </c>
      <c r="TW101" s="205">
        <f t="shared" si="138"/>
        <v>560.846</v>
      </c>
      <c r="TX101" s="144"/>
      <c r="TY101" s="129"/>
      <c r="TZ101" s="127">
        <f t="shared" si="139"/>
        <v>82.679999999999993</v>
      </c>
      <c r="UA101" s="127">
        <f t="shared" si="140"/>
        <v>169</v>
      </c>
      <c r="UB101" s="205">
        <f t="shared" si="141"/>
        <v>169</v>
      </c>
      <c r="UE101" s="853" t="str">
        <f>IF(ST101&lt;='1. Simulator Input'!$E$104, "yes", "")</f>
        <v/>
      </c>
      <c r="UI101" s="199">
        <f t="shared" si="187"/>
        <v>0</v>
      </c>
      <c r="UJ101" s="200">
        <f>IF('Idaho Data'!SI101&gt;=0, ((1-'1. Simulator Input'!$E$39)*'Idaho Data'!SI101), 0)</f>
        <v>0</v>
      </c>
      <c r="UK101" s="200">
        <f t="shared" si="142"/>
        <v>8350071</v>
      </c>
      <c r="UL101" s="39"/>
      <c r="UM101" s="182"/>
      <c r="UN101" s="39"/>
      <c r="UO101" s="39" t="str">
        <f>IF(AND('1. Simulator Input'!$E$96="yes", '1. Simulator Input'!$E$98="yes", '1. Simulator Input'!$E$100="hold harmless"), 'Idaho Data'!WN101, IF(AND('1. Simulator Input'!$E$96="yes", '1. Simulator Input'!$E$98="no", '1. Simulator Input'!$E$100="hold harmless"), 'Idaho Data'!WM101, IF(AND('1. Simulator Input'!$E$96="yes", '1. Simulator Input'!$E$98="yes", '1. Simulator Input'!$E$100="small district grant"), WL101,IF(AND('1. Simulator Input'!$E$96="yes", '1. Simulator Input'!$E$98="no", '1. Simulator Input'!$E$100="small district grant"), WK101, ""))))</f>
        <v/>
      </c>
      <c r="UP101" s="200">
        <f>'1. Simulator Input'!$D$56*('Idaho Data'!ST101)</f>
        <v>7614828</v>
      </c>
      <c r="UQ101" s="204">
        <f>'1. Simulator Input'!$D$65*'1. Simulator Input'!$D$56*'Idaho Data'!SU101</f>
        <v>0</v>
      </c>
      <c r="UR101" s="204">
        <f>'1. Simulator Input'!$D$66*'1. Simulator Input'!$D$56*'Idaho Data'!SW101</f>
        <v>0</v>
      </c>
      <c r="US101" s="200">
        <f>'1. Simulator Input'!$D$67*'1. Simulator Input'!$D$56*'Idaho Data'!TA101</f>
        <v>0</v>
      </c>
      <c r="UT101" s="200">
        <f>'1. Simulator Input'!$D$68*'1. Simulator Input'!$D$56*'Idaho Data'!TB101</f>
        <v>0</v>
      </c>
      <c r="UU101" s="200">
        <f>'1. Simulator Input'!$D$69*'1. Simulator Input'!$D$56*'Idaho Data'!TC101</f>
        <v>0</v>
      </c>
      <c r="UV101" s="200">
        <f>'1. Simulator Input'!$D$70*'1. Simulator Input'!$D$56*TD101</f>
        <v>0</v>
      </c>
      <c r="UW101" s="200">
        <f>'1. Simulator Input'!$D$80*'1. Simulator Input'!$D$56*TW101</f>
        <v>0</v>
      </c>
      <c r="UX101" s="200">
        <f>'1. Simulator Input'!$D$79*'1. Simulator Input'!$D$56*UB101</f>
        <v>0</v>
      </c>
      <c r="UY101" s="200">
        <f>'1. Simulator Input'!$D$87*'1. Simulator Input'!$D$56*TF101</f>
        <v>348138</v>
      </c>
      <c r="UZ101" s="200">
        <f>'1. Simulator Input'!$D$73*'1. Simulator Input'!$D$56*'Idaho Data'!TG101</f>
        <v>0</v>
      </c>
      <c r="VA101" s="200">
        <f>'1. Simulator Input'!$D$56*'1. Simulator Input'!$D$74*'Idaho Data'!TH101</f>
        <v>0</v>
      </c>
      <c r="VB101" s="200">
        <f>'1. Simulator Input'!$D$56*'1. Simulator Input'!$D$75*'Idaho Data'!TI96</f>
        <v>0</v>
      </c>
      <c r="VC101" s="200">
        <f>'1. Simulator Input'!$D$76*'1. Simulator Input'!$D$56*'Idaho Data'!TJ101</f>
        <v>0</v>
      </c>
      <c r="VD101" s="200">
        <f t="shared" si="188"/>
        <v>7962966</v>
      </c>
      <c r="VE101" s="200"/>
      <c r="VF101" s="182"/>
      <c r="VG101" s="200"/>
      <c r="VH101" s="200">
        <f t="shared" si="189"/>
        <v>0</v>
      </c>
      <c r="VI101" s="200">
        <f t="shared" si="190"/>
        <v>0</v>
      </c>
      <c r="VJ101" s="200">
        <f t="shared" si="150"/>
        <v>7962966</v>
      </c>
      <c r="VK101" s="200">
        <f t="shared" si="151"/>
        <v>7962966</v>
      </c>
      <c r="VL101" s="200"/>
      <c r="VM101" s="182"/>
      <c r="VN101" s="200"/>
      <c r="VO101" s="200">
        <f t="shared" si="191"/>
        <v>2138792</v>
      </c>
      <c r="VP101" s="200">
        <f t="shared" si="192"/>
        <v>8350071</v>
      </c>
      <c r="VQ101" s="200">
        <f t="shared" si="193"/>
        <v>1100277</v>
      </c>
      <c r="VR101" s="200">
        <f t="shared" si="194"/>
        <v>2138792</v>
      </c>
      <c r="VS101" s="200">
        <f t="shared" si="152"/>
        <v>7962966</v>
      </c>
      <c r="VT101" s="200">
        <f t="shared" si="153"/>
        <v>1100277</v>
      </c>
      <c r="VU101" s="200">
        <f t="shared" si="154"/>
        <v>0</v>
      </c>
      <c r="VV101" s="200"/>
      <c r="VW101" s="182"/>
      <c r="VX101" s="200"/>
      <c r="VZ101" s="199">
        <f t="shared" si="195"/>
        <v>-387105</v>
      </c>
      <c r="WA101" s="199">
        <f t="shared" si="196"/>
        <v>-280.91799709724239</v>
      </c>
      <c r="WB101" s="131">
        <f t="shared" si="197"/>
        <v>-4.6359486045088716E-2</v>
      </c>
      <c r="WC101" s="131"/>
      <c r="WD101" s="461"/>
      <c r="WE101" s="893"/>
      <c r="WF101" s="893">
        <f t="shared" si="198"/>
        <v>8410.1161103047889</v>
      </c>
      <c r="WG101" s="893">
        <f t="shared" si="199"/>
        <v>8129.1981132075471</v>
      </c>
      <c r="WH101" s="893"/>
      <c r="WI101" s="893">
        <f t="shared" si="200"/>
        <v>8350071</v>
      </c>
      <c r="WJ101" s="893">
        <f t="shared" si="155"/>
        <v>7962966</v>
      </c>
      <c r="WK101" s="39" t="str">
        <f t="shared" si="156"/>
        <v/>
      </c>
      <c r="WL101" s="39" t="str">
        <f t="shared" si="157"/>
        <v/>
      </c>
      <c r="WM101" s="200" t="str">
        <f t="shared" si="158"/>
        <v/>
      </c>
      <c r="WN101" s="39" t="str">
        <f t="shared" si="159"/>
        <v/>
      </c>
      <c r="WO101" s="39"/>
      <c r="WP101" s="182"/>
      <c r="WQ101" s="39"/>
      <c r="WR101" s="305">
        <f t="shared" si="160"/>
        <v>0.17499999999999999</v>
      </c>
      <c r="WT101" s="200">
        <f t="shared" si="161"/>
        <v>6059.5580551523944</v>
      </c>
      <c r="WU101" s="131">
        <f t="shared" si="201"/>
        <v>0.38</v>
      </c>
      <c r="WW101" s="199">
        <f t="shared" si="162"/>
        <v>2138792</v>
      </c>
      <c r="WX101" s="199">
        <f t="shared" si="163"/>
        <v>7962966</v>
      </c>
      <c r="WY101" s="199">
        <f t="shared" si="164"/>
        <v>0</v>
      </c>
      <c r="WZ101" s="199">
        <f t="shared" si="202"/>
        <v>7962966</v>
      </c>
      <c r="XA101" s="199">
        <f t="shared" si="165"/>
        <v>0</v>
      </c>
      <c r="XB101" s="199">
        <f t="shared" si="166"/>
        <v>1100277</v>
      </c>
      <c r="XC101" s="199">
        <f t="shared" si="167"/>
        <v>1100277</v>
      </c>
      <c r="XD101" s="199" t="str">
        <f t="shared" si="168"/>
        <v/>
      </c>
      <c r="XE101" s="199"/>
      <c r="XF101" s="199"/>
      <c r="XG101" s="199"/>
      <c r="XH101" s="199"/>
      <c r="XI101" s="199"/>
      <c r="XJ101" s="199">
        <f t="shared" si="203"/>
        <v>7962966</v>
      </c>
      <c r="XP101" s="199">
        <f t="shared" si="169"/>
        <v>7962966</v>
      </c>
      <c r="XQ101" s="199">
        <f t="shared" si="170"/>
        <v>5778.6400580551526</v>
      </c>
      <c r="XR101" s="199">
        <f t="shared" si="171"/>
        <v>7962966</v>
      </c>
      <c r="XS101" s="199">
        <f t="shared" si="172"/>
        <v>7962966</v>
      </c>
      <c r="XT101" s="199">
        <f t="shared" si="173"/>
        <v>5778.6400580551526</v>
      </c>
      <c r="XU101" s="199">
        <f t="shared" si="174"/>
        <v>8350071</v>
      </c>
      <c r="XV101" s="199">
        <f t="shared" si="175"/>
        <v>6059.5580551523944</v>
      </c>
      <c r="XW101" s="199">
        <f t="shared" si="176"/>
        <v>8350071</v>
      </c>
      <c r="XX101" s="199">
        <f t="shared" si="177"/>
        <v>6059.5580551523944</v>
      </c>
      <c r="XY101" s="199">
        <f t="shared" si="204"/>
        <v>-387105</v>
      </c>
      <c r="XZ101" s="199">
        <f t="shared" si="205"/>
        <v>-280.91799709724182</v>
      </c>
      <c r="YA101" s="131">
        <f t="shared" si="143"/>
        <v>-4.6359486045088626E-2</v>
      </c>
      <c r="YB101" s="199"/>
      <c r="YC101" s="221"/>
      <c r="YD101" s="199"/>
      <c r="YE101" s="199">
        <f t="shared" si="178"/>
        <v>2138792</v>
      </c>
      <c r="YF101" s="200">
        <f t="shared" si="179"/>
        <v>0</v>
      </c>
      <c r="YG101" s="199">
        <f t="shared" si="180"/>
        <v>1100277</v>
      </c>
      <c r="YH101" s="199">
        <f t="shared" si="181"/>
        <v>443876</v>
      </c>
    </row>
    <row r="102" spans="1:658">
      <c r="A102" s="3">
        <v>372</v>
      </c>
      <c r="B102" s="2" t="s">
        <v>199</v>
      </c>
      <c r="C102" s="24">
        <v>2657</v>
      </c>
      <c r="D102" s="24">
        <v>0</v>
      </c>
      <c r="E102" s="24">
        <v>0</v>
      </c>
      <c r="F102" s="24">
        <v>0</v>
      </c>
      <c r="G102" s="24">
        <v>369940</v>
      </c>
      <c r="H102" s="24">
        <v>0</v>
      </c>
      <c r="I102" s="24">
        <v>0</v>
      </c>
      <c r="J102" s="24">
        <v>21137</v>
      </c>
      <c r="K102" s="24">
        <v>0</v>
      </c>
      <c r="L102" s="24">
        <v>0</v>
      </c>
      <c r="M102" s="24">
        <v>0</v>
      </c>
      <c r="N102" s="24">
        <v>0</v>
      </c>
      <c r="O102" s="24">
        <v>0</v>
      </c>
      <c r="P102" s="24">
        <v>0</v>
      </c>
      <c r="Q102" s="24">
        <v>0</v>
      </c>
      <c r="R102" s="24">
        <v>0</v>
      </c>
      <c r="S102" s="24">
        <v>0</v>
      </c>
      <c r="T102" s="24">
        <v>0</v>
      </c>
      <c r="U102" s="24">
        <v>0</v>
      </c>
      <c r="V102" s="24">
        <v>0</v>
      </c>
      <c r="W102" s="24">
        <v>0</v>
      </c>
      <c r="X102" s="24">
        <v>521377</v>
      </c>
      <c r="Y102" s="24">
        <v>0</v>
      </c>
      <c r="Z102" s="24">
        <v>0</v>
      </c>
      <c r="AA102" s="24">
        <v>1480</v>
      </c>
      <c r="AB102" s="24">
        <v>0</v>
      </c>
      <c r="AC102" s="24">
        <v>0</v>
      </c>
      <c r="AD102" s="24">
        <v>0</v>
      </c>
      <c r="AE102" s="24">
        <v>0</v>
      </c>
      <c r="AF102" s="24">
        <v>0</v>
      </c>
      <c r="AG102" s="24">
        <v>0</v>
      </c>
      <c r="AH102" s="24">
        <v>0</v>
      </c>
      <c r="AI102" s="24">
        <v>0</v>
      </c>
      <c r="AJ102" s="24">
        <v>0</v>
      </c>
      <c r="AK102" s="24">
        <v>0</v>
      </c>
      <c r="AL102" s="24">
        <v>3976</v>
      </c>
      <c r="AM102" s="24">
        <v>0</v>
      </c>
      <c r="AN102" s="24">
        <v>0</v>
      </c>
      <c r="AO102" s="24">
        <v>0</v>
      </c>
      <c r="AP102" s="24">
        <v>0</v>
      </c>
      <c r="AQ102" s="24">
        <v>0</v>
      </c>
      <c r="AR102" s="24">
        <v>0</v>
      </c>
      <c r="AS102" s="24">
        <v>0</v>
      </c>
      <c r="AT102" s="24">
        <v>0</v>
      </c>
      <c r="AU102" s="24">
        <v>0</v>
      </c>
      <c r="AV102" s="24">
        <v>0</v>
      </c>
      <c r="AW102" s="24">
        <v>0</v>
      </c>
      <c r="AX102" s="24">
        <v>0</v>
      </c>
      <c r="AY102" s="24">
        <v>0</v>
      </c>
      <c r="AZ102" s="24">
        <v>0</v>
      </c>
      <c r="BA102" s="24">
        <v>0</v>
      </c>
      <c r="BB102" s="24">
        <v>0</v>
      </c>
      <c r="BC102" s="24">
        <v>0</v>
      </c>
      <c r="BD102" s="24">
        <v>636</v>
      </c>
      <c r="BE102" s="24">
        <v>8701</v>
      </c>
      <c r="BF102" s="24">
        <v>0</v>
      </c>
      <c r="BG102" s="24">
        <v>0</v>
      </c>
      <c r="BH102" s="24">
        <v>0</v>
      </c>
      <c r="BI102" s="24">
        <v>0</v>
      </c>
      <c r="BJ102" s="24">
        <v>0</v>
      </c>
      <c r="BK102" s="24">
        <v>0</v>
      </c>
      <c r="BL102" s="24">
        <v>0</v>
      </c>
      <c r="BM102" s="24">
        <v>0</v>
      </c>
      <c r="BN102" s="24">
        <v>0</v>
      </c>
      <c r="BO102" s="24">
        <v>0</v>
      </c>
      <c r="BP102" s="24">
        <v>0</v>
      </c>
      <c r="BQ102" s="24">
        <v>0</v>
      </c>
      <c r="BR102" s="24">
        <v>0</v>
      </c>
      <c r="BS102" s="24">
        <v>255</v>
      </c>
      <c r="BT102" s="24">
        <v>0</v>
      </c>
      <c r="BU102" s="24">
        <v>0</v>
      </c>
      <c r="BV102" s="24">
        <v>0</v>
      </c>
      <c r="BW102" s="24">
        <v>0</v>
      </c>
      <c r="BX102" s="24">
        <v>0</v>
      </c>
      <c r="BY102" s="24">
        <v>0</v>
      </c>
      <c r="BZ102" s="24">
        <v>0</v>
      </c>
      <c r="CA102" s="24">
        <v>0</v>
      </c>
      <c r="CB102" s="24">
        <v>0</v>
      </c>
      <c r="CC102" s="24">
        <v>0</v>
      </c>
      <c r="CD102" s="24">
        <v>56142</v>
      </c>
      <c r="CE102" s="24">
        <v>2471</v>
      </c>
      <c r="CF102" s="24">
        <v>0</v>
      </c>
      <c r="CG102" s="24">
        <v>0</v>
      </c>
      <c r="CH102" s="24">
        <v>0</v>
      </c>
      <c r="CI102" s="24">
        <v>0</v>
      </c>
      <c r="CJ102" s="24">
        <v>0</v>
      </c>
      <c r="CK102" s="24">
        <v>0</v>
      </c>
      <c r="CL102" s="24">
        <v>0</v>
      </c>
      <c r="CM102" s="24">
        <v>0</v>
      </c>
      <c r="CN102" s="24">
        <v>0</v>
      </c>
      <c r="CO102" s="24">
        <v>0</v>
      </c>
      <c r="CP102" s="24">
        <v>0</v>
      </c>
      <c r="CQ102" s="24">
        <v>0</v>
      </c>
      <c r="CR102" s="24">
        <v>0</v>
      </c>
      <c r="CS102" s="24">
        <v>0</v>
      </c>
      <c r="CT102" s="24">
        <v>0</v>
      </c>
      <c r="CU102" s="24">
        <v>0</v>
      </c>
      <c r="CV102" s="24">
        <v>0</v>
      </c>
      <c r="CW102" s="24">
        <v>0</v>
      </c>
      <c r="CX102" s="24">
        <v>0</v>
      </c>
      <c r="CY102" s="24">
        <v>0</v>
      </c>
      <c r="CZ102" s="24">
        <v>0</v>
      </c>
      <c r="DA102" s="24">
        <v>0</v>
      </c>
      <c r="DB102" s="24">
        <v>0</v>
      </c>
      <c r="DC102" s="24">
        <v>0</v>
      </c>
      <c r="DD102" s="24">
        <v>0</v>
      </c>
      <c r="DE102" s="24">
        <v>0</v>
      </c>
      <c r="DF102" s="24">
        <v>0</v>
      </c>
      <c r="DG102" s="24">
        <v>0</v>
      </c>
      <c r="DH102" s="24">
        <v>0</v>
      </c>
      <c r="DI102" s="24">
        <v>0</v>
      </c>
      <c r="DJ102" s="24">
        <v>0</v>
      </c>
      <c r="DK102" s="24">
        <v>0</v>
      </c>
      <c r="DL102" s="24">
        <v>0</v>
      </c>
      <c r="DM102" s="24">
        <v>0</v>
      </c>
      <c r="DN102" s="24">
        <v>0</v>
      </c>
      <c r="DO102" s="24">
        <v>0</v>
      </c>
      <c r="DP102" s="24">
        <v>0</v>
      </c>
      <c r="DQ102" s="24">
        <v>0</v>
      </c>
      <c r="DR102" s="24">
        <v>0</v>
      </c>
      <c r="DS102" s="24">
        <v>0</v>
      </c>
      <c r="DT102" s="24">
        <v>0</v>
      </c>
      <c r="DU102" s="24">
        <v>0</v>
      </c>
      <c r="DV102" s="24">
        <v>0</v>
      </c>
      <c r="DW102" s="24">
        <v>0</v>
      </c>
      <c r="DX102" s="24">
        <v>0</v>
      </c>
      <c r="DY102" s="24">
        <v>0</v>
      </c>
      <c r="DZ102" s="24">
        <v>0</v>
      </c>
      <c r="EA102" s="24">
        <v>0</v>
      </c>
      <c r="EB102" s="24">
        <v>0</v>
      </c>
      <c r="EC102" s="24">
        <v>0</v>
      </c>
      <c r="ED102" s="24">
        <v>0</v>
      </c>
      <c r="EE102" s="24">
        <v>0</v>
      </c>
      <c r="EF102" s="24">
        <v>0</v>
      </c>
      <c r="EG102" s="24">
        <v>0</v>
      </c>
      <c r="EH102" s="24">
        <v>0</v>
      </c>
      <c r="EI102" s="24">
        <v>0</v>
      </c>
      <c r="EJ102" s="24">
        <v>0</v>
      </c>
      <c r="EK102" s="24">
        <v>0</v>
      </c>
      <c r="EL102" s="24">
        <v>0</v>
      </c>
      <c r="EM102" s="24">
        <v>0</v>
      </c>
      <c r="EN102" s="24">
        <v>0</v>
      </c>
      <c r="EO102" s="24">
        <v>0</v>
      </c>
      <c r="EP102" s="24">
        <v>0</v>
      </c>
      <c r="EQ102" s="24">
        <v>0</v>
      </c>
      <c r="ER102" s="24">
        <v>0</v>
      </c>
      <c r="ES102" s="24">
        <v>0</v>
      </c>
      <c r="ET102" s="24">
        <v>0</v>
      </c>
      <c r="EU102" s="24">
        <v>0</v>
      </c>
      <c r="EV102" s="24">
        <v>0</v>
      </c>
      <c r="EW102" s="24">
        <v>0</v>
      </c>
      <c r="EX102" s="24">
        <v>0</v>
      </c>
      <c r="EY102" s="24">
        <v>0</v>
      </c>
      <c r="EZ102" s="24">
        <v>0</v>
      </c>
      <c r="FA102" s="24">
        <v>0</v>
      </c>
      <c r="FB102" s="24">
        <v>0</v>
      </c>
      <c r="FC102" s="24">
        <v>0</v>
      </c>
      <c r="FD102" s="24">
        <v>0</v>
      </c>
      <c r="FE102" s="24">
        <v>0</v>
      </c>
      <c r="FF102" s="24">
        <v>0</v>
      </c>
      <c r="FG102" s="24">
        <v>0</v>
      </c>
      <c r="FH102" s="24">
        <v>0</v>
      </c>
      <c r="FI102" s="24">
        <v>0</v>
      </c>
      <c r="FJ102" s="24">
        <v>0</v>
      </c>
      <c r="FK102" s="24">
        <v>0</v>
      </c>
      <c r="FL102" s="24">
        <v>0</v>
      </c>
      <c r="FM102" s="24">
        <v>0</v>
      </c>
      <c r="FN102" s="24">
        <v>0</v>
      </c>
      <c r="FO102" s="24">
        <v>0</v>
      </c>
      <c r="FP102" s="24">
        <v>0</v>
      </c>
      <c r="FQ102" s="24">
        <v>0</v>
      </c>
      <c r="FR102" s="24">
        <v>0</v>
      </c>
      <c r="FS102" s="24">
        <v>42879</v>
      </c>
      <c r="FT102" s="24">
        <v>0</v>
      </c>
      <c r="FU102" s="24">
        <v>0</v>
      </c>
      <c r="FV102" s="24">
        <v>0</v>
      </c>
      <c r="FW102" s="24">
        <v>0</v>
      </c>
      <c r="FX102" s="24">
        <v>0</v>
      </c>
      <c r="FY102" s="24">
        <v>0</v>
      </c>
      <c r="FZ102" s="24">
        <v>0</v>
      </c>
      <c r="GA102" s="24">
        <v>0</v>
      </c>
      <c r="GB102" s="24">
        <v>0</v>
      </c>
      <c r="GC102" s="24">
        <v>0</v>
      </c>
      <c r="GD102" s="24">
        <v>0</v>
      </c>
      <c r="GE102" s="24">
        <v>0</v>
      </c>
      <c r="GF102" s="24">
        <v>0</v>
      </c>
      <c r="GG102" s="24">
        <v>0</v>
      </c>
      <c r="GH102" s="24">
        <v>0</v>
      </c>
      <c r="GI102" s="24">
        <v>0</v>
      </c>
      <c r="GJ102" s="24">
        <v>0</v>
      </c>
      <c r="GK102" s="24">
        <v>0</v>
      </c>
      <c r="GL102" s="24">
        <v>0</v>
      </c>
      <c r="GM102" s="24">
        <v>0</v>
      </c>
      <c r="GN102" s="24">
        <v>0</v>
      </c>
      <c r="GO102" s="24">
        <v>0</v>
      </c>
      <c r="GP102" s="24">
        <v>0</v>
      </c>
      <c r="GQ102" s="24">
        <v>0</v>
      </c>
      <c r="GR102" s="24">
        <v>0</v>
      </c>
      <c r="GS102" s="24">
        <v>0</v>
      </c>
      <c r="GT102" s="24">
        <v>0</v>
      </c>
      <c r="GU102" s="24">
        <v>0</v>
      </c>
      <c r="GV102" s="24">
        <v>0</v>
      </c>
      <c r="GW102" s="24">
        <v>0</v>
      </c>
      <c r="GX102" s="24">
        <v>0</v>
      </c>
      <c r="GY102" s="24">
        <v>0</v>
      </c>
      <c r="GZ102" s="24">
        <v>0</v>
      </c>
      <c r="HA102" s="24">
        <v>0</v>
      </c>
      <c r="HB102" s="24">
        <v>0</v>
      </c>
      <c r="HC102" s="24">
        <v>0</v>
      </c>
      <c r="HD102" s="24">
        <v>4317702</v>
      </c>
      <c r="HE102" s="24">
        <v>0</v>
      </c>
      <c r="HF102" s="24">
        <v>0</v>
      </c>
      <c r="HG102" s="24">
        <v>0</v>
      </c>
      <c r="HH102" s="24">
        <v>0</v>
      </c>
      <c r="HI102" s="24">
        <v>200710</v>
      </c>
      <c r="HJ102" s="24">
        <v>0</v>
      </c>
      <c r="HK102" s="24">
        <v>0</v>
      </c>
      <c r="HL102" s="24">
        <v>0</v>
      </c>
      <c r="HM102" s="24">
        <v>0</v>
      </c>
      <c r="HN102" s="24">
        <v>0</v>
      </c>
      <c r="HO102" s="24">
        <v>572207</v>
      </c>
      <c r="HP102" s="24">
        <v>0</v>
      </c>
      <c r="HQ102" s="24">
        <v>0</v>
      </c>
      <c r="HR102" s="24">
        <v>0</v>
      </c>
      <c r="HS102" s="24">
        <v>0</v>
      </c>
      <c r="HT102" s="24">
        <v>0</v>
      </c>
      <c r="HU102" s="24">
        <v>0</v>
      </c>
      <c r="HV102" s="24">
        <v>0</v>
      </c>
      <c r="HW102" s="24">
        <v>0</v>
      </c>
      <c r="HX102" s="24">
        <v>0</v>
      </c>
      <c r="HY102" s="24">
        <v>0</v>
      </c>
      <c r="HZ102" s="24">
        <v>0</v>
      </c>
      <c r="IA102" s="24">
        <v>62938</v>
      </c>
      <c r="IB102" s="24">
        <v>21625</v>
      </c>
      <c r="IC102" s="24">
        <v>0</v>
      </c>
      <c r="ID102" s="24">
        <v>0</v>
      </c>
      <c r="IE102" s="24">
        <v>0</v>
      </c>
      <c r="IF102" s="24">
        <v>0</v>
      </c>
      <c r="IG102" s="24">
        <v>0</v>
      </c>
      <c r="IH102" s="24">
        <v>0</v>
      </c>
      <c r="II102" s="24">
        <v>0</v>
      </c>
      <c r="IJ102" s="24">
        <v>197485</v>
      </c>
      <c r="IK102" s="24">
        <v>0</v>
      </c>
      <c r="IL102" s="24">
        <v>0</v>
      </c>
      <c r="IM102" s="24">
        <v>0</v>
      </c>
      <c r="IN102" s="24">
        <v>0</v>
      </c>
      <c r="IO102" s="24">
        <v>0</v>
      </c>
      <c r="IP102" s="24">
        <v>0</v>
      </c>
      <c r="IQ102" s="24">
        <v>0</v>
      </c>
      <c r="IR102" s="24">
        <v>41196</v>
      </c>
      <c r="IS102" s="24">
        <v>0</v>
      </c>
      <c r="IT102" s="24">
        <v>0</v>
      </c>
      <c r="IU102" s="24">
        <v>0</v>
      </c>
      <c r="IV102" s="24">
        <v>0</v>
      </c>
      <c r="IW102" s="24">
        <v>57435</v>
      </c>
      <c r="IX102" s="24">
        <v>0</v>
      </c>
      <c r="IY102" s="24">
        <v>0</v>
      </c>
      <c r="IZ102" s="24">
        <v>0</v>
      </c>
      <c r="JA102" s="24">
        <v>0</v>
      </c>
      <c r="JB102" s="24">
        <v>17270</v>
      </c>
      <c r="JC102" s="24">
        <v>0</v>
      </c>
      <c r="JD102" s="24">
        <v>0</v>
      </c>
      <c r="JE102" s="24">
        <v>153592</v>
      </c>
      <c r="JF102" s="24">
        <v>0</v>
      </c>
      <c r="JG102" s="24">
        <v>0</v>
      </c>
      <c r="JH102" s="24">
        <v>0</v>
      </c>
      <c r="JI102" s="24">
        <v>0</v>
      </c>
      <c r="JJ102" s="24">
        <v>0</v>
      </c>
      <c r="JK102" s="24">
        <v>0</v>
      </c>
      <c r="JL102" s="24">
        <v>0</v>
      </c>
      <c r="JM102" s="24">
        <v>0</v>
      </c>
      <c r="JN102" s="24">
        <v>0</v>
      </c>
      <c r="JO102" s="24">
        <v>0</v>
      </c>
      <c r="JP102" s="24">
        <v>0</v>
      </c>
      <c r="JQ102" s="24">
        <v>0</v>
      </c>
      <c r="JR102" s="24">
        <v>0</v>
      </c>
      <c r="JS102" s="24">
        <v>0</v>
      </c>
      <c r="JT102" s="24">
        <v>0</v>
      </c>
      <c r="JU102" s="24">
        <v>0</v>
      </c>
      <c r="JV102" s="24">
        <v>0</v>
      </c>
      <c r="JW102" s="24">
        <v>0</v>
      </c>
      <c r="JX102" s="24">
        <v>0</v>
      </c>
      <c r="JY102" s="24">
        <v>0</v>
      </c>
      <c r="JZ102" s="24">
        <v>0</v>
      </c>
      <c r="KA102" s="24">
        <v>0</v>
      </c>
      <c r="KB102" s="24">
        <v>0</v>
      </c>
      <c r="KC102" s="24">
        <v>0</v>
      </c>
      <c r="KD102" s="24">
        <v>0</v>
      </c>
      <c r="KE102" s="24">
        <v>0</v>
      </c>
      <c r="KF102" s="24">
        <v>0</v>
      </c>
      <c r="KG102" s="24">
        <v>0</v>
      </c>
      <c r="KH102" s="24">
        <v>0</v>
      </c>
      <c r="KI102" s="24">
        <v>0</v>
      </c>
      <c r="KJ102" s="24">
        <v>0</v>
      </c>
      <c r="KK102" s="24">
        <v>0</v>
      </c>
      <c r="KL102" s="24">
        <v>0</v>
      </c>
      <c r="KM102" s="24">
        <v>0</v>
      </c>
      <c r="KN102" s="24">
        <v>0</v>
      </c>
      <c r="KO102" s="24">
        <v>0</v>
      </c>
      <c r="KP102" s="24">
        <v>0</v>
      </c>
      <c r="KQ102" s="24">
        <v>0</v>
      </c>
      <c r="KR102" s="24">
        <v>0</v>
      </c>
      <c r="KS102" s="24">
        <v>0</v>
      </c>
      <c r="KT102" s="24">
        <v>0</v>
      </c>
      <c r="KU102" s="24">
        <v>0</v>
      </c>
      <c r="KV102" s="24">
        <v>0</v>
      </c>
      <c r="KW102" s="24">
        <v>0</v>
      </c>
      <c r="KX102" s="24">
        <v>0</v>
      </c>
      <c r="KY102" s="24">
        <v>0</v>
      </c>
      <c r="KZ102" s="24">
        <v>0</v>
      </c>
      <c r="LA102" s="24">
        <v>0</v>
      </c>
      <c r="LB102" s="24">
        <v>0</v>
      </c>
      <c r="LC102" s="24">
        <v>0</v>
      </c>
      <c r="LD102" s="24">
        <v>0</v>
      </c>
      <c r="LE102" s="24">
        <v>0</v>
      </c>
      <c r="LF102" s="24">
        <v>0</v>
      </c>
      <c r="LG102" s="24">
        <v>0</v>
      </c>
      <c r="LH102" s="24">
        <v>0</v>
      </c>
      <c r="LI102" s="24">
        <v>0</v>
      </c>
      <c r="LJ102" s="24">
        <v>0</v>
      </c>
      <c r="LK102" s="24">
        <v>0</v>
      </c>
      <c r="LL102" s="24">
        <v>0</v>
      </c>
      <c r="LM102" s="24">
        <v>0</v>
      </c>
      <c r="LN102" s="24">
        <v>0</v>
      </c>
      <c r="LO102" s="24">
        <v>0</v>
      </c>
      <c r="LP102" s="24">
        <v>0</v>
      </c>
      <c r="LQ102" s="24">
        <v>157386</v>
      </c>
      <c r="LR102" s="24">
        <v>29129</v>
      </c>
      <c r="LS102" s="24">
        <v>0</v>
      </c>
      <c r="LT102" s="24">
        <v>0</v>
      </c>
      <c r="LU102" s="24">
        <v>0</v>
      </c>
      <c r="LV102" s="24">
        <v>0</v>
      </c>
      <c r="LW102" s="24">
        <v>0</v>
      </c>
      <c r="LX102" s="24">
        <v>0</v>
      </c>
      <c r="LY102" s="24">
        <v>0</v>
      </c>
      <c r="LZ102" s="24">
        <v>0</v>
      </c>
      <c r="MA102" s="24">
        <v>0</v>
      </c>
      <c r="MB102" s="24">
        <v>0</v>
      </c>
      <c r="MC102" s="24">
        <v>0</v>
      </c>
      <c r="MD102" s="24">
        <v>0</v>
      </c>
      <c r="ME102" s="24">
        <v>0</v>
      </c>
      <c r="MF102" s="24">
        <v>0</v>
      </c>
      <c r="MG102" s="24">
        <v>0</v>
      </c>
      <c r="MH102" s="24">
        <v>0</v>
      </c>
      <c r="MI102" s="24">
        <v>0</v>
      </c>
      <c r="MJ102" s="24">
        <v>0</v>
      </c>
      <c r="MK102" s="24">
        <v>0</v>
      </c>
      <c r="ML102" s="24">
        <v>0</v>
      </c>
      <c r="MM102" s="24">
        <v>0</v>
      </c>
      <c r="MN102" s="24">
        <v>0</v>
      </c>
      <c r="MO102" s="24">
        <v>0</v>
      </c>
      <c r="MP102" s="24">
        <v>0</v>
      </c>
      <c r="MQ102" s="24">
        <v>0</v>
      </c>
      <c r="MR102" s="24">
        <v>272962</v>
      </c>
      <c r="MS102" s="24">
        <v>0</v>
      </c>
      <c r="MT102" s="24">
        <v>0</v>
      </c>
      <c r="MU102" s="24">
        <v>0</v>
      </c>
      <c r="MV102" s="24">
        <v>0</v>
      </c>
      <c r="MW102" s="24">
        <v>179097</v>
      </c>
      <c r="MX102" s="24">
        <v>12355</v>
      </c>
      <c r="MY102" s="24">
        <v>0</v>
      </c>
      <c r="MZ102" s="24">
        <v>0</v>
      </c>
      <c r="NA102" s="24">
        <v>0</v>
      </c>
      <c r="NB102" s="24">
        <v>0</v>
      </c>
      <c r="NC102" s="24">
        <v>0</v>
      </c>
      <c r="ND102" s="24">
        <v>0</v>
      </c>
      <c r="NE102" s="24">
        <v>0</v>
      </c>
      <c r="NF102" s="24">
        <v>0</v>
      </c>
      <c r="NG102" s="24">
        <v>0</v>
      </c>
      <c r="NH102" s="24">
        <v>0</v>
      </c>
      <c r="NI102" s="24">
        <v>0</v>
      </c>
      <c r="NJ102" s="24">
        <v>0</v>
      </c>
      <c r="NK102" s="24">
        <v>0</v>
      </c>
      <c r="NL102" s="24">
        <v>0</v>
      </c>
      <c r="NM102" s="24">
        <v>0</v>
      </c>
      <c r="NN102" s="24">
        <v>0</v>
      </c>
      <c r="NO102" s="24">
        <v>0</v>
      </c>
      <c r="NP102" s="24">
        <v>0</v>
      </c>
      <c r="NQ102" s="24">
        <v>18943</v>
      </c>
      <c r="NR102" s="24">
        <v>19073</v>
      </c>
      <c r="NS102" s="24">
        <v>0</v>
      </c>
      <c r="NT102" s="24">
        <v>0</v>
      </c>
      <c r="NU102" s="24">
        <v>0</v>
      </c>
      <c r="NV102" s="24">
        <v>50470</v>
      </c>
      <c r="NW102" s="24">
        <v>0</v>
      </c>
      <c r="NX102" s="24">
        <v>0</v>
      </c>
      <c r="NY102" s="24">
        <v>0</v>
      </c>
      <c r="NZ102" s="24">
        <v>0</v>
      </c>
      <c r="OA102" s="24">
        <v>0</v>
      </c>
      <c r="OB102" s="24">
        <v>0</v>
      </c>
      <c r="OC102" s="24">
        <v>0</v>
      </c>
      <c r="OD102" s="24">
        <v>0</v>
      </c>
      <c r="OE102" s="24">
        <v>0</v>
      </c>
      <c r="OF102" s="24">
        <v>0</v>
      </c>
      <c r="OG102" s="24">
        <v>0</v>
      </c>
      <c r="OH102" s="24">
        <v>0</v>
      </c>
      <c r="OI102" s="24">
        <v>0</v>
      </c>
      <c r="OJ102" s="24">
        <v>0</v>
      </c>
      <c r="OK102" s="24">
        <v>26654</v>
      </c>
      <c r="OL102" s="24">
        <v>0</v>
      </c>
      <c r="OM102" s="24">
        <v>0</v>
      </c>
      <c r="ON102" s="24">
        <v>0</v>
      </c>
      <c r="OO102" s="24">
        <v>0</v>
      </c>
      <c r="OP102" s="24">
        <v>0</v>
      </c>
      <c r="OQ102" s="24">
        <v>0</v>
      </c>
      <c r="OR102" s="24">
        <v>0</v>
      </c>
      <c r="OS102" s="24">
        <v>0</v>
      </c>
      <c r="OT102" s="24">
        <v>0</v>
      </c>
      <c r="OU102" s="24">
        <v>0</v>
      </c>
      <c r="OV102" s="24">
        <v>0</v>
      </c>
      <c r="OW102" s="24">
        <v>0</v>
      </c>
      <c r="OX102" s="24">
        <v>0</v>
      </c>
      <c r="OY102" s="24">
        <v>0</v>
      </c>
      <c r="OZ102" s="24">
        <v>0</v>
      </c>
      <c r="PA102" s="24">
        <v>0</v>
      </c>
      <c r="PB102" s="24">
        <v>0</v>
      </c>
      <c r="PC102" s="24">
        <v>0</v>
      </c>
      <c r="PD102" s="24">
        <v>0</v>
      </c>
      <c r="PE102" s="24">
        <v>0</v>
      </c>
      <c r="PF102" s="24">
        <v>0</v>
      </c>
      <c r="PG102" s="24">
        <v>0</v>
      </c>
      <c r="PH102" s="24">
        <v>15000</v>
      </c>
      <c r="PI102" s="24">
        <v>0</v>
      </c>
      <c r="PJ102" s="24">
        <v>0</v>
      </c>
      <c r="PK102" s="24">
        <v>0</v>
      </c>
      <c r="PL102" s="24">
        <v>0</v>
      </c>
      <c r="PM102" s="24">
        <v>0</v>
      </c>
      <c r="PN102" s="24">
        <v>0</v>
      </c>
      <c r="PO102" s="24">
        <v>0</v>
      </c>
      <c r="PP102" s="24">
        <v>0</v>
      </c>
      <c r="PQ102" s="24">
        <v>0</v>
      </c>
      <c r="PR102" s="24">
        <v>0</v>
      </c>
      <c r="PS102" s="24">
        <v>0</v>
      </c>
      <c r="PT102" s="24">
        <v>0</v>
      </c>
      <c r="PU102" s="24">
        <v>0</v>
      </c>
      <c r="PV102" s="24">
        <v>0</v>
      </c>
      <c r="PW102" s="24">
        <v>0</v>
      </c>
      <c r="PX102" s="24">
        <v>0</v>
      </c>
      <c r="PY102" s="24">
        <v>0</v>
      </c>
      <c r="PZ102" s="24">
        <v>0</v>
      </c>
      <c r="QA102" s="24">
        <v>0</v>
      </c>
      <c r="QB102" s="24">
        <v>0</v>
      </c>
      <c r="QC102" s="24">
        <v>0</v>
      </c>
      <c r="QD102" s="24">
        <v>0</v>
      </c>
      <c r="QE102" s="24">
        <v>0</v>
      </c>
      <c r="QF102" s="24">
        <v>0</v>
      </c>
      <c r="QG102" s="24">
        <v>0</v>
      </c>
      <c r="QH102" s="24">
        <v>0</v>
      </c>
      <c r="QI102" s="24">
        <v>0</v>
      </c>
      <c r="QJ102" s="24">
        <v>0</v>
      </c>
      <c r="QK102" s="24">
        <v>0</v>
      </c>
      <c r="QL102" s="24">
        <v>0</v>
      </c>
      <c r="QM102" s="24">
        <v>0</v>
      </c>
      <c r="QN102" s="24">
        <v>0</v>
      </c>
      <c r="QO102" s="24">
        <v>0</v>
      </c>
      <c r="QP102" s="24">
        <v>0</v>
      </c>
      <c r="QQ102" s="24">
        <v>0</v>
      </c>
      <c r="QR102" s="24">
        <v>0</v>
      </c>
      <c r="QS102" s="24">
        <v>0</v>
      </c>
      <c r="QT102" s="24">
        <v>0</v>
      </c>
      <c r="QU102" s="24">
        <v>0</v>
      </c>
      <c r="QV102" s="24">
        <v>0</v>
      </c>
      <c r="QW102" s="24">
        <v>17674</v>
      </c>
      <c r="QX102" s="24">
        <v>0</v>
      </c>
      <c r="QY102" s="24">
        <v>0</v>
      </c>
      <c r="QZ102" s="24">
        <v>0</v>
      </c>
      <c r="RA102" s="24">
        <v>0</v>
      </c>
      <c r="RB102" s="24">
        <v>0</v>
      </c>
      <c r="RG102" s="39">
        <f t="shared" si="129"/>
        <v>4317702</v>
      </c>
      <c r="RH102" s="39">
        <f t="shared" si="206"/>
        <v>200710</v>
      </c>
      <c r="RI102" s="39">
        <f t="shared" si="206"/>
        <v>0</v>
      </c>
      <c r="RJ102" s="39">
        <f t="shared" si="206"/>
        <v>0</v>
      </c>
      <c r="RK102" s="39">
        <f t="shared" si="206"/>
        <v>0</v>
      </c>
      <c r="RL102" s="39">
        <f t="shared" si="206"/>
        <v>572207</v>
      </c>
      <c r="RM102" s="39">
        <f t="shared" si="206"/>
        <v>282048</v>
      </c>
      <c r="RN102" s="39">
        <f t="shared" si="206"/>
        <v>0</v>
      </c>
      <c r="RO102" s="39">
        <f t="shared" si="206"/>
        <v>41196</v>
      </c>
      <c r="RP102" s="39">
        <f t="shared" si="206"/>
        <v>57435</v>
      </c>
      <c r="RQ102" s="39">
        <f t="shared" si="206"/>
        <v>17270</v>
      </c>
      <c r="RR102" s="39">
        <f t="shared" si="206"/>
        <v>153592</v>
      </c>
      <c r="RS102" s="39"/>
      <c r="RT102" s="182"/>
      <c r="RU102" s="39"/>
      <c r="RV102" s="39">
        <f t="shared" si="182"/>
        <v>766069</v>
      </c>
      <c r="RW102" s="39">
        <f t="shared" si="182"/>
        <v>5642160</v>
      </c>
      <c r="RX102" s="39">
        <f t="shared" si="182"/>
        <v>1031651</v>
      </c>
      <c r="RY102" s="39">
        <f t="shared" si="182"/>
        <v>32674</v>
      </c>
      <c r="RZ102" s="39"/>
      <c r="SA102" s="182"/>
      <c r="SB102" s="39"/>
      <c r="SC102" s="25">
        <f t="shared" si="183"/>
        <v>1168.3476783691958</v>
      </c>
      <c r="SD102" s="39">
        <f>IFERROR(VLOOKUP(A102, 'Levy Data 15-16'!$B:$O, 3, FALSE), 0)</f>
        <v>387087162</v>
      </c>
      <c r="SE102" s="39">
        <f t="shared" si="144"/>
        <v>438377.30690826726</v>
      </c>
      <c r="SF102" s="631">
        <f>IFERROR(VLOOKUP(A102, 'Levy Data 15-16'!$B:$O, 14, FALSE), 0)*1000</f>
        <v>2.2590490000000001</v>
      </c>
      <c r="SG102" s="39">
        <f t="shared" si="145"/>
        <v>0</v>
      </c>
      <c r="SH102" s="39">
        <f t="shared" si="146"/>
        <v>0</v>
      </c>
      <c r="SI102" s="39">
        <f t="shared" si="147"/>
        <v>1031651</v>
      </c>
      <c r="SM102" s="39">
        <f t="shared" si="148"/>
        <v>5642160</v>
      </c>
      <c r="SN102" s="39">
        <f t="shared" si="149"/>
        <v>0</v>
      </c>
      <c r="SO102" s="39">
        <f t="shared" si="184"/>
        <v>5642160</v>
      </c>
      <c r="SP102" s="50">
        <f t="shared" si="130"/>
        <v>1</v>
      </c>
      <c r="ST102" s="124">
        <f>IFERROR(VLOOKUP(A102,'Grade Enroll 15-16'!B:AC,27,FALSE),"")</f>
        <v>883</v>
      </c>
      <c r="SU102" s="124">
        <f t="shared" si="185"/>
        <v>408.49898989898986</v>
      </c>
      <c r="SV102" s="131">
        <f>IFERROR(VLOOKUP($A102, 'Title I Enroll 16-17'!S:V, 4, FALSE), 0)</f>
        <v>0.46262626262626261</v>
      </c>
      <c r="SW102" s="729">
        <f>IFERROR(VLOOKUP(A102, 'ELL Enroll 15-16'!$N:$S, 6, FALSE), 0)</f>
        <v>22</v>
      </c>
      <c r="SX102" s="131">
        <f t="shared" si="131"/>
        <v>2.491506228765572E-2</v>
      </c>
      <c r="SY102" s="124">
        <f>IFERROR(VLOOKUP(A102, 'SPED enroll 2015-16'!$M:$O, 3, FALSE), 0)</f>
        <v>94</v>
      </c>
      <c r="SZ102" s="131">
        <f t="shared" si="132"/>
        <v>0.10645526613816535</v>
      </c>
      <c r="TA102" s="142">
        <f t="shared" si="207"/>
        <v>65.8</v>
      </c>
      <c r="TB102" s="142">
        <f t="shared" si="207"/>
        <v>18.8</v>
      </c>
      <c r="TC102" s="142">
        <f t="shared" si="207"/>
        <v>6.580000000000001</v>
      </c>
      <c r="TD102" s="142">
        <f t="shared" si="207"/>
        <v>2.82</v>
      </c>
      <c r="TE102" s="124">
        <f>VLOOKUP($A102, 'Grade Enroll 15-16'!$B:$AB, 20, FALSE)</f>
        <v>24</v>
      </c>
      <c r="TF102" s="124">
        <f>VLOOKUP($A102, 'Grade Enroll 15-16'!$B:$AB, 21, FALSE)</f>
        <v>69</v>
      </c>
      <c r="TG102" s="124">
        <f>VLOOKUP($A102, 'Grade Enroll 15-16'!$B:$AB, 22, FALSE)</f>
        <v>218</v>
      </c>
      <c r="TH102" s="124">
        <f>VLOOKUP($A102, 'Grade Enroll 15-16'!$B:$AB, 23, FALSE)</f>
        <v>229</v>
      </c>
      <c r="TI102" s="124">
        <f>VLOOKUP($A102, 'Grade Enroll 15-16'!$B:$AB, 24, FALSE)</f>
        <v>141</v>
      </c>
      <c r="TJ102" s="124">
        <f>VLOOKUP($A102, 'Grade Enroll 15-16'!$B:$AB, 25, FALSE)</f>
        <v>295</v>
      </c>
      <c r="TK102" s="124">
        <f>VLOOKUP($A102, 'Grade Enroll 15-16'!$B:$AB, 26, FALSE)</f>
        <v>604</v>
      </c>
      <c r="TL102" s="131">
        <f>SUMIFS('Student Achievement 15-16'!N:N, 'Student Achievement 15-16'!B:B, 'Idaho Data'!A102, 'Student Achievement 15-16'!D:D, "math")/100</f>
        <v>0.17300000000000001</v>
      </c>
      <c r="TM102" s="134">
        <f t="shared" si="186"/>
        <v>152.75900000000001</v>
      </c>
      <c r="TN102" s="131">
        <f>SUMIFS('Student Achievement 15-16'!N:N, 'Student Achievement 15-16'!B:B, 'Idaho Data'!A102, 'Student Achievement 15-16'!D:D, "ela")/100</f>
        <v>0.114</v>
      </c>
      <c r="TO102" s="134">
        <f t="shared" si="134"/>
        <v>100.66200000000001</v>
      </c>
      <c r="TP102" s="688">
        <f>IFERROR(VLOOKUP(A102, 'G&amp;T 15-16'!B:G, 6, FALSE), 0)*1</f>
        <v>5</v>
      </c>
      <c r="TQ102" s="168">
        <f t="shared" si="135"/>
        <v>52.98</v>
      </c>
      <c r="TU102" s="168">
        <f t="shared" si="136"/>
        <v>100.66200000000001</v>
      </c>
      <c r="TV102" s="168">
        <f t="shared" si="137"/>
        <v>152.75900000000001</v>
      </c>
      <c r="TW102" s="205">
        <f t="shared" si="138"/>
        <v>152.75900000000001</v>
      </c>
      <c r="TX102" s="144"/>
      <c r="TY102" s="129"/>
      <c r="TZ102" s="127">
        <f t="shared" si="139"/>
        <v>5</v>
      </c>
      <c r="UA102" s="127">
        <f t="shared" si="140"/>
        <v>52.98</v>
      </c>
      <c r="UB102" s="205">
        <f t="shared" si="141"/>
        <v>52.98</v>
      </c>
      <c r="UE102" s="853" t="str">
        <f>IF(ST102&lt;='1. Simulator Input'!$E$104, "yes", "")</f>
        <v/>
      </c>
      <c r="UI102" s="199">
        <f t="shared" si="187"/>
        <v>0</v>
      </c>
      <c r="UJ102" s="200">
        <f>IF('Idaho Data'!SI102&gt;=0, ((1-'1. Simulator Input'!$E$39)*'Idaho Data'!SI102), 0)</f>
        <v>0</v>
      </c>
      <c r="UK102" s="200">
        <f t="shared" si="142"/>
        <v>5642160</v>
      </c>
      <c r="UL102" s="39"/>
      <c r="UM102" s="182"/>
      <c r="UN102" s="39"/>
      <c r="UO102" s="39" t="str">
        <f>IF(AND('1. Simulator Input'!$E$96="yes", '1. Simulator Input'!$E$98="yes", '1. Simulator Input'!$E$100="hold harmless"), 'Idaho Data'!WN102, IF(AND('1. Simulator Input'!$E$96="yes", '1. Simulator Input'!$E$98="no", '1. Simulator Input'!$E$100="hold harmless"), 'Idaho Data'!WM102, IF(AND('1. Simulator Input'!$E$96="yes", '1. Simulator Input'!$E$98="yes", '1. Simulator Input'!$E$100="small district grant"), WL102,IF(AND('1. Simulator Input'!$E$96="yes", '1. Simulator Input'!$E$98="no", '1. Simulator Input'!$E$100="small district grant"), WK102, ""))))</f>
        <v/>
      </c>
      <c r="UP102" s="200">
        <f>'1. Simulator Input'!$D$56*('Idaho Data'!ST102)</f>
        <v>4879458</v>
      </c>
      <c r="UQ102" s="204">
        <f>'1. Simulator Input'!$D$65*'1. Simulator Input'!$D$56*'Idaho Data'!SU102</f>
        <v>0</v>
      </c>
      <c r="UR102" s="204">
        <f>'1. Simulator Input'!$D$66*'1. Simulator Input'!$D$56*'Idaho Data'!SW102</f>
        <v>0</v>
      </c>
      <c r="US102" s="200">
        <f>'1. Simulator Input'!$D$67*'1. Simulator Input'!$D$56*'Idaho Data'!TA102</f>
        <v>0</v>
      </c>
      <c r="UT102" s="200">
        <f>'1. Simulator Input'!$D$68*'1. Simulator Input'!$D$56*'Idaho Data'!TB102</f>
        <v>0</v>
      </c>
      <c r="UU102" s="200">
        <f>'1. Simulator Input'!$D$69*'1. Simulator Input'!$D$56*'Idaho Data'!TC102</f>
        <v>0</v>
      </c>
      <c r="UV102" s="200">
        <f>'1. Simulator Input'!$D$70*'1. Simulator Input'!$D$56*TD102</f>
        <v>0</v>
      </c>
      <c r="UW102" s="200">
        <f>'1. Simulator Input'!$D$80*'1. Simulator Input'!$D$56*TW102</f>
        <v>0</v>
      </c>
      <c r="UX102" s="200">
        <f>'1. Simulator Input'!$D$79*'1. Simulator Input'!$D$56*UB102</f>
        <v>0</v>
      </c>
      <c r="UY102" s="200">
        <f>'1. Simulator Input'!$D$87*'1. Simulator Input'!$D$56*TF102</f>
        <v>190647</v>
      </c>
      <c r="UZ102" s="200">
        <f>'1. Simulator Input'!$D$73*'1. Simulator Input'!$D$56*'Idaho Data'!TG102</f>
        <v>0</v>
      </c>
      <c r="VA102" s="200">
        <f>'1. Simulator Input'!$D$56*'1. Simulator Input'!$D$74*'Idaho Data'!TH102</f>
        <v>0</v>
      </c>
      <c r="VB102" s="200">
        <f>'1. Simulator Input'!$D$56*'1. Simulator Input'!$D$75*'Idaho Data'!TI97</f>
        <v>0</v>
      </c>
      <c r="VC102" s="200">
        <f>'1. Simulator Input'!$D$76*'1. Simulator Input'!$D$56*'Idaho Data'!TJ102</f>
        <v>0</v>
      </c>
      <c r="VD102" s="200">
        <f t="shared" si="188"/>
        <v>5070105</v>
      </c>
      <c r="VE102" s="200"/>
      <c r="VF102" s="182"/>
      <c r="VG102" s="200"/>
      <c r="VH102" s="200">
        <f t="shared" si="189"/>
        <v>0</v>
      </c>
      <c r="VI102" s="200">
        <f t="shared" si="190"/>
        <v>0</v>
      </c>
      <c r="VJ102" s="200">
        <f t="shared" si="150"/>
        <v>5070105</v>
      </c>
      <c r="VK102" s="200">
        <f t="shared" si="151"/>
        <v>5070105</v>
      </c>
      <c r="VL102" s="200"/>
      <c r="VM102" s="182"/>
      <c r="VN102" s="200"/>
      <c r="VO102" s="200">
        <f t="shared" si="191"/>
        <v>766069</v>
      </c>
      <c r="VP102" s="200">
        <f t="shared" si="192"/>
        <v>5642160</v>
      </c>
      <c r="VQ102" s="200">
        <f t="shared" si="193"/>
        <v>1031651</v>
      </c>
      <c r="VR102" s="200">
        <f t="shared" si="194"/>
        <v>766069</v>
      </c>
      <c r="VS102" s="200">
        <f t="shared" si="152"/>
        <v>5070105</v>
      </c>
      <c r="VT102" s="200">
        <f t="shared" si="153"/>
        <v>1031651</v>
      </c>
      <c r="VU102" s="200">
        <f t="shared" si="154"/>
        <v>0</v>
      </c>
      <c r="VV102" s="200"/>
      <c r="VW102" s="182"/>
      <c r="VX102" s="200"/>
      <c r="VZ102" s="199">
        <f t="shared" si="195"/>
        <v>-572055</v>
      </c>
      <c r="WA102" s="199">
        <f t="shared" si="196"/>
        <v>-647.85390713476784</v>
      </c>
      <c r="WB102" s="131">
        <f t="shared" si="197"/>
        <v>-0.10138936152111958</v>
      </c>
      <c r="WC102" s="131"/>
      <c r="WD102" s="461"/>
      <c r="WE102" s="893"/>
      <c r="WF102" s="893">
        <f t="shared" si="198"/>
        <v>8425.6851642129113</v>
      </c>
      <c r="WG102" s="893">
        <f t="shared" si="199"/>
        <v>7777.8312570781427</v>
      </c>
      <c r="WH102" s="893"/>
      <c r="WI102" s="893">
        <f t="shared" si="200"/>
        <v>5642160</v>
      </c>
      <c r="WJ102" s="893">
        <f t="shared" si="155"/>
        <v>5070105</v>
      </c>
      <c r="WK102" s="39" t="str">
        <f t="shared" si="156"/>
        <v/>
      </c>
      <c r="WL102" s="39" t="str">
        <f t="shared" si="157"/>
        <v/>
      </c>
      <c r="WM102" s="200" t="str">
        <f t="shared" si="158"/>
        <v/>
      </c>
      <c r="WN102" s="39" t="str">
        <f t="shared" si="159"/>
        <v/>
      </c>
      <c r="WO102" s="39"/>
      <c r="WP102" s="182"/>
      <c r="WQ102" s="39"/>
      <c r="WR102" s="305">
        <f t="shared" si="160"/>
        <v>0.42899999999999999</v>
      </c>
      <c r="WT102" s="200">
        <f t="shared" si="161"/>
        <v>6389.7621744054359</v>
      </c>
      <c r="WU102" s="131">
        <f t="shared" si="201"/>
        <v>0.49</v>
      </c>
      <c r="WW102" s="199">
        <f t="shared" si="162"/>
        <v>766069</v>
      </c>
      <c r="WX102" s="199">
        <f t="shared" si="163"/>
        <v>5070105</v>
      </c>
      <c r="WY102" s="199">
        <f t="shared" si="164"/>
        <v>0</v>
      </c>
      <c r="WZ102" s="199">
        <f t="shared" si="202"/>
        <v>5070105</v>
      </c>
      <c r="XA102" s="199">
        <f t="shared" si="165"/>
        <v>0</v>
      </c>
      <c r="XB102" s="199">
        <f t="shared" si="166"/>
        <v>1031651</v>
      </c>
      <c r="XC102" s="199">
        <f t="shared" si="167"/>
        <v>1031651</v>
      </c>
      <c r="XD102" s="199" t="str">
        <f t="shared" si="168"/>
        <v/>
      </c>
      <c r="XE102" s="199"/>
      <c r="XF102" s="199"/>
      <c r="XG102" s="199"/>
      <c r="XH102" s="199"/>
      <c r="XI102" s="199"/>
      <c r="XJ102" s="199">
        <f t="shared" si="203"/>
        <v>5070105</v>
      </c>
      <c r="XP102" s="199">
        <f t="shared" si="169"/>
        <v>5070105</v>
      </c>
      <c r="XQ102" s="199">
        <f t="shared" si="170"/>
        <v>5741.9082672706681</v>
      </c>
      <c r="XR102" s="199">
        <f t="shared" si="171"/>
        <v>5070105</v>
      </c>
      <c r="XS102" s="199">
        <f t="shared" si="172"/>
        <v>5070105</v>
      </c>
      <c r="XT102" s="199">
        <f t="shared" si="173"/>
        <v>5741.9082672706681</v>
      </c>
      <c r="XU102" s="199">
        <f t="shared" si="174"/>
        <v>5642160</v>
      </c>
      <c r="XV102" s="199">
        <f t="shared" si="175"/>
        <v>6389.7621744054359</v>
      </c>
      <c r="XW102" s="199">
        <f t="shared" si="176"/>
        <v>5642160</v>
      </c>
      <c r="XX102" s="199">
        <f t="shared" si="177"/>
        <v>6389.7621744054359</v>
      </c>
      <c r="XY102" s="199">
        <f t="shared" si="204"/>
        <v>-572055</v>
      </c>
      <c r="XZ102" s="199">
        <f t="shared" si="205"/>
        <v>-647.85390713476772</v>
      </c>
      <c r="YA102" s="131">
        <f t="shared" si="143"/>
        <v>-0.10138936152111956</v>
      </c>
      <c r="YB102" s="199"/>
      <c r="YC102" s="221"/>
      <c r="YD102" s="199"/>
      <c r="YE102" s="199">
        <f t="shared" si="178"/>
        <v>766069</v>
      </c>
      <c r="YF102" s="200">
        <f t="shared" si="179"/>
        <v>0</v>
      </c>
      <c r="YG102" s="199">
        <f t="shared" si="180"/>
        <v>1031651</v>
      </c>
      <c r="YH102" s="199">
        <f t="shared" si="181"/>
        <v>32674</v>
      </c>
    </row>
    <row r="103" spans="1:658">
      <c r="A103" s="3">
        <v>373</v>
      </c>
      <c r="B103" s="2" t="s">
        <v>200</v>
      </c>
      <c r="C103" s="24">
        <v>0</v>
      </c>
      <c r="D103" s="24">
        <v>0</v>
      </c>
      <c r="E103" s="24">
        <v>0</v>
      </c>
      <c r="F103" s="24">
        <v>0</v>
      </c>
      <c r="G103" s="24">
        <v>335597</v>
      </c>
      <c r="H103" s="24">
        <v>0</v>
      </c>
      <c r="I103" s="24">
        <v>0</v>
      </c>
      <c r="J103" s="24">
        <v>33000</v>
      </c>
      <c r="K103" s="24">
        <v>0</v>
      </c>
      <c r="L103" s="24">
        <v>0</v>
      </c>
      <c r="M103" s="24">
        <v>0</v>
      </c>
      <c r="N103" s="24">
        <v>0</v>
      </c>
      <c r="O103" s="24">
        <v>0</v>
      </c>
      <c r="P103" s="24">
        <v>0</v>
      </c>
      <c r="Q103" s="24">
        <v>0</v>
      </c>
      <c r="R103" s="24">
        <v>0</v>
      </c>
      <c r="S103" s="24">
        <v>0</v>
      </c>
      <c r="T103" s="24">
        <v>250867</v>
      </c>
      <c r="U103" s="24">
        <v>0</v>
      </c>
      <c r="V103" s="24">
        <v>0</v>
      </c>
      <c r="W103" s="24">
        <v>0</v>
      </c>
      <c r="X103" s="24">
        <v>792143</v>
      </c>
      <c r="Y103" s="24">
        <v>5089</v>
      </c>
      <c r="Z103" s="24">
        <v>0</v>
      </c>
      <c r="AA103" s="24">
        <v>2002</v>
      </c>
      <c r="AB103" s="24">
        <v>2037</v>
      </c>
      <c r="AC103" s="24">
        <v>0</v>
      </c>
      <c r="AD103" s="24">
        <v>10405</v>
      </c>
      <c r="AE103" s="24">
        <v>0</v>
      </c>
      <c r="AF103" s="24">
        <v>0</v>
      </c>
      <c r="AG103" s="24">
        <v>0</v>
      </c>
      <c r="AH103" s="24">
        <v>0</v>
      </c>
      <c r="AI103" s="24">
        <v>0</v>
      </c>
      <c r="AJ103" s="24">
        <v>0</v>
      </c>
      <c r="AK103" s="24">
        <v>0</v>
      </c>
      <c r="AL103" s="24">
        <v>11485</v>
      </c>
      <c r="AM103" s="24">
        <v>0</v>
      </c>
      <c r="AN103" s="24">
        <v>0</v>
      </c>
      <c r="AO103" s="24">
        <v>0</v>
      </c>
      <c r="AP103" s="24">
        <v>0</v>
      </c>
      <c r="AQ103" s="24">
        <v>0</v>
      </c>
      <c r="AR103" s="24">
        <v>0</v>
      </c>
      <c r="AS103" s="24">
        <v>0</v>
      </c>
      <c r="AT103" s="24">
        <v>0</v>
      </c>
      <c r="AU103" s="24">
        <v>0</v>
      </c>
      <c r="AV103" s="24">
        <v>0</v>
      </c>
      <c r="AW103" s="24">
        <v>0</v>
      </c>
      <c r="AX103" s="24">
        <v>0</v>
      </c>
      <c r="AY103" s="24">
        <v>0</v>
      </c>
      <c r="AZ103" s="24">
        <v>0</v>
      </c>
      <c r="BA103" s="24">
        <v>0</v>
      </c>
      <c r="BB103" s="24">
        <v>0</v>
      </c>
      <c r="BC103" s="24">
        <v>43</v>
      </c>
      <c r="BD103" s="24">
        <v>3608</v>
      </c>
      <c r="BE103" s="24">
        <v>0</v>
      </c>
      <c r="BF103" s="24">
        <v>2270</v>
      </c>
      <c r="BG103" s="24">
        <v>0</v>
      </c>
      <c r="BH103" s="24">
        <v>0</v>
      </c>
      <c r="BI103" s="24">
        <v>0</v>
      </c>
      <c r="BJ103" s="24">
        <v>128</v>
      </c>
      <c r="BK103" s="24">
        <v>0</v>
      </c>
      <c r="BL103" s="24">
        <v>0</v>
      </c>
      <c r="BM103" s="24">
        <v>0</v>
      </c>
      <c r="BN103" s="24">
        <v>0</v>
      </c>
      <c r="BO103" s="24">
        <v>0</v>
      </c>
      <c r="BP103" s="24">
        <v>0</v>
      </c>
      <c r="BQ103" s="24">
        <v>0</v>
      </c>
      <c r="BR103" s="24">
        <v>0</v>
      </c>
      <c r="BS103" s="24">
        <v>0</v>
      </c>
      <c r="BT103" s="24">
        <v>0</v>
      </c>
      <c r="BU103" s="24">
        <v>0</v>
      </c>
      <c r="BV103" s="24">
        <v>0</v>
      </c>
      <c r="BW103" s="24">
        <v>0</v>
      </c>
      <c r="BX103" s="24">
        <v>0</v>
      </c>
      <c r="BY103" s="24">
        <v>0</v>
      </c>
      <c r="BZ103" s="24">
        <v>0</v>
      </c>
      <c r="CA103" s="24">
        <v>0</v>
      </c>
      <c r="CB103" s="24">
        <v>0</v>
      </c>
      <c r="CC103" s="24">
        <v>0</v>
      </c>
      <c r="CD103" s="24">
        <v>147951</v>
      </c>
      <c r="CE103" s="24">
        <v>14087</v>
      </c>
      <c r="CF103" s="24">
        <v>0</v>
      </c>
      <c r="CG103" s="24">
        <v>0</v>
      </c>
      <c r="CH103" s="24">
        <v>0</v>
      </c>
      <c r="CI103" s="24">
        <v>0</v>
      </c>
      <c r="CJ103" s="24">
        <v>0</v>
      </c>
      <c r="CK103" s="24">
        <v>0</v>
      </c>
      <c r="CL103" s="24">
        <v>0</v>
      </c>
      <c r="CM103" s="24">
        <v>0</v>
      </c>
      <c r="CN103" s="24">
        <v>0</v>
      </c>
      <c r="CO103" s="24">
        <v>0</v>
      </c>
      <c r="CP103" s="24">
        <v>0</v>
      </c>
      <c r="CQ103" s="24">
        <v>0</v>
      </c>
      <c r="CR103" s="24">
        <v>0</v>
      </c>
      <c r="CS103" s="24">
        <v>0</v>
      </c>
      <c r="CT103" s="24">
        <v>0</v>
      </c>
      <c r="CU103" s="24">
        <v>0</v>
      </c>
      <c r="CV103" s="24">
        <v>0</v>
      </c>
      <c r="CW103" s="24">
        <v>0</v>
      </c>
      <c r="CX103" s="24">
        <v>0</v>
      </c>
      <c r="CY103" s="24">
        <v>0</v>
      </c>
      <c r="CZ103" s="24">
        <v>0</v>
      </c>
      <c r="DA103" s="24">
        <v>0</v>
      </c>
      <c r="DB103" s="24">
        <v>0</v>
      </c>
      <c r="DC103" s="24">
        <v>0</v>
      </c>
      <c r="DD103" s="24">
        <v>0</v>
      </c>
      <c r="DE103" s="24">
        <v>0</v>
      </c>
      <c r="DF103" s="24">
        <v>0</v>
      </c>
      <c r="DG103" s="24">
        <v>0</v>
      </c>
      <c r="DH103" s="24">
        <v>0</v>
      </c>
      <c r="DI103" s="24">
        <v>0</v>
      </c>
      <c r="DJ103" s="24">
        <v>0</v>
      </c>
      <c r="DK103" s="24">
        <v>0</v>
      </c>
      <c r="DL103" s="24">
        <v>0</v>
      </c>
      <c r="DM103" s="24">
        <v>0</v>
      </c>
      <c r="DN103" s="24">
        <v>0</v>
      </c>
      <c r="DO103" s="24">
        <v>0</v>
      </c>
      <c r="DP103" s="24">
        <v>0</v>
      </c>
      <c r="DQ103" s="24">
        <v>0</v>
      </c>
      <c r="DR103" s="24">
        <v>0</v>
      </c>
      <c r="DS103" s="24">
        <v>0</v>
      </c>
      <c r="DT103" s="24">
        <v>0</v>
      </c>
      <c r="DU103" s="24">
        <v>0</v>
      </c>
      <c r="DV103" s="24">
        <v>0</v>
      </c>
      <c r="DW103" s="24">
        <v>0</v>
      </c>
      <c r="DX103" s="24">
        <v>0</v>
      </c>
      <c r="DY103" s="24">
        <v>0</v>
      </c>
      <c r="DZ103" s="24">
        <v>0</v>
      </c>
      <c r="EA103" s="24">
        <v>0</v>
      </c>
      <c r="EB103" s="24">
        <v>0</v>
      </c>
      <c r="EC103" s="24">
        <v>0</v>
      </c>
      <c r="ED103" s="24">
        <v>0</v>
      </c>
      <c r="EE103" s="24">
        <v>0</v>
      </c>
      <c r="EF103" s="24">
        <v>0</v>
      </c>
      <c r="EG103" s="24">
        <v>0</v>
      </c>
      <c r="EH103" s="24">
        <v>0</v>
      </c>
      <c r="EI103" s="24">
        <v>0</v>
      </c>
      <c r="EJ103" s="24">
        <v>0</v>
      </c>
      <c r="EK103" s="24">
        <v>0</v>
      </c>
      <c r="EL103" s="24">
        <v>0</v>
      </c>
      <c r="EM103" s="24">
        <v>0</v>
      </c>
      <c r="EN103" s="24">
        <v>0</v>
      </c>
      <c r="EO103" s="24">
        <v>0</v>
      </c>
      <c r="EP103" s="24">
        <v>0</v>
      </c>
      <c r="EQ103" s="24">
        <v>0</v>
      </c>
      <c r="ER103" s="24">
        <v>0</v>
      </c>
      <c r="ES103" s="24">
        <v>0</v>
      </c>
      <c r="ET103" s="24">
        <v>0</v>
      </c>
      <c r="EU103" s="24">
        <v>0</v>
      </c>
      <c r="EV103" s="24">
        <v>0</v>
      </c>
      <c r="EW103" s="24">
        <v>0</v>
      </c>
      <c r="EX103" s="24">
        <v>0</v>
      </c>
      <c r="EY103" s="24">
        <v>0</v>
      </c>
      <c r="EZ103" s="24">
        <v>0</v>
      </c>
      <c r="FA103" s="24">
        <v>0</v>
      </c>
      <c r="FB103" s="24">
        <v>0</v>
      </c>
      <c r="FC103" s="24">
        <v>0</v>
      </c>
      <c r="FD103" s="24">
        <v>0</v>
      </c>
      <c r="FE103" s="24">
        <v>0</v>
      </c>
      <c r="FF103" s="24">
        <v>0</v>
      </c>
      <c r="FG103" s="24">
        <v>5750</v>
      </c>
      <c r="FH103" s="24">
        <v>0</v>
      </c>
      <c r="FI103" s="24">
        <v>0</v>
      </c>
      <c r="FJ103" s="24">
        <v>0</v>
      </c>
      <c r="FK103" s="24">
        <v>0</v>
      </c>
      <c r="FL103" s="24">
        <v>0</v>
      </c>
      <c r="FM103" s="24">
        <v>0</v>
      </c>
      <c r="FN103" s="24">
        <v>0</v>
      </c>
      <c r="FO103" s="24">
        <v>0</v>
      </c>
      <c r="FP103" s="24">
        <v>0</v>
      </c>
      <c r="FQ103" s="24">
        <v>0</v>
      </c>
      <c r="FR103" s="24">
        <v>0</v>
      </c>
      <c r="FS103" s="24">
        <v>133584</v>
      </c>
      <c r="FT103" s="24">
        <v>0</v>
      </c>
      <c r="FU103" s="24">
        <v>0</v>
      </c>
      <c r="FV103" s="24">
        <v>0</v>
      </c>
      <c r="FW103" s="24">
        <v>0</v>
      </c>
      <c r="FX103" s="24">
        <v>0</v>
      </c>
      <c r="FY103" s="24">
        <v>0</v>
      </c>
      <c r="FZ103" s="24">
        <v>0</v>
      </c>
      <c r="GA103" s="24">
        <v>0</v>
      </c>
      <c r="GB103" s="24">
        <v>0</v>
      </c>
      <c r="GC103" s="24">
        <v>0</v>
      </c>
      <c r="GD103" s="24">
        <v>0</v>
      </c>
      <c r="GE103" s="24">
        <v>0</v>
      </c>
      <c r="GF103" s="24">
        <v>0</v>
      </c>
      <c r="GG103" s="24">
        <v>0</v>
      </c>
      <c r="GH103" s="24">
        <v>0</v>
      </c>
      <c r="GI103" s="24">
        <v>0</v>
      </c>
      <c r="GJ103" s="24">
        <v>0</v>
      </c>
      <c r="GK103" s="24">
        <v>0</v>
      </c>
      <c r="GL103" s="24">
        <v>0</v>
      </c>
      <c r="GM103" s="24">
        <v>0</v>
      </c>
      <c r="GN103" s="24">
        <v>0</v>
      </c>
      <c r="GO103" s="24">
        <v>0</v>
      </c>
      <c r="GP103" s="24">
        <v>0</v>
      </c>
      <c r="GQ103" s="24">
        <v>0</v>
      </c>
      <c r="GR103" s="24">
        <v>5073</v>
      </c>
      <c r="GS103" s="24">
        <v>0</v>
      </c>
      <c r="GT103" s="24">
        <v>0</v>
      </c>
      <c r="GU103" s="24">
        <v>188141</v>
      </c>
      <c r="GV103" s="24">
        <v>0</v>
      </c>
      <c r="GW103" s="24">
        <v>0</v>
      </c>
      <c r="GX103" s="24">
        <v>0</v>
      </c>
      <c r="GY103" s="24">
        <v>0</v>
      </c>
      <c r="GZ103" s="24">
        <v>0</v>
      </c>
      <c r="HA103" s="24">
        <v>0</v>
      </c>
      <c r="HB103" s="24">
        <v>0</v>
      </c>
      <c r="HC103" s="24">
        <v>0</v>
      </c>
      <c r="HD103" s="24">
        <v>6956894</v>
      </c>
      <c r="HE103" s="24">
        <v>0</v>
      </c>
      <c r="HF103" s="24">
        <v>0</v>
      </c>
      <c r="HG103" s="24">
        <v>0</v>
      </c>
      <c r="HH103" s="24">
        <v>0</v>
      </c>
      <c r="HI103" s="24">
        <v>274749</v>
      </c>
      <c r="HJ103" s="24">
        <v>0</v>
      </c>
      <c r="HK103" s="24">
        <v>0</v>
      </c>
      <c r="HL103" s="24">
        <v>12738</v>
      </c>
      <c r="HM103" s="24">
        <v>0</v>
      </c>
      <c r="HN103" s="24">
        <v>0</v>
      </c>
      <c r="HO103" s="24">
        <v>918201</v>
      </c>
      <c r="HP103" s="24">
        <v>43265</v>
      </c>
      <c r="HQ103" s="24">
        <v>0</v>
      </c>
      <c r="HR103" s="24">
        <v>0</v>
      </c>
      <c r="HS103" s="24">
        <v>0</v>
      </c>
      <c r="HT103" s="24">
        <v>0</v>
      </c>
      <c r="HU103" s="24">
        <v>0</v>
      </c>
      <c r="HV103" s="24">
        <v>0</v>
      </c>
      <c r="HW103" s="24">
        <v>0</v>
      </c>
      <c r="HX103" s="24">
        <v>0</v>
      </c>
      <c r="HY103" s="24">
        <v>0</v>
      </c>
      <c r="HZ103" s="24">
        <v>0</v>
      </c>
      <c r="IA103" s="24">
        <v>87239</v>
      </c>
      <c r="IB103" s="24">
        <v>24224</v>
      </c>
      <c r="IC103" s="24">
        <v>0</v>
      </c>
      <c r="ID103" s="24">
        <v>0</v>
      </c>
      <c r="IE103" s="24">
        <v>0</v>
      </c>
      <c r="IF103" s="24">
        <v>0</v>
      </c>
      <c r="IG103" s="24">
        <v>0</v>
      </c>
      <c r="IH103" s="24">
        <v>0</v>
      </c>
      <c r="II103" s="24">
        <v>0</v>
      </c>
      <c r="IJ103" s="24">
        <v>198774</v>
      </c>
      <c r="IK103" s="24">
        <v>0</v>
      </c>
      <c r="IL103" s="24">
        <v>0</v>
      </c>
      <c r="IM103" s="24">
        <v>0</v>
      </c>
      <c r="IN103" s="24">
        <v>0</v>
      </c>
      <c r="IO103" s="24">
        <v>0</v>
      </c>
      <c r="IP103" s="24">
        <v>0</v>
      </c>
      <c r="IQ103" s="24">
        <v>40810</v>
      </c>
      <c r="IR103" s="24">
        <v>0</v>
      </c>
      <c r="IS103" s="24">
        <v>0</v>
      </c>
      <c r="IT103" s="24">
        <v>0</v>
      </c>
      <c r="IU103" s="24">
        <v>0</v>
      </c>
      <c r="IV103" s="24">
        <v>0</v>
      </c>
      <c r="IW103" s="24">
        <v>0</v>
      </c>
      <c r="IX103" s="24">
        <v>0</v>
      </c>
      <c r="IY103" s="24">
        <v>0</v>
      </c>
      <c r="IZ103" s="24">
        <v>0</v>
      </c>
      <c r="JA103" s="24">
        <v>0</v>
      </c>
      <c r="JB103" s="24">
        <v>35166</v>
      </c>
      <c r="JC103" s="24">
        <v>0</v>
      </c>
      <c r="JD103" s="24">
        <v>0</v>
      </c>
      <c r="JE103" s="24">
        <v>337680</v>
      </c>
      <c r="JF103" s="24">
        <v>0</v>
      </c>
      <c r="JG103" s="24">
        <v>0</v>
      </c>
      <c r="JH103" s="24">
        <v>0</v>
      </c>
      <c r="JI103" s="24">
        <v>0</v>
      </c>
      <c r="JJ103" s="24">
        <v>0</v>
      </c>
      <c r="JK103" s="24">
        <v>0</v>
      </c>
      <c r="JL103" s="24">
        <v>0</v>
      </c>
      <c r="JM103" s="24">
        <v>0</v>
      </c>
      <c r="JN103" s="24">
        <v>0</v>
      </c>
      <c r="JO103" s="24">
        <v>0</v>
      </c>
      <c r="JP103" s="24">
        <v>0</v>
      </c>
      <c r="JQ103" s="24">
        <v>0</v>
      </c>
      <c r="JR103" s="24">
        <v>0</v>
      </c>
      <c r="JS103" s="24">
        <v>0</v>
      </c>
      <c r="JT103" s="24">
        <v>0</v>
      </c>
      <c r="JU103" s="24">
        <v>0</v>
      </c>
      <c r="JV103" s="24">
        <v>0</v>
      </c>
      <c r="JW103" s="24">
        <v>0</v>
      </c>
      <c r="JX103" s="24">
        <v>0</v>
      </c>
      <c r="JY103" s="24">
        <v>0</v>
      </c>
      <c r="JZ103" s="24">
        <v>0</v>
      </c>
      <c r="KA103" s="24">
        <v>0</v>
      </c>
      <c r="KB103" s="24">
        <v>0</v>
      </c>
      <c r="KC103" s="24">
        <v>0</v>
      </c>
      <c r="KD103" s="24">
        <v>0</v>
      </c>
      <c r="KE103" s="24">
        <v>0</v>
      </c>
      <c r="KF103" s="24">
        <v>0</v>
      </c>
      <c r="KG103" s="24">
        <v>0</v>
      </c>
      <c r="KH103" s="24">
        <v>0</v>
      </c>
      <c r="KI103" s="24">
        <v>0</v>
      </c>
      <c r="KJ103" s="24">
        <v>0</v>
      </c>
      <c r="KK103" s="24">
        <v>0</v>
      </c>
      <c r="KL103" s="24">
        <v>0</v>
      </c>
      <c r="KM103" s="24">
        <v>0</v>
      </c>
      <c r="KN103" s="24">
        <v>0</v>
      </c>
      <c r="KO103" s="24">
        <v>0</v>
      </c>
      <c r="KP103" s="24">
        <v>0</v>
      </c>
      <c r="KQ103" s="24">
        <v>0</v>
      </c>
      <c r="KR103" s="24">
        <v>0</v>
      </c>
      <c r="KS103" s="24">
        <v>0</v>
      </c>
      <c r="KT103" s="24">
        <v>0</v>
      </c>
      <c r="KU103" s="24">
        <v>0</v>
      </c>
      <c r="KV103" s="24">
        <v>0</v>
      </c>
      <c r="KW103" s="24">
        <v>0</v>
      </c>
      <c r="KX103" s="24">
        <v>0</v>
      </c>
      <c r="KY103" s="24">
        <v>0</v>
      </c>
      <c r="KZ103" s="24">
        <v>0</v>
      </c>
      <c r="LA103" s="24">
        <v>0</v>
      </c>
      <c r="LB103" s="24">
        <v>0</v>
      </c>
      <c r="LC103" s="24">
        <v>0</v>
      </c>
      <c r="LD103" s="24">
        <v>0</v>
      </c>
      <c r="LE103" s="24">
        <v>0</v>
      </c>
      <c r="LF103" s="24">
        <v>0</v>
      </c>
      <c r="LG103" s="24">
        <v>0</v>
      </c>
      <c r="LH103" s="24">
        <v>0</v>
      </c>
      <c r="LI103" s="24">
        <v>0</v>
      </c>
      <c r="LJ103" s="24">
        <v>0</v>
      </c>
      <c r="LK103" s="24">
        <v>0</v>
      </c>
      <c r="LL103" s="24">
        <v>0</v>
      </c>
      <c r="LM103" s="24">
        <v>0</v>
      </c>
      <c r="LN103" s="24">
        <v>0</v>
      </c>
      <c r="LO103" s="24">
        <v>0</v>
      </c>
      <c r="LP103" s="24">
        <v>0</v>
      </c>
      <c r="LQ103" s="24">
        <v>283237</v>
      </c>
      <c r="LR103" s="24">
        <v>19174</v>
      </c>
      <c r="LS103" s="24">
        <v>0</v>
      </c>
      <c r="LT103" s="24">
        <v>0</v>
      </c>
      <c r="LU103" s="24">
        <v>0</v>
      </c>
      <c r="LV103" s="24">
        <v>0</v>
      </c>
      <c r="LW103" s="24">
        <v>0</v>
      </c>
      <c r="LX103" s="24">
        <v>0</v>
      </c>
      <c r="LY103" s="24">
        <v>0</v>
      </c>
      <c r="LZ103" s="24">
        <v>0</v>
      </c>
      <c r="MA103" s="24">
        <v>0</v>
      </c>
      <c r="MB103" s="24">
        <v>0</v>
      </c>
      <c r="MC103" s="24">
        <v>0</v>
      </c>
      <c r="MD103" s="24">
        <v>0</v>
      </c>
      <c r="ME103" s="24">
        <v>0</v>
      </c>
      <c r="MF103" s="24">
        <v>0</v>
      </c>
      <c r="MG103" s="24">
        <v>0</v>
      </c>
      <c r="MH103" s="24">
        <v>0</v>
      </c>
      <c r="MI103" s="24">
        <v>0</v>
      </c>
      <c r="MJ103" s="24">
        <v>0</v>
      </c>
      <c r="MK103" s="24">
        <v>0</v>
      </c>
      <c r="ML103" s="24">
        <v>0</v>
      </c>
      <c r="MM103" s="24">
        <v>0</v>
      </c>
      <c r="MN103" s="24">
        <v>0</v>
      </c>
      <c r="MO103" s="24">
        <v>16588</v>
      </c>
      <c r="MP103" s="24">
        <v>0</v>
      </c>
      <c r="MQ103" s="24">
        <v>0</v>
      </c>
      <c r="MR103" s="24">
        <v>413272</v>
      </c>
      <c r="MS103" s="24">
        <v>0</v>
      </c>
      <c r="MT103" s="24">
        <v>0</v>
      </c>
      <c r="MU103" s="24">
        <v>0</v>
      </c>
      <c r="MV103" s="24">
        <v>0</v>
      </c>
      <c r="MW103" s="24">
        <v>297376</v>
      </c>
      <c r="MX103" s="24">
        <v>7353</v>
      </c>
      <c r="MY103" s="24">
        <v>0</v>
      </c>
      <c r="MZ103" s="24">
        <v>0</v>
      </c>
      <c r="NA103" s="24">
        <v>0</v>
      </c>
      <c r="NB103" s="24">
        <v>0</v>
      </c>
      <c r="NC103" s="24">
        <v>0</v>
      </c>
      <c r="ND103" s="24">
        <v>0</v>
      </c>
      <c r="NE103" s="24">
        <v>0</v>
      </c>
      <c r="NF103" s="24">
        <v>0</v>
      </c>
      <c r="NG103" s="24">
        <v>0</v>
      </c>
      <c r="NH103" s="24">
        <v>0</v>
      </c>
      <c r="NI103" s="24">
        <v>0</v>
      </c>
      <c r="NJ103" s="24">
        <v>0</v>
      </c>
      <c r="NK103" s="24">
        <v>0</v>
      </c>
      <c r="NL103" s="24">
        <v>0</v>
      </c>
      <c r="NM103" s="24">
        <v>0</v>
      </c>
      <c r="NN103" s="24">
        <v>0</v>
      </c>
      <c r="NO103" s="24">
        <v>0</v>
      </c>
      <c r="NP103" s="24">
        <v>0</v>
      </c>
      <c r="NQ103" s="24">
        <v>20247</v>
      </c>
      <c r="NR103" s="24">
        <v>0</v>
      </c>
      <c r="NS103" s="24">
        <v>0</v>
      </c>
      <c r="NT103" s="24">
        <v>0</v>
      </c>
      <c r="NU103" s="24">
        <v>13980</v>
      </c>
      <c r="NV103" s="24">
        <v>66808</v>
      </c>
      <c r="NW103" s="24">
        <v>0</v>
      </c>
      <c r="NX103" s="24">
        <v>0</v>
      </c>
      <c r="NY103" s="24">
        <v>0</v>
      </c>
      <c r="NZ103" s="24">
        <v>0</v>
      </c>
      <c r="OA103" s="24">
        <v>0</v>
      </c>
      <c r="OB103" s="24">
        <v>0</v>
      </c>
      <c r="OC103" s="24">
        <v>0</v>
      </c>
      <c r="OD103" s="24">
        <v>0</v>
      </c>
      <c r="OE103" s="24">
        <v>0</v>
      </c>
      <c r="OF103" s="24">
        <v>0</v>
      </c>
      <c r="OG103" s="24">
        <v>0</v>
      </c>
      <c r="OH103" s="24">
        <v>0</v>
      </c>
      <c r="OI103" s="24">
        <v>0</v>
      </c>
      <c r="OJ103" s="24">
        <v>0</v>
      </c>
      <c r="OK103" s="24">
        <v>53358</v>
      </c>
      <c r="OL103" s="24">
        <v>0</v>
      </c>
      <c r="OM103" s="24">
        <v>0</v>
      </c>
      <c r="ON103" s="24">
        <v>0</v>
      </c>
      <c r="OO103" s="24">
        <v>0</v>
      </c>
      <c r="OP103" s="24">
        <v>0</v>
      </c>
      <c r="OQ103" s="24">
        <v>0</v>
      </c>
      <c r="OR103" s="24">
        <v>0</v>
      </c>
      <c r="OS103" s="24">
        <v>0</v>
      </c>
      <c r="OT103" s="24">
        <v>0</v>
      </c>
      <c r="OU103" s="24">
        <v>0</v>
      </c>
      <c r="OV103" s="24">
        <v>0</v>
      </c>
      <c r="OW103" s="24">
        <v>213820</v>
      </c>
      <c r="OX103" s="24">
        <v>0</v>
      </c>
      <c r="OY103" s="24">
        <v>0</v>
      </c>
      <c r="OZ103" s="24">
        <v>0</v>
      </c>
      <c r="PA103" s="24">
        <v>0</v>
      </c>
      <c r="PB103" s="24">
        <v>0</v>
      </c>
      <c r="PC103" s="24">
        <v>0</v>
      </c>
      <c r="PD103" s="24">
        <v>0</v>
      </c>
      <c r="PE103" s="24">
        <v>0</v>
      </c>
      <c r="PF103" s="24">
        <v>0</v>
      </c>
      <c r="PG103" s="24">
        <v>0</v>
      </c>
      <c r="PH103" s="24">
        <v>0</v>
      </c>
      <c r="PI103" s="24">
        <v>0</v>
      </c>
      <c r="PJ103" s="24">
        <v>0</v>
      </c>
      <c r="PK103" s="24">
        <v>0</v>
      </c>
      <c r="PL103" s="24">
        <v>0</v>
      </c>
      <c r="PM103" s="24">
        <v>0</v>
      </c>
      <c r="PN103" s="24">
        <v>0</v>
      </c>
      <c r="PO103" s="24">
        <v>0</v>
      </c>
      <c r="PP103" s="24">
        <v>0</v>
      </c>
      <c r="PQ103" s="24">
        <v>0</v>
      </c>
      <c r="PR103" s="24">
        <v>0</v>
      </c>
      <c r="PS103" s="24">
        <v>0</v>
      </c>
      <c r="PT103" s="24">
        <v>0</v>
      </c>
      <c r="PU103" s="24">
        <v>0</v>
      </c>
      <c r="PV103" s="24">
        <v>0</v>
      </c>
      <c r="PW103" s="24">
        <v>0</v>
      </c>
      <c r="PX103" s="24">
        <v>0</v>
      </c>
      <c r="PY103" s="24">
        <v>0</v>
      </c>
      <c r="PZ103" s="24">
        <v>0</v>
      </c>
      <c r="QA103" s="24">
        <v>0</v>
      </c>
      <c r="QB103" s="24">
        <v>0</v>
      </c>
      <c r="QC103" s="24">
        <v>0</v>
      </c>
      <c r="QD103" s="24">
        <v>0</v>
      </c>
      <c r="QE103" s="24">
        <v>0</v>
      </c>
      <c r="QF103" s="24">
        <v>0</v>
      </c>
      <c r="QG103" s="24">
        <v>0</v>
      </c>
      <c r="QH103" s="24">
        <v>0</v>
      </c>
      <c r="QI103" s="24">
        <v>0</v>
      </c>
      <c r="QJ103" s="24">
        <v>0</v>
      </c>
      <c r="QK103" s="24">
        <v>0</v>
      </c>
      <c r="QL103" s="24">
        <v>0</v>
      </c>
      <c r="QM103" s="24">
        <v>0</v>
      </c>
      <c r="QN103" s="24">
        <v>0</v>
      </c>
      <c r="QO103" s="24">
        <v>0</v>
      </c>
      <c r="QP103" s="24">
        <v>0</v>
      </c>
      <c r="QQ103" s="24">
        <v>0</v>
      </c>
      <c r="QR103" s="24">
        <v>0</v>
      </c>
      <c r="QS103" s="24">
        <v>0</v>
      </c>
      <c r="QT103" s="24">
        <v>0</v>
      </c>
      <c r="QU103" s="24">
        <v>0</v>
      </c>
      <c r="QV103" s="24">
        <v>0</v>
      </c>
      <c r="QW103" s="24">
        <v>70681</v>
      </c>
      <c r="QX103" s="24">
        <v>0</v>
      </c>
      <c r="QY103" s="24">
        <v>0</v>
      </c>
      <c r="QZ103" s="24">
        <v>0</v>
      </c>
      <c r="RA103" s="24">
        <v>0</v>
      </c>
      <c r="RB103" s="24">
        <v>0</v>
      </c>
      <c r="RG103" s="39">
        <f t="shared" si="129"/>
        <v>6956894</v>
      </c>
      <c r="RH103" s="39">
        <f t="shared" si="206"/>
        <v>274749</v>
      </c>
      <c r="RI103" s="39">
        <f t="shared" si="206"/>
        <v>12738</v>
      </c>
      <c r="RJ103" s="39">
        <f t="shared" si="206"/>
        <v>0</v>
      </c>
      <c r="RK103" s="39">
        <f t="shared" si="206"/>
        <v>0</v>
      </c>
      <c r="RL103" s="39">
        <f t="shared" si="206"/>
        <v>918201</v>
      </c>
      <c r="RM103" s="39">
        <f t="shared" si="206"/>
        <v>353502</v>
      </c>
      <c r="RN103" s="39">
        <f t="shared" si="206"/>
        <v>0</v>
      </c>
      <c r="RO103" s="39">
        <f t="shared" si="206"/>
        <v>40810</v>
      </c>
      <c r="RP103" s="39">
        <f t="shared" si="206"/>
        <v>0</v>
      </c>
      <c r="RQ103" s="39">
        <f t="shared" si="206"/>
        <v>35166</v>
      </c>
      <c r="RR103" s="39">
        <f t="shared" si="206"/>
        <v>337680</v>
      </c>
      <c r="RS103" s="39"/>
      <c r="RT103" s="182"/>
      <c r="RU103" s="39"/>
      <c r="RV103" s="39">
        <f t="shared" si="182"/>
        <v>1191393</v>
      </c>
      <c r="RW103" s="39">
        <f t="shared" si="182"/>
        <v>8929740</v>
      </c>
      <c r="RX103" s="39">
        <f t="shared" si="182"/>
        <v>1943260</v>
      </c>
      <c r="RY103" s="39">
        <f t="shared" si="182"/>
        <v>284501</v>
      </c>
      <c r="RZ103" s="39"/>
      <c r="SA103" s="182"/>
      <c r="SB103" s="39"/>
      <c r="SC103" s="25">
        <f t="shared" si="183"/>
        <v>1236.1704834605598</v>
      </c>
      <c r="SD103" s="39">
        <f>IFERROR(VLOOKUP(A103, 'Levy Data 15-16'!$B:$O, 3, FALSE), 0)</f>
        <v>513842423</v>
      </c>
      <c r="SE103" s="39">
        <f t="shared" si="144"/>
        <v>326871.7703562341</v>
      </c>
      <c r="SF103" s="631">
        <f>IFERROR(VLOOKUP(A103, 'Levy Data 15-16'!$B:$O, 14, FALSE), 0)*1000</f>
        <v>2.7282440000000001</v>
      </c>
      <c r="SG103" s="39">
        <f t="shared" si="145"/>
        <v>0</v>
      </c>
      <c r="SH103" s="39">
        <f t="shared" si="146"/>
        <v>0</v>
      </c>
      <c r="SI103" s="39">
        <f t="shared" si="147"/>
        <v>1943260</v>
      </c>
      <c r="SM103" s="39">
        <f t="shared" si="148"/>
        <v>8929740</v>
      </c>
      <c r="SN103" s="39">
        <f t="shared" si="149"/>
        <v>0</v>
      </c>
      <c r="SO103" s="39">
        <f t="shared" si="184"/>
        <v>8929740</v>
      </c>
      <c r="SP103" s="50">
        <f t="shared" si="130"/>
        <v>1</v>
      </c>
      <c r="ST103" s="124">
        <f>IFERROR(VLOOKUP(A103,'Grade Enroll 15-16'!B:AC,27,FALSE),"")</f>
        <v>1572</v>
      </c>
      <c r="SU103" s="124">
        <f t="shared" si="185"/>
        <v>733.2263814616756</v>
      </c>
      <c r="SV103" s="131">
        <f>IFERROR(VLOOKUP($A103, 'Title I Enroll 16-17'!S:V, 4, FALSE), 0)</f>
        <v>0.46642899584076053</v>
      </c>
      <c r="SW103" s="729">
        <f>IFERROR(VLOOKUP(A103, 'ELL Enroll 15-16'!$N:$S, 6, FALSE), 0)</f>
        <v>213</v>
      </c>
      <c r="SX103" s="131">
        <f t="shared" si="131"/>
        <v>0.13549618320610687</v>
      </c>
      <c r="SY103" s="124">
        <f>IFERROR(VLOOKUP(A103, 'SPED enroll 2015-16'!$M:$O, 3, FALSE), 0)</f>
        <v>197</v>
      </c>
      <c r="SZ103" s="131">
        <f t="shared" si="132"/>
        <v>0.12531806615776081</v>
      </c>
      <c r="TA103" s="142">
        <f t="shared" si="207"/>
        <v>137.89999999999998</v>
      </c>
      <c r="TB103" s="142">
        <f t="shared" si="207"/>
        <v>39.400000000000006</v>
      </c>
      <c r="TC103" s="142">
        <f t="shared" si="207"/>
        <v>13.790000000000001</v>
      </c>
      <c r="TD103" s="142">
        <f t="shared" si="207"/>
        <v>5.91</v>
      </c>
      <c r="TE103" s="124">
        <f>VLOOKUP($A103, 'Grade Enroll 15-16'!$B:$AB, 20, FALSE)</f>
        <v>17</v>
      </c>
      <c r="TF103" s="124">
        <f>VLOOKUP($A103, 'Grade Enroll 15-16'!$B:$AB, 21, FALSE)</f>
        <v>123</v>
      </c>
      <c r="TG103" s="124">
        <f>VLOOKUP($A103, 'Grade Enroll 15-16'!$B:$AB, 22, FALSE)</f>
        <v>414</v>
      </c>
      <c r="TH103" s="124">
        <f>VLOOKUP($A103, 'Grade Enroll 15-16'!$B:$AB, 23, FALSE)</f>
        <v>413</v>
      </c>
      <c r="TI103" s="124">
        <f>VLOOKUP($A103, 'Grade Enroll 15-16'!$B:$AB, 24, FALSE)</f>
        <v>260</v>
      </c>
      <c r="TJ103" s="124">
        <f>VLOOKUP($A103, 'Grade Enroll 15-16'!$B:$AB, 25, FALSE)</f>
        <v>485</v>
      </c>
      <c r="TK103" s="124">
        <f>VLOOKUP($A103, 'Grade Enroll 15-16'!$B:$AB, 26, FALSE)</f>
        <v>1078</v>
      </c>
      <c r="TL103" s="131">
        <f>SUMIFS('Student Achievement 15-16'!N:N, 'Student Achievement 15-16'!B:B, 'Idaho Data'!A103, 'Student Achievement 15-16'!D:D, "math")/100</f>
        <v>0.30299999999999999</v>
      </c>
      <c r="TM103" s="134">
        <f t="shared" si="186"/>
        <v>476.31599999999997</v>
      </c>
      <c r="TN103" s="131">
        <f>SUMIFS('Student Achievement 15-16'!N:N, 'Student Achievement 15-16'!B:B, 'Idaho Data'!A103, 'Student Achievement 15-16'!D:D, "ela")/100</f>
        <v>0.23899999999999999</v>
      </c>
      <c r="TO103" s="134">
        <f t="shared" si="134"/>
        <v>375.70799999999997</v>
      </c>
      <c r="TP103" s="688">
        <f>IFERROR(VLOOKUP(A103, 'G&amp;T 15-16'!B:G, 6, FALSE), 0)*1</f>
        <v>87</v>
      </c>
      <c r="TQ103" s="168">
        <f t="shared" si="135"/>
        <v>94.32</v>
      </c>
      <c r="TU103" s="168">
        <f t="shared" si="136"/>
        <v>375.70799999999997</v>
      </c>
      <c r="TV103" s="168">
        <f t="shared" si="137"/>
        <v>476.31599999999997</v>
      </c>
      <c r="TW103" s="205">
        <f t="shared" si="138"/>
        <v>476.31599999999997</v>
      </c>
      <c r="TX103" s="144"/>
      <c r="TY103" s="129"/>
      <c r="TZ103" s="127">
        <f t="shared" si="139"/>
        <v>87</v>
      </c>
      <c r="UA103" s="127">
        <f t="shared" si="140"/>
        <v>94.32</v>
      </c>
      <c r="UB103" s="205">
        <f t="shared" si="141"/>
        <v>94.32</v>
      </c>
      <c r="UE103" s="853" t="str">
        <f>IF(ST103&lt;='1. Simulator Input'!$E$104, "yes", "")</f>
        <v/>
      </c>
      <c r="UI103" s="199">
        <f t="shared" si="187"/>
        <v>0</v>
      </c>
      <c r="UJ103" s="200">
        <f>IF('Idaho Data'!SI103&gt;=0, ((1-'1. Simulator Input'!$E$39)*'Idaho Data'!SI103), 0)</f>
        <v>0</v>
      </c>
      <c r="UK103" s="200">
        <f t="shared" si="142"/>
        <v>8929740</v>
      </c>
      <c r="UL103" s="39"/>
      <c r="UM103" s="182"/>
      <c r="UN103" s="39"/>
      <c r="UO103" s="39" t="str">
        <f>IF(AND('1. Simulator Input'!$E$96="yes", '1. Simulator Input'!$E$98="yes", '1. Simulator Input'!$E$100="hold harmless"), 'Idaho Data'!WN103, IF(AND('1. Simulator Input'!$E$96="yes", '1. Simulator Input'!$E$98="no", '1. Simulator Input'!$E$100="hold harmless"), 'Idaho Data'!WM103, IF(AND('1. Simulator Input'!$E$96="yes", '1. Simulator Input'!$E$98="yes", '1. Simulator Input'!$E$100="small district grant"), WL103,IF(AND('1. Simulator Input'!$E$96="yes", '1. Simulator Input'!$E$98="no", '1. Simulator Input'!$E$100="small district grant"), WK103, ""))))</f>
        <v/>
      </c>
      <c r="UP103" s="200">
        <f>'1. Simulator Input'!$D$56*('Idaho Data'!ST103)</f>
        <v>8686872</v>
      </c>
      <c r="UQ103" s="204">
        <f>'1. Simulator Input'!$D$65*'1. Simulator Input'!$D$56*'Idaho Data'!SU103</f>
        <v>0</v>
      </c>
      <c r="UR103" s="204">
        <f>'1. Simulator Input'!$D$66*'1. Simulator Input'!$D$56*'Idaho Data'!SW103</f>
        <v>0</v>
      </c>
      <c r="US103" s="200">
        <f>'1. Simulator Input'!$D$67*'1. Simulator Input'!$D$56*'Idaho Data'!TA103</f>
        <v>0</v>
      </c>
      <c r="UT103" s="200">
        <f>'1. Simulator Input'!$D$68*'1. Simulator Input'!$D$56*'Idaho Data'!TB103</f>
        <v>0</v>
      </c>
      <c r="UU103" s="200">
        <f>'1. Simulator Input'!$D$69*'1. Simulator Input'!$D$56*'Idaho Data'!TC103</f>
        <v>0</v>
      </c>
      <c r="UV103" s="200">
        <f>'1. Simulator Input'!$D$70*'1. Simulator Input'!$D$56*TD103</f>
        <v>0</v>
      </c>
      <c r="UW103" s="200">
        <f>'1. Simulator Input'!$D$80*'1. Simulator Input'!$D$56*TW103</f>
        <v>0</v>
      </c>
      <c r="UX103" s="200">
        <f>'1. Simulator Input'!$D$79*'1. Simulator Input'!$D$56*UB103</f>
        <v>0</v>
      </c>
      <c r="UY103" s="200">
        <f>'1. Simulator Input'!$D$87*'1. Simulator Input'!$D$56*TF103</f>
        <v>339849</v>
      </c>
      <c r="UZ103" s="200">
        <f>'1. Simulator Input'!$D$73*'1. Simulator Input'!$D$56*'Idaho Data'!TG103</f>
        <v>0</v>
      </c>
      <c r="VA103" s="200">
        <f>'1. Simulator Input'!$D$56*'1. Simulator Input'!$D$74*'Idaho Data'!TH103</f>
        <v>0</v>
      </c>
      <c r="VB103" s="200">
        <f>'1. Simulator Input'!$D$56*'1. Simulator Input'!$D$75*'Idaho Data'!TI98</f>
        <v>0</v>
      </c>
      <c r="VC103" s="200">
        <f>'1. Simulator Input'!$D$76*'1. Simulator Input'!$D$56*'Idaho Data'!TJ103</f>
        <v>0</v>
      </c>
      <c r="VD103" s="200">
        <f t="shared" si="188"/>
        <v>9026721</v>
      </c>
      <c r="VE103" s="200"/>
      <c r="VF103" s="182"/>
      <c r="VG103" s="200"/>
      <c r="VH103" s="200">
        <f t="shared" si="189"/>
        <v>0</v>
      </c>
      <c r="VI103" s="200">
        <f t="shared" si="190"/>
        <v>0</v>
      </c>
      <c r="VJ103" s="200">
        <f t="shared" si="150"/>
        <v>9026721</v>
      </c>
      <c r="VK103" s="200">
        <f t="shared" si="151"/>
        <v>9026721</v>
      </c>
      <c r="VL103" s="200"/>
      <c r="VM103" s="182"/>
      <c r="VN103" s="200"/>
      <c r="VO103" s="200">
        <f t="shared" si="191"/>
        <v>1191393</v>
      </c>
      <c r="VP103" s="200">
        <f t="shared" si="192"/>
        <v>8929740</v>
      </c>
      <c r="VQ103" s="200">
        <f t="shared" si="193"/>
        <v>1943260</v>
      </c>
      <c r="VR103" s="200">
        <f t="shared" si="194"/>
        <v>1191393</v>
      </c>
      <c r="VS103" s="200">
        <f t="shared" si="152"/>
        <v>9026721</v>
      </c>
      <c r="VT103" s="200">
        <f t="shared" si="153"/>
        <v>1943260</v>
      </c>
      <c r="VU103" s="200">
        <f t="shared" si="154"/>
        <v>0</v>
      </c>
      <c r="VV103" s="200"/>
      <c r="VW103" s="182"/>
      <c r="VX103" s="200"/>
      <c r="VZ103" s="199">
        <f t="shared" si="195"/>
        <v>96981</v>
      </c>
      <c r="WA103" s="199">
        <f t="shared" si="196"/>
        <v>61.69274809160305</v>
      </c>
      <c r="WB103" s="131">
        <f t="shared" si="197"/>
        <v>1.0860450584227537E-2</v>
      </c>
      <c r="WC103" s="131"/>
      <c r="WD103" s="461"/>
      <c r="WE103" s="893"/>
      <c r="WF103" s="893">
        <f t="shared" si="198"/>
        <v>7674.5502544529263</v>
      </c>
      <c r="WG103" s="893">
        <f t="shared" si="199"/>
        <v>7736.2430025445292</v>
      </c>
      <c r="WH103" s="893"/>
      <c r="WI103" s="893">
        <f t="shared" si="200"/>
        <v>8929740</v>
      </c>
      <c r="WJ103" s="893">
        <f t="shared" si="155"/>
        <v>9026721</v>
      </c>
      <c r="WK103" s="39" t="str">
        <f t="shared" si="156"/>
        <v/>
      </c>
      <c r="WL103" s="39" t="str">
        <f t="shared" si="157"/>
        <v/>
      </c>
      <c r="WM103" s="200" t="str">
        <f t="shared" si="158"/>
        <v/>
      </c>
      <c r="WN103" s="39" t="str">
        <f t="shared" si="159"/>
        <v/>
      </c>
      <c r="WO103" s="39"/>
      <c r="WP103" s="182"/>
      <c r="WQ103" s="39"/>
      <c r="WR103" s="305">
        <f t="shared" si="160"/>
        <v>0.33300000000000002</v>
      </c>
      <c r="WT103" s="200">
        <f t="shared" si="161"/>
        <v>5680.4961832061072</v>
      </c>
      <c r="WU103" s="131">
        <f t="shared" si="201"/>
        <v>0.2</v>
      </c>
      <c r="WW103" s="199">
        <f t="shared" si="162"/>
        <v>1191393</v>
      </c>
      <c r="WX103" s="199">
        <f t="shared" si="163"/>
        <v>9026721</v>
      </c>
      <c r="WY103" s="199">
        <f t="shared" si="164"/>
        <v>0</v>
      </c>
      <c r="WZ103" s="199">
        <f t="shared" si="202"/>
        <v>9026721</v>
      </c>
      <c r="XA103" s="199">
        <f t="shared" si="165"/>
        <v>0</v>
      </c>
      <c r="XB103" s="199">
        <f t="shared" si="166"/>
        <v>1943260</v>
      </c>
      <c r="XC103" s="199">
        <f t="shared" si="167"/>
        <v>1943260</v>
      </c>
      <c r="XD103" s="199" t="str">
        <f t="shared" si="168"/>
        <v/>
      </c>
      <c r="XE103" s="199"/>
      <c r="XF103" s="199"/>
      <c r="XG103" s="199"/>
      <c r="XH103" s="199"/>
      <c r="XI103" s="199"/>
      <c r="XJ103" s="199">
        <f t="shared" si="203"/>
        <v>9026721</v>
      </c>
      <c r="XP103" s="199">
        <f t="shared" si="169"/>
        <v>9026721</v>
      </c>
      <c r="XQ103" s="199">
        <f t="shared" si="170"/>
        <v>5742.18893129771</v>
      </c>
      <c r="XR103" s="199">
        <f t="shared" si="171"/>
        <v>9026721</v>
      </c>
      <c r="XS103" s="199">
        <f t="shared" si="172"/>
        <v>9026721</v>
      </c>
      <c r="XT103" s="199">
        <f t="shared" si="173"/>
        <v>5742.18893129771</v>
      </c>
      <c r="XU103" s="199">
        <f t="shared" si="174"/>
        <v>8929740</v>
      </c>
      <c r="XV103" s="199">
        <f t="shared" si="175"/>
        <v>5680.4961832061072</v>
      </c>
      <c r="XW103" s="199">
        <f t="shared" si="176"/>
        <v>8929740</v>
      </c>
      <c r="XX103" s="199">
        <f t="shared" si="177"/>
        <v>5680.4961832061072</v>
      </c>
      <c r="XY103" s="199">
        <f t="shared" si="204"/>
        <v>96981</v>
      </c>
      <c r="XZ103" s="199">
        <f t="shared" si="205"/>
        <v>61.69274809160288</v>
      </c>
      <c r="YA103" s="131">
        <f t="shared" si="143"/>
        <v>1.0860450584227506E-2</v>
      </c>
      <c r="YB103" s="199"/>
      <c r="YC103" s="221"/>
      <c r="YD103" s="199"/>
      <c r="YE103" s="199">
        <f t="shared" si="178"/>
        <v>1191393</v>
      </c>
      <c r="YF103" s="200">
        <f t="shared" si="179"/>
        <v>0</v>
      </c>
      <c r="YG103" s="199">
        <f t="shared" si="180"/>
        <v>1943260</v>
      </c>
      <c r="YH103" s="199">
        <f t="shared" si="181"/>
        <v>284501</v>
      </c>
    </row>
    <row r="104" spans="1:658">
      <c r="A104" s="3">
        <v>381</v>
      </c>
      <c r="B104" s="2" t="s">
        <v>201</v>
      </c>
      <c r="C104" s="24">
        <v>0</v>
      </c>
      <c r="D104" s="24">
        <v>0</v>
      </c>
      <c r="E104" s="24">
        <v>0</v>
      </c>
      <c r="F104" s="24">
        <v>0</v>
      </c>
      <c r="G104" s="24">
        <v>2495605</v>
      </c>
      <c r="H104" s="24">
        <v>0</v>
      </c>
      <c r="I104" s="24">
        <v>0</v>
      </c>
      <c r="J104" s="24">
        <v>0</v>
      </c>
      <c r="K104" s="24">
        <v>0</v>
      </c>
      <c r="L104" s="24">
        <v>0</v>
      </c>
      <c r="M104" s="24">
        <v>0</v>
      </c>
      <c r="N104" s="24">
        <v>0</v>
      </c>
      <c r="O104" s="24">
        <v>0</v>
      </c>
      <c r="P104" s="24">
        <v>0</v>
      </c>
      <c r="Q104" s="24">
        <v>0</v>
      </c>
      <c r="R104" s="24">
        <v>0</v>
      </c>
      <c r="S104" s="24">
        <v>0</v>
      </c>
      <c r="T104" s="24">
        <v>519112</v>
      </c>
      <c r="U104" s="24">
        <v>0</v>
      </c>
      <c r="V104" s="24">
        <v>0</v>
      </c>
      <c r="W104" s="24">
        <v>0</v>
      </c>
      <c r="X104" s="24">
        <v>1377271</v>
      </c>
      <c r="Y104" s="24">
        <v>3661</v>
      </c>
      <c r="Z104" s="24">
        <v>0</v>
      </c>
      <c r="AA104" s="24">
        <v>0</v>
      </c>
      <c r="AB104" s="24">
        <v>0</v>
      </c>
      <c r="AC104" s="24">
        <v>0</v>
      </c>
      <c r="AD104" s="24">
        <v>0</v>
      </c>
      <c r="AE104" s="24">
        <v>0</v>
      </c>
      <c r="AF104" s="24">
        <v>0</v>
      </c>
      <c r="AG104" s="24">
        <v>0</v>
      </c>
      <c r="AH104" s="24">
        <v>0</v>
      </c>
      <c r="AI104" s="24">
        <v>0</v>
      </c>
      <c r="AJ104" s="24">
        <v>6000</v>
      </c>
      <c r="AK104" s="24">
        <v>0</v>
      </c>
      <c r="AL104" s="24">
        <v>4581</v>
      </c>
      <c r="AM104" s="24">
        <v>0</v>
      </c>
      <c r="AN104" s="24">
        <v>0</v>
      </c>
      <c r="AO104" s="24">
        <v>0</v>
      </c>
      <c r="AP104" s="24">
        <v>0</v>
      </c>
      <c r="AQ104" s="24">
        <v>0</v>
      </c>
      <c r="AR104" s="24">
        <v>0</v>
      </c>
      <c r="AS104" s="24">
        <v>0</v>
      </c>
      <c r="AT104" s="24">
        <v>0</v>
      </c>
      <c r="AU104" s="24">
        <v>0</v>
      </c>
      <c r="AV104" s="24">
        <v>0</v>
      </c>
      <c r="AW104" s="24">
        <v>0</v>
      </c>
      <c r="AX104" s="24">
        <v>0</v>
      </c>
      <c r="AY104" s="24">
        <v>0</v>
      </c>
      <c r="AZ104" s="24">
        <v>0</v>
      </c>
      <c r="BA104" s="24">
        <v>0</v>
      </c>
      <c r="BB104" s="24">
        <v>0</v>
      </c>
      <c r="BC104" s="24">
        <v>0</v>
      </c>
      <c r="BD104" s="24">
        <v>0</v>
      </c>
      <c r="BE104" s="24">
        <v>0</v>
      </c>
      <c r="BF104" s="24">
        <v>0</v>
      </c>
      <c r="BG104" s="24">
        <v>0</v>
      </c>
      <c r="BH104" s="24">
        <v>0</v>
      </c>
      <c r="BI104" s="24">
        <v>0</v>
      </c>
      <c r="BJ104" s="24">
        <v>0</v>
      </c>
      <c r="BK104" s="24">
        <v>0</v>
      </c>
      <c r="BL104" s="24">
        <v>0</v>
      </c>
      <c r="BM104" s="24">
        <v>0</v>
      </c>
      <c r="BN104" s="24">
        <v>0</v>
      </c>
      <c r="BO104" s="24">
        <v>0</v>
      </c>
      <c r="BP104" s="24">
        <v>0</v>
      </c>
      <c r="BQ104" s="24">
        <v>0</v>
      </c>
      <c r="BR104" s="24">
        <v>0</v>
      </c>
      <c r="BS104" s="24">
        <v>0</v>
      </c>
      <c r="BT104" s="24">
        <v>0</v>
      </c>
      <c r="BU104" s="24">
        <v>0</v>
      </c>
      <c r="BV104" s="24">
        <v>0</v>
      </c>
      <c r="BW104" s="24">
        <v>0</v>
      </c>
      <c r="BX104" s="24">
        <v>0</v>
      </c>
      <c r="BY104" s="24">
        <v>0</v>
      </c>
      <c r="BZ104" s="24">
        <v>0</v>
      </c>
      <c r="CA104" s="24">
        <v>0</v>
      </c>
      <c r="CB104" s="24">
        <v>0</v>
      </c>
      <c r="CC104" s="24">
        <v>0</v>
      </c>
      <c r="CD104" s="24">
        <v>70277</v>
      </c>
      <c r="CE104" s="24">
        <v>7187</v>
      </c>
      <c r="CF104" s="24">
        <v>0</v>
      </c>
      <c r="CG104" s="24">
        <v>0</v>
      </c>
      <c r="CH104" s="24">
        <v>0</v>
      </c>
      <c r="CI104" s="24">
        <v>0</v>
      </c>
      <c r="CJ104" s="24">
        <v>0</v>
      </c>
      <c r="CK104" s="24">
        <v>0</v>
      </c>
      <c r="CL104" s="24">
        <v>0</v>
      </c>
      <c r="CM104" s="24">
        <v>0</v>
      </c>
      <c r="CN104" s="24">
        <v>0</v>
      </c>
      <c r="CO104" s="24">
        <v>0</v>
      </c>
      <c r="CP104" s="24">
        <v>0</v>
      </c>
      <c r="CQ104" s="24">
        <v>0</v>
      </c>
      <c r="CR104" s="24">
        <v>0</v>
      </c>
      <c r="CS104" s="24">
        <v>0</v>
      </c>
      <c r="CT104" s="24">
        <v>0</v>
      </c>
      <c r="CU104" s="24">
        <v>0</v>
      </c>
      <c r="CV104" s="24">
        <v>0</v>
      </c>
      <c r="CW104" s="24">
        <v>0</v>
      </c>
      <c r="CX104" s="24">
        <v>0</v>
      </c>
      <c r="CY104" s="24">
        <v>0</v>
      </c>
      <c r="CZ104" s="24">
        <v>0</v>
      </c>
      <c r="DA104" s="24">
        <v>0</v>
      </c>
      <c r="DB104" s="24">
        <v>0</v>
      </c>
      <c r="DC104" s="24">
        <v>0</v>
      </c>
      <c r="DD104" s="24">
        <v>0</v>
      </c>
      <c r="DE104" s="24">
        <v>0</v>
      </c>
      <c r="DF104" s="24">
        <v>0</v>
      </c>
      <c r="DG104" s="24">
        <v>0</v>
      </c>
      <c r="DH104" s="24">
        <v>0</v>
      </c>
      <c r="DI104" s="24">
        <v>0</v>
      </c>
      <c r="DJ104" s="24">
        <v>0</v>
      </c>
      <c r="DK104" s="24">
        <v>0</v>
      </c>
      <c r="DL104" s="24">
        <v>0</v>
      </c>
      <c r="DM104" s="24">
        <v>0</v>
      </c>
      <c r="DN104" s="24">
        <v>0</v>
      </c>
      <c r="DO104" s="24">
        <v>0</v>
      </c>
      <c r="DP104" s="24">
        <v>0</v>
      </c>
      <c r="DQ104" s="24">
        <v>0</v>
      </c>
      <c r="DR104" s="24">
        <v>0</v>
      </c>
      <c r="DS104" s="24">
        <v>0</v>
      </c>
      <c r="DT104" s="24">
        <v>0</v>
      </c>
      <c r="DU104" s="24">
        <v>5886</v>
      </c>
      <c r="DV104" s="24">
        <v>0</v>
      </c>
      <c r="DW104" s="24">
        <v>0</v>
      </c>
      <c r="DX104" s="24">
        <v>0</v>
      </c>
      <c r="DY104" s="24">
        <v>0</v>
      </c>
      <c r="DZ104" s="24">
        <v>0</v>
      </c>
      <c r="EA104" s="24">
        <v>0</v>
      </c>
      <c r="EB104" s="24">
        <v>0</v>
      </c>
      <c r="EC104" s="24">
        <v>0</v>
      </c>
      <c r="ED104" s="24">
        <v>0</v>
      </c>
      <c r="EE104" s="24">
        <v>0</v>
      </c>
      <c r="EF104" s="24">
        <v>0</v>
      </c>
      <c r="EG104" s="24">
        <v>0</v>
      </c>
      <c r="EH104" s="24">
        <v>0</v>
      </c>
      <c r="EI104" s="24">
        <v>0</v>
      </c>
      <c r="EJ104" s="24">
        <v>0</v>
      </c>
      <c r="EK104" s="24">
        <v>0</v>
      </c>
      <c r="EL104" s="24">
        <v>0</v>
      </c>
      <c r="EM104" s="24">
        <v>0</v>
      </c>
      <c r="EN104" s="24">
        <v>0</v>
      </c>
      <c r="EO104" s="24">
        <v>0</v>
      </c>
      <c r="EP104" s="24">
        <v>0</v>
      </c>
      <c r="EQ104" s="24">
        <v>0</v>
      </c>
      <c r="ER104" s="24">
        <v>0</v>
      </c>
      <c r="ES104" s="24">
        <v>0</v>
      </c>
      <c r="ET104" s="24">
        <v>0</v>
      </c>
      <c r="EU104" s="24">
        <v>0</v>
      </c>
      <c r="EV104" s="24">
        <v>0</v>
      </c>
      <c r="EW104" s="24">
        <v>0</v>
      </c>
      <c r="EX104" s="24">
        <v>0</v>
      </c>
      <c r="EY104" s="24">
        <v>0</v>
      </c>
      <c r="EZ104" s="24">
        <v>0</v>
      </c>
      <c r="FA104" s="24">
        <v>0</v>
      </c>
      <c r="FB104" s="24">
        <v>28721</v>
      </c>
      <c r="FC104" s="24">
        <v>0</v>
      </c>
      <c r="FD104" s="24">
        <v>0</v>
      </c>
      <c r="FE104" s="24">
        <v>0</v>
      </c>
      <c r="FF104" s="24">
        <v>0</v>
      </c>
      <c r="FG104" s="24">
        <v>0</v>
      </c>
      <c r="FH104" s="24">
        <v>0</v>
      </c>
      <c r="FI104" s="24">
        <v>0</v>
      </c>
      <c r="FJ104" s="24">
        <v>0</v>
      </c>
      <c r="FK104" s="24">
        <v>0</v>
      </c>
      <c r="FL104" s="24">
        <v>0</v>
      </c>
      <c r="FM104" s="24">
        <v>0</v>
      </c>
      <c r="FN104" s="24">
        <v>0</v>
      </c>
      <c r="FO104" s="24">
        <v>0</v>
      </c>
      <c r="FP104" s="24">
        <v>0</v>
      </c>
      <c r="FQ104" s="24">
        <v>0</v>
      </c>
      <c r="FR104" s="24">
        <v>0</v>
      </c>
      <c r="FS104" s="24">
        <v>240605</v>
      </c>
      <c r="FT104" s="24">
        <v>0</v>
      </c>
      <c r="FU104" s="24">
        <v>0</v>
      </c>
      <c r="FV104" s="24">
        <v>0</v>
      </c>
      <c r="FW104" s="24">
        <v>0</v>
      </c>
      <c r="FX104" s="24">
        <v>0</v>
      </c>
      <c r="FY104" s="24">
        <v>0</v>
      </c>
      <c r="FZ104" s="24">
        <v>0</v>
      </c>
      <c r="GA104" s="24">
        <v>0</v>
      </c>
      <c r="GB104" s="24">
        <v>0</v>
      </c>
      <c r="GC104" s="24">
        <v>0</v>
      </c>
      <c r="GD104" s="24">
        <v>0</v>
      </c>
      <c r="GE104" s="24">
        <v>0</v>
      </c>
      <c r="GF104" s="24">
        <v>0</v>
      </c>
      <c r="GG104" s="24">
        <v>0</v>
      </c>
      <c r="GH104" s="24">
        <v>0</v>
      </c>
      <c r="GI104" s="24">
        <v>0</v>
      </c>
      <c r="GJ104" s="24">
        <v>0</v>
      </c>
      <c r="GK104" s="24">
        <v>0</v>
      </c>
      <c r="GL104" s="24">
        <v>0</v>
      </c>
      <c r="GM104" s="24">
        <v>0</v>
      </c>
      <c r="GN104" s="24">
        <v>0</v>
      </c>
      <c r="GO104" s="24">
        <v>0</v>
      </c>
      <c r="GP104" s="24">
        <v>0</v>
      </c>
      <c r="GQ104" s="24">
        <v>0</v>
      </c>
      <c r="GR104" s="24">
        <v>11361</v>
      </c>
      <c r="GS104" s="24">
        <v>0</v>
      </c>
      <c r="GT104" s="24">
        <v>0</v>
      </c>
      <c r="GU104" s="24">
        <v>0</v>
      </c>
      <c r="GV104" s="24">
        <v>0</v>
      </c>
      <c r="GW104" s="24">
        <v>0</v>
      </c>
      <c r="GX104" s="24">
        <v>0</v>
      </c>
      <c r="GY104" s="24">
        <v>0</v>
      </c>
      <c r="GZ104" s="24">
        <v>0</v>
      </c>
      <c r="HA104" s="24">
        <v>0</v>
      </c>
      <c r="HB104" s="24">
        <v>0</v>
      </c>
      <c r="HC104" s="24">
        <v>0</v>
      </c>
      <c r="HD104" s="24">
        <v>5956970</v>
      </c>
      <c r="HE104" s="24">
        <v>0</v>
      </c>
      <c r="HF104" s="24">
        <v>0</v>
      </c>
      <c r="HG104" s="24">
        <v>0</v>
      </c>
      <c r="HH104" s="24">
        <v>0</v>
      </c>
      <c r="HI104" s="24">
        <v>478775</v>
      </c>
      <c r="HJ104" s="24">
        <v>0</v>
      </c>
      <c r="HK104" s="24">
        <v>0</v>
      </c>
      <c r="HL104" s="24">
        <v>0</v>
      </c>
      <c r="HM104" s="24">
        <v>0</v>
      </c>
      <c r="HN104" s="24">
        <v>0</v>
      </c>
      <c r="HO104" s="24">
        <v>798209</v>
      </c>
      <c r="HP104" s="24">
        <v>494858</v>
      </c>
      <c r="HQ104" s="24">
        <v>0</v>
      </c>
      <c r="HR104" s="24">
        <v>0</v>
      </c>
      <c r="HS104" s="24">
        <v>0</v>
      </c>
      <c r="HT104" s="24">
        <v>0</v>
      </c>
      <c r="HU104" s="24">
        <v>0</v>
      </c>
      <c r="HV104" s="24">
        <v>0</v>
      </c>
      <c r="HW104" s="24">
        <v>0</v>
      </c>
      <c r="HX104" s="24">
        <v>0</v>
      </c>
      <c r="HY104" s="24">
        <v>25000</v>
      </c>
      <c r="HZ104" s="24">
        <v>0</v>
      </c>
      <c r="IA104" s="24">
        <v>10000</v>
      </c>
      <c r="IB104" s="24">
        <v>20695</v>
      </c>
      <c r="IC104" s="24">
        <v>0</v>
      </c>
      <c r="ID104" s="24">
        <v>0</v>
      </c>
      <c r="IE104" s="24">
        <v>0</v>
      </c>
      <c r="IF104" s="24">
        <v>0</v>
      </c>
      <c r="IG104" s="24">
        <v>0</v>
      </c>
      <c r="IH104" s="24">
        <v>0</v>
      </c>
      <c r="II104" s="24">
        <v>0</v>
      </c>
      <c r="IJ104" s="24">
        <v>0</v>
      </c>
      <c r="IK104" s="24">
        <v>47121</v>
      </c>
      <c r="IL104" s="24">
        <v>0</v>
      </c>
      <c r="IM104" s="24">
        <v>0</v>
      </c>
      <c r="IN104" s="24">
        <v>4660</v>
      </c>
      <c r="IO104" s="24">
        <v>0</v>
      </c>
      <c r="IP104" s="24">
        <v>0</v>
      </c>
      <c r="IQ104" s="24">
        <v>29354</v>
      </c>
      <c r="IR104" s="24">
        <v>0</v>
      </c>
      <c r="IS104" s="24">
        <v>0</v>
      </c>
      <c r="IT104" s="24">
        <v>0</v>
      </c>
      <c r="IU104" s="24">
        <v>0</v>
      </c>
      <c r="IV104" s="24">
        <v>0</v>
      </c>
      <c r="IW104" s="24">
        <v>0</v>
      </c>
      <c r="IX104" s="24">
        <v>0</v>
      </c>
      <c r="IY104" s="24">
        <v>0</v>
      </c>
      <c r="IZ104" s="24">
        <v>0</v>
      </c>
      <c r="JA104" s="24">
        <v>0</v>
      </c>
      <c r="JB104" s="24">
        <v>74106</v>
      </c>
      <c r="JC104" s="24">
        <v>0</v>
      </c>
      <c r="JD104" s="24">
        <v>0</v>
      </c>
      <c r="JE104" s="24">
        <v>0</v>
      </c>
      <c r="JF104" s="24">
        <v>0</v>
      </c>
      <c r="JG104" s="24">
        <v>0</v>
      </c>
      <c r="JH104" s="24">
        <v>0</v>
      </c>
      <c r="JI104" s="24">
        <v>0</v>
      </c>
      <c r="JJ104" s="24">
        <v>0</v>
      </c>
      <c r="JK104" s="24">
        <v>0</v>
      </c>
      <c r="JL104" s="24">
        <v>0</v>
      </c>
      <c r="JM104" s="24">
        <v>0</v>
      </c>
      <c r="JN104" s="24">
        <v>0</v>
      </c>
      <c r="JO104" s="24">
        <v>0</v>
      </c>
      <c r="JP104" s="24">
        <v>0</v>
      </c>
      <c r="JQ104" s="24">
        <v>0</v>
      </c>
      <c r="JR104" s="24">
        <v>0</v>
      </c>
      <c r="JS104" s="24">
        <v>0</v>
      </c>
      <c r="JT104" s="24">
        <v>0</v>
      </c>
      <c r="JU104" s="24">
        <v>0</v>
      </c>
      <c r="JV104" s="24">
        <v>0</v>
      </c>
      <c r="JW104" s="24">
        <v>0</v>
      </c>
      <c r="JX104" s="24">
        <v>0</v>
      </c>
      <c r="JY104" s="24">
        <v>0</v>
      </c>
      <c r="JZ104" s="24">
        <v>0</v>
      </c>
      <c r="KA104" s="24">
        <v>0</v>
      </c>
      <c r="KB104" s="24">
        <v>0</v>
      </c>
      <c r="KC104" s="24">
        <v>0</v>
      </c>
      <c r="KD104" s="24">
        <v>0</v>
      </c>
      <c r="KE104" s="24">
        <v>0</v>
      </c>
      <c r="KF104" s="24">
        <v>5761</v>
      </c>
      <c r="KG104" s="24">
        <v>0</v>
      </c>
      <c r="KH104" s="24">
        <v>0</v>
      </c>
      <c r="KI104" s="24">
        <v>0</v>
      </c>
      <c r="KJ104" s="24">
        <v>0</v>
      </c>
      <c r="KK104" s="24">
        <v>0</v>
      </c>
      <c r="KL104" s="24">
        <v>0</v>
      </c>
      <c r="KM104" s="24">
        <v>0</v>
      </c>
      <c r="KN104" s="24">
        <v>0</v>
      </c>
      <c r="KO104" s="24">
        <v>0</v>
      </c>
      <c r="KP104" s="24">
        <v>0</v>
      </c>
      <c r="KQ104" s="24">
        <v>0</v>
      </c>
      <c r="KR104" s="24">
        <v>0</v>
      </c>
      <c r="KS104" s="24">
        <v>0</v>
      </c>
      <c r="KT104" s="24">
        <v>0</v>
      </c>
      <c r="KU104" s="24">
        <v>0</v>
      </c>
      <c r="KV104" s="24">
        <v>0</v>
      </c>
      <c r="KW104" s="24">
        <v>0</v>
      </c>
      <c r="KX104" s="24">
        <v>0</v>
      </c>
      <c r="KY104" s="24">
        <v>0</v>
      </c>
      <c r="KZ104" s="24">
        <v>0</v>
      </c>
      <c r="LA104" s="24">
        <v>0</v>
      </c>
      <c r="LB104" s="24">
        <v>0</v>
      </c>
      <c r="LC104" s="24">
        <v>0</v>
      </c>
      <c r="LD104" s="24">
        <v>0</v>
      </c>
      <c r="LE104" s="24">
        <v>0</v>
      </c>
      <c r="LF104" s="24">
        <v>0</v>
      </c>
      <c r="LG104" s="24">
        <v>0</v>
      </c>
      <c r="LH104" s="24">
        <v>0</v>
      </c>
      <c r="LI104" s="24">
        <v>0</v>
      </c>
      <c r="LJ104" s="24">
        <v>0</v>
      </c>
      <c r="LK104" s="24">
        <v>0</v>
      </c>
      <c r="LL104" s="24">
        <v>0</v>
      </c>
      <c r="LM104" s="24">
        <v>0</v>
      </c>
      <c r="LN104" s="24">
        <v>0</v>
      </c>
      <c r="LO104" s="24">
        <v>0</v>
      </c>
      <c r="LP104" s="24">
        <v>0</v>
      </c>
      <c r="LQ104" s="24">
        <v>388536</v>
      </c>
      <c r="LR104" s="24">
        <v>46471</v>
      </c>
      <c r="LS104" s="24">
        <v>0</v>
      </c>
      <c r="LT104" s="24">
        <v>0</v>
      </c>
      <c r="LU104" s="24">
        <v>0</v>
      </c>
      <c r="LV104" s="24">
        <v>0</v>
      </c>
      <c r="LW104" s="24">
        <v>0</v>
      </c>
      <c r="LX104" s="24">
        <v>0</v>
      </c>
      <c r="LY104" s="24">
        <v>0</v>
      </c>
      <c r="LZ104" s="24">
        <v>0</v>
      </c>
      <c r="MA104" s="24">
        <v>0</v>
      </c>
      <c r="MB104" s="24">
        <v>0</v>
      </c>
      <c r="MC104" s="24">
        <v>0</v>
      </c>
      <c r="MD104" s="24">
        <v>0</v>
      </c>
      <c r="ME104" s="24">
        <v>0</v>
      </c>
      <c r="MF104" s="24">
        <v>0</v>
      </c>
      <c r="MG104" s="24">
        <v>0</v>
      </c>
      <c r="MH104" s="24">
        <v>0</v>
      </c>
      <c r="MI104" s="24">
        <v>0</v>
      </c>
      <c r="MJ104" s="24">
        <v>0</v>
      </c>
      <c r="MK104" s="24">
        <v>0</v>
      </c>
      <c r="ML104" s="24">
        <v>0</v>
      </c>
      <c r="MM104" s="24">
        <v>0</v>
      </c>
      <c r="MN104" s="24">
        <v>0</v>
      </c>
      <c r="MO104" s="24">
        <v>22768</v>
      </c>
      <c r="MP104" s="24">
        <v>0</v>
      </c>
      <c r="MQ104" s="24">
        <v>0</v>
      </c>
      <c r="MR104" s="24">
        <v>912287</v>
      </c>
      <c r="MS104" s="24">
        <v>0</v>
      </c>
      <c r="MT104" s="24">
        <v>0</v>
      </c>
      <c r="MU104" s="24">
        <v>0</v>
      </c>
      <c r="MV104" s="24">
        <v>0</v>
      </c>
      <c r="MW104" s="24">
        <v>277936</v>
      </c>
      <c r="MX104" s="24">
        <v>12413</v>
      </c>
      <c r="MY104" s="24">
        <v>0</v>
      </c>
      <c r="MZ104" s="24">
        <v>0</v>
      </c>
      <c r="NA104" s="24">
        <v>0</v>
      </c>
      <c r="NB104" s="24">
        <v>0</v>
      </c>
      <c r="NC104" s="24">
        <v>0</v>
      </c>
      <c r="ND104" s="24">
        <v>0</v>
      </c>
      <c r="NE104" s="24">
        <v>0</v>
      </c>
      <c r="NF104" s="24">
        <v>0</v>
      </c>
      <c r="NG104" s="24">
        <v>0</v>
      </c>
      <c r="NH104" s="24">
        <v>0</v>
      </c>
      <c r="NI104" s="24">
        <v>0</v>
      </c>
      <c r="NJ104" s="24">
        <v>0</v>
      </c>
      <c r="NK104" s="24">
        <v>0</v>
      </c>
      <c r="NL104" s="24">
        <v>0</v>
      </c>
      <c r="NM104" s="24">
        <v>0</v>
      </c>
      <c r="NN104" s="24">
        <v>0</v>
      </c>
      <c r="NO104" s="24">
        <v>0</v>
      </c>
      <c r="NP104" s="24">
        <v>0</v>
      </c>
      <c r="NQ104" s="24">
        <v>31669</v>
      </c>
      <c r="NR104" s="24">
        <v>0</v>
      </c>
      <c r="NS104" s="24">
        <v>8677</v>
      </c>
      <c r="NT104" s="24">
        <v>4213</v>
      </c>
      <c r="NU104" s="24">
        <v>57042</v>
      </c>
      <c r="NV104" s="24">
        <v>90136</v>
      </c>
      <c r="NW104" s="24">
        <v>65154</v>
      </c>
      <c r="NX104" s="24">
        <v>0</v>
      </c>
      <c r="NY104" s="24">
        <v>106184</v>
      </c>
      <c r="NZ104" s="24">
        <v>0</v>
      </c>
      <c r="OA104" s="24">
        <v>0</v>
      </c>
      <c r="OB104" s="24">
        <v>0</v>
      </c>
      <c r="OC104" s="24">
        <v>0</v>
      </c>
      <c r="OD104" s="24">
        <v>0</v>
      </c>
      <c r="OE104" s="24">
        <v>0</v>
      </c>
      <c r="OF104" s="24">
        <v>0</v>
      </c>
      <c r="OG104" s="24">
        <v>0</v>
      </c>
      <c r="OH104" s="24">
        <v>0</v>
      </c>
      <c r="OI104" s="24">
        <v>0</v>
      </c>
      <c r="OJ104" s="24">
        <v>40000</v>
      </c>
      <c r="OK104" s="24">
        <v>0</v>
      </c>
      <c r="OL104" s="24">
        <v>0</v>
      </c>
      <c r="OM104" s="24">
        <v>0</v>
      </c>
      <c r="ON104" s="24">
        <v>0</v>
      </c>
      <c r="OO104" s="24">
        <v>0</v>
      </c>
      <c r="OP104" s="24">
        <v>0</v>
      </c>
      <c r="OQ104" s="24">
        <v>0</v>
      </c>
      <c r="OR104" s="24">
        <v>0</v>
      </c>
      <c r="OS104" s="24">
        <v>0</v>
      </c>
      <c r="OT104" s="24">
        <v>0</v>
      </c>
      <c r="OU104" s="24">
        <v>0</v>
      </c>
      <c r="OV104" s="24">
        <v>397500</v>
      </c>
      <c r="OW104" s="24">
        <v>0</v>
      </c>
      <c r="OX104" s="24">
        <v>0</v>
      </c>
      <c r="OY104" s="24">
        <v>0</v>
      </c>
      <c r="OZ104" s="24">
        <v>0</v>
      </c>
      <c r="PA104" s="24">
        <v>0</v>
      </c>
      <c r="PB104" s="24">
        <v>0</v>
      </c>
      <c r="PC104" s="24">
        <v>0</v>
      </c>
      <c r="PD104" s="24">
        <v>0</v>
      </c>
      <c r="PE104" s="24">
        <v>0</v>
      </c>
      <c r="PF104" s="24">
        <v>0</v>
      </c>
      <c r="PG104" s="24">
        <v>0</v>
      </c>
      <c r="PH104" s="24">
        <v>2245</v>
      </c>
      <c r="PI104" s="24">
        <v>0</v>
      </c>
      <c r="PJ104" s="24">
        <v>0</v>
      </c>
      <c r="PK104" s="24">
        <v>0</v>
      </c>
      <c r="PL104" s="24">
        <v>0</v>
      </c>
      <c r="PM104" s="24">
        <v>0</v>
      </c>
      <c r="PN104" s="24">
        <v>0</v>
      </c>
      <c r="PO104" s="24">
        <v>0</v>
      </c>
      <c r="PP104" s="24">
        <v>0</v>
      </c>
      <c r="PQ104" s="24">
        <v>0</v>
      </c>
      <c r="PR104" s="24">
        <v>0</v>
      </c>
      <c r="PS104" s="24">
        <v>0</v>
      </c>
      <c r="PT104" s="24">
        <v>0</v>
      </c>
      <c r="PU104" s="24">
        <v>0</v>
      </c>
      <c r="PV104" s="24">
        <v>0</v>
      </c>
      <c r="PW104" s="24">
        <v>322424</v>
      </c>
      <c r="PX104" s="24">
        <v>0</v>
      </c>
      <c r="PY104" s="24">
        <v>0</v>
      </c>
      <c r="PZ104" s="24">
        <v>0</v>
      </c>
      <c r="QA104" s="24">
        <v>0</v>
      </c>
      <c r="QB104" s="24">
        <v>0</v>
      </c>
      <c r="QC104" s="24">
        <v>0</v>
      </c>
      <c r="QD104" s="24">
        <v>0</v>
      </c>
      <c r="QE104" s="24">
        <v>14975</v>
      </c>
      <c r="QF104" s="24">
        <v>0</v>
      </c>
      <c r="QG104" s="24">
        <v>0</v>
      </c>
      <c r="QH104" s="24">
        <v>2387</v>
      </c>
      <c r="QI104" s="24">
        <v>0</v>
      </c>
      <c r="QJ104" s="24">
        <v>0</v>
      </c>
      <c r="QK104" s="24">
        <v>0</v>
      </c>
      <c r="QL104" s="24">
        <v>0</v>
      </c>
      <c r="QM104" s="24">
        <v>0</v>
      </c>
      <c r="QN104" s="24">
        <v>0</v>
      </c>
      <c r="QO104" s="24">
        <v>0</v>
      </c>
      <c r="QP104" s="24">
        <v>0</v>
      </c>
      <c r="QQ104" s="24">
        <v>0</v>
      </c>
      <c r="QR104" s="24">
        <v>9069</v>
      </c>
      <c r="QS104" s="24">
        <v>22052</v>
      </c>
      <c r="QT104" s="24">
        <v>73178</v>
      </c>
      <c r="QU104" s="24">
        <v>0</v>
      </c>
      <c r="QV104" s="24">
        <v>105000</v>
      </c>
      <c r="QW104" s="24">
        <v>295000</v>
      </c>
      <c r="QX104" s="24">
        <v>0</v>
      </c>
      <c r="QY104" s="24">
        <v>0</v>
      </c>
      <c r="QZ104" s="24">
        <v>0</v>
      </c>
      <c r="RA104" s="24">
        <v>0</v>
      </c>
      <c r="RB104" s="24">
        <v>0</v>
      </c>
      <c r="RG104" s="39">
        <f t="shared" si="129"/>
        <v>5956970</v>
      </c>
      <c r="RH104" s="39">
        <f t="shared" si="206"/>
        <v>478775</v>
      </c>
      <c r="RI104" s="39">
        <f t="shared" si="206"/>
        <v>0</v>
      </c>
      <c r="RJ104" s="39">
        <f t="shared" si="206"/>
        <v>0</v>
      </c>
      <c r="RK104" s="39">
        <f t="shared" si="206"/>
        <v>0</v>
      </c>
      <c r="RL104" s="39">
        <f t="shared" si="206"/>
        <v>798209</v>
      </c>
      <c r="RM104" s="39">
        <f t="shared" si="206"/>
        <v>597674</v>
      </c>
      <c r="RN104" s="39">
        <f t="shared" si="206"/>
        <v>4660</v>
      </c>
      <c r="RO104" s="39">
        <f t="shared" si="206"/>
        <v>29354</v>
      </c>
      <c r="RP104" s="39">
        <f t="shared" si="206"/>
        <v>0</v>
      </c>
      <c r="RQ104" s="39">
        <f t="shared" si="206"/>
        <v>74106</v>
      </c>
      <c r="RR104" s="39">
        <f t="shared" si="206"/>
        <v>0</v>
      </c>
      <c r="RS104" s="39"/>
      <c r="RT104" s="182"/>
      <c r="RU104" s="39"/>
      <c r="RV104" s="39">
        <f t="shared" si="182"/>
        <v>2069247</v>
      </c>
      <c r="RW104" s="39">
        <f t="shared" si="182"/>
        <v>7939748</v>
      </c>
      <c r="RX104" s="39">
        <f t="shared" si="182"/>
        <v>4770267</v>
      </c>
      <c r="RY104" s="39">
        <f t="shared" si="182"/>
        <v>1243830</v>
      </c>
      <c r="RZ104" s="39"/>
      <c r="SA104" s="182"/>
      <c r="SB104" s="39"/>
      <c r="SC104" s="25">
        <f t="shared" si="183"/>
        <v>3541.4008908685969</v>
      </c>
      <c r="SD104" s="39">
        <f>IFERROR(VLOOKUP(A104, 'Levy Data 15-16'!$B:$O, 3, FALSE), 0)</f>
        <v>798237436</v>
      </c>
      <c r="SE104" s="39">
        <f t="shared" si="144"/>
        <v>592603.88715664437</v>
      </c>
      <c r="SF104" s="631">
        <f>IFERROR(VLOOKUP(A104, 'Levy Data 15-16'!$B:$O, 14, FALSE), 0)*1000</f>
        <v>5.2459660000000001</v>
      </c>
      <c r="SG104" s="39">
        <f t="shared" si="145"/>
        <v>0</v>
      </c>
      <c r="SH104" s="39">
        <f t="shared" si="146"/>
        <v>0</v>
      </c>
      <c r="SI104" s="39">
        <f t="shared" si="147"/>
        <v>4770267</v>
      </c>
      <c r="SM104" s="39">
        <f t="shared" si="148"/>
        <v>7939748</v>
      </c>
      <c r="SN104" s="39">
        <f t="shared" si="149"/>
        <v>0</v>
      </c>
      <c r="SO104" s="39">
        <f t="shared" si="184"/>
        <v>7939748</v>
      </c>
      <c r="SP104" s="50">
        <f t="shared" si="130"/>
        <v>1</v>
      </c>
      <c r="ST104" s="124">
        <f>IFERROR(VLOOKUP(A104,'Grade Enroll 15-16'!B:AC,27,FALSE),"")</f>
        <v>1347</v>
      </c>
      <c r="SU104" s="124">
        <f t="shared" si="185"/>
        <v>923.73687845303857</v>
      </c>
      <c r="SV104" s="131">
        <f>IFERROR(VLOOKUP($A104, 'Title I Enroll 16-17'!S:V, 4, FALSE), 0)</f>
        <v>0.68577348066298338</v>
      </c>
      <c r="SW104" s="729">
        <f>IFERROR(VLOOKUP(A104, 'ELL Enroll 15-16'!$N:$S, 6, FALSE), 0)</f>
        <v>530</v>
      </c>
      <c r="SX104" s="131">
        <f t="shared" si="131"/>
        <v>0.39346696362286565</v>
      </c>
      <c r="SY104" s="124">
        <f>IFERROR(VLOOKUP(A104, 'SPED enroll 2015-16'!$M:$O, 3, FALSE), 0)</f>
        <v>102</v>
      </c>
      <c r="SZ104" s="131">
        <f t="shared" si="132"/>
        <v>7.5723830734966593E-2</v>
      </c>
      <c r="TA104" s="142">
        <f t="shared" si="207"/>
        <v>71.399999999999991</v>
      </c>
      <c r="TB104" s="142">
        <f t="shared" si="207"/>
        <v>20.400000000000002</v>
      </c>
      <c r="TC104" s="142">
        <f t="shared" si="207"/>
        <v>7.1400000000000006</v>
      </c>
      <c r="TD104" s="142">
        <f t="shared" si="207"/>
        <v>3.06</v>
      </c>
      <c r="TE104" s="124">
        <f>VLOOKUP($A104, 'Grade Enroll 15-16'!$B:$AB, 20, FALSE)</f>
        <v>11</v>
      </c>
      <c r="TF104" s="124">
        <f>VLOOKUP($A104, 'Grade Enroll 15-16'!$B:$AB, 21, FALSE)</f>
        <v>115</v>
      </c>
      <c r="TG104" s="124">
        <f>VLOOKUP($A104, 'Grade Enroll 15-16'!$B:$AB, 22, FALSE)</f>
        <v>375</v>
      </c>
      <c r="TH104" s="124">
        <f>VLOOKUP($A104, 'Grade Enroll 15-16'!$B:$AB, 23, FALSE)</f>
        <v>346</v>
      </c>
      <c r="TI104" s="124">
        <f>VLOOKUP($A104, 'Grade Enroll 15-16'!$B:$AB, 24, FALSE)</f>
        <v>216</v>
      </c>
      <c r="TJ104" s="124">
        <f>VLOOKUP($A104, 'Grade Enroll 15-16'!$B:$AB, 25, FALSE)</f>
        <v>410</v>
      </c>
      <c r="TK104" s="124">
        <f>VLOOKUP($A104, 'Grade Enroll 15-16'!$B:$AB, 26, FALSE)</f>
        <v>891</v>
      </c>
      <c r="TL104" s="131">
        <f>SUMIFS('Student Achievement 15-16'!N:N, 'Student Achievement 15-16'!B:B, 'Idaho Data'!A104, 'Student Achievement 15-16'!D:D, "math")/100</f>
        <v>0.39299999999999996</v>
      </c>
      <c r="TM104" s="134">
        <f t="shared" si="186"/>
        <v>529.37099999999998</v>
      </c>
      <c r="TN104" s="131">
        <f>SUMIFS('Student Achievement 15-16'!N:N, 'Student Achievement 15-16'!B:B, 'Idaho Data'!A104, 'Student Achievement 15-16'!D:D, "ela")/100</f>
        <v>0.28199999999999997</v>
      </c>
      <c r="TO104" s="134">
        <f t="shared" si="134"/>
        <v>379.85399999999998</v>
      </c>
      <c r="TP104" s="688">
        <f>IFERROR(VLOOKUP(A104, 'G&amp;T 15-16'!B:G, 6, FALSE), 0)*1</f>
        <v>5</v>
      </c>
      <c r="TQ104" s="168">
        <f t="shared" si="135"/>
        <v>80.819999999999993</v>
      </c>
      <c r="TU104" s="168">
        <f t="shared" si="136"/>
        <v>379.85399999999998</v>
      </c>
      <c r="TV104" s="168">
        <f t="shared" si="137"/>
        <v>529.37099999999998</v>
      </c>
      <c r="TW104" s="205">
        <f t="shared" si="138"/>
        <v>529.37099999999998</v>
      </c>
      <c r="TX104" s="144"/>
      <c r="TY104" s="129"/>
      <c r="TZ104" s="127">
        <f t="shared" si="139"/>
        <v>5</v>
      </c>
      <c r="UA104" s="127">
        <f t="shared" si="140"/>
        <v>80.819999999999993</v>
      </c>
      <c r="UB104" s="205">
        <f t="shared" si="141"/>
        <v>80.819999999999993</v>
      </c>
      <c r="UE104" s="853" t="str">
        <f>IF(ST104&lt;='1. Simulator Input'!$E$104, "yes", "")</f>
        <v/>
      </c>
      <c r="UI104" s="199">
        <f t="shared" si="187"/>
        <v>0</v>
      </c>
      <c r="UJ104" s="200">
        <f>IF('Idaho Data'!SI104&gt;=0, ((1-'1. Simulator Input'!$E$39)*'Idaho Data'!SI104), 0)</f>
        <v>0</v>
      </c>
      <c r="UK104" s="200">
        <f t="shared" si="142"/>
        <v>7939748</v>
      </c>
      <c r="UL104" s="39"/>
      <c r="UM104" s="182"/>
      <c r="UN104" s="39"/>
      <c r="UO104" s="39" t="str">
        <f>IF(AND('1. Simulator Input'!$E$96="yes", '1. Simulator Input'!$E$98="yes", '1. Simulator Input'!$E$100="hold harmless"), 'Idaho Data'!WN104, IF(AND('1. Simulator Input'!$E$96="yes", '1. Simulator Input'!$E$98="no", '1. Simulator Input'!$E$100="hold harmless"), 'Idaho Data'!WM104, IF(AND('1. Simulator Input'!$E$96="yes", '1. Simulator Input'!$E$98="yes", '1. Simulator Input'!$E$100="small district grant"), WL104,IF(AND('1. Simulator Input'!$E$96="yes", '1. Simulator Input'!$E$98="no", '1. Simulator Input'!$E$100="small district grant"), WK104, ""))))</f>
        <v/>
      </c>
      <c r="UP104" s="200">
        <f>'1. Simulator Input'!$D$56*('Idaho Data'!ST104)</f>
        <v>7443522</v>
      </c>
      <c r="UQ104" s="204">
        <f>'1. Simulator Input'!$D$65*'1. Simulator Input'!$D$56*'Idaho Data'!SU104</f>
        <v>0</v>
      </c>
      <c r="UR104" s="204">
        <f>'1. Simulator Input'!$D$66*'1. Simulator Input'!$D$56*'Idaho Data'!SW104</f>
        <v>0</v>
      </c>
      <c r="US104" s="200">
        <f>'1. Simulator Input'!$D$67*'1. Simulator Input'!$D$56*'Idaho Data'!TA104</f>
        <v>0</v>
      </c>
      <c r="UT104" s="200">
        <f>'1. Simulator Input'!$D$68*'1. Simulator Input'!$D$56*'Idaho Data'!TB104</f>
        <v>0</v>
      </c>
      <c r="UU104" s="200">
        <f>'1. Simulator Input'!$D$69*'1. Simulator Input'!$D$56*'Idaho Data'!TC104</f>
        <v>0</v>
      </c>
      <c r="UV104" s="200">
        <f>'1. Simulator Input'!$D$70*'1. Simulator Input'!$D$56*TD104</f>
        <v>0</v>
      </c>
      <c r="UW104" s="200">
        <f>'1. Simulator Input'!$D$80*'1. Simulator Input'!$D$56*TW104</f>
        <v>0</v>
      </c>
      <c r="UX104" s="200">
        <f>'1. Simulator Input'!$D$79*'1. Simulator Input'!$D$56*UB104</f>
        <v>0</v>
      </c>
      <c r="UY104" s="200">
        <f>'1. Simulator Input'!$D$87*'1. Simulator Input'!$D$56*TF104</f>
        <v>317745</v>
      </c>
      <c r="UZ104" s="200">
        <f>'1. Simulator Input'!$D$73*'1. Simulator Input'!$D$56*'Idaho Data'!TG104</f>
        <v>0</v>
      </c>
      <c r="VA104" s="200">
        <f>'1. Simulator Input'!$D$56*'1. Simulator Input'!$D$74*'Idaho Data'!TH104</f>
        <v>0</v>
      </c>
      <c r="VB104" s="200">
        <f>'1. Simulator Input'!$D$56*'1. Simulator Input'!$D$75*'Idaho Data'!TI99</f>
        <v>0</v>
      </c>
      <c r="VC104" s="200">
        <f>'1. Simulator Input'!$D$76*'1. Simulator Input'!$D$56*'Idaho Data'!TJ104</f>
        <v>0</v>
      </c>
      <c r="VD104" s="200">
        <f t="shared" si="188"/>
        <v>7761267</v>
      </c>
      <c r="VE104" s="200"/>
      <c r="VF104" s="182"/>
      <c r="VG104" s="200"/>
      <c r="VH104" s="200">
        <f t="shared" si="189"/>
        <v>0</v>
      </c>
      <c r="VI104" s="200">
        <f t="shared" si="190"/>
        <v>0</v>
      </c>
      <c r="VJ104" s="200">
        <f t="shared" si="150"/>
        <v>7761267</v>
      </c>
      <c r="VK104" s="200">
        <f t="shared" si="151"/>
        <v>7761267</v>
      </c>
      <c r="VL104" s="200"/>
      <c r="VM104" s="182"/>
      <c r="VN104" s="200"/>
      <c r="VO104" s="200">
        <f t="shared" si="191"/>
        <v>2069247</v>
      </c>
      <c r="VP104" s="200">
        <f t="shared" si="192"/>
        <v>7939748</v>
      </c>
      <c r="VQ104" s="200">
        <f t="shared" si="193"/>
        <v>4770267</v>
      </c>
      <c r="VR104" s="200">
        <f t="shared" si="194"/>
        <v>2069247</v>
      </c>
      <c r="VS104" s="200">
        <f t="shared" si="152"/>
        <v>7761267</v>
      </c>
      <c r="VT104" s="200">
        <f t="shared" si="153"/>
        <v>4770267</v>
      </c>
      <c r="VU104" s="200">
        <f t="shared" si="154"/>
        <v>0</v>
      </c>
      <c r="VV104" s="200"/>
      <c r="VW104" s="182"/>
      <c r="VX104" s="200"/>
      <c r="VZ104" s="199">
        <f t="shared" si="195"/>
        <v>-178481</v>
      </c>
      <c r="WA104" s="199">
        <f t="shared" si="196"/>
        <v>-132.5025983667409</v>
      </c>
      <c r="WB104" s="131">
        <f t="shared" si="197"/>
        <v>-2.247942881814385E-2</v>
      </c>
      <c r="WC104" s="131"/>
      <c r="WD104" s="461"/>
      <c r="WE104" s="893"/>
      <c r="WF104" s="893">
        <f t="shared" si="198"/>
        <v>10971.983667409057</v>
      </c>
      <c r="WG104" s="893">
        <f t="shared" si="199"/>
        <v>10839.481069042316</v>
      </c>
      <c r="WH104" s="893"/>
      <c r="WI104" s="893">
        <f t="shared" si="200"/>
        <v>7939748</v>
      </c>
      <c r="WJ104" s="893">
        <f t="shared" si="155"/>
        <v>7761267</v>
      </c>
      <c r="WK104" s="39" t="str">
        <f t="shared" si="156"/>
        <v/>
      </c>
      <c r="WL104" s="39" t="str">
        <f t="shared" si="157"/>
        <v/>
      </c>
      <c r="WM104" s="200" t="str">
        <f t="shared" si="158"/>
        <v/>
      </c>
      <c r="WN104" s="39" t="str">
        <f t="shared" si="159"/>
        <v/>
      </c>
      <c r="WO104" s="39"/>
      <c r="WP104" s="182"/>
      <c r="WQ104" s="39"/>
      <c r="WR104" s="305">
        <f t="shared" si="160"/>
        <v>0.61399999999999999</v>
      </c>
      <c r="WT104" s="200">
        <f t="shared" si="161"/>
        <v>5894.3934669636228</v>
      </c>
      <c r="WU104" s="131">
        <f t="shared" si="201"/>
        <v>0.28000000000000003</v>
      </c>
      <c r="WW104" s="199">
        <f t="shared" si="162"/>
        <v>2069247</v>
      </c>
      <c r="WX104" s="199">
        <f t="shared" si="163"/>
        <v>7761267</v>
      </c>
      <c r="WY104" s="199">
        <f t="shared" si="164"/>
        <v>0</v>
      </c>
      <c r="WZ104" s="199">
        <f t="shared" si="202"/>
        <v>7761267</v>
      </c>
      <c r="XA104" s="199">
        <f t="shared" si="165"/>
        <v>0</v>
      </c>
      <c r="XB104" s="199">
        <f t="shared" si="166"/>
        <v>4770267</v>
      </c>
      <c r="XC104" s="199">
        <f t="shared" si="167"/>
        <v>4770267</v>
      </c>
      <c r="XD104" s="199" t="str">
        <f t="shared" si="168"/>
        <v/>
      </c>
      <c r="XE104" s="199"/>
      <c r="XF104" s="199"/>
      <c r="XG104" s="199"/>
      <c r="XH104" s="199"/>
      <c r="XI104" s="199"/>
      <c r="XJ104" s="199">
        <f t="shared" si="203"/>
        <v>7761267</v>
      </c>
      <c r="XP104" s="199">
        <f t="shared" si="169"/>
        <v>7761267</v>
      </c>
      <c r="XQ104" s="199">
        <f t="shared" si="170"/>
        <v>5761.8908685968818</v>
      </c>
      <c r="XR104" s="199">
        <f t="shared" si="171"/>
        <v>7761267</v>
      </c>
      <c r="XS104" s="199">
        <f t="shared" si="172"/>
        <v>7761267</v>
      </c>
      <c r="XT104" s="199">
        <f t="shared" si="173"/>
        <v>5761.8908685968818</v>
      </c>
      <c r="XU104" s="199">
        <f t="shared" si="174"/>
        <v>7939748</v>
      </c>
      <c r="XV104" s="199">
        <f t="shared" si="175"/>
        <v>5894.3934669636228</v>
      </c>
      <c r="XW104" s="199">
        <f t="shared" si="176"/>
        <v>7939748</v>
      </c>
      <c r="XX104" s="199">
        <f t="shared" si="177"/>
        <v>5894.3934669636228</v>
      </c>
      <c r="XY104" s="199">
        <f t="shared" si="204"/>
        <v>-178481</v>
      </c>
      <c r="XZ104" s="199">
        <f t="shared" si="205"/>
        <v>-132.50259836674104</v>
      </c>
      <c r="YA104" s="131">
        <f t="shared" si="143"/>
        <v>-2.2479428818143875E-2</v>
      </c>
      <c r="YB104" s="199"/>
      <c r="YC104" s="221"/>
      <c r="YD104" s="199"/>
      <c r="YE104" s="199">
        <f t="shared" si="178"/>
        <v>2069247</v>
      </c>
      <c r="YF104" s="200">
        <f t="shared" si="179"/>
        <v>0</v>
      </c>
      <c r="YG104" s="199">
        <f t="shared" si="180"/>
        <v>4770267</v>
      </c>
      <c r="YH104" s="199">
        <f t="shared" si="181"/>
        <v>1243830</v>
      </c>
    </row>
    <row r="105" spans="1:658">
      <c r="A105" s="3">
        <v>382</v>
      </c>
      <c r="B105" s="2" t="s">
        <v>202</v>
      </c>
      <c r="C105" s="24">
        <v>0</v>
      </c>
      <c r="D105" s="24">
        <v>0</v>
      </c>
      <c r="E105" s="24">
        <v>0</v>
      </c>
      <c r="F105" s="24">
        <v>0</v>
      </c>
      <c r="G105" s="24">
        <v>207630</v>
      </c>
      <c r="H105" s="24">
        <v>0</v>
      </c>
      <c r="I105" s="24">
        <v>0</v>
      </c>
      <c r="J105" s="24">
        <v>0</v>
      </c>
      <c r="K105" s="24">
        <v>0</v>
      </c>
      <c r="L105" s="24">
        <v>0</v>
      </c>
      <c r="M105" s="24">
        <v>0</v>
      </c>
      <c r="N105" s="24">
        <v>0</v>
      </c>
      <c r="O105" s="24">
        <v>0</v>
      </c>
      <c r="P105" s="24">
        <v>0</v>
      </c>
      <c r="Q105" s="24">
        <v>0</v>
      </c>
      <c r="R105" s="24">
        <v>0</v>
      </c>
      <c r="S105" s="24">
        <v>0</v>
      </c>
      <c r="T105" s="24">
        <v>0</v>
      </c>
      <c r="U105" s="24">
        <v>0</v>
      </c>
      <c r="V105" s="24">
        <v>0</v>
      </c>
      <c r="W105" s="24">
        <v>0</v>
      </c>
      <c r="X105" s="24">
        <v>114518</v>
      </c>
      <c r="Y105" s="24">
        <v>0</v>
      </c>
      <c r="Z105" s="24">
        <v>0</v>
      </c>
      <c r="AA105" s="24">
        <v>0</v>
      </c>
      <c r="AB105" s="24">
        <v>0</v>
      </c>
      <c r="AC105" s="24">
        <v>0</v>
      </c>
      <c r="AD105" s="24">
        <v>0</v>
      </c>
      <c r="AE105" s="24">
        <v>0</v>
      </c>
      <c r="AF105" s="24">
        <v>0</v>
      </c>
      <c r="AG105" s="24">
        <v>0</v>
      </c>
      <c r="AH105" s="24">
        <v>0</v>
      </c>
      <c r="AI105" s="24">
        <v>0</v>
      </c>
      <c r="AJ105" s="24">
        <v>0</v>
      </c>
      <c r="AK105" s="24">
        <v>0</v>
      </c>
      <c r="AL105" s="24">
        <v>819</v>
      </c>
      <c r="AM105" s="24">
        <v>0</v>
      </c>
      <c r="AN105" s="24">
        <v>0</v>
      </c>
      <c r="AO105" s="24">
        <v>0</v>
      </c>
      <c r="AP105" s="24">
        <v>0</v>
      </c>
      <c r="AQ105" s="24">
        <v>0</v>
      </c>
      <c r="AR105" s="24">
        <v>0</v>
      </c>
      <c r="AS105" s="24">
        <v>0</v>
      </c>
      <c r="AT105" s="24">
        <v>0</v>
      </c>
      <c r="AU105" s="24">
        <v>0</v>
      </c>
      <c r="AV105" s="24">
        <v>0</v>
      </c>
      <c r="AW105" s="24">
        <v>0</v>
      </c>
      <c r="AX105" s="24">
        <v>0</v>
      </c>
      <c r="AY105" s="24">
        <v>0</v>
      </c>
      <c r="AZ105" s="24">
        <v>0</v>
      </c>
      <c r="BA105" s="24">
        <v>0</v>
      </c>
      <c r="BB105" s="24">
        <v>0</v>
      </c>
      <c r="BC105" s="24">
        <v>0</v>
      </c>
      <c r="BD105" s="24">
        <v>0</v>
      </c>
      <c r="BE105" s="24">
        <v>0</v>
      </c>
      <c r="BF105" s="24">
        <v>0</v>
      </c>
      <c r="BG105" s="24">
        <v>0</v>
      </c>
      <c r="BH105" s="24">
        <v>0</v>
      </c>
      <c r="BI105" s="24">
        <v>0</v>
      </c>
      <c r="BJ105" s="24">
        <v>0</v>
      </c>
      <c r="BK105" s="24">
        <v>0</v>
      </c>
      <c r="BL105" s="24">
        <v>0</v>
      </c>
      <c r="BM105" s="24">
        <v>0</v>
      </c>
      <c r="BN105" s="24">
        <v>0</v>
      </c>
      <c r="BO105" s="24">
        <v>0</v>
      </c>
      <c r="BP105" s="24">
        <v>0</v>
      </c>
      <c r="BQ105" s="24">
        <v>0</v>
      </c>
      <c r="BR105" s="24">
        <v>0</v>
      </c>
      <c r="BS105" s="24">
        <v>0</v>
      </c>
      <c r="BT105" s="24">
        <v>0</v>
      </c>
      <c r="BU105" s="24">
        <v>0</v>
      </c>
      <c r="BV105" s="24">
        <v>0</v>
      </c>
      <c r="BW105" s="24">
        <v>0</v>
      </c>
      <c r="BX105" s="24">
        <v>0</v>
      </c>
      <c r="BY105" s="24">
        <v>0</v>
      </c>
      <c r="BZ105" s="24">
        <v>0</v>
      </c>
      <c r="CA105" s="24">
        <v>0</v>
      </c>
      <c r="CB105" s="24">
        <v>0</v>
      </c>
      <c r="CC105" s="24">
        <v>0</v>
      </c>
      <c r="CD105" s="24">
        <v>19433</v>
      </c>
      <c r="CE105" s="24">
        <v>2533</v>
      </c>
      <c r="CF105" s="24">
        <v>0</v>
      </c>
      <c r="CG105" s="24">
        <v>1289</v>
      </c>
      <c r="CH105" s="24">
        <v>0</v>
      </c>
      <c r="CI105" s="24">
        <v>0</v>
      </c>
      <c r="CJ105" s="24">
        <v>0</v>
      </c>
      <c r="CK105" s="24">
        <v>0</v>
      </c>
      <c r="CL105" s="24">
        <v>0</v>
      </c>
      <c r="CM105" s="24">
        <v>0</v>
      </c>
      <c r="CN105" s="24">
        <v>0</v>
      </c>
      <c r="CO105" s="24">
        <v>0</v>
      </c>
      <c r="CP105" s="24">
        <v>0</v>
      </c>
      <c r="CQ105" s="24">
        <v>0</v>
      </c>
      <c r="CR105" s="24">
        <v>0</v>
      </c>
      <c r="CS105" s="24">
        <v>0</v>
      </c>
      <c r="CT105" s="24">
        <v>0</v>
      </c>
      <c r="CU105" s="24">
        <v>0</v>
      </c>
      <c r="CV105" s="24">
        <v>0</v>
      </c>
      <c r="CW105" s="24">
        <v>0</v>
      </c>
      <c r="CX105" s="24">
        <v>0</v>
      </c>
      <c r="CY105" s="24">
        <v>0</v>
      </c>
      <c r="CZ105" s="24">
        <v>0</v>
      </c>
      <c r="DA105" s="24">
        <v>0</v>
      </c>
      <c r="DB105" s="24">
        <v>1535</v>
      </c>
      <c r="DC105" s="24">
        <v>0</v>
      </c>
      <c r="DD105" s="24">
        <v>0</v>
      </c>
      <c r="DE105" s="24">
        <v>0</v>
      </c>
      <c r="DF105" s="24">
        <v>0</v>
      </c>
      <c r="DG105" s="24">
        <v>0</v>
      </c>
      <c r="DH105" s="24">
        <v>0</v>
      </c>
      <c r="DI105" s="24">
        <v>0</v>
      </c>
      <c r="DJ105" s="24">
        <v>0</v>
      </c>
      <c r="DK105" s="24">
        <v>0</v>
      </c>
      <c r="DL105" s="24">
        <v>0</v>
      </c>
      <c r="DM105" s="24">
        <v>0</v>
      </c>
      <c r="DN105" s="24">
        <v>0</v>
      </c>
      <c r="DO105" s="24">
        <v>0</v>
      </c>
      <c r="DP105" s="24">
        <v>0</v>
      </c>
      <c r="DQ105" s="24">
        <v>0</v>
      </c>
      <c r="DR105" s="24">
        <v>0</v>
      </c>
      <c r="DS105" s="24">
        <v>0</v>
      </c>
      <c r="DT105" s="24">
        <v>0</v>
      </c>
      <c r="DU105" s="24">
        <v>0</v>
      </c>
      <c r="DV105" s="24">
        <v>0</v>
      </c>
      <c r="DW105" s="24">
        <v>0</v>
      </c>
      <c r="DX105" s="24">
        <v>0</v>
      </c>
      <c r="DY105" s="24">
        <v>0</v>
      </c>
      <c r="DZ105" s="24">
        <v>0</v>
      </c>
      <c r="EA105" s="24">
        <v>0</v>
      </c>
      <c r="EB105" s="24">
        <v>0</v>
      </c>
      <c r="EC105" s="24">
        <v>0</v>
      </c>
      <c r="ED105" s="24">
        <v>0</v>
      </c>
      <c r="EE105" s="24">
        <v>0</v>
      </c>
      <c r="EF105" s="24">
        <v>0</v>
      </c>
      <c r="EG105" s="24">
        <v>63</v>
      </c>
      <c r="EH105" s="24">
        <v>0</v>
      </c>
      <c r="EI105" s="24">
        <v>0</v>
      </c>
      <c r="EJ105" s="24">
        <v>0</v>
      </c>
      <c r="EK105" s="24">
        <v>0</v>
      </c>
      <c r="EL105" s="24">
        <v>0</v>
      </c>
      <c r="EM105" s="24">
        <v>0</v>
      </c>
      <c r="EN105" s="24">
        <v>0</v>
      </c>
      <c r="EO105" s="24">
        <v>0</v>
      </c>
      <c r="EP105" s="24">
        <v>0</v>
      </c>
      <c r="EQ105" s="24">
        <v>0</v>
      </c>
      <c r="ER105" s="24">
        <v>0</v>
      </c>
      <c r="ES105" s="24">
        <v>0</v>
      </c>
      <c r="ET105" s="24">
        <v>0</v>
      </c>
      <c r="EU105" s="24">
        <v>0</v>
      </c>
      <c r="EV105" s="24">
        <v>0</v>
      </c>
      <c r="EW105" s="24">
        <v>0</v>
      </c>
      <c r="EX105" s="24">
        <v>0</v>
      </c>
      <c r="EY105" s="24">
        <v>0</v>
      </c>
      <c r="EZ105" s="24">
        <v>0</v>
      </c>
      <c r="FA105" s="24">
        <v>0</v>
      </c>
      <c r="FB105" s="24">
        <v>0</v>
      </c>
      <c r="FC105" s="24">
        <v>0</v>
      </c>
      <c r="FD105" s="24">
        <v>0</v>
      </c>
      <c r="FE105" s="24">
        <v>0</v>
      </c>
      <c r="FF105" s="24">
        <v>0</v>
      </c>
      <c r="FG105" s="24">
        <v>0</v>
      </c>
      <c r="FH105" s="24">
        <v>0</v>
      </c>
      <c r="FI105" s="24">
        <v>0</v>
      </c>
      <c r="FJ105" s="24">
        <v>0</v>
      </c>
      <c r="FK105" s="24">
        <v>0</v>
      </c>
      <c r="FL105" s="24">
        <v>0</v>
      </c>
      <c r="FM105" s="24">
        <v>0</v>
      </c>
      <c r="FN105" s="24">
        <v>0</v>
      </c>
      <c r="FO105" s="24">
        <v>0</v>
      </c>
      <c r="FP105" s="24">
        <v>0</v>
      </c>
      <c r="FQ105" s="24">
        <v>0</v>
      </c>
      <c r="FR105" s="24">
        <v>0</v>
      </c>
      <c r="FS105" s="24">
        <v>28503</v>
      </c>
      <c r="FT105" s="24">
        <v>0</v>
      </c>
      <c r="FU105" s="24">
        <v>0</v>
      </c>
      <c r="FV105" s="24">
        <v>0</v>
      </c>
      <c r="FW105" s="24">
        <v>0</v>
      </c>
      <c r="FX105" s="24">
        <v>0</v>
      </c>
      <c r="FY105" s="24">
        <v>0</v>
      </c>
      <c r="FZ105" s="24">
        <v>0</v>
      </c>
      <c r="GA105" s="24">
        <v>0</v>
      </c>
      <c r="GB105" s="24">
        <v>0</v>
      </c>
      <c r="GC105" s="24">
        <v>0</v>
      </c>
      <c r="GD105" s="24">
        <v>0</v>
      </c>
      <c r="GE105" s="24">
        <v>0</v>
      </c>
      <c r="GF105" s="24">
        <v>0</v>
      </c>
      <c r="GG105" s="24">
        <v>0</v>
      </c>
      <c r="GH105" s="24">
        <v>0</v>
      </c>
      <c r="GI105" s="24">
        <v>0</v>
      </c>
      <c r="GJ105" s="24">
        <v>0</v>
      </c>
      <c r="GK105" s="24">
        <v>0</v>
      </c>
      <c r="GL105" s="24">
        <v>0</v>
      </c>
      <c r="GM105" s="24">
        <v>0</v>
      </c>
      <c r="GN105" s="24">
        <v>0</v>
      </c>
      <c r="GO105" s="24">
        <v>0</v>
      </c>
      <c r="GP105" s="24">
        <v>0</v>
      </c>
      <c r="GQ105" s="24">
        <v>0</v>
      </c>
      <c r="GR105" s="24">
        <v>125</v>
      </c>
      <c r="GS105" s="24">
        <v>0</v>
      </c>
      <c r="GT105" s="24">
        <v>0</v>
      </c>
      <c r="GU105" s="24">
        <v>0</v>
      </c>
      <c r="GV105" s="24">
        <v>0</v>
      </c>
      <c r="GW105" s="24">
        <v>0</v>
      </c>
      <c r="GX105" s="24">
        <v>0</v>
      </c>
      <c r="GY105" s="24">
        <v>0</v>
      </c>
      <c r="GZ105" s="24">
        <v>0</v>
      </c>
      <c r="HA105" s="24">
        <v>0</v>
      </c>
      <c r="HB105" s="24">
        <v>0</v>
      </c>
      <c r="HC105" s="24">
        <v>0</v>
      </c>
      <c r="HD105" s="24">
        <v>1330786</v>
      </c>
      <c r="HE105" s="24">
        <v>0</v>
      </c>
      <c r="HF105" s="24">
        <v>0</v>
      </c>
      <c r="HG105" s="24">
        <v>0</v>
      </c>
      <c r="HH105" s="24">
        <v>0</v>
      </c>
      <c r="HI105" s="24">
        <v>0</v>
      </c>
      <c r="HJ105" s="24">
        <v>0</v>
      </c>
      <c r="HK105" s="24">
        <v>0</v>
      </c>
      <c r="HL105" s="24">
        <v>0</v>
      </c>
      <c r="HM105" s="24">
        <v>0</v>
      </c>
      <c r="HN105" s="24">
        <v>0</v>
      </c>
      <c r="HO105" s="24">
        <v>0</v>
      </c>
      <c r="HP105" s="24">
        <v>31316</v>
      </c>
      <c r="HQ105" s="24">
        <v>0</v>
      </c>
      <c r="HR105" s="24">
        <v>0</v>
      </c>
      <c r="HS105" s="24">
        <v>0</v>
      </c>
      <c r="HT105" s="24">
        <v>0</v>
      </c>
      <c r="HU105" s="24">
        <v>0</v>
      </c>
      <c r="HV105" s="24">
        <v>0</v>
      </c>
      <c r="HW105" s="24">
        <v>0</v>
      </c>
      <c r="HX105" s="24">
        <v>0</v>
      </c>
      <c r="HY105" s="24">
        <v>0</v>
      </c>
      <c r="HZ105" s="24">
        <v>0</v>
      </c>
      <c r="IA105" s="24">
        <v>6072</v>
      </c>
      <c r="IB105" s="24">
        <v>0</v>
      </c>
      <c r="IC105" s="24">
        <v>0</v>
      </c>
      <c r="ID105" s="24">
        <v>0</v>
      </c>
      <c r="IE105" s="24">
        <v>0</v>
      </c>
      <c r="IF105" s="24">
        <v>0</v>
      </c>
      <c r="IG105" s="24">
        <v>0</v>
      </c>
      <c r="IH105" s="24">
        <v>0</v>
      </c>
      <c r="II105" s="24">
        <v>0</v>
      </c>
      <c r="IJ105" s="24">
        <v>0</v>
      </c>
      <c r="IK105" s="24">
        <v>0</v>
      </c>
      <c r="IL105" s="24">
        <v>0</v>
      </c>
      <c r="IM105" s="24">
        <v>0</v>
      </c>
      <c r="IN105" s="24">
        <v>0</v>
      </c>
      <c r="IO105" s="24">
        <v>0</v>
      </c>
      <c r="IP105" s="24">
        <v>0</v>
      </c>
      <c r="IQ105" s="24">
        <v>0</v>
      </c>
      <c r="IR105" s="24">
        <v>31495</v>
      </c>
      <c r="IS105" s="24">
        <v>0</v>
      </c>
      <c r="IT105" s="24">
        <v>0</v>
      </c>
      <c r="IU105" s="24">
        <v>0</v>
      </c>
      <c r="IV105" s="24">
        <v>0</v>
      </c>
      <c r="IW105" s="24">
        <v>0</v>
      </c>
      <c r="IX105" s="24">
        <v>53681</v>
      </c>
      <c r="IY105" s="24">
        <v>0</v>
      </c>
      <c r="IZ105" s="24">
        <v>0</v>
      </c>
      <c r="JA105" s="24">
        <v>0</v>
      </c>
      <c r="JB105" s="24">
        <v>0</v>
      </c>
      <c r="JC105" s="24">
        <v>0</v>
      </c>
      <c r="JD105" s="24">
        <v>0</v>
      </c>
      <c r="JE105" s="24">
        <v>97645</v>
      </c>
      <c r="JF105" s="24">
        <v>0</v>
      </c>
      <c r="JG105" s="24">
        <v>0</v>
      </c>
      <c r="JH105" s="24">
        <v>0</v>
      </c>
      <c r="JI105" s="24">
        <v>0</v>
      </c>
      <c r="JJ105" s="24">
        <v>0</v>
      </c>
      <c r="JK105" s="24">
        <v>0</v>
      </c>
      <c r="JL105" s="24">
        <v>0</v>
      </c>
      <c r="JM105" s="24">
        <v>0</v>
      </c>
      <c r="JN105" s="24">
        <v>0</v>
      </c>
      <c r="JO105" s="24">
        <v>0</v>
      </c>
      <c r="JP105" s="24">
        <v>0</v>
      </c>
      <c r="JQ105" s="24">
        <v>0</v>
      </c>
      <c r="JR105" s="24">
        <v>0</v>
      </c>
      <c r="JS105" s="24">
        <v>0</v>
      </c>
      <c r="JT105" s="24">
        <v>0</v>
      </c>
      <c r="JU105" s="24">
        <v>0</v>
      </c>
      <c r="JV105" s="24">
        <v>0</v>
      </c>
      <c r="JW105" s="24">
        <v>0</v>
      </c>
      <c r="JX105" s="24">
        <v>0</v>
      </c>
      <c r="JY105" s="24">
        <v>0</v>
      </c>
      <c r="JZ105" s="24">
        <v>0</v>
      </c>
      <c r="KA105" s="24">
        <v>20364</v>
      </c>
      <c r="KB105" s="24">
        <v>0</v>
      </c>
      <c r="KC105" s="24">
        <v>0</v>
      </c>
      <c r="KD105" s="24">
        <v>0</v>
      </c>
      <c r="KE105" s="24">
        <v>0</v>
      </c>
      <c r="KF105" s="24">
        <v>0</v>
      </c>
      <c r="KG105" s="24">
        <v>1336</v>
      </c>
      <c r="KH105" s="24">
        <v>0</v>
      </c>
      <c r="KI105" s="24">
        <v>0</v>
      </c>
      <c r="KJ105" s="24">
        <v>0</v>
      </c>
      <c r="KK105" s="24">
        <v>0</v>
      </c>
      <c r="KL105" s="24">
        <v>0</v>
      </c>
      <c r="KM105" s="24">
        <v>0</v>
      </c>
      <c r="KN105" s="24">
        <v>0</v>
      </c>
      <c r="KO105" s="24">
        <v>0</v>
      </c>
      <c r="KP105" s="24">
        <v>0</v>
      </c>
      <c r="KQ105" s="24">
        <v>0</v>
      </c>
      <c r="KR105" s="24">
        <v>0</v>
      </c>
      <c r="KS105" s="24">
        <v>0</v>
      </c>
      <c r="KT105" s="24">
        <v>0</v>
      </c>
      <c r="KU105" s="24">
        <v>0</v>
      </c>
      <c r="KV105" s="24">
        <v>0</v>
      </c>
      <c r="KW105" s="24">
        <v>17270</v>
      </c>
      <c r="KX105" s="24">
        <v>0</v>
      </c>
      <c r="KY105" s="24">
        <v>0</v>
      </c>
      <c r="KZ105" s="24">
        <v>0</v>
      </c>
      <c r="LA105" s="24">
        <v>0</v>
      </c>
      <c r="LB105" s="24">
        <v>0</v>
      </c>
      <c r="LC105" s="24">
        <v>0</v>
      </c>
      <c r="LD105" s="24">
        <v>0</v>
      </c>
      <c r="LE105" s="24">
        <v>0</v>
      </c>
      <c r="LF105" s="24">
        <v>0</v>
      </c>
      <c r="LG105" s="24">
        <v>0</v>
      </c>
      <c r="LH105" s="24">
        <v>0</v>
      </c>
      <c r="LI105" s="24">
        <v>0</v>
      </c>
      <c r="LJ105" s="24">
        <v>0</v>
      </c>
      <c r="LK105" s="24">
        <v>0</v>
      </c>
      <c r="LL105" s="24">
        <v>0</v>
      </c>
      <c r="LM105" s="24">
        <v>0</v>
      </c>
      <c r="LN105" s="24">
        <v>0</v>
      </c>
      <c r="LO105" s="24">
        <v>0</v>
      </c>
      <c r="LP105" s="24">
        <v>0</v>
      </c>
      <c r="LQ105" s="24">
        <v>15293</v>
      </c>
      <c r="LR105" s="24">
        <v>0</v>
      </c>
      <c r="LS105" s="24">
        <v>0</v>
      </c>
      <c r="LT105" s="24">
        <v>0</v>
      </c>
      <c r="LU105" s="24">
        <v>0</v>
      </c>
      <c r="LV105" s="24">
        <v>0</v>
      </c>
      <c r="LW105" s="24">
        <v>0</v>
      </c>
      <c r="LX105" s="24">
        <v>0</v>
      </c>
      <c r="LY105" s="24">
        <v>0</v>
      </c>
      <c r="LZ105" s="24">
        <v>0</v>
      </c>
      <c r="MA105" s="24">
        <v>0</v>
      </c>
      <c r="MB105" s="24">
        <v>0</v>
      </c>
      <c r="MC105" s="24">
        <v>0</v>
      </c>
      <c r="MD105" s="24">
        <v>0</v>
      </c>
      <c r="ME105" s="24">
        <v>0</v>
      </c>
      <c r="MF105" s="24">
        <v>0</v>
      </c>
      <c r="MG105" s="24">
        <v>0</v>
      </c>
      <c r="MH105" s="24">
        <v>0</v>
      </c>
      <c r="MI105" s="24">
        <v>0</v>
      </c>
      <c r="MJ105" s="24">
        <v>0</v>
      </c>
      <c r="MK105" s="24">
        <v>0</v>
      </c>
      <c r="ML105" s="24">
        <v>0</v>
      </c>
      <c r="MM105" s="24">
        <v>0</v>
      </c>
      <c r="MN105" s="24">
        <v>0</v>
      </c>
      <c r="MO105" s="24">
        <v>0</v>
      </c>
      <c r="MP105" s="24">
        <v>0</v>
      </c>
      <c r="MQ105" s="24">
        <v>0</v>
      </c>
      <c r="MR105" s="24">
        <v>38550</v>
      </c>
      <c r="MS105" s="24">
        <v>0</v>
      </c>
      <c r="MT105" s="24">
        <v>0</v>
      </c>
      <c r="MU105" s="24">
        <v>0</v>
      </c>
      <c r="MV105" s="24">
        <v>0</v>
      </c>
      <c r="MW105" s="24">
        <v>34629</v>
      </c>
      <c r="MX105" s="24">
        <v>3731</v>
      </c>
      <c r="MY105" s="24">
        <v>0</v>
      </c>
      <c r="MZ105" s="24">
        <v>0</v>
      </c>
      <c r="NA105" s="24">
        <v>0</v>
      </c>
      <c r="NB105" s="24">
        <v>0</v>
      </c>
      <c r="NC105" s="24">
        <v>0</v>
      </c>
      <c r="ND105" s="24">
        <v>0</v>
      </c>
      <c r="NE105" s="24">
        <v>0</v>
      </c>
      <c r="NF105" s="24">
        <v>0</v>
      </c>
      <c r="NG105" s="24">
        <v>0</v>
      </c>
      <c r="NH105" s="24">
        <v>0</v>
      </c>
      <c r="NI105" s="24">
        <v>0</v>
      </c>
      <c r="NJ105" s="24">
        <v>0</v>
      </c>
      <c r="NK105" s="24">
        <v>0</v>
      </c>
      <c r="NL105" s="24">
        <v>0</v>
      </c>
      <c r="NM105" s="24">
        <v>0</v>
      </c>
      <c r="NN105" s="24">
        <v>0</v>
      </c>
      <c r="NO105" s="24">
        <v>0</v>
      </c>
      <c r="NP105" s="24">
        <v>0</v>
      </c>
      <c r="NQ105" s="24">
        <v>0</v>
      </c>
      <c r="NR105" s="24">
        <v>4232</v>
      </c>
      <c r="NS105" s="24">
        <v>0</v>
      </c>
      <c r="NT105" s="24">
        <v>0</v>
      </c>
      <c r="NU105" s="24">
        <v>0</v>
      </c>
      <c r="NV105" s="24">
        <v>8287</v>
      </c>
      <c r="NW105" s="24">
        <v>0</v>
      </c>
      <c r="NX105" s="24">
        <v>0</v>
      </c>
      <c r="NY105" s="24">
        <v>0</v>
      </c>
      <c r="NZ105" s="24">
        <v>0</v>
      </c>
      <c r="OA105" s="24">
        <v>0</v>
      </c>
      <c r="OB105" s="24">
        <v>0</v>
      </c>
      <c r="OC105" s="24">
        <v>0</v>
      </c>
      <c r="OD105" s="24">
        <v>0</v>
      </c>
      <c r="OE105" s="24">
        <v>0</v>
      </c>
      <c r="OF105" s="24">
        <v>0</v>
      </c>
      <c r="OG105" s="24">
        <v>0</v>
      </c>
      <c r="OH105" s="24">
        <v>0</v>
      </c>
      <c r="OI105" s="24">
        <v>0</v>
      </c>
      <c r="OJ105" s="24">
        <v>0</v>
      </c>
      <c r="OK105" s="24">
        <v>0</v>
      </c>
      <c r="OL105" s="24">
        <v>0</v>
      </c>
      <c r="OM105" s="24">
        <v>0</v>
      </c>
      <c r="ON105" s="24">
        <v>0</v>
      </c>
      <c r="OO105" s="24">
        <v>0</v>
      </c>
      <c r="OP105" s="24">
        <v>0</v>
      </c>
      <c r="OQ105" s="24">
        <v>0</v>
      </c>
      <c r="OR105" s="24">
        <v>0</v>
      </c>
      <c r="OS105" s="24">
        <v>0</v>
      </c>
      <c r="OT105" s="24">
        <v>0</v>
      </c>
      <c r="OU105" s="24">
        <v>0</v>
      </c>
      <c r="OV105" s="24">
        <v>0</v>
      </c>
      <c r="OW105" s="24">
        <v>0</v>
      </c>
      <c r="OX105" s="24">
        <v>0</v>
      </c>
      <c r="OY105" s="24">
        <v>0</v>
      </c>
      <c r="OZ105" s="24">
        <v>0</v>
      </c>
      <c r="PA105" s="24">
        <v>0</v>
      </c>
      <c r="PB105" s="24">
        <v>0</v>
      </c>
      <c r="PC105" s="24">
        <v>0</v>
      </c>
      <c r="PD105" s="24">
        <v>0</v>
      </c>
      <c r="PE105" s="24">
        <v>0</v>
      </c>
      <c r="PF105" s="24">
        <v>0</v>
      </c>
      <c r="PG105" s="24">
        <v>0</v>
      </c>
      <c r="PH105" s="24">
        <v>20000</v>
      </c>
      <c r="PI105" s="24">
        <v>0</v>
      </c>
      <c r="PJ105" s="24">
        <v>0</v>
      </c>
      <c r="PK105" s="24">
        <v>0</v>
      </c>
      <c r="PL105" s="24">
        <v>0</v>
      </c>
      <c r="PM105" s="24">
        <v>0</v>
      </c>
      <c r="PN105" s="24">
        <v>0</v>
      </c>
      <c r="PO105" s="24">
        <v>0</v>
      </c>
      <c r="PP105" s="24">
        <v>0</v>
      </c>
      <c r="PQ105" s="24">
        <v>0</v>
      </c>
      <c r="PR105" s="24">
        <v>0</v>
      </c>
      <c r="PS105" s="24">
        <v>0</v>
      </c>
      <c r="PT105" s="24">
        <v>0</v>
      </c>
      <c r="PU105" s="24">
        <v>0</v>
      </c>
      <c r="PV105" s="24">
        <v>0</v>
      </c>
      <c r="PW105" s="24">
        <v>0</v>
      </c>
      <c r="PX105" s="24">
        <v>0</v>
      </c>
      <c r="PY105" s="24">
        <v>0</v>
      </c>
      <c r="PZ105" s="24">
        <v>0</v>
      </c>
      <c r="QA105" s="24">
        <v>0</v>
      </c>
      <c r="QB105" s="24">
        <v>0</v>
      </c>
      <c r="QC105" s="24">
        <v>0</v>
      </c>
      <c r="QD105" s="24">
        <v>0</v>
      </c>
      <c r="QE105" s="24">
        <v>0</v>
      </c>
      <c r="QF105" s="24">
        <v>0</v>
      </c>
      <c r="QG105" s="24">
        <v>0</v>
      </c>
      <c r="QH105" s="24">
        <v>0</v>
      </c>
      <c r="QI105" s="24">
        <v>0</v>
      </c>
      <c r="QJ105" s="24">
        <v>0</v>
      </c>
      <c r="QK105" s="24">
        <v>0</v>
      </c>
      <c r="QL105" s="24">
        <v>0</v>
      </c>
      <c r="QM105" s="24">
        <v>0</v>
      </c>
      <c r="QN105" s="24">
        <v>0</v>
      </c>
      <c r="QO105" s="24">
        <v>0</v>
      </c>
      <c r="QP105" s="24">
        <v>0</v>
      </c>
      <c r="QQ105" s="24">
        <v>0</v>
      </c>
      <c r="QR105" s="24">
        <v>0</v>
      </c>
      <c r="QS105" s="24">
        <v>1332</v>
      </c>
      <c r="QT105" s="24">
        <v>0</v>
      </c>
      <c r="QU105" s="24">
        <v>0</v>
      </c>
      <c r="QV105" s="24">
        <v>0</v>
      </c>
      <c r="QW105" s="24">
        <v>0</v>
      </c>
      <c r="QX105" s="24">
        <v>0</v>
      </c>
      <c r="QY105" s="24">
        <v>0</v>
      </c>
      <c r="QZ105" s="24">
        <v>0</v>
      </c>
      <c r="RA105" s="24">
        <v>0</v>
      </c>
      <c r="RB105" s="24">
        <v>0</v>
      </c>
      <c r="RG105" s="39">
        <f t="shared" si="129"/>
        <v>1330786</v>
      </c>
      <c r="RH105" s="39">
        <f t="shared" si="206"/>
        <v>0</v>
      </c>
      <c r="RI105" s="39">
        <f t="shared" si="206"/>
        <v>0</v>
      </c>
      <c r="RJ105" s="39">
        <f t="shared" si="206"/>
        <v>0</v>
      </c>
      <c r="RK105" s="39">
        <f t="shared" si="206"/>
        <v>0</v>
      </c>
      <c r="RL105" s="39">
        <f t="shared" si="206"/>
        <v>0</v>
      </c>
      <c r="RM105" s="39">
        <f t="shared" si="206"/>
        <v>37388</v>
      </c>
      <c r="RN105" s="39">
        <f t="shared" si="206"/>
        <v>0</v>
      </c>
      <c r="RO105" s="39">
        <f t="shared" si="206"/>
        <v>31495</v>
      </c>
      <c r="RP105" s="39">
        <f t="shared" si="206"/>
        <v>53681</v>
      </c>
      <c r="RQ105" s="39">
        <f t="shared" si="206"/>
        <v>0</v>
      </c>
      <c r="RR105" s="39">
        <f t="shared" si="206"/>
        <v>118009</v>
      </c>
      <c r="RS105" s="39"/>
      <c r="RT105" s="182"/>
      <c r="RU105" s="39"/>
      <c r="RV105" s="39">
        <f t="shared" si="182"/>
        <v>123328</v>
      </c>
      <c r="RW105" s="39">
        <f t="shared" si="182"/>
        <v>1571359</v>
      </c>
      <c r="RX105" s="39">
        <f t="shared" si="182"/>
        <v>376448</v>
      </c>
      <c r="RY105" s="39">
        <f t="shared" si="182"/>
        <v>21332</v>
      </c>
      <c r="RZ105" s="39"/>
      <c r="SA105" s="182"/>
      <c r="SB105" s="39"/>
      <c r="SC105" s="25">
        <f t="shared" si="183"/>
        <v>2281.5030303030303</v>
      </c>
      <c r="SD105" s="39">
        <f>IFERROR(VLOOKUP(A105, 'Levy Data 15-16'!$B:$O, 3, FALSE), 0)</f>
        <v>40003584</v>
      </c>
      <c r="SE105" s="39">
        <f t="shared" si="144"/>
        <v>242445.96363636362</v>
      </c>
      <c r="SF105" s="631">
        <f>IFERROR(VLOOKUP(A105, 'Levy Data 15-16'!$B:$O, 14, FALSE), 0)*1000</f>
        <v>7.5978439999999994</v>
      </c>
      <c r="SG105" s="39">
        <f t="shared" si="145"/>
        <v>0</v>
      </c>
      <c r="SH105" s="39">
        <f t="shared" si="146"/>
        <v>0</v>
      </c>
      <c r="SI105" s="39">
        <f t="shared" si="147"/>
        <v>376448</v>
      </c>
      <c r="SM105" s="39">
        <f t="shared" si="148"/>
        <v>1571359</v>
      </c>
      <c r="SN105" s="39">
        <f t="shared" si="149"/>
        <v>0</v>
      </c>
      <c r="SO105" s="39">
        <f t="shared" si="184"/>
        <v>1571359</v>
      </c>
      <c r="SP105" s="50">
        <f t="shared" si="130"/>
        <v>1</v>
      </c>
      <c r="ST105" s="124">
        <f>IFERROR(VLOOKUP(A105,'Grade Enroll 15-16'!B:AC,27,FALSE),"")</f>
        <v>165</v>
      </c>
      <c r="SU105" s="124">
        <f t="shared" si="185"/>
        <v>0</v>
      </c>
      <c r="SV105" s="131">
        <f>IFERROR(VLOOKUP($A105, 'Title I Enroll 16-17'!S:V, 4, FALSE), 0)</f>
        <v>0</v>
      </c>
      <c r="SW105" s="729">
        <f>IFERROR(VLOOKUP(A105, 'ELL Enroll 15-16'!$N:$S, 6, FALSE), 0)</f>
        <v>5</v>
      </c>
      <c r="SX105" s="131">
        <f t="shared" si="131"/>
        <v>3.0303030303030304E-2</v>
      </c>
      <c r="SY105" s="124">
        <f>IFERROR(VLOOKUP(A105, 'SPED enroll 2015-16'!$M:$O, 3, FALSE), 0)</f>
        <v>11</v>
      </c>
      <c r="SZ105" s="131">
        <f t="shared" si="132"/>
        <v>6.6666666666666666E-2</v>
      </c>
      <c r="TA105" s="142">
        <f t="shared" si="207"/>
        <v>7.6999999999999993</v>
      </c>
      <c r="TB105" s="142">
        <f t="shared" si="207"/>
        <v>2.2000000000000002</v>
      </c>
      <c r="TC105" s="142">
        <f t="shared" si="207"/>
        <v>0.77</v>
      </c>
      <c r="TD105" s="142">
        <f t="shared" si="207"/>
        <v>0.32999999999999996</v>
      </c>
      <c r="TE105" s="124">
        <f>VLOOKUP($A105, 'Grade Enroll 15-16'!$B:$AB, 20, FALSE)</f>
        <v>1</v>
      </c>
      <c r="TF105" s="124">
        <f>VLOOKUP($A105, 'Grade Enroll 15-16'!$B:$AB, 21, FALSE)</f>
        <v>11</v>
      </c>
      <c r="TG105" s="124">
        <f>VLOOKUP($A105, 'Grade Enroll 15-16'!$B:$AB, 22, FALSE)</f>
        <v>36</v>
      </c>
      <c r="TH105" s="124">
        <f>VLOOKUP($A105, 'Grade Enroll 15-16'!$B:$AB, 23, FALSE)</f>
        <v>38</v>
      </c>
      <c r="TI105" s="124">
        <f>VLOOKUP($A105, 'Grade Enroll 15-16'!$B:$AB, 24, FALSE)</f>
        <v>36</v>
      </c>
      <c r="TJ105" s="124">
        <f>VLOOKUP($A105, 'Grade Enroll 15-16'!$B:$AB, 25, FALSE)</f>
        <v>55</v>
      </c>
      <c r="TK105" s="124">
        <f>VLOOKUP($A105, 'Grade Enroll 15-16'!$B:$AB, 26, FALSE)</f>
        <v>117</v>
      </c>
      <c r="TL105" s="131">
        <f>SUMIFS('Student Achievement 15-16'!N:N, 'Student Achievement 15-16'!B:B, 'Idaho Data'!A105, 'Student Achievement 15-16'!D:D, "math")/100</f>
        <v>0.20600000000000002</v>
      </c>
      <c r="TM105" s="134">
        <f t="shared" si="186"/>
        <v>33.99</v>
      </c>
      <c r="TN105" s="131">
        <f>SUMIFS('Student Achievement 15-16'!N:N, 'Student Achievement 15-16'!B:B, 'Idaho Data'!A105, 'Student Achievement 15-16'!D:D, "ela")/100</f>
        <v>0.13400000000000001</v>
      </c>
      <c r="TO105" s="134">
        <f t="shared" si="134"/>
        <v>22.110000000000003</v>
      </c>
      <c r="TP105" s="688">
        <f>IFERROR(VLOOKUP(A105, 'G&amp;T 15-16'!B:G, 6, FALSE), 0)*1</f>
        <v>0</v>
      </c>
      <c r="TQ105" s="168">
        <f t="shared" si="135"/>
        <v>9.9</v>
      </c>
      <c r="TU105" s="168">
        <f t="shared" si="136"/>
        <v>22.110000000000003</v>
      </c>
      <c r="TV105" s="168">
        <f t="shared" si="137"/>
        <v>33.99</v>
      </c>
      <c r="TW105" s="205">
        <f t="shared" si="138"/>
        <v>33.99</v>
      </c>
      <c r="TX105" s="144"/>
      <c r="TY105" s="129"/>
      <c r="TZ105" s="127">
        <f t="shared" si="139"/>
        <v>0</v>
      </c>
      <c r="UA105" s="127">
        <f t="shared" si="140"/>
        <v>9.9</v>
      </c>
      <c r="UB105" s="205">
        <f t="shared" si="141"/>
        <v>9.9</v>
      </c>
      <c r="UE105" s="853" t="str">
        <f>IF(ST105&lt;='1. Simulator Input'!$E$104, "yes", "")</f>
        <v>yes</v>
      </c>
      <c r="UI105" s="199">
        <f t="shared" si="187"/>
        <v>0</v>
      </c>
      <c r="UJ105" s="200">
        <f>IF('Idaho Data'!SI105&gt;=0, ((1-'1. Simulator Input'!$E$39)*'Idaho Data'!SI105), 0)</f>
        <v>0</v>
      </c>
      <c r="UK105" s="200">
        <f t="shared" si="142"/>
        <v>1571359</v>
      </c>
      <c r="UL105" s="39"/>
      <c r="UM105" s="182"/>
      <c r="UN105" s="39"/>
      <c r="UO105" s="39">
        <f>IF(AND('1. Simulator Input'!$E$96="yes", '1. Simulator Input'!$E$98="yes", '1. Simulator Input'!$E$100="hold harmless"), 'Idaho Data'!WN105, IF(AND('1. Simulator Input'!$E$96="yes", '1. Simulator Input'!$E$98="no", '1. Simulator Input'!$E$100="hold harmless"), 'Idaho Data'!WM105, IF(AND('1. Simulator Input'!$E$96="yes", '1. Simulator Input'!$E$98="yes", '1. Simulator Input'!$E$100="small district grant"), WL105,IF(AND('1. Simulator Input'!$E$96="yes", '1. Simulator Input'!$E$98="no", '1. Simulator Input'!$E$100="small district grant"), WK105, ""))))</f>
        <v>0</v>
      </c>
      <c r="UP105" s="200">
        <f>'1. Simulator Input'!$D$56*('Idaho Data'!ST105)</f>
        <v>911790</v>
      </c>
      <c r="UQ105" s="204">
        <f>'1. Simulator Input'!$D$65*'1. Simulator Input'!$D$56*'Idaho Data'!SU105</f>
        <v>0</v>
      </c>
      <c r="UR105" s="204">
        <f>'1. Simulator Input'!$D$66*'1. Simulator Input'!$D$56*'Idaho Data'!SW105</f>
        <v>0</v>
      </c>
      <c r="US105" s="200">
        <f>'1. Simulator Input'!$D$67*'1. Simulator Input'!$D$56*'Idaho Data'!TA105</f>
        <v>0</v>
      </c>
      <c r="UT105" s="200">
        <f>'1. Simulator Input'!$D$68*'1. Simulator Input'!$D$56*'Idaho Data'!TB105</f>
        <v>0</v>
      </c>
      <c r="UU105" s="200">
        <f>'1. Simulator Input'!$D$69*'1. Simulator Input'!$D$56*'Idaho Data'!TC105</f>
        <v>0</v>
      </c>
      <c r="UV105" s="200">
        <f>'1. Simulator Input'!$D$70*'1. Simulator Input'!$D$56*TD105</f>
        <v>0</v>
      </c>
      <c r="UW105" s="200">
        <f>'1. Simulator Input'!$D$80*'1. Simulator Input'!$D$56*TW105</f>
        <v>0</v>
      </c>
      <c r="UX105" s="200">
        <f>'1. Simulator Input'!$D$79*'1. Simulator Input'!$D$56*UB105</f>
        <v>0</v>
      </c>
      <c r="UY105" s="200">
        <f>'1. Simulator Input'!$D$87*'1. Simulator Input'!$D$56*TF105</f>
        <v>30393</v>
      </c>
      <c r="UZ105" s="200">
        <f>'1. Simulator Input'!$D$73*'1. Simulator Input'!$D$56*'Idaho Data'!TG105</f>
        <v>0</v>
      </c>
      <c r="VA105" s="200">
        <f>'1. Simulator Input'!$D$56*'1. Simulator Input'!$D$74*'Idaho Data'!TH105</f>
        <v>0</v>
      </c>
      <c r="VB105" s="200">
        <f>'1. Simulator Input'!$D$56*'1. Simulator Input'!$D$75*'Idaho Data'!TI100</f>
        <v>0</v>
      </c>
      <c r="VC105" s="200">
        <f>'1. Simulator Input'!$D$76*'1. Simulator Input'!$D$56*'Idaho Data'!TJ105</f>
        <v>0</v>
      </c>
      <c r="VD105" s="200">
        <f t="shared" si="188"/>
        <v>942183</v>
      </c>
      <c r="VE105" s="200"/>
      <c r="VF105" s="182"/>
      <c r="VG105" s="200"/>
      <c r="VH105" s="200">
        <f t="shared" si="189"/>
        <v>0</v>
      </c>
      <c r="VI105" s="200">
        <f t="shared" si="190"/>
        <v>0</v>
      </c>
      <c r="VJ105" s="200">
        <f t="shared" si="150"/>
        <v>942183</v>
      </c>
      <c r="VK105" s="200">
        <f t="shared" si="151"/>
        <v>942183</v>
      </c>
      <c r="VL105" s="200"/>
      <c r="VM105" s="182"/>
      <c r="VN105" s="200"/>
      <c r="VO105" s="200">
        <f t="shared" si="191"/>
        <v>123328</v>
      </c>
      <c r="VP105" s="200">
        <f t="shared" si="192"/>
        <v>1571359</v>
      </c>
      <c r="VQ105" s="200">
        <f t="shared" si="193"/>
        <v>376448</v>
      </c>
      <c r="VR105" s="200">
        <f t="shared" si="194"/>
        <v>123328</v>
      </c>
      <c r="VS105" s="200">
        <f t="shared" si="152"/>
        <v>942183</v>
      </c>
      <c r="VT105" s="200">
        <f t="shared" si="153"/>
        <v>376448</v>
      </c>
      <c r="VU105" s="200">
        <f t="shared" si="154"/>
        <v>0</v>
      </c>
      <c r="VV105" s="200"/>
      <c r="VW105" s="182"/>
      <c r="VX105" s="200"/>
      <c r="VZ105" s="199">
        <f t="shared" si="195"/>
        <v>-629176</v>
      </c>
      <c r="WA105" s="466">
        <f t="shared" si="196"/>
        <v>-3813.1878787878786</v>
      </c>
      <c r="WB105" s="131">
        <f t="shared" si="197"/>
        <v>-0.4004024541813806</v>
      </c>
      <c r="WC105" s="131"/>
      <c r="WD105" s="461"/>
      <c r="WE105" s="893"/>
      <c r="WF105" s="893">
        <f t="shared" si="198"/>
        <v>12552.333333333334</v>
      </c>
      <c r="WG105" s="893">
        <f t="shared" si="199"/>
        <v>8739.1454545454544</v>
      </c>
      <c r="WH105" s="893"/>
      <c r="WI105" s="893">
        <f t="shared" si="200"/>
        <v>1571359</v>
      </c>
      <c r="WJ105" s="893">
        <f t="shared" si="155"/>
        <v>942183</v>
      </c>
      <c r="WK105" s="39">
        <f t="shared" si="156"/>
        <v>0</v>
      </c>
      <c r="WL105" s="39">
        <f t="shared" si="157"/>
        <v>0</v>
      </c>
      <c r="WM105" s="200">
        <f t="shared" si="158"/>
        <v>629176</v>
      </c>
      <c r="WN105" s="39">
        <f t="shared" si="159"/>
        <v>629176</v>
      </c>
      <c r="WO105" s="39"/>
      <c r="WP105" s="182"/>
      <c r="WQ105" s="39"/>
      <c r="WR105" s="305">
        <f t="shared" si="160"/>
        <v>0.114</v>
      </c>
      <c r="WT105" s="200">
        <f t="shared" si="161"/>
        <v>9523.3878787878784</v>
      </c>
      <c r="WU105" s="131">
        <f t="shared" si="201"/>
        <v>0.85</v>
      </c>
      <c r="WW105" s="199">
        <f t="shared" si="162"/>
        <v>123328</v>
      </c>
      <c r="WX105" s="199">
        <f t="shared" si="163"/>
        <v>942183</v>
      </c>
      <c r="WY105" s="199">
        <f t="shared" si="164"/>
        <v>0</v>
      </c>
      <c r="WZ105" s="199">
        <f t="shared" si="202"/>
        <v>942183</v>
      </c>
      <c r="XA105" s="199">
        <f t="shared" si="165"/>
        <v>0</v>
      </c>
      <c r="XB105" s="199">
        <f t="shared" si="166"/>
        <v>376448</v>
      </c>
      <c r="XC105" s="199">
        <f t="shared" si="167"/>
        <v>376448</v>
      </c>
      <c r="XD105" s="199" t="str">
        <f t="shared" si="168"/>
        <v/>
      </c>
      <c r="XE105" s="199"/>
      <c r="XF105" s="199"/>
      <c r="XG105" s="199"/>
      <c r="XH105" s="199"/>
      <c r="XI105" s="199"/>
      <c r="XJ105" s="199">
        <f t="shared" si="203"/>
        <v>942183</v>
      </c>
      <c r="XP105" s="199">
        <f t="shared" si="169"/>
        <v>942183</v>
      </c>
      <c r="XQ105" s="199">
        <f t="shared" si="170"/>
        <v>5710.2</v>
      </c>
      <c r="XR105" s="199">
        <f t="shared" si="171"/>
        <v>942183</v>
      </c>
      <c r="XS105" s="199">
        <f t="shared" si="172"/>
        <v>942183</v>
      </c>
      <c r="XT105" s="199">
        <f t="shared" si="173"/>
        <v>5710.2</v>
      </c>
      <c r="XU105" s="199">
        <f t="shared" si="174"/>
        <v>1571359</v>
      </c>
      <c r="XV105" s="199">
        <f t="shared" si="175"/>
        <v>9523.3878787878784</v>
      </c>
      <c r="XW105" s="199">
        <f t="shared" si="176"/>
        <v>1571359</v>
      </c>
      <c r="XX105" s="199">
        <f t="shared" si="177"/>
        <v>9523.3878787878784</v>
      </c>
      <c r="XY105" s="199">
        <f t="shared" si="204"/>
        <v>-629176</v>
      </c>
      <c r="XZ105" s="199">
        <f t="shared" si="205"/>
        <v>-3813.1878787878786</v>
      </c>
      <c r="YA105" s="131">
        <f t="shared" si="143"/>
        <v>-0.4004024541813806</v>
      </c>
      <c r="YB105" s="199"/>
      <c r="YC105" s="221"/>
      <c r="YD105" s="199"/>
      <c r="YE105" s="199">
        <f t="shared" si="178"/>
        <v>123328</v>
      </c>
      <c r="YF105" s="200">
        <f t="shared" si="179"/>
        <v>0</v>
      </c>
      <c r="YG105" s="199">
        <f t="shared" si="180"/>
        <v>376448</v>
      </c>
      <c r="YH105" s="199">
        <f t="shared" si="181"/>
        <v>21332</v>
      </c>
    </row>
    <row r="106" spans="1:658">
      <c r="A106" s="3">
        <v>383</v>
      </c>
      <c r="B106" s="2" t="s">
        <v>203</v>
      </c>
      <c r="C106" s="24">
        <v>0</v>
      </c>
      <c r="D106" s="24">
        <v>0</v>
      </c>
      <c r="E106" s="24">
        <v>0</v>
      </c>
      <c r="F106" s="24">
        <v>0</v>
      </c>
      <c r="G106" s="24">
        <v>50289</v>
      </c>
      <c r="H106" s="24">
        <v>0</v>
      </c>
      <c r="I106" s="24">
        <v>0</v>
      </c>
      <c r="J106" s="24">
        <v>0</v>
      </c>
      <c r="K106" s="24">
        <v>0</v>
      </c>
      <c r="L106" s="24">
        <v>3623</v>
      </c>
      <c r="M106" s="24">
        <v>0</v>
      </c>
      <c r="N106" s="24">
        <v>0</v>
      </c>
      <c r="O106" s="24">
        <v>0</v>
      </c>
      <c r="P106" s="24">
        <v>0</v>
      </c>
      <c r="Q106" s="24">
        <v>0</v>
      </c>
      <c r="R106" s="24">
        <v>0</v>
      </c>
      <c r="S106" s="24">
        <v>0</v>
      </c>
      <c r="T106" s="24">
        <v>0</v>
      </c>
      <c r="U106" s="24">
        <v>0</v>
      </c>
      <c r="V106" s="24">
        <v>0</v>
      </c>
      <c r="W106" s="24">
        <v>0</v>
      </c>
      <c r="X106" s="24">
        <v>0</v>
      </c>
      <c r="Y106" s="24">
        <v>212</v>
      </c>
      <c r="Z106" s="24">
        <v>0</v>
      </c>
      <c r="AA106" s="24">
        <v>0</v>
      </c>
      <c r="AB106" s="24">
        <v>0</v>
      </c>
      <c r="AC106" s="24">
        <v>0</v>
      </c>
      <c r="AD106" s="24">
        <v>0</v>
      </c>
      <c r="AE106" s="24">
        <v>0</v>
      </c>
      <c r="AF106" s="24">
        <v>0</v>
      </c>
      <c r="AG106" s="24">
        <v>0</v>
      </c>
      <c r="AH106" s="24">
        <v>0</v>
      </c>
      <c r="AI106" s="24">
        <v>0</v>
      </c>
      <c r="AJ106" s="24">
        <v>0</v>
      </c>
      <c r="AK106" s="24">
        <v>0</v>
      </c>
      <c r="AL106" s="24">
        <v>492</v>
      </c>
      <c r="AM106" s="24">
        <v>0</v>
      </c>
      <c r="AN106" s="24">
        <v>0</v>
      </c>
      <c r="AO106" s="24">
        <v>0</v>
      </c>
      <c r="AP106" s="24">
        <v>0</v>
      </c>
      <c r="AQ106" s="24">
        <v>0</v>
      </c>
      <c r="AR106" s="24">
        <v>0</v>
      </c>
      <c r="AS106" s="24">
        <v>0</v>
      </c>
      <c r="AT106" s="24">
        <v>0</v>
      </c>
      <c r="AU106" s="24">
        <v>0</v>
      </c>
      <c r="AV106" s="24">
        <v>0</v>
      </c>
      <c r="AW106" s="24">
        <v>0</v>
      </c>
      <c r="AX106" s="24">
        <v>0</v>
      </c>
      <c r="AY106" s="24">
        <v>0</v>
      </c>
      <c r="AZ106" s="24">
        <v>0</v>
      </c>
      <c r="BA106" s="24">
        <v>0</v>
      </c>
      <c r="BB106" s="24">
        <v>0</v>
      </c>
      <c r="BC106" s="24">
        <v>0</v>
      </c>
      <c r="BD106" s="24">
        <v>0</v>
      </c>
      <c r="BE106" s="24">
        <v>0</v>
      </c>
      <c r="BF106" s="24">
        <v>179</v>
      </c>
      <c r="BG106" s="24">
        <v>0</v>
      </c>
      <c r="BH106" s="24">
        <v>0</v>
      </c>
      <c r="BI106" s="24">
        <v>0</v>
      </c>
      <c r="BJ106" s="24">
        <v>0</v>
      </c>
      <c r="BK106" s="24">
        <v>0</v>
      </c>
      <c r="BL106" s="24">
        <v>0</v>
      </c>
      <c r="BM106" s="24">
        <v>0</v>
      </c>
      <c r="BN106" s="24">
        <v>0</v>
      </c>
      <c r="BO106" s="24">
        <v>0</v>
      </c>
      <c r="BP106" s="24">
        <v>0</v>
      </c>
      <c r="BQ106" s="24">
        <v>0</v>
      </c>
      <c r="BR106" s="24">
        <v>0</v>
      </c>
      <c r="BS106" s="24">
        <v>0</v>
      </c>
      <c r="BT106" s="24">
        <v>0</v>
      </c>
      <c r="BU106" s="24">
        <v>0</v>
      </c>
      <c r="BV106" s="24">
        <v>0</v>
      </c>
      <c r="BW106" s="24">
        <v>0</v>
      </c>
      <c r="BX106" s="24">
        <v>0</v>
      </c>
      <c r="BY106" s="24">
        <v>0</v>
      </c>
      <c r="BZ106" s="24">
        <v>0</v>
      </c>
      <c r="CA106" s="24">
        <v>0</v>
      </c>
      <c r="CB106" s="24">
        <v>0</v>
      </c>
      <c r="CC106" s="24">
        <v>0</v>
      </c>
      <c r="CD106" s="24">
        <v>0</v>
      </c>
      <c r="CE106" s="24">
        <v>0</v>
      </c>
      <c r="CF106" s="24">
        <v>0</v>
      </c>
      <c r="CG106" s="24">
        <v>0</v>
      </c>
      <c r="CH106" s="24">
        <v>0</v>
      </c>
      <c r="CI106" s="24">
        <v>0</v>
      </c>
      <c r="CJ106" s="24">
        <v>0</v>
      </c>
      <c r="CK106" s="24">
        <v>0</v>
      </c>
      <c r="CL106" s="24">
        <v>0</v>
      </c>
      <c r="CM106" s="24">
        <v>0</v>
      </c>
      <c r="CN106" s="24">
        <v>0</v>
      </c>
      <c r="CO106" s="24">
        <v>0</v>
      </c>
      <c r="CP106" s="24">
        <v>0</v>
      </c>
      <c r="CQ106" s="24">
        <v>0</v>
      </c>
      <c r="CR106" s="24">
        <v>0</v>
      </c>
      <c r="CS106" s="24">
        <v>0</v>
      </c>
      <c r="CT106" s="24">
        <v>0</v>
      </c>
      <c r="CU106" s="24">
        <v>0</v>
      </c>
      <c r="CV106" s="24">
        <v>0</v>
      </c>
      <c r="CW106" s="24">
        <v>0</v>
      </c>
      <c r="CX106" s="24">
        <v>0</v>
      </c>
      <c r="CY106" s="24">
        <v>0</v>
      </c>
      <c r="CZ106" s="24">
        <v>0</v>
      </c>
      <c r="DA106" s="24">
        <v>0</v>
      </c>
      <c r="DB106" s="24">
        <v>0</v>
      </c>
      <c r="DC106" s="24">
        <v>0</v>
      </c>
      <c r="DD106" s="24">
        <v>0</v>
      </c>
      <c r="DE106" s="24">
        <v>0</v>
      </c>
      <c r="DF106" s="24">
        <v>0</v>
      </c>
      <c r="DG106" s="24">
        <v>0</v>
      </c>
      <c r="DH106" s="24">
        <v>0</v>
      </c>
      <c r="DI106" s="24">
        <v>0</v>
      </c>
      <c r="DJ106" s="24">
        <v>0</v>
      </c>
      <c r="DK106" s="24">
        <v>0</v>
      </c>
      <c r="DL106" s="24">
        <v>0</v>
      </c>
      <c r="DM106" s="24">
        <v>0</v>
      </c>
      <c r="DN106" s="24">
        <v>0</v>
      </c>
      <c r="DO106" s="24">
        <v>0</v>
      </c>
      <c r="DP106" s="24">
        <v>0</v>
      </c>
      <c r="DQ106" s="24">
        <v>0</v>
      </c>
      <c r="DR106" s="24">
        <v>0</v>
      </c>
      <c r="DS106" s="24">
        <v>0</v>
      </c>
      <c r="DT106" s="24">
        <v>0</v>
      </c>
      <c r="DU106" s="24">
        <v>0</v>
      </c>
      <c r="DV106" s="24">
        <v>0</v>
      </c>
      <c r="DW106" s="24">
        <v>0</v>
      </c>
      <c r="DX106" s="24">
        <v>0</v>
      </c>
      <c r="DY106" s="24">
        <v>0</v>
      </c>
      <c r="DZ106" s="24">
        <v>0</v>
      </c>
      <c r="EA106" s="24">
        <v>0</v>
      </c>
      <c r="EB106" s="24">
        <v>0</v>
      </c>
      <c r="EC106" s="24">
        <v>0</v>
      </c>
      <c r="ED106" s="24">
        <v>0</v>
      </c>
      <c r="EE106" s="24">
        <v>0</v>
      </c>
      <c r="EF106" s="24">
        <v>0</v>
      </c>
      <c r="EG106" s="24">
        <v>0</v>
      </c>
      <c r="EH106" s="24">
        <v>0</v>
      </c>
      <c r="EI106" s="24">
        <v>0</v>
      </c>
      <c r="EJ106" s="24">
        <v>0</v>
      </c>
      <c r="EK106" s="24">
        <v>0</v>
      </c>
      <c r="EL106" s="24">
        <v>0</v>
      </c>
      <c r="EM106" s="24">
        <v>0</v>
      </c>
      <c r="EN106" s="24">
        <v>0</v>
      </c>
      <c r="EO106" s="24">
        <v>0</v>
      </c>
      <c r="EP106" s="24">
        <v>0</v>
      </c>
      <c r="EQ106" s="24">
        <v>0</v>
      </c>
      <c r="ER106" s="24">
        <v>0</v>
      </c>
      <c r="ES106" s="24">
        <v>0</v>
      </c>
      <c r="ET106" s="24">
        <v>0</v>
      </c>
      <c r="EU106" s="24">
        <v>0</v>
      </c>
      <c r="EV106" s="24">
        <v>0</v>
      </c>
      <c r="EW106" s="24">
        <v>0</v>
      </c>
      <c r="EX106" s="24">
        <v>0</v>
      </c>
      <c r="EY106" s="24">
        <v>0</v>
      </c>
      <c r="EZ106" s="24">
        <v>0</v>
      </c>
      <c r="FA106" s="24">
        <v>0</v>
      </c>
      <c r="FB106" s="24">
        <v>0</v>
      </c>
      <c r="FC106" s="24">
        <v>0</v>
      </c>
      <c r="FD106" s="24">
        <v>0</v>
      </c>
      <c r="FE106" s="24">
        <v>0</v>
      </c>
      <c r="FF106" s="24">
        <v>0</v>
      </c>
      <c r="FG106" s="24">
        <v>1021</v>
      </c>
      <c r="FH106" s="24">
        <v>0</v>
      </c>
      <c r="FI106" s="24">
        <v>0</v>
      </c>
      <c r="FJ106" s="24">
        <v>0</v>
      </c>
      <c r="FK106" s="24">
        <v>0</v>
      </c>
      <c r="FL106" s="24">
        <v>0</v>
      </c>
      <c r="FM106" s="24">
        <v>0</v>
      </c>
      <c r="FN106" s="24">
        <v>0</v>
      </c>
      <c r="FO106" s="24">
        <v>0</v>
      </c>
      <c r="FP106" s="24">
        <v>0</v>
      </c>
      <c r="FQ106" s="24">
        <v>0</v>
      </c>
      <c r="FR106" s="24">
        <v>0</v>
      </c>
      <c r="FS106" s="24">
        <v>0</v>
      </c>
      <c r="FT106" s="24">
        <v>0</v>
      </c>
      <c r="FU106" s="24">
        <v>0</v>
      </c>
      <c r="FV106" s="24">
        <v>0</v>
      </c>
      <c r="FW106" s="24">
        <v>0</v>
      </c>
      <c r="FX106" s="24">
        <v>0</v>
      </c>
      <c r="FY106" s="24">
        <v>0</v>
      </c>
      <c r="FZ106" s="24">
        <v>0</v>
      </c>
      <c r="GA106" s="24">
        <v>0</v>
      </c>
      <c r="GB106" s="24">
        <v>0</v>
      </c>
      <c r="GC106" s="24">
        <v>0</v>
      </c>
      <c r="GD106" s="24">
        <v>0</v>
      </c>
      <c r="GE106" s="24">
        <v>0</v>
      </c>
      <c r="GF106" s="24">
        <v>0</v>
      </c>
      <c r="GG106" s="24">
        <v>0</v>
      </c>
      <c r="GH106" s="24">
        <v>0</v>
      </c>
      <c r="GI106" s="24">
        <v>0</v>
      </c>
      <c r="GJ106" s="24">
        <v>0</v>
      </c>
      <c r="GK106" s="24">
        <v>0</v>
      </c>
      <c r="GL106" s="24">
        <v>0</v>
      </c>
      <c r="GM106" s="24">
        <v>0</v>
      </c>
      <c r="GN106" s="24">
        <v>0</v>
      </c>
      <c r="GO106" s="24">
        <v>0</v>
      </c>
      <c r="GP106" s="24">
        <v>0</v>
      </c>
      <c r="GQ106" s="24">
        <v>0</v>
      </c>
      <c r="GR106" s="24">
        <v>0</v>
      </c>
      <c r="GS106" s="24">
        <v>0</v>
      </c>
      <c r="GT106" s="24">
        <v>0</v>
      </c>
      <c r="GU106" s="24">
        <v>0</v>
      </c>
      <c r="GV106" s="24">
        <v>0</v>
      </c>
      <c r="GW106" s="24">
        <v>0</v>
      </c>
      <c r="GX106" s="24">
        <v>0</v>
      </c>
      <c r="GY106" s="24">
        <v>0</v>
      </c>
      <c r="GZ106" s="24">
        <v>0</v>
      </c>
      <c r="HA106" s="24">
        <v>0</v>
      </c>
      <c r="HB106" s="24">
        <v>0</v>
      </c>
      <c r="HC106" s="24">
        <v>0</v>
      </c>
      <c r="HD106" s="24">
        <v>177860</v>
      </c>
      <c r="HE106" s="24">
        <v>0</v>
      </c>
      <c r="HF106" s="24">
        <v>0</v>
      </c>
      <c r="HG106" s="24">
        <v>0</v>
      </c>
      <c r="HH106" s="24">
        <v>0</v>
      </c>
      <c r="HI106" s="24">
        <v>43885</v>
      </c>
      <c r="HJ106" s="24">
        <v>0</v>
      </c>
      <c r="HK106" s="24">
        <v>0</v>
      </c>
      <c r="HL106" s="24">
        <v>0</v>
      </c>
      <c r="HM106" s="24">
        <v>0</v>
      </c>
      <c r="HN106" s="24">
        <v>0</v>
      </c>
      <c r="HO106" s="24">
        <v>25788</v>
      </c>
      <c r="HP106" s="24">
        <v>26832</v>
      </c>
      <c r="HQ106" s="24">
        <v>0</v>
      </c>
      <c r="HR106" s="24">
        <v>0</v>
      </c>
      <c r="HS106" s="24">
        <v>0</v>
      </c>
      <c r="HT106" s="24">
        <v>0</v>
      </c>
      <c r="HU106" s="24">
        <v>0</v>
      </c>
      <c r="HV106" s="24">
        <v>0</v>
      </c>
      <c r="HW106" s="24">
        <v>0</v>
      </c>
      <c r="HX106" s="24">
        <v>0</v>
      </c>
      <c r="HY106" s="24">
        <v>0</v>
      </c>
      <c r="HZ106" s="24">
        <v>0</v>
      </c>
      <c r="IA106" s="24">
        <v>0</v>
      </c>
      <c r="IB106" s="24">
        <v>0</v>
      </c>
      <c r="IC106" s="24">
        <v>0</v>
      </c>
      <c r="ID106" s="24">
        <v>0</v>
      </c>
      <c r="IE106" s="24">
        <v>0</v>
      </c>
      <c r="IF106" s="24">
        <v>0</v>
      </c>
      <c r="IG106" s="24">
        <v>0</v>
      </c>
      <c r="IH106" s="24">
        <v>0</v>
      </c>
      <c r="II106" s="24">
        <v>0</v>
      </c>
      <c r="IJ106" s="24">
        <v>0</v>
      </c>
      <c r="IK106" s="24">
        <v>0</v>
      </c>
      <c r="IL106" s="24">
        <v>0</v>
      </c>
      <c r="IM106" s="24">
        <v>0</v>
      </c>
      <c r="IN106" s="24">
        <v>0</v>
      </c>
      <c r="IO106" s="24">
        <v>0</v>
      </c>
      <c r="IP106" s="24">
        <v>0</v>
      </c>
      <c r="IQ106" s="24">
        <v>0</v>
      </c>
      <c r="IR106" s="24">
        <v>0</v>
      </c>
      <c r="IS106" s="24">
        <v>0</v>
      </c>
      <c r="IT106" s="24">
        <v>0</v>
      </c>
      <c r="IU106" s="24">
        <v>0</v>
      </c>
      <c r="IV106" s="24">
        <v>0</v>
      </c>
      <c r="IW106" s="24">
        <v>1283</v>
      </c>
      <c r="IX106" s="24">
        <v>0</v>
      </c>
      <c r="IY106" s="24">
        <v>0</v>
      </c>
      <c r="IZ106" s="24">
        <v>0</v>
      </c>
      <c r="JA106" s="24">
        <v>0</v>
      </c>
      <c r="JB106" s="24">
        <v>2807</v>
      </c>
      <c r="JC106" s="24">
        <v>0</v>
      </c>
      <c r="JD106" s="24">
        <v>0</v>
      </c>
      <c r="JE106" s="24">
        <v>0</v>
      </c>
      <c r="JF106" s="24">
        <v>0</v>
      </c>
      <c r="JG106" s="24">
        <v>0</v>
      </c>
      <c r="JH106" s="24">
        <v>0</v>
      </c>
      <c r="JI106" s="24">
        <v>0</v>
      </c>
      <c r="JJ106" s="24">
        <v>0</v>
      </c>
      <c r="JK106" s="24">
        <v>0</v>
      </c>
      <c r="JL106" s="24">
        <v>0</v>
      </c>
      <c r="JM106" s="24">
        <v>0</v>
      </c>
      <c r="JN106" s="24">
        <v>0</v>
      </c>
      <c r="JO106" s="24">
        <v>0</v>
      </c>
      <c r="JP106" s="24">
        <v>0</v>
      </c>
      <c r="JQ106" s="24">
        <v>0</v>
      </c>
      <c r="JR106" s="24">
        <v>0</v>
      </c>
      <c r="JS106" s="24">
        <v>0</v>
      </c>
      <c r="JT106" s="24">
        <v>0</v>
      </c>
      <c r="JU106" s="24">
        <v>0</v>
      </c>
      <c r="JV106" s="24">
        <v>0</v>
      </c>
      <c r="JW106" s="24">
        <v>0</v>
      </c>
      <c r="JX106" s="24">
        <v>0</v>
      </c>
      <c r="JY106" s="24">
        <v>0</v>
      </c>
      <c r="JZ106" s="24">
        <v>0</v>
      </c>
      <c r="KA106" s="24">
        <v>0</v>
      </c>
      <c r="KB106" s="24">
        <v>0</v>
      </c>
      <c r="KC106" s="24">
        <v>0</v>
      </c>
      <c r="KD106" s="24">
        <v>0</v>
      </c>
      <c r="KE106" s="24">
        <v>0</v>
      </c>
      <c r="KF106" s="24">
        <v>0</v>
      </c>
      <c r="KG106" s="24">
        <v>0</v>
      </c>
      <c r="KH106" s="24">
        <v>0</v>
      </c>
      <c r="KI106" s="24">
        <v>0</v>
      </c>
      <c r="KJ106" s="24">
        <v>0</v>
      </c>
      <c r="KK106" s="24">
        <v>0</v>
      </c>
      <c r="KL106" s="24">
        <v>0</v>
      </c>
      <c r="KM106" s="24">
        <v>0</v>
      </c>
      <c r="KN106" s="24">
        <v>0</v>
      </c>
      <c r="KO106" s="24">
        <v>0</v>
      </c>
      <c r="KP106" s="24">
        <v>0</v>
      </c>
      <c r="KQ106" s="24">
        <v>0</v>
      </c>
      <c r="KR106" s="24">
        <v>149</v>
      </c>
      <c r="KS106" s="24">
        <v>0</v>
      </c>
      <c r="KT106" s="24">
        <v>0</v>
      </c>
      <c r="KU106" s="24">
        <v>0</v>
      </c>
      <c r="KV106" s="24">
        <v>0</v>
      </c>
      <c r="KW106" s="24">
        <v>0</v>
      </c>
      <c r="KX106" s="24">
        <v>0</v>
      </c>
      <c r="KY106" s="24">
        <v>0</v>
      </c>
      <c r="KZ106" s="24">
        <v>0</v>
      </c>
      <c r="LA106" s="24">
        <v>0</v>
      </c>
      <c r="LB106" s="24">
        <v>0</v>
      </c>
      <c r="LC106" s="24">
        <v>0</v>
      </c>
      <c r="LD106" s="24">
        <v>0</v>
      </c>
      <c r="LE106" s="24">
        <v>0</v>
      </c>
      <c r="LF106" s="24">
        <v>0</v>
      </c>
      <c r="LG106" s="24">
        <v>0</v>
      </c>
      <c r="LH106" s="24">
        <v>0</v>
      </c>
      <c r="LI106" s="24">
        <v>0</v>
      </c>
      <c r="LJ106" s="24">
        <v>0</v>
      </c>
      <c r="LK106" s="24">
        <v>0</v>
      </c>
      <c r="LL106" s="24">
        <v>0</v>
      </c>
      <c r="LM106" s="24">
        <v>0</v>
      </c>
      <c r="LN106" s="24">
        <v>0</v>
      </c>
      <c r="LO106" s="24">
        <v>0</v>
      </c>
      <c r="LP106" s="24">
        <v>0</v>
      </c>
      <c r="LQ106" s="24">
        <v>0</v>
      </c>
      <c r="LR106" s="24">
        <v>0</v>
      </c>
      <c r="LS106" s="24">
        <v>0</v>
      </c>
      <c r="LT106" s="24">
        <v>0</v>
      </c>
      <c r="LU106" s="24">
        <v>0</v>
      </c>
      <c r="LV106" s="24">
        <v>0</v>
      </c>
      <c r="LW106" s="24">
        <v>0</v>
      </c>
      <c r="LX106" s="24">
        <v>0</v>
      </c>
      <c r="LY106" s="24">
        <v>0</v>
      </c>
      <c r="LZ106" s="24">
        <v>0</v>
      </c>
      <c r="MA106" s="24">
        <v>0</v>
      </c>
      <c r="MB106" s="24">
        <v>0</v>
      </c>
      <c r="MC106" s="24">
        <v>0</v>
      </c>
      <c r="MD106" s="24">
        <v>0</v>
      </c>
      <c r="ME106" s="24">
        <v>0</v>
      </c>
      <c r="MF106" s="24">
        <v>0</v>
      </c>
      <c r="MG106" s="24">
        <v>14811</v>
      </c>
      <c r="MH106" s="24">
        <v>0</v>
      </c>
      <c r="MI106" s="24">
        <v>0</v>
      </c>
      <c r="MJ106" s="24">
        <v>0</v>
      </c>
      <c r="MK106" s="24">
        <v>0</v>
      </c>
      <c r="ML106" s="24">
        <v>0</v>
      </c>
      <c r="MM106" s="24">
        <v>0</v>
      </c>
      <c r="MN106" s="24">
        <v>0</v>
      </c>
      <c r="MO106" s="24">
        <v>0</v>
      </c>
      <c r="MP106" s="24">
        <v>0</v>
      </c>
      <c r="MQ106" s="24">
        <v>0</v>
      </c>
      <c r="MR106" s="24">
        <v>0</v>
      </c>
      <c r="MS106" s="24">
        <v>0</v>
      </c>
      <c r="MT106" s="24">
        <v>0</v>
      </c>
      <c r="MU106" s="24">
        <v>0</v>
      </c>
      <c r="MV106" s="24">
        <v>0</v>
      </c>
      <c r="MW106" s="24">
        <v>0</v>
      </c>
      <c r="MX106" s="24">
        <v>0</v>
      </c>
      <c r="MY106" s="24">
        <v>0</v>
      </c>
      <c r="MZ106" s="24">
        <v>0</v>
      </c>
      <c r="NA106" s="24">
        <v>0</v>
      </c>
      <c r="NB106" s="24">
        <v>0</v>
      </c>
      <c r="NC106" s="24">
        <v>0</v>
      </c>
      <c r="ND106" s="24">
        <v>0</v>
      </c>
      <c r="NE106" s="24">
        <v>0</v>
      </c>
      <c r="NF106" s="24">
        <v>0</v>
      </c>
      <c r="NG106" s="24">
        <v>0</v>
      </c>
      <c r="NH106" s="24">
        <v>0</v>
      </c>
      <c r="NI106" s="24">
        <v>0</v>
      </c>
      <c r="NJ106" s="24">
        <v>0</v>
      </c>
      <c r="NK106" s="24">
        <v>0</v>
      </c>
      <c r="NL106" s="24">
        <v>0</v>
      </c>
      <c r="NM106" s="24">
        <v>0</v>
      </c>
      <c r="NN106" s="24">
        <v>0</v>
      </c>
      <c r="NO106" s="24">
        <v>0</v>
      </c>
      <c r="NP106" s="24">
        <v>0</v>
      </c>
      <c r="NQ106" s="24">
        <v>0</v>
      </c>
      <c r="NR106" s="24">
        <v>0</v>
      </c>
      <c r="NS106" s="24">
        <v>0</v>
      </c>
      <c r="NT106" s="24">
        <v>0</v>
      </c>
      <c r="NU106" s="24">
        <v>0</v>
      </c>
      <c r="NV106" s="24">
        <v>0</v>
      </c>
      <c r="NW106" s="24">
        <v>0</v>
      </c>
      <c r="NX106" s="24">
        <v>0</v>
      </c>
      <c r="NY106" s="24">
        <v>0</v>
      </c>
      <c r="NZ106" s="24">
        <v>0</v>
      </c>
      <c r="OA106" s="24">
        <v>0</v>
      </c>
      <c r="OB106" s="24">
        <v>0</v>
      </c>
      <c r="OC106" s="24">
        <v>0</v>
      </c>
      <c r="OD106" s="24">
        <v>0</v>
      </c>
      <c r="OE106" s="24">
        <v>0</v>
      </c>
      <c r="OF106" s="24">
        <v>0</v>
      </c>
      <c r="OG106" s="24">
        <v>0</v>
      </c>
      <c r="OH106" s="24">
        <v>0</v>
      </c>
      <c r="OI106" s="24">
        <v>0</v>
      </c>
      <c r="OJ106" s="24">
        <v>0</v>
      </c>
      <c r="OK106" s="24">
        <v>0</v>
      </c>
      <c r="OL106" s="24">
        <v>0</v>
      </c>
      <c r="OM106" s="24">
        <v>0</v>
      </c>
      <c r="ON106" s="24">
        <v>0</v>
      </c>
      <c r="OO106" s="24">
        <v>0</v>
      </c>
      <c r="OP106" s="24">
        <v>0</v>
      </c>
      <c r="OQ106" s="24">
        <v>0</v>
      </c>
      <c r="OR106" s="24">
        <v>0</v>
      </c>
      <c r="OS106" s="24">
        <v>0</v>
      </c>
      <c r="OT106" s="24">
        <v>0</v>
      </c>
      <c r="OU106" s="24">
        <v>0</v>
      </c>
      <c r="OV106" s="24">
        <v>0</v>
      </c>
      <c r="OW106" s="24">
        <v>0</v>
      </c>
      <c r="OX106" s="24">
        <v>0</v>
      </c>
      <c r="OY106" s="24">
        <v>0</v>
      </c>
      <c r="OZ106" s="24">
        <v>0</v>
      </c>
      <c r="PA106" s="24">
        <v>0</v>
      </c>
      <c r="PB106" s="24">
        <v>0</v>
      </c>
      <c r="PC106" s="24">
        <v>2000</v>
      </c>
      <c r="PD106" s="24">
        <v>0</v>
      </c>
      <c r="PE106" s="24">
        <v>0</v>
      </c>
      <c r="PF106" s="24">
        <v>0</v>
      </c>
      <c r="PG106" s="24">
        <v>0</v>
      </c>
      <c r="PH106" s="24">
        <v>0</v>
      </c>
      <c r="PI106" s="24">
        <v>0</v>
      </c>
      <c r="PJ106" s="24">
        <v>0</v>
      </c>
      <c r="PK106" s="24">
        <v>0</v>
      </c>
      <c r="PL106" s="24">
        <v>0</v>
      </c>
      <c r="PM106" s="24">
        <v>0</v>
      </c>
      <c r="PN106" s="24">
        <v>0</v>
      </c>
      <c r="PO106" s="24">
        <v>0</v>
      </c>
      <c r="PP106" s="24">
        <v>0</v>
      </c>
      <c r="PQ106" s="24">
        <v>0</v>
      </c>
      <c r="PR106" s="24">
        <v>0</v>
      </c>
      <c r="PS106" s="24">
        <v>0</v>
      </c>
      <c r="PT106" s="24">
        <v>0</v>
      </c>
      <c r="PU106" s="24">
        <v>0</v>
      </c>
      <c r="PV106" s="24">
        <v>0</v>
      </c>
      <c r="PW106" s="24">
        <v>0</v>
      </c>
      <c r="PX106" s="24">
        <v>0</v>
      </c>
      <c r="PY106" s="24">
        <v>0</v>
      </c>
      <c r="PZ106" s="24">
        <v>0</v>
      </c>
      <c r="QA106" s="24">
        <v>0</v>
      </c>
      <c r="QB106" s="24">
        <v>0</v>
      </c>
      <c r="QC106" s="24">
        <v>0</v>
      </c>
      <c r="QD106" s="24">
        <v>0</v>
      </c>
      <c r="QE106" s="24">
        <v>0</v>
      </c>
      <c r="QF106" s="24">
        <v>0</v>
      </c>
      <c r="QG106" s="24">
        <v>0</v>
      </c>
      <c r="QH106" s="24">
        <v>0</v>
      </c>
      <c r="QI106" s="24">
        <v>0</v>
      </c>
      <c r="QJ106" s="24">
        <v>0</v>
      </c>
      <c r="QK106" s="24">
        <v>0</v>
      </c>
      <c r="QL106" s="24">
        <v>0</v>
      </c>
      <c r="QM106" s="24">
        <v>0</v>
      </c>
      <c r="QN106" s="24">
        <v>0</v>
      </c>
      <c r="QO106" s="24">
        <v>0</v>
      </c>
      <c r="QP106" s="24">
        <v>0</v>
      </c>
      <c r="QQ106" s="24">
        <v>0</v>
      </c>
      <c r="QR106" s="24">
        <v>0</v>
      </c>
      <c r="QS106" s="24">
        <v>0</v>
      </c>
      <c r="QT106" s="24">
        <v>0</v>
      </c>
      <c r="QU106" s="24">
        <v>0</v>
      </c>
      <c r="QV106" s="24">
        <v>2495</v>
      </c>
      <c r="QW106" s="24">
        <v>0</v>
      </c>
      <c r="QX106" s="24">
        <v>0</v>
      </c>
      <c r="QY106" s="24">
        <v>0</v>
      </c>
      <c r="QZ106" s="24">
        <v>0</v>
      </c>
      <c r="RA106" s="24">
        <v>0</v>
      </c>
      <c r="RB106" s="24">
        <v>0</v>
      </c>
      <c r="RG106" s="39">
        <f t="shared" si="129"/>
        <v>177860</v>
      </c>
      <c r="RH106" s="39">
        <f t="shared" si="206"/>
        <v>43885</v>
      </c>
      <c r="RI106" s="39">
        <f t="shared" si="206"/>
        <v>0</v>
      </c>
      <c r="RJ106" s="39">
        <f t="shared" si="206"/>
        <v>0</v>
      </c>
      <c r="RK106" s="39">
        <f t="shared" si="206"/>
        <v>0</v>
      </c>
      <c r="RL106" s="39">
        <f t="shared" si="206"/>
        <v>25788</v>
      </c>
      <c r="RM106" s="39">
        <f t="shared" si="206"/>
        <v>26832</v>
      </c>
      <c r="RN106" s="39">
        <f t="shared" si="206"/>
        <v>0</v>
      </c>
      <c r="RO106" s="39">
        <f t="shared" si="206"/>
        <v>0</v>
      </c>
      <c r="RP106" s="39">
        <f t="shared" si="206"/>
        <v>1283</v>
      </c>
      <c r="RQ106" s="39">
        <f t="shared" si="206"/>
        <v>2807</v>
      </c>
      <c r="RR106" s="39">
        <f t="shared" si="206"/>
        <v>0</v>
      </c>
      <c r="RS106" s="39"/>
      <c r="RT106" s="182"/>
      <c r="RU106" s="39"/>
      <c r="RV106" s="39">
        <f t="shared" si="182"/>
        <v>14960</v>
      </c>
      <c r="RW106" s="39">
        <f t="shared" si="182"/>
        <v>278455</v>
      </c>
      <c r="RX106" s="39">
        <f t="shared" si="182"/>
        <v>55816</v>
      </c>
      <c r="RY106" s="39">
        <f t="shared" si="182"/>
        <v>4495</v>
      </c>
      <c r="RZ106" s="39"/>
      <c r="SA106" s="182"/>
      <c r="SB106" s="39"/>
      <c r="SC106" s="25">
        <f t="shared" si="183"/>
        <v>3100.8888888888887</v>
      </c>
      <c r="SD106" s="39">
        <f>IFERROR(VLOOKUP(A106, 'Levy Data 15-16'!$B:$O, 3, FALSE), 0)</f>
        <v>25118044</v>
      </c>
      <c r="SE106" s="39">
        <f t="shared" ref="SE106:SE137" si="208">SD106/ST106</f>
        <v>1395446.888888889</v>
      </c>
      <c r="SF106" s="631">
        <f>IFERROR(VLOOKUP(A106, 'Levy Data 15-16'!$B:$O, 14, FALSE), 0)*1000</f>
        <v>2.1348399999999996</v>
      </c>
      <c r="SG106" s="39">
        <f t="shared" ref="SG106:SG137" si="209">$SG$6*SD106/1000</f>
        <v>0</v>
      </c>
      <c r="SH106" s="39">
        <f t="shared" ref="SH106:SH137" si="210">MIN(RX106,SG106)</f>
        <v>0</v>
      </c>
      <c r="SI106" s="39">
        <f t="shared" ref="SI106:SI137" si="211">(RX106-SH106)*1</f>
        <v>55816</v>
      </c>
      <c r="SM106" s="39">
        <f t="shared" ref="SM106:SM137" si="212">SUM(RG106:RR106)</f>
        <v>278455</v>
      </c>
      <c r="SN106" s="39">
        <f t="shared" ref="SN106:SN137" si="213">SM106-SUMIFS(RG106:RR106,RG$4:RR$4,"X")</f>
        <v>0</v>
      </c>
      <c r="SO106" s="39">
        <f t="shared" si="184"/>
        <v>278455</v>
      </c>
      <c r="SP106" s="50">
        <f t="shared" si="130"/>
        <v>1</v>
      </c>
      <c r="ST106" s="124">
        <f>IFERROR(VLOOKUP(A106,'Grade Enroll 15-16'!B:AC,27,FALSE),"")</f>
        <v>18</v>
      </c>
      <c r="SU106" s="124">
        <f t="shared" si="185"/>
        <v>0</v>
      </c>
      <c r="SV106" s="131">
        <f>IFERROR(VLOOKUP($A106, 'Title I Enroll 16-17'!S:V, 4, FALSE), 0)</f>
        <v>0</v>
      </c>
      <c r="SW106" s="729">
        <f>IFERROR(VLOOKUP(A106, 'ELL Enroll 15-16'!$N:$S, 6, FALSE), 0)</f>
        <v>5</v>
      </c>
      <c r="SX106" s="131">
        <f t="shared" si="131"/>
        <v>0.27777777777777779</v>
      </c>
      <c r="SY106" s="124">
        <f>IFERROR(VLOOKUP(A106, 'SPED enroll 2015-16'!$M:$O, 3, FALSE), 0)</f>
        <v>5</v>
      </c>
      <c r="SZ106" s="131">
        <f t="shared" si="132"/>
        <v>0.27777777777777779</v>
      </c>
      <c r="TA106" s="142">
        <f t="shared" si="207"/>
        <v>3.5</v>
      </c>
      <c r="TB106" s="142">
        <f t="shared" si="207"/>
        <v>1</v>
      </c>
      <c r="TC106" s="142">
        <f t="shared" si="207"/>
        <v>0.35000000000000003</v>
      </c>
      <c r="TD106" s="142">
        <f t="shared" si="207"/>
        <v>0.15</v>
      </c>
      <c r="TE106" s="124">
        <f>VLOOKUP($A106, 'Grade Enroll 15-16'!$B:$AB, 20, FALSE)</f>
        <v>0</v>
      </c>
      <c r="TF106" s="124">
        <f>VLOOKUP($A106, 'Grade Enroll 15-16'!$B:$AB, 21, FALSE)</f>
        <v>0</v>
      </c>
      <c r="TG106" s="124">
        <f>VLOOKUP($A106, 'Grade Enroll 15-16'!$B:$AB, 22, FALSE)</f>
        <v>10</v>
      </c>
      <c r="TH106" s="124">
        <f>VLOOKUP($A106, 'Grade Enroll 15-16'!$B:$AB, 23, FALSE)</f>
        <v>8</v>
      </c>
      <c r="TI106" s="124">
        <f>VLOOKUP($A106, 'Grade Enroll 15-16'!$B:$AB, 24, FALSE)</f>
        <v>0</v>
      </c>
      <c r="TJ106" s="124">
        <f>VLOOKUP($A106, 'Grade Enroll 15-16'!$B:$AB, 25, FALSE)</f>
        <v>0</v>
      </c>
      <c r="TK106" s="124">
        <f>VLOOKUP($A106, 'Grade Enroll 15-16'!$B:$AB, 26, FALSE)</f>
        <v>10</v>
      </c>
      <c r="TL106" s="131">
        <f>SUMIFS('Student Achievement 15-16'!N:N, 'Student Achievement 15-16'!B:B, 'Idaho Data'!A106, 'Student Achievement 15-16'!D:D, "math")/100</f>
        <v>0.05</v>
      </c>
      <c r="TM106" s="134">
        <f t="shared" si="186"/>
        <v>0.9</v>
      </c>
      <c r="TN106" s="131">
        <f>SUMIFS('Student Achievement 15-16'!N:N, 'Student Achievement 15-16'!B:B, 'Idaho Data'!A106, 'Student Achievement 15-16'!D:D, "ela")/100</f>
        <v>0.05</v>
      </c>
      <c r="TO106" s="134">
        <f t="shared" si="134"/>
        <v>0.9</v>
      </c>
      <c r="TP106" s="688">
        <f>IFERROR(VLOOKUP(A106, 'G&amp;T 15-16'!B:G, 6, FALSE), 0)*1</f>
        <v>0</v>
      </c>
      <c r="TQ106" s="168">
        <f t="shared" si="135"/>
        <v>1.08</v>
      </c>
      <c r="TU106" s="168">
        <f t="shared" si="136"/>
        <v>0.9</v>
      </c>
      <c r="TV106" s="168">
        <f t="shared" si="137"/>
        <v>0.9</v>
      </c>
      <c r="TW106" s="205">
        <f t="shared" si="138"/>
        <v>0.9</v>
      </c>
      <c r="TX106" s="144"/>
      <c r="TY106" s="129"/>
      <c r="TZ106" s="127">
        <f t="shared" si="139"/>
        <v>0</v>
      </c>
      <c r="UA106" s="127">
        <f t="shared" si="140"/>
        <v>1.08</v>
      </c>
      <c r="UB106" s="205">
        <f t="shared" si="141"/>
        <v>1.08</v>
      </c>
      <c r="UE106" s="853" t="str">
        <f>IF(ST106&lt;='1. Simulator Input'!$E$104, "yes", "")</f>
        <v>yes</v>
      </c>
      <c r="UI106" s="199">
        <f t="shared" si="187"/>
        <v>0</v>
      </c>
      <c r="UJ106" s="200">
        <f>IF('Idaho Data'!SI106&gt;=0, ((1-'1. Simulator Input'!$E$39)*'Idaho Data'!SI106), 0)</f>
        <v>0</v>
      </c>
      <c r="UK106" s="200">
        <f t="shared" si="142"/>
        <v>278455</v>
      </c>
      <c r="UL106" s="39"/>
      <c r="UM106" s="182"/>
      <c r="UN106" s="39"/>
      <c r="UO106" s="39">
        <f>IF(AND('1. Simulator Input'!$E$96="yes", '1. Simulator Input'!$E$98="yes", '1. Simulator Input'!$E$100="hold harmless"), 'Idaho Data'!WN106, IF(AND('1. Simulator Input'!$E$96="yes", '1. Simulator Input'!$E$98="no", '1. Simulator Input'!$E$100="hold harmless"), 'Idaho Data'!WM106, IF(AND('1. Simulator Input'!$E$96="yes", '1. Simulator Input'!$E$98="yes", '1. Simulator Input'!$E$100="small district grant"), WL106,IF(AND('1. Simulator Input'!$E$96="yes", '1. Simulator Input'!$E$98="no", '1. Simulator Input'!$E$100="small district grant"), WK106, ""))))</f>
        <v>0</v>
      </c>
      <c r="UP106" s="200">
        <f>'1. Simulator Input'!$D$56*('Idaho Data'!ST106)</f>
        <v>99468</v>
      </c>
      <c r="UQ106" s="204">
        <f>'1. Simulator Input'!$D$65*'1. Simulator Input'!$D$56*'Idaho Data'!SU106</f>
        <v>0</v>
      </c>
      <c r="UR106" s="204">
        <f>'1. Simulator Input'!$D$66*'1. Simulator Input'!$D$56*'Idaho Data'!SW106</f>
        <v>0</v>
      </c>
      <c r="US106" s="200">
        <f>'1. Simulator Input'!$D$67*'1. Simulator Input'!$D$56*'Idaho Data'!TA106</f>
        <v>0</v>
      </c>
      <c r="UT106" s="200">
        <f>'1. Simulator Input'!$D$68*'1. Simulator Input'!$D$56*'Idaho Data'!TB106</f>
        <v>0</v>
      </c>
      <c r="UU106" s="200">
        <f>'1. Simulator Input'!$D$69*'1. Simulator Input'!$D$56*'Idaho Data'!TC106</f>
        <v>0</v>
      </c>
      <c r="UV106" s="200">
        <f>'1. Simulator Input'!$D$70*'1. Simulator Input'!$D$56*TD106</f>
        <v>0</v>
      </c>
      <c r="UW106" s="200">
        <f>'1. Simulator Input'!$D$80*'1. Simulator Input'!$D$56*TW106</f>
        <v>0</v>
      </c>
      <c r="UX106" s="200">
        <f>'1. Simulator Input'!$D$79*'1. Simulator Input'!$D$56*UB106</f>
        <v>0</v>
      </c>
      <c r="UY106" s="200">
        <f>'1. Simulator Input'!$D$87*'1. Simulator Input'!$D$56*TF106</f>
        <v>0</v>
      </c>
      <c r="UZ106" s="200">
        <f>'1. Simulator Input'!$D$73*'1. Simulator Input'!$D$56*'Idaho Data'!TG106</f>
        <v>0</v>
      </c>
      <c r="VA106" s="200">
        <f>'1. Simulator Input'!$D$56*'1. Simulator Input'!$D$74*'Idaho Data'!TH106</f>
        <v>0</v>
      </c>
      <c r="VB106" s="200">
        <f>'1. Simulator Input'!$D$56*'1. Simulator Input'!$D$75*'Idaho Data'!TI101</f>
        <v>0</v>
      </c>
      <c r="VC106" s="200">
        <f>'1. Simulator Input'!$D$76*'1. Simulator Input'!$D$56*'Idaho Data'!TJ106</f>
        <v>0</v>
      </c>
      <c r="VD106" s="200">
        <f t="shared" si="188"/>
        <v>99468</v>
      </c>
      <c r="VE106" s="200"/>
      <c r="VF106" s="182"/>
      <c r="VG106" s="200"/>
      <c r="VH106" s="200">
        <f t="shared" si="189"/>
        <v>0</v>
      </c>
      <c r="VI106" s="200">
        <f t="shared" si="190"/>
        <v>0</v>
      </c>
      <c r="VJ106" s="200">
        <f t="shared" ref="VJ106:VJ137" si="214">SUM($UO106:$VC106)-VH106</f>
        <v>99468</v>
      </c>
      <c r="VK106" s="200">
        <f t="shared" ref="VK106:VK137" si="215">IF(AND($UE$5&gt;0, UE106="yes"), VJ106, IF(VJ106&lt;0, 0, VJ106-($VK$2*ST106)))</f>
        <v>99468</v>
      </c>
      <c r="VL106" s="200"/>
      <c r="VM106" s="182"/>
      <c r="VN106" s="200"/>
      <c r="VO106" s="200">
        <f t="shared" si="191"/>
        <v>14960</v>
      </c>
      <c r="VP106" s="200">
        <f t="shared" si="192"/>
        <v>278455</v>
      </c>
      <c r="VQ106" s="200">
        <f t="shared" si="193"/>
        <v>55816</v>
      </c>
      <c r="VR106" s="200">
        <f t="shared" si="194"/>
        <v>14960</v>
      </c>
      <c r="VS106" s="200">
        <f t="shared" ref="VS106:VS137" si="216">VK106+SN106</f>
        <v>99468</v>
      </c>
      <c r="VT106" s="200">
        <f t="shared" ref="VT106:VT137" si="217">VI106+SI106</f>
        <v>55816</v>
      </c>
      <c r="VU106" s="200">
        <f t="shared" ref="VU106:VU137" si="218">IF(SH106&gt;SG106,0, SG106-SH106)</f>
        <v>0</v>
      </c>
      <c r="VV106" s="200"/>
      <c r="VW106" s="182"/>
      <c r="VX106" s="200"/>
      <c r="VZ106" s="199">
        <f t="shared" si="195"/>
        <v>-178987</v>
      </c>
      <c r="WA106" s="466">
        <f t="shared" si="196"/>
        <v>-9943.7222222222226</v>
      </c>
      <c r="WB106" s="131">
        <f t="shared" si="197"/>
        <v>-0.64278608751862953</v>
      </c>
      <c r="WC106" s="131"/>
      <c r="WD106" s="461"/>
      <c r="WE106" s="893"/>
      <c r="WF106" s="893">
        <f t="shared" si="198"/>
        <v>19401.722222222223</v>
      </c>
      <c r="WG106" s="893">
        <f t="shared" si="199"/>
        <v>9458</v>
      </c>
      <c r="WH106" s="893"/>
      <c r="WI106" s="893">
        <f t="shared" si="200"/>
        <v>278455</v>
      </c>
      <c r="WJ106" s="893">
        <f t="shared" ref="WJ106:WJ137" si="219">SUM(UP106:VC106)-UI106</f>
        <v>99468</v>
      </c>
      <c r="WK106" s="39">
        <f t="shared" ref="WK106:WK137" si="220">IF(UE106="","",IF($UE$5="","",IF(AND(UE106="yes", WJ106&gt;WI106),0,IF((WI106-WJ106)&gt;$UE$5,$UE$5,WI106-WJ106))))</f>
        <v>0</v>
      </c>
      <c r="WL106" s="39">
        <f t="shared" ref="WL106:WL137" si="221">IF(WK106="", "", IF((WJ106+(SG106-SH106)-WI106)&gt;0, 0, IF((WI106-WJ106+(SG106-SH106))&gt;=$UE$5, $UE$5, (WI106-WJ106-(SG106-SH106)))))</f>
        <v>0</v>
      </c>
      <c r="WM106" s="200">
        <f t="shared" ref="WM106:WM137" si="222">IF(UE106="","",IF(WJ106&gt;WI106,0,WI106-WJ106))</f>
        <v>178987</v>
      </c>
      <c r="WN106" s="39">
        <f t="shared" ref="WN106:WN137" si="223">IF(ISNUMBER(WM106), WM106-(SG106-SH106), "")</f>
        <v>178987</v>
      </c>
      <c r="WO106" s="39"/>
      <c r="WP106" s="182"/>
      <c r="WQ106" s="39"/>
      <c r="WR106" s="305">
        <f t="shared" ref="WR106:WR124" si="224">_xlfn.PERCENTRANK.INC($SE$10:$SE$124, SE106, 3)</f>
        <v>0.86799999999999999</v>
      </c>
      <c r="WT106" s="200">
        <f t="shared" ref="WT106:WT137" si="225">RW106/ST106</f>
        <v>15469.722222222223</v>
      </c>
      <c r="WU106" s="131">
        <f t="shared" si="201"/>
        <v>0.96</v>
      </c>
      <c r="WW106" s="199">
        <f t="shared" ref="WW106:WW137" si="226">RV106</f>
        <v>14960</v>
      </c>
      <c r="WX106" s="199">
        <f t="shared" ref="WX106:WX137" si="227">IF((XP106-UI106)&lt;0, 0, (XP106-UI106))</f>
        <v>99468</v>
      </c>
      <c r="WY106" s="199">
        <f t="shared" ref="WY106:WY137" si="228">YF106</f>
        <v>0</v>
      </c>
      <c r="WZ106" s="199">
        <f t="shared" si="202"/>
        <v>99468</v>
      </c>
      <c r="XA106" s="199">
        <f t="shared" ref="XA106:XA137" si="229">SH106</f>
        <v>0</v>
      </c>
      <c r="XB106" s="199">
        <f t="shared" ref="XB106:XB137" si="230">SI106</f>
        <v>55816</v>
      </c>
      <c r="XC106" s="199">
        <f t="shared" ref="XC106:XC137" si="231">RX106</f>
        <v>55816</v>
      </c>
      <c r="XD106" s="199" t="str">
        <f t="shared" ref="XD106:XD137" si="232">IF(XP106-UI106&lt;0, -(XP106-UI106), "")</f>
        <v/>
      </c>
      <c r="XE106" s="199"/>
      <c r="XF106" s="199"/>
      <c r="XG106" s="199"/>
      <c r="XH106" s="199"/>
      <c r="XI106" s="199"/>
      <c r="XJ106" s="199">
        <f t="shared" si="203"/>
        <v>99468</v>
      </c>
      <c r="XP106" s="199">
        <f t="shared" ref="XP106:XP137" si="233">SUM(UO106:VC106)</f>
        <v>99468</v>
      </c>
      <c r="XQ106" s="199">
        <f t="shared" ref="XQ106:XQ137" si="234">XP106/ST106</f>
        <v>5526</v>
      </c>
      <c r="XR106" s="199">
        <f t="shared" ref="XR106:XR137" si="235">IF(UI106&gt;0,XP106-UI106+SH106,XP106)</f>
        <v>99468</v>
      </c>
      <c r="XS106" s="199">
        <f t="shared" ref="XS106:XS137" si="236">IF(XR106&lt;0, 0, XR106-$XR$171*ST106)</f>
        <v>99468</v>
      </c>
      <c r="XT106" s="199">
        <f t="shared" ref="XT106:XT137" si="237">XS106/ST106</f>
        <v>5526</v>
      </c>
      <c r="XU106" s="199">
        <f t="shared" ref="XU106:XU137" si="238">SUM(UI106:UK106)</f>
        <v>278455</v>
      </c>
      <c r="XV106" s="199">
        <f t="shared" ref="XV106:XV137" si="239">XU106/ST106</f>
        <v>15469.722222222223</v>
      </c>
      <c r="XW106" s="199">
        <f t="shared" ref="XW106:XW137" si="240">UK106+SH106</f>
        <v>278455</v>
      </c>
      <c r="XX106" s="199">
        <f t="shared" ref="XX106:XX137" si="241">XW106/ST106</f>
        <v>15469.722222222223</v>
      </c>
      <c r="XY106" s="199">
        <f t="shared" si="204"/>
        <v>-178987</v>
      </c>
      <c r="XZ106" s="199">
        <f t="shared" si="205"/>
        <v>-9943.7222222222226</v>
      </c>
      <c r="YA106" s="131">
        <f t="shared" si="143"/>
        <v>-0.64278608751862965</v>
      </c>
      <c r="YB106" s="199"/>
      <c r="YC106" s="221"/>
      <c r="YD106" s="199"/>
      <c r="YE106" s="199">
        <f t="shared" ref="YE106:YE137" si="242">RV106</f>
        <v>14960</v>
      </c>
      <c r="YF106" s="200">
        <f t="shared" ref="YF106:YF137" si="243">SUMIF($RG$4:$RR$4, "0", RG106:RR106)</f>
        <v>0</v>
      </c>
      <c r="YG106" s="199">
        <f t="shared" ref="YG106:YG137" si="244">SI106</f>
        <v>55816</v>
      </c>
      <c r="YH106" s="199">
        <f t="shared" ref="YH106:YH137" si="245">RY106</f>
        <v>4495</v>
      </c>
    </row>
    <row r="107" spans="1:658">
      <c r="A107" s="3">
        <v>391</v>
      </c>
      <c r="B107" s="2" t="s">
        <v>204</v>
      </c>
      <c r="C107" s="24">
        <v>0</v>
      </c>
      <c r="D107" s="24">
        <v>0</v>
      </c>
      <c r="E107" s="24">
        <v>0</v>
      </c>
      <c r="F107" s="24">
        <v>0</v>
      </c>
      <c r="G107" s="24">
        <v>2771141</v>
      </c>
      <c r="H107" s="24">
        <v>0</v>
      </c>
      <c r="I107" s="24">
        <v>0</v>
      </c>
      <c r="J107" s="24">
        <v>503</v>
      </c>
      <c r="K107" s="24">
        <v>0</v>
      </c>
      <c r="L107" s="24">
        <v>0</v>
      </c>
      <c r="M107" s="24">
        <v>0</v>
      </c>
      <c r="N107" s="24">
        <v>0</v>
      </c>
      <c r="O107" s="24">
        <v>0</v>
      </c>
      <c r="P107" s="24">
        <v>0</v>
      </c>
      <c r="Q107" s="24">
        <v>0</v>
      </c>
      <c r="R107" s="24">
        <v>0</v>
      </c>
      <c r="S107" s="24">
        <v>0</v>
      </c>
      <c r="T107" s="24">
        <v>0</v>
      </c>
      <c r="U107" s="24">
        <v>0</v>
      </c>
      <c r="V107" s="24">
        <v>0</v>
      </c>
      <c r="W107" s="24">
        <v>0</v>
      </c>
      <c r="X107" s="24">
        <v>917516</v>
      </c>
      <c r="Y107" s="24">
        <v>52954</v>
      </c>
      <c r="Z107" s="24">
        <v>0</v>
      </c>
      <c r="AA107" s="24">
        <v>0</v>
      </c>
      <c r="AB107" s="24">
        <v>0</v>
      </c>
      <c r="AC107" s="24">
        <v>0</v>
      </c>
      <c r="AD107" s="24">
        <v>0</v>
      </c>
      <c r="AE107" s="24">
        <v>0</v>
      </c>
      <c r="AF107" s="24">
        <v>0</v>
      </c>
      <c r="AG107" s="24">
        <v>0</v>
      </c>
      <c r="AH107" s="24">
        <v>0</v>
      </c>
      <c r="AI107" s="24">
        <v>0</v>
      </c>
      <c r="AJ107" s="24">
        <v>0</v>
      </c>
      <c r="AK107" s="24">
        <v>0</v>
      </c>
      <c r="AL107" s="24">
        <v>6408</v>
      </c>
      <c r="AM107" s="24">
        <v>1619</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77</v>
      </c>
      <c r="BD107" s="24">
        <v>179</v>
      </c>
      <c r="BE107" s="24">
        <v>0</v>
      </c>
      <c r="BF107" s="24">
        <v>58</v>
      </c>
      <c r="BG107" s="24">
        <v>0</v>
      </c>
      <c r="BH107" s="24">
        <v>0</v>
      </c>
      <c r="BI107" s="24">
        <v>0</v>
      </c>
      <c r="BJ107" s="24">
        <v>0</v>
      </c>
      <c r="BK107" s="24">
        <v>0</v>
      </c>
      <c r="BL107" s="24">
        <v>0</v>
      </c>
      <c r="BM107" s="24">
        <v>110</v>
      </c>
      <c r="BN107" s="24">
        <v>1540</v>
      </c>
      <c r="BO107" s="24">
        <v>0</v>
      </c>
      <c r="BP107" s="24">
        <v>0</v>
      </c>
      <c r="BQ107" s="24">
        <v>0</v>
      </c>
      <c r="BR107" s="24">
        <v>0</v>
      </c>
      <c r="BS107" s="24">
        <v>0</v>
      </c>
      <c r="BT107" s="24">
        <v>0</v>
      </c>
      <c r="BU107" s="24">
        <v>0</v>
      </c>
      <c r="BV107" s="24">
        <v>0</v>
      </c>
      <c r="BW107" s="24">
        <v>0</v>
      </c>
      <c r="BX107" s="24">
        <v>0</v>
      </c>
      <c r="BY107" s="24">
        <v>0</v>
      </c>
      <c r="BZ107" s="24">
        <v>0</v>
      </c>
      <c r="CA107" s="24">
        <v>0</v>
      </c>
      <c r="CB107" s="24">
        <v>0</v>
      </c>
      <c r="CC107" s="24">
        <v>0</v>
      </c>
      <c r="CD107" s="24">
        <v>95630</v>
      </c>
      <c r="CE107" s="24">
        <v>25432</v>
      </c>
      <c r="CF107" s="24">
        <v>0</v>
      </c>
      <c r="CG107" s="24">
        <v>0</v>
      </c>
      <c r="CH107" s="24">
        <v>0</v>
      </c>
      <c r="CI107" s="24">
        <v>0</v>
      </c>
      <c r="CJ107" s="24">
        <v>0</v>
      </c>
      <c r="CK107" s="24">
        <v>0</v>
      </c>
      <c r="CL107" s="24">
        <v>0</v>
      </c>
      <c r="CM107" s="24">
        <v>0</v>
      </c>
      <c r="CN107" s="24">
        <v>0</v>
      </c>
      <c r="CO107" s="24">
        <v>0</v>
      </c>
      <c r="CP107" s="24">
        <v>0</v>
      </c>
      <c r="CQ107" s="24">
        <v>0</v>
      </c>
      <c r="CR107" s="24">
        <v>0</v>
      </c>
      <c r="CS107" s="24">
        <v>0</v>
      </c>
      <c r="CT107" s="24">
        <v>0</v>
      </c>
      <c r="CU107" s="24">
        <v>0</v>
      </c>
      <c r="CV107" s="24">
        <v>0</v>
      </c>
      <c r="CW107" s="24">
        <v>0</v>
      </c>
      <c r="CX107" s="24">
        <v>0</v>
      </c>
      <c r="CY107" s="24">
        <v>0</v>
      </c>
      <c r="CZ107" s="24">
        <v>0</v>
      </c>
      <c r="DA107" s="24">
        <v>0</v>
      </c>
      <c r="DB107" s="24">
        <v>6900</v>
      </c>
      <c r="DC107" s="24">
        <v>0</v>
      </c>
      <c r="DD107" s="24">
        <v>0</v>
      </c>
      <c r="DE107" s="24">
        <v>0</v>
      </c>
      <c r="DF107" s="24">
        <v>0</v>
      </c>
      <c r="DG107" s="24">
        <v>0</v>
      </c>
      <c r="DH107" s="24">
        <v>0</v>
      </c>
      <c r="DI107" s="24">
        <v>0</v>
      </c>
      <c r="DJ107" s="24">
        <v>0</v>
      </c>
      <c r="DK107" s="24">
        <v>0</v>
      </c>
      <c r="DL107" s="24">
        <v>0</v>
      </c>
      <c r="DM107" s="24">
        <v>0</v>
      </c>
      <c r="DN107" s="24">
        <v>0</v>
      </c>
      <c r="DO107" s="24">
        <v>0</v>
      </c>
      <c r="DP107" s="24">
        <v>0</v>
      </c>
      <c r="DQ107" s="24">
        <v>0</v>
      </c>
      <c r="DR107" s="24">
        <v>0</v>
      </c>
      <c r="DS107" s="24">
        <v>0</v>
      </c>
      <c r="DT107" s="24">
        <v>0</v>
      </c>
      <c r="DU107" s="24">
        <v>0</v>
      </c>
      <c r="DV107" s="24">
        <v>0</v>
      </c>
      <c r="DW107" s="24">
        <v>0</v>
      </c>
      <c r="DX107" s="24">
        <v>0</v>
      </c>
      <c r="DY107" s="24">
        <v>0</v>
      </c>
      <c r="DZ107" s="24">
        <v>0</v>
      </c>
      <c r="EA107" s="24">
        <v>0</v>
      </c>
      <c r="EB107" s="24">
        <v>0</v>
      </c>
      <c r="EC107" s="24">
        <v>0</v>
      </c>
      <c r="ED107" s="24">
        <v>0</v>
      </c>
      <c r="EE107" s="24">
        <v>0</v>
      </c>
      <c r="EF107" s="24">
        <v>0</v>
      </c>
      <c r="EG107" s="24">
        <v>8400</v>
      </c>
      <c r="EH107" s="24">
        <v>0</v>
      </c>
      <c r="EI107" s="24">
        <v>0</v>
      </c>
      <c r="EJ107" s="24">
        <v>0</v>
      </c>
      <c r="EK107" s="24">
        <v>0</v>
      </c>
      <c r="EL107" s="24">
        <v>0</v>
      </c>
      <c r="EM107" s="24">
        <v>0</v>
      </c>
      <c r="EN107" s="24">
        <v>0</v>
      </c>
      <c r="EO107" s="24">
        <v>0</v>
      </c>
      <c r="EP107" s="24">
        <v>0</v>
      </c>
      <c r="EQ107" s="24">
        <v>0</v>
      </c>
      <c r="ER107" s="24">
        <v>0</v>
      </c>
      <c r="ES107" s="24">
        <v>0</v>
      </c>
      <c r="ET107" s="24">
        <v>0</v>
      </c>
      <c r="EU107" s="24">
        <v>0</v>
      </c>
      <c r="EV107" s="24">
        <v>0</v>
      </c>
      <c r="EW107" s="24">
        <v>0</v>
      </c>
      <c r="EX107" s="24">
        <v>0</v>
      </c>
      <c r="EY107" s="24">
        <v>0</v>
      </c>
      <c r="EZ107" s="24">
        <v>0</v>
      </c>
      <c r="FA107" s="24">
        <v>0</v>
      </c>
      <c r="FB107" s="24">
        <v>0</v>
      </c>
      <c r="FC107" s="24">
        <v>0</v>
      </c>
      <c r="FD107" s="24">
        <v>0</v>
      </c>
      <c r="FE107" s="24">
        <v>0</v>
      </c>
      <c r="FF107" s="24">
        <v>0</v>
      </c>
      <c r="FG107" s="24">
        <v>0</v>
      </c>
      <c r="FH107" s="24">
        <v>0</v>
      </c>
      <c r="FI107" s="24">
        <v>0</v>
      </c>
      <c r="FJ107" s="24">
        <v>0</v>
      </c>
      <c r="FK107" s="24">
        <v>0</v>
      </c>
      <c r="FL107" s="24">
        <v>0</v>
      </c>
      <c r="FM107" s="24">
        <v>0</v>
      </c>
      <c r="FN107" s="24">
        <v>0</v>
      </c>
      <c r="FO107" s="24">
        <v>0</v>
      </c>
      <c r="FP107" s="24">
        <v>0</v>
      </c>
      <c r="FQ107" s="24">
        <v>0</v>
      </c>
      <c r="FR107" s="24">
        <v>0</v>
      </c>
      <c r="FS107" s="24">
        <v>346460</v>
      </c>
      <c r="FT107" s="24">
        <v>63611</v>
      </c>
      <c r="FU107" s="24">
        <v>0</v>
      </c>
      <c r="FV107" s="24">
        <v>0</v>
      </c>
      <c r="FW107" s="24">
        <v>0</v>
      </c>
      <c r="FX107" s="24">
        <v>0</v>
      </c>
      <c r="FY107" s="24">
        <v>0</v>
      </c>
      <c r="FZ107" s="24">
        <v>0</v>
      </c>
      <c r="GA107" s="24">
        <v>0</v>
      </c>
      <c r="GB107" s="24">
        <v>31961</v>
      </c>
      <c r="GC107" s="24">
        <v>0</v>
      </c>
      <c r="GD107" s="24">
        <v>0</v>
      </c>
      <c r="GE107" s="24">
        <v>0</v>
      </c>
      <c r="GF107" s="24">
        <v>0</v>
      </c>
      <c r="GG107" s="24">
        <v>0</v>
      </c>
      <c r="GH107" s="24">
        <v>0</v>
      </c>
      <c r="GI107" s="24">
        <v>0</v>
      </c>
      <c r="GJ107" s="24">
        <v>0</v>
      </c>
      <c r="GK107" s="24">
        <v>0</v>
      </c>
      <c r="GL107" s="24">
        <v>0</v>
      </c>
      <c r="GM107" s="24">
        <v>197949</v>
      </c>
      <c r="GN107" s="24">
        <v>0</v>
      </c>
      <c r="GO107" s="24">
        <v>0</v>
      </c>
      <c r="GP107" s="24">
        <v>200</v>
      </c>
      <c r="GQ107" s="24">
        <v>0</v>
      </c>
      <c r="GR107" s="24">
        <v>6058</v>
      </c>
      <c r="GS107" s="24">
        <v>0</v>
      </c>
      <c r="GT107" s="24">
        <v>0</v>
      </c>
      <c r="GU107" s="24">
        <v>0</v>
      </c>
      <c r="GV107" s="24">
        <v>0</v>
      </c>
      <c r="GW107" s="24">
        <v>0</v>
      </c>
      <c r="GX107" s="24">
        <v>0</v>
      </c>
      <c r="GY107" s="24">
        <v>0</v>
      </c>
      <c r="GZ107" s="24">
        <v>0</v>
      </c>
      <c r="HA107" s="24">
        <v>0</v>
      </c>
      <c r="HB107" s="24">
        <v>0</v>
      </c>
      <c r="HC107" s="24">
        <v>0</v>
      </c>
      <c r="HD107" s="24">
        <v>4460498</v>
      </c>
      <c r="HE107" s="24">
        <v>0</v>
      </c>
      <c r="HF107" s="24">
        <v>0</v>
      </c>
      <c r="HG107" s="24">
        <v>0</v>
      </c>
      <c r="HH107" s="24">
        <v>0</v>
      </c>
      <c r="HI107" s="24">
        <v>547955</v>
      </c>
      <c r="HJ107" s="24">
        <v>0</v>
      </c>
      <c r="HK107" s="24">
        <v>0</v>
      </c>
      <c r="HL107" s="24">
        <v>37285</v>
      </c>
      <c r="HM107" s="24">
        <v>0</v>
      </c>
      <c r="HN107" s="24">
        <v>0</v>
      </c>
      <c r="HO107" s="24">
        <v>588165</v>
      </c>
      <c r="HP107" s="24">
        <v>192355</v>
      </c>
      <c r="HQ107" s="24">
        <v>0</v>
      </c>
      <c r="HR107" s="24">
        <v>0</v>
      </c>
      <c r="HS107" s="24">
        <v>0</v>
      </c>
      <c r="HT107" s="24">
        <v>0</v>
      </c>
      <c r="HU107" s="24">
        <v>0</v>
      </c>
      <c r="HV107" s="24">
        <v>0</v>
      </c>
      <c r="HW107" s="24">
        <v>0</v>
      </c>
      <c r="HX107" s="24">
        <v>0</v>
      </c>
      <c r="HY107" s="24">
        <v>0</v>
      </c>
      <c r="HZ107" s="24">
        <v>0</v>
      </c>
      <c r="IA107" s="24">
        <v>77062</v>
      </c>
      <c r="IB107" s="24">
        <v>16059</v>
      </c>
      <c r="IC107" s="24">
        <v>0</v>
      </c>
      <c r="ID107" s="24">
        <v>0</v>
      </c>
      <c r="IE107" s="24">
        <v>0</v>
      </c>
      <c r="IF107" s="24">
        <v>0</v>
      </c>
      <c r="IG107" s="24">
        <v>0</v>
      </c>
      <c r="IH107" s="24">
        <v>0</v>
      </c>
      <c r="II107" s="24">
        <v>0</v>
      </c>
      <c r="IJ107" s="24">
        <v>0</v>
      </c>
      <c r="IK107" s="24">
        <v>0</v>
      </c>
      <c r="IL107" s="24">
        <v>0</v>
      </c>
      <c r="IM107" s="24">
        <v>0</v>
      </c>
      <c r="IN107" s="24">
        <v>0</v>
      </c>
      <c r="IO107" s="24">
        <v>5500</v>
      </c>
      <c r="IP107" s="24">
        <v>0</v>
      </c>
      <c r="IQ107" s="24">
        <v>0</v>
      </c>
      <c r="IR107" s="24">
        <v>0</v>
      </c>
      <c r="IS107" s="24">
        <v>0</v>
      </c>
      <c r="IT107" s="24">
        <v>0</v>
      </c>
      <c r="IU107" s="24">
        <v>0</v>
      </c>
      <c r="IV107" s="24">
        <v>0</v>
      </c>
      <c r="IW107" s="24">
        <v>108786</v>
      </c>
      <c r="IX107" s="24">
        <v>0</v>
      </c>
      <c r="IY107" s="24">
        <v>0</v>
      </c>
      <c r="IZ107" s="24">
        <v>0</v>
      </c>
      <c r="JA107" s="24">
        <v>0</v>
      </c>
      <c r="JB107" s="24">
        <v>61461</v>
      </c>
      <c r="JC107" s="24">
        <v>0</v>
      </c>
      <c r="JD107" s="24">
        <v>0</v>
      </c>
      <c r="JE107" s="24">
        <v>1000</v>
      </c>
      <c r="JF107" s="24">
        <v>0</v>
      </c>
      <c r="JG107" s="24">
        <v>0</v>
      </c>
      <c r="JH107" s="24">
        <v>0</v>
      </c>
      <c r="JI107" s="24">
        <v>0</v>
      </c>
      <c r="JJ107" s="24">
        <v>0</v>
      </c>
      <c r="JK107" s="24">
        <v>0</v>
      </c>
      <c r="JL107" s="24">
        <v>0</v>
      </c>
      <c r="JM107" s="24">
        <v>0</v>
      </c>
      <c r="JN107" s="24">
        <v>0</v>
      </c>
      <c r="JO107" s="24">
        <v>0</v>
      </c>
      <c r="JP107" s="24">
        <v>0</v>
      </c>
      <c r="JQ107" s="24">
        <v>0</v>
      </c>
      <c r="JR107" s="24">
        <v>0</v>
      </c>
      <c r="JS107" s="24">
        <v>0</v>
      </c>
      <c r="JT107" s="24">
        <v>0</v>
      </c>
      <c r="JU107" s="24">
        <v>0</v>
      </c>
      <c r="JV107" s="24">
        <v>0</v>
      </c>
      <c r="JW107" s="24">
        <v>0</v>
      </c>
      <c r="JX107" s="24">
        <v>0</v>
      </c>
      <c r="JY107" s="24">
        <v>0</v>
      </c>
      <c r="JZ107" s="24">
        <v>0</v>
      </c>
      <c r="KA107" s="24">
        <v>75343</v>
      </c>
      <c r="KB107" s="24">
        <v>0</v>
      </c>
      <c r="KC107" s="24">
        <v>0</v>
      </c>
      <c r="KD107" s="24">
        <v>0</v>
      </c>
      <c r="KE107" s="24">
        <v>0</v>
      </c>
      <c r="KF107" s="24">
        <v>0</v>
      </c>
      <c r="KG107" s="24">
        <v>406375</v>
      </c>
      <c r="KH107" s="24">
        <v>0</v>
      </c>
      <c r="KI107" s="24">
        <v>0</v>
      </c>
      <c r="KJ107" s="24">
        <v>0</v>
      </c>
      <c r="KK107" s="24">
        <v>0</v>
      </c>
      <c r="KL107" s="24">
        <v>0</v>
      </c>
      <c r="KM107" s="24">
        <v>0</v>
      </c>
      <c r="KN107" s="24">
        <v>0</v>
      </c>
      <c r="KO107" s="24">
        <v>0</v>
      </c>
      <c r="KP107" s="24">
        <v>0</v>
      </c>
      <c r="KQ107" s="24">
        <v>0</v>
      </c>
      <c r="KR107" s="24">
        <v>0</v>
      </c>
      <c r="KS107" s="24">
        <v>0</v>
      </c>
      <c r="KT107" s="24">
        <v>0</v>
      </c>
      <c r="KU107" s="24">
        <v>0</v>
      </c>
      <c r="KV107" s="24">
        <v>0</v>
      </c>
      <c r="KW107" s="24">
        <v>0</v>
      </c>
      <c r="KX107" s="24">
        <v>0</v>
      </c>
      <c r="KY107" s="24">
        <v>0</v>
      </c>
      <c r="KZ107" s="24">
        <v>0</v>
      </c>
      <c r="LA107" s="24">
        <v>0</v>
      </c>
      <c r="LB107" s="24">
        <v>0</v>
      </c>
      <c r="LC107" s="24">
        <v>0</v>
      </c>
      <c r="LD107" s="24">
        <v>0</v>
      </c>
      <c r="LE107" s="24">
        <v>0</v>
      </c>
      <c r="LF107" s="24">
        <v>0</v>
      </c>
      <c r="LG107" s="24">
        <v>0</v>
      </c>
      <c r="LH107" s="24">
        <v>0</v>
      </c>
      <c r="LI107" s="24">
        <v>0</v>
      </c>
      <c r="LJ107" s="24">
        <v>0</v>
      </c>
      <c r="LK107" s="24">
        <v>0</v>
      </c>
      <c r="LL107" s="24">
        <v>0</v>
      </c>
      <c r="LM107" s="24">
        <v>0</v>
      </c>
      <c r="LN107" s="24">
        <v>0</v>
      </c>
      <c r="LO107" s="24">
        <v>0</v>
      </c>
      <c r="LP107" s="24">
        <v>0</v>
      </c>
      <c r="LQ107" s="24">
        <v>301294</v>
      </c>
      <c r="LR107" s="24">
        <v>0</v>
      </c>
      <c r="LS107" s="24">
        <v>0</v>
      </c>
      <c r="LT107" s="24">
        <v>0</v>
      </c>
      <c r="LU107" s="24">
        <v>0</v>
      </c>
      <c r="LV107" s="24">
        <v>0</v>
      </c>
      <c r="LW107" s="24">
        <v>0</v>
      </c>
      <c r="LX107" s="24">
        <v>0</v>
      </c>
      <c r="LY107" s="24">
        <v>0</v>
      </c>
      <c r="LZ107" s="24">
        <v>0</v>
      </c>
      <c r="MA107" s="24">
        <v>0</v>
      </c>
      <c r="MB107" s="24">
        <v>0</v>
      </c>
      <c r="MC107" s="24">
        <v>0</v>
      </c>
      <c r="MD107" s="24">
        <v>0</v>
      </c>
      <c r="ME107" s="24">
        <v>0</v>
      </c>
      <c r="MF107" s="24">
        <v>0</v>
      </c>
      <c r="MG107" s="24">
        <v>0</v>
      </c>
      <c r="MH107" s="24">
        <v>0</v>
      </c>
      <c r="MI107" s="24">
        <v>0</v>
      </c>
      <c r="MJ107" s="24">
        <v>0</v>
      </c>
      <c r="MK107" s="24">
        <v>0</v>
      </c>
      <c r="ML107" s="24">
        <v>0</v>
      </c>
      <c r="MM107" s="24">
        <v>39737</v>
      </c>
      <c r="MN107" s="24">
        <v>0</v>
      </c>
      <c r="MO107" s="24">
        <v>0</v>
      </c>
      <c r="MP107" s="24">
        <v>0</v>
      </c>
      <c r="MQ107" s="24">
        <v>0</v>
      </c>
      <c r="MR107" s="24">
        <v>272219</v>
      </c>
      <c r="MS107" s="24">
        <v>0</v>
      </c>
      <c r="MT107" s="24">
        <v>0</v>
      </c>
      <c r="MU107" s="24">
        <v>0</v>
      </c>
      <c r="MV107" s="24">
        <v>0</v>
      </c>
      <c r="MW107" s="24">
        <v>245511</v>
      </c>
      <c r="MX107" s="24">
        <v>11803</v>
      </c>
      <c r="MY107" s="24">
        <v>0</v>
      </c>
      <c r="MZ107" s="24">
        <v>0</v>
      </c>
      <c r="NA107" s="24">
        <v>0</v>
      </c>
      <c r="NB107" s="24">
        <v>0</v>
      </c>
      <c r="NC107" s="24">
        <v>0</v>
      </c>
      <c r="ND107" s="24">
        <v>0</v>
      </c>
      <c r="NE107" s="24">
        <v>0</v>
      </c>
      <c r="NF107" s="24">
        <v>0</v>
      </c>
      <c r="NG107" s="24">
        <v>0</v>
      </c>
      <c r="NH107" s="24">
        <v>0</v>
      </c>
      <c r="NI107" s="24">
        <v>0</v>
      </c>
      <c r="NJ107" s="24">
        <v>0</v>
      </c>
      <c r="NK107" s="24">
        <v>0</v>
      </c>
      <c r="NL107" s="24">
        <v>0</v>
      </c>
      <c r="NM107" s="24">
        <v>0</v>
      </c>
      <c r="NN107" s="24">
        <v>0</v>
      </c>
      <c r="NO107" s="24">
        <v>0</v>
      </c>
      <c r="NP107" s="24">
        <v>0</v>
      </c>
      <c r="NQ107" s="24">
        <v>20490</v>
      </c>
      <c r="NR107" s="24">
        <v>0</v>
      </c>
      <c r="NS107" s="24">
        <v>0</v>
      </c>
      <c r="NT107" s="24">
        <v>0</v>
      </c>
      <c r="NU107" s="24">
        <v>0</v>
      </c>
      <c r="NV107" s="24">
        <v>88002</v>
      </c>
      <c r="NW107" s="24">
        <v>0</v>
      </c>
      <c r="NX107" s="24">
        <v>0</v>
      </c>
      <c r="NY107" s="24">
        <v>0</v>
      </c>
      <c r="NZ107" s="24">
        <v>47510</v>
      </c>
      <c r="OA107" s="24">
        <v>0</v>
      </c>
      <c r="OB107" s="24">
        <v>0</v>
      </c>
      <c r="OC107" s="24">
        <v>0</v>
      </c>
      <c r="OD107" s="24">
        <v>0</v>
      </c>
      <c r="OE107" s="24">
        <v>0</v>
      </c>
      <c r="OF107" s="24">
        <v>0</v>
      </c>
      <c r="OG107" s="24">
        <v>0</v>
      </c>
      <c r="OH107" s="24">
        <v>0</v>
      </c>
      <c r="OI107" s="24">
        <v>0</v>
      </c>
      <c r="OJ107" s="24">
        <v>0</v>
      </c>
      <c r="OK107" s="24">
        <v>46524</v>
      </c>
      <c r="OL107" s="24">
        <v>0</v>
      </c>
      <c r="OM107" s="24">
        <v>0</v>
      </c>
      <c r="ON107" s="24">
        <v>0</v>
      </c>
      <c r="OO107" s="24">
        <v>0</v>
      </c>
      <c r="OP107" s="24">
        <v>0</v>
      </c>
      <c r="OQ107" s="24">
        <v>0</v>
      </c>
      <c r="OR107" s="24">
        <v>0</v>
      </c>
      <c r="OS107" s="24">
        <v>0</v>
      </c>
      <c r="OT107" s="24">
        <v>0</v>
      </c>
      <c r="OU107" s="24">
        <v>0</v>
      </c>
      <c r="OV107" s="24">
        <v>0</v>
      </c>
      <c r="OW107" s="24">
        <v>0</v>
      </c>
      <c r="OX107" s="24">
        <v>0</v>
      </c>
      <c r="OY107" s="24">
        <v>0</v>
      </c>
      <c r="OZ107" s="24">
        <v>0</v>
      </c>
      <c r="PA107" s="24">
        <v>0</v>
      </c>
      <c r="PB107" s="24">
        <v>0</v>
      </c>
      <c r="PC107" s="24">
        <v>686</v>
      </c>
      <c r="PD107" s="24">
        <v>0</v>
      </c>
      <c r="PE107" s="24">
        <v>0</v>
      </c>
      <c r="PF107" s="24">
        <v>0</v>
      </c>
      <c r="PG107" s="24">
        <v>0</v>
      </c>
      <c r="PH107" s="24">
        <v>11227</v>
      </c>
      <c r="PI107" s="24">
        <v>0</v>
      </c>
      <c r="PJ107" s="24">
        <v>0</v>
      </c>
      <c r="PK107" s="24">
        <v>0</v>
      </c>
      <c r="PL107" s="24">
        <v>0</v>
      </c>
      <c r="PM107" s="24">
        <v>0</v>
      </c>
      <c r="PN107" s="24">
        <v>0</v>
      </c>
      <c r="PO107" s="24">
        <v>0</v>
      </c>
      <c r="PP107" s="24">
        <v>0</v>
      </c>
      <c r="PQ107" s="24">
        <v>0</v>
      </c>
      <c r="PR107" s="24">
        <v>8</v>
      </c>
      <c r="PS107" s="24">
        <v>0</v>
      </c>
      <c r="PT107" s="24">
        <v>0</v>
      </c>
      <c r="PU107" s="24">
        <v>0</v>
      </c>
      <c r="PV107" s="24">
        <v>0</v>
      </c>
      <c r="PW107" s="24">
        <v>0</v>
      </c>
      <c r="PX107" s="24">
        <v>0</v>
      </c>
      <c r="PY107" s="24">
        <v>0</v>
      </c>
      <c r="PZ107" s="24">
        <v>0</v>
      </c>
      <c r="QA107" s="24">
        <v>0</v>
      </c>
      <c r="QB107" s="24">
        <v>6254</v>
      </c>
      <c r="QC107" s="24">
        <v>0</v>
      </c>
      <c r="QD107" s="24">
        <v>26423</v>
      </c>
      <c r="QE107" s="24">
        <v>6170</v>
      </c>
      <c r="QF107" s="24">
        <v>0</v>
      </c>
      <c r="QG107" s="24">
        <v>0</v>
      </c>
      <c r="QH107" s="24">
        <v>0</v>
      </c>
      <c r="QI107" s="24">
        <v>0</v>
      </c>
      <c r="QJ107" s="24">
        <v>0</v>
      </c>
      <c r="QK107" s="24">
        <v>0</v>
      </c>
      <c r="QL107" s="24">
        <v>0</v>
      </c>
      <c r="QM107" s="24">
        <v>0</v>
      </c>
      <c r="QN107" s="24">
        <v>0</v>
      </c>
      <c r="QO107" s="24">
        <v>0</v>
      </c>
      <c r="QP107" s="24">
        <v>0</v>
      </c>
      <c r="QQ107" s="24">
        <v>0</v>
      </c>
      <c r="QR107" s="24">
        <v>0</v>
      </c>
      <c r="QS107" s="24">
        <v>10090</v>
      </c>
      <c r="QT107" s="24">
        <v>0</v>
      </c>
      <c r="QU107" s="24">
        <v>0</v>
      </c>
      <c r="QV107" s="24">
        <v>83819</v>
      </c>
      <c r="QW107" s="24">
        <v>0</v>
      </c>
      <c r="QX107" s="24">
        <v>0</v>
      </c>
      <c r="QY107" s="24">
        <v>0</v>
      </c>
      <c r="QZ107" s="24">
        <v>0</v>
      </c>
      <c r="RA107" s="24">
        <v>0</v>
      </c>
      <c r="RB107" s="24">
        <v>0</v>
      </c>
      <c r="RG107" s="39">
        <f t="shared" si="129"/>
        <v>4460498</v>
      </c>
      <c r="RH107" s="39">
        <f t="shared" si="206"/>
        <v>547955</v>
      </c>
      <c r="RI107" s="39">
        <f t="shared" si="206"/>
        <v>37285</v>
      </c>
      <c r="RJ107" s="39">
        <f t="shared" si="206"/>
        <v>0</v>
      </c>
      <c r="RK107" s="39">
        <f t="shared" si="206"/>
        <v>0</v>
      </c>
      <c r="RL107" s="39">
        <f t="shared" si="206"/>
        <v>588165</v>
      </c>
      <c r="RM107" s="39">
        <f t="shared" si="206"/>
        <v>285476</v>
      </c>
      <c r="RN107" s="39">
        <f t="shared" si="206"/>
        <v>5500</v>
      </c>
      <c r="RO107" s="39">
        <f t="shared" si="206"/>
        <v>0</v>
      </c>
      <c r="RP107" s="39">
        <f t="shared" si="206"/>
        <v>108786</v>
      </c>
      <c r="RQ107" s="39">
        <f t="shared" si="206"/>
        <v>61461</v>
      </c>
      <c r="RR107" s="39">
        <f t="shared" si="206"/>
        <v>76343</v>
      </c>
      <c r="RS107" s="39"/>
      <c r="RT107" s="182"/>
      <c r="RU107" s="39"/>
      <c r="RV107" s="39">
        <f t="shared" ref="RV107:RY138" si="246">SUMIF($C$6:$RB$6, RV$4, $C107:$RB107)</f>
        <v>1479465</v>
      </c>
      <c r="RW107" s="39">
        <f t="shared" si="246"/>
        <v>6171469</v>
      </c>
      <c r="RX107" s="39">
        <f t="shared" si="246"/>
        <v>4534706</v>
      </c>
      <c r="RY107" s="39">
        <f t="shared" si="246"/>
        <v>144677</v>
      </c>
      <c r="RZ107" s="39"/>
      <c r="SA107" s="182"/>
      <c r="SB107" s="39"/>
      <c r="SC107" s="25">
        <f t="shared" si="183"/>
        <v>4521.1425722831509</v>
      </c>
      <c r="SD107" s="39">
        <f>IFERROR(VLOOKUP(A107, 'Levy Data 15-16'!$B:$O, 3, FALSE), 0)</f>
        <v>529156869</v>
      </c>
      <c r="SE107" s="39">
        <f t="shared" si="208"/>
        <v>527574.146560319</v>
      </c>
      <c r="SF107" s="631">
        <f>IFERROR(VLOOKUP(A107, 'Levy Data 15-16'!$B:$O, 14, FALSE), 0)*1000</f>
        <v>6.9209719999999999</v>
      </c>
      <c r="SG107" s="39">
        <f t="shared" si="209"/>
        <v>0</v>
      </c>
      <c r="SH107" s="39">
        <f t="shared" si="210"/>
        <v>0</v>
      </c>
      <c r="SI107" s="39">
        <f t="shared" si="211"/>
        <v>4534706</v>
      </c>
      <c r="SM107" s="39">
        <f t="shared" si="212"/>
        <v>6171469</v>
      </c>
      <c r="SN107" s="39">
        <f t="shared" si="213"/>
        <v>0</v>
      </c>
      <c r="SO107" s="39">
        <f t="shared" si="184"/>
        <v>6171469</v>
      </c>
      <c r="SP107" s="50">
        <f t="shared" si="130"/>
        <v>1</v>
      </c>
      <c r="ST107" s="124">
        <f>IFERROR(VLOOKUP(A107,'Grade Enroll 15-16'!B:AC,27,FALSE),"")</f>
        <v>1003</v>
      </c>
      <c r="SU107" s="124">
        <f t="shared" si="185"/>
        <v>500.59148550724638</v>
      </c>
      <c r="SV107" s="131">
        <f>IFERROR(VLOOKUP($A107, 'Title I Enroll 16-17'!S:V, 4, FALSE), 0)</f>
        <v>0.49909420289855072</v>
      </c>
      <c r="SW107" s="729">
        <f>IFERROR(VLOOKUP(A107, 'ELL Enroll 15-16'!$N:$S, 6, FALSE), 0)</f>
        <v>5</v>
      </c>
      <c r="SX107" s="131">
        <f t="shared" si="131"/>
        <v>4.9850448654037887E-3</v>
      </c>
      <c r="SY107" s="124">
        <f>IFERROR(VLOOKUP(A107, 'SPED enroll 2015-16'!$M:$O, 3, FALSE), 0)</f>
        <v>169</v>
      </c>
      <c r="SZ107" s="131">
        <f t="shared" si="132"/>
        <v>0.16849451645064806</v>
      </c>
      <c r="TA107" s="142">
        <f t="shared" si="207"/>
        <v>118.3</v>
      </c>
      <c r="TB107" s="142">
        <f t="shared" si="207"/>
        <v>33.800000000000004</v>
      </c>
      <c r="TC107" s="142">
        <f t="shared" si="207"/>
        <v>11.830000000000002</v>
      </c>
      <c r="TD107" s="142">
        <f t="shared" si="207"/>
        <v>5.0699999999999994</v>
      </c>
      <c r="TE107" s="124">
        <f>VLOOKUP($A107, 'Grade Enroll 15-16'!$B:$AB, 20, FALSE)</f>
        <v>9</v>
      </c>
      <c r="TF107" s="124">
        <f>VLOOKUP($A107, 'Grade Enroll 15-16'!$B:$AB, 21, FALSE)</f>
        <v>76</v>
      </c>
      <c r="TG107" s="124">
        <f>VLOOKUP($A107, 'Grade Enroll 15-16'!$B:$AB, 22, FALSE)</f>
        <v>246</v>
      </c>
      <c r="TH107" s="124">
        <f>VLOOKUP($A107, 'Grade Enroll 15-16'!$B:$AB, 23, FALSE)</f>
        <v>261</v>
      </c>
      <c r="TI107" s="124">
        <f>VLOOKUP($A107, 'Grade Enroll 15-16'!$B:$AB, 24, FALSE)</f>
        <v>159</v>
      </c>
      <c r="TJ107" s="124">
        <f>VLOOKUP($A107, 'Grade Enroll 15-16'!$B:$AB, 25, FALSE)</f>
        <v>337</v>
      </c>
      <c r="TK107" s="124">
        <f>VLOOKUP($A107, 'Grade Enroll 15-16'!$B:$AB, 26, FALSE)</f>
        <v>661</v>
      </c>
      <c r="TL107" s="131">
        <f>SUMIFS('Student Achievement 15-16'!N:N, 'Student Achievement 15-16'!B:B, 'Idaho Data'!A107, 'Student Achievement 15-16'!D:D, "math")/100</f>
        <v>0.34200000000000003</v>
      </c>
      <c r="TM107" s="134">
        <f t="shared" si="186"/>
        <v>343.02600000000001</v>
      </c>
      <c r="TN107" s="131">
        <f>SUMIFS('Student Achievement 15-16'!N:N, 'Student Achievement 15-16'!B:B, 'Idaho Data'!A107, 'Student Achievement 15-16'!D:D, "ela")/100</f>
        <v>0.29600000000000004</v>
      </c>
      <c r="TO107" s="134">
        <f t="shared" si="134"/>
        <v>296.88800000000003</v>
      </c>
      <c r="TP107" s="688">
        <f>IFERROR(VLOOKUP(A107, 'G&amp;T 15-16'!B:G, 6, FALSE), 0)*1</f>
        <v>37</v>
      </c>
      <c r="TQ107" s="168">
        <f t="shared" si="135"/>
        <v>60.18</v>
      </c>
      <c r="TU107" s="168">
        <f t="shared" si="136"/>
        <v>296.88800000000003</v>
      </c>
      <c r="TV107" s="168">
        <f t="shared" si="137"/>
        <v>343.02600000000001</v>
      </c>
      <c r="TW107" s="205">
        <f t="shared" si="138"/>
        <v>343.02600000000001</v>
      </c>
      <c r="TX107" s="144"/>
      <c r="TY107" s="129"/>
      <c r="TZ107" s="127">
        <f t="shared" si="139"/>
        <v>37</v>
      </c>
      <c r="UA107" s="127">
        <f t="shared" si="140"/>
        <v>60.18</v>
      </c>
      <c r="UB107" s="205">
        <f t="shared" si="141"/>
        <v>60.18</v>
      </c>
      <c r="UE107" s="853" t="str">
        <f>IF(ST107&lt;='1. Simulator Input'!$E$104, "yes", "")</f>
        <v/>
      </c>
      <c r="UI107" s="199">
        <f t="shared" si="187"/>
        <v>0</v>
      </c>
      <c r="UJ107" s="200">
        <f>IF('Idaho Data'!SI107&gt;=0, ((1-'1. Simulator Input'!$E$39)*'Idaho Data'!SI107), 0)</f>
        <v>0</v>
      </c>
      <c r="UK107" s="200">
        <f t="shared" si="142"/>
        <v>6171469</v>
      </c>
      <c r="UL107" s="39"/>
      <c r="UM107" s="182"/>
      <c r="UN107" s="39"/>
      <c r="UO107" s="39" t="str">
        <f>IF(AND('1. Simulator Input'!$E$96="yes", '1. Simulator Input'!$E$98="yes", '1. Simulator Input'!$E$100="hold harmless"), 'Idaho Data'!WN107, IF(AND('1. Simulator Input'!$E$96="yes", '1. Simulator Input'!$E$98="no", '1. Simulator Input'!$E$100="hold harmless"), 'Idaho Data'!WM107, IF(AND('1. Simulator Input'!$E$96="yes", '1. Simulator Input'!$E$98="yes", '1. Simulator Input'!$E$100="small district grant"), WL107,IF(AND('1. Simulator Input'!$E$96="yes", '1. Simulator Input'!$E$98="no", '1. Simulator Input'!$E$100="small district grant"), WK107, ""))))</f>
        <v/>
      </c>
      <c r="UP107" s="200">
        <f>'1. Simulator Input'!$D$56*('Idaho Data'!ST107)</f>
        <v>5542578</v>
      </c>
      <c r="UQ107" s="204">
        <f>'1. Simulator Input'!$D$65*'1. Simulator Input'!$D$56*'Idaho Data'!SU107</f>
        <v>0</v>
      </c>
      <c r="UR107" s="204">
        <f>'1. Simulator Input'!$D$66*'1. Simulator Input'!$D$56*'Idaho Data'!SW107</f>
        <v>0</v>
      </c>
      <c r="US107" s="200">
        <f>'1. Simulator Input'!$D$67*'1. Simulator Input'!$D$56*'Idaho Data'!TA107</f>
        <v>0</v>
      </c>
      <c r="UT107" s="200">
        <f>'1. Simulator Input'!$D$68*'1. Simulator Input'!$D$56*'Idaho Data'!TB107</f>
        <v>0</v>
      </c>
      <c r="UU107" s="200">
        <f>'1. Simulator Input'!$D$69*'1. Simulator Input'!$D$56*'Idaho Data'!TC107</f>
        <v>0</v>
      </c>
      <c r="UV107" s="200">
        <f>'1. Simulator Input'!$D$70*'1. Simulator Input'!$D$56*TD107</f>
        <v>0</v>
      </c>
      <c r="UW107" s="200">
        <f>'1. Simulator Input'!$D$80*'1. Simulator Input'!$D$56*TW107</f>
        <v>0</v>
      </c>
      <c r="UX107" s="200">
        <f>'1. Simulator Input'!$D$79*'1. Simulator Input'!$D$56*UB107</f>
        <v>0</v>
      </c>
      <c r="UY107" s="200">
        <f>'1. Simulator Input'!$D$87*'1. Simulator Input'!$D$56*TF107</f>
        <v>209988</v>
      </c>
      <c r="UZ107" s="200">
        <f>'1. Simulator Input'!$D$73*'1. Simulator Input'!$D$56*'Idaho Data'!TG107</f>
        <v>0</v>
      </c>
      <c r="VA107" s="200">
        <f>'1. Simulator Input'!$D$56*'1. Simulator Input'!$D$74*'Idaho Data'!TH107</f>
        <v>0</v>
      </c>
      <c r="VB107" s="200">
        <f>'1. Simulator Input'!$D$56*'1. Simulator Input'!$D$75*'Idaho Data'!TI102</f>
        <v>0</v>
      </c>
      <c r="VC107" s="200">
        <f>'1. Simulator Input'!$D$76*'1. Simulator Input'!$D$56*'Idaho Data'!TJ107</f>
        <v>0</v>
      </c>
      <c r="VD107" s="200">
        <f t="shared" si="188"/>
        <v>5752566</v>
      </c>
      <c r="VE107" s="200"/>
      <c r="VF107" s="182"/>
      <c r="VG107" s="200"/>
      <c r="VH107" s="200">
        <f t="shared" si="189"/>
        <v>0</v>
      </c>
      <c r="VI107" s="200">
        <f t="shared" si="190"/>
        <v>0</v>
      </c>
      <c r="VJ107" s="200">
        <f t="shared" si="214"/>
        <v>5752566</v>
      </c>
      <c r="VK107" s="200">
        <f t="shared" si="215"/>
        <v>5752566</v>
      </c>
      <c r="VL107" s="200"/>
      <c r="VM107" s="182"/>
      <c r="VN107" s="200"/>
      <c r="VO107" s="200">
        <f t="shared" si="191"/>
        <v>1479465</v>
      </c>
      <c r="VP107" s="200">
        <f t="shared" si="192"/>
        <v>6171469</v>
      </c>
      <c r="VQ107" s="200">
        <f t="shared" si="193"/>
        <v>4534706</v>
      </c>
      <c r="VR107" s="200">
        <f t="shared" si="194"/>
        <v>1479465</v>
      </c>
      <c r="VS107" s="200">
        <f t="shared" si="216"/>
        <v>5752566</v>
      </c>
      <c r="VT107" s="200">
        <f t="shared" si="217"/>
        <v>4534706</v>
      </c>
      <c r="VU107" s="200">
        <f t="shared" si="218"/>
        <v>0</v>
      </c>
      <c r="VV107" s="200"/>
      <c r="VW107" s="182"/>
      <c r="VX107" s="200"/>
      <c r="VZ107" s="199">
        <f t="shared" si="195"/>
        <v>-418903</v>
      </c>
      <c r="WA107" s="199">
        <f t="shared" si="196"/>
        <v>-417.65004985044868</v>
      </c>
      <c r="WB107" s="131">
        <f t="shared" si="197"/>
        <v>-6.7877356266392977E-2</v>
      </c>
      <c r="WC107" s="131"/>
      <c r="WD107" s="461"/>
      <c r="WE107" s="893"/>
      <c r="WF107" s="893">
        <f t="shared" si="198"/>
        <v>12149.192422731805</v>
      </c>
      <c r="WG107" s="893">
        <f t="shared" si="199"/>
        <v>11731.542372881357</v>
      </c>
      <c r="WH107" s="893"/>
      <c r="WI107" s="893">
        <f t="shared" si="200"/>
        <v>6171469</v>
      </c>
      <c r="WJ107" s="893">
        <f t="shared" si="219"/>
        <v>5752566</v>
      </c>
      <c r="WK107" s="39" t="str">
        <f t="shared" si="220"/>
        <v/>
      </c>
      <c r="WL107" s="39" t="str">
        <f t="shared" si="221"/>
        <v/>
      </c>
      <c r="WM107" s="200" t="str">
        <f t="shared" si="222"/>
        <v/>
      </c>
      <c r="WN107" s="39" t="str">
        <f t="shared" si="223"/>
        <v/>
      </c>
      <c r="WO107" s="39"/>
      <c r="WP107" s="182"/>
      <c r="WQ107" s="39"/>
      <c r="WR107" s="305">
        <f t="shared" si="224"/>
        <v>0.51700000000000002</v>
      </c>
      <c r="WT107" s="200">
        <f t="shared" si="225"/>
        <v>6153.0099700897308</v>
      </c>
      <c r="WU107" s="131">
        <f t="shared" si="201"/>
        <v>0.43</v>
      </c>
      <c r="WW107" s="199">
        <f t="shared" si="226"/>
        <v>1479465</v>
      </c>
      <c r="WX107" s="199">
        <f t="shared" si="227"/>
        <v>5752566</v>
      </c>
      <c r="WY107" s="199">
        <f t="shared" si="228"/>
        <v>0</v>
      </c>
      <c r="WZ107" s="199">
        <f t="shared" si="202"/>
        <v>5752566</v>
      </c>
      <c r="XA107" s="199">
        <f t="shared" si="229"/>
        <v>0</v>
      </c>
      <c r="XB107" s="199">
        <f t="shared" si="230"/>
        <v>4534706</v>
      </c>
      <c r="XC107" s="199">
        <f t="shared" si="231"/>
        <v>4534706</v>
      </c>
      <c r="XD107" s="199" t="str">
        <f t="shared" si="232"/>
        <v/>
      </c>
      <c r="XE107" s="199"/>
      <c r="XF107" s="199"/>
      <c r="XG107" s="199"/>
      <c r="XH107" s="199"/>
      <c r="XI107" s="199"/>
      <c r="XJ107" s="199">
        <f t="shared" si="203"/>
        <v>5752566</v>
      </c>
      <c r="XP107" s="199">
        <f t="shared" si="233"/>
        <v>5752566</v>
      </c>
      <c r="XQ107" s="199">
        <f t="shared" si="234"/>
        <v>5735.3599202392825</v>
      </c>
      <c r="XR107" s="199">
        <f t="shared" si="235"/>
        <v>5752566</v>
      </c>
      <c r="XS107" s="199">
        <f t="shared" si="236"/>
        <v>5752566</v>
      </c>
      <c r="XT107" s="199">
        <f t="shared" si="237"/>
        <v>5735.3599202392825</v>
      </c>
      <c r="XU107" s="199">
        <f t="shared" si="238"/>
        <v>6171469</v>
      </c>
      <c r="XV107" s="199">
        <f t="shared" si="239"/>
        <v>6153.0099700897308</v>
      </c>
      <c r="XW107" s="199">
        <f t="shared" si="240"/>
        <v>6171469</v>
      </c>
      <c r="XX107" s="199">
        <f t="shared" si="241"/>
        <v>6153.0099700897308</v>
      </c>
      <c r="XY107" s="199">
        <f t="shared" si="204"/>
        <v>-418903</v>
      </c>
      <c r="XZ107" s="199">
        <f t="shared" si="205"/>
        <v>-417.65004985044834</v>
      </c>
      <c r="YA107" s="131">
        <f t="shared" si="143"/>
        <v>-6.7877356266392921E-2</v>
      </c>
      <c r="YB107" s="199"/>
      <c r="YC107" s="221"/>
      <c r="YD107" s="199"/>
      <c r="YE107" s="199">
        <f t="shared" si="242"/>
        <v>1479465</v>
      </c>
      <c r="YF107" s="200">
        <f t="shared" si="243"/>
        <v>0</v>
      </c>
      <c r="YG107" s="199">
        <f t="shared" si="244"/>
        <v>4534706</v>
      </c>
      <c r="YH107" s="199">
        <f t="shared" si="245"/>
        <v>144677</v>
      </c>
    </row>
    <row r="108" spans="1:658">
      <c r="A108" s="3">
        <v>392</v>
      </c>
      <c r="B108" s="2" t="s">
        <v>205</v>
      </c>
      <c r="C108" s="24">
        <v>0</v>
      </c>
      <c r="D108" s="24">
        <v>0</v>
      </c>
      <c r="E108" s="24">
        <v>0</v>
      </c>
      <c r="F108" s="24">
        <v>0</v>
      </c>
      <c r="G108" s="24">
        <v>523864</v>
      </c>
      <c r="H108" s="24">
        <v>0</v>
      </c>
      <c r="I108" s="24">
        <v>0</v>
      </c>
      <c r="J108" s="24">
        <v>8207</v>
      </c>
      <c r="K108" s="24">
        <v>0</v>
      </c>
      <c r="L108" s="24">
        <v>0</v>
      </c>
      <c r="M108" s="24">
        <v>0</v>
      </c>
      <c r="N108" s="24">
        <v>0</v>
      </c>
      <c r="O108" s="24">
        <v>0</v>
      </c>
      <c r="P108" s="24">
        <v>0</v>
      </c>
      <c r="Q108" s="24">
        <v>0</v>
      </c>
      <c r="R108" s="24">
        <v>0</v>
      </c>
      <c r="S108" s="24">
        <v>0</v>
      </c>
      <c r="T108" s="24">
        <v>0</v>
      </c>
      <c r="U108" s="24">
        <v>0</v>
      </c>
      <c r="V108" s="24">
        <v>0</v>
      </c>
      <c r="W108" s="24">
        <v>0</v>
      </c>
      <c r="X108" s="24">
        <v>0</v>
      </c>
      <c r="Y108" s="24">
        <v>603</v>
      </c>
      <c r="Z108" s="24">
        <v>0</v>
      </c>
      <c r="AA108" s="24">
        <v>0</v>
      </c>
      <c r="AB108" s="24">
        <v>0</v>
      </c>
      <c r="AC108" s="24">
        <v>0</v>
      </c>
      <c r="AD108" s="24">
        <v>0</v>
      </c>
      <c r="AE108" s="24">
        <v>0</v>
      </c>
      <c r="AF108" s="24">
        <v>0</v>
      </c>
      <c r="AG108" s="24">
        <v>0</v>
      </c>
      <c r="AH108" s="24">
        <v>900</v>
      </c>
      <c r="AI108" s="24">
        <v>0</v>
      </c>
      <c r="AJ108" s="24">
        <v>0</v>
      </c>
      <c r="AK108" s="24">
        <v>0</v>
      </c>
      <c r="AL108" s="24">
        <v>349</v>
      </c>
      <c r="AM108" s="24">
        <v>4552</v>
      </c>
      <c r="AN108" s="24">
        <v>0</v>
      </c>
      <c r="AO108" s="24">
        <v>0</v>
      </c>
      <c r="AP108" s="24">
        <v>0</v>
      </c>
      <c r="AQ108" s="24">
        <v>0</v>
      </c>
      <c r="AR108" s="24">
        <v>0</v>
      </c>
      <c r="AS108" s="24">
        <v>0</v>
      </c>
      <c r="AT108" s="24">
        <v>0</v>
      </c>
      <c r="AU108" s="24">
        <v>0</v>
      </c>
      <c r="AV108" s="24">
        <v>0</v>
      </c>
      <c r="AW108" s="24">
        <v>0</v>
      </c>
      <c r="AX108" s="24">
        <v>0</v>
      </c>
      <c r="AY108" s="24">
        <v>0</v>
      </c>
      <c r="AZ108" s="24">
        <v>0</v>
      </c>
      <c r="BA108" s="24">
        <v>0</v>
      </c>
      <c r="BB108" s="24">
        <v>0</v>
      </c>
      <c r="BC108" s="24">
        <v>0</v>
      </c>
      <c r="BD108" s="24">
        <v>0</v>
      </c>
      <c r="BE108" s="24">
        <v>0</v>
      </c>
      <c r="BF108" s="24">
        <v>50</v>
      </c>
      <c r="BG108" s="24">
        <v>0</v>
      </c>
      <c r="BH108" s="24">
        <v>0</v>
      </c>
      <c r="BI108" s="24">
        <v>0</v>
      </c>
      <c r="BJ108" s="24">
        <v>0</v>
      </c>
      <c r="BK108" s="24">
        <v>0</v>
      </c>
      <c r="BL108" s="24">
        <v>0</v>
      </c>
      <c r="BM108" s="24">
        <v>2944</v>
      </c>
      <c r="BN108" s="24">
        <v>0</v>
      </c>
      <c r="BO108" s="24">
        <v>0</v>
      </c>
      <c r="BP108" s="24">
        <v>0</v>
      </c>
      <c r="BQ108" s="24">
        <v>0</v>
      </c>
      <c r="BR108" s="24">
        <v>0</v>
      </c>
      <c r="BS108" s="24">
        <v>0</v>
      </c>
      <c r="BT108" s="24">
        <v>0</v>
      </c>
      <c r="BU108" s="24">
        <v>0</v>
      </c>
      <c r="BV108" s="24">
        <v>0</v>
      </c>
      <c r="BW108" s="24">
        <v>0</v>
      </c>
      <c r="BX108" s="24">
        <v>0</v>
      </c>
      <c r="BY108" s="24">
        <v>0</v>
      </c>
      <c r="BZ108" s="24">
        <v>0</v>
      </c>
      <c r="CA108" s="24">
        <v>0</v>
      </c>
      <c r="CB108" s="24">
        <v>0</v>
      </c>
      <c r="CC108" s="24">
        <v>0</v>
      </c>
      <c r="CD108" s="24">
        <v>0</v>
      </c>
      <c r="CE108" s="24">
        <v>0</v>
      </c>
      <c r="CF108" s="24">
        <v>0</v>
      </c>
      <c r="CG108" s="24">
        <v>686</v>
      </c>
      <c r="CH108" s="24">
        <v>0</v>
      </c>
      <c r="CI108" s="24">
        <v>0</v>
      </c>
      <c r="CJ108" s="24">
        <v>0</v>
      </c>
      <c r="CK108" s="24">
        <v>0</v>
      </c>
      <c r="CL108" s="24">
        <v>0</v>
      </c>
      <c r="CM108" s="24">
        <v>0</v>
      </c>
      <c r="CN108" s="24">
        <v>0</v>
      </c>
      <c r="CO108" s="24">
        <v>0</v>
      </c>
      <c r="CP108" s="24">
        <v>0</v>
      </c>
      <c r="CQ108" s="24">
        <v>0</v>
      </c>
      <c r="CR108" s="24">
        <v>0</v>
      </c>
      <c r="CS108" s="24">
        <v>0</v>
      </c>
      <c r="CT108" s="24">
        <v>0</v>
      </c>
      <c r="CU108" s="24">
        <v>0</v>
      </c>
      <c r="CV108" s="24">
        <v>0</v>
      </c>
      <c r="CW108" s="24">
        <v>0</v>
      </c>
      <c r="CX108" s="24">
        <v>0</v>
      </c>
      <c r="CY108" s="24">
        <v>0</v>
      </c>
      <c r="CZ108" s="24">
        <v>0</v>
      </c>
      <c r="DA108" s="24">
        <v>0</v>
      </c>
      <c r="DB108" s="24">
        <v>0</v>
      </c>
      <c r="DC108" s="24">
        <v>0</v>
      </c>
      <c r="DD108" s="24">
        <v>0</v>
      </c>
      <c r="DE108" s="24">
        <v>0</v>
      </c>
      <c r="DF108" s="24">
        <v>0</v>
      </c>
      <c r="DG108" s="24">
        <v>0</v>
      </c>
      <c r="DH108" s="24">
        <v>0</v>
      </c>
      <c r="DI108" s="24">
        <v>0</v>
      </c>
      <c r="DJ108" s="24">
        <v>0</v>
      </c>
      <c r="DK108" s="24">
        <v>0</v>
      </c>
      <c r="DL108" s="24">
        <v>0</v>
      </c>
      <c r="DM108" s="24">
        <v>0</v>
      </c>
      <c r="DN108" s="24">
        <v>0</v>
      </c>
      <c r="DO108" s="24">
        <v>0</v>
      </c>
      <c r="DP108" s="24">
        <v>0</v>
      </c>
      <c r="DQ108" s="24">
        <v>0</v>
      </c>
      <c r="DR108" s="24">
        <v>0</v>
      </c>
      <c r="DS108" s="24">
        <v>0</v>
      </c>
      <c r="DT108" s="24">
        <v>0</v>
      </c>
      <c r="DU108" s="24">
        <v>3780</v>
      </c>
      <c r="DV108" s="24">
        <v>0</v>
      </c>
      <c r="DW108" s="24">
        <v>0</v>
      </c>
      <c r="DX108" s="24">
        <v>0</v>
      </c>
      <c r="DY108" s="24">
        <v>0</v>
      </c>
      <c r="DZ108" s="24">
        <v>0</v>
      </c>
      <c r="EA108" s="24">
        <v>0</v>
      </c>
      <c r="EB108" s="24">
        <v>0</v>
      </c>
      <c r="EC108" s="24">
        <v>0</v>
      </c>
      <c r="ED108" s="24">
        <v>0</v>
      </c>
      <c r="EE108" s="24">
        <v>0</v>
      </c>
      <c r="EF108" s="24">
        <v>0</v>
      </c>
      <c r="EG108" s="24">
        <v>4613</v>
      </c>
      <c r="EH108" s="24">
        <v>0</v>
      </c>
      <c r="EI108" s="24">
        <v>0</v>
      </c>
      <c r="EJ108" s="24">
        <v>0</v>
      </c>
      <c r="EK108" s="24">
        <v>0</v>
      </c>
      <c r="EL108" s="24">
        <v>0</v>
      </c>
      <c r="EM108" s="24">
        <v>0</v>
      </c>
      <c r="EN108" s="24">
        <v>0</v>
      </c>
      <c r="EO108" s="24">
        <v>0</v>
      </c>
      <c r="EP108" s="24">
        <v>0</v>
      </c>
      <c r="EQ108" s="24">
        <v>0</v>
      </c>
      <c r="ER108" s="24">
        <v>0</v>
      </c>
      <c r="ES108" s="24">
        <v>0</v>
      </c>
      <c r="ET108" s="24">
        <v>0</v>
      </c>
      <c r="EU108" s="24">
        <v>0</v>
      </c>
      <c r="EV108" s="24">
        <v>0</v>
      </c>
      <c r="EW108" s="24">
        <v>0</v>
      </c>
      <c r="EX108" s="24">
        <v>0</v>
      </c>
      <c r="EY108" s="24">
        <v>0</v>
      </c>
      <c r="EZ108" s="24">
        <v>0</v>
      </c>
      <c r="FA108" s="24">
        <v>0</v>
      </c>
      <c r="FB108" s="24">
        <v>2059</v>
      </c>
      <c r="FC108" s="24">
        <v>0</v>
      </c>
      <c r="FD108" s="24">
        <v>0</v>
      </c>
      <c r="FE108" s="24">
        <v>0</v>
      </c>
      <c r="FF108" s="24">
        <v>0</v>
      </c>
      <c r="FG108" s="24">
        <v>0</v>
      </c>
      <c r="FH108" s="24">
        <v>0</v>
      </c>
      <c r="FI108" s="24">
        <v>0</v>
      </c>
      <c r="FJ108" s="24">
        <v>0</v>
      </c>
      <c r="FK108" s="24">
        <v>0</v>
      </c>
      <c r="FL108" s="24">
        <v>0</v>
      </c>
      <c r="FM108" s="24">
        <v>0</v>
      </c>
      <c r="FN108" s="24">
        <v>0</v>
      </c>
      <c r="FO108" s="24">
        <v>0</v>
      </c>
      <c r="FP108" s="24">
        <v>0</v>
      </c>
      <c r="FQ108" s="24">
        <v>0</v>
      </c>
      <c r="FR108" s="24">
        <v>0</v>
      </c>
      <c r="FS108" s="24">
        <v>46929</v>
      </c>
      <c r="FT108" s="24">
        <v>0</v>
      </c>
      <c r="FU108" s="24">
        <v>0</v>
      </c>
      <c r="FV108" s="24">
        <v>0</v>
      </c>
      <c r="FW108" s="24">
        <v>0</v>
      </c>
      <c r="FX108" s="24">
        <v>0</v>
      </c>
      <c r="FY108" s="24">
        <v>0</v>
      </c>
      <c r="FZ108" s="24">
        <v>0</v>
      </c>
      <c r="GA108" s="24">
        <v>0</v>
      </c>
      <c r="GB108" s="24">
        <v>0</v>
      </c>
      <c r="GC108" s="24">
        <v>0</v>
      </c>
      <c r="GD108" s="24">
        <v>0</v>
      </c>
      <c r="GE108" s="24">
        <v>0</v>
      </c>
      <c r="GF108" s="24">
        <v>0</v>
      </c>
      <c r="GG108" s="24">
        <v>0</v>
      </c>
      <c r="GH108" s="24">
        <v>0</v>
      </c>
      <c r="GI108" s="24">
        <v>0</v>
      </c>
      <c r="GJ108" s="24">
        <v>0</v>
      </c>
      <c r="GK108" s="24">
        <v>0</v>
      </c>
      <c r="GL108" s="24">
        <v>0</v>
      </c>
      <c r="GM108" s="24">
        <v>0</v>
      </c>
      <c r="GN108" s="24">
        <v>0</v>
      </c>
      <c r="GO108" s="24">
        <v>0</v>
      </c>
      <c r="GP108" s="24">
        <v>0</v>
      </c>
      <c r="GQ108" s="24">
        <v>0</v>
      </c>
      <c r="GR108" s="24">
        <v>0</v>
      </c>
      <c r="GS108" s="24">
        <v>0</v>
      </c>
      <c r="GT108" s="24">
        <v>0</v>
      </c>
      <c r="GU108" s="24">
        <v>0</v>
      </c>
      <c r="GV108" s="24">
        <v>0</v>
      </c>
      <c r="GW108" s="24">
        <v>0</v>
      </c>
      <c r="GX108" s="24">
        <v>25</v>
      </c>
      <c r="GY108" s="24">
        <v>0</v>
      </c>
      <c r="GZ108" s="24">
        <v>0</v>
      </c>
      <c r="HA108" s="24">
        <v>0</v>
      </c>
      <c r="HB108" s="24">
        <v>0</v>
      </c>
      <c r="HC108" s="24">
        <v>0</v>
      </c>
      <c r="HD108" s="24">
        <v>1016219</v>
      </c>
      <c r="HE108" s="24">
        <v>0</v>
      </c>
      <c r="HF108" s="24">
        <v>0</v>
      </c>
      <c r="HG108" s="24">
        <v>0</v>
      </c>
      <c r="HH108" s="24">
        <v>0</v>
      </c>
      <c r="HI108" s="24">
        <v>11431</v>
      </c>
      <c r="HJ108" s="24">
        <v>0</v>
      </c>
      <c r="HK108" s="24">
        <v>0</v>
      </c>
      <c r="HL108" s="24">
        <v>0</v>
      </c>
      <c r="HM108" s="24">
        <v>0</v>
      </c>
      <c r="HN108" s="24">
        <v>0</v>
      </c>
      <c r="HO108" s="24">
        <v>137765</v>
      </c>
      <c r="HP108" s="24">
        <v>79882</v>
      </c>
      <c r="HQ108" s="24">
        <v>0</v>
      </c>
      <c r="HR108" s="24">
        <v>0</v>
      </c>
      <c r="HS108" s="24">
        <v>0</v>
      </c>
      <c r="HT108" s="24">
        <v>0</v>
      </c>
      <c r="HU108" s="24">
        <v>0</v>
      </c>
      <c r="HV108" s="24">
        <v>0</v>
      </c>
      <c r="HW108" s="24">
        <v>0</v>
      </c>
      <c r="HX108" s="24">
        <v>0</v>
      </c>
      <c r="HY108" s="24">
        <v>0</v>
      </c>
      <c r="HZ108" s="24">
        <v>0</v>
      </c>
      <c r="IA108" s="24">
        <v>27244</v>
      </c>
      <c r="IB108" s="24">
        <v>3367</v>
      </c>
      <c r="IC108" s="24">
        <v>0</v>
      </c>
      <c r="ID108" s="24">
        <v>0</v>
      </c>
      <c r="IE108" s="24">
        <v>0</v>
      </c>
      <c r="IF108" s="24">
        <v>0</v>
      </c>
      <c r="IG108" s="24">
        <v>0</v>
      </c>
      <c r="IH108" s="24">
        <v>0</v>
      </c>
      <c r="II108" s="24">
        <v>0</v>
      </c>
      <c r="IJ108" s="24">
        <v>0</v>
      </c>
      <c r="IK108" s="24">
        <v>0</v>
      </c>
      <c r="IL108" s="24">
        <v>0</v>
      </c>
      <c r="IM108" s="24">
        <v>0</v>
      </c>
      <c r="IN108" s="24">
        <v>0</v>
      </c>
      <c r="IO108" s="24">
        <v>2000</v>
      </c>
      <c r="IP108" s="24">
        <v>0</v>
      </c>
      <c r="IQ108" s="24">
        <v>0</v>
      </c>
      <c r="IR108" s="24">
        <v>0</v>
      </c>
      <c r="IS108" s="24">
        <v>0</v>
      </c>
      <c r="IT108" s="24">
        <v>0</v>
      </c>
      <c r="IU108" s="24">
        <v>0</v>
      </c>
      <c r="IV108" s="24">
        <v>0</v>
      </c>
      <c r="IW108" s="24">
        <v>0</v>
      </c>
      <c r="IX108" s="24">
        <v>0</v>
      </c>
      <c r="IY108" s="24">
        <v>0</v>
      </c>
      <c r="IZ108" s="24">
        <v>0</v>
      </c>
      <c r="JA108" s="24">
        <v>52824</v>
      </c>
      <c r="JB108" s="24">
        <v>0</v>
      </c>
      <c r="JC108" s="24">
        <v>0</v>
      </c>
      <c r="JD108" s="24">
        <v>0</v>
      </c>
      <c r="JE108" s="24">
        <v>0</v>
      </c>
      <c r="JF108" s="24">
        <v>0</v>
      </c>
      <c r="JG108" s="24">
        <v>0</v>
      </c>
      <c r="JH108" s="24">
        <v>0</v>
      </c>
      <c r="JI108" s="24">
        <v>0</v>
      </c>
      <c r="JJ108" s="24">
        <v>0</v>
      </c>
      <c r="JK108" s="24">
        <v>0</v>
      </c>
      <c r="JL108" s="24">
        <v>0</v>
      </c>
      <c r="JM108" s="24">
        <v>0</v>
      </c>
      <c r="JN108" s="24">
        <v>0</v>
      </c>
      <c r="JO108" s="24">
        <v>0</v>
      </c>
      <c r="JP108" s="24">
        <v>0</v>
      </c>
      <c r="JQ108" s="24">
        <v>0</v>
      </c>
      <c r="JR108" s="24">
        <v>0</v>
      </c>
      <c r="JS108" s="24">
        <v>0</v>
      </c>
      <c r="JT108" s="24">
        <v>0</v>
      </c>
      <c r="JU108" s="24">
        <v>0</v>
      </c>
      <c r="JV108" s="24">
        <v>0</v>
      </c>
      <c r="JW108" s="24">
        <v>0</v>
      </c>
      <c r="JX108" s="24">
        <v>0</v>
      </c>
      <c r="JY108" s="24">
        <v>0</v>
      </c>
      <c r="JZ108" s="24">
        <v>0</v>
      </c>
      <c r="KA108" s="24">
        <v>0</v>
      </c>
      <c r="KB108" s="24">
        <v>0</v>
      </c>
      <c r="KC108" s="24">
        <v>0</v>
      </c>
      <c r="KD108" s="24">
        <v>0</v>
      </c>
      <c r="KE108" s="24">
        <v>0</v>
      </c>
      <c r="KF108" s="24">
        <v>0</v>
      </c>
      <c r="KG108" s="24">
        <v>44048</v>
      </c>
      <c r="KH108" s="24">
        <v>0</v>
      </c>
      <c r="KI108" s="24">
        <v>0</v>
      </c>
      <c r="KJ108" s="24">
        <v>0</v>
      </c>
      <c r="KK108" s="24">
        <v>0</v>
      </c>
      <c r="KL108" s="24">
        <v>0</v>
      </c>
      <c r="KM108" s="24">
        <v>0</v>
      </c>
      <c r="KN108" s="24">
        <v>0</v>
      </c>
      <c r="KO108" s="24">
        <v>0</v>
      </c>
      <c r="KP108" s="24">
        <v>0</v>
      </c>
      <c r="KQ108" s="24">
        <v>0</v>
      </c>
      <c r="KR108" s="24">
        <v>0</v>
      </c>
      <c r="KS108" s="24">
        <v>0</v>
      </c>
      <c r="KT108" s="24">
        <v>0</v>
      </c>
      <c r="KU108" s="24">
        <v>0</v>
      </c>
      <c r="KV108" s="24">
        <v>0</v>
      </c>
      <c r="KW108" s="24">
        <v>0</v>
      </c>
      <c r="KX108" s="24">
        <v>0</v>
      </c>
      <c r="KY108" s="24">
        <v>0</v>
      </c>
      <c r="KZ108" s="24">
        <v>0</v>
      </c>
      <c r="LA108" s="24">
        <v>0</v>
      </c>
      <c r="LB108" s="24">
        <v>0</v>
      </c>
      <c r="LC108" s="24">
        <v>0</v>
      </c>
      <c r="LD108" s="24">
        <v>0</v>
      </c>
      <c r="LE108" s="24">
        <v>0</v>
      </c>
      <c r="LF108" s="24">
        <v>0</v>
      </c>
      <c r="LG108" s="24">
        <v>0</v>
      </c>
      <c r="LH108" s="24">
        <v>0</v>
      </c>
      <c r="LI108" s="24">
        <v>0</v>
      </c>
      <c r="LJ108" s="24">
        <v>0</v>
      </c>
      <c r="LK108" s="24">
        <v>0</v>
      </c>
      <c r="LL108" s="24">
        <v>0</v>
      </c>
      <c r="LM108" s="24">
        <v>0</v>
      </c>
      <c r="LN108" s="24">
        <v>0</v>
      </c>
      <c r="LO108" s="24">
        <v>0</v>
      </c>
      <c r="LP108" s="24">
        <v>0</v>
      </c>
      <c r="LQ108" s="24">
        <v>35305</v>
      </c>
      <c r="LR108" s="24">
        <v>0</v>
      </c>
      <c r="LS108" s="24">
        <v>0</v>
      </c>
      <c r="LT108" s="24">
        <v>0</v>
      </c>
      <c r="LU108" s="24">
        <v>0</v>
      </c>
      <c r="LV108" s="24">
        <v>0</v>
      </c>
      <c r="LW108" s="24">
        <v>0</v>
      </c>
      <c r="LX108" s="24">
        <v>0</v>
      </c>
      <c r="LY108" s="24">
        <v>0</v>
      </c>
      <c r="LZ108" s="24">
        <v>0</v>
      </c>
      <c r="MA108" s="24">
        <v>0</v>
      </c>
      <c r="MB108" s="24">
        <v>0</v>
      </c>
      <c r="MC108" s="24">
        <v>0</v>
      </c>
      <c r="MD108" s="24">
        <v>0</v>
      </c>
      <c r="ME108" s="24">
        <v>0</v>
      </c>
      <c r="MF108" s="24">
        <v>0</v>
      </c>
      <c r="MG108" s="24">
        <v>0</v>
      </c>
      <c r="MH108" s="24">
        <v>0</v>
      </c>
      <c r="MI108" s="24">
        <v>0</v>
      </c>
      <c r="MJ108" s="24">
        <v>0</v>
      </c>
      <c r="MK108" s="24">
        <v>0</v>
      </c>
      <c r="ML108" s="24">
        <v>0</v>
      </c>
      <c r="MM108" s="24">
        <v>0</v>
      </c>
      <c r="MN108" s="24">
        <v>0</v>
      </c>
      <c r="MO108" s="24">
        <v>27439</v>
      </c>
      <c r="MP108" s="24">
        <v>0</v>
      </c>
      <c r="MQ108" s="24">
        <v>0</v>
      </c>
      <c r="MR108" s="24">
        <v>2376</v>
      </c>
      <c r="MS108" s="24">
        <v>0</v>
      </c>
      <c r="MT108" s="24">
        <v>0</v>
      </c>
      <c r="MU108" s="24">
        <v>0</v>
      </c>
      <c r="MV108" s="24">
        <v>0</v>
      </c>
      <c r="MW108" s="24">
        <v>23082</v>
      </c>
      <c r="MX108" s="24">
        <v>666</v>
      </c>
      <c r="MY108" s="24">
        <v>0</v>
      </c>
      <c r="MZ108" s="24">
        <v>0</v>
      </c>
      <c r="NA108" s="24">
        <v>0</v>
      </c>
      <c r="NB108" s="24">
        <v>0</v>
      </c>
      <c r="NC108" s="24">
        <v>0</v>
      </c>
      <c r="ND108" s="24">
        <v>0</v>
      </c>
      <c r="NE108" s="24">
        <v>0</v>
      </c>
      <c r="NF108" s="24">
        <v>0</v>
      </c>
      <c r="NG108" s="24">
        <v>0</v>
      </c>
      <c r="NH108" s="24">
        <v>0</v>
      </c>
      <c r="NI108" s="24">
        <v>0</v>
      </c>
      <c r="NJ108" s="24">
        <v>0</v>
      </c>
      <c r="NK108" s="24">
        <v>0</v>
      </c>
      <c r="NL108" s="24">
        <v>0</v>
      </c>
      <c r="NM108" s="24">
        <v>0</v>
      </c>
      <c r="NN108" s="24">
        <v>0</v>
      </c>
      <c r="NO108" s="24">
        <v>0</v>
      </c>
      <c r="NP108" s="24">
        <v>0</v>
      </c>
      <c r="NQ108" s="24">
        <v>15767</v>
      </c>
      <c r="NR108" s="24">
        <v>0</v>
      </c>
      <c r="NS108" s="24">
        <v>0</v>
      </c>
      <c r="NT108" s="24">
        <v>0</v>
      </c>
      <c r="NU108" s="24">
        <v>0</v>
      </c>
      <c r="NV108" s="24">
        <v>3574</v>
      </c>
      <c r="NW108" s="24">
        <v>0</v>
      </c>
      <c r="NX108" s="24">
        <v>0</v>
      </c>
      <c r="NY108" s="24">
        <v>0</v>
      </c>
      <c r="NZ108" s="24">
        <v>0</v>
      </c>
      <c r="OA108" s="24">
        <v>0</v>
      </c>
      <c r="OB108" s="24">
        <v>0</v>
      </c>
      <c r="OC108" s="24">
        <v>0</v>
      </c>
      <c r="OD108" s="24">
        <v>0</v>
      </c>
      <c r="OE108" s="24">
        <v>0</v>
      </c>
      <c r="OF108" s="24">
        <v>0</v>
      </c>
      <c r="OG108" s="24">
        <v>0</v>
      </c>
      <c r="OH108" s="24">
        <v>0</v>
      </c>
      <c r="OI108" s="24">
        <v>0</v>
      </c>
      <c r="OJ108" s="24">
        <v>0</v>
      </c>
      <c r="OK108" s="24">
        <v>0</v>
      </c>
      <c r="OL108" s="24">
        <v>0</v>
      </c>
      <c r="OM108" s="24">
        <v>0</v>
      </c>
      <c r="ON108" s="24">
        <v>0</v>
      </c>
      <c r="OO108" s="24">
        <v>0</v>
      </c>
      <c r="OP108" s="24">
        <v>0</v>
      </c>
      <c r="OQ108" s="24">
        <v>0</v>
      </c>
      <c r="OR108" s="24">
        <v>0</v>
      </c>
      <c r="OS108" s="24">
        <v>0</v>
      </c>
      <c r="OT108" s="24">
        <v>0</v>
      </c>
      <c r="OU108" s="24">
        <v>0</v>
      </c>
      <c r="OV108" s="24">
        <v>0</v>
      </c>
      <c r="OW108" s="24">
        <v>0</v>
      </c>
      <c r="OX108" s="24">
        <v>0</v>
      </c>
      <c r="OY108" s="24">
        <v>0</v>
      </c>
      <c r="OZ108" s="24">
        <v>0</v>
      </c>
      <c r="PA108" s="24">
        <v>0</v>
      </c>
      <c r="PB108" s="24">
        <v>0</v>
      </c>
      <c r="PC108" s="24">
        <v>0</v>
      </c>
      <c r="PD108" s="24">
        <v>0</v>
      </c>
      <c r="PE108" s="24">
        <v>0</v>
      </c>
      <c r="PF108" s="24">
        <v>0</v>
      </c>
      <c r="PG108" s="24">
        <v>0</v>
      </c>
      <c r="PH108" s="24">
        <v>56112</v>
      </c>
      <c r="PI108" s="24">
        <v>0</v>
      </c>
      <c r="PJ108" s="24">
        <v>0</v>
      </c>
      <c r="PK108" s="24">
        <v>0</v>
      </c>
      <c r="PL108" s="24">
        <v>0</v>
      </c>
      <c r="PM108" s="24">
        <v>0</v>
      </c>
      <c r="PN108" s="24">
        <v>0</v>
      </c>
      <c r="PO108" s="24">
        <v>0</v>
      </c>
      <c r="PP108" s="24">
        <v>0</v>
      </c>
      <c r="PQ108" s="24">
        <v>0</v>
      </c>
      <c r="PR108" s="24">
        <v>0</v>
      </c>
      <c r="PS108" s="24">
        <v>0</v>
      </c>
      <c r="PT108" s="24">
        <v>0</v>
      </c>
      <c r="PU108" s="24">
        <v>1003</v>
      </c>
      <c r="PV108" s="24">
        <v>0</v>
      </c>
      <c r="PW108" s="24">
        <v>21792</v>
      </c>
      <c r="PX108" s="24">
        <v>2401</v>
      </c>
      <c r="PY108" s="24">
        <v>0</v>
      </c>
      <c r="PZ108" s="24">
        <v>0</v>
      </c>
      <c r="QA108" s="24">
        <v>0</v>
      </c>
      <c r="QB108" s="24">
        <v>8819</v>
      </c>
      <c r="QC108" s="24">
        <v>0</v>
      </c>
      <c r="QD108" s="24">
        <v>0</v>
      </c>
      <c r="QE108" s="24">
        <v>0</v>
      </c>
      <c r="QF108" s="24">
        <v>0</v>
      </c>
      <c r="QG108" s="24">
        <v>0</v>
      </c>
      <c r="QH108" s="24">
        <v>0</v>
      </c>
      <c r="QI108" s="24">
        <v>0</v>
      </c>
      <c r="QJ108" s="24">
        <v>0</v>
      </c>
      <c r="QK108" s="24">
        <v>0</v>
      </c>
      <c r="QL108" s="24">
        <v>0</v>
      </c>
      <c r="QM108" s="24">
        <v>0</v>
      </c>
      <c r="QN108" s="24">
        <v>0</v>
      </c>
      <c r="QO108" s="24">
        <v>0</v>
      </c>
      <c r="QP108" s="24">
        <v>0</v>
      </c>
      <c r="QQ108" s="24">
        <v>0</v>
      </c>
      <c r="QR108" s="24">
        <v>0</v>
      </c>
      <c r="QS108" s="24">
        <v>90</v>
      </c>
      <c r="QT108" s="24">
        <v>0</v>
      </c>
      <c r="QU108" s="24">
        <v>0</v>
      </c>
      <c r="QV108" s="24">
        <v>0</v>
      </c>
      <c r="QW108" s="24">
        <v>0</v>
      </c>
      <c r="QX108" s="24">
        <v>0</v>
      </c>
      <c r="QY108" s="24">
        <v>110822</v>
      </c>
      <c r="QZ108" s="24">
        <v>0</v>
      </c>
      <c r="RA108" s="24">
        <v>0</v>
      </c>
      <c r="RB108" s="24">
        <v>0</v>
      </c>
      <c r="RG108" s="39">
        <f t="shared" si="129"/>
        <v>1016219</v>
      </c>
      <c r="RH108" s="39">
        <f t="shared" si="206"/>
        <v>11431</v>
      </c>
      <c r="RI108" s="39">
        <f t="shared" si="206"/>
        <v>0</v>
      </c>
      <c r="RJ108" s="39">
        <f t="shared" si="206"/>
        <v>0</v>
      </c>
      <c r="RK108" s="39">
        <f t="shared" si="206"/>
        <v>0</v>
      </c>
      <c r="RL108" s="39">
        <f t="shared" si="206"/>
        <v>137765</v>
      </c>
      <c r="RM108" s="39">
        <f t="shared" si="206"/>
        <v>110493</v>
      </c>
      <c r="RN108" s="39">
        <f t="shared" si="206"/>
        <v>2000</v>
      </c>
      <c r="RO108" s="39">
        <f t="shared" si="206"/>
        <v>0</v>
      </c>
      <c r="RP108" s="39">
        <f t="shared" si="206"/>
        <v>52824</v>
      </c>
      <c r="RQ108" s="39">
        <f t="shared" si="206"/>
        <v>0</v>
      </c>
      <c r="RR108" s="39">
        <f t="shared" si="206"/>
        <v>0</v>
      </c>
      <c r="RS108" s="39"/>
      <c r="RT108" s="182"/>
      <c r="RU108" s="39"/>
      <c r="RV108" s="39">
        <f t="shared" si="246"/>
        <v>152257</v>
      </c>
      <c r="RW108" s="39">
        <f t="shared" si="246"/>
        <v>1330732</v>
      </c>
      <c r="RX108" s="39">
        <f t="shared" si="246"/>
        <v>599561</v>
      </c>
      <c r="RY108" s="39">
        <f t="shared" si="246"/>
        <v>201039</v>
      </c>
      <c r="RZ108" s="39"/>
      <c r="SA108" s="182"/>
      <c r="SB108" s="39"/>
      <c r="SC108" s="25">
        <f t="shared" si="183"/>
        <v>6311.1684210526319</v>
      </c>
      <c r="SD108" s="39">
        <f>IFERROR(VLOOKUP(A108, 'Levy Data 15-16'!$B:$O, 3, FALSE), 0)</f>
        <v>72855726</v>
      </c>
      <c r="SE108" s="39">
        <f t="shared" si="208"/>
        <v>766902.37894736847</v>
      </c>
      <c r="SF108" s="631">
        <f>IFERROR(VLOOKUP(A108, 'Levy Data 15-16'!$B:$O, 14, FALSE), 0)*1000</f>
        <v>6.9706950000000001</v>
      </c>
      <c r="SG108" s="39">
        <f t="shared" si="209"/>
        <v>0</v>
      </c>
      <c r="SH108" s="39">
        <f t="shared" si="210"/>
        <v>0</v>
      </c>
      <c r="SI108" s="39">
        <f t="shared" si="211"/>
        <v>599561</v>
      </c>
      <c r="SM108" s="39">
        <f t="shared" si="212"/>
        <v>1330732</v>
      </c>
      <c r="SN108" s="39">
        <f t="shared" si="213"/>
        <v>0</v>
      </c>
      <c r="SO108" s="39">
        <f t="shared" si="184"/>
        <v>1330732</v>
      </c>
      <c r="SP108" s="50">
        <f t="shared" si="130"/>
        <v>1</v>
      </c>
      <c r="ST108" s="124">
        <f>IFERROR(VLOOKUP(A108,'Grade Enroll 15-16'!B:AC,27,FALSE),"")</f>
        <v>95</v>
      </c>
      <c r="SU108" s="124">
        <f t="shared" si="185"/>
        <v>43.504672897196258</v>
      </c>
      <c r="SV108" s="131">
        <f>IFERROR(VLOOKUP($A108, 'Title I Enroll 16-17'!S:V, 4, FALSE), 0)</f>
        <v>0.45794392523364486</v>
      </c>
      <c r="SW108" s="729">
        <f>IFERROR(VLOOKUP(A108, 'ELL Enroll 15-16'!$N:$S, 6, FALSE), 0)</f>
        <v>5</v>
      </c>
      <c r="SX108" s="131">
        <f t="shared" si="131"/>
        <v>5.2631578947368418E-2</v>
      </c>
      <c r="SY108" s="124">
        <f>IFERROR(VLOOKUP(A108, 'SPED enroll 2015-16'!$M:$O, 3, FALSE), 0)</f>
        <v>15</v>
      </c>
      <c r="SZ108" s="131">
        <f t="shared" si="132"/>
        <v>0.15789473684210525</v>
      </c>
      <c r="TA108" s="142">
        <f t="shared" si="207"/>
        <v>10.5</v>
      </c>
      <c r="TB108" s="142">
        <f t="shared" si="207"/>
        <v>3</v>
      </c>
      <c r="TC108" s="142">
        <f t="shared" si="207"/>
        <v>1.05</v>
      </c>
      <c r="TD108" s="142">
        <f t="shared" si="207"/>
        <v>0.44999999999999996</v>
      </c>
      <c r="TE108" s="124">
        <f>VLOOKUP($A108, 'Grade Enroll 15-16'!$B:$AB, 20, FALSE)</f>
        <v>0</v>
      </c>
      <c r="TF108" s="124">
        <f>VLOOKUP($A108, 'Grade Enroll 15-16'!$B:$AB, 21, FALSE)</f>
        <v>7</v>
      </c>
      <c r="TG108" s="124">
        <f>VLOOKUP($A108, 'Grade Enroll 15-16'!$B:$AB, 22, FALSE)</f>
        <v>18</v>
      </c>
      <c r="TH108" s="124">
        <f>VLOOKUP($A108, 'Grade Enroll 15-16'!$B:$AB, 23, FALSE)</f>
        <v>29</v>
      </c>
      <c r="TI108" s="124">
        <f>VLOOKUP($A108, 'Grade Enroll 15-16'!$B:$AB, 24, FALSE)</f>
        <v>18</v>
      </c>
      <c r="TJ108" s="124">
        <f>VLOOKUP($A108, 'Grade Enroll 15-16'!$B:$AB, 25, FALSE)</f>
        <v>30</v>
      </c>
      <c r="TK108" s="124">
        <f>VLOOKUP($A108, 'Grade Enroll 15-16'!$B:$AB, 26, FALSE)</f>
        <v>65</v>
      </c>
      <c r="TL108" s="131">
        <f>SUMIFS('Student Achievement 15-16'!N:N, 'Student Achievement 15-16'!B:B, 'Idaho Data'!A108, 'Student Achievement 15-16'!D:D, "math")/100</f>
        <v>0.377</v>
      </c>
      <c r="TM108" s="134">
        <f t="shared" si="186"/>
        <v>35.814999999999998</v>
      </c>
      <c r="TN108" s="131">
        <f>SUMIFS('Student Achievement 15-16'!N:N, 'Student Achievement 15-16'!B:B, 'Idaho Data'!A108, 'Student Achievement 15-16'!D:D, "ela")/100</f>
        <v>0.05</v>
      </c>
      <c r="TO108" s="134">
        <f t="shared" si="134"/>
        <v>4.75</v>
      </c>
      <c r="TP108" s="688">
        <f>IFERROR(VLOOKUP(A108, 'G&amp;T 15-16'!B:G, 6, FALSE), 0)*1</f>
        <v>0</v>
      </c>
      <c r="TQ108" s="168">
        <f t="shared" si="135"/>
        <v>5.7</v>
      </c>
      <c r="TU108" s="168">
        <f t="shared" si="136"/>
        <v>4.75</v>
      </c>
      <c r="TV108" s="168">
        <f t="shared" si="137"/>
        <v>35.814999999999998</v>
      </c>
      <c r="TW108" s="205">
        <f t="shared" si="138"/>
        <v>35.814999999999998</v>
      </c>
      <c r="TX108" s="144"/>
      <c r="TY108" s="129"/>
      <c r="TZ108" s="127">
        <f t="shared" si="139"/>
        <v>0</v>
      </c>
      <c r="UA108" s="127">
        <f t="shared" si="140"/>
        <v>5.7</v>
      </c>
      <c r="UB108" s="205">
        <f t="shared" si="141"/>
        <v>5.7</v>
      </c>
      <c r="UE108" s="853" t="str">
        <f>IF(ST108&lt;='1. Simulator Input'!$E$104, "yes", "")</f>
        <v>yes</v>
      </c>
      <c r="UI108" s="199">
        <f t="shared" si="187"/>
        <v>0</v>
      </c>
      <c r="UJ108" s="200">
        <f>IF('Idaho Data'!SI108&gt;=0, ((1-'1. Simulator Input'!$E$39)*'Idaho Data'!SI108), 0)</f>
        <v>0</v>
      </c>
      <c r="UK108" s="200">
        <f t="shared" si="142"/>
        <v>1330732</v>
      </c>
      <c r="UL108" s="39"/>
      <c r="UM108" s="182"/>
      <c r="UN108" s="39"/>
      <c r="UO108" s="39">
        <f>IF(AND('1. Simulator Input'!$E$96="yes", '1. Simulator Input'!$E$98="yes", '1. Simulator Input'!$E$100="hold harmless"), 'Idaho Data'!WN108, IF(AND('1. Simulator Input'!$E$96="yes", '1. Simulator Input'!$E$98="no", '1. Simulator Input'!$E$100="hold harmless"), 'Idaho Data'!WM108, IF(AND('1. Simulator Input'!$E$96="yes", '1. Simulator Input'!$E$98="yes", '1. Simulator Input'!$E$100="small district grant"), WL108,IF(AND('1. Simulator Input'!$E$96="yes", '1. Simulator Input'!$E$98="no", '1. Simulator Input'!$E$100="small district grant"), WK108, ""))))</f>
        <v>0</v>
      </c>
      <c r="UP108" s="200">
        <f>'1. Simulator Input'!$D$56*('Idaho Data'!ST108)</f>
        <v>524970</v>
      </c>
      <c r="UQ108" s="204">
        <f>'1. Simulator Input'!$D$65*'1. Simulator Input'!$D$56*'Idaho Data'!SU108</f>
        <v>0</v>
      </c>
      <c r="UR108" s="204">
        <f>'1. Simulator Input'!$D$66*'1. Simulator Input'!$D$56*'Idaho Data'!SW108</f>
        <v>0</v>
      </c>
      <c r="US108" s="200">
        <f>'1. Simulator Input'!$D$67*'1. Simulator Input'!$D$56*'Idaho Data'!TA108</f>
        <v>0</v>
      </c>
      <c r="UT108" s="200">
        <f>'1. Simulator Input'!$D$68*'1. Simulator Input'!$D$56*'Idaho Data'!TB108</f>
        <v>0</v>
      </c>
      <c r="UU108" s="200">
        <f>'1. Simulator Input'!$D$69*'1. Simulator Input'!$D$56*'Idaho Data'!TC108</f>
        <v>0</v>
      </c>
      <c r="UV108" s="200">
        <f>'1. Simulator Input'!$D$70*'1. Simulator Input'!$D$56*TD108</f>
        <v>0</v>
      </c>
      <c r="UW108" s="200">
        <f>'1. Simulator Input'!$D$80*'1. Simulator Input'!$D$56*TW108</f>
        <v>0</v>
      </c>
      <c r="UX108" s="200">
        <f>'1. Simulator Input'!$D$79*'1. Simulator Input'!$D$56*UB108</f>
        <v>0</v>
      </c>
      <c r="UY108" s="200">
        <f>'1. Simulator Input'!$D$87*'1. Simulator Input'!$D$56*TF108</f>
        <v>19341</v>
      </c>
      <c r="UZ108" s="200">
        <f>'1. Simulator Input'!$D$73*'1. Simulator Input'!$D$56*'Idaho Data'!TG108</f>
        <v>0</v>
      </c>
      <c r="VA108" s="200">
        <f>'1. Simulator Input'!$D$56*'1. Simulator Input'!$D$74*'Idaho Data'!TH108</f>
        <v>0</v>
      </c>
      <c r="VB108" s="200">
        <f>'1. Simulator Input'!$D$56*'1. Simulator Input'!$D$75*'Idaho Data'!TI103</f>
        <v>0</v>
      </c>
      <c r="VC108" s="200">
        <f>'1. Simulator Input'!$D$76*'1. Simulator Input'!$D$56*'Idaho Data'!TJ108</f>
        <v>0</v>
      </c>
      <c r="VD108" s="200">
        <f t="shared" si="188"/>
        <v>544311</v>
      </c>
      <c r="VE108" s="200"/>
      <c r="VF108" s="182"/>
      <c r="VG108" s="200"/>
      <c r="VH108" s="200">
        <f t="shared" si="189"/>
        <v>0</v>
      </c>
      <c r="VI108" s="200">
        <f t="shared" si="190"/>
        <v>0</v>
      </c>
      <c r="VJ108" s="200">
        <f t="shared" si="214"/>
        <v>544311</v>
      </c>
      <c r="VK108" s="200">
        <f t="shared" si="215"/>
        <v>544311</v>
      </c>
      <c r="VL108" s="200"/>
      <c r="VM108" s="182"/>
      <c r="VN108" s="200"/>
      <c r="VO108" s="200">
        <f t="shared" si="191"/>
        <v>152257</v>
      </c>
      <c r="VP108" s="200">
        <f t="shared" si="192"/>
        <v>1330732</v>
      </c>
      <c r="VQ108" s="200">
        <f t="shared" si="193"/>
        <v>599561</v>
      </c>
      <c r="VR108" s="200">
        <f t="shared" si="194"/>
        <v>152257</v>
      </c>
      <c r="VS108" s="200">
        <f t="shared" si="216"/>
        <v>544311</v>
      </c>
      <c r="VT108" s="200">
        <f t="shared" si="217"/>
        <v>599561</v>
      </c>
      <c r="VU108" s="200">
        <f t="shared" si="218"/>
        <v>0</v>
      </c>
      <c r="VV108" s="200"/>
      <c r="VW108" s="182"/>
      <c r="VX108" s="200"/>
      <c r="VZ108" s="199">
        <f t="shared" si="195"/>
        <v>-786421</v>
      </c>
      <c r="WA108" s="466">
        <f t="shared" si="196"/>
        <v>-8278.1157894736843</v>
      </c>
      <c r="WB108" s="131">
        <f t="shared" si="197"/>
        <v>-0.59096872999221484</v>
      </c>
      <c r="WC108" s="131"/>
      <c r="WD108" s="461"/>
      <c r="WE108" s="893"/>
      <c r="WF108" s="893">
        <f t="shared" si="198"/>
        <v>21921.57894736842</v>
      </c>
      <c r="WG108" s="893">
        <f t="shared" si="199"/>
        <v>13643.463157894737</v>
      </c>
      <c r="WH108" s="893"/>
      <c r="WI108" s="893">
        <f t="shared" si="200"/>
        <v>1330732</v>
      </c>
      <c r="WJ108" s="893">
        <f t="shared" si="219"/>
        <v>544311</v>
      </c>
      <c r="WK108" s="39">
        <f t="shared" si="220"/>
        <v>0</v>
      </c>
      <c r="WL108" s="39">
        <f t="shared" si="221"/>
        <v>0</v>
      </c>
      <c r="WM108" s="200">
        <f t="shared" si="222"/>
        <v>786421</v>
      </c>
      <c r="WN108" s="39">
        <f t="shared" si="223"/>
        <v>786421</v>
      </c>
      <c r="WO108" s="39"/>
      <c r="WP108" s="182"/>
      <c r="WQ108" s="39"/>
      <c r="WR108" s="305">
        <f t="shared" si="224"/>
        <v>0.71899999999999997</v>
      </c>
      <c r="WT108" s="200">
        <f t="shared" si="225"/>
        <v>14007.705263157895</v>
      </c>
      <c r="WU108" s="131">
        <f t="shared" si="201"/>
        <v>0.94</v>
      </c>
      <c r="WW108" s="199">
        <f t="shared" si="226"/>
        <v>152257</v>
      </c>
      <c r="WX108" s="199">
        <f t="shared" si="227"/>
        <v>544311</v>
      </c>
      <c r="WY108" s="199">
        <f t="shared" si="228"/>
        <v>0</v>
      </c>
      <c r="WZ108" s="199">
        <f t="shared" si="202"/>
        <v>544311</v>
      </c>
      <c r="XA108" s="199">
        <f t="shared" si="229"/>
        <v>0</v>
      </c>
      <c r="XB108" s="199">
        <f t="shared" si="230"/>
        <v>599561</v>
      </c>
      <c r="XC108" s="199">
        <f t="shared" si="231"/>
        <v>599561</v>
      </c>
      <c r="XD108" s="199" t="str">
        <f t="shared" si="232"/>
        <v/>
      </c>
      <c r="XE108" s="199"/>
      <c r="XF108" s="199"/>
      <c r="XG108" s="199"/>
      <c r="XH108" s="199"/>
      <c r="XI108" s="199"/>
      <c r="XJ108" s="199">
        <f t="shared" si="203"/>
        <v>544311</v>
      </c>
      <c r="XP108" s="199">
        <f t="shared" si="233"/>
        <v>544311</v>
      </c>
      <c r="XQ108" s="199">
        <f t="shared" si="234"/>
        <v>5729.5894736842101</v>
      </c>
      <c r="XR108" s="199">
        <f t="shared" si="235"/>
        <v>544311</v>
      </c>
      <c r="XS108" s="199">
        <f t="shared" si="236"/>
        <v>544311</v>
      </c>
      <c r="XT108" s="199">
        <f t="shared" si="237"/>
        <v>5729.5894736842101</v>
      </c>
      <c r="XU108" s="199">
        <f t="shared" si="238"/>
        <v>1330732</v>
      </c>
      <c r="XV108" s="199">
        <f t="shared" si="239"/>
        <v>14007.705263157895</v>
      </c>
      <c r="XW108" s="199">
        <f t="shared" si="240"/>
        <v>1330732</v>
      </c>
      <c r="XX108" s="199">
        <f t="shared" si="241"/>
        <v>14007.705263157895</v>
      </c>
      <c r="XY108" s="199">
        <f t="shared" si="204"/>
        <v>-786421</v>
      </c>
      <c r="XZ108" s="199">
        <f t="shared" si="205"/>
        <v>-8278.1157894736862</v>
      </c>
      <c r="YA108" s="131">
        <f t="shared" si="143"/>
        <v>-0.59096872999221495</v>
      </c>
      <c r="YB108" s="199"/>
      <c r="YC108" s="221"/>
      <c r="YD108" s="199"/>
      <c r="YE108" s="199">
        <f t="shared" si="242"/>
        <v>152257</v>
      </c>
      <c r="YF108" s="200">
        <f t="shared" si="243"/>
        <v>0</v>
      </c>
      <c r="YG108" s="199">
        <f t="shared" si="244"/>
        <v>599561</v>
      </c>
      <c r="YH108" s="199">
        <f t="shared" si="245"/>
        <v>201039</v>
      </c>
    </row>
    <row r="109" spans="1:658">
      <c r="A109" s="3">
        <v>393</v>
      </c>
      <c r="B109" s="2" t="s">
        <v>206</v>
      </c>
      <c r="C109" s="24">
        <v>2927</v>
      </c>
      <c r="D109" s="24">
        <v>0</v>
      </c>
      <c r="E109" s="24">
        <v>0</v>
      </c>
      <c r="F109" s="24">
        <v>0</v>
      </c>
      <c r="G109" s="24">
        <v>1972337</v>
      </c>
      <c r="H109" s="24">
        <v>0</v>
      </c>
      <c r="I109" s="24">
        <v>0</v>
      </c>
      <c r="J109" s="24">
        <v>0</v>
      </c>
      <c r="K109" s="24">
        <v>0</v>
      </c>
      <c r="L109" s="24">
        <v>0</v>
      </c>
      <c r="M109" s="24">
        <v>0</v>
      </c>
      <c r="N109" s="24">
        <v>0</v>
      </c>
      <c r="O109" s="24">
        <v>0</v>
      </c>
      <c r="P109" s="24">
        <v>0</v>
      </c>
      <c r="Q109" s="24">
        <v>0</v>
      </c>
      <c r="R109" s="24">
        <v>0</v>
      </c>
      <c r="S109" s="24">
        <v>0</v>
      </c>
      <c r="T109" s="24">
        <v>0</v>
      </c>
      <c r="U109" s="24">
        <v>0</v>
      </c>
      <c r="V109" s="24">
        <v>0</v>
      </c>
      <c r="W109" s="24">
        <v>0</v>
      </c>
      <c r="X109" s="24">
        <v>231957</v>
      </c>
      <c r="Y109" s="24">
        <v>34246</v>
      </c>
      <c r="Z109" s="24">
        <v>0</v>
      </c>
      <c r="AA109" s="24">
        <v>0</v>
      </c>
      <c r="AB109" s="24">
        <v>0</v>
      </c>
      <c r="AC109" s="24">
        <v>0</v>
      </c>
      <c r="AD109" s="24">
        <v>0</v>
      </c>
      <c r="AE109" s="24">
        <v>0</v>
      </c>
      <c r="AF109" s="24">
        <v>3476</v>
      </c>
      <c r="AG109" s="24">
        <v>0</v>
      </c>
      <c r="AH109" s="24">
        <v>0</v>
      </c>
      <c r="AI109" s="24">
        <v>0</v>
      </c>
      <c r="AJ109" s="24">
        <v>0</v>
      </c>
      <c r="AK109" s="24">
        <v>0</v>
      </c>
      <c r="AL109" s="24">
        <v>5279</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c r="BE109" s="24">
        <v>0</v>
      </c>
      <c r="BF109" s="24">
        <v>0</v>
      </c>
      <c r="BG109" s="24">
        <v>0</v>
      </c>
      <c r="BH109" s="24">
        <v>0</v>
      </c>
      <c r="BI109" s="24">
        <v>0</v>
      </c>
      <c r="BJ109" s="24">
        <v>0</v>
      </c>
      <c r="BK109" s="24">
        <v>0</v>
      </c>
      <c r="BL109" s="24">
        <v>0</v>
      </c>
      <c r="BM109" s="24">
        <v>64</v>
      </c>
      <c r="BN109" s="24">
        <v>162</v>
      </c>
      <c r="BO109" s="24">
        <v>0</v>
      </c>
      <c r="BP109" s="24">
        <v>0</v>
      </c>
      <c r="BQ109" s="24">
        <v>0</v>
      </c>
      <c r="BR109" s="24">
        <v>0</v>
      </c>
      <c r="BS109" s="24">
        <v>0</v>
      </c>
      <c r="BT109" s="24">
        <v>0</v>
      </c>
      <c r="BU109" s="24">
        <v>0</v>
      </c>
      <c r="BV109" s="24">
        <v>0</v>
      </c>
      <c r="BW109" s="24">
        <v>0</v>
      </c>
      <c r="BX109" s="24">
        <v>0</v>
      </c>
      <c r="BY109" s="24">
        <v>0</v>
      </c>
      <c r="BZ109" s="24">
        <v>0</v>
      </c>
      <c r="CA109" s="24">
        <v>0</v>
      </c>
      <c r="CB109" s="24">
        <v>0</v>
      </c>
      <c r="CC109" s="24">
        <v>0</v>
      </c>
      <c r="CD109" s="24">
        <v>37045</v>
      </c>
      <c r="CE109" s="24">
        <v>0</v>
      </c>
      <c r="CF109" s="24">
        <v>0</v>
      </c>
      <c r="CG109" s="24">
        <v>0</v>
      </c>
      <c r="CH109" s="24">
        <v>0</v>
      </c>
      <c r="CI109" s="24">
        <v>0</v>
      </c>
      <c r="CJ109" s="24">
        <v>0</v>
      </c>
      <c r="CK109" s="24">
        <v>0</v>
      </c>
      <c r="CL109" s="24">
        <v>0</v>
      </c>
      <c r="CM109" s="24">
        <v>0</v>
      </c>
      <c r="CN109" s="24">
        <v>0</v>
      </c>
      <c r="CO109" s="24">
        <v>0</v>
      </c>
      <c r="CP109" s="24">
        <v>0</v>
      </c>
      <c r="CQ109" s="24">
        <v>0</v>
      </c>
      <c r="CR109" s="24">
        <v>0</v>
      </c>
      <c r="CS109" s="24">
        <v>0</v>
      </c>
      <c r="CT109" s="24">
        <v>0</v>
      </c>
      <c r="CU109" s="24">
        <v>0</v>
      </c>
      <c r="CV109" s="24">
        <v>0</v>
      </c>
      <c r="CW109" s="24">
        <v>0</v>
      </c>
      <c r="CX109" s="24">
        <v>0</v>
      </c>
      <c r="CY109" s="24">
        <v>0</v>
      </c>
      <c r="CZ109" s="24">
        <v>0</v>
      </c>
      <c r="DA109" s="24">
        <v>0</v>
      </c>
      <c r="DB109" s="24">
        <v>0</v>
      </c>
      <c r="DC109" s="24">
        <v>0</v>
      </c>
      <c r="DD109" s="24">
        <v>0</v>
      </c>
      <c r="DE109" s="24">
        <v>0</v>
      </c>
      <c r="DF109" s="24">
        <v>0</v>
      </c>
      <c r="DG109" s="24">
        <v>0</v>
      </c>
      <c r="DH109" s="24">
        <v>0</v>
      </c>
      <c r="DI109" s="24">
        <v>0</v>
      </c>
      <c r="DJ109" s="24">
        <v>0</v>
      </c>
      <c r="DK109" s="24">
        <v>0</v>
      </c>
      <c r="DL109" s="24">
        <v>0</v>
      </c>
      <c r="DM109" s="24">
        <v>3625</v>
      </c>
      <c r="DN109" s="24">
        <v>0</v>
      </c>
      <c r="DO109" s="24">
        <v>0</v>
      </c>
      <c r="DP109" s="24">
        <v>0</v>
      </c>
      <c r="DQ109" s="24">
        <v>0</v>
      </c>
      <c r="DR109" s="24">
        <v>0</v>
      </c>
      <c r="DS109" s="24">
        <v>0</v>
      </c>
      <c r="DT109" s="24">
        <v>0</v>
      </c>
      <c r="DU109" s="24">
        <v>2502</v>
      </c>
      <c r="DV109" s="24">
        <v>0</v>
      </c>
      <c r="DW109" s="24">
        <v>0</v>
      </c>
      <c r="DX109" s="24">
        <v>0</v>
      </c>
      <c r="DY109" s="24">
        <v>0</v>
      </c>
      <c r="DZ109" s="24">
        <v>0</v>
      </c>
      <c r="EA109" s="24">
        <v>0</v>
      </c>
      <c r="EB109" s="24">
        <v>0</v>
      </c>
      <c r="EC109" s="24">
        <v>0</v>
      </c>
      <c r="ED109" s="24">
        <v>0</v>
      </c>
      <c r="EE109" s="24">
        <v>0</v>
      </c>
      <c r="EF109" s="24">
        <v>0</v>
      </c>
      <c r="EG109" s="24">
        <v>50</v>
      </c>
      <c r="EH109" s="24">
        <v>0</v>
      </c>
      <c r="EI109" s="24">
        <v>0</v>
      </c>
      <c r="EJ109" s="24">
        <v>0</v>
      </c>
      <c r="EK109" s="24">
        <v>0</v>
      </c>
      <c r="EL109" s="24">
        <v>0</v>
      </c>
      <c r="EM109" s="24">
        <v>0</v>
      </c>
      <c r="EN109" s="24">
        <v>0</v>
      </c>
      <c r="EO109" s="24">
        <v>0</v>
      </c>
      <c r="EP109" s="24">
        <v>0</v>
      </c>
      <c r="EQ109" s="24">
        <v>0</v>
      </c>
      <c r="ER109" s="24">
        <v>0</v>
      </c>
      <c r="ES109" s="24">
        <v>0</v>
      </c>
      <c r="ET109" s="24">
        <v>0</v>
      </c>
      <c r="EU109" s="24">
        <v>0</v>
      </c>
      <c r="EV109" s="24">
        <v>0</v>
      </c>
      <c r="EW109" s="24">
        <v>0</v>
      </c>
      <c r="EX109" s="24">
        <v>45</v>
      </c>
      <c r="EY109" s="24">
        <v>0</v>
      </c>
      <c r="EZ109" s="24">
        <v>0</v>
      </c>
      <c r="FA109" s="24">
        <v>0</v>
      </c>
      <c r="FB109" s="24">
        <v>0</v>
      </c>
      <c r="FC109" s="24">
        <v>0</v>
      </c>
      <c r="FD109" s="24">
        <v>0</v>
      </c>
      <c r="FE109" s="24">
        <v>0</v>
      </c>
      <c r="FF109" s="24">
        <v>0</v>
      </c>
      <c r="FG109" s="24">
        <v>0</v>
      </c>
      <c r="FH109" s="24">
        <v>0</v>
      </c>
      <c r="FI109" s="24">
        <v>0</v>
      </c>
      <c r="FJ109" s="24">
        <v>0</v>
      </c>
      <c r="FK109" s="24">
        <v>0</v>
      </c>
      <c r="FL109" s="24">
        <v>0</v>
      </c>
      <c r="FM109" s="24">
        <v>0</v>
      </c>
      <c r="FN109" s="24">
        <v>0</v>
      </c>
      <c r="FO109" s="24">
        <v>0</v>
      </c>
      <c r="FP109" s="24">
        <v>0</v>
      </c>
      <c r="FQ109" s="24">
        <v>0</v>
      </c>
      <c r="FR109" s="24">
        <v>0</v>
      </c>
      <c r="FS109" s="24">
        <v>7829</v>
      </c>
      <c r="FT109" s="24">
        <v>0</v>
      </c>
      <c r="FU109" s="24">
        <v>0</v>
      </c>
      <c r="FV109" s="24">
        <v>0</v>
      </c>
      <c r="FW109" s="24">
        <v>0</v>
      </c>
      <c r="FX109" s="24">
        <v>0</v>
      </c>
      <c r="FY109" s="24">
        <v>0</v>
      </c>
      <c r="FZ109" s="24">
        <v>0</v>
      </c>
      <c r="GA109" s="24">
        <v>0</v>
      </c>
      <c r="GB109" s="24">
        <v>0</v>
      </c>
      <c r="GC109" s="24">
        <v>0</v>
      </c>
      <c r="GD109" s="24">
        <v>0</v>
      </c>
      <c r="GE109" s="24">
        <v>0</v>
      </c>
      <c r="GF109" s="24">
        <v>0</v>
      </c>
      <c r="GG109" s="24">
        <v>0</v>
      </c>
      <c r="GH109" s="24">
        <v>0</v>
      </c>
      <c r="GI109" s="24">
        <v>0</v>
      </c>
      <c r="GJ109" s="24">
        <v>0</v>
      </c>
      <c r="GK109" s="24">
        <v>0</v>
      </c>
      <c r="GL109" s="24">
        <v>0</v>
      </c>
      <c r="GM109" s="24">
        <v>0</v>
      </c>
      <c r="GN109" s="24">
        <v>0</v>
      </c>
      <c r="GO109" s="24">
        <v>0</v>
      </c>
      <c r="GP109" s="24">
        <v>0</v>
      </c>
      <c r="GQ109" s="24">
        <v>0</v>
      </c>
      <c r="GR109" s="24">
        <v>3193</v>
      </c>
      <c r="GS109" s="24">
        <v>0</v>
      </c>
      <c r="GT109" s="24">
        <v>0</v>
      </c>
      <c r="GU109" s="24">
        <v>0</v>
      </c>
      <c r="GV109" s="24">
        <v>0</v>
      </c>
      <c r="GW109" s="24">
        <v>0</v>
      </c>
      <c r="GX109" s="24">
        <v>0</v>
      </c>
      <c r="GY109" s="24">
        <v>0</v>
      </c>
      <c r="GZ109" s="24">
        <v>0</v>
      </c>
      <c r="HA109" s="24">
        <v>0</v>
      </c>
      <c r="HB109" s="24">
        <v>0</v>
      </c>
      <c r="HC109" s="24">
        <v>0</v>
      </c>
      <c r="HD109" s="24">
        <v>2343137</v>
      </c>
      <c r="HE109" s="24">
        <v>0</v>
      </c>
      <c r="HF109" s="24">
        <v>0</v>
      </c>
      <c r="HG109" s="24">
        <v>0</v>
      </c>
      <c r="HH109" s="24">
        <v>0</v>
      </c>
      <c r="HI109" s="24">
        <v>237182</v>
      </c>
      <c r="HJ109" s="24">
        <v>0</v>
      </c>
      <c r="HK109" s="24">
        <v>0</v>
      </c>
      <c r="HL109" s="24">
        <v>28022</v>
      </c>
      <c r="HM109" s="24">
        <v>0</v>
      </c>
      <c r="HN109" s="24">
        <v>0</v>
      </c>
      <c r="HO109" s="24">
        <v>310064</v>
      </c>
      <c r="HP109" s="24">
        <v>95175</v>
      </c>
      <c r="HQ109" s="24">
        <v>0</v>
      </c>
      <c r="HR109" s="24">
        <v>0</v>
      </c>
      <c r="HS109" s="24">
        <v>0</v>
      </c>
      <c r="HT109" s="24">
        <v>0</v>
      </c>
      <c r="HU109" s="24">
        <v>0</v>
      </c>
      <c r="HV109" s="24">
        <v>0</v>
      </c>
      <c r="HW109" s="24">
        <v>0</v>
      </c>
      <c r="HX109" s="24">
        <v>0</v>
      </c>
      <c r="HY109" s="24">
        <v>0</v>
      </c>
      <c r="HZ109" s="24">
        <v>0</v>
      </c>
      <c r="IA109" s="24">
        <v>37003</v>
      </c>
      <c r="IB109" s="24">
        <v>8521</v>
      </c>
      <c r="IC109" s="24">
        <v>0</v>
      </c>
      <c r="ID109" s="24">
        <v>0</v>
      </c>
      <c r="IE109" s="24">
        <v>0</v>
      </c>
      <c r="IF109" s="24">
        <v>0</v>
      </c>
      <c r="IG109" s="24">
        <v>0</v>
      </c>
      <c r="IH109" s="24">
        <v>0</v>
      </c>
      <c r="II109" s="24">
        <v>0</v>
      </c>
      <c r="IJ109" s="24">
        <v>0</v>
      </c>
      <c r="IK109" s="24">
        <v>0</v>
      </c>
      <c r="IL109" s="24">
        <v>0</v>
      </c>
      <c r="IM109" s="24">
        <v>0</v>
      </c>
      <c r="IN109" s="24">
        <v>0</v>
      </c>
      <c r="IO109" s="24">
        <v>3625</v>
      </c>
      <c r="IP109" s="24">
        <v>0</v>
      </c>
      <c r="IQ109" s="24">
        <v>0</v>
      </c>
      <c r="IR109" s="24">
        <v>25151</v>
      </c>
      <c r="IS109" s="24">
        <v>0</v>
      </c>
      <c r="IT109" s="24">
        <v>0</v>
      </c>
      <c r="IU109" s="24">
        <v>0</v>
      </c>
      <c r="IV109" s="24">
        <v>0</v>
      </c>
      <c r="IW109" s="24">
        <v>58094</v>
      </c>
      <c r="IX109" s="24">
        <v>0</v>
      </c>
      <c r="IY109" s="24">
        <v>0</v>
      </c>
      <c r="IZ109" s="24">
        <v>0</v>
      </c>
      <c r="JA109" s="24">
        <v>0</v>
      </c>
      <c r="JB109" s="24">
        <v>30337</v>
      </c>
      <c r="JC109" s="24">
        <v>0</v>
      </c>
      <c r="JD109" s="24">
        <v>0</v>
      </c>
      <c r="JE109" s="24">
        <v>0</v>
      </c>
      <c r="JF109" s="24">
        <v>0</v>
      </c>
      <c r="JG109" s="24">
        <v>0</v>
      </c>
      <c r="JH109" s="24">
        <v>0</v>
      </c>
      <c r="JI109" s="24">
        <v>0</v>
      </c>
      <c r="JJ109" s="24">
        <v>0</v>
      </c>
      <c r="JK109" s="24">
        <v>0</v>
      </c>
      <c r="JL109" s="24">
        <v>0</v>
      </c>
      <c r="JM109" s="24">
        <v>0</v>
      </c>
      <c r="JN109" s="24">
        <v>0</v>
      </c>
      <c r="JO109" s="24">
        <v>0</v>
      </c>
      <c r="JP109" s="24">
        <v>0</v>
      </c>
      <c r="JQ109" s="24">
        <v>0</v>
      </c>
      <c r="JR109" s="24">
        <v>0</v>
      </c>
      <c r="JS109" s="24">
        <v>0</v>
      </c>
      <c r="JT109" s="24">
        <v>0</v>
      </c>
      <c r="JU109" s="24">
        <v>0</v>
      </c>
      <c r="JV109" s="24">
        <v>0</v>
      </c>
      <c r="JW109" s="24">
        <v>0</v>
      </c>
      <c r="JX109" s="24">
        <v>0</v>
      </c>
      <c r="JY109" s="24">
        <v>0</v>
      </c>
      <c r="JZ109" s="24">
        <v>0</v>
      </c>
      <c r="KA109" s="24">
        <v>0</v>
      </c>
      <c r="KB109" s="24">
        <v>0</v>
      </c>
      <c r="KC109" s="24">
        <v>0</v>
      </c>
      <c r="KD109" s="24">
        <v>0</v>
      </c>
      <c r="KE109" s="24">
        <v>0</v>
      </c>
      <c r="KF109" s="24">
        <v>0</v>
      </c>
      <c r="KG109" s="24">
        <v>0</v>
      </c>
      <c r="KH109" s="24">
        <v>0</v>
      </c>
      <c r="KI109" s="24">
        <v>0</v>
      </c>
      <c r="KJ109" s="24">
        <v>0</v>
      </c>
      <c r="KK109" s="24">
        <v>0</v>
      </c>
      <c r="KL109" s="24">
        <v>0</v>
      </c>
      <c r="KM109" s="24">
        <v>0</v>
      </c>
      <c r="KN109" s="24">
        <v>0</v>
      </c>
      <c r="KO109" s="24">
        <v>0</v>
      </c>
      <c r="KP109" s="24">
        <v>0</v>
      </c>
      <c r="KQ109" s="24">
        <v>0</v>
      </c>
      <c r="KR109" s="24">
        <v>0</v>
      </c>
      <c r="KS109" s="24">
        <v>0</v>
      </c>
      <c r="KT109" s="24">
        <v>0</v>
      </c>
      <c r="KU109" s="24">
        <v>0</v>
      </c>
      <c r="KV109" s="24">
        <v>0</v>
      </c>
      <c r="KW109" s="24">
        <v>0</v>
      </c>
      <c r="KX109" s="24">
        <v>0</v>
      </c>
      <c r="KY109" s="24">
        <v>0</v>
      </c>
      <c r="KZ109" s="24">
        <v>0</v>
      </c>
      <c r="LA109" s="24">
        <v>0</v>
      </c>
      <c r="LB109" s="24">
        <v>0</v>
      </c>
      <c r="LC109" s="24">
        <v>0</v>
      </c>
      <c r="LD109" s="24">
        <v>0</v>
      </c>
      <c r="LE109" s="24">
        <v>0</v>
      </c>
      <c r="LF109" s="24">
        <v>0</v>
      </c>
      <c r="LG109" s="24">
        <v>0</v>
      </c>
      <c r="LH109" s="24">
        <v>0</v>
      </c>
      <c r="LI109" s="24">
        <v>0</v>
      </c>
      <c r="LJ109" s="24">
        <v>0</v>
      </c>
      <c r="LK109" s="24">
        <v>0</v>
      </c>
      <c r="LL109" s="24">
        <v>0</v>
      </c>
      <c r="LM109" s="24">
        <v>0</v>
      </c>
      <c r="LN109" s="24">
        <v>0</v>
      </c>
      <c r="LO109" s="24">
        <v>0</v>
      </c>
      <c r="LP109" s="24">
        <v>0</v>
      </c>
      <c r="LQ109" s="24">
        <v>105059</v>
      </c>
      <c r="LR109" s="24">
        <v>0</v>
      </c>
      <c r="LS109" s="24">
        <v>0</v>
      </c>
      <c r="LT109" s="24">
        <v>0</v>
      </c>
      <c r="LU109" s="24">
        <v>0</v>
      </c>
      <c r="LV109" s="24">
        <v>0</v>
      </c>
      <c r="LW109" s="24">
        <v>0</v>
      </c>
      <c r="LX109" s="24">
        <v>0</v>
      </c>
      <c r="LY109" s="24">
        <v>0</v>
      </c>
      <c r="LZ109" s="24">
        <v>0</v>
      </c>
      <c r="MA109" s="24">
        <v>0</v>
      </c>
      <c r="MB109" s="24">
        <v>0</v>
      </c>
      <c r="MC109" s="24">
        <v>0</v>
      </c>
      <c r="MD109" s="24">
        <v>0</v>
      </c>
      <c r="ME109" s="24">
        <v>0</v>
      </c>
      <c r="MF109" s="24">
        <v>0</v>
      </c>
      <c r="MG109" s="24">
        <v>0</v>
      </c>
      <c r="MH109" s="24">
        <v>0</v>
      </c>
      <c r="MI109" s="24">
        <v>0</v>
      </c>
      <c r="MJ109" s="24">
        <v>0</v>
      </c>
      <c r="MK109" s="24">
        <v>0</v>
      </c>
      <c r="ML109" s="24">
        <v>6162</v>
      </c>
      <c r="MM109" s="24">
        <v>0</v>
      </c>
      <c r="MN109" s="24">
        <v>0</v>
      </c>
      <c r="MO109" s="24">
        <v>0</v>
      </c>
      <c r="MP109" s="24">
        <v>0</v>
      </c>
      <c r="MQ109" s="24">
        <v>0</v>
      </c>
      <c r="MR109" s="24">
        <v>136895</v>
      </c>
      <c r="MS109" s="24">
        <v>0</v>
      </c>
      <c r="MT109" s="24">
        <v>0</v>
      </c>
      <c r="MU109" s="24">
        <v>0</v>
      </c>
      <c r="MV109" s="24">
        <v>0</v>
      </c>
      <c r="MW109" s="24">
        <v>91298</v>
      </c>
      <c r="MX109" s="24">
        <v>5789</v>
      </c>
      <c r="MY109" s="24">
        <v>0</v>
      </c>
      <c r="MZ109" s="24">
        <v>0</v>
      </c>
      <c r="NA109" s="24">
        <v>0</v>
      </c>
      <c r="NB109" s="24">
        <v>210150</v>
      </c>
      <c r="NC109" s="24">
        <v>0</v>
      </c>
      <c r="ND109" s="24">
        <v>0</v>
      </c>
      <c r="NE109" s="24">
        <v>0</v>
      </c>
      <c r="NF109" s="24">
        <v>31750</v>
      </c>
      <c r="NG109" s="24">
        <v>0</v>
      </c>
      <c r="NH109" s="24">
        <v>0</v>
      </c>
      <c r="NI109" s="24">
        <v>0</v>
      </c>
      <c r="NJ109" s="24">
        <v>0</v>
      </c>
      <c r="NK109" s="24">
        <v>0</v>
      </c>
      <c r="NL109" s="24">
        <v>0</v>
      </c>
      <c r="NM109" s="24">
        <v>0</v>
      </c>
      <c r="NN109" s="24">
        <v>0</v>
      </c>
      <c r="NO109" s="24">
        <v>0</v>
      </c>
      <c r="NP109" s="24">
        <v>0</v>
      </c>
      <c r="NQ109" s="24">
        <v>19560</v>
      </c>
      <c r="NR109" s="24">
        <v>0</v>
      </c>
      <c r="NS109" s="24">
        <v>0</v>
      </c>
      <c r="NT109" s="24">
        <v>0</v>
      </c>
      <c r="NU109" s="24">
        <v>0</v>
      </c>
      <c r="NV109" s="24">
        <v>28254</v>
      </c>
      <c r="NW109" s="24">
        <v>0</v>
      </c>
      <c r="NX109" s="24">
        <v>0</v>
      </c>
      <c r="NY109" s="24">
        <v>0</v>
      </c>
      <c r="NZ109" s="24">
        <v>0</v>
      </c>
      <c r="OA109" s="24">
        <v>0</v>
      </c>
      <c r="OB109" s="24">
        <v>0</v>
      </c>
      <c r="OC109" s="24">
        <v>0</v>
      </c>
      <c r="OD109" s="24">
        <v>0</v>
      </c>
      <c r="OE109" s="24">
        <v>0</v>
      </c>
      <c r="OF109" s="24">
        <v>0</v>
      </c>
      <c r="OG109" s="24">
        <v>0</v>
      </c>
      <c r="OH109" s="24">
        <v>0</v>
      </c>
      <c r="OI109" s="24">
        <v>0</v>
      </c>
      <c r="OJ109" s="24">
        <v>0</v>
      </c>
      <c r="OK109" s="24">
        <v>20332</v>
      </c>
      <c r="OL109" s="24">
        <v>0</v>
      </c>
      <c r="OM109" s="24">
        <v>0</v>
      </c>
      <c r="ON109" s="24">
        <v>0</v>
      </c>
      <c r="OO109" s="24">
        <v>0</v>
      </c>
      <c r="OP109" s="24">
        <v>0</v>
      </c>
      <c r="OQ109" s="24">
        <v>0</v>
      </c>
      <c r="OR109" s="24">
        <v>0</v>
      </c>
      <c r="OS109" s="24">
        <v>0</v>
      </c>
      <c r="OT109" s="24">
        <v>0</v>
      </c>
      <c r="OU109" s="24">
        <v>0</v>
      </c>
      <c r="OV109" s="24">
        <v>0</v>
      </c>
      <c r="OW109" s="24">
        <v>0</v>
      </c>
      <c r="OX109" s="24">
        <v>0</v>
      </c>
      <c r="OY109" s="24">
        <v>0</v>
      </c>
      <c r="OZ109" s="24">
        <v>0</v>
      </c>
      <c r="PA109" s="24">
        <v>0</v>
      </c>
      <c r="PB109" s="24">
        <v>0</v>
      </c>
      <c r="PC109" s="24">
        <v>0</v>
      </c>
      <c r="PD109" s="24">
        <v>1010</v>
      </c>
      <c r="PE109" s="24">
        <v>0</v>
      </c>
      <c r="PF109" s="24">
        <v>0</v>
      </c>
      <c r="PG109" s="24">
        <v>0</v>
      </c>
      <c r="PH109" s="24">
        <v>0</v>
      </c>
      <c r="PI109" s="24">
        <v>0</v>
      </c>
      <c r="PJ109" s="24">
        <v>0</v>
      </c>
      <c r="PK109" s="24">
        <v>0</v>
      </c>
      <c r="PL109" s="24">
        <v>0</v>
      </c>
      <c r="PM109" s="24">
        <v>0</v>
      </c>
      <c r="PN109" s="24">
        <v>0</v>
      </c>
      <c r="PO109" s="24">
        <v>0</v>
      </c>
      <c r="PP109" s="24">
        <v>0</v>
      </c>
      <c r="PQ109" s="24">
        <v>0</v>
      </c>
      <c r="PR109" s="24">
        <v>0</v>
      </c>
      <c r="PS109" s="24">
        <v>0</v>
      </c>
      <c r="PT109" s="24">
        <v>0</v>
      </c>
      <c r="PU109" s="24">
        <v>0</v>
      </c>
      <c r="PV109" s="24">
        <v>0</v>
      </c>
      <c r="PW109" s="24">
        <v>0</v>
      </c>
      <c r="PX109" s="24">
        <v>0</v>
      </c>
      <c r="PY109" s="24">
        <v>0</v>
      </c>
      <c r="PZ109" s="24">
        <v>0</v>
      </c>
      <c r="QA109" s="24">
        <v>0</v>
      </c>
      <c r="QB109" s="24">
        <v>0</v>
      </c>
      <c r="QC109" s="24">
        <v>0</v>
      </c>
      <c r="QD109" s="24">
        <v>0</v>
      </c>
      <c r="QE109" s="24">
        <v>0</v>
      </c>
      <c r="QF109" s="24">
        <v>0</v>
      </c>
      <c r="QG109" s="24">
        <v>0</v>
      </c>
      <c r="QH109" s="24">
        <v>0</v>
      </c>
      <c r="QI109" s="24">
        <v>0</v>
      </c>
      <c r="QJ109" s="24">
        <v>0</v>
      </c>
      <c r="QK109" s="24">
        <v>0</v>
      </c>
      <c r="QL109" s="24">
        <v>0</v>
      </c>
      <c r="QM109" s="24">
        <v>0</v>
      </c>
      <c r="QN109" s="24">
        <v>0</v>
      </c>
      <c r="QO109" s="24">
        <v>0</v>
      </c>
      <c r="QP109" s="24">
        <v>0</v>
      </c>
      <c r="QQ109" s="24">
        <v>0</v>
      </c>
      <c r="QR109" s="24">
        <v>0</v>
      </c>
      <c r="QS109" s="24">
        <v>27904</v>
      </c>
      <c r="QT109" s="24">
        <v>0</v>
      </c>
      <c r="QU109" s="24">
        <v>0</v>
      </c>
      <c r="QV109" s="24">
        <v>0</v>
      </c>
      <c r="QW109" s="24">
        <v>45672</v>
      </c>
      <c r="QX109" s="24">
        <v>0</v>
      </c>
      <c r="QY109" s="24">
        <v>0</v>
      </c>
      <c r="QZ109" s="24">
        <v>0</v>
      </c>
      <c r="RA109" s="24">
        <v>0</v>
      </c>
      <c r="RB109" s="24">
        <v>0</v>
      </c>
      <c r="RG109" s="39">
        <f t="shared" si="129"/>
        <v>2343137</v>
      </c>
      <c r="RH109" s="39">
        <f t="shared" si="206"/>
        <v>237182</v>
      </c>
      <c r="RI109" s="39">
        <f t="shared" si="206"/>
        <v>28022</v>
      </c>
      <c r="RJ109" s="39">
        <f t="shared" si="206"/>
        <v>0</v>
      </c>
      <c r="RK109" s="39">
        <f t="shared" si="206"/>
        <v>0</v>
      </c>
      <c r="RL109" s="39">
        <f t="shared" si="206"/>
        <v>310064</v>
      </c>
      <c r="RM109" s="39">
        <f t="shared" si="206"/>
        <v>140699</v>
      </c>
      <c r="RN109" s="39">
        <f t="shared" si="206"/>
        <v>3625</v>
      </c>
      <c r="RO109" s="39">
        <f t="shared" si="206"/>
        <v>25151</v>
      </c>
      <c r="RP109" s="39">
        <f t="shared" si="206"/>
        <v>58094</v>
      </c>
      <c r="RQ109" s="39">
        <f t="shared" si="206"/>
        <v>30337</v>
      </c>
      <c r="RR109" s="39">
        <f t="shared" si="206"/>
        <v>0</v>
      </c>
      <c r="RS109" s="39"/>
      <c r="RT109" s="182"/>
      <c r="RU109" s="39"/>
      <c r="RV109" s="39">
        <f t="shared" si="246"/>
        <v>655249</v>
      </c>
      <c r="RW109" s="39">
        <f t="shared" si="246"/>
        <v>3176311</v>
      </c>
      <c r="RX109" s="39">
        <f t="shared" si="246"/>
        <v>2304737</v>
      </c>
      <c r="RY109" s="39">
        <f t="shared" si="246"/>
        <v>74586</v>
      </c>
      <c r="RZ109" s="39"/>
      <c r="SA109" s="182"/>
      <c r="SB109" s="39"/>
      <c r="SC109" s="25">
        <f t="shared" si="183"/>
        <v>5032.1768558951962</v>
      </c>
      <c r="SD109" s="39">
        <f>IFERROR(VLOOKUP(A109, 'Levy Data 15-16'!$B:$O, 3, FALSE), 0)</f>
        <v>239520299</v>
      </c>
      <c r="SE109" s="39">
        <f t="shared" si="208"/>
        <v>522970.08515283844</v>
      </c>
      <c r="SF109" s="631">
        <f>IFERROR(VLOOKUP(A109, 'Levy Data 15-16'!$B:$O, 14, FALSE), 0)*1000</f>
        <v>9.1256059999999994</v>
      </c>
      <c r="SG109" s="39">
        <f t="shared" si="209"/>
        <v>0</v>
      </c>
      <c r="SH109" s="39">
        <f t="shared" si="210"/>
        <v>0</v>
      </c>
      <c r="SI109" s="39">
        <f t="shared" si="211"/>
        <v>2304737</v>
      </c>
      <c r="SM109" s="39">
        <f t="shared" si="212"/>
        <v>3176311</v>
      </c>
      <c r="SN109" s="39">
        <f t="shared" si="213"/>
        <v>0</v>
      </c>
      <c r="SO109" s="39">
        <f t="shared" si="184"/>
        <v>3176311</v>
      </c>
      <c r="SP109" s="50">
        <f t="shared" si="130"/>
        <v>1</v>
      </c>
      <c r="ST109" s="124">
        <f>IFERROR(VLOOKUP(A109,'Grade Enroll 15-16'!B:AC,27,FALSE),"")</f>
        <v>458</v>
      </c>
      <c r="SU109" s="124">
        <f t="shared" si="185"/>
        <v>232.75409836065575</v>
      </c>
      <c r="SV109" s="131">
        <f>IFERROR(VLOOKUP($A109, 'Title I Enroll 16-17'!S:V, 4, FALSE), 0)</f>
        <v>0.50819672131147542</v>
      </c>
      <c r="SW109" s="729">
        <f>IFERROR(VLOOKUP(A109, 'ELL Enroll 15-16'!$N:$S, 6, FALSE), 0)</f>
        <v>5</v>
      </c>
      <c r="SX109" s="131">
        <f t="shared" si="131"/>
        <v>1.0917030567685589E-2</v>
      </c>
      <c r="SY109" s="124">
        <f>IFERROR(VLOOKUP(A109, 'SPED enroll 2015-16'!$M:$O, 3, FALSE), 0)</f>
        <v>81</v>
      </c>
      <c r="SZ109" s="131">
        <f t="shared" si="132"/>
        <v>0.17685589519650655</v>
      </c>
      <c r="TA109" s="142">
        <f t="shared" si="207"/>
        <v>56.699999999999996</v>
      </c>
      <c r="TB109" s="142">
        <f t="shared" si="207"/>
        <v>16.2</v>
      </c>
      <c r="TC109" s="142">
        <f t="shared" si="207"/>
        <v>5.6700000000000008</v>
      </c>
      <c r="TD109" s="142">
        <f t="shared" si="207"/>
        <v>2.4299999999999997</v>
      </c>
      <c r="TE109" s="124">
        <f>VLOOKUP($A109, 'Grade Enroll 15-16'!$B:$AB, 20, FALSE)</f>
        <v>16</v>
      </c>
      <c r="TF109" s="124">
        <f>VLOOKUP($A109, 'Grade Enroll 15-16'!$B:$AB, 21, FALSE)</f>
        <v>28</v>
      </c>
      <c r="TG109" s="124">
        <f>VLOOKUP($A109, 'Grade Enroll 15-16'!$B:$AB, 22, FALSE)</f>
        <v>110</v>
      </c>
      <c r="TH109" s="124">
        <f>VLOOKUP($A109, 'Grade Enroll 15-16'!$B:$AB, 23, FALSE)</f>
        <v>112</v>
      </c>
      <c r="TI109" s="124">
        <f>VLOOKUP($A109, 'Grade Enroll 15-16'!$B:$AB, 24, FALSE)</f>
        <v>79</v>
      </c>
      <c r="TJ109" s="124">
        <f>VLOOKUP($A109, 'Grade Enroll 15-16'!$B:$AB, 25, FALSE)</f>
        <v>157</v>
      </c>
      <c r="TK109" s="124">
        <f>VLOOKUP($A109, 'Grade Enroll 15-16'!$B:$AB, 26, FALSE)</f>
        <v>306</v>
      </c>
      <c r="TL109" s="131">
        <f>SUMIFS('Student Achievement 15-16'!N:N, 'Student Achievement 15-16'!B:B, 'Idaho Data'!A109, 'Student Achievement 15-16'!D:D, "math")/100</f>
        <v>0.29499999999999998</v>
      </c>
      <c r="TM109" s="134">
        <f t="shared" si="186"/>
        <v>135.10999999999999</v>
      </c>
      <c r="TN109" s="131">
        <f>SUMIFS('Student Achievement 15-16'!N:N, 'Student Achievement 15-16'!B:B, 'Idaho Data'!A109, 'Student Achievement 15-16'!D:D, "ela")/100</f>
        <v>0.20899999999999999</v>
      </c>
      <c r="TO109" s="134">
        <f t="shared" si="134"/>
        <v>95.721999999999994</v>
      </c>
      <c r="TP109" s="688">
        <f>IFERROR(VLOOKUP(A109, 'G&amp;T 15-16'!B:G, 6, FALSE), 0)*1</f>
        <v>0</v>
      </c>
      <c r="TQ109" s="168">
        <f t="shared" si="135"/>
        <v>27.48</v>
      </c>
      <c r="TU109" s="168">
        <f t="shared" si="136"/>
        <v>95.721999999999994</v>
      </c>
      <c r="TV109" s="168">
        <f t="shared" si="137"/>
        <v>135.10999999999999</v>
      </c>
      <c r="TW109" s="205">
        <f t="shared" si="138"/>
        <v>135.10999999999999</v>
      </c>
      <c r="TX109" s="144"/>
      <c r="TY109" s="129"/>
      <c r="TZ109" s="127">
        <f t="shared" si="139"/>
        <v>0</v>
      </c>
      <c r="UA109" s="127">
        <f t="shared" si="140"/>
        <v>27.48</v>
      </c>
      <c r="UB109" s="205">
        <f t="shared" si="141"/>
        <v>27.48</v>
      </c>
      <c r="UE109" s="853" t="str">
        <f>IF(ST109&lt;='1. Simulator Input'!$E$104, "yes", "")</f>
        <v/>
      </c>
      <c r="UI109" s="199">
        <f t="shared" si="187"/>
        <v>0</v>
      </c>
      <c r="UJ109" s="200">
        <f>IF('Idaho Data'!SI109&gt;=0, ((1-'1. Simulator Input'!$E$39)*'Idaho Data'!SI109), 0)</f>
        <v>0</v>
      </c>
      <c r="UK109" s="200">
        <f t="shared" si="142"/>
        <v>3176311</v>
      </c>
      <c r="UL109" s="39"/>
      <c r="UM109" s="182"/>
      <c r="UN109" s="39"/>
      <c r="UO109" s="39" t="str">
        <f>IF(AND('1. Simulator Input'!$E$96="yes", '1. Simulator Input'!$E$98="yes", '1. Simulator Input'!$E$100="hold harmless"), 'Idaho Data'!WN109, IF(AND('1. Simulator Input'!$E$96="yes", '1. Simulator Input'!$E$98="no", '1. Simulator Input'!$E$100="hold harmless"), 'Idaho Data'!WM109, IF(AND('1. Simulator Input'!$E$96="yes", '1. Simulator Input'!$E$98="yes", '1. Simulator Input'!$E$100="small district grant"), WL109,IF(AND('1. Simulator Input'!$E$96="yes", '1. Simulator Input'!$E$98="no", '1. Simulator Input'!$E$100="small district grant"), WK109, ""))))</f>
        <v/>
      </c>
      <c r="UP109" s="200">
        <f>'1. Simulator Input'!$D$56*('Idaho Data'!ST109)</f>
        <v>2530908</v>
      </c>
      <c r="UQ109" s="204">
        <f>'1. Simulator Input'!$D$65*'1. Simulator Input'!$D$56*'Idaho Data'!SU109</f>
        <v>0</v>
      </c>
      <c r="UR109" s="204">
        <f>'1. Simulator Input'!$D$66*'1. Simulator Input'!$D$56*'Idaho Data'!SW109</f>
        <v>0</v>
      </c>
      <c r="US109" s="200">
        <f>'1. Simulator Input'!$D$67*'1. Simulator Input'!$D$56*'Idaho Data'!TA109</f>
        <v>0</v>
      </c>
      <c r="UT109" s="200">
        <f>'1. Simulator Input'!$D$68*'1. Simulator Input'!$D$56*'Idaho Data'!TB109</f>
        <v>0</v>
      </c>
      <c r="UU109" s="200">
        <f>'1. Simulator Input'!$D$69*'1. Simulator Input'!$D$56*'Idaho Data'!TC109</f>
        <v>0</v>
      </c>
      <c r="UV109" s="200">
        <f>'1. Simulator Input'!$D$70*'1. Simulator Input'!$D$56*TD109</f>
        <v>0</v>
      </c>
      <c r="UW109" s="200">
        <f>'1. Simulator Input'!$D$80*'1. Simulator Input'!$D$56*TW109</f>
        <v>0</v>
      </c>
      <c r="UX109" s="200">
        <f>'1. Simulator Input'!$D$79*'1. Simulator Input'!$D$56*UB109</f>
        <v>0</v>
      </c>
      <c r="UY109" s="200">
        <f>'1. Simulator Input'!$D$87*'1. Simulator Input'!$D$56*TF109</f>
        <v>77364</v>
      </c>
      <c r="UZ109" s="200">
        <f>'1. Simulator Input'!$D$73*'1. Simulator Input'!$D$56*'Idaho Data'!TG109</f>
        <v>0</v>
      </c>
      <c r="VA109" s="200">
        <f>'1. Simulator Input'!$D$56*'1. Simulator Input'!$D$74*'Idaho Data'!TH109</f>
        <v>0</v>
      </c>
      <c r="VB109" s="200">
        <f>'1. Simulator Input'!$D$56*'1. Simulator Input'!$D$75*'Idaho Data'!TI104</f>
        <v>0</v>
      </c>
      <c r="VC109" s="200">
        <f>'1. Simulator Input'!$D$76*'1. Simulator Input'!$D$56*'Idaho Data'!TJ109</f>
        <v>0</v>
      </c>
      <c r="VD109" s="200">
        <f t="shared" si="188"/>
        <v>2608272</v>
      </c>
      <c r="VE109" s="200"/>
      <c r="VF109" s="182"/>
      <c r="VG109" s="200"/>
      <c r="VH109" s="200">
        <f t="shared" si="189"/>
        <v>0</v>
      </c>
      <c r="VI109" s="200">
        <f t="shared" si="190"/>
        <v>0</v>
      </c>
      <c r="VJ109" s="200">
        <f t="shared" si="214"/>
        <v>2608272</v>
      </c>
      <c r="VK109" s="200">
        <f t="shared" si="215"/>
        <v>2608272</v>
      </c>
      <c r="VL109" s="200"/>
      <c r="VM109" s="182"/>
      <c r="VN109" s="200"/>
      <c r="VO109" s="200">
        <f t="shared" si="191"/>
        <v>655249</v>
      </c>
      <c r="VP109" s="200">
        <f t="shared" si="192"/>
        <v>3176311</v>
      </c>
      <c r="VQ109" s="200">
        <f t="shared" si="193"/>
        <v>2304737</v>
      </c>
      <c r="VR109" s="200">
        <f t="shared" si="194"/>
        <v>655249</v>
      </c>
      <c r="VS109" s="200">
        <f t="shared" si="216"/>
        <v>2608272</v>
      </c>
      <c r="VT109" s="200">
        <f t="shared" si="217"/>
        <v>2304737</v>
      </c>
      <c r="VU109" s="200">
        <f t="shared" si="218"/>
        <v>0</v>
      </c>
      <c r="VV109" s="200"/>
      <c r="VW109" s="182"/>
      <c r="VX109" s="200"/>
      <c r="VZ109" s="199">
        <f t="shared" si="195"/>
        <v>-568039</v>
      </c>
      <c r="WA109" s="199">
        <f t="shared" si="196"/>
        <v>-1240.259825327511</v>
      </c>
      <c r="WB109" s="131">
        <f t="shared" si="197"/>
        <v>-0.17883607744959482</v>
      </c>
      <c r="WC109" s="131"/>
      <c r="WD109" s="461"/>
      <c r="WE109" s="893"/>
      <c r="WF109" s="893">
        <f t="shared" si="198"/>
        <v>13398.028384279476</v>
      </c>
      <c r="WG109" s="893">
        <f t="shared" si="199"/>
        <v>12157.768558951964</v>
      </c>
      <c r="WH109" s="893"/>
      <c r="WI109" s="893">
        <f t="shared" si="200"/>
        <v>3176311</v>
      </c>
      <c r="WJ109" s="893">
        <f t="shared" si="219"/>
        <v>2608272</v>
      </c>
      <c r="WK109" s="39" t="str">
        <f t="shared" si="220"/>
        <v/>
      </c>
      <c r="WL109" s="39" t="str">
        <f t="shared" si="221"/>
        <v/>
      </c>
      <c r="WM109" s="200" t="str">
        <f t="shared" si="222"/>
        <v/>
      </c>
      <c r="WN109" s="39" t="str">
        <f t="shared" si="223"/>
        <v/>
      </c>
      <c r="WO109" s="39"/>
      <c r="WP109" s="182"/>
      <c r="WQ109" s="39"/>
      <c r="WR109" s="305">
        <f t="shared" si="224"/>
        <v>0.50800000000000001</v>
      </c>
      <c r="WT109" s="200">
        <f t="shared" si="225"/>
        <v>6935.1768558951962</v>
      </c>
      <c r="WU109" s="131">
        <f t="shared" si="201"/>
        <v>0.6</v>
      </c>
      <c r="WW109" s="199">
        <f t="shared" si="226"/>
        <v>655249</v>
      </c>
      <c r="WX109" s="199">
        <f t="shared" si="227"/>
        <v>2608272</v>
      </c>
      <c r="WY109" s="199">
        <f t="shared" si="228"/>
        <v>0</v>
      </c>
      <c r="WZ109" s="199">
        <f t="shared" si="202"/>
        <v>2608272</v>
      </c>
      <c r="XA109" s="199">
        <f t="shared" si="229"/>
        <v>0</v>
      </c>
      <c r="XB109" s="199">
        <f t="shared" si="230"/>
        <v>2304737</v>
      </c>
      <c r="XC109" s="199">
        <f t="shared" si="231"/>
        <v>2304737</v>
      </c>
      <c r="XD109" s="199" t="str">
        <f t="shared" si="232"/>
        <v/>
      </c>
      <c r="XE109" s="199"/>
      <c r="XF109" s="199"/>
      <c r="XG109" s="199"/>
      <c r="XH109" s="199"/>
      <c r="XI109" s="199"/>
      <c r="XJ109" s="199">
        <f t="shared" si="203"/>
        <v>2608272</v>
      </c>
      <c r="XP109" s="199">
        <f t="shared" si="233"/>
        <v>2608272</v>
      </c>
      <c r="XQ109" s="199">
        <f t="shared" si="234"/>
        <v>5694.9170305676853</v>
      </c>
      <c r="XR109" s="199">
        <f t="shared" si="235"/>
        <v>2608272</v>
      </c>
      <c r="XS109" s="199">
        <f t="shared" si="236"/>
        <v>2608272</v>
      </c>
      <c r="XT109" s="199">
        <f t="shared" si="237"/>
        <v>5694.9170305676853</v>
      </c>
      <c r="XU109" s="199">
        <f t="shared" si="238"/>
        <v>3176311</v>
      </c>
      <c r="XV109" s="199">
        <f t="shared" si="239"/>
        <v>6935.1768558951962</v>
      </c>
      <c r="XW109" s="199">
        <f t="shared" si="240"/>
        <v>3176311</v>
      </c>
      <c r="XX109" s="199">
        <f t="shared" si="241"/>
        <v>6935.1768558951962</v>
      </c>
      <c r="XY109" s="199">
        <f t="shared" si="204"/>
        <v>-568039</v>
      </c>
      <c r="XZ109" s="199">
        <f t="shared" si="205"/>
        <v>-1240.259825327511</v>
      </c>
      <c r="YA109" s="131">
        <f t="shared" si="143"/>
        <v>-0.17883607744959484</v>
      </c>
      <c r="YB109" s="199"/>
      <c r="YC109" s="221"/>
      <c r="YD109" s="199"/>
      <c r="YE109" s="199">
        <f t="shared" si="242"/>
        <v>655249</v>
      </c>
      <c r="YF109" s="200">
        <f t="shared" si="243"/>
        <v>0</v>
      </c>
      <c r="YG109" s="199">
        <f t="shared" si="244"/>
        <v>2304737</v>
      </c>
      <c r="YH109" s="199">
        <f t="shared" si="245"/>
        <v>74586</v>
      </c>
    </row>
    <row r="110" spans="1:658">
      <c r="A110" s="3">
        <v>394</v>
      </c>
      <c r="B110" s="2" t="s">
        <v>207</v>
      </c>
      <c r="C110" s="24">
        <v>119704</v>
      </c>
      <c r="D110" s="24">
        <v>0</v>
      </c>
      <c r="E110" s="24">
        <v>0</v>
      </c>
      <c r="F110" s="24">
        <v>0</v>
      </c>
      <c r="G110" s="24">
        <v>0</v>
      </c>
      <c r="H110" s="24">
        <v>0</v>
      </c>
      <c r="I110" s="24">
        <v>0</v>
      </c>
      <c r="J110" s="24">
        <v>4256</v>
      </c>
      <c r="K110" s="24">
        <v>0</v>
      </c>
      <c r="L110" s="24">
        <v>42000</v>
      </c>
      <c r="M110" s="24">
        <v>0</v>
      </c>
      <c r="N110" s="24">
        <v>0</v>
      </c>
      <c r="O110" s="24">
        <v>0</v>
      </c>
      <c r="P110" s="24">
        <v>0</v>
      </c>
      <c r="Q110" s="24">
        <v>0</v>
      </c>
      <c r="R110" s="24">
        <v>0</v>
      </c>
      <c r="S110" s="24">
        <v>0</v>
      </c>
      <c r="T110" s="24">
        <v>0</v>
      </c>
      <c r="U110" s="24">
        <v>0</v>
      </c>
      <c r="V110" s="24">
        <v>0</v>
      </c>
      <c r="W110" s="24">
        <v>0</v>
      </c>
      <c r="X110" s="24">
        <v>0</v>
      </c>
      <c r="Y110" s="24">
        <v>724</v>
      </c>
      <c r="Z110" s="24">
        <v>0</v>
      </c>
      <c r="AA110" s="24">
        <v>0</v>
      </c>
      <c r="AB110" s="24">
        <v>0</v>
      </c>
      <c r="AC110" s="24">
        <v>0</v>
      </c>
      <c r="AD110" s="24">
        <v>0</v>
      </c>
      <c r="AE110" s="24">
        <v>0</v>
      </c>
      <c r="AF110" s="24">
        <v>0</v>
      </c>
      <c r="AG110" s="24">
        <v>0</v>
      </c>
      <c r="AH110" s="24">
        <v>0</v>
      </c>
      <c r="AI110" s="24">
        <v>0</v>
      </c>
      <c r="AJ110" s="24">
        <v>0</v>
      </c>
      <c r="AK110" s="24">
        <v>0</v>
      </c>
      <c r="AL110" s="24">
        <v>1008</v>
      </c>
      <c r="AM110" s="24">
        <v>0</v>
      </c>
      <c r="AN110" s="24">
        <v>5025</v>
      </c>
      <c r="AO110" s="24">
        <v>0</v>
      </c>
      <c r="AP110" s="24">
        <v>0</v>
      </c>
      <c r="AQ110" s="24">
        <v>0</v>
      </c>
      <c r="AR110" s="24">
        <v>0</v>
      </c>
      <c r="AS110" s="24">
        <v>0</v>
      </c>
      <c r="AT110" s="24">
        <v>0</v>
      </c>
      <c r="AU110" s="24">
        <v>0</v>
      </c>
      <c r="AV110" s="24">
        <v>0</v>
      </c>
      <c r="AW110" s="24">
        <v>0</v>
      </c>
      <c r="AX110" s="24">
        <v>0</v>
      </c>
      <c r="AY110" s="24">
        <v>0</v>
      </c>
      <c r="AZ110" s="24">
        <v>0</v>
      </c>
      <c r="BA110" s="24">
        <v>0</v>
      </c>
      <c r="BB110" s="24">
        <v>0</v>
      </c>
      <c r="BC110" s="24">
        <v>0</v>
      </c>
      <c r="BD110" s="24">
        <v>0</v>
      </c>
      <c r="BE110" s="24">
        <v>0</v>
      </c>
      <c r="BF110" s="24">
        <v>0</v>
      </c>
      <c r="BG110" s="24">
        <v>0</v>
      </c>
      <c r="BH110" s="24">
        <v>0</v>
      </c>
      <c r="BI110" s="24">
        <v>0</v>
      </c>
      <c r="BJ110" s="24">
        <v>0</v>
      </c>
      <c r="BK110" s="24">
        <v>0</v>
      </c>
      <c r="BL110" s="24">
        <v>0</v>
      </c>
      <c r="BM110" s="24">
        <v>0</v>
      </c>
      <c r="BN110" s="24">
        <v>0</v>
      </c>
      <c r="BO110" s="24">
        <v>0</v>
      </c>
      <c r="BP110" s="24">
        <v>0</v>
      </c>
      <c r="BQ110" s="24">
        <v>0</v>
      </c>
      <c r="BR110" s="24">
        <v>0</v>
      </c>
      <c r="BS110" s="24">
        <v>0</v>
      </c>
      <c r="BT110" s="24">
        <v>0</v>
      </c>
      <c r="BU110" s="24">
        <v>0</v>
      </c>
      <c r="BV110" s="24">
        <v>0</v>
      </c>
      <c r="BW110" s="24">
        <v>0</v>
      </c>
      <c r="BX110" s="24">
        <v>0</v>
      </c>
      <c r="BY110" s="24">
        <v>0</v>
      </c>
      <c r="BZ110" s="24">
        <v>0</v>
      </c>
      <c r="CA110" s="24">
        <v>0</v>
      </c>
      <c r="CB110" s="24">
        <v>0</v>
      </c>
      <c r="CC110" s="24">
        <v>0</v>
      </c>
      <c r="CD110" s="24">
        <v>0</v>
      </c>
      <c r="CE110" s="24">
        <v>0</v>
      </c>
      <c r="CF110" s="24">
        <v>0</v>
      </c>
      <c r="CG110" s="24">
        <v>0</v>
      </c>
      <c r="CH110" s="24">
        <v>0</v>
      </c>
      <c r="CI110" s="24">
        <v>0</v>
      </c>
      <c r="CJ110" s="24">
        <v>0</v>
      </c>
      <c r="CK110" s="24">
        <v>0</v>
      </c>
      <c r="CL110" s="24">
        <v>0</v>
      </c>
      <c r="CM110" s="24">
        <v>0</v>
      </c>
      <c r="CN110" s="24">
        <v>0</v>
      </c>
      <c r="CO110" s="24">
        <v>0</v>
      </c>
      <c r="CP110" s="24">
        <v>0</v>
      </c>
      <c r="CQ110" s="24">
        <v>0</v>
      </c>
      <c r="CR110" s="24">
        <v>0</v>
      </c>
      <c r="CS110" s="24">
        <v>0</v>
      </c>
      <c r="CT110" s="24">
        <v>0</v>
      </c>
      <c r="CU110" s="24">
        <v>0</v>
      </c>
      <c r="CV110" s="24">
        <v>0</v>
      </c>
      <c r="CW110" s="24">
        <v>0</v>
      </c>
      <c r="CX110" s="24">
        <v>0</v>
      </c>
      <c r="CY110" s="24">
        <v>0</v>
      </c>
      <c r="CZ110" s="24">
        <v>0</v>
      </c>
      <c r="DA110" s="24">
        <v>0</v>
      </c>
      <c r="DB110" s="24">
        <v>0</v>
      </c>
      <c r="DC110" s="24">
        <v>0</v>
      </c>
      <c r="DD110" s="24">
        <v>0</v>
      </c>
      <c r="DE110" s="24">
        <v>0</v>
      </c>
      <c r="DF110" s="24">
        <v>0</v>
      </c>
      <c r="DG110" s="24">
        <v>0</v>
      </c>
      <c r="DH110" s="24">
        <v>0</v>
      </c>
      <c r="DI110" s="24">
        <v>0</v>
      </c>
      <c r="DJ110" s="24">
        <v>0</v>
      </c>
      <c r="DK110" s="24">
        <v>0</v>
      </c>
      <c r="DL110" s="24">
        <v>0</v>
      </c>
      <c r="DM110" s="24">
        <v>0</v>
      </c>
      <c r="DN110" s="24">
        <v>0</v>
      </c>
      <c r="DO110" s="24">
        <v>0</v>
      </c>
      <c r="DP110" s="24">
        <v>0</v>
      </c>
      <c r="DQ110" s="24">
        <v>0</v>
      </c>
      <c r="DR110" s="24">
        <v>0</v>
      </c>
      <c r="DS110" s="24">
        <v>0</v>
      </c>
      <c r="DT110" s="24">
        <v>0</v>
      </c>
      <c r="DU110" s="24">
        <v>3000</v>
      </c>
      <c r="DV110" s="24">
        <v>0</v>
      </c>
      <c r="DW110" s="24">
        <v>0</v>
      </c>
      <c r="DX110" s="24">
        <v>0</v>
      </c>
      <c r="DY110" s="24">
        <v>0</v>
      </c>
      <c r="DZ110" s="24">
        <v>0</v>
      </c>
      <c r="EA110" s="24">
        <v>0</v>
      </c>
      <c r="EB110" s="24">
        <v>0</v>
      </c>
      <c r="EC110" s="24">
        <v>0</v>
      </c>
      <c r="ED110" s="24">
        <v>0</v>
      </c>
      <c r="EE110" s="24">
        <v>0</v>
      </c>
      <c r="EF110" s="24">
        <v>0</v>
      </c>
      <c r="EG110" s="24">
        <v>0</v>
      </c>
      <c r="EH110" s="24">
        <v>0</v>
      </c>
      <c r="EI110" s="24">
        <v>0</v>
      </c>
      <c r="EJ110" s="24">
        <v>0</v>
      </c>
      <c r="EK110" s="24">
        <v>0</v>
      </c>
      <c r="EL110" s="24">
        <v>0</v>
      </c>
      <c r="EM110" s="24">
        <v>0</v>
      </c>
      <c r="EN110" s="24">
        <v>0</v>
      </c>
      <c r="EO110" s="24">
        <v>0</v>
      </c>
      <c r="EP110" s="24">
        <v>0</v>
      </c>
      <c r="EQ110" s="24">
        <v>0</v>
      </c>
      <c r="ER110" s="24">
        <v>0</v>
      </c>
      <c r="ES110" s="24">
        <v>0</v>
      </c>
      <c r="ET110" s="24">
        <v>0</v>
      </c>
      <c r="EU110" s="24">
        <v>0</v>
      </c>
      <c r="EV110" s="24">
        <v>0</v>
      </c>
      <c r="EW110" s="24">
        <v>0</v>
      </c>
      <c r="EX110" s="24">
        <v>0</v>
      </c>
      <c r="EY110" s="24">
        <v>0</v>
      </c>
      <c r="EZ110" s="24">
        <v>0</v>
      </c>
      <c r="FA110" s="24">
        <v>0</v>
      </c>
      <c r="FB110" s="24">
        <v>0</v>
      </c>
      <c r="FC110" s="24">
        <v>0</v>
      </c>
      <c r="FD110" s="24">
        <v>0</v>
      </c>
      <c r="FE110" s="24">
        <v>0</v>
      </c>
      <c r="FF110" s="24">
        <v>0</v>
      </c>
      <c r="FG110" s="24">
        <v>0</v>
      </c>
      <c r="FH110" s="24">
        <v>0</v>
      </c>
      <c r="FI110" s="24">
        <v>0</v>
      </c>
      <c r="FJ110" s="24">
        <v>0</v>
      </c>
      <c r="FK110" s="24">
        <v>0</v>
      </c>
      <c r="FL110" s="24">
        <v>0</v>
      </c>
      <c r="FM110" s="24">
        <v>0</v>
      </c>
      <c r="FN110" s="24">
        <v>0</v>
      </c>
      <c r="FO110" s="24">
        <v>0</v>
      </c>
      <c r="FP110" s="24">
        <v>0</v>
      </c>
      <c r="FQ110" s="24">
        <v>0</v>
      </c>
      <c r="FR110" s="24">
        <v>0</v>
      </c>
      <c r="FS110" s="24">
        <v>698</v>
      </c>
      <c r="FT110" s="24">
        <v>0</v>
      </c>
      <c r="FU110" s="24">
        <v>0</v>
      </c>
      <c r="FV110" s="24">
        <v>0</v>
      </c>
      <c r="FW110" s="24">
        <v>0</v>
      </c>
      <c r="FX110" s="24">
        <v>0</v>
      </c>
      <c r="FY110" s="24">
        <v>0</v>
      </c>
      <c r="FZ110" s="24">
        <v>0</v>
      </c>
      <c r="GA110" s="24">
        <v>0</v>
      </c>
      <c r="GB110" s="24">
        <v>0</v>
      </c>
      <c r="GC110" s="24">
        <v>0</v>
      </c>
      <c r="GD110" s="24">
        <v>0</v>
      </c>
      <c r="GE110" s="24">
        <v>0</v>
      </c>
      <c r="GF110" s="24">
        <v>0</v>
      </c>
      <c r="GG110" s="24">
        <v>0</v>
      </c>
      <c r="GH110" s="24">
        <v>0</v>
      </c>
      <c r="GI110" s="24">
        <v>0</v>
      </c>
      <c r="GJ110" s="24">
        <v>0</v>
      </c>
      <c r="GK110" s="24">
        <v>0</v>
      </c>
      <c r="GL110" s="24">
        <v>0</v>
      </c>
      <c r="GM110" s="24">
        <v>0</v>
      </c>
      <c r="GN110" s="24">
        <v>0</v>
      </c>
      <c r="GO110" s="24">
        <v>0</v>
      </c>
      <c r="GP110" s="24">
        <v>0</v>
      </c>
      <c r="GQ110" s="24">
        <v>0</v>
      </c>
      <c r="GR110" s="24">
        <v>0</v>
      </c>
      <c r="GS110" s="24">
        <v>0</v>
      </c>
      <c r="GT110" s="24">
        <v>0</v>
      </c>
      <c r="GU110" s="24">
        <v>0</v>
      </c>
      <c r="GV110" s="24">
        <v>0</v>
      </c>
      <c r="GW110" s="24">
        <v>0</v>
      </c>
      <c r="GX110" s="24">
        <v>0</v>
      </c>
      <c r="GY110" s="24">
        <v>780</v>
      </c>
      <c r="GZ110" s="24">
        <v>0</v>
      </c>
      <c r="HA110" s="24">
        <v>0</v>
      </c>
      <c r="HB110" s="24">
        <v>0</v>
      </c>
      <c r="HC110" s="24">
        <v>0</v>
      </c>
      <c r="HD110" s="24">
        <v>170450</v>
      </c>
      <c r="HE110" s="24">
        <v>0</v>
      </c>
      <c r="HF110" s="24">
        <v>0</v>
      </c>
      <c r="HG110" s="24">
        <v>0</v>
      </c>
      <c r="HH110" s="24">
        <v>0</v>
      </c>
      <c r="HI110" s="24">
        <v>58043</v>
      </c>
      <c r="HJ110" s="24">
        <v>0</v>
      </c>
      <c r="HK110" s="24">
        <v>0</v>
      </c>
      <c r="HL110" s="24">
        <v>0</v>
      </c>
      <c r="HM110" s="24">
        <v>0</v>
      </c>
      <c r="HN110" s="24">
        <v>0</v>
      </c>
      <c r="HO110" s="24">
        <v>26448</v>
      </c>
      <c r="HP110" s="24">
        <v>30596</v>
      </c>
      <c r="HQ110" s="24">
        <v>0</v>
      </c>
      <c r="HR110" s="24">
        <v>0</v>
      </c>
      <c r="HS110" s="24">
        <v>0</v>
      </c>
      <c r="HT110" s="24">
        <v>0</v>
      </c>
      <c r="HU110" s="24">
        <v>0</v>
      </c>
      <c r="HV110" s="24">
        <v>0</v>
      </c>
      <c r="HW110" s="24">
        <v>0</v>
      </c>
      <c r="HX110" s="24">
        <v>0</v>
      </c>
      <c r="HY110" s="24">
        <v>0</v>
      </c>
      <c r="HZ110" s="24">
        <v>0</v>
      </c>
      <c r="IA110" s="24">
        <v>0</v>
      </c>
      <c r="IB110" s="24">
        <v>0</v>
      </c>
      <c r="IC110" s="24">
        <v>0</v>
      </c>
      <c r="ID110" s="24">
        <v>0</v>
      </c>
      <c r="IE110" s="24">
        <v>0</v>
      </c>
      <c r="IF110" s="24">
        <v>0</v>
      </c>
      <c r="IG110" s="24">
        <v>0</v>
      </c>
      <c r="IH110" s="24">
        <v>0</v>
      </c>
      <c r="II110" s="24">
        <v>0</v>
      </c>
      <c r="IJ110" s="24">
        <v>0</v>
      </c>
      <c r="IK110" s="24">
        <v>0</v>
      </c>
      <c r="IL110" s="24">
        <v>0</v>
      </c>
      <c r="IM110" s="24">
        <v>0</v>
      </c>
      <c r="IN110" s="24">
        <v>0</v>
      </c>
      <c r="IO110" s="24">
        <v>0</v>
      </c>
      <c r="IP110" s="24">
        <v>0</v>
      </c>
      <c r="IQ110" s="24">
        <v>0</v>
      </c>
      <c r="IR110" s="24">
        <v>0</v>
      </c>
      <c r="IS110" s="24">
        <v>0</v>
      </c>
      <c r="IT110" s="24">
        <v>0</v>
      </c>
      <c r="IU110" s="24">
        <v>0</v>
      </c>
      <c r="IV110" s="24">
        <v>0</v>
      </c>
      <c r="IW110" s="24">
        <v>0</v>
      </c>
      <c r="IX110" s="24">
        <v>0</v>
      </c>
      <c r="IY110" s="24">
        <v>0</v>
      </c>
      <c r="IZ110" s="24">
        <v>0</v>
      </c>
      <c r="JA110" s="24">
        <v>0</v>
      </c>
      <c r="JB110" s="24">
        <v>0</v>
      </c>
      <c r="JC110" s="24">
        <v>0</v>
      </c>
      <c r="JD110" s="24">
        <v>0</v>
      </c>
      <c r="JE110" s="24">
        <v>4000</v>
      </c>
      <c r="JF110" s="24">
        <v>0</v>
      </c>
      <c r="JG110" s="24">
        <v>0</v>
      </c>
      <c r="JH110" s="24">
        <v>0</v>
      </c>
      <c r="JI110" s="24">
        <v>0</v>
      </c>
      <c r="JJ110" s="24">
        <v>0</v>
      </c>
      <c r="JK110" s="24">
        <v>0</v>
      </c>
      <c r="JL110" s="24">
        <v>0</v>
      </c>
      <c r="JM110" s="24">
        <v>0</v>
      </c>
      <c r="JN110" s="24">
        <v>0</v>
      </c>
      <c r="JO110" s="24">
        <v>0</v>
      </c>
      <c r="JP110" s="24">
        <v>0</v>
      </c>
      <c r="JQ110" s="24">
        <v>0</v>
      </c>
      <c r="JR110" s="24">
        <v>0</v>
      </c>
      <c r="JS110" s="24">
        <v>0</v>
      </c>
      <c r="JT110" s="24">
        <v>0</v>
      </c>
      <c r="JU110" s="24">
        <v>0</v>
      </c>
      <c r="JV110" s="24">
        <v>0</v>
      </c>
      <c r="JW110" s="24">
        <v>0</v>
      </c>
      <c r="JX110" s="24">
        <v>0</v>
      </c>
      <c r="JY110" s="24">
        <v>0</v>
      </c>
      <c r="JZ110" s="24">
        <v>0</v>
      </c>
      <c r="KA110" s="24">
        <v>0</v>
      </c>
      <c r="KB110" s="24">
        <v>0</v>
      </c>
      <c r="KC110" s="24">
        <v>0</v>
      </c>
      <c r="KD110" s="24">
        <v>0</v>
      </c>
      <c r="KE110" s="24">
        <v>0</v>
      </c>
      <c r="KF110" s="24">
        <v>0</v>
      </c>
      <c r="KG110" s="24">
        <v>5828</v>
      </c>
      <c r="KH110" s="24">
        <v>0</v>
      </c>
      <c r="KI110" s="24">
        <v>0</v>
      </c>
      <c r="KJ110" s="24">
        <v>0</v>
      </c>
      <c r="KK110" s="24">
        <v>0</v>
      </c>
      <c r="KL110" s="24">
        <v>0</v>
      </c>
      <c r="KM110" s="24">
        <v>0</v>
      </c>
      <c r="KN110" s="24">
        <v>0</v>
      </c>
      <c r="KO110" s="24">
        <v>0</v>
      </c>
      <c r="KP110" s="24">
        <v>0</v>
      </c>
      <c r="KQ110" s="24">
        <v>0</v>
      </c>
      <c r="KR110" s="24">
        <v>0</v>
      </c>
      <c r="KS110" s="24">
        <v>0</v>
      </c>
      <c r="KT110" s="24">
        <v>0</v>
      </c>
      <c r="KU110" s="24">
        <v>0</v>
      </c>
      <c r="KV110" s="24">
        <v>0</v>
      </c>
      <c r="KW110" s="24">
        <v>0</v>
      </c>
      <c r="KX110" s="24">
        <v>0</v>
      </c>
      <c r="KY110" s="24">
        <v>0</v>
      </c>
      <c r="KZ110" s="24">
        <v>0</v>
      </c>
      <c r="LA110" s="24">
        <v>0</v>
      </c>
      <c r="LB110" s="24">
        <v>0</v>
      </c>
      <c r="LC110" s="24">
        <v>0</v>
      </c>
      <c r="LD110" s="24">
        <v>0</v>
      </c>
      <c r="LE110" s="24">
        <v>0</v>
      </c>
      <c r="LF110" s="24">
        <v>0</v>
      </c>
      <c r="LG110" s="24">
        <v>0</v>
      </c>
      <c r="LH110" s="24">
        <v>0</v>
      </c>
      <c r="LI110" s="24">
        <v>0</v>
      </c>
      <c r="LJ110" s="24">
        <v>0</v>
      </c>
      <c r="LK110" s="24">
        <v>0</v>
      </c>
      <c r="LL110" s="24">
        <v>0</v>
      </c>
      <c r="LM110" s="24">
        <v>0</v>
      </c>
      <c r="LN110" s="24">
        <v>0</v>
      </c>
      <c r="LO110" s="24">
        <v>0</v>
      </c>
      <c r="LP110" s="24">
        <v>0</v>
      </c>
      <c r="LQ110" s="24">
        <v>9505</v>
      </c>
      <c r="LR110" s="24">
        <v>0</v>
      </c>
      <c r="LS110" s="24">
        <v>0</v>
      </c>
      <c r="LT110" s="24">
        <v>0</v>
      </c>
      <c r="LU110" s="24">
        <v>0</v>
      </c>
      <c r="LV110" s="24">
        <v>0</v>
      </c>
      <c r="LW110" s="24">
        <v>0</v>
      </c>
      <c r="LX110" s="24">
        <v>0</v>
      </c>
      <c r="LY110" s="24">
        <v>0</v>
      </c>
      <c r="LZ110" s="24">
        <v>0</v>
      </c>
      <c r="MA110" s="24">
        <v>0</v>
      </c>
      <c r="MB110" s="24">
        <v>0</v>
      </c>
      <c r="MC110" s="24">
        <v>0</v>
      </c>
      <c r="MD110" s="24">
        <v>0</v>
      </c>
      <c r="ME110" s="24">
        <v>0</v>
      </c>
      <c r="MF110" s="24">
        <v>0</v>
      </c>
      <c r="MG110" s="24">
        <v>0</v>
      </c>
      <c r="MH110" s="24">
        <v>0</v>
      </c>
      <c r="MI110" s="24">
        <v>0</v>
      </c>
      <c r="MJ110" s="24">
        <v>0</v>
      </c>
      <c r="MK110" s="24">
        <v>0</v>
      </c>
      <c r="ML110" s="24">
        <v>0</v>
      </c>
      <c r="MM110" s="24">
        <v>0</v>
      </c>
      <c r="MN110" s="24">
        <v>0</v>
      </c>
      <c r="MO110" s="24">
        <v>0</v>
      </c>
      <c r="MP110" s="24">
        <v>0</v>
      </c>
      <c r="MQ110" s="24">
        <v>0</v>
      </c>
      <c r="MR110" s="24">
        <v>0</v>
      </c>
      <c r="MS110" s="24">
        <v>0</v>
      </c>
      <c r="MT110" s="24">
        <v>0</v>
      </c>
      <c r="MU110" s="24">
        <v>0</v>
      </c>
      <c r="MV110" s="24">
        <v>0</v>
      </c>
      <c r="MW110" s="24">
        <v>0</v>
      </c>
      <c r="MX110" s="24">
        <v>0</v>
      </c>
      <c r="MY110" s="24">
        <v>0</v>
      </c>
      <c r="MZ110" s="24">
        <v>0</v>
      </c>
      <c r="NA110" s="24">
        <v>0</v>
      </c>
      <c r="NB110" s="24">
        <v>0</v>
      </c>
      <c r="NC110" s="24">
        <v>0</v>
      </c>
      <c r="ND110" s="24">
        <v>0</v>
      </c>
      <c r="NE110" s="24">
        <v>0</v>
      </c>
      <c r="NF110" s="24">
        <v>0</v>
      </c>
      <c r="NG110" s="24">
        <v>0</v>
      </c>
      <c r="NH110" s="24">
        <v>0</v>
      </c>
      <c r="NI110" s="24">
        <v>0</v>
      </c>
      <c r="NJ110" s="24">
        <v>0</v>
      </c>
      <c r="NK110" s="24">
        <v>0</v>
      </c>
      <c r="NL110" s="24">
        <v>0</v>
      </c>
      <c r="NM110" s="24">
        <v>0</v>
      </c>
      <c r="NN110" s="24">
        <v>0</v>
      </c>
      <c r="NO110" s="24">
        <v>0</v>
      </c>
      <c r="NP110" s="24">
        <v>0</v>
      </c>
      <c r="NQ110" s="24">
        <v>16668</v>
      </c>
      <c r="NR110" s="24">
        <v>0</v>
      </c>
      <c r="NS110" s="24">
        <v>0</v>
      </c>
      <c r="NT110" s="24">
        <v>0</v>
      </c>
      <c r="NU110" s="24">
        <v>0</v>
      </c>
      <c r="NV110" s="24">
        <v>1830</v>
      </c>
      <c r="NW110" s="24">
        <v>0</v>
      </c>
      <c r="NX110" s="24">
        <v>0</v>
      </c>
      <c r="NY110" s="24">
        <v>0</v>
      </c>
      <c r="NZ110" s="24">
        <v>0</v>
      </c>
      <c r="OA110" s="24">
        <v>0</v>
      </c>
      <c r="OB110" s="24">
        <v>0</v>
      </c>
      <c r="OC110" s="24">
        <v>0</v>
      </c>
      <c r="OD110" s="24">
        <v>0</v>
      </c>
      <c r="OE110" s="24">
        <v>0</v>
      </c>
      <c r="OF110" s="24">
        <v>0</v>
      </c>
      <c r="OG110" s="24">
        <v>0</v>
      </c>
      <c r="OH110" s="24">
        <v>0</v>
      </c>
      <c r="OI110" s="24">
        <v>0</v>
      </c>
      <c r="OJ110" s="24">
        <v>0</v>
      </c>
      <c r="OK110" s="24">
        <v>0</v>
      </c>
      <c r="OL110" s="24">
        <v>0</v>
      </c>
      <c r="OM110" s="24">
        <v>0</v>
      </c>
      <c r="ON110" s="24">
        <v>0</v>
      </c>
      <c r="OO110" s="24">
        <v>0</v>
      </c>
      <c r="OP110" s="24">
        <v>0</v>
      </c>
      <c r="OQ110" s="24">
        <v>0</v>
      </c>
      <c r="OR110" s="24">
        <v>0</v>
      </c>
      <c r="OS110" s="24">
        <v>0</v>
      </c>
      <c r="OT110" s="24">
        <v>0</v>
      </c>
      <c r="OU110" s="24">
        <v>0</v>
      </c>
      <c r="OV110" s="24">
        <v>0</v>
      </c>
      <c r="OW110" s="24">
        <v>0</v>
      </c>
      <c r="OX110" s="24">
        <v>0</v>
      </c>
      <c r="OY110" s="24">
        <v>27821</v>
      </c>
      <c r="OZ110" s="24">
        <v>0</v>
      </c>
      <c r="PA110" s="24">
        <v>0</v>
      </c>
      <c r="PB110" s="24">
        <v>0</v>
      </c>
      <c r="PC110" s="24">
        <v>0</v>
      </c>
      <c r="PD110" s="24">
        <v>0</v>
      </c>
      <c r="PE110" s="24">
        <v>0</v>
      </c>
      <c r="PF110" s="24">
        <v>0</v>
      </c>
      <c r="PG110" s="24">
        <v>0</v>
      </c>
      <c r="PH110" s="24">
        <v>15000</v>
      </c>
      <c r="PI110" s="24">
        <v>0</v>
      </c>
      <c r="PJ110" s="24">
        <v>32467</v>
      </c>
      <c r="PK110" s="24">
        <v>0</v>
      </c>
      <c r="PL110" s="24">
        <v>0</v>
      </c>
      <c r="PM110" s="24">
        <v>0</v>
      </c>
      <c r="PN110" s="24">
        <v>0</v>
      </c>
      <c r="PO110" s="24">
        <v>0</v>
      </c>
      <c r="PP110" s="24">
        <v>0</v>
      </c>
      <c r="PQ110" s="24">
        <v>0</v>
      </c>
      <c r="PR110" s="24">
        <v>0</v>
      </c>
      <c r="PS110" s="24">
        <v>0</v>
      </c>
      <c r="PT110" s="24">
        <v>0</v>
      </c>
      <c r="PU110" s="24">
        <v>0</v>
      </c>
      <c r="PV110" s="24">
        <v>0</v>
      </c>
      <c r="PW110" s="24">
        <v>0</v>
      </c>
      <c r="PX110" s="24">
        <v>0</v>
      </c>
      <c r="PY110" s="24">
        <v>0</v>
      </c>
      <c r="PZ110" s="24">
        <v>0</v>
      </c>
      <c r="QA110" s="24">
        <v>0</v>
      </c>
      <c r="QB110" s="24">
        <v>0</v>
      </c>
      <c r="QC110" s="24">
        <v>0</v>
      </c>
      <c r="QD110" s="24">
        <v>0</v>
      </c>
      <c r="QE110" s="24">
        <v>0</v>
      </c>
      <c r="QF110" s="24">
        <v>0</v>
      </c>
      <c r="QG110" s="24">
        <v>0</v>
      </c>
      <c r="QH110" s="24">
        <v>0</v>
      </c>
      <c r="QI110" s="24">
        <v>0</v>
      </c>
      <c r="QJ110" s="24">
        <v>0</v>
      </c>
      <c r="QK110" s="24">
        <v>0</v>
      </c>
      <c r="QL110" s="24">
        <v>0</v>
      </c>
      <c r="QM110" s="24">
        <v>0</v>
      </c>
      <c r="QN110" s="24">
        <v>0</v>
      </c>
      <c r="QO110" s="24">
        <v>0</v>
      </c>
      <c r="QP110" s="24">
        <v>0</v>
      </c>
      <c r="QQ110" s="24">
        <v>0</v>
      </c>
      <c r="QR110" s="24">
        <v>0</v>
      </c>
      <c r="QS110" s="24">
        <v>0</v>
      </c>
      <c r="QT110" s="24">
        <v>0</v>
      </c>
      <c r="QU110" s="24">
        <v>0</v>
      </c>
      <c r="QV110" s="24">
        <v>0</v>
      </c>
      <c r="QW110" s="24">
        <v>0</v>
      </c>
      <c r="QX110" s="24">
        <v>0</v>
      </c>
      <c r="QY110" s="24">
        <v>0</v>
      </c>
      <c r="QZ110" s="24">
        <v>0</v>
      </c>
      <c r="RA110" s="24">
        <v>0</v>
      </c>
      <c r="RB110" s="24">
        <v>0</v>
      </c>
      <c r="RG110" s="39">
        <f t="shared" si="129"/>
        <v>170450</v>
      </c>
      <c r="RH110" s="39">
        <f t="shared" si="206"/>
        <v>58043</v>
      </c>
      <c r="RI110" s="39">
        <f t="shared" si="206"/>
        <v>0</v>
      </c>
      <c r="RJ110" s="39">
        <f t="shared" si="206"/>
        <v>0</v>
      </c>
      <c r="RK110" s="39">
        <f t="shared" si="206"/>
        <v>0</v>
      </c>
      <c r="RL110" s="39">
        <f t="shared" si="206"/>
        <v>26448</v>
      </c>
      <c r="RM110" s="39">
        <f t="shared" si="206"/>
        <v>30596</v>
      </c>
      <c r="RN110" s="39">
        <f t="shared" ref="RH110:RR124" si="247">SUMIFS($C110:$RB110,$C$7:$RB$7,RN$3)</f>
        <v>0</v>
      </c>
      <c r="RO110" s="39">
        <f t="shared" si="247"/>
        <v>0</v>
      </c>
      <c r="RP110" s="39">
        <f t="shared" si="247"/>
        <v>0</v>
      </c>
      <c r="RQ110" s="39">
        <f t="shared" si="247"/>
        <v>0</v>
      </c>
      <c r="RR110" s="39">
        <f t="shared" si="247"/>
        <v>4000</v>
      </c>
      <c r="RS110" s="39"/>
      <c r="RT110" s="182"/>
      <c r="RU110" s="39"/>
      <c r="RV110" s="39">
        <f t="shared" si="246"/>
        <v>33831</v>
      </c>
      <c r="RW110" s="39">
        <f t="shared" si="246"/>
        <v>289537</v>
      </c>
      <c r="RX110" s="39">
        <f t="shared" si="246"/>
        <v>177195</v>
      </c>
      <c r="RY110" s="39">
        <f t="shared" si="246"/>
        <v>75288</v>
      </c>
      <c r="RZ110" s="39"/>
      <c r="SA110" s="182"/>
      <c r="SB110" s="39"/>
      <c r="SC110" s="25">
        <f t="shared" si="183"/>
        <v>35439</v>
      </c>
      <c r="SD110" s="39">
        <f>IFERROR(VLOOKUP(A110, 'Levy Data 15-16'!$B:$O, 3, FALSE), 0)</f>
        <v>117739073</v>
      </c>
      <c r="SE110" s="39">
        <f t="shared" si="208"/>
        <v>23547814.600000001</v>
      </c>
      <c r="SF110" s="631">
        <f>IFERROR(VLOOKUP(A110, 'Levy Data 15-16'!$B:$O, 14, FALSE), 0)*1000</f>
        <v>1.3649930000000001</v>
      </c>
      <c r="SG110" s="39">
        <f t="shared" si="209"/>
        <v>0</v>
      </c>
      <c r="SH110" s="39">
        <f t="shared" si="210"/>
        <v>0</v>
      </c>
      <c r="SI110" s="39">
        <f t="shared" si="211"/>
        <v>177195</v>
      </c>
      <c r="SM110" s="39">
        <f t="shared" si="212"/>
        <v>289537</v>
      </c>
      <c r="SN110" s="39">
        <f t="shared" si="213"/>
        <v>0</v>
      </c>
      <c r="SO110" s="39">
        <f t="shared" si="184"/>
        <v>289537</v>
      </c>
      <c r="SP110" s="50">
        <f t="shared" si="130"/>
        <v>1</v>
      </c>
      <c r="ST110" s="124">
        <f>IFERROR(VLOOKUP(A110,'Grade Enroll 15-16'!B:AC,27,FALSE),"")</f>
        <v>5</v>
      </c>
      <c r="SU110" s="124">
        <f t="shared" si="185"/>
        <v>0</v>
      </c>
      <c r="SV110" s="131">
        <f>IFERROR(VLOOKUP($A110, 'Title I Enroll 16-17'!S:V, 4, FALSE), 0)</f>
        <v>0</v>
      </c>
      <c r="SW110" s="729">
        <f>IFERROR(VLOOKUP(A110, 'ELL Enroll 15-16'!$N:$S, 6, FALSE), 0)</f>
        <v>5</v>
      </c>
      <c r="SX110" s="131">
        <f t="shared" si="131"/>
        <v>1</v>
      </c>
      <c r="SY110" s="124">
        <f>IFERROR(VLOOKUP(A110, 'SPED enroll 2015-16'!$M:$O, 3, FALSE), 0)</f>
        <v>5</v>
      </c>
      <c r="SZ110" s="131">
        <f t="shared" si="132"/>
        <v>1</v>
      </c>
      <c r="TA110" s="142">
        <f t="shared" si="207"/>
        <v>3.5</v>
      </c>
      <c r="TB110" s="142">
        <f t="shared" si="207"/>
        <v>1</v>
      </c>
      <c r="TC110" s="142">
        <f t="shared" si="207"/>
        <v>0.35000000000000003</v>
      </c>
      <c r="TD110" s="142">
        <f t="shared" si="207"/>
        <v>0.15</v>
      </c>
      <c r="TE110" s="124">
        <f>VLOOKUP($A110, 'Grade Enroll 15-16'!$B:$AB, 20, FALSE)</f>
        <v>0</v>
      </c>
      <c r="TF110" s="124">
        <f>VLOOKUP($A110, 'Grade Enroll 15-16'!$B:$AB, 21, FALSE)</f>
        <v>1</v>
      </c>
      <c r="TG110" s="124">
        <f>VLOOKUP($A110, 'Grade Enroll 15-16'!$B:$AB, 22, FALSE)</f>
        <v>4</v>
      </c>
      <c r="TH110" s="124">
        <f>VLOOKUP($A110, 'Grade Enroll 15-16'!$B:$AB, 23, FALSE)</f>
        <v>1</v>
      </c>
      <c r="TI110" s="124">
        <f>VLOOKUP($A110, 'Grade Enroll 15-16'!$B:$AB, 24, FALSE)</f>
        <v>0</v>
      </c>
      <c r="TJ110" s="124">
        <f>VLOOKUP($A110, 'Grade Enroll 15-16'!$B:$AB, 25, FALSE)</f>
        <v>0</v>
      </c>
      <c r="TK110" s="124">
        <f>VLOOKUP($A110, 'Grade Enroll 15-16'!$B:$AB, 26, FALSE)</f>
        <v>1</v>
      </c>
      <c r="TL110" s="131">
        <f>SUMIFS('Student Achievement 15-16'!N:N, 'Student Achievement 15-16'!B:B, 'Idaho Data'!A110, 'Student Achievement 15-16'!D:D, "math")/100</f>
        <v>0.05</v>
      </c>
      <c r="TM110" s="134">
        <f t="shared" si="186"/>
        <v>0.25</v>
      </c>
      <c r="TN110" s="131">
        <f>SUMIFS('Student Achievement 15-16'!N:N, 'Student Achievement 15-16'!B:B, 'Idaho Data'!A110, 'Student Achievement 15-16'!D:D, "ela")/100</f>
        <v>0.05</v>
      </c>
      <c r="TO110" s="134">
        <f t="shared" si="134"/>
        <v>0.25</v>
      </c>
      <c r="TP110" s="688">
        <f>IFERROR(VLOOKUP(A110, 'G&amp;T 15-16'!B:G, 6, FALSE), 0)*1</f>
        <v>0</v>
      </c>
      <c r="TQ110" s="168">
        <f t="shared" si="135"/>
        <v>0.3</v>
      </c>
      <c r="TU110" s="168">
        <f t="shared" si="136"/>
        <v>0.25</v>
      </c>
      <c r="TV110" s="168">
        <f t="shared" si="137"/>
        <v>0.25</v>
      </c>
      <c r="TW110" s="205">
        <f t="shared" si="138"/>
        <v>0.25</v>
      </c>
      <c r="TX110" s="144"/>
      <c r="TY110" s="129"/>
      <c r="TZ110" s="127">
        <f t="shared" si="139"/>
        <v>0</v>
      </c>
      <c r="UA110" s="127">
        <f t="shared" si="140"/>
        <v>0.3</v>
      </c>
      <c r="UB110" s="205">
        <f t="shared" si="141"/>
        <v>0.3</v>
      </c>
      <c r="UE110" s="853" t="str">
        <f>IF(ST110&lt;='1. Simulator Input'!$E$104, "yes", "")</f>
        <v>yes</v>
      </c>
      <c r="UI110" s="199">
        <f t="shared" si="187"/>
        <v>0</v>
      </c>
      <c r="UJ110" s="200">
        <f>IF('Idaho Data'!SI110&gt;=0, ((1-'1. Simulator Input'!$E$39)*'Idaho Data'!SI110), 0)</f>
        <v>0</v>
      </c>
      <c r="UK110" s="200">
        <f>SUMIF($RG$4:$RR$4, "x", $RG110:$RR110)</f>
        <v>289537</v>
      </c>
      <c r="UL110" s="39"/>
      <c r="UM110" s="182"/>
      <c r="UN110" s="39"/>
      <c r="UO110" s="39">
        <f>IF(AND('1. Simulator Input'!$E$96="yes", '1. Simulator Input'!$E$98="yes", '1. Simulator Input'!$E$100="hold harmless"), 'Idaho Data'!WN110, IF(AND('1. Simulator Input'!$E$96="yes", '1. Simulator Input'!$E$98="no", '1. Simulator Input'!$E$100="hold harmless"), 'Idaho Data'!WM110, IF(AND('1. Simulator Input'!$E$96="yes", '1. Simulator Input'!$E$98="yes", '1. Simulator Input'!$E$100="small district grant"), WL110,IF(AND('1. Simulator Input'!$E$96="yes", '1. Simulator Input'!$E$98="no", '1. Simulator Input'!$E$100="small district grant"), WK110, ""))))</f>
        <v>0</v>
      </c>
      <c r="UP110" s="200">
        <f>'1. Simulator Input'!$D$56*('Idaho Data'!ST110)</f>
        <v>27630</v>
      </c>
      <c r="UQ110" s="204">
        <f>'1. Simulator Input'!$D$65*'1. Simulator Input'!$D$56*'Idaho Data'!SU110</f>
        <v>0</v>
      </c>
      <c r="UR110" s="204">
        <f>'1. Simulator Input'!$D$66*'1. Simulator Input'!$D$56*'Idaho Data'!SW110</f>
        <v>0</v>
      </c>
      <c r="US110" s="200">
        <f>'1. Simulator Input'!$D$67*'1. Simulator Input'!$D$56*'Idaho Data'!TA110</f>
        <v>0</v>
      </c>
      <c r="UT110" s="200">
        <f>'1. Simulator Input'!$D$68*'1. Simulator Input'!$D$56*'Idaho Data'!TB110</f>
        <v>0</v>
      </c>
      <c r="UU110" s="200">
        <f>'1. Simulator Input'!$D$69*'1. Simulator Input'!$D$56*'Idaho Data'!TC110</f>
        <v>0</v>
      </c>
      <c r="UV110" s="200">
        <f>'1. Simulator Input'!$D$70*'1. Simulator Input'!$D$56*TD110</f>
        <v>0</v>
      </c>
      <c r="UW110" s="200">
        <f>'1. Simulator Input'!$D$80*'1. Simulator Input'!$D$56*TW110</f>
        <v>0</v>
      </c>
      <c r="UX110" s="200">
        <f>'1. Simulator Input'!$D$79*'1. Simulator Input'!$D$56*UB110</f>
        <v>0</v>
      </c>
      <c r="UY110" s="200">
        <f>'1. Simulator Input'!$D$87*'1. Simulator Input'!$D$56*TF110</f>
        <v>2763</v>
      </c>
      <c r="UZ110" s="200">
        <f>'1. Simulator Input'!$D$73*'1. Simulator Input'!$D$56*'Idaho Data'!TG110</f>
        <v>0</v>
      </c>
      <c r="VA110" s="200">
        <f>'1. Simulator Input'!$D$56*'1. Simulator Input'!$D$74*'Idaho Data'!TH110</f>
        <v>0</v>
      </c>
      <c r="VB110" s="200">
        <f>'1. Simulator Input'!$D$56*'1. Simulator Input'!$D$75*'Idaho Data'!TI105</f>
        <v>0</v>
      </c>
      <c r="VC110" s="200">
        <f>'1. Simulator Input'!$D$76*'1. Simulator Input'!$D$56*'Idaho Data'!TJ110</f>
        <v>0</v>
      </c>
      <c r="VD110" s="200">
        <f t="shared" si="188"/>
        <v>30393</v>
      </c>
      <c r="VE110" s="200"/>
      <c r="VF110" s="182"/>
      <c r="VG110" s="200"/>
      <c r="VH110" s="200">
        <f t="shared" si="189"/>
        <v>0</v>
      </c>
      <c r="VI110" s="200">
        <f t="shared" si="190"/>
        <v>0</v>
      </c>
      <c r="VJ110" s="200">
        <f t="shared" si="214"/>
        <v>30393</v>
      </c>
      <c r="VK110" s="200">
        <f t="shared" si="215"/>
        <v>30393</v>
      </c>
      <c r="VL110" s="200"/>
      <c r="VM110" s="182"/>
      <c r="VN110" s="200"/>
      <c r="VO110" s="200">
        <f t="shared" si="191"/>
        <v>33831</v>
      </c>
      <c r="VP110" s="200">
        <f t="shared" si="192"/>
        <v>289537</v>
      </c>
      <c r="VQ110" s="200">
        <f t="shared" si="193"/>
        <v>177195</v>
      </c>
      <c r="VR110" s="200">
        <f t="shared" si="194"/>
        <v>33831</v>
      </c>
      <c r="VS110" s="200">
        <f t="shared" si="216"/>
        <v>30393</v>
      </c>
      <c r="VT110" s="200">
        <f t="shared" si="217"/>
        <v>177195</v>
      </c>
      <c r="VU110" s="200">
        <f t="shared" si="218"/>
        <v>0</v>
      </c>
      <c r="VV110" s="200"/>
      <c r="VW110" s="182"/>
      <c r="VX110" s="200"/>
      <c r="VZ110" s="199">
        <f t="shared" si="195"/>
        <v>-259144</v>
      </c>
      <c r="WA110" s="466">
        <f t="shared" si="196"/>
        <v>-51828.800000000003</v>
      </c>
      <c r="WB110" s="131">
        <f t="shared" si="197"/>
        <v>-0.89502896002928811</v>
      </c>
      <c r="WC110" s="131"/>
      <c r="WD110" s="461"/>
      <c r="WE110" s="893"/>
      <c r="WF110" s="893">
        <f t="shared" si="198"/>
        <v>100112.6</v>
      </c>
      <c r="WG110" s="893">
        <f t="shared" si="199"/>
        <v>48283.8</v>
      </c>
      <c r="WH110" s="893"/>
      <c r="WI110" s="893">
        <f t="shared" si="200"/>
        <v>289537</v>
      </c>
      <c r="WJ110" s="893">
        <f t="shared" si="219"/>
        <v>30393</v>
      </c>
      <c r="WK110" s="39">
        <f t="shared" si="220"/>
        <v>0</v>
      </c>
      <c r="WL110" s="39">
        <f t="shared" si="221"/>
        <v>0</v>
      </c>
      <c r="WM110" s="200">
        <f t="shared" si="222"/>
        <v>259144</v>
      </c>
      <c r="WN110" s="39">
        <f t="shared" si="223"/>
        <v>259144</v>
      </c>
      <c r="WO110" s="39"/>
      <c r="WP110" s="182"/>
      <c r="WQ110" s="39"/>
      <c r="WR110" s="305">
        <f t="shared" si="224"/>
        <v>1</v>
      </c>
      <c r="WT110" s="200">
        <f t="shared" si="225"/>
        <v>57907.4</v>
      </c>
      <c r="WU110" s="131">
        <f t="shared" si="201"/>
        <v>0.99</v>
      </c>
      <c r="WW110" s="199">
        <f t="shared" si="226"/>
        <v>33831</v>
      </c>
      <c r="WX110" s="199">
        <f t="shared" si="227"/>
        <v>30393</v>
      </c>
      <c r="WY110" s="199">
        <f t="shared" si="228"/>
        <v>0</v>
      </c>
      <c r="WZ110" s="199">
        <f t="shared" si="202"/>
        <v>30393</v>
      </c>
      <c r="XA110" s="199">
        <f t="shared" si="229"/>
        <v>0</v>
      </c>
      <c r="XB110" s="199">
        <f t="shared" si="230"/>
        <v>177195</v>
      </c>
      <c r="XC110" s="199">
        <f t="shared" si="231"/>
        <v>177195</v>
      </c>
      <c r="XD110" s="199" t="str">
        <f t="shared" si="232"/>
        <v/>
      </c>
      <c r="XE110" s="199"/>
      <c r="XF110" s="199"/>
      <c r="XG110" s="199"/>
      <c r="XH110" s="199"/>
      <c r="XI110" s="199"/>
      <c r="XJ110" s="199">
        <f t="shared" si="203"/>
        <v>30393</v>
      </c>
      <c r="XP110" s="199">
        <f t="shared" si="233"/>
        <v>30393</v>
      </c>
      <c r="XQ110" s="199">
        <f t="shared" si="234"/>
        <v>6078.6</v>
      </c>
      <c r="XR110" s="199">
        <f t="shared" si="235"/>
        <v>30393</v>
      </c>
      <c r="XS110" s="199">
        <f t="shared" si="236"/>
        <v>30393</v>
      </c>
      <c r="XT110" s="199">
        <f t="shared" si="237"/>
        <v>6078.6</v>
      </c>
      <c r="XU110" s="199">
        <f t="shared" si="238"/>
        <v>289537</v>
      </c>
      <c r="XV110" s="199">
        <f t="shared" si="239"/>
        <v>57907.4</v>
      </c>
      <c r="XW110" s="199">
        <f t="shared" si="240"/>
        <v>289537</v>
      </c>
      <c r="XX110" s="199">
        <f t="shared" si="241"/>
        <v>57907.4</v>
      </c>
      <c r="XY110" s="199">
        <f t="shared" si="204"/>
        <v>-259144</v>
      </c>
      <c r="XZ110" s="199">
        <f t="shared" si="205"/>
        <v>-51828.800000000003</v>
      </c>
      <c r="YA110" s="131">
        <f t="shared" si="143"/>
        <v>-0.89502896002928811</v>
      </c>
      <c r="YB110" s="199"/>
      <c r="YC110" s="221"/>
      <c r="YD110" s="199"/>
      <c r="YE110" s="199">
        <f t="shared" si="242"/>
        <v>33831</v>
      </c>
      <c r="YF110" s="200">
        <f t="shared" si="243"/>
        <v>0</v>
      </c>
      <c r="YG110" s="199">
        <f t="shared" si="244"/>
        <v>177195</v>
      </c>
      <c r="YH110" s="199">
        <f t="shared" si="245"/>
        <v>75288</v>
      </c>
    </row>
    <row r="111" spans="1:658">
      <c r="A111" s="3">
        <v>401</v>
      </c>
      <c r="B111" s="2" t="s">
        <v>208</v>
      </c>
      <c r="C111" s="24">
        <v>0</v>
      </c>
      <c r="D111" s="24">
        <v>0</v>
      </c>
      <c r="E111" s="24">
        <v>0</v>
      </c>
      <c r="F111" s="24">
        <v>0</v>
      </c>
      <c r="G111" s="24">
        <v>3146075</v>
      </c>
      <c r="H111" s="24">
        <v>0</v>
      </c>
      <c r="I111" s="24">
        <v>220924</v>
      </c>
      <c r="J111" s="24">
        <v>0</v>
      </c>
      <c r="K111" s="24">
        <v>0</v>
      </c>
      <c r="L111" s="24">
        <v>0</v>
      </c>
      <c r="M111" s="24">
        <v>0</v>
      </c>
      <c r="N111" s="24">
        <v>0</v>
      </c>
      <c r="O111" s="24">
        <v>0</v>
      </c>
      <c r="P111" s="24">
        <v>0</v>
      </c>
      <c r="Q111" s="24">
        <v>0</v>
      </c>
      <c r="R111" s="24">
        <v>0</v>
      </c>
      <c r="S111" s="24">
        <v>0</v>
      </c>
      <c r="T111" s="24">
        <v>406655</v>
      </c>
      <c r="U111" s="24">
        <v>0</v>
      </c>
      <c r="V111" s="24">
        <v>0</v>
      </c>
      <c r="W111" s="24">
        <v>0</v>
      </c>
      <c r="X111" s="24">
        <v>1432451</v>
      </c>
      <c r="Y111" s="24">
        <v>70468</v>
      </c>
      <c r="Z111" s="24">
        <v>0</v>
      </c>
      <c r="AA111" s="24">
        <v>0</v>
      </c>
      <c r="AB111" s="24">
        <v>0</v>
      </c>
      <c r="AC111" s="24">
        <v>0</v>
      </c>
      <c r="AD111" s="24">
        <v>2909</v>
      </c>
      <c r="AE111" s="24">
        <v>0</v>
      </c>
      <c r="AF111" s="24">
        <v>0</v>
      </c>
      <c r="AG111" s="24">
        <v>0</v>
      </c>
      <c r="AH111" s="24">
        <v>0</v>
      </c>
      <c r="AI111" s="24">
        <v>0</v>
      </c>
      <c r="AJ111" s="24">
        <v>8845</v>
      </c>
      <c r="AK111" s="24">
        <v>209872</v>
      </c>
      <c r="AL111" s="24">
        <v>19702</v>
      </c>
      <c r="AM111" s="24">
        <v>0</v>
      </c>
      <c r="AN111" s="24">
        <v>0</v>
      </c>
      <c r="AO111" s="24">
        <v>0</v>
      </c>
      <c r="AP111" s="24">
        <v>0</v>
      </c>
      <c r="AQ111" s="24">
        <v>0</v>
      </c>
      <c r="AR111" s="24">
        <v>0</v>
      </c>
      <c r="AS111" s="24">
        <v>0</v>
      </c>
      <c r="AT111" s="24">
        <v>0</v>
      </c>
      <c r="AU111" s="24">
        <v>0</v>
      </c>
      <c r="AV111" s="24">
        <v>0</v>
      </c>
      <c r="AW111" s="24">
        <v>0</v>
      </c>
      <c r="AX111" s="24">
        <v>0</v>
      </c>
      <c r="AY111" s="24">
        <v>0</v>
      </c>
      <c r="AZ111" s="24">
        <v>0</v>
      </c>
      <c r="BA111" s="24">
        <v>0</v>
      </c>
      <c r="BB111" s="24">
        <v>0</v>
      </c>
      <c r="BC111" s="24">
        <v>0</v>
      </c>
      <c r="BD111" s="24">
        <v>0</v>
      </c>
      <c r="BE111" s="24">
        <v>0</v>
      </c>
      <c r="BF111" s="24">
        <v>0</v>
      </c>
      <c r="BG111" s="24">
        <v>0</v>
      </c>
      <c r="BH111" s="24">
        <v>0</v>
      </c>
      <c r="BI111" s="24">
        <v>0</v>
      </c>
      <c r="BJ111" s="24">
        <v>0</v>
      </c>
      <c r="BK111" s="24">
        <v>0</v>
      </c>
      <c r="BL111" s="24">
        <v>0</v>
      </c>
      <c r="BM111" s="24">
        <v>0</v>
      </c>
      <c r="BN111" s="24">
        <v>0</v>
      </c>
      <c r="BO111" s="24">
        <v>0</v>
      </c>
      <c r="BP111" s="24">
        <v>0</v>
      </c>
      <c r="BQ111" s="24">
        <v>0</v>
      </c>
      <c r="BR111" s="24">
        <v>0</v>
      </c>
      <c r="BS111" s="24">
        <v>0</v>
      </c>
      <c r="BT111" s="24">
        <v>0</v>
      </c>
      <c r="BU111" s="24">
        <v>0</v>
      </c>
      <c r="BV111" s="24">
        <v>0</v>
      </c>
      <c r="BW111" s="24">
        <v>0</v>
      </c>
      <c r="BX111" s="24">
        <v>0</v>
      </c>
      <c r="BY111" s="24">
        <v>0</v>
      </c>
      <c r="BZ111" s="24">
        <v>0</v>
      </c>
      <c r="CA111" s="24">
        <v>0</v>
      </c>
      <c r="CB111" s="24">
        <v>0</v>
      </c>
      <c r="CC111" s="24">
        <v>0</v>
      </c>
      <c r="CD111" s="24">
        <v>34036</v>
      </c>
      <c r="CE111" s="24">
        <v>407</v>
      </c>
      <c r="CF111" s="24">
        <v>0</v>
      </c>
      <c r="CG111" s="24">
        <v>0</v>
      </c>
      <c r="CH111" s="24">
        <v>0</v>
      </c>
      <c r="CI111" s="24">
        <v>0</v>
      </c>
      <c r="CJ111" s="24">
        <v>0</v>
      </c>
      <c r="CK111" s="24">
        <v>0</v>
      </c>
      <c r="CL111" s="24">
        <v>0</v>
      </c>
      <c r="CM111" s="24">
        <v>0</v>
      </c>
      <c r="CN111" s="24">
        <v>0</v>
      </c>
      <c r="CO111" s="24">
        <v>0</v>
      </c>
      <c r="CP111" s="24">
        <v>0</v>
      </c>
      <c r="CQ111" s="24">
        <v>0</v>
      </c>
      <c r="CR111" s="24">
        <v>0</v>
      </c>
      <c r="CS111" s="24">
        <v>0</v>
      </c>
      <c r="CT111" s="24">
        <v>0</v>
      </c>
      <c r="CU111" s="24">
        <v>0</v>
      </c>
      <c r="CV111" s="24">
        <v>0</v>
      </c>
      <c r="CW111" s="24">
        <v>0</v>
      </c>
      <c r="CX111" s="24">
        <v>0</v>
      </c>
      <c r="CY111" s="24">
        <v>0</v>
      </c>
      <c r="CZ111" s="24">
        <v>0</v>
      </c>
      <c r="DA111" s="24">
        <v>0</v>
      </c>
      <c r="DB111" s="24">
        <v>0</v>
      </c>
      <c r="DC111" s="24">
        <v>0</v>
      </c>
      <c r="DD111" s="24">
        <v>0</v>
      </c>
      <c r="DE111" s="24">
        <v>0</v>
      </c>
      <c r="DF111" s="24">
        <v>0</v>
      </c>
      <c r="DG111" s="24">
        <v>0</v>
      </c>
      <c r="DH111" s="24">
        <v>0</v>
      </c>
      <c r="DI111" s="24">
        <v>0</v>
      </c>
      <c r="DJ111" s="24">
        <v>0</v>
      </c>
      <c r="DK111" s="24">
        <v>0</v>
      </c>
      <c r="DL111" s="24">
        <v>0</v>
      </c>
      <c r="DM111" s="24">
        <v>0</v>
      </c>
      <c r="DN111" s="24">
        <v>0</v>
      </c>
      <c r="DO111" s="24">
        <v>0</v>
      </c>
      <c r="DP111" s="24">
        <v>0</v>
      </c>
      <c r="DQ111" s="24">
        <v>0</v>
      </c>
      <c r="DR111" s="24">
        <v>0</v>
      </c>
      <c r="DS111" s="24">
        <v>0</v>
      </c>
      <c r="DT111" s="24">
        <v>0</v>
      </c>
      <c r="DU111" s="24">
        <v>27483</v>
      </c>
      <c r="DV111" s="24">
        <v>0</v>
      </c>
      <c r="DW111" s="24">
        <v>0</v>
      </c>
      <c r="DX111" s="24">
        <v>0</v>
      </c>
      <c r="DY111" s="24">
        <v>0</v>
      </c>
      <c r="DZ111" s="24">
        <v>0</v>
      </c>
      <c r="EA111" s="24">
        <v>0</v>
      </c>
      <c r="EB111" s="24">
        <v>0</v>
      </c>
      <c r="EC111" s="24">
        <v>0</v>
      </c>
      <c r="ED111" s="24">
        <v>0</v>
      </c>
      <c r="EE111" s="24">
        <v>0</v>
      </c>
      <c r="EF111" s="24">
        <v>0</v>
      </c>
      <c r="EG111" s="24">
        <v>22017</v>
      </c>
      <c r="EH111" s="24">
        <v>0</v>
      </c>
      <c r="EI111" s="24">
        <v>0</v>
      </c>
      <c r="EJ111" s="24">
        <v>0</v>
      </c>
      <c r="EK111" s="24">
        <v>0</v>
      </c>
      <c r="EL111" s="24">
        <v>0</v>
      </c>
      <c r="EM111" s="24">
        <v>0</v>
      </c>
      <c r="EN111" s="24">
        <v>0</v>
      </c>
      <c r="EO111" s="24">
        <v>0</v>
      </c>
      <c r="EP111" s="24">
        <v>0</v>
      </c>
      <c r="EQ111" s="24">
        <v>0</v>
      </c>
      <c r="ER111" s="24">
        <v>0</v>
      </c>
      <c r="ES111" s="24">
        <v>0</v>
      </c>
      <c r="ET111" s="24">
        <v>0</v>
      </c>
      <c r="EU111" s="24">
        <v>0</v>
      </c>
      <c r="EV111" s="24">
        <v>0</v>
      </c>
      <c r="EW111" s="24">
        <v>0</v>
      </c>
      <c r="EX111" s="24">
        <v>0</v>
      </c>
      <c r="EY111" s="24">
        <v>0</v>
      </c>
      <c r="EZ111" s="24">
        <v>0</v>
      </c>
      <c r="FA111" s="24">
        <v>0</v>
      </c>
      <c r="FB111" s="24">
        <v>0</v>
      </c>
      <c r="FC111" s="24">
        <v>0</v>
      </c>
      <c r="FD111" s="24">
        <v>0</v>
      </c>
      <c r="FE111" s="24">
        <v>0</v>
      </c>
      <c r="FF111" s="24">
        <v>0</v>
      </c>
      <c r="FG111" s="24">
        <v>0</v>
      </c>
      <c r="FH111" s="24">
        <v>0</v>
      </c>
      <c r="FI111" s="24">
        <v>0</v>
      </c>
      <c r="FJ111" s="24">
        <v>0</v>
      </c>
      <c r="FK111" s="24">
        <v>0</v>
      </c>
      <c r="FL111" s="24">
        <v>0</v>
      </c>
      <c r="FM111" s="24">
        <v>0</v>
      </c>
      <c r="FN111" s="24">
        <v>0</v>
      </c>
      <c r="FO111" s="24">
        <v>0</v>
      </c>
      <c r="FP111" s="24">
        <v>0</v>
      </c>
      <c r="FQ111" s="24">
        <v>0</v>
      </c>
      <c r="FR111" s="24">
        <v>0</v>
      </c>
      <c r="FS111" s="24">
        <v>149829</v>
      </c>
      <c r="FT111" s="24">
        <v>0</v>
      </c>
      <c r="FU111" s="24">
        <v>0</v>
      </c>
      <c r="FV111" s="24">
        <v>0</v>
      </c>
      <c r="FW111" s="24">
        <v>0</v>
      </c>
      <c r="FX111" s="24">
        <v>0</v>
      </c>
      <c r="FY111" s="24">
        <v>0</v>
      </c>
      <c r="FZ111" s="24">
        <v>0</v>
      </c>
      <c r="GA111" s="24">
        <v>0</v>
      </c>
      <c r="GB111" s="24">
        <v>0</v>
      </c>
      <c r="GC111" s="24">
        <v>0</v>
      </c>
      <c r="GD111" s="24">
        <v>0</v>
      </c>
      <c r="GE111" s="24">
        <v>15603</v>
      </c>
      <c r="GF111" s="24">
        <v>0</v>
      </c>
      <c r="GG111" s="24">
        <v>10896</v>
      </c>
      <c r="GH111" s="24">
        <v>1000</v>
      </c>
      <c r="GI111" s="24">
        <v>0</v>
      </c>
      <c r="GJ111" s="24">
        <v>0</v>
      </c>
      <c r="GK111" s="24">
        <v>0</v>
      </c>
      <c r="GL111" s="24">
        <v>0</v>
      </c>
      <c r="GM111" s="24">
        <v>0</v>
      </c>
      <c r="GN111" s="24">
        <v>0</v>
      </c>
      <c r="GO111" s="24">
        <v>3359</v>
      </c>
      <c r="GP111" s="24">
        <v>0</v>
      </c>
      <c r="GQ111" s="24">
        <v>0</v>
      </c>
      <c r="GR111" s="24">
        <v>155350</v>
      </c>
      <c r="GS111" s="24">
        <v>0</v>
      </c>
      <c r="GT111" s="24">
        <v>0</v>
      </c>
      <c r="GU111" s="24">
        <v>0</v>
      </c>
      <c r="GV111" s="24">
        <v>0</v>
      </c>
      <c r="GW111" s="24">
        <v>0</v>
      </c>
      <c r="GX111" s="24">
        <v>0</v>
      </c>
      <c r="GY111" s="24">
        <v>0</v>
      </c>
      <c r="GZ111" s="24">
        <v>0</v>
      </c>
      <c r="HA111" s="24">
        <v>0</v>
      </c>
      <c r="HB111" s="24">
        <v>0</v>
      </c>
      <c r="HC111" s="24">
        <v>0</v>
      </c>
      <c r="HD111" s="24">
        <v>6848439</v>
      </c>
      <c r="HE111" s="24">
        <v>0</v>
      </c>
      <c r="HF111" s="24">
        <v>0</v>
      </c>
      <c r="HG111" s="24">
        <v>0</v>
      </c>
      <c r="HH111" s="24">
        <v>0</v>
      </c>
      <c r="HI111" s="24">
        <v>494225</v>
      </c>
      <c r="HJ111" s="24">
        <v>0</v>
      </c>
      <c r="HK111" s="24">
        <v>0</v>
      </c>
      <c r="HL111" s="24">
        <v>0</v>
      </c>
      <c r="HM111" s="24">
        <v>0</v>
      </c>
      <c r="HN111" s="24">
        <v>0</v>
      </c>
      <c r="HO111" s="24">
        <v>911034</v>
      </c>
      <c r="HP111" s="24">
        <v>326092</v>
      </c>
      <c r="HQ111" s="24">
        <v>0</v>
      </c>
      <c r="HR111" s="24">
        <v>0</v>
      </c>
      <c r="HS111" s="24">
        <v>0</v>
      </c>
      <c r="HT111" s="24">
        <v>0</v>
      </c>
      <c r="HU111" s="24">
        <v>0</v>
      </c>
      <c r="HV111" s="24">
        <v>0</v>
      </c>
      <c r="HW111" s="24">
        <v>0</v>
      </c>
      <c r="HX111" s="24">
        <v>0</v>
      </c>
      <c r="HY111" s="24">
        <v>0</v>
      </c>
      <c r="HZ111" s="24">
        <v>0</v>
      </c>
      <c r="IA111" s="24">
        <v>91941</v>
      </c>
      <c r="IB111" s="24">
        <v>23018</v>
      </c>
      <c r="IC111" s="24">
        <v>0</v>
      </c>
      <c r="ID111" s="24">
        <v>0</v>
      </c>
      <c r="IE111" s="24">
        <v>0</v>
      </c>
      <c r="IF111" s="24">
        <v>0</v>
      </c>
      <c r="IG111" s="24">
        <v>0</v>
      </c>
      <c r="IH111" s="24">
        <v>0</v>
      </c>
      <c r="II111" s="24">
        <v>0</v>
      </c>
      <c r="IJ111" s="24">
        <v>0</v>
      </c>
      <c r="IK111" s="24">
        <v>0</v>
      </c>
      <c r="IL111" s="24">
        <v>0</v>
      </c>
      <c r="IM111" s="24">
        <v>0</v>
      </c>
      <c r="IN111" s="24">
        <v>0</v>
      </c>
      <c r="IO111" s="24">
        <v>12566</v>
      </c>
      <c r="IP111" s="24">
        <v>0</v>
      </c>
      <c r="IQ111" s="24">
        <v>0</v>
      </c>
      <c r="IR111" s="24">
        <v>40720</v>
      </c>
      <c r="IS111" s="24">
        <v>0</v>
      </c>
      <c r="IT111" s="24">
        <v>0</v>
      </c>
      <c r="IU111" s="24">
        <v>0</v>
      </c>
      <c r="IV111" s="24">
        <v>0</v>
      </c>
      <c r="IW111" s="24">
        <v>97715</v>
      </c>
      <c r="IX111" s="24">
        <v>0</v>
      </c>
      <c r="IY111" s="24">
        <v>0</v>
      </c>
      <c r="IZ111" s="24">
        <v>0</v>
      </c>
      <c r="JA111" s="24">
        <v>0</v>
      </c>
      <c r="JB111" s="24">
        <v>5121</v>
      </c>
      <c r="JC111" s="24">
        <v>0</v>
      </c>
      <c r="JD111" s="24">
        <v>0</v>
      </c>
      <c r="JE111" s="24">
        <v>35743</v>
      </c>
      <c r="JF111" s="24">
        <v>0</v>
      </c>
      <c r="JG111" s="24">
        <v>0</v>
      </c>
      <c r="JH111" s="24">
        <v>0</v>
      </c>
      <c r="JI111" s="24">
        <v>0</v>
      </c>
      <c r="JJ111" s="24">
        <v>0</v>
      </c>
      <c r="JK111" s="24">
        <v>0</v>
      </c>
      <c r="JL111" s="24">
        <v>0</v>
      </c>
      <c r="JM111" s="24">
        <v>0</v>
      </c>
      <c r="JN111" s="24">
        <v>0</v>
      </c>
      <c r="JO111" s="24">
        <v>0</v>
      </c>
      <c r="JP111" s="24">
        <v>0</v>
      </c>
      <c r="JQ111" s="24">
        <v>0</v>
      </c>
      <c r="JR111" s="24">
        <v>0</v>
      </c>
      <c r="JS111" s="24">
        <v>0</v>
      </c>
      <c r="JT111" s="24">
        <v>0</v>
      </c>
      <c r="JU111" s="24">
        <v>0</v>
      </c>
      <c r="JV111" s="24">
        <v>0</v>
      </c>
      <c r="JW111" s="24">
        <v>0</v>
      </c>
      <c r="JX111" s="24">
        <v>0</v>
      </c>
      <c r="JY111" s="24">
        <v>0</v>
      </c>
      <c r="JZ111" s="24">
        <v>1910</v>
      </c>
      <c r="KA111" s="24">
        <v>37195</v>
      </c>
      <c r="KB111" s="24">
        <v>0</v>
      </c>
      <c r="KC111" s="24">
        <v>0</v>
      </c>
      <c r="KD111" s="24">
        <v>0</v>
      </c>
      <c r="KE111" s="24">
        <v>0</v>
      </c>
      <c r="KF111" s="24">
        <v>0</v>
      </c>
      <c r="KG111" s="24">
        <v>0</v>
      </c>
      <c r="KH111" s="24">
        <v>0</v>
      </c>
      <c r="KI111" s="24">
        <v>0</v>
      </c>
      <c r="KJ111" s="24">
        <v>0</v>
      </c>
      <c r="KK111" s="24">
        <v>0</v>
      </c>
      <c r="KL111" s="24">
        <v>0</v>
      </c>
      <c r="KM111" s="24">
        <v>0</v>
      </c>
      <c r="KN111" s="24">
        <v>0</v>
      </c>
      <c r="KO111" s="24">
        <v>0</v>
      </c>
      <c r="KP111" s="24">
        <v>0</v>
      </c>
      <c r="KQ111" s="24">
        <v>0</v>
      </c>
      <c r="KR111" s="24">
        <v>0</v>
      </c>
      <c r="KS111" s="24">
        <v>0</v>
      </c>
      <c r="KT111" s="24">
        <v>0</v>
      </c>
      <c r="KU111" s="24">
        <v>0</v>
      </c>
      <c r="KV111" s="24">
        <v>0</v>
      </c>
      <c r="KW111" s="24">
        <v>0</v>
      </c>
      <c r="KX111" s="24">
        <v>0</v>
      </c>
      <c r="KY111" s="24">
        <v>0</v>
      </c>
      <c r="KZ111" s="24">
        <v>0</v>
      </c>
      <c r="LA111" s="24">
        <v>0</v>
      </c>
      <c r="LB111" s="24">
        <v>0</v>
      </c>
      <c r="LC111" s="24">
        <v>0</v>
      </c>
      <c r="LD111" s="24">
        <v>0</v>
      </c>
      <c r="LE111" s="24">
        <v>0</v>
      </c>
      <c r="LF111" s="24">
        <v>0</v>
      </c>
      <c r="LG111" s="24">
        <v>0</v>
      </c>
      <c r="LH111" s="24">
        <v>0</v>
      </c>
      <c r="LI111" s="24">
        <v>0</v>
      </c>
      <c r="LJ111" s="24">
        <v>0</v>
      </c>
      <c r="LK111" s="24">
        <v>0</v>
      </c>
      <c r="LL111" s="24">
        <v>0</v>
      </c>
      <c r="LM111" s="24">
        <v>0</v>
      </c>
      <c r="LN111" s="24">
        <v>0</v>
      </c>
      <c r="LO111" s="24">
        <v>0</v>
      </c>
      <c r="LP111" s="24">
        <v>0</v>
      </c>
      <c r="LQ111" s="24">
        <v>345516</v>
      </c>
      <c r="LR111" s="24">
        <v>0</v>
      </c>
      <c r="LS111" s="24">
        <v>0</v>
      </c>
      <c r="LT111" s="24">
        <v>0</v>
      </c>
      <c r="LU111" s="24">
        <v>0</v>
      </c>
      <c r="LV111" s="24">
        <v>0</v>
      </c>
      <c r="LW111" s="24">
        <v>0</v>
      </c>
      <c r="LX111" s="24">
        <v>0</v>
      </c>
      <c r="LY111" s="24">
        <v>0</v>
      </c>
      <c r="LZ111" s="24">
        <v>0</v>
      </c>
      <c r="MA111" s="24">
        <v>0</v>
      </c>
      <c r="MB111" s="24">
        <v>0</v>
      </c>
      <c r="MC111" s="24">
        <v>0</v>
      </c>
      <c r="MD111" s="24">
        <v>0</v>
      </c>
      <c r="ME111" s="24">
        <v>0</v>
      </c>
      <c r="MF111" s="24">
        <v>0</v>
      </c>
      <c r="MG111" s="24">
        <v>0</v>
      </c>
      <c r="MH111" s="24">
        <v>0</v>
      </c>
      <c r="MI111" s="24">
        <v>0</v>
      </c>
      <c r="MJ111" s="24">
        <v>0</v>
      </c>
      <c r="MK111" s="24">
        <v>0</v>
      </c>
      <c r="ML111" s="24">
        <v>0</v>
      </c>
      <c r="MM111" s="24">
        <v>0</v>
      </c>
      <c r="MN111" s="24">
        <v>0</v>
      </c>
      <c r="MO111" s="24">
        <v>23026</v>
      </c>
      <c r="MP111" s="24">
        <v>0</v>
      </c>
      <c r="MQ111" s="24">
        <v>0</v>
      </c>
      <c r="MR111" s="24">
        <v>520564</v>
      </c>
      <c r="MS111" s="24">
        <v>0</v>
      </c>
      <c r="MT111" s="24">
        <v>0</v>
      </c>
      <c r="MU111" s="24">
        <v>0</v>
      </c>
      <c r="MV111" s="24">
        <v>0</v>
      </c>
      <c r="MW111" s="24">
        <v>282133</v>
      </c>
      <c r="MX111" s="24">
        <v>15333</v>
      </c>
      <c r="MY111" s="24">
        <v>0</v>
      </c>
      <c r="MZ111" s="24">
        <v>0</v>
      </c>
      <c r="NA111" s="24">
        <v>0</v>
      </c>
      <c r="NB111" s="24">
        <v>33977</v>
      </c>
      <c r="NC111" s="24">
        <v>0</v>
      </c>
      <c r="ND111" s="24">
        <v>0</v>
      </c>
      <c r="NE111" s="24">
        <v>0</v>
      </c>
      <c r="NF111" s="24">
        <v>0</v>
      </c>
      <c r="NG111" s="24">
        <v>0</v>
      </c>
      <c r="NH111" s="24">
        <v>0</v>
      </c>
      <c r="NI111" s="24">
        <v>0</v>
      </c>
      <c r="NJ111" s="24">
        <v>0</v>
      </c>
      <c r="NK111" s="24">
        <v>0</v>
      </c>
      <c r="NL111" s="24">
        <v>0</v>
      </c>
      <c r="NM111" s="24">
        <v>0</v>
      </c>
      <c r="NN111" s="24">
        <v>0</v>
      </c>
      <c r="NO111" s="24">
        <v>0</v>
      </c>
      <c r="NP111" s="24">
        <v>0</v>
      </c>
      <c r="NQ111" s="24">
        <v>124</v>
      </c>
      <c r="NR111" s="24">
        <v>0</v>
      </c>
      <c r="NS111" s="24">
        <v>0</v>
      </c>
      <c r="NT111" s="24">
        <v>0</v>
      </c>
      <c r="NU111" s="24">
        <v>35430</v>
      </c>
      <c r="NV111" s="24">
        <v>51834</v>
      </c>
      <c r="NW111" s="24">
        <v>0</v>
      </c>
      <c r="NX111" s="24">
        <v>125532</v>
      </c>
      <c r="NY111" s="24">
        <v>0</v>
      </c>
      <c r="NZ111" s="24">
        <v>0</v>
      </c>
      <c r="OA111" s="24">
        <v>0</v>
      </c>
      <c r="OB111" s="24">
        <v>0</v>
      </c>
      <c r="OC111" s="24">
        <v>0</v>
      </c>
      <c r="OD111" s="24">
        <v>0</v>
      </c>
      <c r="OE111" s="24">
        <v>0</v>
      </c>
      <c r="OF111" s="24">
        <v>229070</v>
      </c>
      <c r="OG111" s="24">
        <v>0</v>
      </c>
      <c r="OH111" s="24">
        <v>0</v>
      </c>
      <c r="OI111" s="24">
        <v>0</v>
      </c>
      <c r="OJ111" s="24">
        <v>0</v>
      </c>
      <c r="OK111" s="24">
        <v>0</v>
      </c>
      <c r="OL111" s="24">
        <v>0</v>
      </c>
      <c r="OM111" s="24">
        <v>0</v>
      </c>
      <c r="ON111" s="24">
        <v>0</v>
      </c>
      <c r="OO111" s="24">
        <v>0</v>
      </c>
      <c r="OP111" s="24">
        <v>0</v>
      </c>
      <c r="OQ111" s="24">
        <v>0</v>
      </c>
      <c r="OR111" s="24">
        <v>0</v>
      </c>
      <c r="OS111" s="24">
        <v>0</v>
      </c>
      <c r="OT111" s="24">
        <v>0</v>
      </c>
      <c r="OU111" s="24">
        <v>0</v>
      </c>
      <c r="OV111" s="24">
        <v>0</v>
      </c>
      <c r="OW111" s="24">
        <v>0</v>
      </c>
      <c r="OX111" s="24">
        <v>0</v>
      </c>
      <c r="OY111" s="24">
        <v>0</v>
      </c>
      <c r="OZ111" s="24">
        <v>0</v>
      </c>
      <c r="PA111" s="24">
        <v>0</v>
      </c>
      <c r="PB111" s="24">
        <v>0</v>
      </c>
      <c r="PC111" s="24">
        <v>0</v>
      </c>
      <c r="PD111" s="24">
        <v>0</v>
      </c>
      <c r="PE111" s="24">
        <v>0</v>
      </c>
      <c r="PF111" s="24">
        <v>0</v>
      </c>
      <c r="PG111" s="24">
        <v>0</v>
      </c>
      <c r="PH111" s="24">
        <v>2695</v>
      </c>
      <c r="PI111" s="24">
        <v>0</v>
      </c>
      <c r="PJ111" s="24">
        <v>0</v>
      </c>
      <c r="PK111" s="24">
        <v>0</v>
      </c>
      <c r="PL111" s="24">
        <v>0</v>
      </c>
      <c r="PM111" s="24">
        <v>0</v>
      </c>
      <c r="PN111" s="24">
        <v>0</v>
      </c>
      <c r="PO111" s="24">
        <v>0</v>
      </c>
      <c r="PP111" s="24">
        <v>0</v>
      </c>
      <c r="PQ111" s="24">
        <v>0</v>
      </c>
      <c r="PR111" s="24">
        <v>0</v>
      </c>
      <c r="PS111" s="24">
        <v>0</v>
      </c>
      <c r="PT111" s="24">
        <v>0</v>
      </c>
      <c r="PU111" s="24">
        <v>0</v>
      </c>
      <c r="PV111" s="24">
        <v>0</v>
      </c>
      <c r="PW111" s="24">
        <v>244243</v>
      </c>
      <c r="PX111" s="24">
        <v>0</v>
      </c>
      <c r="PY111" s="24">
        <v>0</v>
      </c>
      <c r="PZ111" s="24">
        <v>0</v>
      </c>
      <c r="QA111" s="24">
        <v>0</v>
      </c>
      <c r="QB111" s="24">
        <v>0</v>
      </c>
      <c r="QC111" s="24">
        <v>0</v>
      </c>
      <c r="QD111" s="24">
        <v>224487</v>
      </c>
      <c r="QE111" s="24">
        <v>3095</v>
      </c>
      <c r="QF111" s="24">
        <v>0</v>
      </c>
      <c r="QG111" s="24">
        <v>0</v>
      </c>
      <c r="QH111" s="24">
        <v>0</v>
      </c>
      <c r="QI111" s="24">
        <v>0</v>
      </c>
      <c r="QJ111" s="24">
        <v>0</v>
      </c>
      <c r="QK111" s="24">
        <v>0</v>
      </c>
      <c r="QL111" s="24">
        <v>0</v>
      </c>
      <c r="QM111" s="24">
        <v>0</v>
      </c>
      <c r="QN111" s="24">
        <v>0</v>
      </c>
      <c r="QO111" s="24">
        <v>5901</v>
      </c>
      <c r="QP111" s="24">
        <v>0</v>
      </c>
      <c r="QQ111" s="24">
        <v>0</v>
      </c>
      <c r="QR111" s="24">
        <v>0</v>
      </c>
      <c r="QS111" s="24">
        <v>13536</v>
      </c>
      <c r="QT111" s="24">
        <v>0</v>
      </c>
      <c r="QU111" s="24">
        <v>0</v>
      </c>
      <c r="QV111" s="24">
        <v>185316</v>
      </c>
      <c r="QW111" s="24">
        <v>0</v>
      </c>
      <c r="QX111" s="24">
        <v>0</v>
      </c>
      <c r="QY111" s="24">
        <v>0</v>
      </c>
      <c r="QZ111" s="24">
        <v>0</v>
      </c>
      <c r="RA111" s="24">
        <v>0</v>
      </c>
      <c r="RB111" s="24">
        <v>0</v>
      </c>
      <c r="RG111" s="39">
        <f t="shared" si="129"/>
        <v>6848439</v>
      </c>
      <c r="RH111" s="39">
        <f t="shared" si="247"/>
        <v>494225</v>
      </c>
      <c r="RI111" s="39">
        <f t="shared" si="247"/>
        <v>0</v>
      </c>
      <c r="RJ111" s="39">
        <f t="shared" si="247"/>
        <v>0</v>
      </c>
      <c r="RK111" s="39">
        <f t="shared" si="247"/>
        <v>0</v>
      </c>
      <c r="RL111" s="39">
        <f t="shared" si="247"/>
        <v>911034</v>
      </c>
      <c r="RM111" s="39">
        <f t="shared" si="247"/>
        <v>441051</v>
      </c>
      <c r="RN111" s="39">
        <f t="shared" si="247"/>
        <v>12566</v>
      </c>
      <c r="RO111" s="39">
        <f t="shared" si="247"/>
        <v>40720</v>
      </c>
      <c r="RP111" s="39">
        <f t="shared" si="247"/>
        <v>97715</v>
      </c>
      <c r="RQ111" s="39">
        <f t="shared" si="247"/>
        <v>5121</v>
      </c>
      <c r="RR111" s="39">
        <f t="shared" si="247"/>
        <v>74848</v>
      </c>
      <c r="RS111" s="39"/>
      <c r="RT111" s="182"/>
      <c r="RU111" s="39"/>
      <c r="RV111" s="39">
        <f t="shared" si="246"/>
        <v>1662539</v>
      </c>
      <c r="RW111" s="39">
        <f t="shared" si="246"/>
        <v>8925719</v>
      </c>
      <c r="RX111" s="39">
        <f t="shared" si="246"/>
        <v>5937881</v>
      </c>
      <c r="RY111" s="39">
        <f t="shared" si="246"/>
        <v>679273</v>
      </c>
      <c r="RZ111" s="39"/>
      <c r="SA111" s="182"/>
      <c r="SB111" s="39"/>
      <c r="SC111" s="25">
        <f t="shared" si="183"/>
        <v>3654.0806153846152</v>
      </c>
      <c r="SD111" s="39">
        <f>IFERROR(VLOOKUP(A111, 'Levy Data 15-16'!$B:$O, 3, FALSE), 0)</f>
        <v>1405396201</v>
      </c>
      <c r="SE111" s="39">
        <f t="shared" si="208"/>
        <v>864859.20061538462</v>
      </c>
      <c r="SF111" s="631">
        <f>IFERROR(VLOOKUP(A111, 'Levy Data 15-16'!$B:$O, 14, FALSE), 0)*1000</f>
        <v>3.5788399999999996</v>
      </c>
      <c r="SG111" s="39">
        <f t="shared" si="209"/>
        <v>0</v>
      </c>
      <c r="SH111" s="39">
        <f t="shared" si="210"/>
        <v>0</v>
      </c>
      <c r="SI111" s="39">
        <f t="shared" si="211"/>
        <v>5937881</v>
      </c>
      <c r="SM111" s="39">
        <f t="shared" si="212"/>
        <v>8925719</v>
      </c>
      <c r="SN111" s="39">
        <f t="shared" si="213"/>
        <v>0</v>
      </c>
      <c r="SO111" s="39">
        <f t="shared" si="184"/>
        <v>8925719</v>
      </c>
      <c r="SP111" s="50">
        <f t="shared" si="130"/>
        <v>1</v>
      </c>
      <c r="ST111" s="124">
        <f>IFERROR(VLOOKUP(A111,'Grade Enroll 15-16'!B:AC,27,FALSE),"")</f>
        <v>1625</v>
      </c>
      <c r="SU111" s="124">
        <f t="shared" si="185"/>
        <v>759.17686318131257</v>
      </c>
      <c r="SV111" s="131">
        <f>IFERROR(VLOOKUP($A111, 'Title I Enroll 16-17'!S:V, 4, FALSE), 0)</f>
        <v>0.46718576195773082</v>
      </c>
      <c r="SW111" s="729">
        <f>IFERROR(VLOOKUP(A111, 'ELL Enroll 15-16'!$N:$S, 6, FALSE), 0)</f>
        <v>305</v>
      </c>
      <c r="SX111" s="131">
        <f t="shared" si="131"/>
        <v>0.18769230769230769</v>
      </c>
      <c r="SY111" s="124">
        <f>IFERROR(VLOOKUP(A111, 'SPED enroll 2015-16'!$M:$O, 3, FALSE), 0)</f>
        <v>173</v>
      </c>
      <c r="SZ111" s="131">
        <f t="shared" si="132"/>
        <v>0.10646153846153845</v>
      </c>
      <c r="TA111" s="142">
        <f t="shared" si="207"/>
        <v>121.1</v>
      </c>
      <c r="TB111" s="142">
        <f t="shared" si="207"/>
        <v>34.6</v>
      </c>
      <c r="TC111" s="142">
        <f t="shared" si="207"/>
        <v>12.110000000000001</v>
      </c>
      <c r="TD111" s="142">
        <f t="shared" si="207"/>
        <v>5.1899999999999995</v>
      </c>
      <c r="TE111" s="124">
        <f>VLOOKUP($A111, 'Grade Enroll 15-16'!$B:$AB, 20, FALSE)</f>
        <v>15</v>
      </c>
      <c r="TF111" s="124">
        <f>VLOOKUP($A111, 'Grade Enroll 15-16'!$B:$AB, 21, FALSE)</f>
        <v>143</v>
      </c>
      <c r="TG111" s="124">
        <f>VLOOKUP($A111, 'Grade Enroll 15-16'!$B:$AB, 22, FALSE)</f>
        <v>456</v>
      </c>
      <c r="TH111" s="124">
        <f>VLOOKUP($A111, 'Grade Enroll 15-16'!$B:$AB, 23, FALSE)</f>
        <v>383</v>
      </c>
      <c r="TI111" s="124">
        <f>VLOOKUP($A111, 'Grade Enroll 15-16'!$B:$AB, 24, FALSE)</f>
        <v>278</v>
      </c>
      <c r="TJ111" s="124">
        <f>VLOOKUP($A111, 'Grade Enroll 15-16'!$B:$AB, 25, FALSE)</f>
        <v>508</v>
      </c>
      <c r="TK111" s="124">
        <f>VLOOKUP($A111, 'Grade Enroll 15-16'!$B:$AB, 26, FALSE)</f>
        <v>1078</v>
      </c>
      <c r="TL111" s="131">
        <f>SUMIFS('Student Achievement 15-16'!N:N, 'Student Achievement 15-16'!B:B, 'Idaho Data'!A111, 'Student Achievement 15-16'!D:D, "math")/100</f>
        <v>0.36099999999999999</v>
      </c>
      <c r="TM111" s="134">
        <f t="shared" si="186"/>
        <v>586.625</v>
      </c>
      <c r="TN111" s="131">
        <f>SUMIFS('Student Achievement 15-16'!N:N, 'Student Achievement 15-16'!B:B, 'Idaho Data'!A111, 'Student Achievement 15-16'!D:D, "ela")/100</f>
        <v>0.26700000000000002</v>
      </c>
      <c r="TO111" s="134">
        <f t="shared" si="134"/>
        <v>433.875</v>
      </c>
      <c r="TP111" s="688">
        <f>IFERROR(VLOOKUP(A111, 'G&amp;T 15-16'!B:G, 6, FALSE), 0)*1</f>
        <v>35</v>
      </c>
      <c r="TQ111" s="168">
        <f t="shared" si="135"/>
        <v>97.5</v>
      </c>
      <c r="TU111" s="168">
        <f t="shared" si="136"/>
        <v>433.875</v>
      </c>
      <c r="TV111" s="168">
        <f t="shared" si="137"/>
        <v>586.625</v>
      </c>
      <c r="TW111" s="205">
        <f t="shared" si="138"/>
        <v>586.625</v>
      </c>
      <c r="TX111" s="144"/>
      <c r="TY111" s="129"/>
      <c r="TZ111" s="127">
        <f t="shared" si="139"/>
        <v>35</v>
      </c>
      <c r="UA111" s="127">
        <f t="shared" si="140"/>
        <v>97.5</v>
      </c>
      <c r="UB111" s="205">
        <f t="shared" si="141"/>
        <v>97.5</v>
      </c>
      <c r="UE111" s="853" t="str">
        <f>IF(ST111&lt;='1. Simulator Input'!$E$104, "yes", "")</f>
        <v/>
      </c>
      <c r="UI111" s="199">
        <f t="shared" si="187"/>
        <v>0</v>
      </c>
      <c r="UJ111" s="200">
        <f>IF('Idaho Data'!SI111&gt;=0, ((1-'1. Simulator Input'!$E$39)*'Idaho Data'!SI111), 0)</f>
        <v>0</v>
      </c>
      <c r="UK111" s="200">
        <f t="shared" si="142"/>
        <v>8925719</v>
      </c>
      <c r="UL111" s="39"/>
      <c r="UM111" s="182"/>
      <c r="UN111" s="39"/>
      <c r="UO111" s="39" t="str">
        <f>IF(AND('1. Simulator Input'!$E$96="yes", '1. Simulator Input'!$E$98="yes", '1. Simulator Input'!$E$100="hold harmless"), 'Idaho Data'!WN111, IF(AND('1. Simulator Input'!$E$96="yes", '1. Simulator Input'!$E$98="no", '1. Simulator Input'!$E$100="hold harmless"), 'Idaho Data'!WM111, IF(AND('1. Simulator Input'!$E$96="yes", '1. Simulator Input'!$E$98="yes", '1. Simulator Input'!$E$100="small district grant"), WL111,IF(AND('1. Simulator Input'!$E$96="yes", '1. Simulator Input'!$E$98="no", '1. Simulator Input'!$E$100="small district grant"), WK111, ""))))</f>
        <v/>
      </c>
      <c r="UP111" s="200">
        <f>'1. Simulator Input'!$D$56*('Idaho Data'!ST111)</f>
        <v>8979750</v>
      </c>
      <c r="UQ111" s="204">
        <f>'1. Simulator Input'!$D$65*'1. Simulator Input'!$D$56*'Idaho Data'!SU111</f>
        <v>0</v>
      </c>
      <c r="UR111" s="204">
        <f>'1. Simulator Input'!$D$66*'1. Simulator Input'!$D$56*'Idaho Data'!SW111</f>
        <v>0</v>
      </c>
      <c r="US111" s="200">
        <f>'1. Simulator Input'!$D$67*'1. Simulator Input'!$D$56*'Idaho Data'!TA111</f>
        <v>0</v>
      </c>
      <c r="UT111" s="200">
        <f>'1. Simulator Input'!$D$68*'1. Simulator Input'!$D$56*'Idaho Data'!TB111</f>
        <v>0</v>
      </c>
      <c r="UU111" s="200">
        <f>'1. Simulator Input'!$D$69*'1. Simulator Input'!$D$56*'Idaho Data'!TC111</f>
        <v>0</v>
      </c>
      <c r="UV111" s="200">
        <f>'1. Simulator Input'!$D$70*'1. Simulator Input'!$D$56*TD111</f>
        <v>0</v>
      </c>
      <c r="UW111" s="200">
        <f>'1. Simulator Input'!$D$80*'1. Simulator Input'!$D$56*TW111</f>
        <v>0</v>
      </c>
      <c r="UX111" s="200">
        <f>'1. Simulator Input'!$D$79*'1. Simulator Input'!$D$56*UB111</f>
        <v>0</v>
      </c>
      <c r="UY111" s="200">
        <f>'1. Simulator Input'!$D$87*'1. Simulator Input'!$D$56*TF111</f>
        <v>395109</v>
      </c>
      <c r="UZ111" s="200">
        <f>'1. Simulator Input'!$D$73*'1. Simulator Input'!$D$56*'Idaho Data'!TG111</f>
        <v>0</v>
      </c>
      <c r="VA111" s="200">
        <f>'1. Simulator Input'!$D$56*'1. Simulator Input'!$D$74*'Idaho Data'!TH111</f>
        <v>0</v>
      </c>
      <c r="VB111" s="200">
        <f>'1. Simulator Input'!$D$56*'1. Simulator Input'!$D$75*'Idaho Data'!TI106</f>
        <v>0</v>
      </c>
      <c r="VC111" s="200">
        <f>'1. Simulator Input'!$D$76*'1. Simulator Input'!$D$56*'Idaho Data'!TJ111</f>
        <v>0</v>
      </c>
      <c r="VD111" s="200">
        <f t="shared" si="188"/>
        <v>9374859</v>
      </c>
      <c r="VE111" s="200"/>
      <c r="VF111" s="182"/>
      <c r="VG111" s="200"/>
      <c r="VH111" s="200">
        <f t="shared" si="189"/>
        <v>0</v>
      </c>
      <c r="VI111" s="200">
        <f t="shared" si="190"/>
        <v>0</v>
      </c>
      <c r="VJ111" s="200">
        <f t="shared" si="214"/>
        <v>9374859</v>
      </c>
      <c r="VK111" s="200">
        <f t="shared" si="215"/>
        <v>9374859</v>
      </c>
      <c r="VL111" s="200"/>
      <c r="VM111" s="182"/>
      <c r="VN111" s="200"/>
      <c r="VO111" s="200">
        <f t="shared" si="191"/>
        <v>1662539</v>
      </c>
      <c r="VP111" s="200">
        <f t="shared" si="192"/>
        <v>8925719</v>
      </c>
      <c r="VQ111" s="200">
        <f t="shared" si="193"/>
        <v>5937881</v>
      </c>
      <c r="VR111" s="200">
        <f t="shared" si="194"/>
        <v>1662539</v>
      </c>
      <c r="VS111" s="200">
        <f t="shared" si="216"/>
        <v>9374859</v>
      </c>
      <c r="VT111" s="200">
        <f t="shared" si="217"/>
        <v>5937881</v>
      </c>
      <c r="VU111" s="200">
        <f t="shared" si="218"/>
        <v>0</v>
      </c>
      <c r="VV111" s="200"/>
      <c r="VW111" s="182"/>
      <c r="VX111" s="200"/>
      <c r="VZ111" s="199">
        <f t="shared" si="195"/>
        <v>449140</v>
      </c>
      <c r="WA111" s="199">
        <f t="shared" si="196"/>
        <v>276.39384615384614</v>
      </c>
      <c r="WB111" s="131">
        <f t="shared" si="197"/>
        <v>5.0319755753009926E-2</v>
      </c>
      <c r="WC111" s="131"/>
      <c r="WD111" s="461"/>
      <c r="WE111" s="893"/>
      <c r="WF111" s="893">
        <f t="shared" si="198"/>
        <v>10169.931692307693</v>
      </c>
      <c r="WG111" s="893">
        <f t="shared" si="199"/>
        <v>10446.325538461539</v>
      </c>
      <c r="WH111" s="893"/>
      <c r="WI111" s="893">
        <f t="shared" si="200"/>
        <v>8925719</v>
      </c>
      <c r="WJ111" s="893">
        <f t="shared" si="219"/>
        <v>9374859</v>
      </c>
      <c r="WK111" s="39" t="str">
        <f t="shared" si="220"/>
        <v/>
      </c>
      <c r="WL111" s="39" t="str">
        <f t="shared" si="221"/>
        <v/>
      </c>
      <c r="WM111" s="200" t="str">
        <f t="shared" si="222"/>
        <v/>
      </c>
      <c r="WN111" s="39" t="str">
        <f t="shared" si="223"/>
        <v/>
      </c>
      <c r="WO111" s="39"/>
      <c r="WP111" s="182"/>
      <c r="WQ111" s="39"/>
      <c r="WR111" s="305">
        <f t="shared" si="224"/>
        <v>0.79800000000000004</v>
      </c>
      <c r="WT111" s="200">
        <f t="shared" si="225"/>
        <v>5492.7501538461538</v>
      </c>
      <c r="WU111" s="131">
        <f t="shared" si="201"/>
        <v>0.13</v>
      </c>
      <c r="WW111" s="199">
        <f t="shared" si="226"/>
        <v>1662539</v>
      </c>
      <c r="WX111" s="199">
        <f t="shared" si="227"/>
        <v>9374859</v>
      </c>
      <c r="WY111" s="199">
        <f t="shared" si="228"/>
        <v>0</v>
      </c>
      <c r="WZ111" s="199">
        <f t="shared" si="202"/>
        <v>9374859</v>
      </c>
      <c r="XA111" s="199">
        <f t="shared" si="229"/>
        <v>0</v>
      </c>
      <c r="XB111" s="199">
        <f t="shared" si="230"/>
        <v>5937881</v>
      </c>
      <c r="XC111" s="199">
        <f t="shared" si="231"/>
        <v>5937881</v>
      </c>
      <c r="XD111" s="199" t="str">
        <f t="shared" si="232"/>
        <v/>
      </c>
      <c r="XE111" s="199"/>
      <c r="XF111" s="199"/>
      <c r="XG111" s="199"/>
      <c r="XH111" s="199"/>
      <c r="XI111" s="199"/>
      <c r="XJ111" s="199">
        <f t="shared" si="203"/>
        <v>9374859</v>
      </c>
      <c r="XP111" s="199">
        <f t="shared" si="233"/>
        <v>9374859</v>
      </c>
      <c r="XQ111" s="199">
        <f t="shared" si="234"/>
        <v>5769.1440000000002</v>
      </c>
      <c r="XR111" s="199">
        <f t="shared" si="235"/>
        <v>9374859</v>
      </c>
      <c r="XS111" s="199">
        <f t="shared" si="236"/>
        <v>9374859</v>
      </c>
      <c r="XT111" s="199">
        <f t="shared" si="237"/>
        <v>5769.1440000000002</v>
      </c>
      <c r="XU111" s="199">
        <f t="shared" si="238"/>
        <v>8925719</v>
      </c>
      <c r="XV111" s="199">
        <f t="shared" si="239"/>
        <v>5492.7501538461538</v>
      </c>
      <c r="XW111" s="199">
        <f t="shared" si="240"/>
        <v>8925719</v>
      </c>
      <c r="XX111" s="199">
        <f t="shared" si="241"/>
        <v>5492.7501538461538</v>
      </c>
      <c r="XY111" s="199">
        <f t="shared" si="204"/>
        <v>449140</v>
      </c>
      <c r="XZ111" s="199">
        <f t="shared" si="205"/>
        <v>276.39384615384643</v>
      </c>
      <c r="YA111" s="131">
        <f t="shared" si="143"/>
        <v>5.0319755753009975E-2</v>
      </c>
      <c r="YB111" s="199"/>
      <c r="YC111" s="221"/>
      <c r="YD111" s="199"/>
      <c r="YE111" s="199">
        <f t="shared" si="242"/>
        <v>1662539</v>
      </c>
      <c r="YF111" s="200">
        <f t="shared" si="243"/>
        <v>0</v>
      </c>
      <c r="YG111" s="199">
        <f t="shared" si="244"/>
        <v>5937881</v>
      </c>
      <c r="YH111" s="199">
        <f t="shared" si="245"/>
        <v>679273</v>
      </c>
    </row>
    <row r="112" spans="1:658">
      <c r="A112" s="3">
        <v>411</v>
      </c>
      <c r="B112" s="2" t="s">
        <v>209</v>
      </c>
      <c r="C112" s="24">
        <v>0</v>
      </c>
      <c r="D112" s="24">
        <v>0</v>
      </c>
      <c r="E112" s="24">
        <v>0</v>
      </c>
      <c r="F112" s="24">
        <v>0</v>
      </c>
      <c r="G112" s="24">
        <v>4500000</v>
      </c>
      <c r="H112" s="24">
        <v>0</v>
      </c>
      <c r="I112" s="24">
        <v>1281930</v>
      </c>
      <c r="J112" s="24">
        <v>19102</v>
      </c>
      <c r="K112" s="24">
        <v>0</v>
      </c>
      <c r="L112" s="24">
        <v>0</v>
      </c>
      <c r="M112" s="24">
        <v>0</v>
      </c>
      <c r="N112" s="24">
        <v>0</v>
      </c>
      <c r="O112" s="24">
        <v>0</v>
      </c>
      <c r="P112" s="24">
        <v>0</v>
      </c>
      <c r="Q112" s="24">
        <v>0</v>
      </c>
      <c r="R112" s="24">
        <v>6976724</v>
      </c>
      <c r="S112" s="24">
        <v>0</v>
      </c>
      <c r="T112" s="24">
        <v>3357814</v>
      </c>
      <c r="U112" s="24">
        <v>0</v>
      </c>
      <c r="V112" s="24">
        <v>0</v>
      </c>
      <c r="W112" s="24">
        <v>0</v>
      </c>
      <c r="X112" s="24">
        <v>0</v>
      </c>
      <c r="Y112" s="24">
        <v>31287</v>
      </c>
      <c r="Z112" s="24">
        <v>0</v>
      </c>
      <c r="AA112" s="24">
        <v>30320</v>
      </c>
      <c r="AB112" s="24">
        <v>19530</v>
      </c>
      <c r="AC112" s="24">
        <v>0</v>
      </c>
      <c r="AD112" s="24">
        <v>9190</v>
      </c>
      <c r="AE112" s="24">
        <v>0</v>
      </c>
      <c r="AF112" s="24">
        <v>0</v>
      </c>
      <c r="AG112" s="24">
        <v>27430</v>
      </c>
      <c r="AH112" s="24">
        <v>0</v>
      </c>
      <c r="AI112" s="24">
        <v>0</v>
      </c>
      <c r="AJ112" s="24">
        <v>55</v>
      </c>
      <c r="AK112" s="24">
        <v>0</v>
      </c>
      <c r="AL112" s="24">
        <v>4844</v>
      </c>
      <c r="AM112" s="24">
        <v>0</v>
      </c>
      <c r="AN112" s="24">
        <v>0</v>
      </c>
      <c r="AO112" s="24">
        <v>1</v>
      </c>
      <c r="AP112" s="24">
        <v>0</v>
      </c>
      <c r="AQ112" s="24">
        <v>1</v>
      </c>
      <c r="AR112" s="24">
        <v>8</v>
      </c>
      <c r="AS112" s="24">
        <v>14</v>
      </c>
      <c r="AT112" s="24">
        <v>23</v>
      </c>
      <c r="AU112" s="24">
        <v>611</v>
      </c>
      <c r="AV112" s="24">
        <v>30</v>
      </c>
      <c r="AW112" s="24">
        <v>1</v>
      </c>
      <c r="AX112" s="24">
        <v>0</v>
      </c>
      <c r="AY112" s="24">
        <v>0</v>
      </c>
      <c r="AZ112" s="24">
        <v>2757</v>
      </c>
      <c r="BA112" s="24">
        <v>0</v>
      </c>
      <c r="BB112" s="24">
        <v>0</v>
      </c>
      <c r="BC112" s="24">
        <v>26</v>
      </c>
      <c r="BD112" s="24">
        <v>2091</v>
      </c>
      <c r="BE112" s="24">
        <v>189646</v>
      </c>
      <c r="BF112" s="24">
        <v>48</v>
      </c>
      <c r="BG112" s="24">
        <v>0</v>
      </c>
      <c r="BH112" s="24">
        <v>0</v>
      </c>
      <c r="BI112" s="24">
        <v>0</v>
      </c>
      <c r="BJ112" s="24">
        <v>0</v>
      </c>
      <c r="BK112" s="24">
        <v>0</v>
      </c>
      <c r="BL112" s="24">
        <v>0</v>
      </c>
      <c r="BM112" s="24">
        <v>0</v>
      </c>
      <c r="BN112" s="24">
        <v>0</v>
      </c>
      <c r="BO112" s="24">
        <v>0</v>
      </c>
      <c r="BP112" s="24">
        <v>0</v>
      </c>
      <c r="BQ112" s="24">
        <v>0</v>
      </c>
      <c r="BR112" s="24">
        <v>0</v>
      </c>
      <c r="BS112" s="24">
        <v>0</v>
      </c>
      <c r="BT112" s="24">
        <v>0</v>
      </c>
      <c r="BU112" s="24">
        <v>0</v>
      </c>
      <c r="BV112" s="24">
        <v>0</v>
      </c>
      <c r="BW112" s="24">
        <v>0</v>
      </c>
      <c r="BX112" s="24">
        <v>0</v>
      </c>
      <c r="BY112" s="24">
        <v>0</v>
      </c>
      <c r="BZ112" s="24">
        <v>0</v>
      </c>
      <c r="CA112" s="24">
        <v>0</v>
      </c>
      <c r="CB112" s="24">
        <v>0</v>
      </c>
      <c r="CC112" s="24">
        <v>0</v>
      </c>
      <c r="CD112" s="24">
        <v>702975</v>
      </c>
      <c r="CE112" s="24">
        <v>32660</v>
      </c>
      <c r="CF112" s="24">
        <v>0</v>
      </c>
      <c r="CG112" s="24">
        <v>23051</v>
      </c>
      <c r="CH112" s="24">
        <v>0</v>
      </c>
      <c r="CI112" s="24">
        <v>0</v>
      </c>
      <c r="CJ112" s="24">
        <v>3041</v>
      </c>
      <c r="CK112" s="24">
        <v>0</v>
      </c>
      <c r="CL112" s="24">
        <v>9823</v>
      </c>
      <c r="CM112" s="24">
        <v>9991</v>
      </c>
      <c r="CN112" s="24">
        <v>92452</v>
      </c>
      <c r="CO112" s="24">
        <v>59668</v>
      </c>
      <c r="CP112" s="24">
        <v>0</v>
      </c>
      <c r="CQ112" s="24">
        <v>0</v>
      </c>
      <c r="CR112" s="24">
        <v>0</v>
      </c>
      <c r="CS112" s="24">
        <v>1988</v>
      </c>
      <c r="CT112" s="24">
        <v>5323</v>
      </c>
      <c r="CU112" s="24">
        <v>0</v>
      </c>
      <c r="CV112" s="24">
        <v>114657</v>
      </c>
      <c r="CW112" s="24">
        <v>154520</v>
      </c>
      <c r="CX112" s="24">
        <v>169445</v>
      </c>
      <c r="CY112" s="24">
        <v>597001</v>
      </c>
      <c r="CZ112" s="24">
        <v>437250</v>
      </c>
      <c r="DA112" s="24">
        <v>9885</v>
      </c>
      <c r="DB112" s="24">
        <v>39635</v>
      </c>
      <c r="DC112" s="24">
        <v>0</v>
      </c>
      <c r="DD112" s="24">
        <v>9722</v>
      </c>
      <c r="DE112" s="24">
        <v>224</v>
      </c>
      <c r="DF112" s="24">
        <v>0</v>
      </c>
      <c r="DG112" s="24">
        <v>0</v>
      </c>
      <c r="DH112" s="24">
        <v>27419</v>
      </c>
      <c r="DI112" s="24">
        <v>5327</v>
      </c>
      <c r="DJ112" s="24">
        <v>38632</v>
      </c>
      <c r="DK112" s="24">
        <v>21945</v>
      </c>
      <c r="DL112" s="24">
        <v>14</v>
      </c>
      <c r="DM112" s="24">
        <v>0</v>
      </c>
      <c r="DN112" s="24">
        <v>0</v>
      </c>
      <c r="DO112" s="24">
        <v>0</v>
      </c>
      <c r="DP112" s="24">
        <v>0</v>
      </c>
      <c r="DQ112" s="24">
        <v>0</v>
      </c>
      <c r="DR112" s="24">
        <v>0</v>
      </c>
      <c r="DS112" s="24">
        <v>0</v>
      </c>
      <c r="DT112" s="24">
        <v>0</v>
      </c>
      <c r="DU112" s="24">
        <v>73915</v>
      </c>
      <c r="DV112" s="24">
        <v>0</v>
      </c>
      <c r="DW112" s="24">
        <v>0</v>
      </c>
      <c r="DX112" s="24">
        <v>0</v>
      </c>
      <c r="DY112" s="24">
        <v>0</v>
      </c>
      <c r="DZ112" s="24">
        <v>0</v>
      </c>
      <c r="EA112" s="24">
        <v>0</v>
      </c>
      <c r="EB112" s="24">
        <v>0</v>
      </c>
      <c r="EC112" s="24">
        <v>0</v>
      </c>
      <c r="ED112" s="24">
        <v>0</v>
      </c>
      <c r="EE112" s="24">
        <v>0</v>
      </c>
      <c r="EF112" s="24">
        <v>0</v>
      </c>
      <c r="EG112" s="24">
        <v>202790</v>
      </c>
      <c r="EH112" s="24">
        <v>0</v>
      </c>
      <c r="EI112" s="24">
        <v>160</v>
      </c>
      <c r="EJ112" s="24">
        <v>0</v>
      </c>
      <c r="EK112" s="24">
        <v>0</v>
      </c>
      <c r="EL112" s="24">
        <v>26203</v>
      </c>
      <c r="EM112" s="24">
        <v>7</v>
      </c>
      <c r="EN112" s="24">
        <v>0</v>
      </c>
      <c r="EO112" s="24">
        <v>32</v>
      </c>
      <c r="EP112" s="24">
        <v>-1286</v>
      </c>
      <c r="EQ112" s="24">
        <v>351</v>
      </c>
      <c r="ER112" s="24">
        <v>0</v>
      </c>
      <c r="ES112" s="24">
        <v>0</v>
      </c>
      <c r="ET112" s="24">
        <v>0</v>
      </c>
      <c r="EU112" s="24">
        <v>0</v>
      </c>
      <c r="EV112" s="24">
        <v>0</v>
      </c>
      <c r="EW112" s="24">
        <v>0</v>
      </c>
      <c r="EX112" s="24">
        <v>0</v>
      </c>
      <c r="EY112" s="24">
        <v>0</v>
      </c>
      <c r="EZ112" s="24">
        <v>0</v>
      </c>
      <c r="FA112" s="24">
        <v>0</v>
      </c>
      <c r="FB112" s="24">
        <v>0</v>
      </c>
      <c r="FC112" s="24">
        <v>0</v>
      </c>
      <c r="FD112" s="24">
        <v>0</v>
      </c>
      <c r="FE112" s="24">
        <v>0</v>
      </c>
      <c r="FF112" s="24">
        <v>0</v>
      </c>
      <c r="FG112" s="24">
        <v>0</v>
      </c>
      <c r="FH112" s="24">
        <v>0</v>
      </c>
      <c r="FI112" s="24">
        <v>0</v>
      </c>
      <c r="FJ112" s="24">
        <v>0</v>
      </c>
      <c r="FK112" s="24">
        <v>0</v>
      </c>
      <c r="FL112" s="24">
        <v>7635</v>
      </c>
      <c r="FM112" s="24">
        <v>0</v>
      </c>
      <c r="FN112" s="24">
        <v>0</v>
      </c>
      <c r="FO112" s="24">
        <v>0</v>
      </c>
      <c r="FP112" s="24">
        <v>0</v>
      </c>
      <c r="FQ112" s="24">
        <v>0</v>
      </c>
      <c r="FR112" s="24">
        <v>0</v>
      </c>
      <c r="FS112" s="24">
        <v>517358</v>
      </c>
      <c r="FT112" s="24">
        <v>0</v>
      </c>
      <c r="FU112" s="24">
        <v>0</v>
      </c>
      <c r="FV112" s="24">
        <v>13</v>
      </c>
      <c r="FW112" s="24">
        <v>0</v>
      </c>
      <c r="FX112" s="24">
        <v>0</v>
      </c>
      <c r="FY112" s="24">
        <v>3989</v>
      </c>
      <c r="FZ112" s="24">
        <v>2573</v>
      </c>
      <c r="GA112" s="24">
        <v>2186</v>
      </c>
      <c r="GB112" s="24">
        <v>21453</v>
      </c>
      <c r="GC112" s="24">
        <v>7959</v>
      </c>
      <c r="GD112" s="24">
        <v>0</v>
      </c>
      <c r="GE112" s="24">
        <v>0</v>
      </c>
      <c r="GF112" s="24">
        <v>0</v>
      </c>
      <c r="GG112" s="24">
        <v>13854</v>
      </c>
      <c r="GH112" s="24">
        <v>0</v>
      </c>
      <c r="GI112" s="24">
        <v>0</v>
      </c>
      <c r="GJ112" s="24">
        <v>0</v>
      </c>
      <c r="GK112" s="24">
        <v>0</v>
      </c>
      <c r="GL112" s="24">
        <v>0</v>
      </c>
      <c r="GM112" s="24">
        <v>0</v>
      </c>
      <c r="GN112" s="24">
        <v>0</v>
      </c>
      <c r="GO112" s="24">
        <v>0</v>
      </c>
      <c r="GP112" s="24">
        <v>0</v>
      </c>
      <c r="GQ112" s="24">
        <v>0</v>
      </c>
      <c r="GR112" s="24">
        <v>146</v>
      </c>
      <c r="GS112" s="24">
        <v>0</v>
      </c>
      <c r="GT112" s="24">
        <v>119215</v>
      </c>
      <c r="GU112" s="24">
        <v>40054</v>
      </c>
      <c r="GV112" s="24">
        <v>0</v>
      </c>
      <c r="GW112" s="24">
        <v>0</v>
      </c>
      <c r="GX112" s="24">
        <v>0</v>
      </c>
      <c r="GY112" s="24">
        <v>0</v>
      </c>
      <c r="GZ112" s="24">
        <v>0</v>
      </c>
      <c r="HA112" s="24">
        <v>0</v>
      </c>
      <c r="HB112" s="24">
        <v>0</v>
      </c>
      <c r="HC112" s="24">
        <v>0</v>
      </c>
      <c r="HD112" s="24">
        <v>34254691</v>
      </c>
      <c r="HE112" s="24">
        <v>0</v>
      </c>
      <c r="HF112" s="24">
        <v>0</v>
      </c>
      <c r="HG112" s="24">
        <v>0</v>
      </c>
      <c r="HH112" s="24">
        <v>0</v>
      </c>
      <c r="HI112" s="24">
        <v>1173320</v>
      </c>
      <c r="HJ112" s="24">
        <v>0</v>
      </c>
      <c r="HK112" s="24">
        <v>0</v>
      </c>
      <c r="HL112" s="24">
        <v>0</v>
      </c>
      <c r="HM112" s="24">
        <v>0</v>
      </c>
      <c r="HN112" s="24">
        <v>486638</v>
      </c>
      <c r="HO112" s="24">
        <v>4516948</v>
      </c>
      <c r="HP112" s="24">
        <v>1360425</v>
      </c>
      <c r="HQ112" s="24">
        <v>0</v>
      </c>
      <c r="HR112" s="24">
        <v>0</v>
      </c>
      <c r="HS112" s="24">
        <v>0</v>
      </c>
      <c r="HT112" s="24">
        <v>0</v>
      </c>
      <c r="HU112" s="24">
        <v>0</v>
      </c>
      <c r="HV112" s="24">
        <v>0</v>
      </c>
      <c r="HW112" s="24">
        <v>0</v>
      </c>
      <c r="HX112" s="24">
        <v>0</v>
      </c>
      <c r="HY112" s="24">
        <v>0</v>
      </c>
      <c r="HZ112" s="24">
        <v>0</v>
      </c>
      <c r="IA112" s="24">
        <v>399205</v>
      </c>
      <c r="IB112" s="24">
        <v>0</v>
      </c>
      <c r="IC112" s="24">
        <v>103000</v>
      </c>
      <c r="ID112" s="24">
        <v>0</v>
      </c>
      <c r="IE112" s="24">
        <v>0</v>
      </c>
      <c r="IF112" s="24">
        <v>0</v>
      </c>
      <c r="IG112" s="24">
        <v>0</v>
      </c>
      <c r="IH112" s="24">
        <v>0</v>
      </c>
      <c r="II112" s="24">
        <v>0</v>
      </c>
      <c r="IJ112" s="24">
        <v>1245941</v>
      </c>
      <c r="IK112" s="24">
        <v>0</v>
      </c>
      <c r="IL112" s="24">
        <v>0</v>
      </c>
      <c r="IM112" s="24">
        <v>0</v>
      </c>
      <c r="IN112" s="24">
        <v>0</v>
      </c>
      <c r="IO112" s="24">
        <v>37375</v>
      </c>
      <c r="IP112" s="24">
        <v>0</v>
      </c>
      <c r="IQ112" s="24">
        <v>12638</v>
      </c>
      <c r="IR112" s="24">
        <v>178474</v>
      </c>
      <c r="IS112" s="24">
        <v>0</v>
      </c>
      <c r="IT112" s="24">
        <v>0</v>
      </c>
      <c r="IU112" s="24">
        <v>0</v>
      </c>
      <c r="IV112" s="24">
        <v>0</v>
      </c>
      <c r="IW112" s="24">
        <v>525380</v>
      </c>
      <c r="IX112" s="24">
        <v>0</v>
      </c>
      <c r="IY112" s="24">
        <v>0</v>
      </c>
      <c r="IZ112" s="24">
        <v>0</v>
      </c>
      <c r="JA112" s="24">
        <v>0</v>
      </c>
      <c r="JB112" s="24">
        <v>190788</v>
      </c>
      <c r="JC112" s="24">
        <v>0</v>
      </c>
      <c r="JD112" s="24">
        <v>0</v>
      </c>
      <c r="JE112" s="24">
        <v>0</v>
      </c>
      <c r="JF112" s="24">
        <v>0</v>
      </c>
      <c r="JG112" s="24">
        <v>0</v>
      </c>
      <c r="JH112" s="24">
        <v>0</v>
      </c>
      <c r="JI112" s="24">
        <v>0</v>
      </c>
      <c r="JJ112" s="24">
        <v>0</v>
      </c>
      <c r="JK112" s="24">
        <v>0</v>
      </c>
      <c r="JL112" s="24">
        <v>0</v>
      </c>
      <c r="JM112" s="24">
        <v>0</v>
      </c>
      <c r="JN112" s="24">
        <v>0</v>
      </c>
      <c r="JO112" s="24">
        <v>0</v>
      </c>
      <c r="JP112" s="24">
        <v>0</v>
      </c>
      <c r="JQ112" s="24">
        <v>0</v>
      </c>
      <c r="JR112" s="24">
        <v>0</v>
      </c>
      <c r="JS112" s="24">
        <v>0</v>
      </c>
      <c r="JT112" s="24">
        <v>6160</v>
      </c>
      <c r="JU112" s="24">
        <v>115229</v>
      </c>
      <c r="JV112" s="24">
        <v>2011152</v>
      </c>
      <c r="JW112" s="24">
        <v>0</v>
      </c>
      <c r="JX112" s="24">
        <v>0</v>
      </c>
      <c r="JY112" s="24">
        <v>0</v>
      </c>
      <c r="JZ112" s="24">
        <v>0</v>
      </c>
      <c r="KA112" s="24">
        <v>0</v>
      </c>
      <c r="KB112" s="24">
        <v>0</v>
      </c>
      <c r="KC112" s="24">
        <v>0</v>
      </c>
      <c r="KD112" s="24">
        <v>0</v>
      </c>
      <c r="KE112" s="24">
        <v>0</v>
      </c>
      <c r="KF112" s="24">
        <v>0</v>
      </c>
      <c r="KG112" s="24">
        <v>0</v>
      </c>
      <c r="KH112" s="24">
        <v>0</v>
      </c>
      <c r="KI112" s="24">
        <v>0</v>
      </c>
      <c r="KJ112" s="24">
        <v>0</v>
      </c>
      <c r="KK112" s="24">
        <v>0</v>
      </c>
      <c r="KL112" s="24">
        <v>0</v>
      </c>
      <c r="KM112" s="24">
        <v>0</v>
      </c>
      <c r="KN112" s="24">
        <v>0</v>
      </c>
      <c r="KO112" s="24">
        <v>0</v>
      </c>
      <c r="KP112" s="24">
        <v>0</v>
      </c>
      <c r="KQ112" s="24">
        <v>0</v>
      </c>
      <c r="KR112" s="24">
        <v>0</v>
      </c>
      <c r="KS112" s="24">
        <v>0</v>
      </c>
      <c r="KT112" s="24">
        <v>0</v>
      </c>
      <c r="KU112" s="24">
        <v>0</v>
      </c>
      <c r="KV112" s="24">
        <v>0</v>
      </c>
      <c r="KW112" s="24">
        <v>0</v>
      </c>
      <c r="KX112" s="24">
        <v>0</v>
      </c>
      <c r="KY112" s="24">
        <v>0</v>
      </c>
      <c r="KZ112" s="24">
        <v>0</v>
      </c>
      <c r="LA112" s="24">
        <v>0</v>
      </c>
      <c r="LB112" s="24">
        <v>0</v>
      </c>
      <c r="LC112" s="24">
        <v>0</v>
      </c>
      <c r="LD112" s="24">
        <v>0</v>
      </c>
      <c r="LE112" s="24">
        <v>0</v>
      </c>
      <c r="LF112" s="24">
        <v>0</v>
      </c>
      <c r="LG112" s="24">
        <v>0</v>
      </c>
      <c r="LH112" s="24">
        <v>0</v>
      </c>
      <c r="LI112" s="24">
        <v>0</v>
      </c>
      <c r="LJ112" s="24">
        <v>0</v>
      </c>
      <c r="LK112" s="24">
        <v>0</v>
      </c>
      <c r="LL112" s="24">
        <v>0</v>
      </c>
      <c r="LM112" s="24">
        <v>0</v>
      </c>
      <c r="LN112" s="24">
        <v>0</v>
      </c>
      <c r="LO112" s="24">
        <v>0</v>
      </c>
      <c r="LP112" s="24">
        <v>0</v>
      </c>
      <c r="LQ112" s="24">
        <v>1805152</v>
      </c>
      <c r="LR112" s="24">
        <v>239333</v>
      </c>
      <c r="LS112" s="24">
        <v>97945</v>
      </c>
      <c r="LT112" s="24">
        <v>68893</v>
      </c>
      <c r="LU112" s="24">
        <v>0</v>
      </c>
      <c r="LV112" s="24">
        <v>0</v>
      </c>
      <c r="LW112" s="24">
        <v>0</v>
      </c>
      <c r="LX112" s="24">
        <v>0</v>
      </c>
      <c r="LY112" s="24">
        <v>0</v>
      </c>
      <c r="LZ112" s="24">
        <v>0</v>
      </c>
      <c r="MA112" s="24">
        <v>0</v>
      </c>
      <c r="MB112" s="24">
        <v>0</v>
      </c>
      <c r="MC112" s="24">
        <v>0</v>
      </c>
      <c r="MD112" s="24">
        <v>0</v>
      </c>
      <c r="ME112" s="24">
        <v>0</v>
      </c>
      <c r="MF112" s="24">
        <v>0</v>
      </c>
      <c r="MG112" s="24">
        <v>0</v>
      </c>
      <c r="MH112" s="24">
        <v>0</v>
      </c>
      <c r="MI112" s="24">
        <v>0</v>
      </c>
      <c r="MJ112" s="24">
        <v>0</v>
      </c>
      <c r="MK112" s="24">
        <v>0</v>
      </c>
      <c r="ML112" s="24">
        <v>0</v>
      </c>
      <c r="MM112" s="24">
        <v>0</v>
      </c>
      <c r="MN112" s="24">
        <v>0</v>
      </c>
      <c r="MO112" s="24">
        <v>108726</v>
      </c>
      <c r="MP112" s="24">
        <v>0</v>
      </c>
      <c r="MQ112" s="24">
        <v>0</v>
      </c>
      <c r="MR112" s="24">
        <v>3617842</v>
      </c>
      <c r="MS112" s="24">
        <v>0</v>
      </c>
      <c r="MT112" s="24">
        <v>0</v>
      </c>
      <c r="MU112" s="24">
        <v>0</v>
      </c>
      <c r="MV112" s="24">
        <v>0</v>
      </c>
      <c r="MW112" s="24">
        <v>2114202</v>
      </c>
      <c r="MX112" s="24">
        <v>66073</v>
      </c>
      <c r="MY112" s="24">
        <v>0</v>
      </c>
      <c r="MZ112" s="24">
        <v>0</v>
      </c>
      <c r="NA112" s="24">
        <v>88386</v>
      </c>
      <c r="NB112" s="24">
        <v>16971</v>
      </c>
      <c r="NC112" s="24">
        <v>0</v>
      </c>
      <c r="ND112" s="24">
        <v>0</v>
      </c>
      <c r="NE112" s="24">
        <v>0</v>
      </c>
      <c r="NF112" s="24">
        <v>0</v>
      </c>
      <c r="NG112" s="24">
        <v>0</v>
      </c>
      <c r="NH112" s="24">
        <v>0</v>
      </c>
      <c r="NI112" s="24">
        <v>0</v>
      </c>
      <c r="NJ112" s="24">
        <v>0</v>
      </c>
      <c r="NK112" s="24">
        <v>0</v>
      </c>
      <c r="NL112" s="24">
        <v>0</v>
      </c>
      <c r="NM112" s="24">
        <v>0</v>
      </c>
      <c r="NN112" s="24">
        <v>0</v>
      </c>
      <c r="NO112" s="24">
        <v>0</v>
      </c>
      <c r="NP112" s="24">
        <v>0</v>
      </c>
      <c r="NQ112" s="24">
        <v>0</v>
      </c>
      <c r="NR112" s="24">
        <v>0</v>
      </c>
      <c r="NS112" s="24">
        <v>0</v>
      </c>
      <c r="NT112" s="24">
        <v>0</v>
      </c>
      <c r="NU112" s="24">
        <v>76198</v>
      </c>
      <c r="NV112" s="24">
        <v>296531</v>
      </c>
      <c r="NW112" s="24">
        <v>0</v>
      </c>
      <c r="NX112" s="24">
        <v>0</v>
      </c>
      <c r="NY112" s="24">
        <v>0</v>
      </c>
      <c r="NZ112" s="24">
        <v>45650</v>
      </c>
      <c r="OA112" s="24">
        <v>0</v>
      </c>
      <c r="OB112" s="24">
        <v>0</v>
      </c>
      <c r="OC112" s="24">
        <v>0</v>
      </c>
      <c r="OD112" s="24">
        <v>0</v>
      </c>
      <c r="OE112" s="24">
        <v>0</v>
      </c>
      <c r="OF112" s="24">
        <v>0</v>
      </c>
      <c r="OG112" s="24">
        <v>0</v>
      </c>
      <c r="OH112" s="24">
        <v>0</v>
      </c>
      <c r="OI112" s="24">
        <v>21801</v>
      </c>
      <c r="OJ112" s="24">
        <v>174631</v>
      </c>
      <c r="OK112" s="24">
        <v>971</v>
      </c>
      <c r="OL112" s="24">
        <v>0</v>
      </c>
      <c r="OM112" s="24">
        <v>0</v>
      </c>
      <c r="ON112" s="24">
        <v>0</v>
      </c>
      <c r="OO112" s="24">
        <v>0</v>
      </c>
      <c r="OP112" s="24">
        <v>0</v>
      </c>
      <c r="OQ112" s="24">
        <v>0</v>
      </c>
      <c r="OR112" s="24">
        <v>0</v>
      </c>
      <c r="OS112" s="24">
        <v>0</v>
      </c>
      <c r="OT112" s="24">
        <v>0</v>
      </c>
      <c r="OU112" s="24">
        <v>0</v>
      </c>
      <c r="OV112" s="24">
        <v>0</v>
      </c>
      <c r="OW112" s="24">
        <v>0</v>
      </c>
      <c r="OX112" s="24">
        <v>0</v>
      </c>
      <c r="OY112" s="24">
        <v>0</v>
      </c>
      <c r="OZ112" s="24">
        <v>0</v>
      </c>
      <c r="PA112" s="24">
        <v>0</v>
      </c>
      <c r="PB112" s="24">
        <v>86783</v>
      </c>
      <c r="PC112" s="24">
        <v>6789</v>
      </c>
      <c r="PD112" s="24">
        <v>0</v>
      </c>
      <c r="PE112" s="24">
        <v>0</v>
      </c>
      <c r="PF112" s="24">
        <v>38110</v>
      </c>
      <c r="PG112" s="24">
        <v>0</v>
      </c>
      <c r="PH112" s="24">
        <v>705912</v>
      </c>
      <c r="PI112" s="24">
        <v>0</v>
      </c>
      <c r="PJ112" s="24">
        <v>0</v>
      </c>
      <c r="PK112" s="24">
        <v>0</v>
      </c>
      <c r="PL112" s="24">
        <v>0</v>
      </c>
      <c r="PM112" s="24">
        <v>0</v>
      </c>
      <c r="PN112" s="24">
        <v>0</v>
      </c>
      <c r="PO112" s="24">
        <v>0</v>
      </c>
      <c r="PP112" s="24">
        <v>0</v>
      </c>
      <c r="PQ112" s="24">
        <v>0</v>
      </c>
      <c r="PR112" s="24">
        <v>0</v>
      </c>
      <c r="PS112" s="24">
        <v>0</v>
      </c>
      <c r="PT112" s="24">
        <v>0</v>
      </c>
      <c r="PU112" s="24">
        <v>0</v>
      </c>
      <c r="PV112" s="24">
        <v>0</v>
      </c>
      <c r="PW112" s="24">
        <v>300000</v>
      </c>
      <c r="PX112" s="24">
        <v>0</v>
      </c>
      <c r="PY112" s="24">
        <v>0</v>
      </c>
      <c r="PZ112" s="24">
        <v>0</v>
      </c>
      <c r="QA112" s="24">
        <v>0</v>
      </c>
      <c r="QB112" s="24">
        <v>0</v>
      </c>
      <c r="QC112" s="24">
        <v>0</v>
      </c>
      <c r="QD112" s="24">
        <v>0</v>
      </c>
      <c r="QE112" s="24">
        <v>90</v>
      </c>
      <c r="QF112" s="24">
        <v>0</v>
      </c>
      <c r="QG112" s="24">
        <v>0</v>
      </c>
      <c r="QH112" s="24">
        <v>0</v>
      </c>
      <c r="QI112" s="24">
        <v>0</v>
      </c>
      <c r="QJ112" s="24">
        <v>0</v>
      </c>
      <c r="QK112" s="24">
        <v>0</v>
      </c>
      <c r="QL112" s="24">
        <v>0</v>
      </c>
      <c r="QM112" s="24">
        <v>0</v>
      </c>
      <c r="QN112" s="24">
        <v>0</v>
      </c>
      <c r="QO112" s="24">
        <v>0</v>
      </c>
      <c r="QP112" s="24">
        <v>0</v>
      </c>
      <c r="QQ112" s="24">
        <v>23852</v>
      </c>
      <c r="QR112" s="24">
        <v>0</v>
      </c>
      <c r="QS112" s="24">
        <v>149</v>
      </c>
      <c r="QT112" s="24">
        <v>0</v>
      </c>
      <c r="QU112" s="24">
        <v>0</v>
      </c>
      <c r="QV112" s="24">
        <v>0</v>
      </c>
      <c r="QW112" s="24">
        <v>0</v>
      </c>
      <c r="QX112" s="24">
        <v>0</v>
      </c>
      <c r="QY112" s="24">
        <v>0</v>
      </c>
      <c r="QZ112" s="24">
        <v>0</v>
      </c>
      <c r="RA112" s="24">
        <v>0</v>
      </c>
      <c r="RB112" s="24">
        <v>0</v>
      </c>
      <c r="RG112" s="39">
        <f t="shared" si="129"/>
        <v>34254691</v>
      </c>
      <c r="RH112" s="39">
        <f t="shared" si="247"/>
        <v>1173320</v>
      </c>
      <c r="RI112" s="39">
        <f t="shared" si="247"/>
        <v>0</v>
      </c>
      <c r="RJ112" s="39">
        <f t="shared" si="247"/>
        <v>0</v>
      </c>
      <c r="RK112" s="39">
        <f t="shared" si="247"/>
        <v>486638</v>
      </c>
      <c r="RL112" s="39">
        <f t="shared" si="247"/>
        <v>4516948</v>
      </c>
      <c r="RM112" s="39">
        <f t="shared" si="247"/>
        <v>3108571</v>
      </c>
      <c r="RN112" s="39">
        <f t="shared" si="247"/>
        <v>37375</v>
      </c>
      <c r="RO112" s="39">
        <f t="shared" si="247"/>
        <v>191112</v>
      </c>
      <c r="RP112" s="39">
        <f t="shared" si="247"/>
        <v>525380</v>
      </c>
      <c r="RQ112" s="39">
        <f t="shared" si="247"/>
        <v>190788</v>
      </c>
      <c r="RR112" s="39">
        <f t="shared" si="247"/>
        <v>2132541</v>
      </c>
      <c r="RS112" s="39"/>
      <c r="RT112" s="182"/>
      <c r="RU112" s="39"/>
      <c r="RV112" s="39">
        <f t="shared" si="246"/>
        <v>8839305</v>
      </c>
      <c r="RW112" s="39">
        <f t="shared" si="246"/>
        <v>46617364</v>
      </c>
      <c r="RX112" s="39">
        <f t="shared" si="246"/>
        <v>20058738</v>
      </c>
      <c r="RY112" s="39">
        <f t="shared" si="246"/>
        <v>1161685</v>
      </c>
      <c r="RZ112" s="39"/>
      <c r="SA112" s="182"/>
      <c r="SB112" s="39"/>
      <c r="SC112" s="25">
        <f t="shared" si="183"/>
        <v>2434.9038601602329</v>
      </c>
      <c r="SD112" s="39">
        <f>IFERROR(VLOOKUP(A112, 'Levy Data 15-16'!$B:$O, 3, FALSE), 0)</f>
        <v>2826808652</v>
      </c>
      <c r="SE112" s="39">
        <f t="shared" si="208"/>
        <v>343142.58946346201</v>
      </c>
      <c r="SF112" s="631">
        <f>IFERROR(VLOOKUP(A112, 'Levy Data 15-16'!$B:$O, 14, FALSE), 0)*1000</f>
        <v>4.7654489999999994</v>
      </c>
      <c r="SG112" s="39">
        <f t="shared" si="209"/>
        <v>0</v>
      </c>
      <c r="SH112" s="39">
        <f t="shared" si="210"/>
        <v>0</v>
      </c>
      <c r="SI112" s="39">
        <f t="shared" si="211"/>
        <v>20058738</v>
      </c>
      <c r="SM112" s="39">
        <f t="shared" si="212"/>
        <v>46617364</v>
      </c>
      <c r="SN112" s="39">
        <f t="shared" si="213"/>
        <v>0</v>
      </c>
      <c r="SO112" s="39">
        <f t="shared" si="184"/>
        <v>46617364</v>
      </c>
      <c r="SP112" s="50">
        <f t="shared" si="130"/>
        <v>1</v>
      </c>
      <c r="ST112" s="124">
        <f>IFERROR(VLOOKUP(A112,'Grade Enroll 15-16'!B:AC,27,FALSE),"")</f>
        <v>8238</v>
      </c>
      <c r="SU112" s="124">
        <f t="shared" si="185"/>
        <v>4891.2553805191928</v>
      </c>
      <c r="SV112" s="131">
        <f>IFERROR(VLOOKUP($A112, 'Title I Enroll 16-17'!S:V, 4, FALSE), 0)</f>
        <v>0.59374306634124696</v>
      </c>
      <c r="SW112" s="729">
        <f>IFERROR(VLOOKUP(A112, 'ELL Enroll 15-16'!$N:$S, 6, FALSE), 0)</f>
        <v>872</v>
      </c>
      <c r="SX112" s="131">
        <f t="shared" si="131"/>
        <v>0.10585093469288662</v>
      </c>
      <c r="SY112" s="124">
        <f>IFERROR(VLOOKUP(A112, 'SPED enroll 2015-16'!$M:$O, 3, FALSE), 0)</f>
        <v>950</v>
      </c>
      <c r="SZ112" s="131">
        <f t="shared" si="132"/>
        <v>0.1153192522456907</v>
      </c>
      <c r="TA112" s="142">
        <f t="shared" si="207"/>
        <v>665</v>
      </c>
      <c r="TB112" s="142">
        <f t="shared" si="207"/>
        <v>190</v>
      </c>
      <c r="TC112" s="142">
        <f t="shared" si="207"/>
        <v>66.5</v>
      </c>
      <c r="TD112" s="142">
        <f t="shared" si="207"/>
        <v>28.5</v>
      </c>
      <c r="TE112" s="124">
        <f>VLOOKUP($A112, 'Grade Enroll 15-16'!$B:$AB, 20, FALSE)</f>
        <v>87</v>
      </c>
      <c r="TF112" s="124">
        <f>VLOOKUP($A112, 'Grade Enroll 15-16'!$B:$AB, 21, FALSE)</f>
        <v>726</v>
      </c>
      <c r="TG112" s="124">
        <f>VLOOKUP($A112, 'Grade Enroll 15-16'!$B:$AB, 22, FALSE)</f>
        <v>2285</v>
      </c>
      <c r="TH112" s="124">
        <f>VLOOKUP($A112, 'Grade Enroll 15-16'!$B:$AB, 23, FALSE)</f>
        <v>2107</v>
      </c>
      <c r="TI112" s="124">
        <f>VLOOKUP($A112, 'Grade Enroll 15-16'!$B:$AB, 24, FALSE)</f>
        <v>1297</v>
      </c>
      <c r="TJ112" s="124">
        <f>VLOOKUP($A112, 'Grade Enroll 15-16'!$B:$AB, 25, FALSE)</f>
        <v>2549</v>
      </c>
      <c r="TK112" s="124">
        <f>VLOOKUP($A112, 'Grade Enroll 15-16'!$B:$AB, 26, FALSE)</f>
        <v>5509</v>
      </c>
      <c r="TL112" s="131">
        <f>SUMIFS('Student Achievement 15-16'!N:N, 'Student Achievement 15-16'!B:B, 'Idaho Data'!A112, 'Student Achievement 15-16'!D:D, "math")/100</f>
        <v>0.30399999999999999</v>
      </c>
      <c r="TM112" s="134">
        <f t="shared" si="186"/>
        <v>2504.3519999999999</v>
      </c>
      <c r="TN112" s="131">
        <f>SUMIFS('Student Achievement 15-16'!N:N, 'Student Achievement 15-16'!B:B, 'Idaho Data'!A112, 'Student Achievement 15-16'!D:D, "ela")/100</f>
        <v>0.253</v>
      </c>
      <c r="TO112" s="134">
        <f t="shared" si="134"/>
        <v>2084.2139999999999</v>
      </c>
      <c r="TP112" s="688">
        <f>IFERROR(VLOOKUP(A112, 'G&amp;T 15-16'!B:G, 6, FALSE), 0)*1</f>
        <v>189</v>
      </c>
      <c r="TQ112" s="168">
        <f t="shared" si="135"/>
        <v>494.28</v>
      </c>
      <c r="TU112" s="168">
        <f t="shared" si="136"/>
        <v>2084.2139999999999</v>
      </c>
      <c r="TV112" s="168">
        <f t="shared" si="137"/>
        <v>2504.3519999999999</v>
      </c>
      <c r="TW112" s="205">
        <f t="shared" si="138"/>
        <v>2504.3519999999999</v>
      </c>
      <c r="TX112" s="144"/>
      <c r="TY112" s="129"/>
      <c r="TZ112" s="127">
        <f t="shared" si="139"/>
        <v>189</v>
      </c>
      <c r="UA112" s="127">
        <f t="shared" si="140"/>
        <v>494.28</v>
      </c>
      <c r="UB112" s="205">
        <f t="shared" si="141"/>
        <v>494.28</v>
      </c>
      <c r="UE112" s="853" t="str">
        <f>IF(ST112&lt;='1. Simulator Input'!$E$104, "yes", "")</f>
        <v/>
      </c>
      <c r="UI112" s="199">
        <f t="shared" si="187"/>
        <v>0</v>
      </c>
      <c r="UJ112" s="200">
        <f>IF('Idaho Data'!SI112&gt;=0, ((1-'1. Simulator Input'!$E$39)*'Idaho Data'!SI112), 0)</f>
        <v>0</v>
      </c>
      <c r="UK112" s="200">
        <f t="shared" si="142"/>
        <v>46617364</v>
      </c>
      <c r="UL112" s="39"/>
      <c r="UM112" s="182"/>
      <c r="UN112" s="39"/>
      <c r="UO112" s="39" t="str">
        <f>IF(AND('1. Simulator Input'!$E$96="yes", '1. Simulator Input'!$E$98="yes", '1. Simulator Input'!$E$100="hold harmless"), 'Idaho Data'!WN112, IF(AND('1. Simulator Input'!$E$96="yes", '1. Simulator Input'!$E$98="no", '1. Simulator Input'!$E$100="hold harmless"), 'Idaho Data'!WM112, IF(AND('1. Simulator Input'!$E$96="yes", '1. Simulator Input'!$E$98="yes", '1. Simulator Input'!$E$100="small district grant"), WL112,IF(AND('1. Simulator Input'!$E$96="yes", '1. Simulator Input'!$E$98="no", '1. Simulator Input'!$E$100="small district grant"), WK112, ""))))</f>
        <v/>
      </c>
      <c r="UP112" s="200">
        <f>'1. Simulator Input'!$D$56*('Idaho Data'!ST112)</f>
        <v>45523188</v>
      </c>
      <c r="UQ112" s="204">
        <f>'1. Simulator Input'!$D$65*'1. Simulator Input'!$D$56*'Idaho Data'!SU112</f>
        <v>0</v>
      </c>
      <c r="UR112" s="204">
        <f>'1. Simulator Input'!$D$66*'1. Simulator Input'!$D$56*'Idaho Data'!SW112</f>
        <v>0</v>
      </c>
      <c r="US112" s="200">
        <f>'1. Simulator Input'!$D$67*'1. Simulator Input'!$D$56*'Idaho Data'!TA112</f>
        <v>0</v>
      </c>
      <c r="UT112" s="200">
        <f>'1. Simulator Input'!$D$68*'1. Simulator Input'!$D$56*'Idaho Data'!TB112</f>
        <v>0</v>
      </c>
      <c r="UU112" s="200">
        <f>'1. Simulator Input'!$D$69*'1. Simulator Input'!$D$56*'Idaho Data'!TC112</f>
        <v>0</v>
      </c>
      <c r="UV112" s="200">
        <f>'1. Simulator Input'!$D$70*'1. Simulator Input'!$D$56*TD112</f>
        <v>0</v>
      </c>
      <c r="UW112" s="200">
        <f>'1. Simulator Input'!$D$80*'1. Simulator Input'!$D$56*TW112</f>
        <v>0</v>
      </c>
      <c r="UX112" s="200">
        <f>'1. Simulator Input'!$D$79*'1. Simulator Input'!$D$56*UB112</f>
        <v>0</v>
      </c>
      <c r="UY112" s="200">
        <f>'1. Simulator Input'!$D$87*'1. Simulator Input'!$D$56*TF112</f>
        <v>2005938</v>
      </c>
      <c r="UZ112" s="200">
        <f>'1. Simulator Input'!$D$73*'1. Simulator Input'!$D$56*'Idaho Data'!TG112</f>
        <v>0</v>
      </c>
      <c r="VA112" s="200">
        <f>'1. Simulator Input'!$D$56*'1. Simulator Input'!$D$74*'Idaho Data'!TH112</f>
        <v>0</v>
      </c>
      <c r="VB112" s="200">
        <f>'1. Simulator Input'!$D$56*'1. Simulator Input'!$D$75*'Idaho Data'!TI107</f>
        <v>0</v>
      </c>
      <c r="VC112" s="200">
        <f>'1. Simulator Input'!$D$76*'1. Simulator Input'!$D$56*'Idaho Data'!TJ112</f>
        <v>0</v>
      </c>
      <c r="VD112" s="200">
        <f t="shared" si="188"/>
        <v>47529126</v>
      </c>
      <c r="VE112" s="200"/>
      <c r="VF112" s="182"/>
      <c r="VG112" s="200"/>
      <c r="VH112" s="200">
        <f t="shared" si="189"/>
        <v>0</v>
      </c>
      <c r="VI112" s="200">
        <f t="shared" si="190"/>
        <v>0</v>
      </c>
      <c r="VJ112" s="200">
        <f t="shared" si="214"/>
        <v>47529126</v>
      </c>
      <c r="VK112" s="200">
        <f t="shared" si="215"/>
        <v>47529126</v>
      </c>
      <c r="VL112" s="200"/>
      <c r="VM112" s="182"/>
      <c r="VN112" s="200"/>
      <c r="VO112" s="200">
        <f t="shared" si="191"/>
        <v>8839305</v>
      </c>
      <c r="VP112" s="200">
        <f t="shared" si="192"/>
        <v>46617364</v>
      </c>
      <c r="VQ112" s="200">
        <f t="shared" si="193"/>
        <v>20058738</v>
      </c>
      <c r="VR112" s="200">
        <f t="shared" si="194"/>
        <v>8839305</v>
      </c>
      <c r="VS112" s="200">
        <f t="shared" si="216"/>
        <v>47529126</v>
      </c>
      <c r="VT112" s="200">
        <f t="shared" si="217"/>
        <v>20058738</v>
      </c>
      <c r="VU112" s="200">
        <f t="shared" si="218"/>
        <v>0</v>
      </c>
      <c r="VV112" s="200"/>
      <c r="VW112" s="182"/>
      <c r="VX112" s="200"/>
      <c r="VZ112" s="199">
        <f t="shared" si="195"/>
        <v>911762</v>
      </c>
      <c r="WA112" s="199">
        <f t="shared" si="196"/>
        <v>110.67759164845836</v>
      </c>
      <c r="WB112" s="131">
        <f t="shared" si="197"/>
        <v>1.9558420334534574E-2</v>
      </c>
      <c r="WC112" s="131"/>
      <c r="WD112" s="461"/>
      <c r="WE112" s="893"/>
      <c r="WF112" s="893">
        <f t="shared" si="198"/>
        <v>9166.7160718621017</v>
      </c>
      <c r="WG112" s="893">
        <f t="shared" si="199"/>
        <v>9277.3936635105601</v>
      </c>
      <c r="WH112" s="893"/>
      <c r="WI112" s="893">
        <f t="shared" si="200"/>
        <v>46617364</v>
      </c>
      <c r="WJ112" s="893">
        <f t="shared" si="219"/>
        <v>47529126</v>
      </c>
      <c r="WK112" s="39" t="str">
        <f t="shared" si="220"/>
        <v/>
      </c>
      <c r="WL112" s="39" t="str">
        <f t="shared" si="221"/>
        <v/>
      </c>
      <c r="WM112" s="200" t="str">
        <f t="shared" si="222"/>
        <v/>
      </c>
      <c r="WN112" s="39" t="str">
        <f t="shared" si="223"/>
        <v/>
      </c>
      <c r="WO112" s="39"/>
      <c r="WP112" s="182"/>
      <c r="WQ112" s="39"/>
      <c r="WR112" s="305">
        <f t="shared" si="224"/>
        <v>0.34200000000000003</v>
      </c>
      <c r="WT112" s="200">
        <f t="shared" si="225"/>
        <v>5658.8205875212434</v>
      </c>
      <c r="WU112" s="131">
        <f t="shared" si="201"/>
        <v>0.19</v>
      </c>
      <c r="WW112" s="199">
        <f t="shared" si="226"/>
        <v>8839305</v>
      </c>
      <c r="WX112" s="199">
        <f t="shared" si="227"/>
        <v>47529126</v>
      </c>
      <c r="WY112" s="199">
        <f t="shared" si="228"/>
        <v>0</v>
      </c>
      <c r="WZ112" s="199">
        <f t="shared" si="202"/>
        <v>47529126</v>
      </c>
      <c r="XA112" s="199">
        <f t="shared" si="229"/>
        <v>0</v>
      </c>
      <c r="XB112" s="199">
        <f t="shared" si="230"/>
        <v>20058738</v>
      </c>
      <c r="XC112" s="199">
        <f t="shared" si="231"/>
        <v>20058738</v>
      </c>
      <c r="XD112" s="199" t="str">
        <f t="shared" si="232"/>
        <v/>
      </c>
      <c r="XE112" s="199"/>
      <c r="XF112" s="199"/>
      <c r="XG112" s="199"/>
      <c r="XH112" s="199"/>
      <c r="XI112" s="199"/>
      <c r="XJ112" s="199">
        <f t="shared" si="203"/>
        <v>47529126</v>
      </c>
      <c r="XP112" s="199">
        <f t="shared" si="233"/>
        <v>47529126</v>
      </c>
      <c r="XQ112" s="199">
        <f t="shared" si="234"/>
        <v>5769.498179169701</v>
      </c>
      <c r="XR112" s="199">
        <f t="shared" si="235"/>
        <v>47529126</v>
      </c>
      <c r="XS112" s="199">
        <f t="shared" si="236"/>
        <v>47529126</v>
      </c>
      <c r="XT112" s="199">
        <f t="shared" si="237"/>
        <v>5769.498179169701</v>
      </c>
      <c r="XU112" s="199">
        <f t="shared" si="238"/>
        <v>46617364</v>
      </c>
      <c r="XV112" s="199">
        <f t="shared" si="239"/>
        <v>5658.8205875212434</v>
      </c>
      <c r="XW112" s="199">
        <f t="shared" si="240"/>
        <v>46617364</v>
      </c>
      <c r="XX112" s="199">
        <f t="shared" si="241"/>
        <v>5658.8205875212434</v>
      </c>
      <c r="XY112" s="199">
        <f t="shared" si="204"/>
        <v>911762</v>
      </c>
      <c r="XZ112" s="199">
        <f t="shared" si="205"/>
        <v>110.67759164845756</v>
      </c>
      <c r="YA112" s="131">
        <f t="shared" si="143"/>
        <v>1.9558420334534431E-2</v>
      </c>
      <c r="YB112" s="199"/>
      <c r="YC112" s="221"/>
      <c r="YD112" s="199"/>
      <c r="YE112" s="199">
        <f t="shared" si="242"/>
        <v>8839305</v>
      </c>
      <c r="YF112" s="200">
        <f t="shared" si="243"/>
        <v>0</v>
      </c>
      <c r="YG112" s="199">
        <f t="shared" si="244"/>
        <v>20058738</v>
      </c>
      <c r="YH112" s="199">
        <f t="shared" si="245"/>
        <v>1161685</v>
      </c>
    </row>
    <row r="113" spans="1:658">
      <c r="A113" s="3">
        <v>412</v>
      </c>
      <c r="B113" s="2" t="s">
        <v>210</v>
      </c>
      <c r="C113" s="24">
        <v>310635</v>
      </c>
      <c r="D113" s="24">
        <v>0</v>
      </c>
      <c r="E113" s="24">
        <v>0</v>
      </c>
      <c r="F113" s="24">
        <v>0</v>
      </c>
      <c r="G113" s="24">
        <v>392896</v>
      </c>
      <c r="H113" s="24">
        <v>0</v>
      </c>
      <c r="I113" s="24">
        <v>3383</v>
      </c>
      <c r="J113" s="24">
        <v>-23</v>
      </c>
      <c r="K113" s="24">
        <v>0</v>
      </c>
      <c r="L113" s="24">
        <v>0</v>
      </c>
      <c r="M113" s="24">
        <v>0</v>
      </c>
      <c r="N113" s="24">
        <v>0</v>
      </c>
      <c r="O113" s="24">
        <v>0</v>
      </c>
      <c r="P113" s="24">
        <v>0</v>
      </c>
      <c r="Q113" s="24">
        <v>0</v>
      </c>
      <c r="R113" s="24">
        <v>0</v>
      </c>
      <c r="S113" s="24">
        <v>0</v>
      </c>
      <c r="T113" s="24">
        <v>342430</v>
      </c>
      <c r="U113" s="24">
        <v>0</v>
      </c>
      <c r="V113" s="24">
        <v>0</v>
      </c>
      <c r="W113" s="24">
        <v>0</v>
      </c>
      <c r="X113" s="24">
        <v>641163</v>
      </c>
      <c r="Y113" s="24">
        <v>2687</v>
      </c>
      <c r="Z113" s="24">
        <v>0</v>
      </c>
      <c r="AA113" s="24">
        <v>4819</v>
      </c>
      <c r="AB113" s="24">
        <v>168</v>
      </c>
      <c r="AC113" s="24">
        <v>0</v>
      </c>
      <c r="AD113" s="24">
        <v>0</v>
      </c>
      <c r="AE113" s="24">
        <v>0</v>
      </c>
      <c r="AF113" s="24">
        <v>0</v>
      </c>
      <c r="AG113" s="24">
        <v>0</v>
      </c>
      <c r="AH113" s="24">
        <v>0</v>
      </c>
      <c r="AI113" s="24">
        <v>0</v>
      </c>
      <c r="AJ113" s="24">
        <v>0</v>
      </c>
      <c r="AK113" s="24">
        <v>0</v>
      </c>
      <c r="AL113" s="24">
        <v>8789</v>
      </c>
      <c r="AM113" s="24">
        <v>0</v>
      </c>
      <c r="AN113" s="24">
        <v>0</v>
      </c>
      <c r="AO113" s="24">
        <v>0</v>
      </c>
      <c r="AP113" s="24">
        <v>0</v>
      </c>
      <c r="AQ113" s="24">
        <v>0</v>
      </c>
      <c r="AR113" s="24">
        <v>0</v>
      </c>
      <c r="AS113" s="24">
        <v>0</v>
      </c>
      <c r="AT113" s="24">
        <v>0</v>
      </c>
      <c r="AU113" s="24">
        <v>0</v>
      </c>
      <c r="AV113" s="24">
        <v>0</v>
      </c>
      <c r="AW113" s="24">
        <v>0</v>
      </c>
      <c r="AX113" s="24">
        <v>0</v>
      </c>
      <c r="AY113" s="24">
        <v>0</v>
      </c>
      <c r="AZ113" s="24">
        <v>0</v>
      </c>
      <c r="BA113" s="24">
        <v>0</v>
      </c>
      <c r="BB113" s="24">
        <v>0</v>
      </c>
      <c r="BC113" s="24">
        <v>0</v>
      </c>
      <c r="BD113" s="24">
        <v>3648</v>
      </c>
      <c r="BE113" s="24">
        <v>0</v>
      </c>
      <c r="BF113" s="24">
        <v>5136</v>
      </c>
      <c r="BG113" s="24">
        <v>0</v>
      </c>
      <c r="BH113" s="24">
        <v>0</v>
      </c>
      <c r="BI113" s="24">
        <v>19</v>
      </c>
      <c r="BJ113" s="24">
        <v>0</v>
      </c>
      <c r="BK113" s="24">
        <v>0</v>
      </c>
      <c r="BL113" s="24">
        <v>0</v>
      </c>
      <c r="BM113" s="24">
        <v>0</v>
      </c>
      <c r="BN113" s="24">
        <v>0</v>
      </c>
      <c r="BO113" s="24">
        <v>0</v>
      </c>
      <c r="BP113" s="24">
        <v>0</v>
      </c>
      <c r="BQ113" s="24">
        <v>0</v>
      </c>
      <c r="BR113" s="24">
        <v>0</v>
      </c>
      <c r="BS113" s="24">
        <v>0</v>
      </c>
      <c r="BT113" s="24">
        <v>0</v>
      </c>
      <c r="BU113" s="24">
        <v>0</v>
      </c>
      <c r="BV113" s="24">
        <v>0</v>
      </c>
      <c r="BW113" s="24">
        <v>0</v>
      </c>
      <c r="BX113" s="24">
        <v>0</v>
      </c>
      <c r="BY113" s="24">
        <v>0</v>
      </c>
      <c r="BZ113" s="24">
        <v>0</v>
      </c>
      <c r="CA113" s="24">
        <v>0</v>
      </c>
      <c r="CB113" s="24">
        <v>0</v>
      </c>
      <c r="CC113" s="24">
        <v>0</v>
      </c>
      <c r="CD113" s="24">
        <v>30384</v>
      </c>
      <c r="CE113" s="24">
        <v>4698</v>
      </c>
      <c r="CF113" s="24">
        <v>0</v>
      </c>
      <c r="CG113" s="24">
        <v>338</v>
      </c>
      <c r="CH113" s="24">
        <v>0</v>
      </c>
      <c r="CI113" s="24">
        <v>0</v>
      </c>
      <c r="CJ113" s="24">
        <v>0</v>
      </c>
      <c r="CK113" s="24">
        <v>0</v>
      </c>
      <c r="CL113" s="24">
        <v>0</v>
      </c>
      <c r="CM113" s="24">
        <v>0</v>
      </c>
      <c r="CN113" s="24">
        <v>0</v>
      </c>
      <c r="CO113" s="24">
        <v>0</v>
      </c>
      <c r="CP113" s="24">
        <v>0</v>
      </c>
      <c r="CQ113" s="24">
        <v>0</v>
      </c>
      <c r="CR113" s="24">
        <v>0</v>
      </c>
      <c r="CS113" s="24">
        <v>3607</v>
      </c>
      <c r="CT113" s="24">
        <v>0</v>
      </c>
      <c r="CU113" s="24">
        <v>0</v>
      </c>
      <c r="CV113" s="24">
        <v>0</v>
      </c>
      <c r="CW113" s="24">
        <v>0</v>
      </c>
      <c r="CX113" s="24">
        <v>0</v>
      </c>
      <c r="CY113" s="24">
        <v>0</v>
      </c>
      <c r="CZ113" s="24">
        <v>0</v>
      </c>
      <c r="DA113" s="24">
        <v>0</v>
      </c>
      <c r="DB113" s="24">
        <v>0</v>
      </c>
      <c r="DC113" s="24">
        <v>0</v>
      </c>
      <c r="DD113" s="24">
        <v>0</v>
      </c>
      <c r="DE113" s="24">
        <v>0</v>
      </c>
      <c r="DF113" s="24">
        <v>0</v>
      </c>
      <c r="DG113" s="24">
        <v>0</v>
      </c>
      <c r="DH113" s="24">
        <v>0</v>
      </c>
      <c r="DI113" s="24">
        <v>0</v>
      </c>
      <c r="DJ113" s="24">
        <v>0</v>
      </c>
      <c r="DK113" s="24">
        <v>0</v>
      </c>
      <c r="DL113" s="24">
        <v>0</v>
      </c>
      <c r="DM113" s="24">
        <v>0</v>
      </c>
      <c r="DN113" s="24">
        <v>0</v>
      </c>
      <c r="DO113" s="24">
        <v>0</v>
      </c>
      <c r="DP113" s="24">
        <v>0</v>
      </c>
      <c r="DQ113" s="24">
        <v>0</v>
      </c>
      <c r="DR113" s="24">
        <v>0</v>
      </c>
      <c r="DS113" s="24">
        <v>0</v>
      </c>
      <c r="DT113" s="24">
        <v>0</v>
      </c>
      <c r="DU113" s="24">
        <v>691</v>
      </c>
      <c r="DV113" s="24">
        <v>0</v>
      </c>
      <c r="DW113" s="24">
        <v>0</v>
      </c>
      <c r="DX113" s="24">
        <v>0</v>
      </c>
      <c r="DY113" s="24">
        <v>0</v>
      </c>
      <c r="DZ113" s="24">
        <v>0</v>
      </c>
      <c r="EA113" s="24">
        <v>0</v>
      </c>
      <c r="EB113" s="24">
        <v>0</v>
      </c>
      <c r="EC113" s="24">
        <v>0</v>
      </c>
      <c r="ED113" s="24">
        <v>0</v>
      </c>
      <c r="EE113" s="24">
        <v>0</v>
      </c>
      <c r="EF113" s="24">
        <v>0</v>
      </c>
      <c r="EG113" s="24">
        <v>305</v>
      </c>
      <c r="EH113" s="24">
        <v>0</v>
      </c>
      <c r="EI113" s="24">
        <v>0</v>
      </c>
      <c r="EJ113" s="24">
        <v>0</v>
      </c>
      <c r="EK113" s="24">
        <v>0</v>
      </c>
      <c r="EL113" s="24">
        <v>0</v>
      </c>
      <c r="EM113" s="24">
        <v>0</v>
      </c>
      <c r="EN113" s="24">
        <v>0</v>
      </c>
      <c r="EO113" s="24">
        <v>0</v>
      </c>
      <c r="EP113" s="24">
        <v>0</v>
      </c>
      <c r="EQ113" s="24">
        <v>0</v>
      </c>
      <c r="ER113" s="24">
        <v>0</v>
      </c>
      <c r="ES113" s="24">
        <v>0</v>
      </c>
      <c r="ET113" s="24">
        <v>0</v>
      </c>
      <c r="EU113" s="24">
        <v>0</v>
      </c>
      <c r="EV113" s="24">
        <v>0</v>
      </c>
      <c r="EW113" s="24">
        <v>0</v>
      </c>
      <c r="EX113" s="24">
        <v>0</v>
      </c>
      <c r="EY113" s="24">
        <v>0</v>
      </c>
      <c r="EZ113" s="24">
        <v>0</v>
      </c>
      <c r="FA113" s="24">
        <v>0</v>
      </c>
      <c r="FB113" s="24">
        <v>0</v>
      </c>
      <c r="FC113" s="24">
        <v>0</v>
      </c>
      <c r="FD113" s="24">
        <v>0</v>
      </c>
      <c r="FE113" s="24">
        <v>0</v>
      </c>
      <c r="FF113" s="24">
        <v>0</v>
      </c>
      <c r="FG113" s="24">
        <v>0</v>
      </c>
      <c r="FH113" s="24">
        <v>0</v>
      </c>
      <c r="FI113" s="24">
        <v>0</v>
      </c>
      <c r="FJ113" s="24">
        <v>0</v>
      </c>
      <c r="FK113" s="24">
        <v>0</v>
      </c>
      <c r="FL113" s="24">
        <v>0</v>
      </c>
      <c r="FM113" s="24">
        <v>0</v>
      </c>
      <c r="FN113" s="24">
        <v>0</v>
      </c>
      <c r="FO113" s="24">
        <v>0</v>
      </c>
      <c r="FP113" s="24">
        <v>0</v>
      </c>
      <c r="FQ113" s="24">
        <v>0</v>
      </c>
      <c r="FR113" s="24">
        <v>0</v>
      </c>
      <c r="FS113" s="24">
        <v>121002</v>
      </c>
      <c r="FT113" s="24">
        <v>0</v>
      </c>
      <c r="FU113" s="24">
        <v>7810</v>
      </c>
      <c r="FV113" s="24">
        <v>0</v>
      </c>
      <c r="FW113" s="24">
        <v>0</v>
      </c>
      <c r="FX113" s="24">
        <v>0</v>
      </c>
      <c r="FY113" s="24">
        <v>0</v>
      </c>
      <c r="FZ113" s="24">
        <v>0</v>
      </c>
      <c r="GA113" s="24">
        <v>0</v>
      </c>
      <c r="GB113" s="24">
        <v>0</v>
      </c>
      <c r="GC113" s="24">
        <v>0</v>
      </c>
      <c r="GD113" s="24">
        <v>0</v>
      </c>
      <c r="GE113" s="24">
        <v>8040</v>
      </c>
      <c r="GF113" s="24">
        <v>0</v>
      </c>
      <c r="GG113" s="24">
        <v>12427</v>
      </c>
      <c r="GH113" s="24">
        <v>0</v>
      </c>
      <c r="GI113" s="24">
        <v>743</v>
      </c>
      <c r="GJ113" s="24">
        <v>0</v>
      </c>
      <c r="GK113" s="24">
        <v>0</v>
      </c>
      <c r="GL113" s="24">
        <v>0</v>
      </c>
      <c r="GM113" s="24">
        <v>0</v>
      </c>
      <c r="GN113" s="24">
        <v>0</v>
      </c>
      <c r="GO113" s="24">
        <v>0</v>
      </c>
      <c r="GP113" s="24">
        <v>0</v>
      </c>
      <c r="GQ113" s="24">
        <v>0</v>
      </c>
      <c r="GR113" s="24">
        <v>6721</v>
      </c>
      <c r="GS113" s="24">
        <v>0</v>
      </c>
      <c r="GT113" s="24">
        <v>0</v>
      </c>
      <c r="GU113" s="24">
        <v>886</v>
      </c>
      <c r="GV113" s="24">
        <v>0</v>
      </c>
      <c r="GW113" s="24">
        <v>0</v>
      </c>
      <c r="GX113" s="24">
        <v>0</v>
      </c>
      <c r="GY113" s="24">
        <v>0</v>
      </c>
      <c r="GZ113" s="24">
        <v>0</v>
      </c>
      <c r="HA113" s="24">
        <v>0</v>
      </c>
      <c r="HB113" s="24">
        <v>0</v>
      </c>
      <c r="HC113" s="24">
        <v>0</v>
      </c>
      <c r="HD113" s="24">
        <v>5218235</v>
      </c>
      <c r="HE113" s="24">
        <v>0</v>
      </c>
      <c r="HF113" s="24">
        <v>0</v>
      </c>
      <c r="HG113" s="24">
        <v>0</v>
      </c>
      <c r="HH113" s="24">
        <v>0</v>
      </c>
      <c r="HI113" s="24">
        <v>271906</v>
      </c>
      <c r="HJ113" s="24">
        <v>0</v>
      </c>
      <c r="HK113" s="24">
        <v>0</v>
      </c>
      <c r="HL113" s="24">
        <v>2024</v>
      </c>
      <c r="HM113" s="24">
        <v>0</v>
      </c>
      <c r="HN113" s="24">
        <v>0</v>
      </c>
      <c r="HO113" s="24">
        <v>692063</v>
      </c>
      <c r="HP113" s="24">
        <v>273154</v>
      </c>
      <c r="HQ113" s="24">
        <v>0</v>
      </c>
      <c r="HR113" s="24">
        <v>0</v>
      </c>
      <c r="HS113" s="24">
        <v>0</v>
      </c>
      <c r="HT113" s="24">
        <v>0</v>
      </c>
      <c r="HU113" s="24">
        <v>0</v>
      </c>
      <c r="HV113" s="24">
        <v>0</v>
      </c>
      <c r="HW113" s="24">
        <v>0</v>
      </c>
      <c r="HX113" s="24">
        <v>0</v>
      </c>
      <c r="HY113" s="24">
        <v>0</v>
      </c>
      <c r="HZ113" s="24">
        <v>0</v>
      </c>
      <c r="IA113" s="24">
        <v>58220</v>
      </c>
      <c r="IB113" s="24">
        <v>18339</v>
      </c>
      <c r="IC113" s="24">
        <v>0</v>
      </c>
      <c r="ID113" s="24">
        <v>0</v>
      </c>
      <c r="IE113" s="24">
        <v>0</v>
      </c>
      <c r="IF113" s="24">
        <v>0</v>
      </c>
      <c r="IG113" s="24">
        <v>0</v>
      </c>
      <c r="IH113" s="24">
        <v>0</v>
      </c>
      <c r="II113" s="24">
        <v>0</v>
      </c>
      <c r="IJ113" s="24">
        <v>0</v>
      </c>
      <c r="IK113" s="24">
        <v>0</v>
      </c>
      <c r="IL113" s="24">
        <v>0</v>
      </c>
      <c r="IM113" s="24">
        <v>0</v>
      </c>
      <c r="IN113" s="24">
        <v>0</v>
      </c>
      <c r="IO113" s="24">
        <v>0</v>
      </c>
      <c r="IP113" s="24">
        <v>0</v>
      </c>
      <c r="IQ113" s="24">
        <v>0</v>
      </c>
      <c r="IR113" s="24">
        <v>45168</v>
      </c>
      <c r="IS113" s="24">
        <v>0</v>
      </c>
      <c r="IT113" s="24">
        <v>0</v>
      </c>
      <c r="IU113" s="24">
        <v>0</v>
      </c>
      <c r="IV113" s="24">
        <v>0</v>
      </c>
      <c r="IW113" s="24">
        <v>98717</v>
      </c>
      <c r="IX113" s="24">
        <v>0</v>
      </c>
      <c r="IY113" s="24">
        <v>0</v>
      </c>
      <c r="IZ113" s="24">
        <v>0</v>
      </c>
      <c r="JA113" s="24">
        <v>0</v>
      </c>
      <c r="JB113" s="24">
        <v>25215</v>
      </c>
      <c r="JC113" s="24">
        <v>0</v>
      </c>
      <c r="JD113" s="24">
        <v>0</v>
      </c>
      <c r="JE113" s="24">
        <v>69244</v>
      </c>
      <c r="JF113" s="24">
        <v>0</v>
      </c>
      <c r="JG113" s="24">
        <v>0</v>
      </c>
      <c r="JH113" s="24">
        <v>0</v>
      </c>
      <c r="JI113" s="24">
        <v>0</v>
      </c>
      <c r="JJ113" s="24">
        <v>0</v>
      </c>
      <c r="JK113" s="24">
        <v>0</v>
      </c>
      <c r="JL113" s="24">
        <v>0</v>
      </c>
      <c r="JM113" s="24">
        <v>0</v>
      </c>
      <c r="JN113" s="24">
        <v>0</v>
      </c>
      <c r="JO113" s="24">
        <v>0</v>
      </c>
      <c r="JP113" s="24">
        <v>0</v>
      </c>
      <c r="JQ113" s="24">
        <v>0</v>
      </c>
      <c r="JR113" s="24">
        <v>0</v>
      </c>
      <c r="JS113" s="24">
        <v>0</v>
      </c>
      <c r="JT113" s="24">
        <v>0</v>
      </c>
      <c r="JU113" s="24">
        <v>0</v>
      </c>
      <c r="JV113" s="24">
        <v>0</v>
      </c>
      <c r="JW113" s="24">
        <v>0</v>
      </c>
      <c r="JX113" s="24">
        <v>0</v>
      </c>
      <c r="JY113" s="24">
        <v>0</v>
      </c>
      <c r="JZ113" s="24">
        <v>0</v>
      </c>
      <c r="KA113" s="24">
        <v>22965</v>
      </c>
      <c r="KB113" s="24">
        <v>0</v>
      </c>
      <c r="KC113" s="24">
        <v>0</v>
      </c>
      <c r="KD113" s="24">
        <v>0</v>
      </c>
      <c r="KE113" s="24">
        <v>0</v>
      </c>
      <c r="KF113" s="24">
        <v>0</v>
      </c>
      <c r="KG113" s="24">
        <v>0</v>
      </c>
      <c r="KH113" s="24">
        <v>0</v>
      </c>
      <c r="KI113" s="24">
        <v>0</v>
      </c>
      <c r="KJ113" s="24">
        <v>0</v>
      </c>
      <c r="KK113" s="24">
        <v>0</v>
      </c>
      <c r="KL113" s="24">
        <v>0</v>
      </c>
      <c r="KM113" s="24">
        <v>0</v>
      </c>
      <c r="KN113" s="24">
        <v>0</v>
      </c>
      <c r="KO113" s="24">
        <v>0</v>
      </c>
      <c r="KP113" s="24">
        <v>0</v>
      </c>
      <c r="KQ113" s="24">
        <v>0</v>
      </c>
      <c r="KR113" s="24">
        <v>0</v>
      </c>
      <c r="KS113" s="24">
        <v>0</v>
      </c>
      <c r="KT113" s="24">
        <v>0</v>
      </c>
      <c r="KU113" s="24">
        <v>0</v>
      </c>
      <c r="KV113" s="24">
        <v>0</v>
      </c>
      <c r="KW113" s="24">
        <v>0</v>
      </c>
      <c r="KX113" s="24">
        <v>0</v>
      </c>
      <c r="KY113" s="24">
        <v>0</v>
      </c>
      <c r="KZ113" s="24">
        <v>0</v>
      </c>
      <c r="LA113" s="24">
        <v>0</v>
      </c>
      <c r="LB113" s="24">
        <v>0</v>
      </c>
      <c r="LC113" s="24">
        <v>0</v>
      </c>
      <c r="LD113" s="24">
        <v>0</v>
      </c>
      <c r="LE113" s="24">
        <v>0</v>
      </c>
      <c r="LF113" s="24">
        <v>0</v>
      </c>
      <c r="LG113" s="24">
        <v>0</v>
      </c>
      <c r="LH113" s="24">
        <v>0</v>
      </c>
      <c r="LI113" s="24">
        <v>0</v>
      </c>
      <c r="LJ113" s="24">
        <v>0</v>
      </c>
      <c r="LK113" s="24">
        <v>0</v>
      </c>
      <c r="LL113" s="24">
        <v>0</v>
      </c>
      <c r="LM113" s="24">
        <v>0</v>
      </c>
      <c r="LN113" s="24">
        <v>0</v>
      </c>
      <c r="LO113" s="24">
        <v>0</v>
      </c>
      <c r="LP113" s="24">
        <v>0</v>
      </c>
      <c r="LQ113" s="24">
        <v>0</v>
      </c>
      <c r="LR113" s="24">
        <v>101098</v>
      </c>
      <c r="LS113" s="24">
        <v>0</v>
      </c>
      <c r="LT113" s="24">
        <v>0</v>
      </c>
      <c r="LU113" s="24">
        <v>0</v>
      </c>
      <c r="LV113" s="24">
        <v>0</v>
      </c>
      <c r="LW113" s="24">
        <v>0</v>
      </c>
      <c r="LX113" s="24">
        <v>0</v>
      </c>
      <c r="LY113" s="24">
        <v>0</v>
      </c>
      <c r="LZ113" s="24">
        <v>0</v>
      </c>
      <c r="MA113" s="24">
        <v>0</v>
      </c>
      <c r="MB113" s="24">
        <v>0</v>
      </c>
      <c r="MC113" s="24">
        <v>0</v>
      </c>
      <c r="MD113" s="24">
        <v>0</v>
      </c>
      <c r="ME113" s="24">
        <v>0</v>
      </c>
      <c r="MF113" s="24">
        <v>0</v>
      </c>
      <c r="MG113" s="24">
        <v>0</v>
      </c>
      <c r="MH113" s="24">
        <v>0</v>
      </c>
      <c r="MI113" s="24">
        <v>0</v>
      </c>
      <c r="MJ113" s="24">
        <v>0</v>
      </c>
      <c r="MK113" s="24">
        <v>0</v>
      </c>
      <c r="ML113" s="24">
        <v>0</v>
      </c>
      <c r="MM113" s="24">
        <v>0</v>
      </c>
      <c r="MN113" s="24">
        <v>0</v>
      </c>
      <c r="MO113" s="24">
        <v>58236</v>
      </c>
      <c r="MP113" s="24">
        <v>0</v>
      </c>
      <c r="MQ113" s="24">
        <v>0</v>
      </c>
      <c r="MR113" s="24">
        <v>700187</v>
      </c>
      <c r="MS113" s="24">
        <v>0</v>
      </c>
      <c r="MT113" s="24">
        <v>0</v>
      </c>
      <c r="MU113" s="24">
        <v>0</v>
      </c>
      <c r="MV113" s="24">
        <v>0</v>
      </c>
      <c r="MW113" s="24">
        <v>228181</v>
      </c>
      <c r="MX113" s="24">
        <v>11627</v>
      </c>
      <c r="MY113" s="24">
        <v>0</v>
      </c>
      <c r="MZ113" s="24">
        <v>0</v>
      </c>
      <c r="NA113" s="24">
        <v>302450</v>
      </c>
      <c r="NB113" s="24">
        <v>2425</v>
      </c>
      <c r="NC113" s="24">
        <v>0</v>
      </c>
      <c r="ND113" s="24">
        <v>0</v>
      </c>
      <c r="NE113" s="24">
        <v>0</v>
      </c>
      <c r="NF113" s="24">
        <v>0</v>
      </c>
      <c r="NG113" s="24">
        <v>0</v>
      </c>
      <c r="NH113" s="24">
        <v>0</v>
      </c>
      <c r="NI113" s="24">
        <v>0</v>
      </c>
      <c r="NJ113" s="24">
        <v>0</v>
      </c>
      <c r="NK113" s="24">
        <v>0</v>
      </c>
      <c r="NL113" s="24">
        <v>0</v>
      </c>
      <c r="NM113" s="24">
        <v>356860</v>
      </c>
      <c r="NN113" s="24">
        <v>0</v>
      </c>
      <c r="NO113" s="24">
        <v>0</v>
      </c>
      <c r="NP113" s="24">
        <v>0</v>
      </c>
      <c r="NQ113" s="24">
        <v>36689</v>
      </c>
      <c r="NR113" s="24">
        <v>0</v>
      </c>
      <c r="NS113" s="24">
        <v>0</v>
      </c>
      <c r="NT113" s="24">
        <v>0</v>
      </c>
      <c r="NU113" s="24">
        <v>13128</v>
      </c>
      <c r="NV113" s="24">
        <v>80026</v>
      </c>
      <c r="NW113" s="24">
        <v>0</v>
      </c>
      <c r="NX113" s="24">
        <v>0</v>
      </c>
      <c r="NY113" s="24">
        <v>0</v>
      </c>
      <c r="NZ113" s="24">
        <v>0</v>
      </c>
      <c r="OA113" s="24">
        <v>0</v>
      </c>
      <c r="OB113" s="24">
        <v>0</v>
      </c>
      <c r="OC113" s="24">
        <v>139078</v>
      </c>
      <c r="OD113" s="24">
        <v>0</v>
      </c>
      <c r="OE113" s="24">
        <v>0</v>
      </c>
      <c r="OF113" s="24">
        <v>0</v>
      </c>
      <c r="OG113" s="24">
        <v>0</v>
      </c>
      <c r="OH113" s="24">
        <v>0</v>
      </c>
      <c r="OI113" s="24">
        <v>0</v>
      </c>
      <c r="OJ113" s="24">
        <v>45690</v>
      </c>
      <c r="OK113" s="24">
        <v>0</v>
      </c>
      <c r="OL113" s="24">
        <v>0</v>
      </c>
      <c r="OM113" s="24">
        <v>0</v>
      </c>
      <c r="ON113" s="24">
        <v>0</v>
      </c>
      <c r="OO113" s="24">
        <v>0</v>
      </c>
      <c r="OP113" s="24">
        <v>0</v>
      </c>
      <c r="OQ113" s="24">
        <v>0</v>
      </c>
      <c r="OR113" s="24">
        <v>0</v>
      </c>
      <c r="OS113" s="24">
        <v>0</v>
      </c>
      <c r="OT113" s="24">
        <v>0</v>
      </c>
      <c r="OU113" s="24">
        <v>0</v>
      </c>
      <c r="OV113" s="24">
        <v>2005712</v>
      </c>
      <c r="OW113" s="24">
        <v>0</v>
      </c>
      <c r="OX113" s="24">
        <v>0</v>
      </c>
      <c r="OY113" s="24">
        <v>0</v>
      </c>
      <c r="OZ113" s="24">
        <v>0</v>
      </c>
      <c r="PA113" s="24">
        <v>0</v>
      </c>
      <c r="PB113" s="24">
        <v>0</v>
      </c>
      <c r="PC113" s="24">
        <v>0</v>
      </c>
      <c r="PD113" s="24">
        <v>0</v>
      </c>
      <c r="PE113" s="24">
        <v>0</v>
      </c>
      <c r="PF113" s="24">
        <v>0</v>
      </c>
      <c r="PG113" s="24">
        <v>0</v>
      </c>
      <c r="PH113" s="24">
        <v>0</v>
      </c>
      <c r="PI113" s="24">
        <v>0</v>
      </c>
      <c r="PJ113" s="24">
        <v>0</v>
      </c>
      <c r="PK113" s="24">
        <v>0</v>
      </c>
      <c r="PL113" s="24">
        <v>0</v>
      </c>
      <c r="PM113" s="24">
        <v>0</v>
      </c>
      <c r="PN113" s="24">
        <v>0</v>
      </c>
      <c r="PO113" s="24">
        <v>0</v>
      </c>
      <c r="PP113" s="24">
        <v>0</v>
      </c>
      <c r="PQ113" s="24">
        <v>0</v>
      </c>
      <c r="PR113" s="24">
        <v>0</v>
      </c>
      <c r="PS113" s="24">
        <v>0</v>
      </c>
      <c r="PT113" s="24">
        <v>0</v>
      </c>
      <c r="PU113" s="24">
        <v>0</v>
      </c>
      <c r="PV113" s="24">
        <v>0</v>
      </c>
      <c r="PW113" s="24">
        <v>0</v>
      </c>
      <c r="PX113" s="24">
        <v>0</v>
      </c>
      <c r="PY113" s="24">
        <v>0</v>
      </c>
      <c r="PZ113" s="24">
        <v>0</v>
      </c>
      <c r="QA113" s="24">
        <v>0</v>
      </c>
      <c r="QB113" s="24">
        <v>0</v>
      </c>
      <c r="QC113" s="24">
        <v>0</v>
      </c>
      <c r="QD113" s="24">
        <v>0</v>
      </c>
      <c r="QE113" s="24">
        <v>0</v>
      </c>
      <c r="QF113" s="24">
        <v>0</v>
      </c>
      <c r="QG113" s="24">
        <v>0</v>
      </c>
      <c r="QH113" s="24">
        <v>0</v>
      </c>
      <c r="QI113" s="24">
        <v>0</v>
      </c>
      <c r="QJ113" s="24">
        <v>0</v>
      </c>
      <c r="QK113" s="24">
        <v>0</v>
      </c>
      <c r="QL113" s="24">
        <v>0</v>
      </c>
      <c r="QM113" s="24">
        <v>0</v>
      </c>
      <c r="QN113" s="24">
        <v>0</v>
      </c>
      <c r="QO113" s="24">
        <v>0</v>
      </c>
      <c r="QP113" s="24">
        <v>0</v>
      </c>
      <c r="QQ113" s="24">
        <v>0</v>
      </c>
      <c r="QR113" s="24">
        <v>0</v>
      </c>
      <c r="QS113" s="24">
        <v>0</v>
      </c>
      <c r="QT113" s="24">
        <v>0</v>
      </c>
      <c r="QU113" s="24">
        <v>0</v>
      </c>
      <c r="QV113" s="24">
        <v>0</v>
      </c>
      <c r="QW113" s="24">
        <v>0</v>
      </c>
      <c r="QX113" s="24">
        <v>0</v>
      </c>
      <c r="QY113" s="24">
        <v>0</v>
      </c>
      <c r="QZ113" s="24">
        <v>0</v>
      </c>
      <c r="RA113" s="24">
        <v>0</v>
      </c>
      <c r="RB113" s="24">
        <v>0</v>
      </c>
      <c r="RG113" s="39">
        <f t="shared" si="129"/>
        <v>5218235</v>
      </c>
      <c r="RH113" s="39">
        <f t="shared" si="247"/>
        <v>271906</v>
      </c>
      <c r="RI113" s="39">
        <f t="shared" si="247"/>
        <v>2024</v>
      </c>
      <c r="RJ113" s="39">
        <f t="shared" si="247"/>
        <v>0</v>
      </c>
      <c r="RK113" s="39">
        <f t="shared" si="247"/>
        <v>0</v>
      </c>
      <c r="RL113" s="39">
        <f t="shared" si="247"/>
        <v>692063</v>
      </c>
      <c r="RM113" s="39">
        <f t="shared" si="247"/>
        <v>349713</v>
      </c>
      <c r="RN113" s="39">
        <f t="shared" si="247"/>
        <v>0</v>
      </c>
      <c r="RO113" s="39">
        <f t="shared" si="247"/>
        <v>45168</v>
      </c>
      <c r="RP113" s="39">
        <f t="shared" si="247"/>
        <v>98717</v>
      </c>
      <c r="RQ113" s="39">
        <f t="shared" si="247"/>
        <v>25215</v>
      </c>
      <c r="RR113" s="39">
        <f t="shared" si="247"/>
        <v>92209</v>
      </c>
      <c r="RS113" s="39"/>
      <c r="RT113" s="182"/>
      <c r="RU113" s="39"/>
      <c r="RV113" s="39">
        <f t="shared" si="246"/>
        <v>2075675</v>
      </c>
      <c r="RW113" s="39">
        <f t="shared" si="246"/>
        <v>6795250</v>
      </c>
      <c r="RX113" s="39">
        <f t="shared" si="246"/>
        <v>1913402</v>
      </c>
      <c r="RY113" s="39">
        <f t="shared" si="246"/>
        <v>2005712</v>
      </c>
      <c r="RZ113" s="39"/>
      <c r="SA113" s="182"/>
      <c r="SB113" s="39"/>
      <c r="SC113" s="25">
        <f t="shared" si="183"/>
        <v>1627.0425170068027</v>
      </c>
      <c r="SD113" s="39">
        <f>IFERROR(VLOOKUP(A113, 'Levy Data 15-16'!$B:$O, 3, FALSE), 0)</f>
        <v>581719824</v>
      </c>
      <c r="SE113" s="39">
        <f t="shared" si="208"/>
        <v>494659.71428571426</v>
      </c>
      <c r="SF113" s="631">
        <f>IFERROR(VLOOKUP(A113, 'Levy Data 15-16'!$B:$O, 14, FALSE), 0)*1000</f>
        <v>2.6633279999999999</v>
      </c>
      <c r="SG113" s="39">
        <f t="shared" si="209"/>
        <v>0</v>
      </c>
      <c r="SH113" s="39">
        <f t="shared" si="210"/>
        <v>0</v>
      </c>
      <c r="SI113" s="39">
        <f t="shared" si="211"/>
        <v>1913402</v>
      </c>
      <c r="SM113" s="39">
        <f t="shared" si="212"/>
        <v>6795250</v>
      </c>
      <c r="SN113" s="39">
        <f t="shared" si="213"/>
        <v>0</v>
      </c>
      <c r="SO113" s="39">
        <f t="shared" si="184"/>
        <v>6795250</v>
      </c>
      <c r="SP113" s="50">
        <f t="shared" si="130"/>
        <v>1</v>
      </c>
      <c r="ST113" s="124">
        <f>IFERROR(VLOOKUP(A113,'Grade Enroll 15-16'!B:AC,27,FALSE),"")</f>
        <v>1176</v>
      </c>
      <c r="SU113" s="124">
        <f t="shared" si="185"/>
        <v>783.69230769230762</v>
      </c>
      <c r="SV113" s="131">
        <f>IFERROR(VLOOKUP($A113, 'Title I Enroll 16-17'!S:V, 4, FALSE), 0)</f>
        <v>0.66640502354788067</v>
      </c>
      <c r="SW113" s="729">
        <f>IFERROR(VLOOKUP(A113, 'ELL Enroll 15-16'!$N:$S, 6, FALSE), 0)</f>
        <v>261</v>
      </c>
      <c r="SX113" s="131">
        <f t="shared" si="131"/>
        <v>0.22193877551020408</v>
      </c>
      <c r="SY113" s="124">
        <f>IFERROR(VLOOKUP(A113, 'SPED enroll 2015-16'!$M:$O, 3, FALSE), 0)</f>
        <v>104</v>
      </c>
      <c r="SZ113" s="131">
        <f t="shared" si="132"/>
        <v>8.8435374149659865E-2</v>
      </c>
      <c r="TA113" s="142">
        <f t="shared" si="207"/>
        <v>72.8</v>
      </c>
      <c r="TB113" s="142">
        <f t="shared" si="207"/>
        <v>20.8</v>
      </c>
      <c r="TC113" s="142">
        <f t="shared" si="207"/>
        <v>7.2800000000000011</v>
      </c>
      <c r="TD113" s="142">
        <f t="shared" si="207"/>
        <v>3.12</v>
      </c>
      <c r="TE113" s="124">
        <f>VLOOKUP($A113, 'Grade Enroll 15-16'!$B:$AB, 20, FALSE)</f>
        <v>13</v>
      </c>
      <c r="TF113" s="124">
        <f>VLOOKUP($A113, 'Grade Enroll 15-16'!$B:$AB, 21, FALSE)</f>
        <v>98</v>
      </c>
      <c r="TG113" s="124">
        <f>VLOOKUP($A113, 'Grade Enroll 15-16'!$B:$AB, 22, FALSE)</f>
        <v>313</v>
      </c>
      <c r="TH113" s="124">
        <f>VLOOKUP($A113, 'Grade Enroll 15-16'!$B:$AB, 23, FALSE)</f>
        <v>317</v>
      </c>
      <c r="TI113" s="124">
        <f>VLOOKUP($A113, 'Grade Enroll 15-16'!$B:$AB, 24, FALSE)</f>
        <v>187</v>
      </c>
      <c r="TJ113" s="124">
        <f>VLOOKUP($A113, 'Grade Enroll 15-16'!$B:$AB, 25, FALSE)</f>
        <v>359</v>
      </c>
      <c r="TK113" s="124">
        <f>VLOOKUP($A113, 'Grade Enroll 15-16'!$B:$AB, 26, FALSE)</f>
        <v>811</v>
      </c>
      <c r="TL113" s="131">
        <f>SUMIFS('Student Achievement 15-16'!N:N, 'Student Achievement 15-16'!B:B, 'Idaho Data'!A113, 'Student Achievement 15-16'!D:D, "math")/100</f>
        <v>0.47</v>
      </c>
      <c r="TM113" s="134">
        <f t="shared" si="186"/>
        <v>552.71999999999991</v>
      </c>
      <c r="TN113" s="131">
        <f>SUMIFS('Student Achievement 15-16'!N:N, 'Student Achievement 15-16'!B:B, 'Idaho Data'!A113, 'Student Achievement 15-16'!D:D, "ela")/100</f>
        <v>0.32600000000000001</v>
      </c>
      <c r="TO113" s="134">
        <f t="shared" si="134"/>
        <v>383.37600000000003</v>
      </c>
      <c r="TP113" s="688">
        <f>IFERROR(VLOOKUP(A113, 'G&amp;T 15-16'!B:G, 6, FALSE), 0)*1</f>
        <v>0</v>
      </c>
      <c r="TQ113" s="168">
        <f t="shared" si="135"/>
        <v>70.56</v>
      </c>
      <c r="TU113" s="168">
        <f t="shared" si="136"/>
        <v>383.37600000000003</v>
      </c>
      <c r="TV113" s="168">
        <f t="shared" si="137"/>
        <v>552.71999999999991</v>
      </c>
      <c r="TW113" s="205">
        <f t="shared" si="138"/>
        <v>552.71999999999991</v>
      </c>
      <c r="TX113" s="144"/>
      <c r="TY113" s="129"/>
      <c r="TZ113" s="127">
        <f t="shared" si="139"/>
        <v>0</v>
      </c>
      <c r="UA113" s="127">
        <f t="shared" si="140"/>
        <v>70.56</v>
      </c>
      <c r="UB113" s="205">
        <f t="shared" si="141"/>
        <v>70.56</v>
      </c>
      <c r="UE113" s="853" t="str">
        <f>IF(ST113&lt;='1. Simulator Input'!$E$104, "yes", "")</f>
        <v/>
      </c>
      <c r="UI113" s="199">
        <f t="shared" si="187"/>
        <v>0</v>
      </c>
      <c r="UJ113" s="200">
        <f>IF('Idaho Data'!SI113&gt;=0, ((1-'1. Simulator Input'!$E$39)*'Idaho Data'!SI113), 0)</f>
        <v>0</v>
      </c>
      <c r="UK113" s="200">
        <f t="shared" si="142"/>
        <v>6795250</v>
      </c>
      <c r="UL113" s="39"/>
      <c r="UM113" s="182"/>
      <c r="UN113" s="39"/>
      <c r="UO113" s="39" t="str">
        <f>IF(AND('1. Simulator Input'!$E$96="yes", '1. Simulator Input'!$E$98="yes", '1. Simulator Input'!$E$100="hold harmless"), 'Idaho Data'!WN113, IF(AND('1. Simulator Input'!$E$96="yes", '1. Simulator Input'!$E$98="no", '1. Simulator Input'!$E$100="hold harmless"), 'Idaho Data'!WM113, IF(AND('1. Simulator Input'!$E$96="yes", '1. Simulator Input'!$E$98="yes", '1. Simulator Input'!$E$100="small district grant"), WL113,IF(AND('1. Simulator Input'!$E$96="yes", '1. Simulator Input'!$E$98="no", '1. Simulator Input'!$E$100="small district grant"), WK113, ""))))</f>
        <v/>
      </c>
      <c r="UP113" s="200">
        <f>'1. Simulator Input'!$D$56*('Idaho Data'!ST113)</f>
        <v>6498576</v>
      </c>
      <c r="UQ113" s="204">
        <f>'1. Simulator Input'!$D$65*'1. Simulator Input'!$D$56*'Idaho Data'!SU113</f>
        <v>0</v>
      </c>
      <c r="UR113" s="204">
        <f>'1. Simulator Input'!$D$66*'1. Simulator Input'!$D$56*'Idaho Data'!SW113</f>
        <v>0</v>
      </c>
      <c r="US113" s="200">
        <f>'1. Simulator Input'!$D$67*'1. Simulator Input'!$D$56*'Idaho Data'!TA113</f>
        <v>0</v>
      </c>
      <c r="UT113" s="200">
        <f>'1. Simulator Input'!$D$68*'1. Simulator Input'!$D$56*'Idaho Data'!TB113</f>
        <v>0</v>
      </c>
      <c r="UU113" s="200">
        <f>'1. Simulator Input'!$D$69*'1. Simulator Input'!$D$56*'Idaho Data'!TC113</f>
        <v>0</v>
      </c>
      <c r="UV113" s="200">
        <f>'1. Simulator Input'!$D$70*'1. Simulator Input'!$D$56*TD113</f>
        <v>0</v>
      </c>
      <c r="UW113" s="200">
        <f>'1. Simulator Input'!$D$80*'1. Simulator Input'!$D$56*TW113</f>
        <v>0</v>
      </c>
      <c r="UX113" s="200">
        <f>'1. Simulator Input'!$D$79*'1. Simulator Input'!$D$56*UB113</f>
        <v>0</v>
      </c>
      <c r="UY113" s="200">
        <f>'1. Simulator Input'!$D$87*'1. Simulator Input'!$D$56*TF113</f>
        <v>270774</v>
      </c>
      <c r="UZ113" s="200">
        <f>'1. Simulator Input'!$D$73*'1. Simulator Input'!$D$56*'Idaho Data'!TG113</f>
        <v>0</v>
      </c>
      <c r="VA113" s="200">
        <f>'1. Simulator Input'!$D$56*'1. Simulator Input'!$D$74*'Idaho Data'!TH113</f>
        <v>0</v>
      </c>
      <c r="VB113" s="200">
        <f>'1. Simulator Input'!$D$56*'1. Simulator Input'!$D$75*'Idaho Data'!TI108</f>
        <v>0</v>
      </c>
      <c r="VC113" s="200">
        <f>'1. Simulator Input'!$D$76*'1. Simulator Input'!$D$56*'Idaho Data'!TJ113</f>
        <v>0</v>
      </c>
      <c r="VD113" s="200">
        <f t="shared" si="188"/>
        <v>6769350</v>
      </c>
      <c r="VE113" s="200"/>
      <c r="VF113" s="182"/>
      <c r="VG113" s="200"/>
      <c r="VH113" s="200">
        <f t="shared" si="189"/>
        <v>0</v>
      </c>
      <c r="VI113" s="200">
        <f t="shared" si="190"/>
        <v>0</v>
      </c>
      <c r="VJ113" s="200">
        <f t="shared" si="214"/>
        <v>6769350</v>
      </c>
      <c r="VK113" s="200">
        <f t="shared" si="215"/>
        <v>6769350</v>
      </c>
      <c r="VL113" s="200"/>
      <c r="VM113" s="182"/>
      <c r="VN113" s="200"/>
      <c r="VO113" s="200">
        <f t="shared" si="191"/>
        <v>2075675</v>
      </c>
      <c r="VP113" s="200">
        <f t="shared" si="192"/>
        <v>6795250</v>
      </c>
      <c r="VQ113" s="200">
        <f t="shared" si="193"/>
        <v>1913402</v>
      </c>
      <c r="VR113" s="200">
        <f t="shared" si="194"/>
        <v>2075675</v>
      </c>
      <c r="VS113" s="200">
        <f t="shared" si="216"/>
        <v>6769350</v>
      </c>
      <c r="VT113" s="200">
        <f t="shared" si="217"/>
        <v>1913402</v>
      </c>
      <c r="VU113" s="200">
        <f t="shared" si="218"/>
        <v>0</v>
      </c>
      <c r="VV113" s="200"/>
      <c r="VW113" s="182"/>
      <c r="VX113" s="200"/>
      <c r="VZ113" s="199">
        <f t="shared" si="195"/>
        <v>-25900</v>
      </c>
      <c r="WA113" s="199">
        <f t="shared" si="196"/>
        <v>-22.023809523809526</v>
      </c>
      <c r="WB113" s="131">
        <f t="shared" si="197"/>
        <v>-3.8114859644604688E-3</v>
      </c>
      <c r="WC113" s="131"/>
      <c r="WD113" s="461"/>
      <c r="WE113" s="893"/>
      <c r="WF113" s="893">
        <f t="shared" si="198"/>
        <v>9170.3460884353735</v>
      </c>
      <c r="WG113" s="893">
        <f t="shared" si="199"/>
        <v>9148.3222789115644</v>
      </c>
      <c r="WH113" s="893"/>
      <c r="WI113" s="893">
        <f t="shared" si="200"/>
        <v>6795250</v>
      </c>
      <c r="WJ113" s="893">
        <f t="shared" si="219"/>
        <v>6769350</v>
      </c>
      <c r="WK113" s="39" t="str">
        <f t="shared" si="220"/>
        <v/>
      </c>
      <c r="WL113" s="39" t="str">
        <f t="shared" si="221"/>
        <v/>
      </c>
      <c r="WM113" s="200" t="str">
        <f t="shared" si="222"/>
        <v/>
      </c>
      <c r="WN113" s="39" t="str">
        <f t="shared" si="223"/>
        <v/>
      </c>
      <c r="WO113" s="39"/>
      <c r="WP113" s="182"/>
      <c r="WQ113" s="39"/>
      <c r="WR113" s="305">
        <f t="shared" si="224"/>
        <v>0.46400000000000002</v>
      </c>
      <c r="WT113" s="200">
        <f t="shared" si="225"/>
        <v>5778.2738095238092</v>
      </c>
      <c r="WU113" s="131">
        <f t="shared" si="201"/>
        <v>0.25</v>
      </c>
      <c r="WW113" s="199">
        <f t="shared" si="226"/>
        <v>2075675</v>
      </c>
      <c r="WX113" s="199">
        <f t="shared" si="227"/>
        <v>6769350</v>
      </c>
      <c r="WY113" s="199">
        <f t="shared" si="228"/>
        <v>0</v>
      </c>
      <c r="WZ113" s="199">
        <f t="shared" si="202"/>
        <v>6769350</v>
      </c>
      <c r="XA113" s="199">
        <f t="shared" si="229"/>
        <v>0</v>
      </c>
      <c r="XB113" s="199">
        <f t="shared" si="230"/>
        <v>1913402</v>
      </c>
      <c r="XC113" s="199">
        <f t="shared" si="231"/>
        <v>1913402</v>
      </c>
      <c r="XD113" s="199" t="str">
        <f t="shared" si="232"/>
        <v/>
      </c>
      <c r="XE113" s="199"/>
      <c r="XF113" s="199"/>
      <c r="XG113" s="199"/>
      <c r="XH113" s="199"/>
      <c r="XI113" s="199"/>
      <c r="XJ113" s="199">
        <f t="shared" si="203"/>
        <v>6769350</v>
      </c>
      <c r="XP113" s="199">
        <f t="shared" si="233"/>
        <v>6769350</v>
      </c>
      <c r="XQ113" s="199">
        <f t="shared" si="234"/>
        <v>5756.25</v>
      </c>
      <c r="XR113" s="199">
        <f t="shared" si="235"/>
        <v>6769350</v>
      </c>
      <c r="XS113" s="199">
        <f t="shared" si="236"/>
        <v>6769350</v>
      </c>
      <c r="XT113" s="199">
        <f t="shared" si="237"/>
        <v>5756.25</v>
      </c>
      <c r="XU113" s="199">
        <f t="shared" si="238"/>
        <v>6795250</v>
      </c>
      <c r="XV113" s="199">
        <f t="shared" si="239"/>
        <v>5778.2738095238092</v>
      </c>
      <c r="XW113" s="199">
        <f t="shared" si="240"/>
        <v>6795250</v>
      </c>
      <c r="XX113" s="199">
        <f t="shared" si="241"/>
        <v>5778.2738095238092</v>
      </c>
      <c r="XY113" s="199">
        <f t="shared" si="204"/>
        <v>-25900</v>
      </c>
      <c r="XZ113" s="199">
        <f t="shared" si="205"/>
        <v>-22.023809523809177</v>
      </c>
      <c r="YA113" s="131">
        <f t="shared" si="143"/>
        <v>-3.811485964460409E-3</v>
      </c>
      <c r="YB113" s="199"/>
      <c r="YC113" s="221"/>
      <c r="YD113" s="199"/>
      <c r="YE113" s="199">
        <f t="shared" si="242"/>
        <v>2075675</v>
      </c>
      <c r="YF113" s="200">
        <f t="shared" si="243"/>
        <v>0</v>
      </c>
      <c r="YG113" s="199">
        <f t="shared" si="244"/>
        <v>1913402</v>
      </c>
      <c r="YH113" s="199">
        <f t="shared" si="245"/>
        <v>2005712</v>
      </c>
    </row>
    <row r="114" spans="1:658">
      <c r="A114" s="3">
        <v>413</v>
      </c>
      <c r="B114" s="2" t="s">
        <v>211</v>
      </c>
      <c r="C114" s="24">
        <v>0</v>
      </c>
      <c r="D114" s="24">
        <v>475434</v>
      </c>
      <c r="E114" s="24">
        <v>0</v>
      </c>
      <c r="F114" s="24">
        <v>0</v>
      </c>
      <c r="G114" s="24">
        <v>304349</v>
      </c>
      <c r="H114" s="24">
        <v>0</v>
      </c>
      <c r="I114" s="24">
        <v>0</v>
      </c>
      <c r="J114" s="24">
        <v>190479</v>
      </c>
      <c r="K114" s="24">
        <v>0</v>
      </c>
      <c r="L114" s="24">
        <v>0</v>
      </c>
      <c r="M114" s="24">
        <v>0</v>
      </c>
      <c r="N114" s="24">
        <v>0</v>
      </c>
      <c r="O114" s="24">
        <v>0</v>
      </c>
      <c r="P114" s="24">
        <v>0</v>
      </c>
      <c r="Q114" s="24">
        <v>0</v>
      </c>
      <c r="R114" s="24">
        <v>0</v>
      </c>
      <c r="S114" s="24">
        <v>0</v>
      </c>
      <c r="T114" s="24">
        <v>0</v>
      </c>
      <c r="U114" s="24">
        <v>0</v>
      </c>
      <c r="V114" s="24">
        <v>0</v>
      </c>
      <c r="W114" s="24">
        <v>0</v>
      </c>
      <c r="X114" s="24">
        <v>841757</v>
      </c>
      <c r="Y114" s="24">
        <v>5007</v>
      </c>
      <c r="Z114" s="24">
        <v>0</v>
      </c>
      <c r="AA114" s="24">
        <v>7161</v>
      </c>
      <c r="AB114" s="24">
        <v>0</v>
      </c>
      <c r="AC114" s="24">
        <v>0</v>
      </c>
      <c r="AD114" s="24">
        <v>0</v>
      </c>
      <c r="AE114" s="24">
        <v>0</v>
      </c>
      <c r="AF114" s="24">
        <v>0</v>
      </c>
      <c r="AG114" s="24">
        <v>0</v>
      </c>
      <c r="AH114" s="24">
        <v>0</v>
      </c>
      <c r="AI114" s="24">
        <v>0</v>
      </c>
      <c r="AJ114" s="24">
        <v>194</v>
      </c>
      <c r="AK114" s="24">
        <v>0</v>
      </c>
      <c r="AL114" s="24">
        <v>10793</v>
      </c>
      <c r="AM114" s="24">
        <v>0</v>
      </c>
      <c r="AN114" s="24">
        <v>0</v>
      </c>
      <c r="AO114" s="24">
        <v>0</v>
      </c>
      <c r="AP114" s="24">
        <v>0</v>
      </c>
      <c r="AQ114" s="24">
        <v>0</v>
      </c>
      <c r="AR114" s="24">
        <v>0</v>
      </c>
      <c r="AS114" s="24">
        <v>0</v>
      </c>
      <c r="AT114" s="24">
        <v>0</v>
      </c>
      <c r="AU114" s="24">
        <v>0</v>
      </c>
      <c r="AV114" s="24">
        <v>0</v>
      </c>
      <c r="AW114" s="24">
        <v>0</v>
      </c>
      <c r="AX114" s="24">
        <v>0</v>
      </c>
      <c r="AY114" s="24">
        <v>0</v>
      </c>
      <c r="AZ114" s="24">
        <v>0</v>
      </c>
      <c r="BA114" s="24">
        <v>0</v>
      </c>
      <c r="BB114" s="24">
        <v>0</v>
      </c>
      <c r="BC114" s="24">
        <v>0</v>
      </c>
      <c r="BD114" s="24">
        <v>1239</v>
      </c>
      <c r="BE114" s="24">
        <v>25</v>
      </c>
      <c r="BF114" s="24">
        <v>0</v>
      </c>
      <c r="BG114" s="24">
        <v>0</v>
      </c>
      <c r="BH114" s="24">
        <v>0</v>
      </c>
      <c r="BI114" s="24">
        <v>0</v>
      </c>
      <c r="BJ114" s="24">
        <v>0</v>
      </c>
      <c r="BK114" s="24">
        <v>0</v>
      </c>
      <c r="BL114" s="24">
        <v>12</v>
      </c>
      <c r="BM114" s="24">
        <v>0</v>
      </c>
      <c r="BN114" s="24">
        <v>0</v>
      </c>
      <c r="BO114" s="24">
        <v>0</v>
      </c>
      <c r="BP114" s="24">
        <v>0</v>
      </c>
      <c r="BQ114" s="24">
        <v>0</v>
      </c>
      <c r="BR114" s="24">
        <v>0</v>
      </c>
      <c r="BS114" s="24">
        <v>0</v>
      </c>
      <c r="BT114" s="24">
        <v>0</v>
      </c>
      <c r="BU114" s="24">
        <v>0</v>
      </c>
      <c r="BV114" s="24">
        <v>0</v>
      </c>
      <c r="BW114" s="24">
        <v>0</v>
      </c>
      <c r="BX114" s="24">
        <v>0</v>
      </c>
      <c r="BY114" s="24">
        <v>0</v>
      </c>
      <c r="BZ114" s="24">
        <v>0</v>
      </c>
      <c r="CA114" s="24">
        <v>0</v>
      </c>
      <c r="CB114" s="24">
        <v>0</v>
      </c>
      <c r="CC114" s="24">
        <v>0</v>
      </c>
      <c r="CD114" s="24">
        <v>122489</v>
      </c>
      <c r="CE114" s="24">
        <v>4881</v>
      </c>
      <c r="CF114" s="24">
        <v>0</v>
      </c>
      <c r="CG114" s="24">
        <v>3103</v>
      </c>
      <c r="CH114" s="24">
        <v>0</v>
      </c>
      <c r="CI114" s="24">
        <v>0</v>
      </c>
      <c r="CJ114" s="24">
        <v>0</v>
      </c>
      <c r="CK114" s="24">
        <v>0</v>
      </c>
      <c r="CL114" s="24">
        <v>0</v>
      </c>
      <c r="CM114" s="24">
        <v>0</v>
      </c>
      <c r="CN114" s="24">
        <v>0</v>
      </c>
      <c r="CO114" s="24">
        <v>0</v>
      </c>
      <c r="CP114" s="24">
        <v>0</v>
      </c>
      <c r="CQ114" s="24">
        <v>0</v>
      </c>
      <c r="CR114" s="24">
        <v>0</v>
      </c>
      <c r="CS114" s="24">
        <v>0</v>
      </c>
      <c r="CT114" s="24">
        <v>0</v>
      </c>
      <c r="CU114" s="24">
        <v>0</v>
      </c>
      <c r="CV114" s="24">
        <v>0</v>
      </c>
      <c r="CW114" s="24">
        <v>0</v>
      </c>
      <c r="CX114" s="24">
        <v>0</v>
      </c>
      <c r="CY114" s="24">
        <v>0</v>
      </c>
      <c r="CZ114" s="24">
        <v>0</v>
      </c>
      <c r="DA114" s="24">
        <v>0</v>
      </c>
      <c r="DB114" s="24">
        <v>0</v>
      </c>
      <c r="DC114" s="24">
        <v>0</v>
      </c>
      <c r="DD114" s="24">
        <v>0</v>
      </c>
      <c r="DE114" s="24">
        <v>0</v>
      </c>
      <c r="DF114" s="24">
        <v>0</v>
      </c>
      <c r="DG114" s="24">
        <v>0</v>
      </c>
      <c r="DH114" s="24">
        <v>0</v>
      </c>
      <c r="DI114" s="24">
        <v>0</v>
      </c>
      <c r="DJ114" s="24">
        <v>0</v>
      </c>
      <c r="DK114" s="24">
        <v>0</v>
      </c>
      <c r="DL114" s="24">
        <v>0</v>
      </c>
      <c r="DM114" s="24">
        <v>8505</v>
      </c>
      <c r="DN114" s="24">
        <v>0</v>
      </c>
      <c r="DO114" s="24">
        <v>0</v>
      </c>
      <c r="DP114" s="24">
        <v>0</v>
      </c>
      <c r="DQ114" s="24">
        <v>0</v>
      </c>
      <c r="DR114" s="24">
        <v>0</v>
      </c>
      <c r="DS114" s="24">
        <v>0</v>
      </c>
      <c r="DT114" s="24">
        <v>0</v>
      </c>
      <c r="DU114" s="24">
        <v>0</v>
      </c>
      <c r="DV114" s="24">
        <v>0</v>
      </c>
      <c r="DW114" s="24">
        <v>0</v>
      </c>
      <c r="DX114" s="24">
        <v>0</v>
      </c>
      <c r="DY114" s="24">
        <v>0</v>
      </c>
      <c r="DZ114" s="24">
        <v>0</v>
      </c>
      <c r="EA114" s="24">
        <v>0</v>
      </c>
      <c r="EB114" s="24">
        <v>0</v>
      </c>
      <c r="EC114" s="24">
        <v>0</v>
      </c>
      <c r="ED114" s="24">
        <v>0</v>
      </c>
      <c r="EE114" s="24">
        <v>0</v>
      </c>
      <c r="EF114" s="24">
        <v>0</v>
      </c>
      <c r="EG114" s="24">
        <v>0</v>
      </c>
      <c r="EH114" s="24">
        <v>0</v>
      </c>
      <c r="EI114" s="24">
        <v>0</v>
      </c>
      <c r="EJ114" s="24">
        <v>0</v>
      </c>
      <c r="EK114" s="24">
        <v>2500</v>
      </c>
      <c r="EL114" s="24">
        <v>0</v>
      </c>
      <c r="EM114" s="24">
        <v>0</v>
      </c>
      <c r="EN114" s="24">
        <v>5000</v>
      </c>
      <c r="EO114" s="24">
        <v>0</v>
      </c>
      <c r="EP114" s="24">
        <v>0</v>
      </c>
      <c r="EQ114" s="24">
        <v>0</v>
      </c>
      <c r="ER114" s="24">
        <v>0</v>
      </c>
      <c r="ES114" s="24">
        <v>0</v>
      </c>
      <c r="ET114" s="24">
        <v>0</v>
      </c>
      <c r="EU114" s="24">
        <v>0</v>
      </c>
      <c r="EV114" s="24">
        <v>0</v>
      </c>
      <c r="EW114" s="24">
        <v>0</v>
      </c>
      <c r="EX114" s="24">
        <v>0</v>
      </c>
      <c r="EY114" s="24">
        <v>0</v>
      </c>
      <c r="EZ114" s="24">
        <v>0</v>
      </c>
      <c r="FA114" s="24">
        <v>0</v>
      </c>
      <c r="FB114" s="24">
        <v>0</v>
      </c>
      <c r="FC114" s="24">
        <v>0</v>
      </c>
      <c r="FD114" s="24">
        <v>0</v>
      </c>
      <c r="FE114" s="24">
        <v>0</v>
      </c>
      <c r="FF114" s="24">
        <v>0</v>
      </c>
      <c r="FG114" s="24">
        <v>0</v>
      </c>
      <c r="FH114" s="24">
        <v>0</v>
      </c>
      <c r="FI114" s="24">
        <v>0</v>
      </c>
      <c r="FJ114" s="24">
        <v>0</v>
      </c>
      <c r="FK114" s="24">
        <v>0</v>
      </c>
      <c r="FL114" s="24">
        <v>0</v>
      </c>
      <c r="FM114" s="24">
        <v>0</v>
      </c>
      <c r="FN114" s="24">
        <v>0</v>
      </c>
      <c r="FO114" s="24">
        <v>0</v>
      </c>
      <c r="FP114" s="24">
        <v>0</v>
      </c>
      <c r="FQ114" s="24">
        <v>0</v>
      </c>
      <c r="FR114" s="24">
        <v>0</v>
      </c>
      <c r="FS114" s="24">
        <v>606569</v>
      </c>
      <c r="FT114" s="24">
        <v>0</v>
      </c>
      <c r="FU114" s="24">
        <v>0</v>
      </c>
      <c r="FV114" s="24">
        <v>0</v>
      </c>
      <c r="FW114" s="24">
        <v>0</v>
      </c>
      <c r="FX114" s="24">
        <v>0</v>
      </c>
      <c r="FY114" s="24">
        <v>0</v>
      </c>
      <c r="FZ114" s="24">
        <v>0</v>
      </c>
      <c r="GA114" s="24">
        <v>0</v>
      </c>
      <c r="GB114" s="24">
        <v>0</v>
      </c>
      <c r="GC114" s="24">
        <v>0</v>
      </c>
      <c r="GD114" s="24">
        <v>11750</v>
      </c>
      <c r="GE114" s="24">
        <v>0</v>
      </c>
      <c r="GF114" s="24">
        <v>0</v>
      </c>
      <c r="GG114" s="24">
        <v>0</v>
      </c>
      <c r="GH114" s="24">
        <v>0</v>
      </c>
      <c r="GI114" s="24">
        <v>0</v>
      </c>
      <c r="GJ114" s="24">
        <v>0</v>
      </c>
      <c r="GK114" s="24">
        <v>0</v>
      </c>
      <c r="GL114" s="24">
        <v>0</v>
      </c>
      <c r="GM114" s="24">
        <v>0</v>
      </c>
      <c r="GN114" s="24">
        <v>0</v>
      </c>
      <c r="GO114" s="24">
        <v>0</v>
      </c>
      <c r="GP114" s="24">
        <v>0</v>
      </c>
      <c r="GQ114" s="24">
        <v>0</v>
      </c>
      <c r="GR114" s="24">
        <v>0</v>
      </c>
      <c r="GS114" s="24">
        <v>0</v>
      </c>
      <c r="GT114" s="24">
        <v>0</v>
      </c>
      <c r="GU114" s="24">
        <v>0</v>
      </c>
      <c r="GV114" s="24">
        <v>0</v>
      </c>
      <c r="GW114" s="24">
        <v>0</v>
      </c>
      <c r="GX114" s="24">
        <v>0</v>
      </c>
      <c r="GY114" s="24">
        <v>0</v>
      </c>
      <c r="GZ114" s="24">
        <v>10356</v>
      </c>
      <c r="HA114" s="24">
        <v>0</v>
      </c>
      <c r="HB114" s="24">
        <v>0</v>
      </c>
      <c r="HC114" s="24">
        <v>0</v>
      </c>
      <c r="HD114" s="24">
        <v>6573243</v>
      </c>
      <c r="HE114" s="24">
        <v>0</v>
      </c>
      <c r="HF114" s="24">
        <v>0</v>
      </c>
      <c r="HG114" s="24">
        <v>0</v>
      </c>
      <c r="HH114" s="24">
        <v>0</v>
      </c>
      <c r="HI114" s="24">
        <v>387345</v>
      </c>
      <c r="HJ114" s="24">
        <v>0</v>
      </c>
      <c r="HK114" s="24">
        <v>0</v>
      </c>
      <c r="HL114" s="24">
        <v>131550</v>
      </c>
      <c r="HM114" s="24">
        <v>0</v>
      </c>
      <c r="HN114" s="24">
        <v>0</v>
      </c>
      <c r="HO114" s="24">
        <v>869691</v>
      </c>
      <c r="HP114" s="24">
        <v>232607</v>
      </c>
      <c r="HQ114" s="24">
        <v>0</v>
      </c>
      <c r="HR114" s="24">
        <v>0</v>
      </c>
      <c r="HS114" s="24">
        <v>0</v>
      </c>
      <c r="HT114" s="24">
        <v>0</v>
      </c>
      <c r="HU114" s="24">
        <v>0</v>
      </c>
      <c r="HV114" s="24">
        <v>0</v>
      </c>
      <c r="HW114" s="24">
        <v>0</v>
      </c>
      <c r="HX114" s="24">
        <v>0</v>
      </c>
      <c r="HY114" s="24">
        <v>0</v>
      </c>
      <c r="HZ114" s="24">
        <v>0</v>
      </c>
      <c r="IA114" s="24">
        <v>81882</v>
      </c>
      <c r="IB114" s="24">
        <v>21969</v>
      </c>
      <c r="IC114" s="24">
        <v>0</v>
      </c>
      <c r="ID114" s="24">
        <v>0</v>
      </c>
      <c r="IE114" s="24">
        <v>0</v>
      </c>
      <c r="IF114" s="24">
        <v>0</v>
      </c>
      <c r="IG114" s="24">
        <v>0</v>
      </c>
      <c r="IH114" s="24">
        <v>0</v>
      </c>
      <c r="II114" s="24">
        <v>0</v>
      </c>
      <c r="IJ114" s="24">
        <v>211328</v>
      </c>
      <c r="IK114" s="24">
        <v>0</v>
      </c>
      <c r="IL114" s="24">
        <v>0</v>
      </c>
      <c r="IM114" s="24">
        <v>0</v>
      </c>
      <c r="IN114" s="24">
        <v>0</v>
      </c>
      <c r="IO114" s="24">
        <v>7063</v>
      </c>
      <c r="IP114" s="24">
        <v>0</v>
      </c>
      <c r="IQ114" s="24">
        <v>0</v>
      </c>
      <c r="IR114" s="24">
        <v>41166</v>
      </c>
      <c r="IS114" s="24">
        <v>0</v>
      </c>
      <c r="IT114" s="24">
        <v>0</v>
      </c>
      <c r="IU114" s="24">
        <v>0</v>
      </c>
      <c r="IV114" s="24">
        <v>0</v>
      </c>
      <c r="IW114" s="24">
        <v>140706</v>
      </c>
      <c r="IX114" s="24">
        <v>0</v>
      </c>
      <c r="IY114" s="24">
        <v>0</v>
      </c>
      <c r="IZ114" s="24">
        <v>0</v>
      </c>
      <c r="JA114" s="24">
        <v>0</v>
      </c>
      <c r="JB114" s="24">
        <v>9715</v>
      </c>
      <c r="JC114" s="24">
        <v>0</v>
      </c>
      <c r="JD114" s="24">
        <v>0</v>
      </c>
      <c r="JE114" s="24">
        <v>48378</v>
      </c>
      <c r="JF114" s="24">
        <v>0</v>
      </c>
      <c r="JG114" s="24">
        <v>0</v>
      </c>
      <c r="JH114" s="24">
        <v>0</v>
      </c>
      <c r="JI114" s="24">
        <v>0</v>
      </c>
      <c r="JJ114" s="24">
        <v>0</v>
      </c>
      <c r="JK114" s="24">
        <v>0</v>
      </c>
      <c r="JL114" s="24">
        <v>0</v>
      </c>
      <c r="JM114" s="24">
        <v>0</v>
      </c>
      <c r="JN114" s="24">
        <v>0</v>
      </c>
      <c r="JO114" s="24">
        <v>0</v>
      </c>
      <c r="JP114" s="24">
        <v>0</v>
      </c>
      <c r="JQ114" s="24">
        <v>0</v>
      </c>
      <c r="JR114" s="24">
        <v>0</v>
      </c>
      <c r="JS114" s="24">
        <v>0</v>
      </c>
      <c r="JT114" s="24">
        <v>0</v>
      </c>
      <c r="JU114" s="24">
        <v>0</v>
      </c>
      <c r="JV114" s="24">
        <v>0</v>
      </c>
      <c r="JW114" s="24">
        <v>0</v>
      </c>
      <c r="JX114" s="24">
        <v>0</v>
      </c>
      <c r="JY114" s="24">
        <v>0</v>
      </c>
      <c r="JZ114" s="24">
        <v>0</v>
      </c>
      <c r="KA114" s="24">
        <v>0</v>
      </c>
      <c r="KB114" s="24">
        <v>0</v>
      </c>
      <c r="KC114" s="24">
        <v>0</v>
      </c>
      <c r="KD114" s="24">
        <v>0</v>
      </c>
      <c r="KE114" s="24">
        <v>0</v>
      </c>
      <c r="KF114" s="24">
        <v>2993</v>
      </c>
      <c r="KG114" s="24">
        <v>0</v>
      </c>
      <c r="KH114" s="24">
        <v>0</v>
      </c>
      <c r="KI114" s="24">
        <v>0</v>
      </c>
      <c r="KJ114" s="24">
        <v>0</v>
      </c>
      <c r="KK114" s="24">
        <v>0</v>
      </c>
      <c r="KL114" s="24">
        <v>0</v>
      </c>
      <c r="KM114" s="24">
        <v>0</v>
      </c>
      <c r="KN114" s="24">
        <v>0</v>
      </c>
      <c r="KO114" s="24">
        <v>0</v>
      </c>
      <c r="KP114" s="24">
        <v>0</v>
      </c>
      <c r="KQ114" s="24">
        <v>0</v>
      </c>
      <c r="KR114" s="24">
        <v>0</v>
      </c>
      <c r="KS114" s="24">
        <v>0</v>
      </c>
      <c r="KT114" s="24">
        <v>0</v>
      </c>
      <c r="KU114" s="24">
        <v>0</v>
      </c>
      <c r="KV114" s="24">
        <v>0</v>
      </c>
      <c r="KW114" s="24">
        <v>0</v>
      </c>
      <c r="KX114" s="24">
        <v>0</v>
      </c>
      <c r="KY114" s="24">
        <v>0</v>
      </c>
      <c r="KZ114" s="24">
        <v>0</v>
      </c>
      <c r="LA114" s="24">
        <v>0</v>
      </c>
      <c r="LB114" s="24">
        <v>0</v>
      </c>
      <c r="LC114" s="24">
        <v>0</v>
      </c>
      <c r="LD114" s="24">
        <v>0</v>
      </c>
      <c r="LE114" s="24">
        <v>0</v>
      </c>
      <c r="LF114" s="24">
        <v>0</v>
      </c>
      <c r="LG114" s="24">
        <v>0</v>
      </c>
      <c r="LH114" s="24">
        <v>0</v>
      </c>
      <c r="LI114" s="24">
        <v>0</v>
      </c>
      <c r="LJ114" s="24">
        <v>0</v>
      </c>
      <c r="LK114" s="24">
        <v>0</v>
      </c>
      <c r="LL114" s="24">
        <v>0</v>
      </c>
      <c r="LM114" s="24">
        <v>0</v>
      </c>
      <c r="LN114" s="24">
        <v>0</v>
      </c>
      <c r="LO114" s="24">
        <v>0</v>
      </c>
      <c r="LP114" s="24">
        <v>0</v>
      </c>
      <c r="LQ114" s="24">
        <v>270366</v>
      </c>
      <c r="LR114" s="24">
        <v>24069</v>
      </c>
      <c r="LS114" s="24">
        <v>0</v>
      </c>
      <c r="LT114" s="24">
        <v>0</v>
      </c>
      <c r="LU114" s="24">
        <v>0</v>
      </c>
      <c r="LV114" s="24">
        <v>0</v>
      </c>
      <c r="LW114" s="24">
        <v>0</v>
      </c>
      <c r="LX114" s="24">
        <v>0</v>
      </c>
      <c r="LY114" s="24">
        <v>0</v>
      </c>
      <c r="LZ114" s="24">
        <v>0</v>
      </c>
      <c r="MA114" s="24">
        <v>0</v>
      </c>
      <c r="MB114" s="24">
        <v>0</v>
      </c>
      <c r="MC114" s="24">
        <v>0</v>
      </c>
      <c r="MD114" s="24">
        <v>0</v>
      </c>
      <c r="ME114" s="24">
        <v>0</v>
      </c>
      <c r="MF114" s="24">
        <v>0</v>
      </c>
      <c r="MG114" s="24">
        <v>0</v>
      </c>
      <c r="MH114" s="24">
        <v>0</v>
      </c>
      <c r="MI114" s="24">
        <v>0</v>
      </c>
      <c r="MJ114" s="24">
        <v>0</v>
      </c>
      <c r="MK114" s="24">
        <v>0</v>
      </c>
      <c r="ML114" s="24">
        <v>0</v>
      </c>
      <c r="MM114" s="24">
        <v>0</v>
      </c>
      <c r="MN114" s="24">
        <v>0</v>
      </c>
      <c r="MO114" s="24">
        <v>0</v>
      </c>
      <c r="MP114" s="24">
        <v>0</v>
      </c>
      <c r="MQ114" s="24">
        <v>0</v>
      </c>
      <c r="MR114" s="24">
        <v>421252</v>
      </c>
      <c r="MS114" s="24">
        <v>0</v>
      </c>
      <c r="MT114" s="24">
        <v>0</v>
      </c>
      <c r="MU114" s="24">
        <v>0</v>
      </c>
      <c r="MV114" s="24">
        <v>0</v>
      </c>
      <c r="MW114" s="24">
        <v>287125</v>
      </c>
      <c r="MX114" s="24">
        <v>11037</v>
      </c>
      <c r="MY114" s="24">
        <v>0</v>
      </c>
      <c r="MZ114" s="24">
        <v>0</v>
      </c>
      <c r="NA114" s="24">
        <v>0</v>
      </c>
      <c r="NB114" s="24">
        <v>0</v>
      </c>
      <c r="NC114" s="24">
        <v>0</v>
      </c>
      <c r="ND114" s="24">
        <v>0</v>
      </c>
      <c r="NE114" s="24">
        <v>0</v>
      </c>
      <c r="NF114" s="24">
        <v>0</v>
      </c>
      <c r="NG114" s="24">
        <v>0</v>
      </c>
      <c r="NH114" s="24">
        <v>0</v>
      </c>
      <c r="NI114" s="24">
        <v>0</v>
      </c>
      <c r="NJ114" s="24">
        <v>0</v>
      </c>
      <c r="NK114" s="24">
        <v>0</v>
      </c>
      <c r="NL114" s="24">
        <v>0</v>
      </c>
      <c r="NM114" s="24">
        <v>0</v>
      </c>
      <c r="NN114" s="24">
        <v>0</v>
      </c>
      <c r="NO114" s="24">
        <v>0</v>
      </c>
      <c r="NP114" s="24">
        <v>0</v>
      </c>
      <c r="NQ114" s="24">
        <v>30986</v>
      </c>
      <c r="NR114" s="24">
        <v>0</v>
      </c>
      <c r="NS114" s="24">
        <v>0</v>
      </c>
      <c r="NT114" s="24">
        <v>0</v>
      </c>
      <c r="NU114" s="24">
        <v>0</v>
      </c>
      <c r="NV114" s="24">
        <v>61524</v>
      </c>
      <c r="NW114" s="24">
        <v>0</v>
      </c>
      <c r="NX114" s="24">
        <v>0</v>
      </c>
      <c r="NY114" s="24">
        <v>0</v>
      </c>
      <c r="NZ114" s="24">
        <v>0</v>
      </c>
      <c r="OA114" s="24">
        <v>0</v>
      </c>
      <c r="OB114" s="24">
        <v>0</v>
      </c>
      <c r="OC114" s="24">
        <v>0</v>
      </c>
      <c r="OD114" s="24">
        <v>0</v>
      </c>
      <c r="OE114" s="24">
        <v>0</v>
      </c>
      <c r="OF114" s="24">
        <v>0</v>
      </c>
      <c r="OG114" s="24">
        <v>0</v>
      </c>
      <c r="OH114" s="24">
        <v>0</v>
      </c>
      <c r="OI114" s="24">
        <v>0</v>
      </c>
      <c r="OJ114" s="24">
        <v>0</v>
      </c>
      <c r="OK114" s="24">
        <v>0</v>
      </c>
      <c r="OL114" s="24">
        <v>0</v>
      </c>
      <c r="OM114" s="24">
        <v>0</v>
      </c>
      <c r="ON114" s="24">
        <v>0</v>
      </c>
      <c r="OO114" s="24">
        <v>0</v>
      </c>
      <c r="OP114" s="24">
        <v>0</v>
      </c>
      <c r="OQ114" s="24">
        <v>0</v>
      </c>
      <c r="OR114" s="24">
        <v>0</v>
      </c>
      <c r="OS114" s="24">
        <v>0</v>
      </c>
      <c r="OT114" s="24">
        <v>0</v>
      </c>
      <c r="OU114" s="24">
        <v>0</v>
      </c>
      <c r="OV114" s="24">
        <v>0</v>
      </c>
      <c r="OW114" s="24">
        <v>0</v>
      </c>
      <c r="OX114" s="24">
        <v>0</v>
      </c>
      <c r="OY114" s="24">
        <v>0</v>
      </c>
      <c r="OZ114" s="24">
        <v>0</v>
      </c>
      <c r="PA114" s="24">
        <v>0</v>
      </c>
      <c r="PB114" s="24">
        <v>0</v>
      </c>
      <c r="PC114" s="24">
        <v>0</v>
      </c>
      <c r="PD114" s="24">
        <v>0</v>
      </c>
      <c r="PE114" s="24">
        <v>0</v>
      </c>
      <c r="PF114" s="24">
        <v>0</v>
      </c>
      <c r="PG114" s="24">
        <v>0</v>
      </c>
      <c r="PH114" s="24">
        <v>10091</v>
      </c>
      <c r="PI114" s="24">
        <v>0</v>
      </c>
      <c r="PJ114" s="24">
        <v>0</v>
      </c>
      <c r="PK114" s="24">
        <v>0</v>
      </c>
      <c r="PL114" s="24">
        <v>0</v>
      </c>
      <c r="PM114" s="24">
        <v>0</v>
      </c>
      <c r="PN114" s="24">
        <v>0</v>
      </c>
      <c r="PO114" s="24">
        <v>0</v>
      </c>
      <c r="PP114" s="24">
        <v>0</v>
      </c>
      <c r="PQ114" s="24">
        <v>0</v>
      </c>
      <c r="PR114" s="24">
        <v>93500</v>
      </c>
      <c r="PS114" s="24">
        <v>150000</v>
      </c>
      <c r="PT114" s="24">
        <v>80000</v>
      </c>
      <c r="PU114" s="24">
        <v>0</v>
      </c>
      <c r="PV114" s="24">
        <v>0</v>
      </c>
      <c r="PW114" s="24">
        <v>0</v>
      </c>
      <c r="PX114" s="24">
        <v>0</v>
      </c>
      <c r="PY114" s="24">
        <v>0</v>
      </c>
      <c r="PZ114" s="24">
        <v>0</v>
      </c>
      <c r="QA114" s="24">
        <v>0</v>
      </c>
      <c r="QB114" s="24">
        <v>0</v>
      </c>
      <c r="QC114" s="24">
        <v>0</v>
      </c>
      <c r="QD114" s="24">
        <v>0</v>
      </c>
      <c r="QE114" s="24">
        <v>1384</v>
      </c>
      <c r="QF114" s="24">
        <v>0</v>
      </c>
      <c r="QG114" s="24">
        <v>0</v>
      </c>
      <c r="QH114" s="24">
        <v>0</v>
      </c>
      <c r="QI114" s="24">
        <v>0</v>
      </c>
      <c r="QJ114" s="24">
        <v>0</v>
      </c>
      <c r="QK114" s="24">
        <v>0</v>
      </c>
      <c r="QL114" s="24">
        <v>0</v>
      </c>
      <c r="QM114" s="24">
        <v>0</v>
      </c>
      <c r="QN114" s="24">
        <v>0</v>
      </c>
      <c r="QO114" s="24">
        <v>0</v>
      </c>
      <c r="QP114" s="24">
        <v>0</v>
      </c>
      <c r="QQ114" s="24">
        <v>0</v>
      </c>
      <c r="QR114" s="24">
        <v>0</v>
      </c>
      <c r="QS114" s="24">
        <v>0</v>
      </c>
      <c r="QT114" s="24">
        <v>0</v>
      </c>
      <c r="QU114" s="24">
        <v>0</v>
      </c>
      <c r="QV114" s="24">
        <v>0</v>
      </c>
      <c r="QW114" s="24">
        <v>0</v>
      </c>
      <c r="QX114" s="24">
        <v>0</v>
      </c>
      <c r="QY114" s="24">
        <v>0</v>
      </c>
      <c r="QZ114" s="24">
        <v>0</v>
      </c>
      <c r="RA114" s="24">
        <v>0</v>
      </c>
      <c r="RB114" s="24">
        <v>0</v>
      </c>
      <c r="RG114" s="39">
        <f t="shared" si="129"/>
        <v>6573243</v>
      </c>
      <c r="RH114" s="39">
        <f t="shared" si="247"/>
        <v>387345</v>
      </c>
      <c r="RI114" s="39">
        <f t="shared" si="247"/>
        <v>131550</v>
      </c>
      <c r="RJ114" s="39">
        <f t="shared" si="247"/>
        <v>0</v>
      </c>
      <c r="RK114" s="39">
        <f t="shared" si="247"/>
        <v>0</v>
      </c>
      <c r="RL114" s="39">
        <f t="shared" si="247"/>
        <v>869691</v>
      </c>
      <c r="RM114" s="39">
        <f t="shared" si="247"/>
        <v>547786</v>
      </c>
      <c r="RN114" s="39">
        <f t="shared" si="247"/>
        <v>7063</v>
      </c>
      <c r="RO114" s="39">
        <f t="shared" si="247"/>
        <v>41166</v>
      </c>
      <c r="RP114" s="39">
        <f t="shared" si="247"/>
        <v>140706</v>
      </c>
      <c r="RQ114" s="39">
        <f t="shared" si="247"/>
        <v>9715</v>
      </c>
      <c r="RR114" s="39">
        <f t="shared" si="247"/>
        <v>48378</v>
      </c>
      <c r="RS114" s="39"/>
      <c r="RT114" s="182"/>
      <c r="RU114" s="39"/>
      <c r="RV114" s="39">
        <f t="shared" si="246"/>
        <v>1109352</v>
      </c>
      <c r="RW114" s="39">
        <f t="shared" si="246"/>
        <v>8756643</v>
      </c>
      <c r="RX114" s="39">
        <f t="shared" si="246"/>
        <v>2611603</v>
      </c>
      <c r="RY114" s="39">
        <f t="shared" si="246"/>
        <v>334975</v>
      </c>
      <c r="RZ114" s="39"/>
      <c r="SA114" s="182"/>
      <c r="SB114" s="39"/>
      <c r="SC114" s="25">
        <f t="shared" si="183"/>
        <v>1746.8916387959866</v>
      </c>
      <c r="SD114" s="39">
        <f>IFERROR(VLOOKUP(A114, 'Levy Data 15-16'!$B:$O, 3, FALSE), 0)</f>
        <v>462830416</v>
      </c>
      <c r="SE114" s="39">
        <f t="shared" si="208"/>
        <v>309585.56254180602</v>
      </c>
      <c r="SF114" s="631">
        <f>IFERROR(VLOOKUP(A114, 'Levy Data 15-16'!$B:$O, 14, FALSE), 0)*1000</f>
        <v>3.8903099999999999</v>
      </c>
      <c r="SG114" s="39">
        <f t="shared" si="209"/>
        <v>0</v>
      </c>
      <c r="SH114" s="39">
        <f t="shared" si="210"/>
        <v>0</v>
      </c>
      <c r="SI114" s="39">
        <f t="shared" si="211"/>
        <v>2611603</v>
      </c>
      <c r="SM114" s="39">
        <f t="shared" si="212"/>
        <v>8756643</v>
      </c>
      <c r="SN114" s="39">
        <f t="shared" si="213"/>
        <v>0</v>
      </c>
      <c r="SO114" s="39">
        <f t="shared" si="184"/>
        <v>8756643</v>
      </c>
      <c r="SP114" s="50">
        <f t="shared" si="130"/>
        <v>1</v>
      </c>
      <c r="ST114" s="124">
        <f>IFERROR(VLOOKUP(A114,'Grade Enroll 15-16'!B:AC,27,FALSE),"")</f>
        <v>1495</v>
      </c>
      <c r="SU114" s="124">
        <f t="shared" si="185"/>
        <v>691.84</v>
      </c>
      <c r="SV114" s="131">
        <f>IFERROR(VLOOKUP($A114, 'Title I Enroll 16-17'!S:V, 4, FALSE), 0)</f>
        <v>0.46276923076923077</v>
      </c>
      <c r="SW114" s="729">
        <f>IFERROR(VLOOKUP(A114, 'ELL Enroll 15-16'!$N:$S, 6, FALSE), 0)</f>
        <v>73</v>
      </c>
      <c r="SX114" s="131">
        <f t="shared" si="131"/>
        <v>4.882943143812709E-2</v>
      </c>
      <c r="SY114" s="124">
        <f>IFERROR(VLOOKUP(A114, 'SPED enroll 2015-16'!$M:$O, 3, FALSE), 0)</f>
        <v>174</v>
      </c>
      <c r="SZ114" s="131">
        <f t="shared" si="132"/>
        <v>0.11638795986622073</v>
      </c>
      <c r="TA114" s="142">
        <f t="shared" si="207"/>
        <v>121.8</v>
      </c>
      <c r="TB114" s="142">
        <f t="shared" si="207"/>
        <v>34.800000000000004</v>
      </c>
      <c r="TC114" s="142">
        <f t="shared" si="207"/>
        <v>12.180000000000001</v>
      </c>
      <c r="TD114" s="142">
        <f t="shared" si="207"/>
        <v>5.22</v>
      </c>
      <c r="TE114" s="124">
        <f>VLOOKUP($A114, 'Grade Enroll 15-16'!$B:$AB, 20, FALSE)</f>
        <v>27</v>
      </c>
      <c r="TF114" s="124">
        <f>VLOOKUP($A114, 'Grade Enroll 15-16'!$B:$AB, 21, FALSE)</f>
        <v>109</v>
      </c>
      <c r="TG114" s="124">
        <f>VLOOKUP($A114, 'Grade Enroll 15-16'!$B:$AB, 22, FALSE)</f>
        <v>372</v>
      </c>
      <c r="TH114" s="124">
        <f>VLOOKUP($A114, 'Grade Enroll 15-16'!$B:$AB, 23, FALSE)</f>
        <v>401</v>
      </c>
      <c r="TI114" s="124">
        <f>VLOOKUP($A114, 'Grade Enroll 15-16'!$B:$AB, 24, FALSE)</f>
        <v>267</v>
      </c>
      <c r="TJ114" s="124">
        <f>VLOOKUP($A114, 'Grade Enroll 15-16'!$B:$AB, 25, FALSE)</f>
        <v>455</v>
      </c>
      <c r="TK114" s="124">
        <f>VLOOKUP($A114, 'Grade Enroll 15-16'!$B:$AB, 26, FALSE)</f>
        <v>1043</v>
      </c>
      <c r="TL114" s="131">
        <f>SUMIFS('Student Achievement 15-16'!N:N, 'Student Achievement 15-16'!B:B, 'Idaho Data'!A114, 'Student Achievement 15-16'!D:D, "math")/100</f>
        <v>0.32200000000000001</v>
      </c>
      <c r="TM114" s="134">
        <f t="shared" si="186"/>
        <v>481.39</v>
      </c>
      <c r="TN114" s="131">
        <f>SUMIFS('Student Achievement 15-16'!N:N, 'Student Achievement 15-16'!B:B, 'Idaho Data'!A114, 'Student Achievement 15-16'!D:D, "ela")/100</f>
        <v>0.245</v>
      </c>
      <c r="TO114" s="134">
        <f t="shared" si="134"/>
        <v>366.27499999999998</v>
      </c>
      <c r="TP114" s="688">
        <f>IFERROR(VLOOKUP(A114, 'G&amp;T 15-16'!B:G, 6, FALSE), 0)*1</f>
        <v>0</v>
      </c>
      <c r="TQ114" s="168">
        <f t="shared" si="135"/>
        <v>89.7</v>
      </c>
      <c r="TU114" s="168">
        <f t="shared" si="136"/>
        <v>366.27499999999998</v>
      </c>
      <c r="TV114" s="168">
        <f t="shared" si="137"/>
        <v>481.39</v>
      </c>
      <c r="TW114" s="205">
        <f t="shared" si="138"/>
        <v>481.39</v>
      </c>
      <c r="TX114" s="144"/>
      <c r="TY114" s="129"/>
      <c r="TZ114" s="127">
        <f t="shared" si="139"/>
        <v>0</v>
      </c>
      <c r="UA114" s="127">
        <f t="shared" si="140"/>
        <v>89.7</v>
      </c>
      <c r="UB114" s="205">
        <f t="shared" si="141"/>
        <v>89.7</v>
      </c>
      <c r="UE114" s="853" t="str">
        <f>IF(ST114&lt;='1. Simulator Input'!$E$104, "yes", "")</f>
        <v/>
      </c>
      <c r="UI114" s="199">
        <f t="shared" si="187"/>
        <v>0</v>
      </c>
      <c r="UJ114" s="200">
        <f>IF('Idaho Data'!SI114&gt;=0, ((1-'1. Simulator Input'!$E$39)*'Idaho Data'!SI114), 0)</f>
        <v>0</v>
      </c>
      <c r="UK114" s="200">
        <f t="shared" si="142"/>
        <v>8756643</v>
      </c>
      <c r="UL114" s="39"/>
      <c r="UM114" s="182"/>
      <c r="UN114" s="39"/>
      <c r="UO114" s="39" t="str">
        <f>IF(AND('1. Simulator Input'!$E$96="yes", '1. Simulator Input'!$E$98="yes", '1. Simulator Input'!$E$100="hold harmless"), 'Idaho Data'!WN114, IF(AND('1. Simulator Input'!$E$96="yes", '1. Simulator Input'!$E$98="no", '1. Simulator Input'!$E$100="hold harmless"), 'Idaho Data'!WM114, IF(AND('1. Simulator Input'!$E$96="yes", '1. Simulator Input'!$E$98="yes", '1. Simulator Input'!$E$100="small district grant"), WL114,IF(AND('1. Simulator Input'!$E$96="yes", '1. Simulator Input'!$E$98="no", '1. Simulator Input'!$E$100="small district grant"), WK114, ""))))</f>
        <v/>
      </c>
      <c r="UP114" s="200">
        <f>'1. Simulator Input'!$D$56*('Idaho Data'!ST114)</f>
        <v>8261370</v>
      </c>
      <c r="UQ114" s="204">
        <f>'1. Simulator Input'!$D$65*'1. Simulator Input'!$D$56*'Idaho Data'!SU114</f>
        <v>0</v>
      </c>
      <c r="UR114" s="204">
        <f>'1. Simulator Input'!$D$66*'1. Simulator Input'!$D$56*'Idaho Data'!SW114</f>
        <v>0</v>
      </c>
      <c r="US114" s="200">
        <f>'1. Simulator Input'!$D$67*'1. Simulator Input'!$D$56*'Idaho Data'!TA114</f>
        <v>0</v>
      </c>
      <c r="UT114" s="200">
        <f>'1. Simulator Input'!$D$68*'1. Simulator Input'!$D$56*'Idaho Data'!TB114</f>
        <v>0</v>
      </c>
      <c r="UU114" s="200">
        <f>'1. Simulator Input'!$D$69*'1. Simulator Input'!$D$56*'Idaho Data'!TC114</f>
        <v>0</v>
      </c>
      <c r="UV114" s="200">
        <f>'1. Simulator Input'!$D$70*'1. Simulator Input'!$D$56*TD114</f>
        <v>0</v>
      </c>
      <c r="UW114" s="200">
        <f>'1. Simulator Input'!$D$80*'1. Simulator Input'!$D$56*TW114</f>
        <v>0</v>
      </c>
      <c r="UX114" s="200">
        <f>'1. Simulator Input'!$D$79*'1. Simulator Input'!$D$56*UB114</f>
        <v>0</v>
      </c>
      <c r="UY114" s="200">
        <f>'1. Simulator Input'!$D$87*'1. Simulator Input'!$D$56*TF114</f>
        <v>301167</v>
      </c>
      <c r="UZ114" s="200">
        <f>'1. Simulator Input'!$D$73*'1. Simulator Input'!$D$56*'Idaho Data'!TG114</f>
        <v>0</v>
      </c>
      <c r="VA114" s="200">
        <f>'1. Simulator Input'!$D$56*'1. Simulator Input'!$D$74*'Idaho Data'!TH114</f>
        <v>0</v>
      </c>
      <c r="VB114" s="200">
        <f>'1. Simulator Input'!$D$56*'1. Simulator Input'!$D$75*'Idaho Data'!TI109</f>
        <v>0</v>
      </c>
      <c r="VC114" s="200">
        <f>'1. Simulator Input'!$D$76*'1. Simulator Input'!$D$56*'Idaho Data'!TJ114</f>
        <v>0</v>
      </c>
      <c r="VD114" s="200">
        <f t="shared" si="188"/>
        <v>8562537</v>
      </c>
      <c r="VE114" s="200"/>
      <c r="VF114" s="182"/>
      <c r="VG114" s="200"/>
      <c r="VH114" s="200">
        <f t="shared" si="189"/>
        <v>0</v>
      </c>
      <c r="VI114" s="200">
        <f t="shared" si="190"/>
        <v>0</v>
      </c>
      <c r="VJ114" s="200">
        <f t="shared" si="214"/>
        <v>8562537</v>
      </c>
      <c r="VK114" s="200">
        <f t="shared" si="215"/>
        <v>8562537</v>
      </c>
      <c r="VL114" s="200"/>
      <c r="VM114" s="182"/>
      <c r="VN114" s="200"/>
      <c r="VO114" s="200">
        <f t="shared" si="191"/>
        <v>1109352</v>
      </c>
      <c r="VP114" s="200">
        <f t="shared" si="192"/>
        <v>8756643</v>
      </c>
      <c r="VQ114" s="200">
        <f t="shared" si="193"/>
        <v>2611603</v>
      </c>
      <c r="VR114" s="200">
        <f t="shared" si="194"/>
        <v>1109352</v>
      </c>
      <c r="VS114" s="200">
        <f t="shared" si="216"/>
        <v>8562537</v>
      </c>
      <c r="VT114" s="200">
        <f t="shared" si="217"/>
        <v>2611603</v>
      </c>
      <c r="VU114" s="200">
        <f t="shared" si="218"/>
        <v>0</v>
      </c>
      <c r="VV114" s="200"/>
      <c r="VW114" s="182"/>
      <c r="VX114" s="200"/>
      <c r="VZ114" s="199">
        <f t="shared" si="195"/>
        <v>-194106</v>
      </c>
      <c r="WA114" s="199">
        <f t="shared" si="196"/>
        <v>-129.83678929765887</v>
      </c>
      <c r="WB114" s="131">
        <f t="shared" si="197"/>
        <v>-2.2166713887959117E-2</v>
      </c>
      <c r="WC114" s="131"/>
      <c r="WD114" s="461"/>
      <c r="WE114" s="893"/>
      <c r="WF114" s="893">
        <f t="shared" si="198"/>
        <v>8346.2193979933108</v>
      </c>
      <c r="WG114" s="893">
        <f t="shared" si="199"/>
        <v>8216.3826086956524</v>
      </c>
      <c r="WH114" s="893"/>
      <c r="WI114" s="893">
        <f t="shared" si="200"/>
        <v>8756643</v>
      </c>
      <c r="WJ114" s="893">
        <f t="shared" si="219"/>
        <v>8562537</v>
      </c>
      <c r="WK114" s="39" t="str">
        <f t="shared" si="220"/>
        <v/>
      </c>
      <c r="WL114" s="39" t="str">
        <f t="shared" si="221"/>
        <v/>
      </c>
      <c r="WM114" s="200" t="str">
        <f t="shared" si="222"/>
        <v/>
      </c>
      <c r="WN114" s="39" t="str">
        <f t="shared" si="223"/>
        <v/>
      </c>
      <c r="WO114" s="39"/>
      <c r="WP114" s="182"/>
      <c r="WQ114" s="39"/>
      <c r="WR114" s="305">
        <f t="shared" si="224"/>
        <v>0.28899999999999998</v>
      </c>
      <c r="WT114" s="200">
        <f t="shared" si="225"/>
        <v>5857.2862876254185</v>
      </c>
      <c r="WU114" s="131">
        <f t="shared" si="201"/>
        <v>0.27</v>
      </c>
      <c r="WW114" s="199">
        <f t="shared" si="226"/>
        <v>1109352</v>
      </c>
      <c r="WX114" s="199">
        <f t="shared" si="227"/>
        <v>8562537</v>
      </c>
      <c r="WY114" s="199">
        <f t="shared" si="228"/>
        <v>0</v>
      </c>
      <c r="WZ114" s="199">
        <f t="shared" si="202"/>
        <v>8562537</v>
      </c>
      <c r="XA114" s="199">
        <f t="shared" si="229"/>
        <v>0</v>
      </c>
      <c r="XB114" s="199">
        <f t="shared" si="230"/>
        <v>2611603</v>
      </c>
      <c r="XC114" s="199">
        <f t="shared" si="231"/>
        <v>2611603</v>
      </c>
      <c r="XD114" s="199" t="str">
        <f t="shared" si="232"/>
        <v/>
      </c>
      <c r="XE114" s="199"/>
      <c r="XF114" s="199"/>
      <c r="XG114" s="199"/>
      <c r="XH114" s="199"/>
      <c r="XI114" s="199"/>
      <c r="XJ114" s="199">
        <f t="shared" si="203"/>
        <v>8562537</v>
      </c>
      <c r="XP114" s="199">
        <f t="shared" si="233"/>
        <v>8562537</v>
      </c>
      <c r="XQ114" s="199">
        <f t="shared" si="234"/>
        <v>5727.4494983277591</v>
      </c>
      <c r="XR114" s="199">
        <f t="shared" si="235"/>
        <v>8562537</v>
      </c>
      <c r="XS114" s="199">
        <f t="shared" si="236"/>
        <v>8562537</v>
      </c>
      <c r="XT114" s="199">
        <f t="shared" si="237"/>
        <v>5727.4494983277591</v>
      </c>
      <c r="XU114" s="199">
        <f t="shared" si="238"/>
        <v>8756643</v>
      </c>
      <c r="XV114" s="199">
        <f t="shared" si="239"/>
        <v>5857.2862876254185</v>
      </c>
      <c r="XW114" s="199">
        <f t="shared" si="240"/>
        <v>8756643</v>
      </c>
      <c r="XX114" s="199">
        <f t="shared" si="241"/>
        <v>5857.2862876254185</v>
      </c>
      <c r="XY114" s="199">
        <f t="shared" si="204"/>
        <v>-194106</v>
      </c>
      <c r="XZ114" s="199">
        <f t="shared" si="205"/>
        <v>-129.83678929765938</v>
      </c>
      <c r="YA114" s="131">
        <f t="shared" si="143"/>
        <v>-2.2166713887959204E-2</v>
      </c>
      <c r="YB114" s="199"/>
      <c r="YC114" s="221"/>
      <c r="YD114" s="199"/>
      <c r="YE114" s="199">
        <f t="shared" si="242"/>
        <v>1109352</v>
      </c>
      <c r="YF114" s="200">
        <f t="shared" si="243"/>
        <v>0</v>
      </c>
      <c r="YG114" s="199">
        <f t="shared" si="244"/>
        <v>2611603</v>
      </c>
      <c r="YH114" s="199">
        <f t="shared" si="245"/>
        <v>334975</v>
      </c>
    </row>
    <row r="115" spans="1:658">
      <c r="A115" s="3">
        <v>414</v>
      </c>
      <c r="B115" s="2" t="s">
        <v>212</v>
      </c>
      <c r="C115" s="24">
        <v>0</v>
      </c>
      <c r="D115" s="24">
        <v>0</v>
      </c>
      <c r="E115" s="24">
        <v>0</v>
      </c>
      <c r="F115" s="24">
        <v>0</v>
      </c>
      <c r="G115" s="24">
        <v>300478</v>
      </c>
      <c r="H115" s="24">
        <v>0</v>
      </c>
      <c r="I115" s="24">
        <v>75759</v>
      </c>
      <c r="J115" s="24">
        <v>24602</v>
      </c>
      <c r="K115" s="24">
        <v>0</v>
      </c>
      <c r="L115" s="24">
        <v>0</v>
      </c>
      <c r="M115" s="24">
        <v>0</v>
      </c>
      <c r="N115" s="24">
        <v>3</v>
      </c>
      <c r="O115" s="24">
        <v>0</v>
      </c>
      <c r="P115" s="24">
        <v>0</v>
      </c>
      <c r="Q115" s="24">
        <v>0</v>
      </c>
      <c r="R115" s="24">
        <v>0</v>
      </c>
      <c r="S115" s="24">
        <v>899</v>
      </c>
      <c r="T115" s="24">
        <v>0</v>
      </c>
      <c r="U115" s="24">
        <v>0</v>
      </c>
      <c r="V115" s="24">
        <v>0</v>
      </c>
      <c r="W115" s="24">
        <v>0</v>
      </c>
      <c r="X115" s="24">
        <v>1120668</v>
      </c>
      <c r="Y115" s="24">
        <v>2569</v>
      </c>
      <c r="Z115" s="24">
        <v>0</v>
      </c>
      <c r="AA115" s="24">
        <v>6212</v>
      </c>
      <c r="AB115" s="24">
        <v>0</v>
      </c>
      <c r="AC115" s="24">
        <v>0</v>
      </c>
      <c r="AD115" s="24">
        <v>0</v>
      </c>
      <c r="AE115" s="24">
        <v>0</v>
      </c>
      <c r="AF115" s="24">
        <v>0</v>
      </c>
      <c r="AG115" s="24">
        <v>0</v>
      </c>
      <c r="AH115" s="24">
        <v>0</v>
      </c>
      <c r="AI115" s="24">
        <v>0</v>
      </c>
      <c r="AJ115" s="24">
        <v>0</v>
      </c>
      <c r="AK115" s="24">
        <v>0</v>
      </c>
      <c r="AL115" s="24">
        <v>11146</v>
      </c>
      <c r="AM115" s="24">
        <v>0</v>
      </c>
      <c r="AN115" s="24">
        <v>0</v>
      </c>
      <c r="AO115" s="24">
        <v>0</v>
      </c>
      <c r="AP115" s="24">
        <v>0</v>
      </c>
      <c r="AQ115" s="24">
        <v>0</v>
      </c>
      <c r="AR115" s="24">
        <v>0</v>
      </c>
      <c r="AS115" s="24">
        <v>0</v>
      </c>
      <c r="AT115" s="24">
        <v>0</v>
      </c>
      <c r="AU115" s="24">
        <v>0</v>
      </c>
      <c r="AV115" s="24">
        <v>0</v>
      </c>
      <c r="AW115" s="24">
        <v>0</v>
      </c>
      <c r="AX115" s="24">
        <v>0</v>
      </c>
      <c r="AY115" s="24">
        <v>0</v>
      </c>
      <c r="AZ115" s="24">
        <v>0</v>
      </c>
      <c r="BA115" s="24">
        <v>0</v>
      </c>
      <c r="BB115" s="24">
        <v>0</v>
      </c>
      <c r="BC115" s="24">
        <v>0</v>
      </c>
      <c r="BD115" s="24">
        <v>4170</v>
      </c>
      <c r="BE115" s="24">
        <v>23</v>
      </c>
      <c r="BF115" s="24">
        <v>0</v>
      </c>
      <c r="BG115" s="24">
        <v>0</v>
      </c>
      <c r="BH115" s="24">
        <v>0</v>
      </c>
      <c r="BI115" s="24">
        <v>0</v>
      </c>
      <c r="BJ115" s="24">
        <v>0</v>
      </c>
      <c r="BK115" s="24">
        <v>0</v>
      </c>
      <c r="BL115" s="24">
        <v>0</v>
      </c>
      <c r="BM115" s="24">
        <v>0</v>
      </c>
      <c r="BN115" s="24">
        <v>0</v>
      </c>
      <c r="BO115" s="24">
        <v>0</v>
      </c>
      <c r="BP115" s="24">
        <v>0</v>
      </c>
      <c r="BQ115" s="24">
        <v>0</v>
      </c>
      <c r="BR115" s="24">
        <v>0</v>
      </c>
      <c r="BS115" s="24">
        <v>0</v>
      </c>
      <c r="BT115" s="24">
        <v>0</v>
      </c>
      <c r="BU115" s="24">
        <v>0</v>
      </c>
      <c r="BV115" s="24">
        <v>0</v>
      </c>
      <c r="BW115" s="24">
        <v>0</v>
      </c>
      <c r="BX115" s="24">
        <v>0</v>
      </c>
      <c r="BY115" s="24">
        <v>0</v>
      </c>
      <c r="BZ115" s="24">
        <v>0</v>
      </c>
      <c r="CA115" s="24">
        <v>0</v>
      </c>
      <c r="CB115" s="24">
        <v>0</v>
      </c>
      <c r="CC115" s="24">
        <v>0</v>
      </c>
      <c r="CD115" s="24">
        <v>181857</v>
      </c>
      <c r="CE115" s="24">
        <v>2577</v>
      </c>
      <c r="CF115" s="24">
        <v>0</v>
      </c>
      <c r="CG115" s="24">
        <v>0</v>
      </c>
      <c r="CH115" s="24">
        <v>0</v>
      </c>
      <c r="CI115" s="24">
        <v>0</v>
      </c>
      <c r="CJ115" s="24">
        <v>0</v>
      </c>
      <c r="CK115" s="24">
        <v>0</v>
      </c>
      <c r="CL115" s="24">
        <v>0</v>
      </c>
      <c r="CM115" s="24">
        <v>0</v>
      </c>
      <c r="CN115" s="24">
        <v>0</v>
      </c>
      <c r="CO115" s="24">
        <v>0</v>
      </c>
      <c r="CP115" s="24">
        <v>0</v>
      </c>
      <c r="CQ115" s="24">
        <v>0</v>
      </c>
      <c r="CR115" s="24">
        <v>0</v>
      </c>
      <c r="CS115" s="24">
        <v>1200</v>
      </c>
      <c r="CT115" s="24">
        <v>0</v>
      </c>
      <c r="CU115" s="24">
        <v>0</v>
      </c>
      <c r="CV115" s="24">
        <v>0</v>
      </c>
      <c r="CW115" s="24">
        <v>0</v>
      </c>
      <c r="CX115" s="24">
        <v>0</v>
      </c>
      <c r="CY115" s="24">
        <v>0</v>
      </c>
      <c r="CZ115" s="24">
        <v>0</v>
      </c>
      <c r="DA115" s="24">
        <v>0</v>
      </c>
      <c r="DB115" s="24">
        <v>12320</v>
      </c>
      <c r="DC115" s="24">
        <v>9036</v>
      </c>
      <c r="DD115" s="24">
        <v>0</v>
      </c>
      <c r="DE115" s="24">
        <v>0</v>
      </c>
      <c r="DF115" s="24">
        <v>0</v>
      </c>
      <c r="DG115" s="24">
        <v>0</v>
      </c>
      <c r="DH115" s="24">
        <v>0</v>
      </c>
      <c r="DI115" s="24">
        <v>0</v>
      </c>
      <c r="DJ115" s="24">
        <v>0</v>
      </c>
      <c r="DK115" s="24">
        <v>0</v>
      </c>
      <c r="DL115" s="24">
        <v>0</v>
      </c>
      <c r="DM115" s="24">
        <v>0</v>
      </c>
      <c r="DN115" s="24">
        <v>0</v>
      </c>
      <c r="DO115" s="24">
        <v>0</v>
      </c>
      <c r="DP115" s="24">
        <v>0</v>
      </c>
      <c r="DQ115" s="24">
        <v>0</v>
      </c>
      <c r="DR115" s="24">
        <v>0</v>
      </c>
      <c r="DS115" s="24">
        <v>0</v>
      </c>
      <c r="DT115" s="24">
        <v>0</v>
      </c>
      <c r="DU115" s="24">
        <v>535</v>
      </c>
      <c r="DV115" s="24">
        <v>0</v>
      </c>
      <c r="DW115" s="24">
        <v>0</v>
      </c>
      <c r="DX115" s="24">
        <v>0</v>
      </c>
      <c r="DY115" s="24">
        <v>0</v>
      </c>
      <c r="DZ115" s="24">
        <v>0</v>
      </c>
      <c r="EA115" s="24">
        <v>0</v>
      </c>
      <c r="EB115" s="24">
        <v>0</v>
      </c>
      <c r="EC115" s="24">
        <v>0</v>
      </c>
      <c r="ED115" s="24">
        <v>0</v>
      </c>
      <c r="EE115" s="24">
        <v>0</v>
      </c>
      <c r="EF115" s="24">
        <v>0</v>
      </c>
      <c r="EG115" s="24">
        <v>0</v>
      </c>
      <c r="EH115" s="24">
        <v>0</v>
      </c>
      <c r="EI115" s="24">
        <v>0</v>
      </c>
      <c r="EJ115" s="24">
        <v>0</v>
      </c>
      <c r="EK115" s="24">
        <v>0</v>
      </c>
      <c r="EL115" s="24">
        <v>0</v>
      </c>
      <c r="EM115" s="24">
        <v>0</v>
      </c>
      <c r="EN115" s="24">
        <v>0</v>
      </c>
      <c r="EO115" s="24">
        <v>0</v>
      </c>
      <c r="EP115" s="24">
        <v>0</v>
      </c>
      <c r="EQ115" s="24">
        <v>0</v>
      </c>
      <c r="ER115" s="24">
        <v>0</v>
      </c>
      <c r="ES115" s="24">
        <v>0</v>
      </c>
      <c r="ET115" s="24">
        <v>0</v>
      </c>
      <c r="EU115" s="24">
        <v>0</v>
      </c>
      <c r="EV115" s="24">
        <v>0</v>
      </c>
      <c r="EW115" s="24">
        <v>0</v>
      </c>
      <c r="EX115" s="24">
        <v>0</v>
      </c>
      <c r="EY115" s="24">
        <v>0</v>
      </c>
      <c r="EZ115" s="24">
        <v>0</v>
      </c>
      <c r="FA115" s="24">
        <v>0</v>
      </c>
      <c r="FB115" s="24">
        <v>0</v>
      </c>
      <c r="FC115" s="24">
        <v>0</v>
      </c>
      <c r="FD115" s="24">
        <v>0</v>
      </c>
      <c r="FE115" s="24">
        <v>0</v>
      </c>
      <c r="FF115" s="24">
        <v>0</v>
      </c>
      <c r="FG115" s="24">
        <v>0</v>
      </c>
      <c r="FH115" s="24">
        <v>0</v>
      </c>
      <c r="FI115" s="24">
        <v>0</v>
      </c>
      <c r="FJ115" s="24">
        <v>0</v>
      </c>
      <c r="FK115" s="24">
        <v>0</v>
      </c>
      <c r="FL115" s="24">
        <v>0</v>
      </c>
      <c r="FM115" s="24">
        <v>0</v>
      </c>
      <c r="FN115" s="24">
        <v>0</v>
      </c>
      <c r="FO115" s="24">
        <v>0</v>
      </c>
      <c r="FP115" s="24">
        <v>0</v>
      </c>
      <c r="FQ115" s="24">
        <v>0</v>
      </c>
      <c r="FR115" s="24">
        <v>0</v>
      </c>
      <c r="FS115" s="24">
        <v>70352</v>
      </c>
      <c r="FT115" s="24">
        <v>0</v>
      </c>
      <c r="FU115" s="24">
        <v>0</v>
      </c>
      <c r="FV115" s="24">
        <v>0</v>
      </c>
      <c r="FW115" s="24">
        <v>0</v>
      </c>
      <c r="FX115" s="24">
        <v>0</v>
      </c>
      <c r="FY115" s="24">
        <v>0</v>
      </c>
      <c r="FZ115" s="24">
        <v>0</v>
      </c>
      <c r="GA115" s="24">
        <v>0</v>
      </c>
      <c r="GB115" s="24">
        <v>0</v>
      </c>
      <c r="GC115" s="24">
        <v>0</v>
      </c>
      <c r="GD115" s="24">
        <v>0</v>
      </c>
      <c r="GE115" s="24">
        <v>0</v>
      </c>
      <c r="GF115" s="24">
        <v>0</v>
      </c>
      <c r="GG115" s="24">
        <v>97599</v>
      </c>
      <c r="GH115" s="24">
        <v>0</v>
      </c>
      <c r="GI115" s="24">
        <v>0</v>
      </c>
      <c r="GJ115" s="24">
        <v>0</v>
      </c>
      <c r="GK115" s="24">
        <v>0</v>
      </c>
      <c r="GL115" s="24">
        <v>0</v>
      </c>
      <c r="GM115" s="24">
        <v>0</v>
      </c>
      <c r="GN115" s="24">
        <v>0</v>
      </c>
      <c r="GO115" s="24">
        <v>0</v>
      </c>
      <c r="GP115" s="24">
        <v>0</v>
      </c>
      <c r="GQ115" s="24">
        <v>0</v>
      </c>
      <c r="GR115" s="24">
        <v>0</v>
      </c>
      <c r="GS115" s="24">
        <v>0</v>
      </c>
      <c r="GT115" s="24">
        <v>0</v>
      </c>
      <c r="GU115" s="24">
        <v>0</v>
      </c>
      <c r="GV115" s="24">
        <v>0</v>
      </c>
      <c r="GW115" s="24">
        <v>0</v>
      </c>
      <c r="GX115" s="24">
        <v>0</v>
      </c>
      <c r="GY115" s="24">
        <v>0</v>
      </c>
      <c r="GZ115" s="24">
        <v>0</v>
      </c>
      <c r="HA115" s="24">
        <v>0</v>
      </c>
      <c r="HB115" s="24">
        <v>0</v>
      </c>
      <c r="HC115" s="24">
        <v>0</v>
      </c>
      <c r="HD115" s="24">
        <v>7338274</v>
      </c>
      <c r="HE115" s="24">
        <v>0</v>
      </c>
      <c r="HF115" s="24">
        <v>0</v>
      </c>
      <c r="HG115" s="24">
        <v>0</v>
      </c>
      <c r="HH115" s="24">
        <v>0</v>
      </c>
      <c r="HI115" s="24">
        <v>242223</v>
      </c>
      <c r="HJ115" s="24">
        <v>0</v>
      </c>
      <c r="HK115" s="24">
        <v>0</v>
      </c>
      <c r="HL115" s="24">
        <v>0</v>
      </c>
      <c r="HM115" s="24">
        <v>0</v>
      </c>
      <c r="HN115" s="24">
        <v>0</v>
      </c>
      <c r="HO115" s="24">
        <v>972564</v>
      </c>
      <c r="HP115" s="24">
        <v>243693</v>
      </c>
      <c r="HQ115" s="24">
        <v>0</v>
      </c>
      <c r="HR115" s="24">
        <v>0</v>
      </c>
      <c r="HS115" s="24">
        <v>0</v>
      </c>
      <c r="HT115" s="24">
        <v>0</v>
      </c>
      <c r="HU115" s="24">
        <v>0</v>
      </c>
      <c r="HV115" s="24">
        <v>0</v>
      </c>
      <c r="HW115" s="24">
        <v>0</v>
      </c>
      <c r="HX115" s="24">
        <v>0</v>
      </c>
      <c r="HY115" s="24">
        <v>0</v>
      </c>
      <c r="HZ115" s="24">
        <v>0</v>
      </c>
      <c r="IA115" s="24">
        <v>90933</v>
      </c>
      <c r="IB115" s="24">
        <v>24326</v>
      </c>
      <c r="IC115" s="24">
        <v>0</v>
      </c>
      <c r="ID115" s="24">
        <v>0</v>
      </c>
      <c r="IE115" s="24">
        <v>0</v>
      </c>
      <c r="IF115" s="24">
        <v>0</v>
      </c>
      <c r="IG115" s="24">
        <v>0</v>
      </c>
      <c r="IH115" s="24">
        <v>0</v>
      </c>
      <c r="II115" s="24">
        <v>0</v>
      </c>
      <c r="IJ115" s="24">
        <v>0</v>
      </c>
      <c r="IK115" s="24">
        <v>0</v>
      </c>
      <c r="IL115" s="24">
        <v>0</v>
      </c>
      <c r="IM115" s="24">
        <v>0</v>
      </c>
      <c r="IN115" s="24">
        <v>0</v>
      </c>
      <c r="IO115" s="24">
        <v>8659</v>
      </c>
      <c r="IP115" s="24">
        <v>0</v>
      </c>
      <c r="IQ115" s="24">
        <v>0</v>
      </c>
      <c r="IR115" s="24">
        <v>72225</v>
      </c>
      <c r="IS115" s="24">
        <v>0</v>
      </c>
      <c r="IT115" s="24">
        <v>0</v>
      </c>
      <c r="IU115" s="24">
        <v>0</v>
      </c>
      <c r="IV115" s="24">
        <v>0</v>
      </c>
      <c r="IW115" s="24">
        <v>128174</v>
      </c>
      <c r="IX115" s="24">
        <v>0</v>
      </c>
      <c r="IY115" s="24">
        <v>0</v>
      </c>
      <c r="IZ115" s="24">
        <v>0</v>
      </c>
      <c r="JA115" s="24">
        <v>0</v>
      </c>
      <c r="JB115" s="24">
        <v>20183</v>
      </c>
      <c r="JC115" s="24">
        <v>13833</v>
      </c>
      <c r="JD115" s="24">
        <v>0</v>
      </c>
      <c r="JE115" s="24">
        <v>17646</v>
      </c>
      <c r="JF115" s="24">
        <v>0</v>
      </c>
      <c r="JG115" s="24">
        <v>0</v>
      </c>
      <c r="JH115" s="24">
        <v>0</v>
      </c>
      <c r="JI115" s="24">
        <v>0</v>
      </c>
      <c r="JJ115" s="24">
        <v>0</v>
      </c>
      <c r="JK115" s="24">
        <v>0</v>
      </c>
      <c r="JL115" s="24">
        <v>0</v>
      </c>
      <c r="JM115" s="24">
        <v>0</v>
      </c>
      <c r="JN115" s="24">
        <v>0</v>
      </c>
      <c r="JO115" s="24">
        <v>0</v>
      </c>
      <c r="JP115" s="24">
        <v>2666</v>
      </c>
      <c r="JQ115" s="24">
        <v>0</v>
      </c>
      <c r="JR115" s="24">
        <v>20000</v>
      </c>
      <c r="JS115" s="24">
        <v>0</v>
      </c>
      <c r="JT115" s="24">
        <v>10905</v>
      </c>
      <c r="JU115" s="24">
        <v>0</v>
      </c>
      <c r="JV115" s="24">
        <v>0</v>
      </c>
      <c r="JW115" s="24">
        <v>0</v>
      </c>
      <c r="JX115" s="24">
        <v>0</v>
      </c>
      <c r="JY115" s="24">
        <v>0</v>
      </c>
      <c r="JZ115" s="24">
        <v>0</v>
      </c>
      <c r="KA115" s="24">
        <v>234865</v>
      </c>
      <c r="KB115" s="24">
        <v>0</v>
      </c>
      <c r="KC115" s="24">
        <v>0</v>
      </c>
      <c r="KD115" s="24">
        <v>0</v>
      </c>
      <c r="KE115" s="24">
        <v>0</v>
      </c>
      <c r="KF115" s="24">
        <v>3346</v>
      </c>
      <c r="KG115" s="24">
        <v>0</v>
      </c>
      <c r="KH115" s="24">
        <v>0</v>
      </c>
      <c r="KI115" s="24">
        <v>0</v>
      </c>
      <c r="KJ115" s="24">
        <v>0</v>
      </c>
      <c r="KK115" s="24">
        <v>0</v>
      </c>
      <c r="KL115" s="24">
        <v>0</v>
      </c>
      <c r="KM115" s="24">
        <v>0</v>
      </c>
      <c r="KN115" s="24">
        <v>0</v>
      </c>
      <c r="KO115" s="24">
        <v>0</v>
      </c>
      <c r="KP115" s="24">
        <v>0</v>
      </c>
      <c r="KQ115" s="24">
        <v>0</v>
      </c>
      <c r="KR115" s="24">
        <v>0</v>
      </c>
      <c r="KS115" s="24">
        <v>0</v>
      </c>
      <c r="KT115" s="24">
        <v>0</v>
      </c>
      <c r="KU115" s="24">
        <v>0</v>
      </c>
      <c r="KV115" s="24">
        <v>0</v>
      </c>
      <c r="KW115" s="24">
        <v>0</v>
      </c>
      <c r="KX115" s="24">
        <v>0</v>
      </c>
      <c r="KY115" s="24">
        <v>0</v>
      </c>
      <c r="KZ115" s="24">
        <v>0</v>
      </c>
      <c r="LA115" s="24">
        <v>0</v>
      </c>
      <c r="LB115" s="24">
        <v>0</v>
      </c>
      <c r="LC115" s="24">
        <v>0</v>
      </c>
      <c r="LD115" s="24">
        <v>0</v>
      </c>
      <c r="LE115" s="24">
        <v>0</v>
      </c>
      <c r="LF115" s="24">
        <v>0</v>
      </c>
      <c r="LG115" s="24">
        <v>0</v>
      </c>
      <c r="LH115" s="24">
        <v>0</v>
      </c>
      <c r="LI115" s="24">
        <v>0</v>
      </c>
      <c r="LJ115" s="24">
        <v>0</v>
      </c>
      <c r="LK115" s="24">
        <v>0</v>
      </c>
      <c r="LL115" s="24">
        <v>0</v>
      </c>
      <c r="LM115" s="24">
        <v>0</v>
      </c>
      <c r="LN115" s="24">
        <v>69512</v>
      </c>
      <c r="LO115" s="24">
        <v>0</v>
      </c>
      <c r="LP115" s="24">
        <v>0</v>
      </c>
      <c r="LQ115" s="24">
        <v>280313</v>
      </c>
      <c r="LR115" s="24">
        <v>17847</v>
      </c>
      <c r="LS115" s="24">
        <v>0</v>
      </c>
      <c r="LT115" s="24">
        <v>0</v>
      </c>
      <c r="LU115" s="24">
        <v>0</v>
      </c>
      <c r="LV115" s="24">
        <v>0</v>
      </c>
      <c r="LW115" s="24">
        <v>0</v>
      </c>
      <c r="LX115" s="24">
        <v>0</v>
      </c>
      <c r="LY115" s="24">
        <v>0</v>
      </c>
      <c r="LZ115" s="24">
        <v>0</v>
      </c>
      <c r="MA115" s="24">
        <v>0</v>
      </c>
      <c r="MB115" s="24">
        <v>0</v>
      </c>
      <c r="MC115" s="24">
        <v>0</v>
      </c>
      <c r="MD115" s="24">
        <v>0</v>
      </c>
      <c r="ME115" s="24">
        <v>0</v>
      </c>
      <c r="MF115" s="24">
        <v>0</v>
      </c>
      <c r="MG115" s="24">
        <v>12273</v>
      </c>
      <c r="MH115" s="24">
        <v>0</v>
      </c>
      <c r="MI115" s="24">
        <v>0</v>
      </c>
      <c r="MJ115" s="24">
        <v>0</v>
      </c>
      <c r="MK115" s="24">
        <v>0</v>
      </c>
      <c r="ML115" s="24">
        <v>0</v>
      </c>
      <c r="MM115" s="24">
        <v>0</v>
      </c>
      <c r="MN115" s="24">
        <v>0</v>
      </c>
      <c r="MO115" s="24">
        <v>14729</v>
      </c>
      <c r="MP115" s="24">
        <v>0</v>
      </c>
      <c r="MQ115" s="24">
        <v>0</v>
      </c>
      <c r="MR115" s="24">
        <v>317145</v>
      </c>
      <c r="MS115" s="24">
        <v>0</v>
      </c>
      <c r="MT115" s="24">
        <v>0</v>
      </c>
      <c r="MU115" s="24">
        <v>0</v>
      </c>
      <c r="MV115" s="24">
        <v>0</v>
      </c>
      <c r="MW115" s="24">
        <v>305690</v>
      </c>
      <c r="MX115" s="24">
        <v>23367</v>
      </c>
      <c r="MY115" s="24">
        <v>0</v>
      </c>
      <c r="MZ115" s="24">
        <v>0</v>
      </c>
      <c r="NA115" s="24">
        <v>0</v>
      </c>
      <c r="NB115" s="24">
        <v>0</v>
      </c>
      <c r="NC115" s="24">
        <v>18468</v>
      </c>
      <c r="ND115" s="24">
        <v>0</v>
      </c>
      <c r="NE115" s="24">
        <v>0</v>
      </c>
      <c r="NF115" s="24">
        <v>0</v>
      </c>
      <c r="NG115" s="24">
        <v>0</v>
      </c>
      <c r="NH115" s="24">
        <v>0</v>
      </c>
      <c r="NI115" s="24">
        <v>0</v>
      </c>
      <c r="NJ115" s="24">
        <v>0</v>
      </c>
      <c r="NK115" s="24">
        <v>0</v>
      </c>
      <c r="NL115" s="24">
        <v>0</v>
      </c>
      <c r="NM115" s="24">
        <v>0</v>
      </c>
      <c r="NN115" s="24">
        <v>0</v>
      </c>
      <c r="NO115" s="24">
        <v>0</v>
      </c>
      <c r="NP115" s="24">
        <v>0</v>
      </c>
      <c r="NQ115" s="24">
        <v>0</v>
      </c>
      <c r="NR115" s="24">
        <v>0</v>
      </c>
      <c r="NS115" s="24">
        <v>0</v>
      </c>
      <c r="NT115" s="24">
        <v>0</v>
      </c>
      <c r="NU115" s="24">
        <v>0</v>
      </c>
      <c r="NV115" s="24">
        <v>37260</v>
      </c>
      <c r="NW115" s="24">
        <v>0</v>
      </c>
      <c r="NX115" s="24">
        <v>0</v>
      </c>
      <c r="NY115" s="24">
        <v>0</v>
      </c>
      <c r="NZ115" s="24">
        <v>0</v>
      </c>
      <c r="OA115" s="24">
        <v>0</v>
      </c>
      <c r="OB115" s="24">
        <v>0</v>
      </c>
      <c r="OC115" s="24">
        <v>0</v>
      </c>
      <c r="OD115" s="24">
        <v>0</v>
      </c>
      <c r="OE115" s="24">
        <v>0</v>
      </c>
      <c r="OF115" s="24">
        <v>0</v>
      </c>
      <c r="OG115" s="24">
        <v>0</v>
      </c>
      <c r="OH115" s="24">
        <v>0</v>
      </c>
      <c r="OI115" s="24">
        <v>0</v>
      </c>
      <c r="OJ115" s="24">
        <v>0</v>
      </c>
      <c r="OK115" s="24">
        <v>0</v>
      </c>
      <c r="OL115" s="24">
        <v>0</v>
      </c>
      <c r="OM115" s="24">
        <v>0</v>
      </c>
      <c r="ON115" s="24">
        <v>0</v>
      </c>
      <c r="OO115" s="24">
        <v>0</v>
      </c>
      <c r="OP115" s="24">
        <v>0</v>
      </c>
      <c r="OQ115" s="24">
        <v>0</v>
      </c>
      <c r="OR115" s="24">
        <v>0</v>
      </c>
      <c r="OS115" s="24">
        <v>0</v>
      </c>
      <c r="OT115" s="24">
        <v>0</v>
      </c>
      <c r="OU115" s="24">
        <v>0</v>
      </c>
      <c r="OV115" s="24">
        <v>0</v>
      </c>
      <c r="OW115" s="24">
        <v>0</v>
      </c>
      <c r="OX115" s="24">
        <v>0</v>
      </c>
      <c r="OY115" s="24">
        <v>0</v>
      </c>
      <c r="OZ115" s="24">
        <v>0</v>
      </c>
      <c r="PA115" s="24">
        <v>0</v>
      </c>
      <c r="PB115" s="24">
        <v>0</v>
      </c>
      <c r="PC115" s="24">
        <v>0</v>
      </c>
      <c r="PD115" s="24">
        <v>0</v>
      </c>
      <c r="PE115" s="24">
        <v>0</v>
      </c>
      <c r="PF115" s="24">
        <v>0</v>
      </c>
      <c r="PG115" s="24">
        <v>0</v>
      </c>
      <c r="PH115" s="24">
        <v>22816</v>
      </c>
      <c r="PI115" s="24">
        <v>0</v>
      </c>
      <c r="PJ115" s="24">
        <v>173824</v>
      </c>
      <c r="PK115" s="24">
        <v>0</v>
      </c>
      <c r="PL115" s="24">
        <v>0</v>
      </c>
      <c r="PM115" s="24">
        <v>0</v>
      </c>
      <c r="PN115" s="24">
        <v>0</v>
      </c>
      <c r="PO115" s="24">
        <v>0</v>
      </c>
      <c r="PP115" s="24">
        <v>0</v>
      </c>
      <c r="PQ115" s="24">
        <v>0</v>
      </c>
      <c r="PR115" s="24">
        <v>0</v>
      </c>
      <c r="PS115" s="24">
        <v>0</v>
      </c>
      <c r="PT115" s="24">
        <v>0</v>
      </c>
      <c r="PU115" s="24">
        <v>0</v>
      </c>
      <c r="PV115" s="24">
        <v>0</v>
      </c>
      <c r="PW115" s="24">
        <v>235007</v>
      </c>
      <c r="PX115" s="24">
        <v>0</v>
      </c>
      <c r="PY115" s="24">
        <v>0</v>
      </c>
      <c r="PZ115" s="24">
        <v>0</v>
      </c>
      <c r="QA115" s="24">
        <v>0</v>
      </c>
      <c r="QB115" s="24">
        <v>0</v>
      </c>
      <c r="QC115" s="24">
        <v>0</v>
      </c>
      <c r="QD115" s="24">
        <v>0</v>
      </c>
      <c r="QE115" s="24">
        <v>0</v>
      </c>
      <c r="QF115" s="24">
        <v>0</v>
      </c>
      <c r="QG115" s="24">
        <v>0</v>
      </c>
      <c r="QH115" s="24">
        <v>0</v>
      </c>
      <c r="QI115" s="24">
        <v>0</v>
      </c>
      <c r="QJ115" s="24">
        <v>0</v>
      </c>
      <c r="QK115" s="24">
        <v>72</v>
      </c>
      <c r="QL115" s="24">
        <v>0</v>
      </c>
      <c r="QM115" s="24">
        <v>0</v>
      </c>
      <c r="QN115" s="24">
        <v>0</v>
      </c>
      <c r="QO115" s="24">
        <v>0</v>
      </c>
      <c r="QP115" s="24">
        <v>0</v>
      </c>
      <c r="QQ115" s="24">
        <v>0</v>
      </c>
      <c r="QR115" s="24">
        <v>0</v>
      </c>
      <c r="QS115" s="24">
        <v>14568</v>
      </c>
      <c r="QT115" s="24">
        <v>0</v>
      </c>
      <c r="QU115" s="24">
        <v>0</v>
      </c>
      <c r="QV115" s="24">
        <v>328990</v>
      </c>
      <c r="QW115" s="24">
        <v>34170</v>
      </c>
      <c r="QX115" s="24">
        <v>0</v>
      </c>
      <c r="QY115" s="24">
        <v>0</v>
      </c>
      <c r="QZ115" s="24">
        <v>0</v>
      </c>
      <c r="RA115" s="24">
        <v>0</v>
      </c>
      <c r="RB115" s="24">
        <v>0</v>
      </c>
      <c r="RG115" s="39">
        <f t="shared" si="129"/>
        <v>7338274</v>
      </c>
      <c r="RH115" s="39">
        <f t="shared" si="247"/>
        <v>242223</v>
      </c>
      <c r="RI115" s="39">
        <f t="shared" si="247"/>
        <v>0</v>
      </c>
      <c r="RJ115" s="39">
        <f t="shared" si="247"/>
        <v>0</v>
      </c>
      <c r="RK115" s="39">
        <f t="shared" si="247"/>
        <v>0</v>
      </c>
      <c r="RL115" s="39">
        <f t="shared" si="247"/>
        <v>972564</v>
      </c>
      <c r="RM115" s="39">
        <f t="shared" si="247"/>
        <v>358952</v>
      </c>
      <c r="RN115" s="39">
        <f t="shared" si="247"/>
        <v>8659</v>
      </c>
      <c r="RO115" s="39">
        <f t="shared" si="247"/>
        <v>72225</v>
      </c>
      <c r="RP115" s="39">
        <f t="shared" si="247"/>
        <v>128174</v>
      </c>
      <c r="RQ115" s="39">
        <f t="shared" si="247"/>
        <v>34016</v>
      </c>
      <c r="RR115" s="39">
        <f t="shared" si="247"/>
        <v>286082</v>
      </c>
      <c r="RS115" s="39"/>
      <c r="RT115" s="182"/>
      <c r="RU115" s="39"/>
      <c r="RV115" s="39">
        <f t="shared" si="246"/>
        <v>1099950</v>
      </c>
      <c r="RW115" s="39">
        <f t="shared" si="246"/>
        <v>9441169</v>
      </c>
      <c r="RX115" s="39">
        <f t="shared" si="246"/>
        <v>1922005</v>
      </c>
      <c r="RY115" s="39">
        <f t="shared" si="246"/>
        <v>809447</v>
      </c>
      <c r="RZ115" s="39"/>
      <c r="SA115" s="182"/>
      <c r="SB115" s="39"/>
      <c r="SC115" s="25">
        <f t="shared" si="183"/>
        <v>1164.8515151515151</v>
      </c>
      <c r="SD115" s="39">
        <f>IFERROR(VLOOKUP(A115, 'Levy Data 15-16'!$B:$O, 3, FALSE), 0)</f>
        <v>388814776</v>
      </c>
      <c r="SE115" s="39">
        <f t="shared" si="208"/>
        <v>235645.31878787879</v>
      </c>
      <c r="SF115" s="631">
        <f>IFERROR(VLOOKUP(A115, 'Levy Data 15-16'!$B:$O, 14, FALSE), 0)*1000</f>
        <v>3.9128859999999999</v>
      </c>
      <c r="SG115" s="39">
        <f t="shared" si="209"/>
        <v>0</v>
      </c>
      <c r="SH115" s="39">
        <f t="shared" si="210"/>
        <v>0</v>
      </c>
      <c r="SI115" s="39">
        <f t="shared" si="211"/>
        <v>1922005</v>
      </c>
      <c r="SM115" s="39">
        <f t="shared" si="212"/>
        <v>9441169</v>
      </c>
      <c r="SN115" s="39">
        <f t="shared" si="213"/>
        <v>0</v>
      </c>
      <c r="SO115" s="39">
        <f t="shared" si="184"/>
        <v>9441169</v>
      </c>
      <c r="SP115" s="50">
        <f t="shared" si="130"/>
        <v>1</v>
      </c>
      <c r="ST115" s="124">
        <f>IFERROR(VLOOKUP(A115,'Grade Enroll 15-16'!B:AC,27,FALSE),"")</f>
        <v>1650</v>
      </c>
      <c r="SU115" s="124">
        <f t="shared" si="185"/>
        <v>567.43686190220308</v>
      </c>
      <c r="SV115" s="131">
        <f>IFERROR(VLOOKUP($A115, 'Title I Enroll 16-17'!S:V, 4, FALSE), 0)</f>
        <v>0.34390112842557763</v>
      </c>
      <c r="SW115" s="729">
        <f>IFERROR(VLOOKUP(A115, 'ELL Enroll 15-16'!$N:$S, 6, FALSE), 0)</f>
        <v>108</v>
      </c>
      <c r="SX115" s="131">
        <f t="shared" si="131"/>
        <v>6.545454545454546E-2</v>
      </c>
      <c r="SY115" s="124">
        <f>IFERROR(VLOOKUP(A115, 'SPED enroll 2015-16'!$M:$O, 3, FALSE), 0)</f>
        <v>136</v>
      </c>
      <c r="SZ115" s="131">
        <f t="shared" si="132"/>
        <v>8.2424242424242428E-2</v>
      </c>
      <c r="TA115" s="142">
        <f t="shared" si="207"/>
        <v>95.199999999999989</v>
      </c>
      <c r="TB115" s="142">
        <f t="shared" si="207"/>
        <v>27.200000000000003</v>
      </c>
      <c r="TC115" s="142">
        <f t="shared" si="207"/>
        <v>9.5200000000000014</v>
      </c>
      <c r="TD115" s="142">
        <f t="shared" si="207"/>
        <v>4.08</v>
      </c>
      <c r="TE115" s="124">
        <f>VLOOKUP($A115, 'Grade Enroll 15-16'!$B:$AB, 20, FALSE)</f>
        <v>25</v>
      </c>
      <c r="TF115" s="124">
        <f>VLOOKUP($A115, 'Grade Enroll 15-16'!$B:$AB, 21, FALSE)</f>
        <v>141</v>
      </c>
      <c r="TG115" s="124">
        <f>VLOOKUP($A115, 'Grade Enroll 15-16'!$B:$AB, 22, FALSE)</f>
        <v>450</v>
      </c>
      <c r="TH115" s="124">
        <f>VLOOKUP($A115, 'Grade Enroll 15-16'!$B:$AB, 23, FALSE)</f>
        <v>440</v>
      </c>
      <c r="TI115" s="124">
        <f>VLOOKUP($A115, 'Grade Enroll 15-16'!$B:$AB, 24, FALSE)</f>
        <v>284</v>
      </c>
      <c r="TJ115" s="124">
        <f>VLOOKUP($A115, 'Grade Enroll 15-16'!$B:$AB, 25, FALSE)</f>
        <v>476</v>
      </c>
      <c r="TK115" s="124">
        <f>VLOOKUP($A115, 'Grade Enroll 15-16'!$B:$AB, 26, FALSE)</f>
        <v>1143</v>
      </c>
      <c r="TL115" s="131">
        <f>SUMIFS('Student Achievement 15-16'!N:N, 'Student Achievement 15-16'!B:B, 'Idaho Data'!A115, 'Student Achievement 15-16'!D:D, "math")/100</f>
        <v>0.218</v>
      </c>
      <c r="TM115" s="134">
        <f t="shared" si="186"/>
        <v>359.7</v>
      </c>
      <c r="TN115" s="131">
        <f>SUMIFS('Student Achievement 15-16'!N:N, 'Student Achievement 15-16'!B:B, 'Idaho Data'!A115, 'Student Achievement 15-16'!D:D, "ela")/100</f>
        <v>0.184</v>
      </c>
      <c r="TO115" s="134">
        <f t="shared" si="134"/>
        <v>303.60000000000002</v>
      </c>
      <c r="TP115" s="688">
        <f>IFERROR(VLOOKUP(A115, 'G&amp;T 15-16'!B:G, 6, FALSE), 0)*1</f>
        <v>69</v>
      </c>
      <c r="TQ115" s="168">
        <f t="shared" si="135"/>
        <v>99</v>
      </c>
      <c r="TU115" s="168">
        <f t="shared" si="136"/>
        <v>303.60000000000002</v>
      </c>
      <c r="TV115" s="168">
        <f t="shared" si="137"/>
        <v>359.7</v>
      </c>
      <c r="TW115" s="205">
        <f t="shared" si="138"/>
        <v>359.7</v>
      </c>
      <c r="TX115" s="144"/>
      <c r="TY115" s="129"/>
      <c r="TZ115" s="127">
        <f t="shared" si="139"/>
        <v>69</v>
      </c>
      <c r="UA115" s="127">
        <f t="shared" si="140"/>
        <v>99</v>
      </c>
      <c r="UB115" s="205">
        <f t="shared" si="141"/>
        <v>99</v>
      </c>
      <c r="UE115" s="853" t="str">
        <f>IF(ST115&lt;='1. Simulator Input'!$E$104, "yes", "")</f>
        <v/>
      </c>
      <c r="UI115" s="199">
        <f t="shared" si="187"/>
        <v>0</v>
      </c>
      <c r="UJ115" s="200">
        <f>IF('Idaho Data'!SI115&gt;=0, ((1-'1. Simulator Input'!$E$39)*'Idaho Data'!SI115), 0)</f>
        <v>0</v>
      </c>
      <c r="UK115" s="200">
        <f t="shared" si="142"/>
        <v>9441169</v>
      </c>
      <c r="UL115" s="39"/>
      <c r="UM115" s="182"/>
      <c r="UN115" s="39"/>
      <c r="UO115" s="39" t="str">
        <f>IF(AND('1. Simulator Input'!$E$96="yes", '1. Simulator Input'!$E$98="yes", '1. Simulator Input'!$E$100="hold harmless"), 'Idaho Data'!WN115, IF(AND('1. Simulator Input'!$E$96="yes", '1. Simulator Input'!$E$98="no", '1. Simulator Input'!$E$100="hold harmless"), 'Idaho Data'!WM115, IF(AND('1. Simulator Input'!$E$96="yes", '1. Simulator Input'!$E$98="yes", '1. Simulator Input'!$E$100="small district grant"), WL115,IF(AND('1. Simulator Input'!$E$96="yes", '1. Simulator Input'!$E$98="no", '1. Simulator Input'!$E$100="small district grant"), WK115, ""))))</f>
        <v/>
      </c>
      <c r="UP115" s="200">
        <f>'1. Simulator Input'!$D$56*('Idaho Data'!ST115)</f>
        <v>9117900</v>
      </c>
      <c r="UQ115" s="204">
        <f>'1. Simulator Input'!$D$65*'1. Simulator Input'!$D$56*'Idaho Data'!SU115</f>
        <v>0</v>
      </c>
      <c r="UR115" s="204">
        <f>'1. Simulator Input'!$D$66*'1. Simulator Input'!$D$56*'Idaho Data'!SW115</f>
        <v>0</v>
      </c>
      <c r="US115" s="200">
        <f>'1. Simulator Input'!$D$67*'1. Simulator Input'!$D$56*'Idaho Data'!TA115</f>
        <v>0</v>
      </c>
      <c r="UT115" s="200">
        <f>'1. Simulator Input'!$D$68*'1. Simulator Input'!$D$56*'Idaho Data'!TB115</f>
        <v>0</v>
      </c>
      <c r="UU115" s="200">
        <f>'1. Simulator Input'!$D$69*'1. Simulator Input'!$D$56*'Idaho Data'!TC115</f>
        <v>0</v>
      </c>
      <c r="UV115" s="200">
        <f>'1. Simulator Input'!$D$70*'1. Simulator Input'!$D$56*TD115</f>
        <v>0</v>
      </c>
      <c r="UW115" s="200">
        <f>'1. Simulator Input'!$D$80*'1. Simulator Input'!$D$56*TW115</f>
        <v>0</v>
      </c>
      <c r="UX115" s="200">
        <f>'1. Simulator Input'!$D$79*'1. Simulator Input'!$D$56*UB115</f>
        <v>0</v>
      </c>
      <c r="UY115" s="200">
        <f>'1. Simulator Input'!$D$87*'1. Simulator Input'!$D$56*TF115</f>
        <v>389583</v>
      </c>
      <c r="UZ115" s="200">
        <f>'1. Simulator Input'!$D$73*'1. Simulator Input'!$D$56*'Idaho Data'!TG115</f>
        <v>0</v>
      </c>
      <c r="VA115" s="200">
        <f>'1. Simulator Input'!$D$56*'1. Simulator Input'!$D$74*'Idaho Data'!TH115</f>
        <v>0</v>
      </c>
      <c r="VB115" s="200">
        <f>'1. Simulator Input'!$D$56*'1. Simulator Input'!$D$75*'Idaho Data'!TI110</f>
        <v>0</v>
      </c>
      <c r="VC115" s="200">
        <f>'1. Simulator Input'!$D$76*'1. Simulator Input'!$D$56*'Idaho Data'!TJ115</f>
        <v>0</v>
      </c>
      <c r="VD115" s="200">
        <f t="shared" si="188"/>
        <v>9507483</v>
      </c>
      <c r="VE115" s="200"/>
      <c r="VF115" s="182"/>
      <c r="VG115" s="200"/>
      <c r="VH115" s="200">
        <f t="shared" si="189"/>
        <v>0</v>
      </c>
      <c r="VI115" s="200">
        <f t="shared" si="190"/>
        <v>0</v>
      </c>
      <c r="VJ115" s="200">
        <f t="shared" si="214"/>
        <v>9507483</v>
      </c>
      <c r="VK115" s="200">
        <f t="shared" si="215"/>
        <v>9507483</v>
      </c>
      <c r="VL115" s="200"/>
      <c r="VM115" s="182"/>
      <c r="VN115" s="200"/>
      <c r="VO115" s="200">
        <f t="shared" si="191"/>
        <v>1099950</v>
      </c>
      <c r="VP115" s="200">
        <f t="shared" si="192"/>
        <v>9441169</v>
      </c>
      <c r="VQ115" s="200">
        <f t="shared" si="193"/>
        <v>1922005</v>
      </c>
      <c r="VR115" s="200">
        <f t="shared" si="194"/>
        <v>1099950</v>
      </c>
      <c r="VS115" s="200">
        <f t="shared" si="216"/>
        <v>9507483</v>
      </c>
      <c r="VT115" s="200">
        <f t="shared" si="217"/>
        <v>1922005</v>
      </c>
      <c r="VU115" s="200">
        <f t="shared" si="218"/>
        <v>0</v>
      </c>
      <c r="VV115" s="200"/>
      <c r="VW115" s="182"/>
      <c r="VX115" s="200"/>
      <c r="VZ115" s="199">
        <f t="shared" si="195"/>
        <v>66314</v>
      </c>
      <c r="WA115" s="199">
        <f t="shared" si="196"/>
        <v>40.190303030303028</v>
      </c>
      <c r="WB115" s="131">
        <f t="shared" si="197"/>
        <v>7.0239183304525105E-3</v>
      </c>
      <c r="WC115" s="131"/>
      <c r="WD115" s="461"/>
      <c r="WE115" s="893"/>
      <c r="WF115" s="893">
        <f t="shared" si="198"/>
        <v>7553.4084848484845</v>
      </c>
      <c r="WG115" s="893">
        <f t="shared" si="199"/>
        <v>7593.5987878787882</v>
      </c>
      <c r="WH115" s="893"/>
      <c r="WI115" s="893">
        <f t="shared" si="200"/>
        <v>9441169</v>
      </c>
      <c r="WJ115" s="893">
        <f t="shared" si="219"/>
        <v>9507483</v>
      </c>
      <c r="WK115" s="39" t="str">
        <f t="shared" si="220"/>
        <v/>
      </c>
      <c r="WL115" s="39" t="str">
        <f t="shared" si="221"/>
        <v/>
      </c>
      <c r="WM115" s="200" t="str">
        <f t="shared" si="222"/>
        <v/>
      </c>
      <c r="WN115" s="39" t="str">
        <f t="shared" si="223"/>
        <v/>
      </c>
      <c r="WO115" s="39"/>
      <c r="WP115" s="182"/>
      <c r="WQ115" s="39"/>
      <c r="WR115" s="305">
        <f t="shared" si="224"/>
        <v>8.6999999999999994E-2</v>
      </c>
      <c r="WT115" s="200">
        <f t="shared" si="225"/>
        <v>5721.9206060606057</v>
      </c>
      <c r="WU115" s="131">
        <f t="shared" si="201"/>
        <v>0.21</v>
      </c>
      <c r="WW115" s="199">
        <f t="shared" si="226"/>
        <v>1099950</v>
      </c>
      <c r="WX115" s="199">
        <f t="shared" si="227"/>
        <v>9507483</v>
      </c>
      <c r="WY115" s="199">
        <f t="shared" si="228"/>
        <v>0</v>
      </c>
      <c r="WZ115" s="199">
        <f t="shared" si="202"/>
        <v>9507483</v>
      </c>
      <c r="XA115" s="199">
        <f t="shared" si="229"/>
        <v>0</v>
      </c>
      <c r="XB115" s="199">
        <f t="shared" si="230"/>
        <v>1922005</v>
      </c>
      <c r="XC115" s="199">
        <f t="shared" si="231"/>
        <v>1922005</v>
      </c>
      <c r="XD115" s="199" t="str">
        <f t="shared" si="232"/>
        <v/>
      </c>
      <c r="XE115" s="199"/>
      <c r="XF115" s="199"/>
      <c r="XG115" s="199"/>
      <c r="XH115" s="199"/>
      <c r="XI115" s="199"/>
      <c r="XJ115" s="199">
        <f t="shared" si="203"/>
        <v>9507483</v>
      </c>
      <c r="XP115" s="199">
        <f t="shared" si="233"/>
        <v>9507483</v>
      </c>
      <c r="XQ115" s="199">
        <f t="shared" si="234"/>
        <v>5762.1109090909094</v>
      </c>
      <c r="XR115" s="199">
        <f t="shared" si="235"/>
        <v>9507483</v>
      </c>
      <c r="XS115" s="199">
        <f t="shared" si="236"/>
        <v>9507483</v>
      </c>
      <c r="XT115" s="199">
        <f t="shared" si="237"/>
        <v>5762.1109090909094</v>
      </c>
      <c r="XU115" s="199">
        <f t="shared" si="238"/>
        <v>9441169</v>
      </c>
      <c r="XV115" s="199">
        <f t="shared" si="239"/>
        <v>5721.9206060606057</v>
      </c>
      <c r="XW115" s="199">
        <f t="shared" si="240"/>
        <v>9441169</v>
      </c>
      <c r="XX115" s="199">
        <f t="shared" si="241"/>
        <v>5721.9206060606057</v>
      </c>
      <c r="XY115" s="199">
        <f t="shared" si="204"/>
        <v>66314</v>
      </c>
      <c r="XZ115" s="199">
        <f t="shared" si="205"/>
        <v>40.190303030303767</v>
      </c>
      <c r="YA115" s="131">
        <f t="shared" si="143"/>
        <v>7.0239183304526397E-3</v>
      </c>
      <c r="YB115" s="199"/>
      <c r="YC115" s="221"/>
      <c r="YD115" s="199"/>
      <c r="YE115" s="199">
        <f t="shared" si="242"/>
        <v>1099950</v>
      </c>
      <c r="YF115" s="200">
        <f t="shared" si="243"/>
        <v>0</v>
      </c>
      <c r="YG115" s="199">
        <f t="shared" si="244"/>
        <v>1922005</v>
      </c>
      <c r="YH115" s="199">
        <f t="shared" si="245"/>
        <v>809447</v>
      </c>
    </row>
    <row r="116" spans="1:658">
      <c r="A116" s="3">
        <v>415</v>
      </c>
      <c r="B116" s="2" t="s">
        <v>213</v>
      </c>
      <c r="C116" s="24">
        <v>0</v>
      </c>
      <c r="D116" s="24">
        <v>0</v>
      </c>
      <c r="E116" s="24">
        <v>0</v>
      </c>
      <c r="F116" s="24">
        <v>0</v>
      </c>
      <c r="G116" s="24">
        <v>290000</v>
      </c>
      <c r="H116" s="24">
        <v>0</v>
      </c>
      <c r="I116" s="24">
        <v>0</v>
      </c>
      <c r="J116" s="24">
        <v>10839</v>
      </c>
      <c r="K116" s="24">
        <v>0</v>
      </c>
      <c r="L116" s="24">
        <v>0</v>
      </c>
      <c r="M116" s="24">
        <v>0</v>
      </c>
      <c r="N116" s="24">
        <v>0</v>
      </c>
      <c r="O116" s="24">
        <v>0</v>
      </c>
      <c r="P116" s="24">
        <v>0</v>
      </c>
      <c r="Q116" s="24">
        <v>0</v>
      </c>
      <c r="R116" s="24">
        <v>0</v>
      </c>
      <c r="S116" s="24">
        <v>0</v>
      </c>
      <c r="T116" s="24">
        <v>0</v>
      </c>
      <c r="U116" s="24">
        <v>0</v>
      </c>
      <c r="V116" s="24">
        <v>0</v>
      </c>
      <c r="W116" s="24">
        <v>0</v>
      </c>
      <c r="X116" s="24">
        <v>178149</v>
      </c>
      <c r="Y116" s="24">
        <v>8490</v>
      </c>
      <c r="Z116" s="24">
        <v>0</v>
      </c>
      <c r="AA116" s="24">
        <v>0</v>
      </c>
      <c r="AB116" s="24">
        <v>0</v>
      </c>
      <c r="AC116" s="24">
        <v>0</v>
      </c>
      <c r="AD116" s="24">
        <v>0</v>
      </c>
      <c r="AE116" s="24">
        <v>0</v>
      </c>
      <c r="AF116" s="24">
        <v>0</v>
      </c>
      <c r="AG116" s="24">
        <v>0</v>
      </c>
      <c r="AH116" s="24">
        <v>0</v>
      </c>
      <c r="AI116" s="24">
        <v>0</v>
      </c>
      <c r="AJ116" s="24">
        <v>0</v>
      </c>
      <c r="AK116" s="24">
        <v>0</v>
      </c>
      <c r="AL116" s="24">
        <v>2692</v>
      </c>
      <c r="AM116" s="24">
        <v>0</v>
      </c>
      <c r="AN116" s="24">
        <v>0</v>
      </c>
      <c r="AO116" s="24">
        <v>0</v>
      </c>
      <c r="AP116" s="24">
        <v>0</v>
      </c>
      <c r="AQ116" s="24">
        <v>0</v>
      </c>
      <c r="AR116" s="24">
        <v>0</v>
      </c>
      <c r="AS116" s="24">
        <v>0</v>
      </c>
      <c r="AT116" s="24">
        <v>0</v>
      </c>
      <c r="AU116" s="24">
        <v>0</v>
      </c>
      <c r="AV116" s="24">
        <v>0</v>
      </c>
      <c r="AW116" s="24">
        <v>0</v>
      </c>
      <c r="AX116" s="24">
        <v>0</v>
      </c>
      <c r="AY116" s="24">
        <v>0</v>
      </c>
      <c r="AZ116" s="24">
        <v>0</v>
      </c>
      <c r="BA116" s="24">
        <v>0</v>
      </c>
      <c r="BB116" s="24">
        <v>0</v>
      </c>
      <c r="BC116" s="24">
        <v>15</v>
      </c>
      <c r="BD116" s="24">
        <v>415</v>
      </c>
      <c r="BE116" s="24">
        <v>0</v>
      </c>
      <c r="BF116" s="24">
        <v>77</v>
      </c>
      <c r="BG116" s="24">
        <v>0</v>
      </c>
      <c r="BH116" s="24">
        <v>0</v>
      </c>
      <c r="BI116" s="24">
        <v>0</v>
      </c>
      <c r="BJ116" s="24">
        <v>0</v>
      </c>
      <c r="BK116" s="24">
        <v>0</v>
      </c>
      <c r="BL116" s="24">
        <v>0</v>
      </c>
      <c r="BM116" s="24">
        <v>0</v>
      </c>
      <c r="BN116" s="24">
        <v>0</v>
      </c>
      <c r="BO116" s="24">
        <v>0</v>
      </c>
      <c r="BP116" s="24">
        <v>0</v>
      </c>
      <c r="BQ116" s="24">
        <v>0</v>
      </c>
      <c r="BR116" s="24">
        <v>0</v>
      </c>
      <c r="BS116" s="24">
        <v>0</v>
      </c>
      <c r="BT116" s="24">
        <v>0</v>
      </c>
      <c r="BU116" s="24">
        <v>0</v>
      </c>
      <c r="BV116" s="24">
        <v>0</v>
      </c>
      <c r="BW116" s="24">
        <v>0</v>
      </c>
      <c r="BX116" s="24">
        <v>0</v>
      </c>
      <c r="BY116" s="24">
        <v>0</v>
      </c>
      <c r="BZ116" s="24">
        <v>0</v>
      </c>
      <c r="CA116" s="24">
        <v>0</v>
      </c>
      <c r="CB116" s="24">
        <v>0</v>
      </c>
      <c r="CC116" s="24">
        <v>0</v>
      </c>
      <c r="CD116" s="24">
        <v>9205</v>
      </c>
      <c r="CE116" s="24">
        <v>1223</v>
      </c>
      <c r="CF116" s="24">
        <v>0</v>
      </c>
      <c r="CG116" s="24">
        <v>0</v>
      </c>
      <c r="CH116" s="24">
        <v>0</v>
      </c>
      <c r="CI116" s="24">
        <v>0</v>
      </c>
      <c r="CJ116" s="24">
        <v>0</v>
      </c>
      <c r="CK116" s="24">
        <v>0</v>
      </c>
      <c r="CL116" s="24">
        <v>0</v>
      </c>
      <c r="CM116" s="24">
        <v>0</v>
      </c>
      <c r="CN116" s="24">
        <v>0</v>
      </c>
      <c r="CO116" s="24">
        <v>0</v>
      </c>
      <c r="CP116" s="24">
        <v>0</v>
      </c>
      <c r="CQ116" s="24">
        <v>0</v>
      </c>
      <c r="CR116" s="24">
        <v>0</v>
      </c>
      <c r="CS116" s="24">
        <v>0</v>
      </c>
      <c r="CT116" s="24">
        <v>0</v>
      </c>
      <c r="CU116" s="24">
        <v>0</v>
      </c>
      <c r="CV116" s="24">
        <v>0</v>
      </c>
      <c r="CW116" s="24">
        <v>0</v>
      </c>
      <c r="CX116" s="24">
        <v>0</v>
      </c>
      <c r="CY116" s="24">
        <v>0</v>
      </c>
      <c r="CZ116" s="24">
        <v>0</v>
      </c>
      <c r="DA116" s="24">
        <v>0</v>
      </c>
      <c r="DB116" s="24">
        <v>4725</v>
      </c>
      <c r="DC116" s="24">
        <v>0</v>
      </c>
      <c r="DD116" s="24">
        <v>0</v>
      </c>
      <c r="DE116" s="24">
        <v>0</v>
      </c>
      <c r="DF116" s="24">
        <v>0</v>
      </c>
      <c r="DG116" s="24">
        <v>0</v>
      </c>
      <c r="DH116" s="24">
        <v>0</v>
      </c>
      <c r="DI116" s="24">
        <v>0</v>
      </c>
      <c r="DJ116" s="24">
        <v>0</v>
      </c>
      <c r="DK116" s="24">
        <v>0</v>
      </c>
      <c r="DL116" s="24">
        <v>0</v>
      </c>
      <c r="DM116" s="24">
        <v>0</v>
      </c>
      <c r="DN116" s="24">
        <v>0</v>
      </c>
      <c r="DO116" s="24">
        <v>0</v>
      </c>
      <c r="DP116" s="24">
        <v>0</v>
      </c>
      <c r="DQ116" s="24">
        <v>0</v>
      </c>
      <c r="DR116" s="24">
        <v>0</v>
      </c>
      <c r="DS116" s="24">
        <v>0</v>
      </c>
      <c r="DT116" s="24">
        <v>0</v>
      </c>
      <c r="DU116" s="24">
        <v>0</v>
      </c>
      <c r="DV116" s="24">
        <v>0</v>
      </c>
      <c r="DW116" s="24">
        <v>0</v>
      </c>
      <c r="DX116" s="24">
        <v>0</v>
      </c>
      <c r="DY116" s="24">
        <v>0</v>
      </c>
      <c r="DZ116" s="24">
        <v>0</v>
      </c>
      <c r="EA116" s="24">
        <v>0</v>
      </c>
      <c r="EB116" s="24">
        <v>0</v>
      </c>
      <c r="EC116" s="24">
        <v>0</v>
      </c>
      <c r="ED116" s="24">
        <v>0</v>
      </c>
      <c r="EE116" s="24">
        <v>0</v>
      </c>
      <c r="EF116" s="24">
        <v>0</v>
      </c>
      <c r="EG116" s="24">
        <v>4527</v>
      </c>
      <c r="EH116" s="24">
        <v>0</v>
      </c>
      <c r="EI116" s="24">
        <v>0</v>
      </c>
      <c r="EJ116" s="24">
        <v>15000</v>
      </c>
      <c r="EK116" s="24">
        <v>22500</v>
      </c>
      <c r="EL116" s="24">
        <v>0</v>
      </c>
      <c r="EM116" s="24">
        <v>286</v>
      </c>
      <c r="EN116" s="24">
        <v>0</v>
      </c>
      <c r="EO116" s="24">
        <v>0</v>
      </c>
      <c r="EP116" s="24">
        <v>0</v>
      </c>
      <c r="EQ116" s="24">
        <v>0</v>
      </c>
      <c r="ER116" s="24">
        <v>0</v>
      </c>
      <c r="ES116" s="24">
        <v>0</v>
      </c>
      <c r="ET116" s="24">
        <v>0</v>
      </c>
      <c r="EU116" s="24">
        <v>0</v>
      </c>
      <c r="EV116" s="24">
        <v>0</v>
      </c>
      <c r="EW116" s="24">
        <v>0</v>
      </c>
      <c r="EX116" s="24">
        <v>0</v>
      </c>
      <c r="EY116" s="24">
        <v>0</v>
      </c>
      <c r="EZ116" s="24">
        <v>0</v>
      </c>
      <c r="FA116" s="24">
        <v>0</v>
      </c>
      <c r="FB116" s="24">
        <v>0</v>
      </c>
      <c r="FC116" s="24">
        <v>0</v>
      </c>
      <c r="FD116" s="24">
        <v>0</v>
      </c>
      <c r="FE116" s="24">
        <v>0</v>
      </c>
      <c r="FF116" s="24">
        <v>0</v>
      </c>
      <c r="FG116" s="24">
        <v>0</v>
      </c>
      <c r="FH116" s="24">
        <v>0</v>
      </c>
      <c r="FI116" s="24">
        <v>0</v>
      </c>
      <c r="FJ116" s="24">
        <v>0</v>
      </c>
      <c r="FK116" s="24">
        <v>0</v>
      </c>
      <c r="FL116" s="24">
        <v>0</v>
      </c>
      <c r="FM116" s="24">
        <v>0</v>
      </c>
      <c r="FN116" s="24">
        <v>0</v>
      </c>
      <c r="FO116" s="24">
        <v>0</v>
      </c>
      <c r="FP116" s="24">
        <v>0</v>
      </c>
      <c r="FQ116" s="24">
        <v>0</v>
      </c>
      <c r="FR116" s="24">
        <v>0</v>
      </c>
      <c r="FS116" s="24">
        <v>15546</v>
      </c>
      <c r="FT116" s="24">
        <v>0</v>
      </c>
      <c r="FU116" s="24">
        <v>7500</v>
      </c>
      <c r="FV116" s="24">
        <v>0</v>
      </c>
      <c r="FW116" s="24">
        <v>0</v>
      </c>
      <c r="FX116" s="24">
        <v>0</v>
      </c>
      <c r="FY116" s="24">
        <v>3351</v>
      </c>
      <c r="FZ116" s="24">
        <v>0</v>
      </c>
      <c r="GA116" s="24">
        <v>0</v>
      </c>
      <c r="GB116" s="24">
        <v>0</v>
      </c>
      <c r="GC116" s="24">
        <v>0</v>
      </c>
      <c r="GD116" s="24">
        <v>0</v>
      </c>
      <c r="GE116" s="24">
        <v>0</v>
      </c>
      <c r="GF116" s="24">
        <v>0</v>
      </c>
      <c r="GG116" s="24">
        <v>0</v>
      </c>
      <c r="GH116" s="24">
        <v>0</v>
      </c>
      <c r="GI116" s="24">
        <v>0</v>
      </c>
      <c r="GJ116" s="24">
        <v>0</v>
      </c>
      <c r="GK116" s="24">
        <v>0</v>
      </c>
      <c r="GL116" s="24">
        <v>0</v>
      </c>
      <c r="GM116" s="24">
        <v>0</v>
      </c>
      <c r="GN116" s="24">
        <v>0</v>
      </c>
      <c r="GO116" s="24">
        <v>0</v>
      </c>
      <c r="GP116" s="24">
        <v>0</v>
      </c>
      <c r="GQ116" s="24">
        <v>0</v>
      </c>
      <c r="GR116" s="24">
        <v>615</v>
      </c>
      <c r="GS116" s="24">
        <v>0</v>
      </c>
      <c r="GT116" s="24">
        <v>0</v>
      </c>
      <c r="GU116" s="24">
        <v>0</v>
      </c>
      <c r="GV116" s="24">
        <v>0</v>
      </c>
      <c r="GW116" s="24">
        <v>0</v>
      </c>
      <c r="GX116" s="24">
        <v>0</v>
      </c>
      <c r="GY116" s="24">
        <v>0</v>
      </c>
      <c r="GZ116" s="24">
        <v>0</v>
      </c>
      <c r="HA116" s="24">
        <v>0</v>
      </c>
      <c r="HB116" s="24">
        <v>0</v>
      </c>
      <c r="HC116" s="24">
        <v>0</v>
      </c>
      <c r="HD116" s="24">
        <v>1658534</v>
      </c>
      <c r="HE116" s="24">
        <v>0</v>
      </c>
      <c r="HF116" s="24">
        <v>0</v>
      </c>
      <c r="HG116" s="24">
        <v>0</v>
      </c>
      <c r="HH116" s="24">
        <v>0</v>
      </c>
      <c r="HI116" s="24">
        <v>79460</v>
      </c>
      <c r="HJ116" s="24">
        <v>0</v>
      </c>
      <c r="HK116" s="24">
        <v>0</v>
      </c>
      <c r="HL116" s="24">
        <v>0</v>
      </c>
      <c r="HM116" s="24">
        <v>0</v>
      </c>
      <c r="HN116" s="24">
        <v>0</v>
      </c>
      <c r="HO116" s="24">
        <v>221745</v>
      </c>
      <c r="HP116" s="24">
        <v>80952</v>
      </c>
      <c r="HQ116" s="24">
        <v>0</v>
      </c>
      <c r="HR116" s="24">
        <v>0</v>
      </c>
      <c r="HS116" s="24">
        <v>0</v>
      </c>
      <c r="HT116" s="24">
        <v>0</v>
      </c>
      <c r="HU116" s="24">
        <v>0</v>
      </c>
      <c r="HV116" s="24">
        <v>0</v>
      </c>
      <c r="HW116" s="24">
        <v>0</v>
      </c>
      <c r="HX116" s="24">
        <v>0</v>
      </c>
      <c r="HY116" s="24">
        <v>0</v>
      </c>
      <c r="HZ116" s="24">
        <v>0</v>
      </c>
      <c r="IA116" s="24">
        <v>27714</v>
      </c>
      <c r="IB116" s="24">
        <v>6162</v>
      </c>
      <c r="IC116" s="24">
        <v>0</v>
      </c>
      <c r="ID116" s="24">
        <v>0</v>
      </c>
      <c r="IE116" s="24">
        <v>0</v>
      </c>
      <c r="IF116" s="24">
        <v>0</v>
      </c>
      <c r="IG116" s="24">
        <v>0</v>
      </c>
      <c r="IH116" s="24">
        <v>0</v>
      </c>
      <c r="II116" s="24">
        <v>0</v>
      </c>
      <c r="IJ116" s="24">
        <v>21156</v>
      </c>
      <c r="IK116" s="24">
        <v>0</v>
      </c>
      <c r="IL116" s="24">
        <v>0</v>
      </c>
      <c r="IM116" s="24">
        <v>0</v>
      </c>
      <c r="IN116" s="24">
        <v>0</v>
      </c>
      <c r="IO116" s="24">
        <v>3125</v>
      </c>
      <c r="IP116" s="24">
        <v>0</v>
      </c>
      <c r="IQ116" s="24">
        <v>0</v>
      </c>
      <c r="IR116" s="24">
        <v>10890</v>
      </c>
      <c r="IS116" s="24">
        <v>0</v>
      </c>
      <c r="IT116" s="24">
        <v>0</v>
      </c>
      <c r="IU116" s="24">
        <v>0</v>
      </c>
      <c r="IV116" s="24">
        <v>0</v>
      </c>
      <c r="IW116" s="24">
        <v>46760</v>
      </c>
      <c r="IX116" s="24">
        <v>0</v>
      </c>
      <c r="IY116" s="24">
        <v>0</v>
      </c>
      <c r="IZ116" s="24">
        <v>0</v>
      </c>
      <c r="JA116" s="24">
        <v>0</v>
      </c>
      <c r="JB116" s="24">
        <v>10018</v>
      </c>
      <c r="JC116" s="24">
        <v>0</v>
      </c>
      <c r="JD116" s="24">
        <v>0</v>
      </c>
      <c r="JE116" s="24">
        <v>0</v>
      </c>
      <c r="JF116" s="24">
        <v>0</v>
      </c>
      <c r="JG116" s="24">
        <v>0</v>
      </c>
      <c r="JH116" s="24">
        <v>0</v>
      </c>
      <c r="JI116" s="24">
        <v>0</v>
      </c>
      <c r="JJ116" s="24">
        <v>0</v>
      </c>
      <c r="JK116" s="24">
        <v>0</v>
      </c>
      <c r="JL116" s="24">
        <v>0</v>
      </c>
      <c r="JM116" s="24">
        <v>0</v>
      </c>
      <c r="JN116" s="24">
        <v>0</v>
      </c>
      <c r="JO116" s="24">
        <v>0</v>
      </c>
      <c r="JP116" s="24">
        <v>0</v>
      </c>
      <c r="JQ116" s="24">
        <v>0</v>
      </c>
      <c r="JR116" s="24">
        <v>0</v>
      </c>
      <c r="JS116" s="24">
        <v>0</v>
      </c>
      <c r="JT116" s="24">
        <v>0</v>
      </c>
      <c r="JU116" s="24">
        <v>0</v>
      </c>
      <c r="JV116" s="24">
        <v>0</v>
      </c>
      <c r="JW116" s="24">
        <v>0</v>
      </c>
      <c r="JX116" s="24">
        <v>0</v>
      </c>
      <c r="JY116" s="24">
        <v>0</v>
      </c>
      <c r="JZ116" s="24">
        <v>0</v>
      </c>
      <c r="KA116" s="24">
        <v>0</v>
      </c>
      <c r="KB116" s="24">
        <v>0</v>
      </c>
      <c r="KC116" s="24">
        <v>0</v>
      </c>
      <c r="KD116" s="24">
        <v>0</v>
      </c>
      <c r="KE116" s="24">
        <v>0</v>
      </c>
      <c r="KF116" s="24">
        <v>624</v>
      </c>
      <c r="KG116" s="24">
        <v>0</v>
      </c>
      <c r="KH116" s="24">
        <v>0</v>
      </c>
      <c r="KI116" s="24">
        <v>0</v>
      </c>
      <c r="KJ116" s="24">
        <v>0</v>
      </c>
      <c r="KK116" s="24">
        <v>0</v>
      </c>
      <c r="KL116" s="24">
        <v>0</v>
      </c>
      <c r="KM116" s="24">
        <v>0</v>
      </c>
      <c r="KN116" s="24">
        <v>0</v>
      </c>
      <c r="KO116" s="24">
        <v>0</v>
      </c>
      <c r="KP116" s="24">
        <v>150416</v>
      </c>
      <c r="KQ116" s="24">
        <v>0</v>
      </c>
      <c r="KR116" s="24">
        <v>0</v>
      </c>
      <c r="KS116" s="24">
        <v>0</v>
      </c>
      <c r="KT116" s="24">
        <v>0</v>
      </c>
      <c r="KU116" s="24">
        <v>0</v>
      </c>
      <c r="KV116" s="24">
        <v>0</v>
      </c>
      <c r="KW116" s="24">
        <v>12997</v>
      </c>
      <c r="KX116" s="24">
        <v>0</v>
      </c>
      <c r="KY116" s="24">
        <v>0</v>
      </c>
      <c r="KZ116" s="24">
        <v>0</v>
      </c>
      <c r="LA116" s="24">
        <v>0</v>
      </c>
      <c r="LB116" s="24">
        <v>0</v>
      </c>
      <c r="LC116" s="24">
        <v>0</v>
      </c>
      <c r="LD116" s="24">
        <v>0</v>
      </c>
      <c r="LE116" s="24">
        <v>0</v>
      </c>
      <c r="LF116" s="24">
        <v>0</v>
      </c>
      <c r="LG116" s="24">
        <v>0</v>
      </c>
      <c r="LH116" s="24">
        <v>0</v>
      </c>
      <c r="LI116" s="24">
        <v>0</v>
      </c>
      <c r="LJ116" s="24">
        <v>0</v>
      </c>
      <c r="LK116" s="24">
        <v>0</v>
      </c>
      <c r="LL116" s="24">
        <v>0</v>
      </c>
      <c r="LM116" s="24">
        <v>0</v>
      </c>
      <c r="LN116" s="24">
        <v>0</v>
      </c>
      <c r="LO116" s="24">
        <v>0</v>
      </c>
      <c r="LP116" s="24">
        <v>0</v>
      </c>
      <c r="LQ116" s="24">
        <v>152566</v>
      </c>
      <c r="LR116" s="24">
        <v>10973</v>
      </c>
      <c r="LS116" s="24">
        <v>0</v>
      </c>
      <c r="LT116" s="24">
        <v>0</v>
      </c>
      <c r="LU116" s="24">
        <v>0</v>
      </c>
      <c r="LV116" s="24">
        <v>0</v>
      </c>
      <c r="LW116" s="24">
        <v>0</v>
      </c>
      <c r="LX116" s="24">
        <v>0</v>
      </c>
      <c r="LY116" s="24">
        <v>0</v>
      </c>
      <c r="LZ116" s="24">
        <v>0</v>
      </c>
      <c r="MA116" s="24">
        <v>0</v>
      </c>
      <c r="MB116" s="24">
        <v>0</v>
      </c>
      <c r="MC116" s="24">
        <v>0</v>
      </c>
      <c r="MD116" s="24">
        <v>0</v>
      </c>
      <c r="ME116" s="24">
        <v>0</v>
      </c>
      <c r="MF116" s="24">
        <v>0</v>
      </c>
      <c r="MG116" s="24">
        <v>0</v>
      </c>
      <c r="MH116" s="24">
        <v>0</v>
      </c>
      <c r="MI116" s="24">
        <v>0</v>
      </c>
      <c r="MJ116" s="24">
        <v>0</v>
      </c>
      <c r="MK116" s="24">
        <v>0</v>
      </c>
      <c r="ML116" s="24">
        <v>0</v>
      </c>
      <c r="MM116" s="24">
        <v>0</v>
      </c>
      <c r="MN116" s="24">
        <v>0</v>
      </c>
      <c r="MO116" s="24">
        <v>6484</v>
      </c>
      <c r="MP116" s="24">
        <v>0</v>
      </c>
      <c r="MQ116" s="24">
        <v>0</v>
      </c>
      <c r="MR116" s="24">
        <v>150612</v>
      </c>
      <c r="MS116" s="24">
        <v>0</v>
      </c>
      <c r="MT116" s="24">
        <v>0</v>
      </c>
      <c r="MU116" s="24">
        <v>0</v>
      </c>
      <c r="MV116" s="24">
        <v>0</v>
      </c>
      <c r="MW116" s="24">
        <v>73441</v>
      </c>
      <c r="MX116" s="24">
        <v>8954</v>
      </c>
      <c r="MY116" s="24">
        <v>0</v>
      </c>
      <c r="MZ116" s="24">
        <v>0</v>
      </c>
      <c r="NA116" s="24">
        <v>0</v>
      </c>
      <c r="NB116" s="24">
        <v>0</v>
      </c>
      <c r="NC116" s="24">
        <v>0</v>
      </c>
      <c r="ND116" s="24">
        <v>0</v>
      </c>
      <c r="NE116" s="24">
        <v>0</v>
      </c>
      <c r="NF116" s="24">
        <v>0</v>
      </c>
      <c r="NG116" s="24">
        <v>0</v>
      </c>
      <c r="NH116" s="24">
        <v>0</v>
      </c>
      <c r="NI116" s="24">
        <v>0</v>
      </c>
      <c r="NJ116" s="24">
        <v>0</v>
      </c>
      <c r="NK116" s="24">
        <v>0</v>
      </c>
      <c r="NL116" s="24">
        <v>0</v>
      </c>
      <c r="NM116" s="24">
        <v>0</v>
      </c>
      <c r="NN116" s="24">
        <v>0</v>
      </c>
      <c r="NO116" s="24">
        <v>0</v>
      </c>
      <c r="NP116" s="24">
        <v>0</v>
      </c>
      <c r="NQ116" s="24">
        <v>0</v>
      </c>
      <c r="NR116" s="24">
        <v>0</v>
      </c>
      <c r="NS116" s="24">
        <v>0</v>
      </c>
      <c r="NT116" s="24">
        <v>0</v>
      </c>
      <c r="NU116" s="24">
        <v>0</v>
      </c>
      <c r="NV116" s="24">
        <v>20495</v>
      </c>
      <c r="NW116" s="24">
        <v>84777</v>
      </c>
      <c r="NX116" s="24">
        <v>0</v>
      </c>
      <c r="NY116" s="24">
        <v>0</v>
      </c>
      <c r="NZ116" s="24">
        <v>0</v>
      </c>
      <c r="OA116" s="24">
        <v>0</v>
      </c>
      <c r="OB116" s="24">
        <v>0</v>
      </c>
      <c r="OC116" s="24">
        <v>0</v>
      </c>
      <c r="OD116" s="24">
        <v>0</v>
      </c>
      <c r="OE116" s="24">
        <v>0</v>
      </c>
      <c r="OF116" s="24">
        <v>0</v>
      </c>
      <c r="OG116" s="24">
        <v>0</v>
      </c>
      <c r="OH116" s="24">
        <v>0</v>
      </c>
      <c r="OI116" s="24">
        <v>0</v>
      </c>
      <c r="OJ116" s="24">
        <v>0</v>
      </c>
      <c r="OK116" s="24">
        <v>0</v>
      </c>
      <c r="OL116" s="24">
        <v>0</v>
      </c>
      <c r="OM116" s="24">
        <v>0</v>
      </c>
      <c r="ON116" s="24">
        <v>0</v>
      </c>
      <c r="OO116" s="24">
        <v>0</v>
      </c>
      <c r="OP116" s="24">
        <v>0</v>
      </c>
      <c r="OQ116" s="24">
        <v>0</v>
      </c>
      <c r="OR116" s="24">
        <v>0</v>
      </c>
      <c r="OS116" s="24">
        <v>0</v>
      </c>
      <c r="OT116" s="24">
        <v>0</v>
      </c>
      <c r="OU116" s="24">
        <v>0</v>
      </c>
      <c r="OV116" s="24">
        <v>0</v>
      </c>
      <c r="OW116" s="24">
        <v>0</v>
      </c>
      <c r="OX116" s="24">
        <v>0</v>
      </c>
      <c r="OY116" s="24">
        <v>0</v>
      </c>
      <c r="OZ116" s="24">
        <v>0</v>
      </c>
      <c r="PA116" s="24">
        <v>0</v>
      </c>
      <c r="PB116" s="24">
        <v>0</v>
      </c>
      <c r="PC116" s="24">
        <v>0</v>
      </c>
      <c r="PD116" s="24">
        <v>0</v>
      </c>
      <c r="PE116" s="24">
        <v>0</v>
      </c>
      <c r="PF116" s="24">
        <v>0</v>
      </c>
      <c r="PG116" s="24">
        <v>0</v>
      </c>
      <c r="PH116" s="24">
        <v>97968</v>
      </c>
      <c r="PI116" s="24">
        <v>0</v>
      </c>
      <c r="PJ116" s="24">
        <v>0</v>
      </c>
      <c r="PK116" s="24">
        <v>0</v>
      </c>
      <c r="PL116" s="24">
        <v>0</v>
      </c>
      <c r="PM116" s="24">
        <v>0</v>
      </c>
      <c r="PN116" s="24">
        <v>0</v>
      </c>
      <c r="PO116" s="24">
        <v>0</v>
      </c>
      <c r="PP116" s="24">
        <v>0</v>
      </c>
      <c r="PQ116" s="24">
        <v>0</v>
      </c>
      <c r="PR116" s="24">
        <v>0</v>
      </c>
      <c r="PS116" s="24">
        <v>0</v>
      </c>
      <c r="PT116" s="24">
        <v>0</v>
      </c>
      <c r="PU116" s="24">
        <v>0</v>
      </c>
      <c r="PV116" s="24">
        <v>0</v>
      </c>
      <c r="PW116" s="24">
        <v>0</v>
      </c>
      <c r="PX116" s="24">
        <v>0</v>
      </c>
      <c r="PY116" s="24">
        <v>0</v>
      </c>
      <c r="PZ116" s="24">
        <v>0</v>
      </c>
      <c r="QA116" s="24">
        <v>0</v>
      </c>
      <c r="QB116" s="24">
        <v>0</v>
      </c>
      <c r="QC116" s="24">
        <v>0</v>
      </c>
      <c r="QD116" s="24">
        <v>0</v>
      </c>
      <c r="QE116" s="24">
        <v>0</v>
      </c>
      <c r="QF116" s="24">
        <v>0</v>
      </c>
      <c r="QG116" s="24">
        <v>0</v>
      </c>
      <c r="QH116" s="24">
        <v>0</v>
      </c>
      <c r="QI116" s="24">
        <v>0</v>
      </c>
      <c r="QJ116" s="24">
        <v>0</v>
      </c>
      <c r="QK116" s="24">
        <v>0</v>
      </c>
      <c r="QL116" s="24">
        <v>0</v>
      </c>
      <c r="QM116" s="24">
        <v>0</v>
      </c>
      <c r="QN116" s="24">
        <v>0</v>
      </c>
      <c r="QO116" s="24">
        <v>0</v>
      </c>
      <c r="QP116" s="24">
        <v>0</v>
      </c>
      <c r="QQ116" s="24">
        <v>0</v>
      </c>
      <c r="QR116" s="24">
        <v>0</v>
      </c>
      <c r="QS116" s="24">
        <v>0</v>
      </c>
      <c r="QT116" s="24">
        <v>0</v>
      </c>
      <c r="QU116" s="24">
        <v>0</v>
      </c>
      <c r="QV116" s="24">
        <v>0</v>
      </c>
      <c r="QW116" s="24">
        <v>0</v>
      </c>
      <c r="QX116" s="24">
        <v>0</v>
      </c>
      <c r="QY116" s="24">
        <v>0</v>
      </c>
      <c r="QZ116" s="24">
        <v>0</v>
      </c>
      <c r="RA116" s="24">
        <v>0</v>
      </c>
      <c r="RB116" s="24">
        <v>0</v>
      </c>
      <c r="RG116" s="39">
        <f t="shared" si="129"/>
        <v>1658534</v>
      </c>
      <c r="RH116" s="39">
        <f t="shared" si="247"/>
        <v>79460</v>
      </c>
      <c r="RI116" s="39">
        <f t="shared" si="247"/>
        <v>0</v>
      </c>
      <c r="RJ116" s="39">
        <f t="shared" si="247"/>
        <v>0</v>
      </c>
      <c r="RK116" s="39">
        <f t="shared" si="247"/>
        <v>0</v>
      </c>
      <c r="RL116" s="39">
        <f t="shared" si="247"/>
        <v>221745</v>
      </c>
      <c r="RM116" s="39">
        <f t="shared" si="247"/>
        <v>135984</v>
      </c>
      <c r="RN116" s="39">
        <f t="shared" si="247"/>
        <v>3125</v>
      </c>
      <c r="RO116" s="39">
        <f t="shared" si="247"/>
        <v>10890</v>
      </c>
      <c r="RP116" s="39">
        <f t="shared" si="247"/>
        <v>46760</v>
      </c>
      <c r="RQ116" s="39">
        <f t="shared" si="247"/>
        <v>10018</v>
      </c>
      <c r="RR116" s="39">
        <f t="shared" si="247"/>
        <v>0</v>
      </c>
      <c r="RS116" s="39"/>
      <c r="RT116" s="182"/>
      <c r="RU116" s="39"/>
      <c r="RV116" s="39">
        <f t="shared" si="246"/>
        <v>672339</v>
      </c>
      <c r="RW116" s="39">
        <f t="shared" si="246"/>
        <v>2166516</v>
      </c>
      <c r="RX116" s="39">
        <f t="shared" si="246"/>
        <v>575155</v>
      </c>
      <c r="RY116" s="39">
        <f t="shared" si="246"/>
        <v>97968</v>
      </c>
      <c r="RZ116" s="39"/>
      <c r="SA116" s="182"/>
      <c r="SB116" s="39"/>
      <c r="SC116" s="25">
        <f t="shared" si="183"/>
        <v>2046.8149466192172</v>
      </c>
      <c r="SD116" s="39">
        <f>IFERROR(VLOOKUP(A116, 'Levy Data 15-16'!$B:$O, 3, FALSE), 0)</f>
        <v>138926318</v>
      </c>
      <c r="SE116" s="39">
        <f t="shared" si="208"/>
        <v>494399.70818505337</v>
      </c>
      <c r="SF116" s="631">
        <f>IFERROR(VLOOKUP(A116, 'Levy Data 15-16'!$B:$O, 14, FALSE), 0)*1000</f>
        <v>3.4477980000000001</v>
      </c>
      <c r="SG116" s="39">
        <f t="shared" si="209"/>
        <v>0</v>
      </c>
      <c r="SH116" s="39">
        <f t="shared" si="210"/>
        <v>0</v>
      </c>
      <c r="SI116" s="39">
        <f t="shared" si="211"/>
        <v>575155</v>
      </c>
      <c r="SM116" s="39">
        <f t="shared" si="212"/>
        <v>2166516</v>
      </c>
      <c r="SN116" s="39">
        <f t="shared" si="213"/>
        <v>0</v>
      </c>
      <c r="SO116" s="39">
        <f t="shared" si="184"/>
        <v>2166516</v>
      </c>
      <c r="SP116" s="50">
        <f t="shared" si="130"/>
        <v>1</v>
      </c>
      <c r="ST116" s="124">
        <f>IFERROR(VLOOKUP(A116,'Grade Enroll 15-16'!B:AC,27,FALSE),"")</f>
        <v>281</v>
      </c>
      <c r="SU116" s="124">
        <f t="shared" si="185"/>
        <v>220.11666666666667</v>
      </c>
      <c r="SV116" s="131">
        <f>IFERROR(VLOOKUP($A116, 'Title I Enroll 16-17'!S:V, 4, FALSE), 0)</f>
        <v>0.78333333333333333</v>
      </c>
      <c r="SW116" s="729">
        <f>IFERROR(VLOOKUP(A116, 'ELL Enroll 15-16'!$N:$S, 6, FALSE), 0)</f>
        <v>54</v>
      </c>
      <c r="SX116" s="131">
        <f t="shared" si="131"/>
        <v>0.19217081850533807</v>
      </c>
      <c r="SY116" s="124">
        <f>IFERROR(VLOOKUP(A116, 'SPED enroll 2015-16'!$M:$O, 3, FALSE), 0)</f>
        <v>53</v>
      </c>
      <c r="SZ116" s="131">
        <f t="shared" si="132"/>
        <v>0.18861209964412812</v>
      </c>
      <c r="TA116" s="142">
        <f t="shared" si="207"/>
        <v>37.099999999999994</v>
      </c>
      <c r="TB116" s="142">
        <f t="shared" si="207"/>
        <v>10.600000000000001</v>
      </c>
      <c r="TC116" s="142">
        <f t="shared" si="207"/>
        <v>3.7100000000000004</v>
      </c>
      <c r="TD116" s="142">
        <f t="shared" si="207"/>
        <v>1.5899999999999999</v>
      </c>
      <c r="TE116" s="124">
        <f>VLOOKUP($A116, 'Grade Enroll 15-16'!$B:$AB, 20, FALSE)</f>
        <v>11</v>
      </c>
      <c r="TF116" s="124">
        <f>VLOOKUP($A116, 'Grade Enroll 15-16'!$B:$AB, 21, FALSE)</f>
        <v>33</v>
      </c>
      <c r="TG116" s="124">
        <f>VLOOKUP($A116, 'Grade Enroll 15-16'!$B:$AB, 22, FALSE)</f>
        <v>78</v>
      </c>
      <c r="TH116" s="124">
        <f>VLOOKUP($A116, 'Grade Enroll 15-16'!$B:$AB, 23, FALSE)</f>
        <v>63</v>
      </c>
      <c r="TI116" s="124">
        <f>VLOOKUP($A116, 'Grade Enroll 15-16'!$B:$AB, 24, FALSE)</f>
        <v>38</v>
      </c>
      <c r="TJ116" s="124">
        <f>VLOOKUP($A116, 'Grade Enroll 15-16'!$B:$AB, 25, FALSE)</f>
        <v>102</v>
      </c>
      <c r="TK116" s="124">
        <f>VLOOKUP($A116, 'Grade Enroll 15-16'!$B:$AB, 26, FALSE)</f>
        <v>185</v>
      </c>
      <c r="TL116" s="131">
        <f>SUMIFS('Student Achievement 15-16'!N:N, 'Student Achievement 15-16'!B:B, 'Idaho Data'!A116, 'Student Achievement 15-16'!D:D, "math")/100</f>
        <v>0.39500000000000002</v>
      </c>
      <c r="TM116" s="134">
        <f t="shared" si="186"/>
        <v>110.995</v>
      </c>
      <c r="TN116" s="131">
        <f>SUMIFS('Student Achievement 15-16'!N:N, 'Student Achievement 15-16'!B:B, 'Idaho Data'!A116, 'Student Achievement 15-16'!D:D, "ela")/100</f>
        <v>0.24299999999999999</v>
      </c>
      <c r="TO116" s="134">
        <f t="shared" si="134"/>
        <v>68.283000000000001</v>
      </c>
      <c r="TP116" s="688">
        <f>IFERROR(VLOOKUP(A116, 'G&amp;T 15-16'!B:G, 6, FALSE), 0)*1</f>
        <v>0</v>
      </c>
      <c r="TQ116" s="168">
        <f t="shared" si="135"/>
        <v>16.86</v>
      </c>
      <c r="TU116" s="168">
        <f t="shared" si="136"/>
        <v>68.283000000000001</v>
      </c>
      <c r="TV116" s="168">
        <f t="shared" si="137"/>
        <v>110.995</v>
      </c>
      <c r="TW116" s="205">
        <f t="shared" si="138"/>
        <v>110.995</v>
      </c>
      <c r="TX116" s="144"/>
      <c r="TY116" s="129"/>
      <c r="TZ116" s="127">
        <f t="shared" si="139"/>
        <v>0</v>
      </c>
      <c r="UA116" s="127">
        <f t="shared" si="140"/>
        <v>16.86</v>
      </c>
      <c r="UB116" s="205">
        <f t="shared" si="141"/>
        <v>16.86</v>
      </c>
      <c r="UE116" s="853" t="str">
        <f>IF(ST116&lt;='1. Simulator Input'!$E$104, "yes", "")</f>
        <v>yes</v>
      </c>
      <c r="UI116" s="199">
        <f t="shared" si="187"/>
        <v>0</v>
      </c>
      <c r="UJ116" s="200">
        <f>IF('Idaho Data'!SI116&gt;=0, ((1-'1. Simulator Input'!$E$39)*'Idaho Data'!SI116), 0)</f>
        <v>0</v>
      </c>
      <c r="UK116" s="200">
        <f t="shared" si="142"/>
        <v>2166516</v>
      </c>
      <c r="UL116" s="39"/>
      <c r="UM116" s="182"/>
      <c r="UN116" s="39"/>
      <c r="UO116" s="39">
        <f>IF(AND('1. Simulator Input'!$E$96="yes", '1. Simulator Input'!$E$98="yes", '1. Simulator Input'!$E$100="hold harmless"), 'Idaho Data'!WN116, IF(AND('1. Simulator Input'!$E$96="yes", '1. Simulator Input'!$E$98="no", '1. Simulator Input'!$E$100="hold harmless"), 'Idaho Data'!WM116, IF(AND('1. Simulator Input'!$E$96="yes", '1. Simulator Input'!$E$98="yes", '1. Simulator Input'!$E$100="small district grant"), WL116,IF(AND('1. Simulator Input'!$E$96="yes", '1. Simulator Input'!$E$98="no", '1. Simulator Input'!$E$100="small district grant"), WK116, ""))))</f>
        <v>0</v>
      </c>
      <c r="UP116" s="200">
        <f>'1. Simulator Input'!$D$56*('Idaho Data'!ST116)</f>
        <v>1552806</v>
      </c>
      <c r="UQ116" s="204">
        <f>'1. Simulator Input'!$D$65*'1. Simulator Input'!$D$56*'Idaho Data'!SU116</f>
        <v>0</v>
      </c>
      <c r="UR116" s="204">
        <f>'1. Simulator Input'!$D$66*'1. Simulator Input'!$D$56*'Idaho Data'!SW116</f>
        <v>0</v>
      </c>
      <c r="US116" s="200">
        <f>'1. Simulator Input'!$D$67*'1. Simulator Input'!$D$56*'Idaho Data'!TA116</f>
        <v>0</v>
      </c>
      <c r="UT116" s="200">
        <f>'1. Simulator Input'!$D$68*'1. Simulator Input'!$D$56*'Idaho Data'!TB116</f>
        <v>0</v>
      </c>
      <c r="UU116" s="200">
        <f>'1. Simulator Input'!$D$69*'1. Simulator Input'!$D$56*'Idaho Data'!TC116</f>
        <v>0</v>
      </c>
      <c r="UV116" s="200">
        <f>'1. Simulator Input'!$D$70*'1. Simulator Input'!$D$56*TD116</f>
        <v>0</v>
      </c>
      <c r="UW116" s="200">
        <f>'1. Simulator Input'!$D$80*'1. Simulator Input'!$D$56*TW116</f>
        <v>0</v>
      </c>
      <c r="UX116" s="200">
        <f>'1. Simulator Input'!$D$79*'1. Simulator Input'!$D$56*UB116</f>
        <v>0</v>
      </c>
      <c r="UY116" s="200">
        <f>'1. Simulator Input'!$D$87*'1. Simulator Input'!$D$56*TF116</f>
        <v>91179</v>
      </c>
      <c r="UZ116" s="200">
        <f>'1. Simulator Input'!$D$73*'1. Simulator Input'!$D$56*'Idaho Data'!TG116</f>
        <v>0</v>
      </c>
      <c r="VA116" s="200">
        <f>'1. Simulator Input'!$D$56*'1. Simulator Input'!$D$74*'Idaho Data'!TH116</f>
        <v>0</v>
      </c>
      <c r="VB116" s="200">
        <f>'1. Simulator Input'!$D$56*'1. Simulator Input'!$D$75*'Idaho Data'!TI111</f>
        <v>0</v>
      </c>
      <c r="VC116" s="200">
        <f>'1. Simulator Input'!$D$76*'1. Simulator Input'!$D$56*'Idaho Data'!TJ116</f>
        <v>0</v>
      </c>
      <c r="VD116" s="200">
        <f t="shared" si="188"/>
        <v>1643985</v>
      </c>
      <c r="VE116" s="200"/>
      <c r="VF116" s="182"/>
      <c r="VG116" s="200"/>
      <c r="VH116" s="200">
        <f t="shared" si="189"/>
        <v>0</v>
      </c>
      <c r="VI116" s="200">
        <f t="shared" si="190"/>
        <v>0</v>
      </c>
      <c r="VJ116" s="200">
        <f t="shared" si="214"/>
        <v>1643985</v>
      </c>
      <c r="VK116" s="200">
        <f t="shared" si="215"/>
        <v>1643985</v>
      </c>
      <c r="VL116" s="200"/>
      <c r="VM116" s="182"/>
      <c r="VN116" s="200"/>
      <c r="VO116" s="200">
        <f t="shared" si="191"/>
        <v>672339</v>
      </c>
      <c r="VP116" s="200">
        <f t="shared" si="192"/>
        <v>2166516</v>
      </c>
      <c r="VQ116" s="200">
        <f t="shared" si="193"/>
        <v>575155</v>
      </c>
      <c r="VR116" s="200">
        <f t="shared" si="194"/>
        <v>672339</v>
      </c>
      <c r="VS116" s="200">
        <f t="shared" si="216"/>
        <v>1643985</v>
      </c>
      <c r="VT116" s="200">
        <f t="shared" si="217"/>
        <v>575155</v>
      </c>
      <c r="VU116" s="200">
        <f t="shared" si="218"/>
        <v>0</v>
      </c>
      <c r="VV116" s="200"/>
      <c r="VW116" s="182"/>
      <c r="VX116" s="200"/>
      <c r="VZ116" s="199">
        <f t="shared" si="195"/>
        <v>-522531</v>
      </c>
      <c r="WA116" s="466">
        <f t="shared" si="196"/>
        <v>-1859.540925266904</v>
      </c>
      <c r="WB116" s="131">
        <f t="shared" si="197"/>
        <v>-0.24118492547481762</v>
      </c>
      <c r="WC116" s="131"/>
      <c r="WD116" s="461"/>
      <c r="WE116" s="893"/>
      <c r="WF116" s="893">
        <f t="shared" si="198"/>
        <v>12149.501779359431</v>
      </c>
      <c r="WG116" s="893">
        <f t="shared" si="199"/>
        <v>10289.960854092527</v>
      </c>
      <c r="WH116" s="893"/>
      <c r="WI116" s="893">
        <f t="shared" si="200"/>
        <v>2166516</v>
      </c>
      <c r="WJ116" s="893">
        <f t="shared" si="219"/>
        <v>1643985</v>
      </c>
      <c r="WK116" s="39">
        <f t="shared" si="220"/>
        <v>0</v>
      </c>
      <c r="WL116" s="39">
        <f t="shared" si="221"/>
        <v>0</v>
      </c>
      <c r="WM116" s="200">
        <f t="shared" si="222"/>
        <v>522531</v>
      </c>
      <c r="WN116" s="39">
        <f t="shared" si="223"/>
        <v>522531</v>
      </c>
      <c r="WO116" s="39"/>
      <c r="WP116" s="182"/>
      <c r="WQ116" s="39"/>
      <c r="WR116" s="305">
        <f t="shared" si="224"/>
        <v>0.45600000000000002</v>
      </c>
      <c r="WT116" s="200">
        <f t="shared" si="225"/>
        <v>7710.021352313167</v>
      </c>
      <c r="WU116" s="131">
        <f t="shared" si="201"/>
        <v>0.71</v>
      </c>
      <c r="WW116" s="199">
        <f t="shared" si="226"/>
        <v>672339</v>
      </c>
      <c r="WX116" s="199">
        <f t="shared" si="227"/>
        <v>1643985</v>
      </c>
      <c r="WY116" s="199">
        <f t="shared" si="228"/>
        <v>0</v>
      </c>
      <c r="WZ116" s="199">
        <f t="shared" si="202"/>
        <v>1643985</v>
      </c>
      <c r="XA116" s="199">
        <f t="shared" si="229"/>
        <v>0</v>
      </c>
      <c r="XB116" s="199">
        <f t="shared" si="230"/>
        <v>575155</v>
      </c>
      <c r="XC116" s="199">
        <f t="shared" si="231"/>
        <v>575155</v>
      </c>
      <c r="XD116" s="199" t="str">
        <f t="shared" si="232"/>
        <v/>
      </c>
      <c r="XE116" s="199"/>
      <c r="XF116" s="199"/>
      <c r="XG116" s="199"/>
      <c r="XH116" s="199"/>
      <c r="XI116" s="199"/>
      <c r="XJ116" s="199">
        <f t="shared" si="203"/>
        <v>1643985</v>
      </c>
      <c r="XP116" s="199">
        <f t="shared" si="233"/>
        <v>1643985</v>
      </c>
      <c r="XQ116" s="199">
        <f t="shared" si="234"/>
        <v>5850.4804270462637</v>
      </c>
      <c r="XR116" s="199">
        <f t="shared" si="235"/>
        <v>1643985</v>
      </c>
      <c r="XS116" s="199">
        <f t="shared" si="236"/>
        <v>1643985</v>
      </c>
      <c r="XT116" s="199">
        <f t="shared" si="237"/>
        <v>5850.4804270462637</v>
      </c>
      <c r="XU116" s="199">
        <f t="shared" si="238"/>
        <v>2166516</v>
      </c>
      <c r="XV116" s="199">
        <f t="shared" si="239"/>
        <v>7710.021352313167</v>
      </c>
      <c r="XW116" s="199">
        <f t="shared" si="240"/>
        <v>2166516</v>
      </c>
      <c r="XX116" s="199">
        <f t="shared" si="241"/>
        <v>7710.021352313167</v>
      </c>
      <c r="XY116" s="199">
        <f t="shared" si="204"/>
        <v>-522531</v>
      </c>
      <c r="XZ116" s="199">
        <f t="shared" si="205"/>
        <v>-1859.5409252669033</v>
      </c>
      <c r="YA116" s="131">
        <f t="shared" si="143"/>
        <v>-0.24118492547481757</v>
      </c>
      <c r="YB116" s="199"/>
      <c r="YC116" s="221"/>
      <c r="YD116" s="199"/>
      <c r="YE116" s="199">
        <f t="shared" si="242"/>
        <v>672339</v>
      </c>
      <c r="YF116" s="200">
        <f t="shared" si="243"/>
        <v>0</v>
      </c>
      <c r="YG116" s="199">
        <f t="shared" si="244"/>
        <v>575155</v>
      </c>
      <c r="YH116" s="199">
        <f t="shared" si="245"/>
        <v>97968</v>
      </c>
    </row>
    <row r="117" spans="1:658">
      <c r="A117" s="3">
        <v>416</v>
      </c>
      <c r="B117" s="2" t="s">
        <v>214</v>
      </c>
      <c r="C117" s="24">
        <v>0</v>
      </c>
      <c r="D117" s="24">
        <v>0</v>
      </c>
      <c r="E117" s="24">
        <v>0</v>
      </c>
      <c r="F117" s="24">
        <v>0</v>
      </c>
      <c r="G117" s="24">
        <v>0</v>
      </c>
      <c r="H117" s="24">
        <v>0</v>
      </c>
      <c r="I117" s="24">
        <v>0</v>
      </c>
      <c r="J117" s="24">
        <v>0</v>
      </c>
      <c r="K117" s="24">
        <v>0</v>
      </c>
      <c r="L117" s="24">
        <v>0</v>
      </c>
      <c r="M117" s="24">
        <v>0</v>
      </c>
      <c r="N117" s="24">
        <v>0</v>
      </c>
      <c r="O117" s="24">
        <v>0</v>
      </c>
      <c r="P117" s="24">
        <v>0</v>
      </c>
      <c r="Q117" s="24">
        <v>0</v>
      </c>
      <c r="R117" s="24">
        <v>0</v>
      </c>
      <c r="S117" s="24">
        <v>0</v>
      </c>
      <c r="T117" s="24">
        <v>0</v>
      </c>
      <c r="U117" s="24">
        <v>0</v>
      </c>
      <c r="V117" s="24">
        <v>0</v>
      </c>
      <c r="W117" s="24">
        <v>0</v>
      </c>
      <c r="X117" s="24">
        <v>25404</v>
      </c>
      <c r="Y117" s="24">
        <v>0</v>
      </c>
      <c r="Z117" s="24">
        <v>0</v>
      </c>
      <c r="AA117" s="24">
        <v>0</v>
      </c>
      <c r="AB117" s="24">
        <v>0</v>
      </c>
      <c r="AC117" s="24">
        <v>0</v>
      </c>
      <c r="AD117" s="24">
        <v>0</v>
      </c>
      <c r="AE117" s="24">
        <v>0</v>
      </c>
      <c r="AF117" s="24">
        <v>0</v>
      </c>
      <c r="AG117" s="24">
        <v>0</v>
      </c>
      <c r="AH117" s="24">
        <v>0</v>
      </c>
      <c r="AI117" s="24">
        <v>0</v>
      </c>
      <c r="AJ117" s="24">
        <v>0</v>
      </c>
      <c r="AK117" s="24">
        <v>0</v>
      </c>
      <c r="AL117" s="24">
        <v>439</v>
      </c>
      <c r="AM117" s="24">
        <v>0</v>
      </c>
      <c r="AN117" s="24">
        <v>0</v>
      </c>
      <c r="AO117" s="24">
        <v>0</v>
      </c>
      <c r="AP117" s="24">
        <v>0</v>
      </c>
      <c r="AQ117" s="24">
        <v>0</v>
      </c>
      <c r="AR117" s="24">
        <v>0</v>
      </c>
      <c r="AS117" s="24">
        <v>0</v>
      </c>
      <c r="AT117" s="24">
        <v>0</v>
      </c>
      <c r="AU117" s="24">
        <v>0</v>
      </c>
      <c r="AV117" s="24">
        <v>0</v>
      </c>
      <c r="AW117" s="24">
        <v>0</v>
      </c>
      <c r="AX117" s="24">
        <v>0</v>
      </c>
      <c r="AY117" s="24">
        <v>0</v>
      </c>
      <c r="AZ117" s="24">
        <v>0</v>
      </c>
      <c r="BA117" s="24">
        <v>0</v>
      </c>
      <c r="BB117" s="24">
        <v>0</v>
      </c>
      <c r="BC117" s="24">
        <v>0</v>
      </c>
      <c r="BD117" s="24">
        <v>0</v>
      </c>
      <c r="BE117" s="24">
        <v>0</v>
      </c>
      <c r="BF117" s="24">
        <v>0</v>
      </c>
      <c r="BG117" s="24">
        <v>0</v>
      </c>
      <c r="BH117" s="24">
        <v>0</v>
      </c>
      <c r="BI117" s="24">
        <v>0</v>
      </c>
      <c r="BJ117" s="24">
        <v>0</v>
      </c>
      <c r="BK117" s="24">
        <v>0</v>
      </c>
      <c r="BL117" s="24">
        <v>0</v>
      </c>
      <c r="BM117" s="24">
        <v>0</v>
      </c>
      <c r="BN117" s="24">
        <v>0</v>
      </c>
      <c r="BO117" s="24">
        <v>0</v>
      </c>
      <c r="BP117" s="24">
        <v>0</v>
      </c>
      <c r="BQ117" s="24">
        <v>0</v>
      </c>
      <c r="BR117" s="24">
        <v>0</v>
      </c>
      <c r="BS117" s="24">
        <v>0</v>
      </c>
      <c r="BT117" s="24">
        <v>0</v>
      </c>
      <c r="BU117" s="24">
        <v>0</v>
      </c>
      <c r="BV117" s="24">
        <v>0</v>
      </c>
      <c r="BW117" s="24">
        <v>0</v>
      </c>
      <c r="BX117" s="24">
        <v>0</v>
      </c>
      <c r="BY117" s="24">
        <v>0</v>
      </c>
      <c r="BZ117" s="24">
        <v>0</v>
      </c>
      <c r="CA117" s="24">
        <v>0</v>
      </c>
      <c r="CB117" s="24">
        <v>0</v>
      </c>
      <c r="CC117" s="24">
        <v>0</v>
      </c>
      <c r="CD117" s="24">
        <v>0</v>
      </c>
      <c r="CE117" s="24">
        <v>0</v>
      </c>
      <c r="CF117" s="24">
        <v>0</v>
      </c>
      <c r="CG117" s="24">
        <v>0</v>
      </c>
      <c r="CH117" s="24">
        <v>0</v>
      </c>
      <c r="CI117" s="24">
        <v>0</v>
      </c>
      <c r="CJ117" s="24">
        <v>0</v>
      </c>
      <c r="CK117" s="24">
        <v>0</v>
      </c>
      <c r="CL117" s="24">
        <v>0</v>
      </c>
      <c r="CM117" s="24">
        <v>0</v>
      </c>
      <c r="CN117" s="24">
        <v>0</v>
      </c>
      <c r="CO117" s="24">
        <v>0</v>
      </c>
      <c r="CP117" s="24">
        <v>0</v>
      </c>
      <c r="CQ117" s="24">
        <v>0</v>
      </c>
      <c r="CR117" s="24">
        <v>0</v>
      </c>
      <c r="CS117" s="24">
        <v>0</v>
      </c>
      <c r="CT117" s="24">
        <v>0</v>
      </c>
      <c r="CU117" s="24">
        <v>0</v>
      </c>
      <c r="CV117" s="24">
        <v>0</v>
      </c>
      <c r="CW117" s="24">
        <v>0</v>
      </c>
      <c r="CX117" s="24">
        <v>0</v>
      </c>
      <c r="CY117" s="24">
        <v>0</v>
      </c>
      <c r="CZ117" s="24">
        <v>0</v>
      </c>
      <c r="DA117" s="24">
        <v>0</v>
      </c>
      <c r="DB117" s="24">
        <v>0</v>
      </c>
      <c r="DC117" s="24">
        <v>0</v>
      </c>
      <c r="DD117" s="24">
        <v>0</v>
      </c>
      <c r="DE117" s="24">
        <v>0</v>
      </c>
      <c r="DF117" s="24">
        <v>0</v>
      </c>
      <c r="DG117" s="24">
        <v>0</v>
      </c>
      <c r="DH117" s="24">
        <v>0</v>
      </c>
      <c r="DI117" s="24">
        <v>0</v>
      </c>
      <c r="DJ117" s="24">
        <v>0</v>
      </c>
      <c r="DK117" s="24">
        <v>0</v>
      </c>
      <c r="DL117" s="24">
        <v>0</v>
      </c>
      <c r="DM117" s="24">
        <v>0</v>
      </c>
      <c r="DN117" s="24">
        <v>0</v>
      </c>
      <c r="DO117" s="24">
        <v>0</v>
      </c>
      <c r="DP117" s="24">
        <v>0</v>
      </c>
      <c r="DQ117" s="24">
        <v>0</v>
      </c>
      <c r="DR117" s="24">
        <v>0</v>
      </c>
      <c r="DS117" s="24">
        <v>0</v>
      </c>
      <c r="DT117" s="24">
        <v>0</v>
      </c>
      <c r="DU117" s="24">
        <v>0</v>
      </c>
      <c r="DV117" s="24">
        <v>0</v>
      </c>
      <c r="DW117" s="24">
        <v>0</v>
      </c>
      <c r="DX117" s="24">
        <v>0</v>
      </c>
      <c r="DY117" s="24">
        <v>0</v>
      </c>
      <c r="DZ117" s="24">
        <v>0</v>
      </c>
      <c r="EA117" s="24">
        <v>0</v>
      </c>
      <c r="EB117" s="24">
        <v>0</v>
      </c>
      <c r="EC117" s="24">
        <v>0</v>
      </c>
      <c r="ED117" s="24">
        <v>0</v>
      </c>
      <c r="EE117" s="24">
        <v>0</v>
      </c>
      <c r="EF117" s="24">
        <v>0</v>
      </c>
      <c r="EG117" s="24">
        <v>0</v>
      </c>
      <c r="EH117" s="24">
        <v>0</v>
      </c>
      <c r="EI117" s="24">
        <v>0</v>
      </c>
      <c r="EJ117" s="24">
        <v>0</v>
      </c>
      <c r="EK117" s="24">
        <v>0</v>
      </c>
      <c r="EL117" s="24">
        <v>0</v>
      </c>
      <c r="EM117" s="24">
        <v>0</v>
      </c>
      <c r="EN117" s="24">
        <v>0</v>
      </c>
      <c r="EO117" s="24">
        <v>0</v>
      </c>
      <c r="EP117" s="24">
        <v>0</v>
      </c>
      <c r="EQ117" s="24">
        <v>0</v>
      </c>
      <c r="ER117" s="24">
        <v>0</v>
      </c>
      <c r="ES117" s="24">
        <v>0</v>
      </c>
      <c r="ET117" s="24">
        <v>0</v>
      </c>
      <c r="EU117" s="24">
        <v>0</v>
      </c>
      <c r="EV117" s="24">
        <v>0</v>
      </c>
      <c r="EW117" s="24">
        <v>0</v>
      </c>
      <c r="EX117" s="24">
        <v>0</v>
      </c>
      <c r="EY117" s="24">
        <v>0</v>
      </c>
      <c r="EZ117" s="24">
        <v>0</v>
      </c>
      <c r="FA117" s="24">
        <v>0</v>
      </c>
      <c r="FB117" s="24">
        <v>0</v>
      </c>
      <c r="FC117" s="24">
        <v>0</v>
      </c>
      <c r="FD117" s="24">
        <v>0</v>
      </c>
      <c r="FE117" s="24">
        <v>0</v>
      </c>
      <c r="FF117" s="24">
        <v>0</v>
      </c>
      <c r="FG117" s="24">
        <v>0</v>
      </c>
      <c r="FH117" s="24">
        <v>0</v>
      </c>
      <c r="FI117" s="24">
        <v>0</v>
      </c>
      <c r="FJ117" s="24">
        <v>0</v>
      </c>
      <c r="FK117" s="24">
        <v>0</v>
      </c>
      <c r="FL117" s="24">
        <v>0</v>
      </c>
      <c r="FM117" s="24">
        <v>0</v>
      </c>
      <c r="FN117" s="24">
        <v>0</v>
      </c>
      <c r="FO117" s="24">
        <v>0</v>
      </c>
      <c r="FP117" s="24">
        <v>0</v>
      </c>
      <c r="FQ117" s="24">
        <v>0</v>
      </c>
      <c r="FR117" s="24">
        <v>0</v>
      </c>
      <c r="FS117" s="24">
        <v>0</v>
      </c>
      <c r="FT117" s="24">
        <v>0</v>
      </c>
      <c r="FU117" s="24">
        <v>0</v>
      </c>
      <c r="FV117" s="24">
        <v>0</v>
      </c>
      <c r="FW117" s="24">
        <v>0</v>
      </c>
      <c r="FX117" s="24">
        <v>0</v>
      </c>
      <c r="FY117" s="24">
        <v>0</v>
      </c>
      <c r="FZ117" s="24">
        <v>0</v>
      </c>
      <c r="GA117" s="24">
        <v>0</v>
      </c>
      <c r="GB117" s="24">
        <v>0</v>
      </c>
      <c r="GC117" s="24">
        <v>0</v>
      </c>
      <c r="GD117" s="24">
        <v>0</v>
      </c>
      <c r="GE117" s="24">
        <v>0</v>
      </c>
      <c r="GF117" s="24">
        <v>0</v>
      </c>
      <c r="GG117" s="24">
        <v>0</v>
      </c>
      <c r="GH117" s="24">
        <v>0</v>
      </c>
      <c r="GI117" s="24">
        <v>0</v>
      </c>
      <c r="GJ117" s="24">
        <v>0</v>
      </c>
      <c r="GK117" s="24">
        <v>0</v>
      </c>
      <c r="GL117" s="24">
        <v>0</v>
      </c>
      <c r="GM117" s="24">
        <v>0</v>
      </c>
      <c r="GN117" s="24">
        <v>0</v>
      </c>
      <c r="GO117" s="24">
        <v>0</v>
      </c>
      <c r="GP117" s="24">
        <v>0</v>
      </c>
      <c r="GQ117" s="24">
        <v>0</v>
      </c>
      <c r="GR117" s="24">
        <v>0</v>
      </c>
      <c r="GS117" s="24">
        <v>0</v>
      </c>
      <c r="GT117" s="24">
        <v>0</v>
      </c>
      <c r="GU117" s="24">
        <v>0</v>
      </c>
      <c r="GV117" s="24">
        <v>0</v>
      </c>
      <c r="GW117" s="24">
        <v>0</v>
      </c>
      <c r="GX117" s="24">
        <v>0</v>
      </c>
      <c r="GY117" s="24">
        <v>0</v>
      </c>
      <c r="GZ117" s="24">
        <v>0</v>
      </c>
      <c r="HA117" s="24">
        <v>0</v>
      </c>
      <c r="HB117" s="24">
        <v>0</v>
      </c>
      <c r="HC117" s="24">
        <v>0</v>
      </c>
      <c r="HD117" s="24">
        <v>99335</v>
      </c>
      <c r="HE117" s="24">
        <v>0</v>
      </c>
      <c r="HF117" s="24">
        <v>0</v>
      </c>
      <c r="HG117" s="24">
        <v>0</v>
      </c>
      <c r="HH117" s="24">
        <v>0</v>
      </c>
      <c r="HI117" s="24">
        <v>5091</v>
      </c>
      <c r="HJ117" s="24">
        <v>0</v>
      </c>
      <c r="HK117" s="24">
        <v>0</v>
      </c>
      <c r="HL117" s="24">
        <v>0</v>
      </c>
      <c r="HM117" s="24">
        <v>0</v>
      </c>
      <c r="HN117" s="24">
        <v>0</v>
      </c>
      <c r="HO117" s="24">
        <v>7836</v>
      </c>
      <c r="HP117" s="24">
        <v>23232</v>
      </c>
      <c r="HQ117" s="24">
        <v>0</v>
      </c>
      <c r="HR117" s="24">
        <v>0</v>
      </c>
      <c r="HS117" s="24">
        <v>0</v>
      </c>
      <c r="HT117" s="24">
        <v>0</v>
      </c>
      <c r="HU117" s="24">
        <v>0</v>
      </c>
      <c r="HV117" s="24">
        <v>0</v>
      </c>
      <c r="HW117" s="24">
        <v>0</v>
      </c>
      <c r="HX117" s="24">
        <v>0</v>
      </c>
      <c r="HY117" s="24">
        <v>0</v>
      </c>
      <c r="HZ117" s="24">
        <v>0</v>
      </c>
      <c r="IA117" s="24">
        <v>0</v>
      </c>
      <c r="IB117" s="24">
        <v>0</v>
      </c>
      <c r="IC117" s="24">
        <v>0</v>
      </c>
      <c r="ID117" s="24">
        <v>0</v>
      </c>
      <c r="IE117" s="24">
        <v>0</v>
      </c>
      <c r="IF117" s="24">
        <v>0</v>
      </c>
      <c r="IG117" s="24">
        <v>0</v>
      </c>
      <c r="IH117" s="24">
        <v>0</v>
      </c>
      <c r="II117" s="24">
        <v>0</v>
      </c>
      <c r="IJ117" s="24">
        <v>0</v>
      </c>
      <c r="IK117" s="24">
        <v>0</v>
      </c>
      <c r="IL117" s="24">
        <v>0</v>
      </c>
      <c r="IM117" s="24">
        <v>0</v>
      </c>
      <c r="IN117" s="24">
        <v>0</v>
      </c>
      <c r="IO117" s="24">
        <v>0</v>
      </c>
      <c r="IP117" s="24">
        <v>0</v>
      </c>
      <c r="IQ117" s="24">
        <v>0</v>
      </c>
      <c r="IR117" s="24">
        <v>0</v>
      </c>
      <c r="IS117" s="24">
        <v>0</v>
      </c>
      <c r="IT117" s="24">
        <v>0</v>
      </c>
      <c r="IU117" s="24">
        <v>0</v>
      </c>
      <c r="IV117" s="24">
        <v>0</v>
      </c>
      <c r="IW117" s="24">
        <v>1132</v>
      </c>
      <c r="IX117" s="24">
        <v>0</v>
      </c>
      <c r="IY117" s="24">
        <v>0</v>
      </c>
      <c r="IZ117" s="24">
        <v>0</v>
      </c>
      <c r="JA117" s="24">
        <v>0</v>
      </c>
      <c r="JB117" s="24">
        <v>0</v>
      </c>
      <c r="JC117" s="24">
        <v>0</v>
      </c>
      <c r="JD117" s="24">
        <v>0</v>
      </c>
      <c r="JE117" s="24">
        <v>2154</v>
      </c>
      <c r="JF117" s="24">
        <v>0</v>
      </c>
      <c r="JG117" s="24">
        <v>0</v>
      </c>
      <c r="JH117" s="24">
        <v>0</v>
      </c>
      <c r="JI117" s="24">
        <v>0</v>
      </c>
      <c r="JJ117" s="24">
        <v>0</v>
      </c>
      <c r="JK117" s="24">
        <v>0</v>
      </c>
      <c r="JL117" s="24">
        <v>0</v>
      </c>
      <c r="JM117" s="24">
        <v>0</v>
      </c>
      <c r="JN117" s="24">
        <v>0</v>
      </c>
      <c r="JO117" s="24">
        <v>0</v>
      </c>
      <c r="JP117" s="24">
        <v>0</v>
      </c>
      <c r="JQ117" s="24">
        <v>0</v>
      </c>
      <c r="JR117" s="24">
        <v>0</v>
      </c>
      <c r="JS117" s="24">
        <v>0</v>
      </c>
      <c r="JT117" s="24">
        <v>0</v>
      </c>
      <c r="JU117" s="24">
        <v>0</v>
      </c>
      <c r="JV117" s="24">
        <v>0</v>
      </c>
      <c r="JW117" s="24">
        <v>0</v>
      </c>
      <c r="JX117" s="24">
        <v>0</v>
      </c>
      <c r="JY117" s="24">
        <v>0</v>
      </c>
      <c r="JZ117" s="24">
        <v>0</v>
      </c>
      <c r="KA117" s="24">
        <v>0</v>
      </c>
      <c r="KB117" s="24">
        <v>0</v>
      </c>
      <c r="KC117" s="24">
        <v>0</v>
      </c>
      <c r="KD117" s="24">
        <v>0</v>
      </c>
      <c r="KE117" s="24">
        <v>0</v>
      </c>
      <c r="KF117" s="24">
        <v>0</v>
      </c>
      <c r="KG117" s="24">
        <v>0</v>
      </c>
      <c r="KH117" s="24">
        <v>0</v>
      </c>
      <c r="KI117" s="24">
        <v>0</v>
      </c>
      <c r="KJ117" s="24">
        <v>0</v>
      </c>
      <c r="KK117" s="24">
        <v>0</v>
      </c>
      <c r="KL117" s="24">
        <v>0</v>
      </c>
      <c r="KM117" s="24">
        <v>0</v>
      </c>
      <c r="KN117" s="24">
        <v>0</v>
      </c>
      <c r="KO117" s="24">
        <v>0</v>
      </c>
      <c r="KP117" s="24">
        <v>0</v>
      </c>
      <c r="KQ117" s="24">
        <v>0</v>
      </c>
      <c r="KR117" s="24">
        <v>0</v>
      </c>
      <c r="KS117" s="24">
        <v>0</v>
      </c>
      <c r="KT117" s="24">
        <v>0</v>
      </c>
      <c r="KU117" s="24">
        <v>0</v>
      </c>
      <c r="KV117" s="24">
        <v>0</v>
      </c>
      <c r="KW117" s="24">
        <v>17675</v>
      </c>
      <c r="KX117" s="24">
        <v>0</v>
      </c>
      <c r="KY117" s="24">
        <v>0</v>
      </c>
      <c r="KZ117" s="24">
        <v>0</v>
      </c>
      <c r="LA117" s="24">
        <v>0</v>
      </c>
      <c r="LB117" s="24">
        <v>0</v>
      </c>
      <c r="LC117" s="24">
        <v>0</v>
      </c>
      <c r="LD117" s="24">
        <v>0</v>
      </c>
      <c r="LE117" s="24">
        <v>0</v>
      </c>
      <c r="LF117" s="24">
        <v>0</v>
      </c>
      <c r="LG117" s="24">
        <v>0</v>
      </c>
      <c r="LH117" s="24">
        <v>0</v>
      </c>
      <c r="LI117" s="24">
        <v>0</v>
      </c>
      <c r="LJ117" s="24">
        <v>0</v>
      </c>
      <c r="LK117" s="24">
        <v>0</v>
      </c>
      <c r="LL117" s="24">
        <v>0</v>
      </c>
      <c r="LM117" s="24">
        <v>0</v>
      </c>
      <c r="LN117" s="24">
        <v>0</v>
      </c>
      <c r="LO117" s="24">
        <v>0</v>
      </c>
      <c r="LP117" s="24">
        <v>0</v>
      </c>
      <c r="LQ117" s="24">
        <v>0</v>
      </c>
      <c r="LR117" s="24">
        <v>0</v>
      </c>
      <c r="LS117" s="24">
        <v>0</v>
      </c>
      <c r="LT117" s="24">
        <v>0</v>
      </c>
      <c r="LU117" s="24">
        <v>0</v>
      </c>
      <c r="LV117" s="24">
        <v>0</v>
      </c>
      <c r="LW117" s="24">
        <v>0</v>
      </c>
      <c r="LX117" s="24">
        <v>0</v>
      </c>
      <c r="LY117" s="24">
        <v>0</v>
      </c>
      <c r="LZ117" s="24">
        <v>0</v>
      </c>
      <c r="MA117" s="24">
        <v>0</v>
      </c>
      <c r="MB117" s="24">
        <v>0</v>
      </c>
      <c r="MC117" s="24">
        <v>0</v>
      </c>
      <c r="MD117" s="24">
        <v>0</v>
      </c>
      <c r="ME117" s="24">
        <v>0</v>
      </c>
      <c r="MF117" s="24">
        <v>0</v>
      </c>
      <c r="MG117" s="24">
        <v>0</v>
      </c>
      <c r="MH117" s="24">
        <v>0</v>
      </c>
      <c r="MI117" s="24">
        <v>0</v>
      </c>
      <c r="MJ117" s="24">
        <v>0</v>
      </c>
      <c r="MK117" s="24">
        <v>0</v>
      </c>
      <c r="ML117" s="24">
        <v>0</v>
      </c>
      <c r="MM117" s="24">
        <v>0</v>
      </c>
      <c r="MN117" s="24">
        <v>0</v>
      </c>
      <c r="MO117" s="24">
        <v>0</v>
      </c>
      <c r="MP117" s="24">
        <v>0</v>
      </c>
      <c r="MQ117" s="24">
        <v>0</v>
      </c>
      <c r="MR117" s="24">
        <v>0</v>
      </c>
      <c r="MS117" s="24">
        <v>0</v>
      </c>
      <c r="MT117" s="24">
        <v>0</v>
      </c>
      <c r="MU117" s="24">
        <v>0</v>
      </c>
      <c r="MV117" s="24">
        <v>0</v>
      </c>
      <c r="MW117" s="24">
        <v>0</v>
      </c>
      <c r="MX117" s="24">
        <v>0</v>
      </c>
      <c r="MY117" s="24">
        <v>0</v>
      </c>
      <c r="MZ117" s="24">
        <v>0</v>
      </c>
      <c r="NA117" s="24">
        <v>0</v>
      </c>
      <c r="NB117" s="24">
        <v>0</v>
      </c>
      <c r="NC117" s="24">
        <v>0</v>
      </c>
      <c r="ND117" s="24">
        <v>0</v>
      </c>
      <c r="NE117" s="24">
        <v>0</v>
      </c>
      <c r="NF117" s="24">
        <v>0</v>
      </c>
      <c r="NG117" s="24">
        <v>0</v>
      </c>
      <c r="NH117" s="24">
        <v>0</v>
      </c>
      <c r="NI117" s="24">
        <v>0</v>
      </c>
      <c r="NJ117" s="24">
        <v>0</v>
      </c>
      <c r="NK117" s="24">
        <v>0</v>
      </c>
      <c r="NL117" s="24">
        <v>0</v>
      </c>
      <c r="NM117" s="24">
        <v>0</v>
      </c>
      <c r="NN117" s="24">
        <v>0</v>
      </c>
      <c r="NO117" s="24">
        <v>0</v>
      </c>
      <c r="NP117" s="24">
        <v>0</v>
      </c>
      <c r="NQ117" s="24">
        <v>0</v>
      </c>
      <c r="NR117" s="24">
        <v>0</v>
      </c>
      <c r="NS117" s="24">
        <v>0</v>
      </c>
      <c r="NT117" s="24">
        <v>0</v>
      </c>
      <c r="NU117" s="24">
        <v>0</v>
      </c>
      <c r="NV117" s="24">
        <v>0</v>
      </c>
      <c r="NW117" s="24">
        <v>0</v>
      </c>
      <c r="NX117" s="24">
        <v>0</v>
      </c>
      <c r="NY117" s="24">
        <v>0</v>
      </c>
      <c r="NZ117" s="24">
        <v>0</v>
      </c>
      <c r="OA117" s="24">
        <v>0</v>
      </c>
      <c r="OB117" s="24">
        <v>0</v>
      </c>
      <c r="OC117" s="24">
        <v>0</v>
      </c>
      <c r="OD117" s="24">
        <v>0</v>
      </c>
      <c r="OE117" s="24">
        <v>0</v>
      </c>
      <c r="OF117" s="24">
        <v>0</v>
      </c>
      <c r="OG117" s="24">
        <v>0</v>
      </c>
      <c r="OH117" s="24">
        <v>0</v>
      </c>
      <c r="OI117" s="24">
        <v>0</v>
      </c>
      <c r="OJ117" s="24">
        <v>0</v>
      </c>
      <c r="OK117" s="24">
        <v>0</v>
      </c>
      <c r="OL117" s="24">
        <v>0</v>
      </c>
      <c r="OM117" s="24">
        <v>0</v>
      </c>
      <c r="ON117" s="24">
        <v>0</v>
      </c>
      <c r="OO117" s="24">
        <v>0</v>
      </c>
      <c r="OP117" s="24">
        <v>0</v>
      </c>
      <c r="OQ117" s="24">
        <v>0</v>
      </c>
      <c r="OR117" s="24">
        <v>0</v>
      </c>
      <c r="OS117" s="24">
        <v>0</v>
      </c>
      <c r="OT117" s="24">
        <v>0</v>
      </c>
      <c r="OU117" s="24">
        <v>0</v>
      </c>
      <c r="OV117" s="24">
        <v>0</v>
      </c>
      <c r="OW117" s="24">
        <v>0</v>
      </c>
      <c r="OX117" s="24">
        <v>0</v>
      </c>
      <c r="OY117" s="24">
        <v>0</v>
      </c>
      <c r="OZ117" s="24">
        <v>0</v>
      </c>
      <c r="PA117" s="24">
        <v>0</v>
      </c>
      <c r="PB117" s="24">
        <v>0</v>
      </c>
      <c r="PC117" s="24">
        <v>0</v>
      </c>
      <c r="PD117" s="24">
        <v>0</v>
      </c>
      <c r="PE117" s="24">
        <v>0</v>
      </c>
      <c r="PF117" s="24">
        <v>0</v>
      </c>
      <c r="PG117" s="24">
        <v>0</v>
      </c>
      <c r="PH117" s="24">
        <v>0</v>
      </c>
      <c r="PI117" s="24">
        <v>0</v>
      </c>
      <c r="PJ117" s="24">
        <v>0</v>
      </c>
      <c r="PK117" s="24">
        <v>0</v>
      </c>
      <c r="PL117" s="24">
        <v>0</v>
      </c>
      <c r="PM117" s="24">
        <v>0</v>
      </c>
      <c r="PN117" s="24">
        <v>0</v>
      </c>
      <c r="PO117" s="24">
        <v>0</v>
      </c>
      <c r="PP117" s="24">
        <v>0</v>
      </c>
      <c r="PQ117" s="24">
        <v>0</v>
      </c>
      <c r="PR117" s="24">
        <v>0</v>
      </c>
      <c r="PS117" s="24">
        <v>0</v>
      </c>
      <c r="PT117" s="24">
        <v>0</v>
      </c>
      <c r="PU117" s="24">
        <v>0</v>
      </c>
      <c r="PV117" s="24">
        <v>0</v>
      </c>
      <c r="PW117" s="24">
        <v>0</v>
      </c>
      <c r="PX117" s="24">
        <v>0</v>
      </c>
      <c r="PY117" s="24">
        <v>0</v>
      </c>
      <c r="PZ117" s="24">
        <v>0</v>
      </c>
      <c r="QA117" s="24">
        <v>0</v>
      </c>
      <c r="QB117" s="24">
        <v>0</v>
      </c>
      <c r="QC117" s="24">
        <v>0</v>
      </c>
      <c r="QD117" s="24">
        <v>0</v>
      </c>
      <c r="QE117" s="24">
        <v>0</v>
      </c>
      <c r="QF117" s="24">
        <v>0</v>
      </c>
      <c r="QG117" s="24">
        <v>0</v>
      </c>
      <c r="QH117" s="24">
        <v>0</v>
      </c>
      <c r="QI117" s="24">
        <v>0</v>
      </c>
      <c r="QJ117" s="24">
        <v>0</v>
      </c>
      <c r="QK117" s="24">
        <v>0</v>
      </c>
      <c r="QL117" s="24">
        <v>0</v>
      </c>
      <c r="QM117" s="24">
        <v>0</v>
      </c>
      <c r="QN117" s="24">
        <v>0</v>
      </c>
      <c r="QO117" s="24">
        <v>0</v>
      </c>
      <c r="QP117" s="24">
        <v>0</v>
      </c>
      <c r="QQ117" s="24">
        <v>0</v>
      </c>
      <c r="QR117" s="24">
        <v>0</v>
      </c>
      <c r="QS117" s="24">
        <v>0</v>
      </c>
      <c r="QT117" s="24">
        <v>0</v>
      </c>
      <c r="QU117" s="24">
        <v>0</v>
      </c>
      <c r="QV117" s="24">
        <v>0</v>
      </c>
      <c r="QW117" s="24">
        <v>0</v>
      </c>
      <c r="QX117" s="24">
        <v>0</v>
      </c>
      <c r="QY117" s="24">
        <v>0</v>
      </c>
      <c r="QZ117" s="24">
        <v>0</v>
      </c>
      <c r="RA117" s="24">
        <v>0</v>
      </c>
      <c r="RB117" s="24">
        <v>0</v>
      </c>
      <c r="RG117" s="39">
        <f t="shared" si="129"/>
        <v>99335</v>
      </c>
      <c r="RH117" s="39">
        <f t="shared" si="247"/>
        <v>5091</v>
      </c>
      <c r="RI117" s="39">
        <f t="shared" si="247"/>
        <v>0</v>
      </c>
      <c r="RJ117" s="39">
        <f t="shared" si="247"/>
        <v>0</v>
      </c>
      <c r="RK117" s="39">
        <f t="shared" si="247"/>
        <v>0</v>
      </c>
      <c r="RL117" s="39">
        <f t="shared" si="247"/>
        <v>7836</v>
      </c>
      <c r="RM117" s="39">
        <f t="shared" si="247"/>
        <v>23232</v>
      </c>
      <c r="RN117" s="39">
        <f t="shared" si="247"/>
        <v>0</v>
      </c>
      <c r="RO117" s="39">
        <f t="shared" si="247"/>
        <v>0</v>
      </c>
      <c r="RP117" s="39">
        <f t="shared" si="247"/>
        <v>1132</v>
      </c>
      <c r="RQ117" s="39">
        <f t="shared" si="247"/>
        <v>0</v>
      </c>
      <c r="RR117" s="39">
        <f t="shared" si="247"/>
        <v>2154</v>
      </c>
      <c r="RS117" s="39"/>
      <c r="RT117" s="182"/>
      <c r="RU117" s="39"/>
      <c r="RV117" s="39">
        <f t="shared" si="246"/>
        <v>17675</v>
      </c>
      <c r="RW117" s="39">
        <f t="shared" si="246"/>
        <v>138780</v>
      </c>
      <c r="RX117" s="39">
        <f t="shared" si="246"/>
        <v>25843</v>
      </c>
      <c r="RY117" s="39">
        <f t="shared" si="246"/>
        <v>0</v>
      </c>
      <c r="RZ117" s="39"/>
      <c r="SA117" s="182"/>
      <c r="SB117" s="39"/>
      <c r="SC117" s="25">
        <f t="shared" si="183"/>
        <v>2871.4444444444443</v>
      </c>
      <c r="SD117" s="39">
        <f>IFERROR(VLOOKUP(A117, 'Levy Data 15-16'!$B:$O, 3, FALSE), 0)</f>
        <v>19414941</v>
      </c>
      <c r="SE117" s="39">
        <f t="shared" si="208"/>
        <v>2157215.6666666665</v>
      </c>
      <c r="SF117" s="631">
        <f>IFERROR(VLOOKUP(A117, 'Levy Data 15-16'!$B:$O, 14, FALSE), 0)*1000</f>
        <v>1.307601</v>
      </c>
      <c r="SG117" s="39">
        <f t="shared" si="209"/>
        <v>0</v>
      </c>
      <c r="SH117" s="39">
        <f t="shared" si="210"/>
        <v>0</v>
      </c>
      <c r="SI117" s="39">
        <f t="shared" si="211"/>
        <v>25843</v>
      </c>
      <c r="SM117" s="39">
        <f t="shared" si="212"/>
        <v>138780</v>
      </c>
      <c r="SN117" s="39">
        <f t="shared" si="213"/>
        <v>0</v>
      </c>
      <c r="SO117" s="39">
        <f t="shared" si="184"/>
        <v>138780</v>
      </c>
      <c r="SP117" s="50">
        <f t="shared" si="130"/>
        <v>1</v>
      </c>
      <c r="ST117" s="124">
        <f>IFERROR(VLOOKUP(A117,'Grade Enroll 15-16'!B:AC,27,FALSE),"")</f>
        <v>9</v>
      </c>
      <c r="SU117" s="124">
        <f t="shared" si="185"/>
        <v>0</v>
      </c>
      <c r="SV117" s="131">
        <f>IFERROR(VLOOKUP($A117, 'Title I Enroll 16-17'!S:V, 4, FALSE), 0)</f>
        <v>0</v>
      </c>
      <c r="SW117" s="729">
        <f>IFERROR(VLOOKUP(A117, 'ELL Enroll 15-16'!$N:$S, 6, FALSE), 0)</f>
        <v>5</v>
      </c>
      <c r="SX117" s="131">
        <f t="shared" si="131"/>
        <v>0.55555555555555558</v>
      </c>
      <c r="SY117" s="124">
        <f>IFERROR(VLOOKUP(A117, 'SPED enroll 2015-16'!$M:$O, 3, FALSE), 0)</f>
        <v>5</v>
      </c>
      <c r="SZ117" s="131">
        <f t="shared" si="132"/>
        <v>0.55555555555555558</v>
      </c>
      <c r="TA117" s="142">
        <f t="shared" si="207"/>
        <v>3.5</v>
      </c>
      <c r="TB117" s="142">
        <f t="shared" si="207"/>
        <v>1</v>
      </c>
      <c r="TC117" s="142">
        <f t="shared" si="207"/>
        <v>0.35000000000000003</v>
      </c>
      <c r="TD117" s="142">
        <f t="shared" si="207"/>
        <v>0.15</v>
      </c>
      <c r="TE117" s="124">
        <f>VLOOKUP($A117, 'Grade Enroll 15-16'!$B:$AB, 20, FALSE)</f>
        <v>0</v>
      </c>
      <c r="TF117" s="124">
        <f>VLOOKUP($A117, 'Grade Enroll 15-16'!$B:$AB, 21, FALSE)</f>
        <v>2</v>
      </c>
      <c r="TG117" s="124">
        <f>VLOOKUP($A117, 'Grade Enroll 15-16'!$B:$AB, 22, FALSE)</f>
        <v>4</v>
      </c>
      <c r="TH117" s="124">
        <f>VLOOKUP($A117, 'Grade Enroll 15-16'!$B:$AB, 23, FALSE)</f>
        <v>5</v>
      </c>
      <c r="TI117" s="124">
        <f>VLOOKUP($A117, 'Grade Enroll 15-16'!$B:$AB, 24, FALSE)</f>
        <v>0</v>
      </c>
      <c r="TJ117" s="124">
        <f>VLOOKUP($A117, 'Grade Enroll 15-16'!$B:$AB, 25, FALSE)</f>
        <v>0</v>
      </c>
      <c r="TK117" s="124">
        <f>VLOOKUP($A117, 'Grade Enroll 15-16'!$B:$AB, 26, FALSE)</f>
        <v>6</v>
      </c>
      <c r="TL117" s="131">
        <f>SUMIFS('Student Achievement 15-16'!N:N, 'Student Achievement 15-16'!B:B, 'Idaho Data'!A117, 'Student Achievement 15-16'!D:D, "math")/100</f>
        <v>0.05</v>
      </c>
      <c r="TM117" s="134">
        <f t="shared" si="186"/>
        <v>0.45</v>
      </c>
      <c r="TN117" s="131">
        <f>SUMIFS('Student Achievement 15-16'!N:N, 'Student Achievement 15-16'!B:B, 'Idaho Data'!A117, 'Student Achievement 15-16'!D:D, "ela")/100</f>
        <v>0.05</v>
      </c>
      <c r="TO117" s="134">
        <f t="shared" si="134"/>
        <v>0.45</v>
      </c>
      <c r="TP117" s="688">
        <f>IFERROR(VLOOKUP(A117, 'G&amp;T 15-16'!B:G, 6, FALSE), 0)*1</f>
        <v>0</v>
      </c>
      <c r="TQ117" s="168">
        <f t="shared" si="135"/>
        <v>0.54</v>
      </c>
      <c r="TU117" s="168">
        <f t="shared" si="136"/>
        <v>0.45</v>
      </c>
      <c r="TV117" s="168">
        <f t="shared" si="137"/>
        <v>0.45</v>
      </c>
      <c r="TW117" s="205">
        <f t="shared" si="138"/>
        <v>0.45</v>
      </c>
      <c r="TX117" s="144"/>
      <c r="TY117" s="129"/>
      <c r="TZ117" s="127">
        <f t="shared" si="139"/>
        <v>0</v>
      </c>
      <c r="UA117" s="127">
        <f t="shared" si="140"/>
        <v>0.54</v>
      </c>
      <c r="UB117" s="205">
        <f t="shared" si="141"/>
        <v>0.54</v>
      </c>
      <c r="UE117" s="853" t="str">
        <f>IF(ST117&lt;='1. Simulator Input'!$E$104, "yes", "")</f>
        <v>yes</v>
      </c>
      <c r="UI117" s="199">
        <f t="shared" si="187"/>
        <v>0</v>
      </c>
      <c r="UJ117" s="200">
        <f>IF('Idaho Data'!SI117&gt;=0, ((1-'1. Simulator Input'!$E$39)*'Idaho Data'!SI117), 0)</f>
        <v>0</v>
      </c>
      <c r="UK117" s="200">
        <f t="shared" si="142"/>
        <v>138780</v>
      </c>
      <c r="UL117" s="39"/>
      <c r="UM117" s="182"/>
      <c r="UN117" s="39"/>
      <c r="UO117" s="39">
        <f>IF(AND('1. Simulator Input'!$E$96="yes", '1. Simulator Input'!$E$98="yes", '1. Simulator Input'!$E$100="hold harmless"), 'Idaho Data'!WN117, IF(AND('1. Simulator Input'!$E$96="yes", '1. Simulator Input'!$E$98="no", '1. Simulator Input'!$E$100="hold harmless"), 'Idaho Data'!WM117, IF(AND('1. Simulator Input'!$E$96="yes", '1. Simulator Input'!$E$98="yes", '1. Simulator Input'!$E$100="small district grant"), WL117,IF(AND('1. Simulator Input'!$E$96="yes", '1. Simulator Input'!$E$98="no", '1. Simulator Input'!$E$100="small district grant"), WK117, ""))))</f>
        <v>0</v>
      </c>
      <c r="UP117" s="200">
        <f>'1. Simulator Input'!$D$56*('Idaho Data'!ST117)</f>
        <v>49734</v>
      </c>
      <c r="UQ117" s="204">
        <f>'1. Simulator Input'!$D$65*'1. Simulator Input'!$D$56*'Idaho Data'!SU117</f>
        <v>0</v>
      </c>
      <c r="UR117" s="204">
        <f>'1. Simulator Input'!$D$66*'1. Simulator Input'!$D$56*'Idaho Data'!SW117</f>
        <v>0</v>
      </c>
      <c r="US117" s="200">
        <f>'1. Simulator Input'!$D$67*'1. Simulator Input'!$D$56*'Idaho Data'!TA117</f>
        <v>0</v>
      </c>
      <c r="UT117" s="200">
        <f>'1. Simulator Input'!$D$68*'1. Simulator Input'!$D$56*'Idaho Data'!TB117</f>
        <v>0</v>
      </c>
      <c r="UU117" s="200">
        <f>'1. Simulator Input'!$D$69*'1. Simulator Input'!$D$56*'Idaho Data'!TC117</f>
        <v>0</v>
      </c>
      <c r="UV117" s="200">
        <f>'1. Simulator Input'!$D$70*'1. Simulator Input'!$D$56*TD117</f>
        <v>0</v>
      </c>
      <c r="UW117" s="200">
        <f>'1. Simulator Input'!$D$80*'1. Simulator Input'!$D$56*TW117</f>
        <v>0</v>
      </c>
      <c r="UX117" s="200">
        <f>'1. Simulator Input'!$D$79*'1. Simulator Input'!$D$56*UB117</f>
        <v>0</v>
      </c>
      <c r="UY117" s="200">
        <f>'1. Simulator Input'!$D$87*'1. Simulator Input'!$D$56*TF117</f>
        <v>5526</v>
      </c>
      <c r="UZ117" s="200">
        <f>'1. Simulator Input'!$D$73*'1. Simulator Input'!$D$56*'Idaho Data'!TG117</f>
        <v>0</v>
      </c>
      <c r="VA117" s="200">
        <f>'1. Simulator Input'!$D$56*'1. Simulator Input'!$D$74*'Idaho Data'!TH117</f>
        <v>0</v>
      </c>
      <c r="VB117" s="200">
        <f>'1. Simulator Input'!$D$56*'1. Simulator Input'!$D$75*'Idaho Data'!TI112</f>
        <v>0</v>
      </c>
      <c r="VC117" s="200">
        <f>'1. Simulator Input'!$D$76*'1. Simulator Input'!$D$56*'Idaho Data'!TJ117</f>
        <v>0</v>
      </c>
      <c r="VD117" s="200">
        <f t="shared" si="188"/>
        <v>55260</v>
      </c>
      <c r="VE117" s="200"/>
      <c r="VF117" s="182"/>
      <c r="VG117" s="200"/>
      <c r="VH117" s="200">
        <f t="shared" si="189"/>
        <v>0</v>
      </c>
      <c r="VI117" s="200">
        <f t="shared" si="190"/>
        <v>0</v>
      </c>
      <c r="VJ117" s="200">
        <f t="shared" si="214"/>
        <v>55260</v>
      </c>
      <c r="VK117" s="200">
        <f t="shared" si="215"/>
        <v>55260</v>
      </c>
      <c r="VL117" s="200"/>
      <c r="VM117" s="182"/>
      <c r="VN117" s="200"/>
      <c r="VO117" s="200">
        <f t="shared" si="191"/>
        <v>17675</v>
      </c>
      <c r="VP117" s="200">
        <f t="shared" si="192"/>
        <v>138780</v>
      </c>
      <c r="VQ117" s="200">
        <f t="shared" si="193"/>
        <v>25843</v>
      </c>
      <c r="VR117" s="200">
        <f t="shared" si="194"/>
        <v>17675</v>
      </c>
      <c r="VS117" s="200">
        <f t="shared" si="216"/>
        <v>55260</v>
      </c>
      <c r="VT117" s="200">
        <f t="shared" si="217"/>
        <v>25843</v>
      </c>
      <c r="VU117" s="200">
        <f t="shared" si="218"/>
        <v>0</v>
      </c>
      <c r="VV117" s="200"/>
      <c r="VW117" s="182"/>
      <c r="VX117" s="200"/>
      <c r="VZ117" s="199">
        <f t="shared" si="195"/>
        <v>-83520</v>
      </c>
      <c r="WA117" s="466">
        <f t="shared" si="196"/>
        <v>-9280</v>
      </c>
      <c r="WB117" s="131">
        <f t="shared" si="197"/>
        <v>-0.60181582360570685</v>
      </c>
      <c r="WC117" s="131"/>
      <c r="WD117" s="461"/>
      <c r="WE117" s="893"/>
      <c r="WF117" s="893">
        <f t="shared" si="198"/>
        <v>20255.333333333332</v>
      </c>
      <c r="WG117" s="893">
        <f t="shared" si="199"/>
        <v>10975.333333333334</v>
      </c>
      <c r="WH117" s="893"/>
      <c r="WI117" s="893">
        <f t="shared" si="200"/>
        <v>138780</v>
      </c>
      <c r="WJ117" s="893">
        <f t="shared" si="219"/>
        <v>55260</v>
      </c>
      <c r="WK117" s="39">
        <f t="shared" si="220"/>
        <v>0</v>
      </c>
      <c r="WL117" s="39">
        <f t="shared" si="221"/>
        <v>0</v>
      </c>
      <c r="WM117" s="200">
        <f t="shared" si="222"/>
        <v>83520</v>
      </c>
      <c r="WN117" s="39">
        <f t="shared" si="223"/>
        <v>83520</v>
      </c>
      <c r="WO117" s="39"/>
      <c r="WP117" s="182"/>
      <c r="WQ117" s="39"/>
      <c r="WR117" s="305">
        <f t="shared" si="224"/>
        <v>0.95599999999999996</v>
      </c>
      <c r="WT117" s="200">
        <f t="shared" si="225"/>
        <v>15420</v>
      </c>
      <c r="WU117" s="131">
        <f t="shared" si="201"/>
        <v>0.95</v>
      </c>
      <c r="WW117" s="199">
        <f t="shared" si="226"/>
        <v>17675</v>
      </c>
      <c r="WX117" s="199">
        <f t="shared" si="227"/>
        <v>55260</v>
      </c>
      <c r="WY117" s="199">
        <f t="shared" si="228"/>
        <v>0</v>
      </c>
      <c r="WZ117" s="199">
        <f t="shared" si="202"/>
        <v>55260</v>
      </c>
      <c r="XA117" s="199">
        <f t="shared" si="229"/>
        <v>0</v>
      </c>
      <c r="XB117" s="199">
        <f t="shared" si="230"/>
        <v>25843</v>
      </c>
      <c r="XC117" s="199">
        <f t="shared" si="231"/>
        <v>25843</v>
      </c>
      <c r="XD117" s="199" t="str">
        <f t="shared" si="232"/>
        <v/>
      </c>
      <c r="XE117" s="199"/>
      <c r="XF117" s="199"/>
      <c r="XG117" s="199"/>
      <c r="XH117" s="199"/>
      <c r="XI117" s="199"/>
      <c r="XJ117" s="199">
        <f t="shared" si="203"/>
        <v>55260</v>
      </c>
      <c r="XP117" s="199">
        <f t="shared" si="233"/>
        <v>55260</v>
      </c>
      <c r="XQ117" s="199">
        <f t="shared" si="234"/>
        <v>6140</v>
      </c>
      <c r="XR117" s="199">
        <f t="shared" si="235"/>
        <v>55260</v>
      </c>
      <c r="XS117" s="199">
        <f t="shared" si="236"/>
        <v>55260</v>
      </c>
      <c r="XT117" s="199">
        <f t="shared" si="237"/>
        <v>6140</v>
      </c>
      <c r="XU117" s="199">
        <f t="shared" si="238"/>
        <v>138780</v>
      </c>
      <c r="XV117" s="199">
        <f t="shared" si="239"/>
        <v>15420</v>
      </c>
      <c r="XW117" s="199">
        <f t="shared" si="240"/>
        <v>138780</v>
      </c>
      <c r="XX117" s="199">
        <f t="shared" si="241"/>
        <v>15420</v>
      </c>
      <c r="XY117" s="199">
        <f t="shared" si="204"/>
        <v>-83520</v>
      </c>
      <c r="XZ117" s="199">
        <f t="shared" si="205"/>
        <v>-9280</v>
      </c>
      <c r="YA117" s="131">
        <f t="shared" si="143"/>
        <v>-0.60181582360570685</v>
      </c>
      <c r="YB117" s="199"/>
      <c r="YC117" s="221"/>
      <c r="YD117" s="199"/>
      <c r="YE117" s="199">
        <f t="shared" si="242"/>
        <v>17675</v>
      </c>
      <c r="YF117" s="200">
        <f t="shared" si="243"/>
        <v>0</v>
      </c>
      <c r="YG117" s="199">
        <f t="shared" si="244"/>
        <v>25843</v>
      </c>
      <c r="YH117" s="199">
        <f t="shared" si="245"/>
        <v>0</v>
      </c>
    </row>
    <row r="118" spans="1:658">
      <c r="A118" s="3">
        <v>417</v>
      </c>
      <c r="B118" s="2" t="s">
        <v>215</v>
      </c>
      <c r="C118" s="24">
        <v>0</v>
      </c>
      <c r="D118" s="24">
        <v>0</v>
      </c>
      <c r="E118" s="24">
        <v>0</v>
      </c>
      <c r="F118" s="24">
        <v>0</v>
      </c>
      <c r="G118" s="24">
        <v>437742</v>
      </c>
      <c r="H118" s="24">
        <v>0</v>
      </c>
      <c r="I118" s="24">
        <v>0</v>
      </c>
      <c r="J118" s="24">
        <v>0</v>
      </c>
      <c r="K118" s="24">
        <v>0</v>
      </c>
      <c r="L118" s="24">
        <v>0</v>
      </c>
      <c r="M118" s="24">
        <v>0</v>
      </c>
      <c r="N118" s="24">
        <v>0</v>
      </c>
      <c r="O118" s="24">
        <v>0</v>
      </c>
      <c r="P118" s="24">
        <v>0</v>
      </c>
      <c r="Q118" s="24">
        <v>0</v>
      </c>
      <c r="R118" s="24">
        <v>0</v>
      </c>
      <c r="S118" s="24">
        <v>0</v>
      </c>
      <c r="T118" s="24">
        <v>0</v>
      </c>
      <c r="U118" s="24">
        <v>0</v>
      </c>
      <c r="V118" s="24">
        <v>0</v>
      </c>
      <c r="W118" s="24">
        <v>0</v>
      </c>
      <c r="X118" s="24">
        <v>0</v>
      </c>
      <c r="Y118" s="24">
        <v>0</v>
      </c>
      <c r="Z118" s="24">
        <v>0</v>
      </c>
      <c r="AA118" s="24">
        <v>0</v>
      </c>
      <c r="AB118" s="24">
        <v>0</v>
      </c>
      <c r="AC118" s="24">
        <v>0</v>
      </c>
      <c r="AD118" s="24">
        <v>0</v>
      </c>
      <c r="AE118" s="24">
        <v>0</v>
      </c>
      <c r="AF118" s="24">
        <v>0</v>
      </c>
      <c r="AG118" s="24">
        <v>0</v>
      </c>
      <c r="AH118" s="24">
        <v>4250</v>
      </c>
      <c r="AI118" s="24">
        <v>0</v>
      </c>
      <c r="AJ118" s="24">
        <v>0</v>
      </c>
      <c r="AK118" s="24">
        <v>0</v>
      </c>
      <c r="AL118" s="24">
        <v>668</v>
      </c>
      <c r="AM118" s="24">
        <v>0</v>
      </c>
      <c r="AN118" s="24">
        <v>0</v>
      </c>
      <c r="AO118" s="24">
        <v>0</v>
      </c>
      <c r="AP118" s="24">
        <v>0</v>
      </c>
      <c r="AQ118" s="24">
        <v>0</v>
      </c>
      <c r="AR118" s="24">
        <v>0</v>
      </c>
      <c r="AS118" s="24">
        <v>0</v>
      </c>
      <c r="AT118" s="24">
        <v>0</v>
      </c>
      <c r="AU118" s="24">
        <v>0</v>
      </c>
      <c r="AV118" s="24">
        <v>0</v>
      </c>
      <c r="AW118" s="24">
        <v>0</v>
      </c>
      <c r="AX118" s="24">
        <v>0</v>
      </c>
      <c r="AY118" s="24">
        <v>0</v>
      </c>
      <c r="AZ118" s="24">
        <v>0</v>
      </c>
      <c r="BA118" s="24">
        <v>0</v>
      </c>
      <c r="BB118" s="24">
        <v>0</v>
      </c>
      <c r="BC118" s="24">
        <v>0</v>
      </c>
      <c r="BD118" s="24">
        <v>0</v>
      </c>
      <c r="BE118" s="24">
        <v>0</v>
      </c>
      <c r="BF118" s="24">
        <v>0</v>
      </c>
      <c r="BG118" s="24">
        <v>0</v>
      </c>
      <c r="BH118" s="24">
        <v>0</v>
      </c>
      <c r="BI118" s="24">
        <v>0</v>
      </c>
      <c r="BJ118" s="24">
        <v>0</v>
      </c>
      <c r="BK118" s="24">
        <v>0</v>
      </c>
      <c r="BL118" s="24">
        <v>0</v>
      </c>
      <c r="BM118" s="24">
        <v>0</v>
      </c>
      <c r="BN118" s="24">
        <v>0</v>
      </c>
      <c r="BO118" s="24">
        <v>0</v>
      </c>
      <c r="BP118" s="24">
        <v>0</v>
      </c>
      <c r="BQ118" s="24">
        <v>0</v>
      </c>
      <c r="BR118" s="24">
        <v>0</v>
      </c>
      <c r="BS118" s="24">
        <v>0</v>
      </c>
      <c r="BT118" s="24">
        <v>0</v>
      </c>
      <c r="BU118" s="24">
        <v>0</v>
      </c>
      <c r="BV118" s="24">
        <v>0</v>
      </c>
      <c r="BW118" s="24">
        <v>0</v>
      </c>
      <c r="BX118" s="24">
        <v>0</v>
      </c>
      <c r="BY118" s="24">
        <v>0</v>
      </c>
      <c r="BZ118" s="24">
        <v>0</v>
      </c>
      <c r="CA118" s="24">
        <v>0</v>
      </c>
      <c r="CB118" s="24">
        <v>0</v>
      </c>
      <c r="CC118" s="24">
        <v>0</v>
      </c>
      <c r="CD118" s="24">
        <v>35968</v>
      </c>
      <c r="CE118" s="24">
        <v>2652</v>
      </c>
      <c r="CF118" s="24">
        <v>0</v>
      </c>
      <c r="CG118" s="24">
        <v>0</v>
      </c>
      <c r="CH118" s="24">
        <v>0</v>
      </c>
      <c r="CI118" s="24">
        <v>0</v>
      </c>
      <c r="CJ118" s="24">
        <v>0</v>
      </c>
      <c r="CK118" s="24">
        <v>0</v>
      </c>
      <c r="CL118" s="24">
        <v>0</v>
      </c>
      <c r="CM118" s="24">
        <v>0</v>
      </c>
      <c r="CN118" s="24">
        <v>0</v>
      </c>
      <c r="CO118" s="24">
        <v>0</v>
      </c>
      <c r="CP118" s="24">
        <v>0</v>
      </c>
      <c r="CQ118" s="24">
        <v>0</v>
      </c>
      <c r="CR118" s="24">
        <v>0</v>
      </c>
      <c r="CS118" s="24">
        <v>0</v>
      </c>
      <c r="CT118" s="24">
        <v>0</v>
      </c>
      <c r="CU118" s="24">
        <v>0</v>
      </c>
      <c r="CV118" s="24">
        <v>0</v>
      </c>
      <c r="CW118" s="24">
        <v>0</v>
      </c>
      <c r="CX118" s="24">
        <v>0</v>
      </c>
      <c r="CY118" s="24">
        <v>0</v>
      </c>
      <c r="CZ118" s="24">
        <v>0</v>
      </c>
      <c r="DA118" s="24">
        <v>0</v>
      </c>
      <c r="DB118" s="24">
        <v>0</v>
      </c>
      <c r="DC118" s="24">
        <v>0</v>
      </c>
      <c r="DD118" s="24">
        <v>0</v>
      </c>
      <c r="DE118" s="24">
        <v>0</v>
      </c>
      <c r="DF118" s="24">
        <v>0</v>
      </c>
      <c r="DG118" s="24">
        <v>0</v>
      </c>
      <c r="DH118" s="24">
        <v>0</v>
      </c>
      <c r="DI118" s="24">
        <v>0</v>
      </c>
      <c r="DJ118" s="24">
        <v>0</v>
      </c>
      <c r="DK118" s="24">
        <v>0</v>
      </c>
      <c r="DL118" s="24">
        <v>0</v>
      </c>
      <c r="DM118" s="24">
        <v>0</v>
      </c>
      <c r="DN118" s="24">
        <v>0</v>
      </c>
      <c r="DO118" s="24">
        <v>0</v>
      </c>
      <c r="DP118" s="24">
        <v>0</v>
      </c>
      <c r="DQ118" s="24">
        <v>0</v>
      </c>
      <c r="DR118" s="24">
        <v>0</v>
      </c>
      <c r="DS118" s="24">
        <v>0</v>
      </c>
      <c r="DT118" s="24">
        <v>0</v>
      </c>
      <c r="DU118" s="24">
        <v>0</v>
      </c>
      <c r="DV118" s="24">
        <v>0</v>
      </c>
      <c r="DW118" s="24">
        <v>0</v>
      </c>
      <c r="DX118" s="24">
        <v>0</v>
      </c>
      <c r="DY118" s="24">
        <v>0</v>
      </c>
      <c r="DZ118" s="24">
        <v>0</v>
      </c>
      <c r="EA118" s="24">
        <v>0</v>
      </c>
      <c r="EB118" s="24">
        <v>0</v>
      </c>
      <c r="EC118" s="24">
        <v>0</v>
      </c>
      <c r="ED118" s="24">
        <v>0</v>
      </c>
      <c r="EE118" s="24">
        <v>0</v>
      </c>
      <c r="EF118" s="24">
        <v>0</v>
      </c>
      <c r="EG118" s="24">
        <v>0</v>
      </c>
      <c r="EH118" s="24">
        <v>0</v>
      </c>
      <c r="EI118" s="24">
        <v>0</v>
      </c>
      <c r="EJ118" s="24">
        <v>0</v>
      </c>
      <c r="EK118" s="24">
        <v>0</v>
      </c>
      <c r="EL118" s="24">
        <v>0</v>
      </c>
      <c r="EM118" s="24">
        <v>0</v>
      </c>
      <c r="EN118" s="24">
        <v>0</v>
      </c>
      <c r="EO118" s="24">
        <v>0</v>
      </c>
      <c r="EP118" s="24">
        <v>0</v>
      </c>
      <c r="EQ118" s="24">
        <v>0</v>
      </c>
      <c r="ER118" s="24">
        <v>0</v>
      </c>
      <c r="ES118" s="24">
        <v>0</v>
      </c>
      <c r="ET118" s="24">
        <v>0</v>
      </c>
      <c r="EU118" s="24">
        <v>0</v>
      </c>
      <c r="EV118" s="24">
        <v>0</v>
      </c>
      <c r="EW118" s="24">
        <v>0</v>
      </c>
      <c r="EX118" s="24">
        <v>0</v>
      </c>
      <c r="EY118" s="24">
        <v>0</v>
      </c>
      <c r="EZ118" s="24">
        <v>0</v>
      </c>
      <c r="FA118" s="24">
        <v>0</v>
      </c>
      <c r="FB118" s="24">
        <v>0</v>
      </c>
      <c r="FC118" s="24">
        <v>0</v>
      </c>
      <c r="FD118" s="24">
        <v>0</v>
      </c>
      <c r="FE118" s="24">
        <v>0</v>
      </c>
      <c r="FF118" s="24">
        <v>0</v>
      </c>
      <c r="FG118" s="24">
        <v>0</v>
      </c>
      <c r="FH118" s="24">
        <v>0</v>
      </c>
      <c r="FI118" s="24">
        <v>0</v>
      </c>
      <c r="FJ118" s="24">
        <v>0</v>
      </c>
      <c r="FK118" s="24">
        <v>0</v>
      </c>
      <c r="FL118" s="24">
        <v>0</v>
      </c>
      <c r="FM118" s="24">
        <v>0</v>
      </c>
      <c r="FN118" s="24">
        <v>0</v>
      </c>
      <c r="FO118" s="24">
        <v>0</v>
      </c>
      <c r="FP118" s="24">
        <v>0</v>
      </c>
      <c r="FQ118" s="24">
        <v>0</v>
      </c>
      <c r="FR118" s="24">
        <v>0</v>
      </c>
      <c r="FS118" s="24">
        <v>44803</v>
      </c>
      <c r="FT118" s="24">
        <v>0</v>
      </c>
      <c r="FU118" s="24">
        <v>0</v>
      </c>
      <c r="FV118" s="24">
        <v>0</v>
      </c>
      <c r="FW118" s="24">
        <v>0</v>
      </c>
      <c r="FX118" s="24">
        <v>0</v>
      </c>
      <c r="FY118" s="24">
        <v>0</v>
      </c>
      <c r="FZ118" s="24">
        <v>0</v>
      </c>
      <c r="GA118" s="24">
        <v>0</v>
      </c>
      <c r="GB118" s="24">
        <v>0</v>
      </c>
      <c r="GC118" s="24">
        <v>0</v>
      </c>
      <c r="GD118" s="24">
        <v>0</v>
      </c>
      <c r="GE118" s="24">
        <v>0</v>
      </c>
      <c r="GF118" s="24">
        <v>0</v>
      </c>
      <c r="GG118" s="24">
        <v>0</v>
      </c>
      <c r="GH118" s="24">
        <v>0</v>
      </c>
      <c r="GI118" s="24">
        <v>0</v>
      </c>
      <c r="GJ118" s="24">
        <v>0</v>
      </c>
      <c r="GK118" s="24">
        <v>0</v>
      </c>
      <c r="GL118" s="24">
        <v>0</v>
      </c>
      <c r="GM118" s="24">
        <v>0</v>
      </c>
      <c r="GN118" s="24">
        <v>0</v>
      </c>
      <c r="GO118" s="24">
        <v>0</v>
      </c>
      <c r="GP118" s="24">
        <v>0</v>
      </c>
      <c r="GQ118" s="24">
        <v>0</v>
      </c>
      <c r="GR118" s="24">
        <v>0</v>
      </c>
      <c r="GS118" s="24">
        <v>0</v>
      </c>
      <c r="GT118" s="24">
        <v>0</v>
      </c>
      <c r="GU118" s="24">
        <v>0</v>
      </c>
      <c r="GV118" s="24">
        <v>0</v>
      </c>
      <c r="GW118" s="24">
        <v>0</v>
      </c>
      <c r="GX118" s="24">
        <v>0</v>
      </c>
      <c r="GY118" s="24">
        <v>0</v>
      </c>
      <c r="GZ118" s="24">
        <v>0</v>
      </c>
      <c r="HA118" s="24">
        <v>0</v>
      </c>
      <c r="HB118" s="24">
        <v>0</v>
      </c>
      <c r="HC118" s="24">
        <v>0</v>
      </c>
      <c r="HD118" s="24">
        <v>1651616</v>
      </c>
      <c r="HE118" s="24">
        <v>0</v>
      </c>
      <c r="HF118" s="24">
        <v>0</v>
      </c>
      <c r="HG118" s="24">
        <v>0</v>
      </c>
      <c r="HH118" s="24">
        <v>0</v>
      </c>
      <c r="HI118" s="24">
        <v>114889</v>
      </c>
      <c r="HJ118" s="24">
        <v>0</v>
      </c>
      <c r="HK118" s="24">
        <v>0</v>
      </c>
      <c r="HL118" s="24">
        <v>0</v>
      </c>
      <c r="HM118" s="24">
        <v>0</v>
      </c>
      <c r="HN118" s="24">
        <v>0</v>
      </c>
      <c r="HO118" s="24">
        <v>186681</v>
      </c>
      <c r="HP118" s="24">
        <v>120473</v>
      </c>
      <c r="HQ118" s="24">
        <v>0</v>
      </c>
      <c r="HR118" s="24">
        <v>0</v>
      </c>
      <c r="HS118" s="24">
        <v>0</v>
      </c>
      <c r="HT118" s="24">
        <v>0</v>
      </c>
      <c r="HU118" s="24">
        <v>0</v>
      </c>
      <c r="HV118" s="24">
        <v>0</v>
      </c>
      <c r="HW118" s="24">
        <v>0</v>
      </c>
      <c r="HX118" s="24">
        <v>0</v>
      </c>
      <c r="HY118" s="24">
        <v>0</v>
      </c>
      <c r="HZ118" s="24">
        <v>0</v>
      </c>
      <c r="IA118" s="24">
        <v>27225</v>
      </c>
      <c r="IB118" s="24">
        <v>6068</v>
      </c>
      <c r="IC118" s="24">
        <v>0</v>
      </c>
      <c r="ID118" s="24">
        <v>0</v>
      </c>
      <c r="IE118" s="24">
        <v>0</v>
      </c>
      <c r="IF118" s="24">
        <v>0</v>
      </c>
      <c r="IG118" s="24">
        <v>0</v>
      </c>
      <c r="IH118" s="24">
        <v>0</v>
      </c>
      <c r="II118" s="24">
        <v>0</v>
      </c>
      <c r="IJ118" s="24">
        <v>0</v>
      </c>
      <c r="IK118" s="24">
        <v>0</v>
      </c>
      <c r="IL118" s="24">
        <v>0</v>
      </c>
      <c r="IM118" s="24">
        <v>0</v>
      </c>
      <c r="IN118" s="24">
        <v>0</v>
      </c>
      <c r="IO118" s="24">
        <v>4420</v>
      </c>
      <c r="IP118" s="24">
        <v>0</v>
      </c>
      <c r="IQ118" s="24">
        <v>0</v>
      </c>
      <c r="IR118" s="24">
        <v>21084</v>
      </c>
      <c r="IS118" s="24">
        <v>0</v>
      </c>
      <c r="IT118" s="24">
        <v>0</v>
      </c>
      <c r="IU118" s="24">
        <v>0</v>
      </c>
      <c r="IV118" s="24">
        <v>0</v>
      </c>
      <c r="IW118" s="24">
        <v>8790</v>
      </c>
      <c r="IX118" s="24">
        <v>0</v>
      </c>
      <c r="IY118" s="24">
        <v>0</v>
      </c>
      <c r="IZ118" s="24">
        <v>0</v>
      </c>
      <c r="JA118" s="24">
        <v>0</v>
      </c>
      <c r="JB118" s="24">
        <v>8456</v>
      </c>
      <c r="JC118" s="24">
        <v>0</v>
      </c>
      <c r="JD118" s="24">
        <v>0</v>
      </c>
      <c r="JE118" s="24">
        <v>131490</v>
      </c>
      <c r="JF118" s="24">
        <v>0</v>
      </c>
      <c r="JG118" s="24">
        <v>0</v>
      </c>
      <c r="JH118" s="24">
        <v>0</v>
      </c>
      <c r="JI118" s="24">
        <v>0</v>
      </c>
      <c r="JJ118" s="24">
        <v>0</v>
      </c>
      <c r="JK118" s="24">
        <v>0</v>
      </c>
      <c r="JL118" s="24">
        <v>0</v>
      </c>
      <c r="JM118" s="24">
        <v>0</v>
      </c>
      <c r="JN118" s="24">
        <v>0</v>
      </c>
      <c r="JO118" s="24">
        <v>0</v>
      </c>
      <c r="JP118" s="24">
        <v>0</v>
      </c>
      <c r="JQ118" s="24">
        <v>0</v>
      </c>
      <c r="JR118" s="24">
        <v>0</v>
      </c>
      <c r="JS118" s="24">
        <v>0</v>
      </c>
      <c r="JT118" s="24">
        <v>0</v>
      </c>
      <c r="JU118" s="24">
        <v>0</v>
      </c>
      <c r="JV118" s="24">
        <v>0</v>
      </c>
      <c r="JW118" s="24">
        <v>0</v>
      </c>
      <c r="JX118" s="24">
        <v>0</v>
      </c>
      <c r="JY118" s="24">
        <v>0</v>
      </c>
      <c r="JZ118" s="24">
        <v>0</v>
      </c>
      <c r="KA118" s="24">
        <v>0</v>
      </c>
      <c r="KB118" s="24">
        <v>0</v>
      </c>
      <c r="KC118" s="24">
        <v>0</v>
      </c>
      <c r="KD118" s="24">
        <v>0</v>
      </c>
      <c r="KE118" s="24">
        <v>0</v>
      </c>
      <c r="KF118" s="24">
        <v>0</v>
      </c>
      <c r="KG118" s="24">
        <v>0</v>
      </c>
      <c r="KH118" s="24">
        <v>0</v>
      </c>
      <c r="KI118" s="24">
        <v>0</v>
      </c>
      <c r="KJ118" s="24">
        <v>0</v>
      </c>
      <c r="KK118" s="24">
        <v>0</v>
      </c>
      <c r="KL118" s="24">
        <v>0</v>
      </c>
      <c r="KM118" s="24">
        <v>0</v>
      </c>
      <c r="KN118" s="24">
        <v>0</v>
      </c>
      <c r="KO118" s="24">
        <v>0</v>
      </c>
      <c r="KP118" s="24">
        <v>0</v>
      </c>
      <c r="KQ118" s="24">
        <v>0</v>
      </c>
      <c r="KR118" s="24">
        <v>0</v>
      </c>
      <c r="KS118" s="24">
        <v>0</v>
      </c>
      <c r="KT118" s="24">
        <v>0</v>
      </c>
      <c r="KU118" s="24">
        <v>0</v>
      </c>
      <c r="KV118" s="24">
        <v>0</v>
      </c>
      <c r="KW118" s="24">
        <v>23014</v>
      </c>
      <c r="KX118" s="24">
        <v>0</v>
      </c>
      <c r="KY118" s="24">
        <v>0</v>
      </c>
      <c r="KZ118" s="24">
        <v>0</v>
      </c>
      <c r="LA118" s="24">
        <v>0</v>
      </c>
      <c r="LB118" s="24">
        <v>0</v>
      </c>
      <c r="LC118" s="24">
        <v>0</v>
      </c>
      <c r="LD118" s="24">
        <v>0</v>
      </c>
      <c r="LE118" s="24">
        <v>0</v>
      </c>
      <c r="LF118" s="24">
        <v>0</v>
      </c>
      <c r="LG118" s="24">
        <v>0</v>
      </c>
      <c r="LH118" s="24">
        <v>0</v>
      </c>
      <c r="LI118" s="24">
        <v>0</v>
      </c>
      <c r="LJ118" s="24">
        <v>0</v>
      </c>
      <c r="LK118" s="24">
        <v>0</v>
      </c>
      <c r="LL118" s="24">
        <v>0</v>
      </c>
      <c r="LM118" s="24">
        <v>0</v>
      </c>
      <c r="LN118" s="24">
        <v>0</v>
      </c>
      <c r="LO118" s="24">
        <v>0</v>
      </c>
      <c r="LP118" s="24">
        <v>0</v>
      </c>
      <c r="LQ118" s="24">
        <v>49881</v>
      </c>
      <c r="LR118" s="24">
        <v>0</v>
      </c>
      <c r="LS118" s="24">
        <v>0</v>
      </c>
      <c r="LT118" s="24">
        <v>0</v>
      </c>
      <c r="LU118" s="24">
        <v>0</v>
      </c>
      <c r="LV118" s="24">
        <v>0</v>
      </c>
      <c r="LW118" s="24">
        <v>0</v>
      </c>
      <c r="LX118" s="24">
        <v>0</v>
      </c>
      <c r="LY118" s="24">
        <v>0</v>
      </c>
      <c r="LZ118" s="24">
        <v>0</v>
      </c>
      <c r="MA118" s="24">
        <v>0</v>
      </c>
      <c r="MB118" s="24">
        <v>0</v>
      </c>
      <c r="MC118" s="24">
        <v>0</v>
      </c>
      <c r="MD118" s="24">
        <v>0</v>
      </c>
      <c r="ME118" s="24">
        <v>0</v>
      </c>
      <c r="MF118" s="24">
        <v>0</v>
      </c>
      <c r="MG118" s="24">
        <v>0</v>
      </c>
      <c r="MH118" s="24">
        <v>0</v>
      </c>
      <c r="MI118" s="24">
        <v>0</v>
      </c>
      <c r="MJ118" s="24">
        <v>0</v>
      </c>
      <c r="MK118" s="24">
        <v>0</v>
      </c>
      <c r="ML118" s="24">
        <v>0</v>
      </c>
      <c r="MM118" s="24">
        <v>0</v>
      </c>
      <c r="MN118" s="24">
        <v>0</v>
      </c>
      <c r="MO118" s="24">
        <v>0</v>
      </c>
      <c r="MP118" s="24">
        <v>0</v>
      </c>
      <c r="MQ118" s="24">
        <v>0</v>
      </c>
      <c r="MR118" s="24">
        <v>127420</v>
      </c>
      <c r="MS118" s="24">
        <v>0</v>
      </c>
      <c r="MT118" s="24">
        <v>0</v>
      </c>
      <c r="MU118" s="24">
        <v>0</v>
      </c>
      <c r="MV118" s="24">
        <v>0</v>
      </c>
      <c r="MW118" s="24">
        <v>877</v>
      </c>
      <c r="MX118" s="24">
        <v>0</v>
      </c>
      <c r="MY118" s="24">
        <v>0</v>
      </c>
      <c r="MZ118" s="24">
        <v>0</v>
      </c>
      <c r="NA118" s="24">
        <v>0</v>
      </c>
      <c r="NB118" s="24">
        <v>0</v>
      </c>
      <c r="NC118" s="24">
        <v>0</v>
      </c>
      <c r="ND118" s="24">
        <v>0</v>
      </c>
      <c r="NE118" s="24">
        <v>0</v>
      </c>
      <c r="NF118" s="24">
        <v>0</v>
      </c>
      <c r="NG118" s="24">
        <v>0</v>
      </c>
      <c r="NH118" s="24">
        <v>0</v>
      </c>
      <c r="NI118" s="24">
        <v>0</v>
      </c>
      <c r="NJ118" s="24">
        <v>0</v>
      </c>
      <c r="NK118" s="24">
        <v>0</v>
      </c>
      <c r="NL118" s="24">
        <v>0</v>
      </c>
      <c r="NM118" s="24">
        <v>0</v>
      </c>
      <c r="NN118" s="24">
        <v>0</v>
      </c>
      <c r="NO118" s="24">
        <v>0</v>
      </c>
      <c r="NP118" s="24">
        <v>0</v>
      </c>
      <c r="NQ118" s="24">
        <v>0</v>
      </c>
      <c r="NR118" s="24">
        <v>7227</v>
      </c>
      <c r="NS118" s="24">
        <v>0</v>
      </c>
      <c r="NT118" s="24">
        <v>0</v>
      </c>
      <c r="NU118" s="24">
        <v>0</v>
      </c>
      <c r="NV118" s="24">
        <v>12216</v>
      </c>
      <c r="NW118" s="24">
        <v>0</v>
      </c>
      <c r="NX118" s="24">
        <v>0</v>
      </c>
      <c r="NY118" s="24">
        <v>0</v>
      </c>
      <c r="NZ118" s="24">
        <v>0</v>
      </c>
      <c r="OA118" s="24">
        <v>0</v>
      </c>
      <c r="OB118" s="24">
        <v>0</v>
      </c>
      <c r="OC118" s="24">
        <v>0</v>
      </c>
      <c r="OD118" s="24">
        <v>0</v>
      </c>
      <c r="OE118" s="24">
        <v>0</v>
      </c>
      <c r="OF118" s="24">
        <v>0</v>
      </c>
      <c r="OG118" s="24">
        <v>0</v>
      </c>
      <c r="OH118" s="24">
        <v>0</v>
      </c>
      <c r="OI118" s="24">
        <v>0</v>
      </c>
      <c r="OJ118" s="24">
        <v>0</v>
      </c>
      <c r="OK118" s="24">
        <v>0</v>
      </c>
      <c r="OL118" s="24">
        <v>0</v>
      </c>
      <c r="OM118" s="24">
        <v>0</v>
      </c>
      <c r="ON118" s="24">
        <v>0</v>
      </c>
      <c r="OO118" s="24">
        <v>0</v>
      </c>
      <c r="OP118" s="24">
        <v>0</v>
      </c>
      <c r="OQ118" s="24">
        <v>0</v>
      </c>
      <c r="OR118" s="24">
        <v>0</v>
      </c>
      <c r="OS118" s="24">
        <v>0</v>
      </c>
      <c r="OT118" s="24">
        <v>0</v>
      </c>
      <c r="OU118" s="24">
        <v>0</v>
      </c>
      <c r="OV118" s="24">
        <v>0</v>
      </c>
      <c r="OW118" s="24">
        <v>0</v>
      </c>
      <c r="OX118" s="24">
        <v>0</v>
      </c>
      <c r="OY118" s="24">
        <v>0</v>
      </c>
      <c r="OZ118" s="24">
        <v>0</v>
      </c>
      <c r="PA118" s="24">
        <v>0</v>
      </c>
      <c r="PB118" s="24">
        <v>0</v>
      </c>
      <c r="PC118" s="24">
        <v>0</v>
      </c>
      <c r="PD118" s="24">
        <v>0</v>
      </c>
      <c r="PE118" s="24">
        <v>0</v>
      </c>
      <c r="PF118" s="24">
        <v>0</v>
      </c>
      <c r="PG118" s="24">
        <v>0</v>
      </c>
      <c r="PH118" s="24">
        <v>0</v>
      </c>
      <c r="PI118" s="24">
        <v>0</v>
      </c>
      <c r="PJ118" s="24">
        <v>0</v>
      </c>
      <c r="PK118" s="24">
        <v>0</v>
      </c>
      <c r="PL118" s="24">
        <v>0</v>
      </c>
      <c r="PM118" s="24">
        <v>0</v>
      </c>
      <c r="PN118" s="24">
        <v>0</v>
      </c>
      <c r="PO118" s="24">
        <v>0</v>
      </c>
      <c r="PP118" s="24">
        <v>0</v>
      </c>
      <c r="PQ118" s="24">
        <v>0</v>
      </c>
      <c r="PR118" s="24">
        <v>0</v>
      </c>
      <c r="PS118" s="24">
        <v>0</v>
      </c>
      <c r="PT118" s="24">
        <v>0</v>
      </c>
      <c r="PU118" s="24">
        <v>0</v>
      </c>
      <c r="PV118" s="24">
        <v>0</v>
      </c>
      <c r="PW118" s="24">
        <v>0</v>
      </c>
      <c r="PX118" s="24">
        <v>0</v>
      </c>
      <c r="PY118" s="24">
        <v>0</v>
      </c>
      <c r="PZ118" s="24">
        <v>0</v>
      </c>
      <c r="QA118" s="24">
        <v>0</v>
      </c>
      <c r="QB118" s="24">
        <v>0</v>
      </c>
      <c r="QC118" s="24">
        <v>0</v>
      </c>
      <c r="QD118" s="24">
        <v>0</v>
      </c>
      <c r="QE118" s="24">
        <v>0</v>
      </c>
      <c r="QF118" s="24">
        <v>0</v>
      </c>
      <c r="QG118" s="24">
        <v>0</v>
      </c>
      <c r="QH118" s="24">
        <v>0</v>
      </c>
      <c r="QI118" s="24">
        <v>0</v>
      </c>
      <c r="QJ118" s="24">
        <v>0</v>
      </c>
      <c r="QK118" s="24">
        <v>0</v>
      </c>
      <c r="QL118" s="24">
        <v>0</v>
      </c>
      <c r="QM118" s="24">
        <v>0</v>
      </c>
      <c r="QN118" s="24">
        <v>0</v>
      </c>
      <c r="QO118" s="24">
        <v>0</v>
      </c>
      <c r="QP118" s="24">
        <v>0</v>
      </c>
      <c r="QQ118" s="24">
        <v>0</v>
      </c>
      <c r="QR118" s="24">
        <v>0</v>
      </c>
      <c r="QS118" s="24">
        <v>0</v>
      </c>
      <c r="QT118" s="24">
        <v>0</v>
      </c>
      <c r="QU118" s="24">
        <v>0</v>
      </c>
      <c r="QV118" s="24">
        <v>0</v>
      </c>
      <c r="QW118" s="24">
        <v>0</v>
      </c>
      <c r="QX118" s="24">
        <v>0</v>
      </c>
      <c r="QY118" s="24">
        <v>0</v>
      </c>
      <c r="QZ118" s="24">
        <v>0</v>
      </c>
      <c r="RA118" s="24">
        <v>0</v>
      </c>
      <c r="RB118" s="24">
        <v>0</v>
      </c>
      <c r="RG118" s="39">
        <f t="shared" si="129"/>
        <v>1651616</v>
      </c>
      <c r="RH118" s="39">
        <f t="shared" si="247"/>
        <v>114889</v>
      </c>
      <c r="RI118" s="39">
        <f t="shared" si="247"/>
        <v>0</v>
      </c>
      <c r="RJ118" s="39">
        <f t="shared" si="247"/>
        <v>0</v>
      </c>
      <c r="RK118" s="39">
        <f t="shared" si="247"/>
        <v>0</v>
      </c>
      <c r="RL118" s="39">
        <f t="shared" si="247"/>
        <v>186681</v>
      </c>
      <c r="RM118" s="39">
        <f t="shared" si="247"/>
        <v>153766</v>
      </c>
      <c r="RN118" s="39">
        <f t="shared" si="247"/>
        <v>4420</v>
      </c>
      <c r="RO118" s="39">
        <f t="shared" si="247"/>
        <v>21084</v>
      </c>
      <c r="RP118" s="39">
        <f t="shared" si="247"/>
        <v>8790</v>
      </c>
      <c r="RQ118" s="39">
        <f t="shared" si="247"/>
        <v>8456</v>
      </c>
      <c r="RR118" s="39">
        <f t="shared" si="247"/>
        <v>131490</v>
      </c>
      <c r="RS118" s="39"/>
      <c r="RT118" s="182"/>
      <c r="RU118" s="39"/>
      <c r="RV118" s="39">
        <f t="shared" si="246"/>
        <v>220635</v>
      </c>
      <c r="RW118" s="39">
        <f t="shared" si="246"/>
        <v>2281192</v>
      </c>
      <c r="RX118" s="39">
        <f t="shared" si="246"/>
        <v>526083</v>
      </c>
      <c r="RY118" s="39">
        <f t="shared" si="246"/>
        <v>0</v>
      </c>
      <c r="RZ118" s="39"/>
      <c r="SA118" s="182"/>
      <c r="SB118" s="39"/>
      <c r="SC118" s="25">
        <f t="shared" si="183"/>
        <v>1878.8678571428572</v>
      </c>
      <c r="SD118" s="39">
        <f>IFERROR(VLOOKUP(A118, 'Levy Data 15-16'!$B:$O, 3, FALSE), 0)</f>
        <v>155596302</v>
      </c>
      <c r="SE118" s="39">
        <f t="shared" si="208"/>
        <v>555701.07857142854</v>
      </c>
      <c r="SF118" s="631">
        <f>IFERROR(VLOOKUP(A118, 'Levy Data 15-16'!$B:$O, 14, FALSE), 0)*1000</f>
        <v>2.7269989999999997</v>
      </c>
      <c r="SG118" s="39">
        <f t="shared" si="209"/>
        <v>0</v>
      </c>
      <c r="SH118" s="39">
        <f t="shared" si="210"/>
        <v>0</v>
      </c>
      <c r="SI118" s="39">
        <f t="shared" si="211"/>
        <v>526083</v>
      </c>
      <c r="SM118" s="39">
        <f t="shared" si="212"/>
        <v>2281192</v>
      </c>
      <c r="SN118" s="39">
        <f t="shared" si="213"/>
        <v>0</v>
      </c>
      <c r="SO118" s="39">
        <f t="shared" si="184"/>
        <v>2281192</v>
      </c>
      <c r="SP118" s="50">
        <f t="shared" si="130"/>
        <v>1</v>
      </c>
      <c r="ST118" s="124">
        <f>IFERROR(VLOOKUP(A118,'Grade Enroll 15-16'!B:AC,27,FALSE),"")</f>
        <v>280</v>
      </c>
      <c r="SU118" s="124">
        <f t="shared" si="185"/>
        <v>182.97029702970298</v>
      </c>
      <c r="SV118" s="131">
        <f>IFERROR(VLOOKUP($A118, 'Title I Enroll 16-17'!S:V, 4, FALSE), 0)</f>
        <v>0.65346534653465349</v>
      </c>
      <c r="SW118" s="729">
        <f>IFERROR(VLOOKUP(A118, 'ELL Enroll 15-16'!$N:$S, 6, FALSE), 0)</f>
        <v>39</v>
      </c>
      <c r="SX118" s="131">
        <f t="shared" si="131"/>
        <v>0.13928571428571429</v>
      </c>
      <c r="SY118" s="124">
        <f>IFERROR(VLOOKUP(A118, 'SPED enroll 2015-16'!$M:$O, 3, FALSE), 0)</f>
        <v>18</v>
      </c>
      <c r="SZ118" s="131">
        <f t="shared" si="132"/>
        <v>6.4285714285714279E-2</v>
      </c>
      <c r="TA118" s="142">
        <f t="shared" si="207"/>
        <v>12.6</v>
      </c>
      <c r="TB118" s="142">
        <f t="shared" si="207"/>
        <v>3.6</v>
      </c>
      <c r="TC118" s="142">
        <f t="shared" si="207"/>
        <v>1.2600000000000002</v>
      </c>
      <c r="TD118" s="142">
        <f t="shared" si="207"/>
        <v>0.54</v>
      </c>
      <c r="TE118" s="124">
        <f>VLOOKUP($A118, 'Grade Enroll 15-16'!$B:$AB, 20, FALSE)</f>
        <v>0</v>
      </c>
      <c r="TF118" s="124">
        <f>VLOOKUP($A118, 'Grade Enroll 15-16'!$B:$AB, 21, FALSE)</f>
        <v>32</v>
      </c>
      <c r="TG118" s="124">
        <f>VLOOKUP($A118, 'Grade Enroll 15-16'!$B:$AB, 22, FALSE)</f>
        <v>62</v>
      </c>
      <c r="TH118" s="124">
        <f>VLOOKUP($A118, 'Grade Enroll 15-16'!$B:$AB, 23, FALSE)</f>
        <v>72</v>
      </c>
      <c r="TI118" s="124">
        <f>VLOOKUP($A118, 'Grade Enroll 15-16'!$B:$AB, 24, FALSE)</f>
        <v>56</v>
      </c>
      <c r="TJ118" s="124">
        <f>VLOOKUP($A118, 'Grade Enroll 15-16'!$B:$AB, 25, FALSE)</f>
        <v>90</v>
      </c>
      <c r="TK118" s="124">
        <f>VLOOKUP($A118, 'Grade Enroll 15-16'!$B:$AB, 26, FALSE)</f>
        <v>195</v>
      </c>
      <c r="TL118" s="131">
        <f>SUMIFS('Student Achievement 15-16'!N:N, 'Student Achievement 15-16'!B:B, 'Idaho Data'!A118, 'Student Achievement 15-16'!D:D, "math")/100</f>
        <v>0.316</v>
      </c>
      <c r="TM118" s="134">
        <f t="shared" si="186"/>
        <v>88.48</v>
      </c>
      <c r="TN118" s="131">
        <f>SUMIFS('Student Achievement 15-16'!N:N, 'Student Achievement 15-16'!B:B, 'Idaho Data'!A118, 'Student Achievement 15-16'!D:D, "ela")/100</f>
        <v>0.36099999999999999</v>
      </c>
      <c r="TO118" s="134">
        <f t="shared" si="134"/>
        <v>101.08</v>
      </c>
      <c r="TP118" s="688">
        <f>IFERROR(VLOOKUP(A118, 'G&amp;T 15-16'!B:G, 6, FALSE), 0)*1</f>
        <v>0</v>
      </c>
      <c r="TQ118" s="168">
        <f t="shared" si="135"/>
        <v>16.8</v>
      </c>
      <c r="TU118" s="168">
        <f t="shared" si="136"/>
        <v>88.48</v>
      </c>
      <c r="TV118" s="168">
        <f t="shared" si="137"/>
        <v>101.08</v>
      </c>
      <c r="TW118" s="205">
        <f t="shared" si="138"/>
        <v>101.08</v>
      </c>
      <c r="TX118" s="144"/>
      <c r="TY118" s="129"/>
      <c r="TZ118" s="127">
        <f t="shared" si="139"/>
        <v>0</v>
      </c>
      <c r="UA118" s="127">
        <f t="shared" si="140"/>
        <v>16.8</v>
      </c>
      <c r="UB118" s="205">
        <f t="shared" si="141"/>
        <v>16.8</v>
      </c>
      <c r="UE118" s="853" t="str">
        <f>IF(ST118&lt;='1. Simulator Input'!$E$104, "yes", "")</f>
        <v>yes</v>
      </c>
      <c r="UI118" s="199">
        <f t="shared" si="187"/>
        <v>0</v>
      </c>
      <c r="UJ118" s="200">
        <f>IF('Idaho Data'!SI118&gt;=0, ((1-'1. Simulator Input'!$E$39)*'Idaho Data'!SI118), 0)</f>
        <v>0</v>
      </c>
      <c r="UK118" s="200">
        <f t="shared" si="142"/>
        <v>2281192</v>
      </c>
      <c r="UL118" s="39"/>
      <c r="UM118" s="182"/>
      <c r="UN118" s="39"/>
      <c r="UO118" s="39">
        <f>IF(AND('1. Simulator Input'!$E$96="yes", '1. Simulator Input'!$E$98="yes", '1. Simulator Input'!$E$100="hold harmless"), 'Idaho Data'!WN118, IF(AND('1. Simulator Input'!$E$96="yes", '1. Simulator Input'!$E$98="no", '1. Simulator Input'!$E$100="hold harmless"), 'Idaho Data'!WM118, IF(AND('1. Simulator Input'!$E$96="yes", '1. Simulator Input'!$E$98="yes", '1. Simulator Input'!$E$100="small district grant"), WL118,IF(AND('1. Simulator Input'!$E$96="yes", '1. Simulator Input'!$E$98="no", '1. Simulator Input'!$E$100="small district grant"), WK118, ""))))</f>
        <v>0</v>
      </c>
      <c r="UP118" s="200">
        <f>'1. Simulator Input'!$D$56*('Idaho Data'!ST118)</f>
        <v>1547280</v>
      </c>
      <c r="UQ118" s="204">
        <f>'1. Simulator Input'!$D$65*'1. Simulator Input'!$D$56*'Idaho Data'!SU118</f>
        <v>0</v>
      </c>
      <c r="UR118" s="204">
        <f>'1. Simulator Input'!$D$66*'1. Simulator Input'!$D$56*'Idaho Data'!SW118</f>
        <v>0</v>
      </c>
      <c r="US118" s="200">
        <f>'1. Simulator Input'!$D$67*'1. Simulator Input'!$D$56*'Idaho Data'!TA118</f>
        <v>0</v>
      </c>
      <c r="UT118" s="200">
        <f>'1. Simulator Input'!$D$68*'1. Simulator Input'!$D$56*'Idaho Data'!TB118</f>
        <v>0</v>
      </c>
      <c r="UU118" s="200">
        <f>'1. Simulator Input'!$D$69*'1. Simulator Input'!$D$56*'Idaho Data'!TC118</f>
        <v>0</v>
      </c>
      <c r="UV118" s="200">
        <f>'1. Simulator Input'!$D$70*'1. Simulator Input'!$D$56*TD118</f>
        <v>0</v>
      </c>
      <c r="UW118" s="200">
        <f>'1. Simulator Input'!$D$80*'1. Simulator Input'!$D$56*TW118</f>
        <v>0</v>
      </c>
      <c r="UX118" s="200">
        <f>'1. Simulator Input'!$D$79*'1. Simulator Input'!$D$56*UB118</f>
        <v>0</v>
      </c>
      <c r="UY118" s="200">
        <f>'1. Simulator Input'!$D$87*'1. Simulator Input'!$D$56*TF118</f>
        <v>88416</v>
      </c>
      <c r="UZ118" s="200">
        <f>'1. Simulator Input'!$D$73*'1. Simulator Input'!$D$56*'Idaho Data'!TG118</f>
        <v>0</v>
      </c>
      <c r="VA118" s="200">
        <f>'1. Simulator Input'!$D$56*'1. Simulator Input'!$D$74*'Idaho Data'!TH118</f>
        <v>0</v>
      </c>
      <c r="VB118" s="200">
        <f>'1. Simulator Input'!$D$56*'1. Simulator Input'!$D$75*'Idaho Data'!TI113</f>
        <v>0</v>
      </c>
      <c r="VC118" s="200">
        <f>'1. Simulator Input'!$D$76*'1. Simulator Input'!$D$56*'Idaho Data'!TJ118</f>
        <v>0</v>
      </c>
      <c r="VD118" s="200">
        <f t="shared" si="188"/>
        <v>1635696</v>
      </c>
      <c r="VE118" s="200"/>
      <c r="VF118" s="182"/>
      <c r="VG118" s="200"/>
      <c r="VH118" s="200">
        <f t="shared" si="189"/>
        <v>0</v>
      </c>
      <c r="VI118" s="200">
        <f t="shared" si="190"/>
        <v>0</v>
      </c>
      <c r="VJ118" s="200">
        <f t="shared" si="214"/>
        <v>1635696</v>
      </c>
      <c r="VK118" s="200">
        <f t="shared" si="215"/>
        <v>1635696</v>
      </c>
      <c r="VL118" s="200"/>
      <c r="VM118" s="182"/>
      <c r="VN118" s="200"/>
      <c r="VO118" s="200">
        <f t="shared" si="191"/>
        <v>220635</v>
      </c>
      <c r="VP118" s="200">
        <f t="shared" si="192"/>
        <v>2281192</v>
      </c>
      <c r="VQ118" s="200">
        <f t="shared" si="193"/>
        <v>526083</v>
      </c>
      <c r="VR118" s="200">
        <f t="shared" si="194"/>
        <v>220635</v>
      </c>
      <c r="VS118" s="200">
        <f t="shared" si="216"/>
        <v>1635696</v>
      </c>
      <c r="VT118" s="200">
        <f t="shared" si="217"/>
        <v>526083</v>
      </c>
      <c r="VU118" s="200">
        <f t="shared" si="218"/>
        <v>0</v>
      </c>
      <c r="VV118" s="200"/>
      <c r="VW118" s="182"/>
      <c r="VX118" s="200"/>
      <c r="VZ118" s="199">
        <f t="shared" si="195"/>
        <v>-645496</v>
      </c>
      <c r="WA118" s="466">
        <f t="shared" si="196"/>
        <v>-2305.3428571428572</v>
      </c>
      <c r="WB118" s="131">
        <f t="shared" si="197"/>
        <v>-0.28296434495649642</v>
      </c>
      <c r="WC118" s="131"/>
      <c r="WD118" s="461"/>
      <c r="WE118" s="893"/>
      <c r="WF118" s="893">
        <f t="shared" si="198"/>
        <v>10813.964285714286</v>
      </c>
      <c r="WG118" s="893">
        <f t="shared" si="199"/>
        <v>8508.6214285714286</v>
      </c>
      <c r="WH118" s="893"/>
      <c r="WI118" s="893">
        <f t="shared" si="200"/>
        <v>2281192</v>
      </c>
      <c r="WJ118" s="893">
        <f t="shared" si="219"/>
        <v>1635696</v>
      </c>
      <c r="WK118" s="39">
        <f t="shared" si="220"/>
        <v>0</v>
      </c>
      <c r="WL118" s="39">
        <f t="shared" si="221"/>
        <v>0</v>
      </c>
      <c r="WM118" s="200">
        <f t="shared" si="222"/>
        <v>645496</v>
      </c>
      <c r="WN118" s="39">
        <f t="shared" si="223"/>
        <v>645496</v>
      </c>
      <c r="WO118" s="39"/>
      <c r="WP118" s="182"/>
      <c r="WQ118" s="39"/>
      <c r="WR118" s="305">
        <f t="shared" si="224"/>
        <v>0.56100000000000005</v>
      </c>
      <c r="WT118" s="200">
        <f t="shared" si="225"/>
        <v>8147.1142857142859</v>
      </c>
      <c r="WU118" s="131">
        <f t="shared" si="201"/>
        <v>0.76</v>
      </c>
      <c r="WW118" s="199">
        <f t="shared" si="226"/>
        <v>220635</v>
      </c>
      <c r="WX118" s="199">
        <f t="shared" si="227"/>
        <v>1635696</v>
      </c>
      <c r="WY118" s="199">
        <f t="shared" si="228"/>
        <v>0</v>
      </c>
      <c r="WZ118" s="199">
        <f t="shared" si="202"/>
        <v>1635696</v>
      </c>
      <c r="XA118" s="199">
        <f t="shared" si="229"/>
        <v>0</v>
      </c>
      <c r="XB118" s="199">
        <f t="shared" si="230"/>
        <v>526083</v>
      </c>
      <c r="XC118" s="199">
        <f t="shared" si="231"/>
        <v>526083</v>
      </c>
      <c r="XD118" s="199" t="str">
        <f t="shared" si="232"/>
        <v/>
      </c>
      <c r="XE118" s="199"/>
      <c r="XF118" s="199"/>
      <c r="XG118" s="199"/>
      <c r="XH118" s="199"/>
      <c r="XI118" s="199"/>
      <c r="XJ118" s="199">
        <f t="shared" si="203"/>
        <v>1635696</v>
      </c>
      <c r="XP118" s="199">
        <f t="shared" si="233"/>
        <v>1635696</v>
      </c>
      <c r="XQ118" s="199">
        <f t="shared" si="234"/>
        <v>5841.7714285714283</v>
      </c>
      <c r="XR118" s="199">
        <f t="shared" si="235"/>
        <v>1635696</v>
      </c>
      <c r="XS118" s="199">
        <f t="shared" si="236"/>
        <v>1635696</v>
      </c>
      <c r="XT118" s="199">
        <f t="shared" si="237"/>
        <v>5841.7714285714283</v>
      </c>
      <c r="XU118" s="199">
        <f t="shared" si="238"/>
        <v>2281192</v>
      </c>
      <c r="XV118" s="199">
        <f t="shared" si="239"/>
        <v>8147.1142857142859</v>
      </c>
      <c r="XW118" s="199">
        <f t="shared" si="240"/>
        <v>2281192</v>
      </c>
      <c r="XX118" s="199">
        <f t="shared" si="241"/>
        <v>8147.1142857142859</v>
      </c>
      <c r="XY118" s="199">
        <f t="shared" si="204"/>
        <v>-645496</v>
      </c>
      <c r="XZ118" s="199">
        <f t="shared" si="205"/>
        <v>-2305.3428571428576</v>
      </c>
      <c r="YA118" s="131">
        <f t="shared" si="143"/>
        <v>-0.28296434495649647</v>
      </c>
      <c r="YB118" s="199"/>
      <c r="YC118" s="221"/>
      <c r="YD118" s="199"/>
      <c r="YE118" s="199">
        <f t="shared" si="242"/>
        <v>220635</v>
      </c>
      <c r="YF118" s="200">
        <f t="shared" si="243"/>
        <v>0</v>
      </c>
      <c r="YG118" s="199">
        <f t="shared" si="244"/>
        <v>526083</v>
      </c>
      <c r="YH118" s="199">
        <f t="shared" si="245"/>
        <v>0</v>
      </c>
    </row>
    <row r="119" spans="1:658">
      <c r="A119" s="3">
        <v>418</v>
      </c>
      <c r="B119" s="2" t="s">
        <v>216</v>
      </c>
      <c r="C119" s="24">
        <v>0</v>
      </c>
      <c r="D119" s="24">
        <v>0</v>
      </c>
      <c r="E119" s="24">
        <v>0</v>
      </c>
      <c r="F119" s="24">
        <v>0</v>
      </c>
      <c r="G119" s="24">
        <v>0</v>
      </c>
      <c r="H119" s="24">
        <v>0</v>
      </c>
      <c r="I119" s="24">
        <v>0</v>
      </c>
      <c r="J119" s="24">
        <v>1867</v>
      </c>
      <c r="K119" s="24">
        <v>0</v>
      </c>
      <c r="L119" s="24">
        <v>0</v>
      </c>
      <c r="M119" s="24">
        <v>0</v>
      </c>
      <c r="N119" s="24">
        <v>0</v>
      </c>
      <c r="O119" s="24">
        <v>0</v>
      </c>
      <c r="P119" s="24">
        <v>0</v>
      </c>
      <c r="Q119" s="24">
        <v>0</v>
      </c>
      <c r="R119" s="24">
        <v>0</v>
      </c>
      <c r="S119" s="24">
        <v>0</v>
      </c>
      <c r="T119" s="24">
        <v>69645</v>
      </c>
      <c r="U119" s="24">
        <v>0</v>
      </c>
      <c r="V119" s="24">
        <v>0</v>
      </c>
      <c r="W119" s="24">
        <v>0</v>
      </c>
      <c r="X119" s="24">
        <v>334346</v>
      </c>
      <c r="Y119" s="24">
        <v>0</v>
      </c>
      <c r="Z119" s="24">
        <v>0</v>
      </c>
      <c r="AA119" s="24">
        <v>0</v>
      </c>
      <c r="AB119" s="24">
        <v>0</v>
      </c>
      <c r="AC119" s="24">
        <v>0</v>
      </c>
      <c r="AD119" s="24">
        <v>0</v>
      </c>
      <c r="AE119" s="24">
        <v>0</v>
      </c>
      <c r="AF119" s="24">
        <v>0</v>
      </c>
      <c r="AG119" s="24">
        <v>0</v>
      </c>
      <c r="AH119" s="24">
        <v>0</v>
      </c>
      <c r="AI119" s="24">
        <v>0</v>
      </c>
      <c r="AJ119" s="24">
        <v>0</v>
      </c>
      <c r="AK119" s="24">
        <v>0</v>
      </c>
      <c r="AL119" s="24">
        <v>6362</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c r="BE119" s="24">
        <v>191</v>
      </c>
      <c r="BF119" s="24">
        <v>0</v>
      </c>
      <c r="BG119" s="24">
        <v>0</v>
      </c>
      <c r="BH119" s="24">
        <v>0</v>
      </c>
      <c r="BI119" s="24">
        <v>0</v>
      </c>
      <c r="BJ119" s="24">
        <v>0</v>
      </c>
      <c r="BK119" s="24">
        <v>0</v>
      </c>
      <c r="BL119" s="24">
        <v>0</v>
      </c>
      <c r="BM119" s="24">
        <v>0</v>
      </c>
      <c r="BN119" s="24">
        <v>0</v>
      </c>
      <c r="BO119" s="24">
        <v>0</v>
      </c>
      <c r="BP119" s="24">
        <v>0</v>
      </c>
      <c r="BQ119" s="24">
        <v>0</v>
      </c>
      <c r="BR119" s="24">
        <v>0</v>
      </c>
      <c r="BS119" s="24">
        <v>0</v>
      </c>
      <c r="BT119" s="24">
        <v>0</v>
      </c>
      <c r="BU119" s="24">
        <v>0</v>
      </c>
      <c r="BV119" s="24">
        <v>0</v>
      </c>
      <c r="BW119" s="24">
        <v>0</v>
      </c>
      <c r="BX119" s="24">
        <v>0</v>
      </c>
      <c r="BY119" s="24">
        <v>0</v>
      </c>
      <c r="BZ119" s="24">
        <v>0</v>
      </c>
      <c r="CA119" s="24">
        <v>0</v>
      </c>
      <c r="CB119" s="24">
        <v>0</v>
      </c>
      <c r="CC119" s="24">
        <v>0</v>
      </c>
      <c r="CD119" s="24">
        <v>0</v>
      </c>
      <c r="CE119" s="24">
        <v>27927</v>
      </c>
      <c r="CF119" s="24">
        <v>0</v>
      </c>
      <c r="CG119" s="24">
        <v>0</v>
      </c>
      <c r="CH119" s="24">
        <v>0</v>
      </c>
      <c r="CI119" s="24">
        <v>0</v>
      </c>
      <c r="CJ119" s="24">
        <v>0</v>
      </c>
      <c r="CK119" s="24">
        <v>0</v>
      </c>
      <c r="CL119" s="24">
        <v>0</v>
      </c>
      <c r="CM119" s="24">
        <v>0</v>
      </c>
      <c r="CN119" s="24">
        <v>0</v>
      </c>
      <c r="CO119" s="24">
        <v>0</v>
      </c>
      <c r="CP119" s="24">
        <v>0</v>
      </c>
      <c r="CQ119" s="24">
        <v>0</v>
      </c>
      <c r="CR119" s="24">
        <v>0</v>
      </c>
      <c r="CS119" s="24">
        <v>0</v>
      </c>
      <c r="CT119" s="24">
        <v>0</v>
      </c>
      <c r="CU119" s="24">
        <v>0</v>
      </c>
      <c r="CV119" s="24">
        <v>0</v>
      </c>
      <c r="CW119" s="24">
        <v>0</v>
      </c>
      <c r="CX119" s="24">
        <v>0</v>
      </c>
      <c r="CY119" s="24">
        <v>0</v>
      </c>
      <c r="CZ119" s="24">
        <v>0</v>
      </c>
      <c r="DA119" s="24">
        <v>0</v>
      </c>
      <c r="DB119" s="24">
        <v>0</v>
      </c>
      <c r="DC119" s="24">
        <v>0</v>
      </c>
      <c r="DD119" s="24">
        <v>0</v>
      </c>
      <c r="DE119" s="24">
        <v>0</v>
      </c>
      <c r="DF119" s="24">
        <v>0</v>
      </c>
      <c r="DG119" s="24">
        <v>0</v>
      </c>
      <c r="DH119" s="24">
        <v>0</v>
      </c>
      <c r="DI119" s="24">
        <v>0</v>
      </c>
      <c r="DJ119" s="24">
        <v>0</v>
      </c>
      <c r="DK119" s="24">
        <v>0</v>
      </c>
      <c r="DL119" s="24">
        <v>0</v>
      </c>
      <c r="DM119" s="24">
        <v>3800</v>
      </c>
      <c r="DN119" s="24">
        <v>0</v>
      </c>
      <c r="DO119" s="24">
        <v>0</v>
      </c>
      <c r="DP119" s="24">
        <v>0</v>
      </c>
      <c r="DQ119" s="24">
        <v>0</v>
      </c>
      <c r="DR119" s="24">
        <v>0</v>
      </c>
      <c r="DS119" s="24">
        <v>0</v>
      </c>
      <c r="DT119" s="24">
        <v>0</v>
      </c>
      <c r="DU119" s="24">
        <v>0</v>
      </c>
      <c r="DV119" s="24">
        <v>0</v>
      </c>
      <c r="DW119" s="24">
        <v>0</v>
      </c>
      <c r="DX119" s="24">
        <v>0</v>
      </c>
      <c r="DY119" s="24">
        <v>0</v>
      </c>
      <c r="DZ119" s="24">
        <v>0</v>
      </c>
      <c r="EA119" s="24">
        <v>0</v>
      </c>
      <c r="EB119" s="24">
        <v>0</v>
      </c>
      <c r="EC119" s="24">
        <v>0</v>
      </c>
      <c r="ED119" s="24">
        <v>0</v>
      </c>
      <c r="EE119" s="24">
        <v>0</v>
      </c>
      <c r="EF119" s="24">
        <v>0</v>
      </c>
      <c r="EG119" s="24">
        <v>0</v>
      </c>
      <c r="EH119" s="24">
        <v>0</v>
      </c>
      <c r="EI119" s="24">
        <v>0</v>
      </c>
      <c r="EJ119" s="24">
        <v>0</v>
      </c>
      <c r="EK119" s="24">
        <v>0</v>
      </c>
      <c r="EL119" s="24">
        <v>0</v>
      </c>
      <c r="EM119" s="24">
        <v>0</v>
      </c>
      <c r="EN119" s="24">
        <v>0</v>
      </c>
      <c r="EO119" s="24">
        <v>0</v>
      </c>
      <c r="EP119" s="24">
        <v>0</v>
      </c>
      <c r="EQ119" s="24">
        <v>0</v>
      </c>
      <c r="ER119" s="24">
        <v>0</v>
      </c>
      <c r="ES119" s="24">
        <v>0</v>
      </c>
      <c r="ET119" s="24">
        <v>0</v>
      </c>
      <c r="EU119" s="24">
        <v>0</v>
      </c>
      <c r="EV119" s="24">
        <v>0</v>
      </c>
      <c r="EW119" s="24">
        <v>0</v>
      </c>
      <c r="EX119" s="24">
        <v>0</v>
      </c>
      <c r="EY119" s="24">
        <v>0</v>
      </c>
      <c r="EZ119" s="24">
        <v>0</v>
      </c>
      <c r="FA119" s="24">
        <v>0</v>
      </c>
      <c r="FB119" s="24">
        <v>0</v>
      </c>
      <c r="FC119" s="24">
        <v>0</v>
      </c>
      <c r="FD119" s="24">
        <v>0</v>
      </c>
      <c r="FE119" s="24">
        <v>0</v>
      </c>
      <c r="FF119" s="24">
        <v>0</v>
      </c>
      <c r="FG119" s="24">
        <v>0</v>
      </c>
      <c r="FH119" s="24">
        <v>0</v>
      </c>
      <c r="FI119" s="24">
        <v>0</v>
      </c>
      <c r="FJ119" s="24">
        <v>0</v>
      </c>
      <c r="FK119" s="24">
        <v>0</v>
      </c>
      <c r="FL119" s="24">
        <v>0</v>
      </c>
      <c r="FM119" s="24">
        <v>0</v>
      </c>
      <c r="FN119" s="24">
        <v>0</v>
      </c>
      <c r="FO119" s="24">
        <v>0</v>
      </c>
      <c r="FP119" s="24">
        <v>0</v>
      </c>
      <c r="FQ119" s="24">
        <v>0</v>
      </c>
      <c r="FR119" s="24">
        <v>0</v>
      </c>
      <c r="FS119" s="24">
        <v>67324</v>
      </c>
      <c r="FT119" s="24">
        <v>0</v>
      </c>
      <c r="FU119" s="24">
        <v>0</v>
      </c>
      <c r="FV119" s="24">
        <v>0</v>
      </c>
      <c r="FW119" s="24">
        <v>0</v>
      </c>
      <c r="FX119" s="24">
        <v>0</v>
      </c>
      <c r="FY119" s="24">
        <v>0</v>
      </c>
      <c r="FZ119" s="24">
        <v>0</v>
      </c>
      <c r="GA119" s="24">
        <v>0</v>
      </c>
      <c r="GB119" s="24">
        <v>0</v>
      </c>
      <c r="GC119" s="24">
        <v>0</v>
      </c>
      <c r="GD119" s="24">
        <v>0</v>
      </c>
      <c r="GE119" s="24">
        <v>0</v>
      </c>
      <c r="GF119" s="24">
        <v>0</v>
      </c>
      <c r="GG119" s="24">
        <v>0</v>
      </c>
      <c r="GH119" s="24">
        <v>0</v>
      </c>
      <c r="GI119" s="24">
        <v>0</v>
      </c>
      <c r="GJ119" s="24">
        <v>0</v>
      </c>
      <c r="GK119" s="24">
        <v>0</v>
      </c>
      <c r="GL119" s="24">
        <v>0</v>
      </c>
      <c r="GM119" s="24">
        <v>0</v>
      </c>
      <c r="GN119" s="24">
        <v>0</v>
      </c>
      <c r="GO119" s="24">
        <v>0</v>
      </c>
      <c r="GP119" s="24">
        <v>0</v>
      </c>
      <c r="GQ119" s="24">
        <v>0</v>
      </c>
      <c r="GR119" s="24">
        <v>0</v>
      </c>
      <c r="GS119" s="24">
        <v>0</v>
      </c>
      <c r="GT119" s="24">
        <v>0</v>
      </c>
      <c r="GU119" s="24">
        <v>0</v>
      </c>
      <c r="GV119" s="24">
        <v>0</v>
      </c>
      <c r="GW119" s="24">
        <v>0</v>
      </c>
      <c r="GX119" s="24">
        <v>0</v>
      </c>
      <c r="GY119" s="24">
        <v>0</v>
      </c>
      <c r="GZ119" s="24">
        <v>0</v>
      </c>
      <c r="HA119" s="24">
        <v>0</v>
      </c>
      <c r="HB119" s="24">
        <v>0</v>
      </c>
      <c r="HC119" s="24">
        <v>0</v>
      </c>
      <c r="HD119" s="24">
        <v>1388496</v>
      </c>
      <c r="HE119" s="24">
        <v>0</v>
      </c>
      <c r="HF119" s="24">
        <v>0</v>
      </c>
      <c r="HG119" s="24">
        <v>0</v>
      </c>
      <c r="HH119" s="24">
        <v>0</v>
      </c>
      <c r="HI119" s="24">
        <v>111586</v>
      </c>
      <c r="HJ119" s="24">
        <v>0</v>
      </c>
      <c r="HK119" s="24">
        <v>0</v>
      </c>
      <c r="HL119" s="24">
        <v>0</v>
      </c>
      <c r="HM119" s="24">
        <v>0</v>
      </c>
      <c r="HN119" s="24">
        <v>0</v>
      </c>
      <c r="HO119" s="24">
        <v>184388</v>
      </c>
      <c r="HP119" s="24">
        <v>127210</v>
      </c>
      <c r="HQ119" s="24">
        <v>0</v>
      </c>
      <c r="HR119" s="24">
        <v>0</v>
      </c>
      <c r="HS119" s="24">
        <v>0</v>
      </c>
      <c r="HT119" s="24">
        <v>0</v>
      </c>
      <c r="HU119" s="24">
        <v>0</v>
      </c>
      <c r="HV119" s="24">
        <v>0</v>
      </c>
      <c r="HW119" s="24">
        <v>0</v>
      </c>
      <c r="HX119" s="24">
        <v>0</v>
      </c>
      <c r="HY119" s="24">
        <v>0</v>
      </c>
      <c r="HZ119" s="24">
        <v>0</v>
      </c>
      <c r="IA119" s="24">
        <v>22365</v>
      </c>
      <c r="IB119" s="24">
        <v>5418</v>
      </c>
      <c r="IC119" s="24">
        <v>0</v>
      </c>
      <c r="ID119" s="24">
        <v>0</v>
      </c>
      <c r="IE119" s="24">
        <v>0</v>
      </c>
      <c r="IF119" s="24">
        <v>0</v>
      </c>
      <c r="IG119" s="24">
        <v>0</v>
      </c>
      <c r="IH119" s="24">
        <v>0</v>
      </c>
      <c r="II119" s="24">
        <v>0</v>
      </c>
      <c r="IJ119" s="24">
        <v>0</v>
      </c>
      <c r="IK119" s="24">
        <v>0</v>
      </c>
      <c r="IL119" s="24">
        <v>0</v>
      </c>
      <c r="IM119" s="24">
        <v>0</v>
      </c>
      <c r="IN119" s="24">
        <v>0</v>
      </c>
      <c r="IO119" s="24">
        <v>0</v>
      </c>
      <c r="IP119" s="24">
        <v>0</v>
      </c>
      <c r="IQ119" s="24">
        <v>0</v>
      </c>
      <c r="IR119" s="24">
        <v>24606</v>
      </c>
      <c r="IS119" s="24">
        <v>0</v>
      </c>
      <c r="IT119" s="24">
        <v>0</v>
      </c>
      <c r="IU119" s="24">
        <v>0</v>
      </c>
      <c r="IV119" s="24">
        <v>0</v>
      </c>
      <c r="IW119" s="24">
        <v>0</v>
      </c>
      <c r="IX119" s="24">
        <v>0</v>
      </c>
      <c r="IY119" s="24">
        <v>16190</v>
      </c>
      <c r="IZ119" s="24">
        <v>0</v>
      </c>
      <c r="JA119" s="24">
        <v>0</v>
      </c>
      <c r="JB119" s="24">
        <v>17451</v>
      </c>
      <c r="JC119" s="24">
        <v>0</v>
      </c>
      <c r="JD119" s="24">
        <v>0</v>
      </c>
      <c r="JE119" s="24">
        <v>11405</v>
      </c>
      <c r="JF119" s="24">
        <v>0</v>
      </c>
      <c r="JG119" s="24">
        <v>0</v>
      </c>
      <c r="JH119" s="24">
        <v>0</v>
      </c>
      <c r="JI119" s="24">
        <v>0</v>
      </c>
      <c r="JJ119" s="24">
        <v>0</v>
      </c>
      <c r="JK119" s="24">
        <v>0</v>
      </c>
      <c r="JL119" s="24">
        <v>0</v>
      </c>
      <c r="JM119" s="24">
        <v>0</v>
      </c>
      <c r="JN119" s="24">
        <v>0</v>
      </c>
      <c r="JO119" s="24">
        <v>0</v>
      </c>
      <c r="JP119" s="24">
        <v>0</v>
      </c>
      <c r="JQ119" s="24">
        <v>0</v>
      </c>
      <c r="JR119" s="24">
        <v>0</v>
      </c>
      <c r="JS119" s="24">
        <v>0</v>
      </c>
      <c r="JT119" s="24">
        <v>0</v>
      </c>
      <c r="JU119" s="24">
        <v>0</v>
      </c>
      <c r="JV119" s="24">
        <v>0</v>
      </c>
      <c r="JW119" s="24">
        <v>0</v>
      </c>
      <c r="JX119" s="24">
        <v>0</v>
      </c>
      <c r="JY119" s="24">
        <v>0</v>
      </c>
      <c r="JZ119" s="24">
        <v>0</v>
      </c>
      <c r="KA119" s="24">
        <v>0</v>
      </c>
      <c r="KB119" s="24">
        <v>0</v>
      </c>
      <c r="KC119" s="24">
        <v>0</v>
      </c>
      <c r="KD119" s="24">
        <v>0</v>
      </c>
      <c r="KE119" s="24">
        <v>0</v>
      </c>
      <c r="KF119" s="24">
        <v>0</v>
      </c>
      <c r="KG119" s="24">
        <v>0</v>
      </c>
      <c r="KH119" s="24">
        <v>0</v>
      </c>
      <c r="KI119" s="24">
        <v>0</v>
      </c>
      <c r="KJ119" s="24">
        <v>0</v>
      </c>
      <c r="KK119" s="24">
        <v>113089</v>
      </c>
      <c r="KL119" s="24">
        <v>0</v>
      </c>
      <c r="KM119" s="24">
        <v>0</v>
      </c>
      <c r="KN119" s="24">
        <v>0</v>
      </c>
      <c r="KO119" s="24">
        <v>0</v>
      </c>
      <c r="KP119" s="24">
        <v>0</v>
      </c>
      <c r="KQ119" s="24">
        <v>0</v>
      </c>
      <c r="KR119" s="24">
        <v>0</v>
      </c>
      <c r="KS119" s="24">
        <v>0</v>
      </c>
      <c r="KT119" s="24">
        <v>0</v>
      </c>
      <c r="KU119" s="24">
        <v>0</v>
      </c>
      <c r="KV119" s="24">
        <v>0</v>
      </c>
      <c r="KW119" s="24">
        <v>0</v>
      </c>
      <c r="KX119" s="24">
        <v>0</v>
      </c>
      <c r="KY119" s="24">
        <v>0</v>
      </c>
      <c r="KZ119" s="24">
        <v>0</v>
      </c>
      <c r="LA119" s="24">
        <v>0</v>
      </c>
      <c r="LB119" s="24">
        <v>0</v>
      </c>
      <c r="LC119" s="24">
        <v>0</v>
      </c>
      <c r="LD119" s="24">
        <v>0</v>
      </c>
      <c r="LE119" s="24">
        <v>0</v>
      </c>
      <c r="LF119" s="24">
        <v>0</v>
      </c>
      <c r="LG119" s="24">
        <v>0</v>
      </c>
      <c r="LH119" s="24">
        <v>0</v>
      </c>
      <c r="LI119" s="24">
        <v>0</v>
      </c>
      <c r="LJ119" s="24">
        <v>0</v>
      </c>
      <c r="LK119" s="24">
        <v>0</v>
      </c>
      <c r="LL119" s="24">
        <v>0</v>
      </c>
      <c r="LM119" s="24">
        <v>0</v>
      </c>
      <c r="LN119" s="24">
        <v>0</v>
      </c>
      <c r="LO119" s="24">
        <v>0</v>
      </c>
      <c r="LP119" s="24">
        <v>0</v>
      </c>
      <c r="LQ119" s="24">
        <v>77384</v>
      </c>
      <c r="LR119" s="24">
        <v>38657</v>
      </c>
      <c r="LS119" s="24">
        <v>0</v>
      </c>
      <c r="LT119" s="24">
        <v>0</v>
      </c>
      <c r="LU119" s="24">
        <v>0</v>
      </c>
      <c r="LV119" s="24">
        <v>0</v>
      </c>
      <c r="LW119" s="24">
        <v>0</v>
      </c>
      <c r="LX119" s="24">
        <v>0</v>
      </c>
      <c r="LY119" s="24">
        <v>0</v>
      </c>
      <c r="LZ119" s="24">
        <v>0</v>
      </c>
      <c r="MA119" s="24">
        <v>0</v>
      </c>
      <c r="MB119" s="24">
        <v>0</v>
      </c>
      <c r="MC119" s="24">
        <v>0</v>
      </c>
      <c r="MD119" s="24">
        <v>0</v>
      </c>
      <c r="ME119" s="24">
        <v>0</v>
      </c>
      <c r="MF119" s="24">
        <v>0</v>
      </c>
      <c r="MG119" s="24">
        <v>0</v>
      </c>
      <c r="MH119" s="24">
        <v>0</v>
      </c>
      <c r="MI119" s="24">
        <v>0</v>
      </c>
      <c r="MJ119" s="24">
        <v>0</v>
      </c>
      <c r="MK119" s="24">
        <v>0</v>
      </c>
      <c r="ML119" s="24">
        <v>0</v>
      </c>
      <c r="MM119" s="24">
        <v>0</v>
      </c>
      <c r="MN119" s="24">
        <v>0</v>
      </c>
      <c r="MO119" s="24">
        <v>3245</v>
      </c>
      <c r="MP119" s="24">
        <v>0</v>
      </c>
      <c r="MQ119" s="24">
        <v>0</v>
      </c>
      <c r="MR119" s="24">
        <v>174536</v>
      </c>
      <c r="MS119" s="24">
        <v>0</v>
      </c>
      <c r="MT119" s="24">
        <v>0</v>
      </c>
      <c r="MU119" s="24">
        <v>0</v>
      </c>
      <c r="MV119" s="24">
        <v>0</v>
      </c>
      <c r="MW119" s="24">
        <v>44237</v>
      </c>
      <c r="MX119" s="24">
        <v>1457</v>
      </c>
      <c r="MY119" s="24">
        <v>0</v>
      </c>
      <c r="MZ119" s="24">
        <v>0</v>
      </c>
      <c r="NA119" s="24">
        <v>0</v>
      </c>
      <c r="NB119" s="24">
        <v>0</v>
      </c>
      <c r="NC119" s="24">
        <v>0</v>
      </c>
      <c r="ND119" s="24">
        <v>0</v>
      </c>
      <c r="NE119" s="24">
        <v>0</v>
      </c>
      <c r="NF119" s="24">
        <v>0</v>
      </c>
      <c r="NG119" s="24">
        <v>0</v>
      </c>
      <c r="NH119" s="24">
        <v>0</v>
      </c>
      <c r="NI119" s="24">
        <v>0</v>
      </c>
      <c r="NJ119" s="24">
        <v>0</v>
      </c>
      <c r="NK119" s="24">
        <v>0</v>
      </c>
      <c r="NL119" s="24">
        <v>0</v>
      </c>
      <c r="NM119" s="24">
        <v>0</v>
      </c>
      <c r="NN119" s="24">
        <v>0</v>
      </c>
      <c r="NO119" s="24">
        <v>0</v>
      </c>
      <c r="NP119" s="24">
        <v>0</v>
      </c>
      <c r="NQ119" s="24">
        <v>24976</v>
      </c>
      <c r="NR119" s="24">
        <v>0</v>
      </c>
      <c r="NS119" s="24">
        <v>0</v>
      </c>
      <c r="NT119" s="24">
        <v>0</v>
      </c>
      <c r="NU119" s="24">
        <v>0</v>
      </c>
      <c r="NV119" s="24">
        <v>4553</v>
      </c>
      <c r="NW119" s="24">
        <v>0</v>
      </c>
      <c r="NX119" s="24">
        <v>125550</v>
      </c>
      <c r="NY119" s="24">
        <v>0</v>
      </c>
      <c r="NZ119" s="24">
        <v>0</v>
      </c>
      <c r="OA119" s="24">
        <v>0</v>
      </c>
      <c r="OB119" s="24">
        <v>0</v>
      </c>
      <c r="OC119" s="24">
        <v>0</v>
      </c>
      <c r="OD119" s="24">
        <v>0</v>
      </c>
      <c r="OE119" s="24">
        <v>0</v>
      </c>
      <c r="OF119" s="24">
        <v>0</v>
      </c>
      <c r="OG119" s="24">
        <v>0</v>
      </c>
      <c r="OH119" s="24">
        <v>0</v>
      </c>
      <c r="OI119" s="24">
        <v>0</v>
      </c>
      <c r="OJ119" s="24">
        <v>0</v>
      </c>
      <c r="OK119" s="24">
        <v>0</v>
      </c>
      <c r="OL119" s="24">
        <v>0</v>
      </c>
      <c r="OM119" s="24">
        <v>0</v>
      </c>
      <c r="ON119" s="24">
        <v>0</v>
      </c>
      <c r="OO119" s="24">
        <v>0</v>
      </c>
      <c r="OP119" s="24">
        <v>0</v>
      </c>
      <c r="OQ119" s="24">
        <v>0</v>
      </c>
      <c r="OR119" s="24">
        <v>0</v>
      </c>
      <c r="OS119" s="24">
        <v>0</v>
      </c>
      <c r="OT119" s="24">
        <v>0</v>
      </c>
      <c r="OU119" s="24">
        <v>0</v>
      </c>
      <c r="OV119" s="24">
        <v>0</v>
      </c>
      <c r="OW119" s="24">
        <v>0</v>
      </c>
      <c r="OX119" s="24">
        <v>0</v>
      </c>
      <c r="OY119" s="24">
        <v>0</v>
      </c>
      <c r="OZ119" s="24">
        <v>0</v>
      </c>
      <c r="PA119" s="24">
        <v>0</v>
      </c>
      <c r="PB119" s="24">
        <v>0</v>
      </c>
      <c r="PC119" s="24">
        <v>0</v>
      </c>
      <c r="PD119" s="24">
        <v>0</v>
      </c>
      <c r="PE119" s="24">
        <v>0</v>
      </c>
      <c r="PF119" s="24">
        <v>0</v>
      </c>
      <c r="PG119" s="24">
        <v>0</v>
      </c>
      <c r="PH119" s="24">
        <v>0</v>
      </c>
      <c r="PI119" s="24">
        <v>0</v>
      </c>
      <c r="PJ119" s="24">
        <v>0</v>
      </c>
      <c r="PK119" s="24">
        <v>0</v>
      </c>
      <c r="PL119" s="24">
        <v>0</v>
      </c>
      <c r="PM119" s="24">
        <v>0</v>
      </c>
      <c r="PN119" s="24">
        <v>0</v>
      </c>
      <c r="PO119" s="24">
        <v>0</v>
      </c>
      <c r="PP119" s="24">
        <v>0</v>
      </c>
      <c r="PQ119" s="24">
        <v>0</v>
      </c>
      <c r="PR119" s="24">
        <v>0</v>
      </c>
      <c r="PS119" s="24">
        <v>0</v>
      </c>
      <c r="PT119" s="24">
        <v>0</v>
      </c>
      <c r="PU119" s="24">
        <v>0</v>
      </c>
      <c r="PV119" s="24">
        <v>0</v>
      </c>
      <c r="PW119" s="24">
        <v>0</v>
      </c>
      <c r="PX119" s="24">
        <v>0</v>
      </c>
      <c r="PY119" s="24">
        <v>0</v>
      </c>
      <c r="PZ119" s="24">
        <v>0</v>
      </c>
      <c r="QA119" s="24">
        <v>0</v>
      </c>
      <c r="QB119" s="24">
        <v>0</v>
      </c>
      <c r="QC119" s="24">
        <v>0</v>
      </c>
      <c r="QD119" s="24">
        <v>0</v>
      </c>
      <c r="QE119" s="24">
        <v>0</v>
      </c>
      <c r="QF119" s="24">
        <v>0</v>
      </c>
      <c r="QG119" s="24">
        <v>0</v>
      </c>
      <c r="QH119" s="24">
        <v>0</v>
      </c>
      <c r="QI119" s="24">
        <v>0</v>
      </c>
      <c r="QJ119" s="24">
        <v>0</v>
      </c>
      <c r="QK119" s="24">
        <v>0</v>
      </c>
      <c r="QL119" s="24">
        <v>0</v>
      </c>
      <c r="QM119" s="24">
        <v>0</v>
      </c>
      <c r="QN119" s="24">
        <v>0</v>
      </c>
      <c r="QO119" s="24">
        <v>0</v>
      </c>
      <c r="QP119" s="24">
        <v>0</v>
      </c>
      <c r="QQ119" s="24">
        <v>0</v>
      </c>
      <c r="QR119" s="24">
        <v>0</v>
      </c>
      <c r="QS119" s="24">
        <v>25738</v>
      </c>
      <c r="QT119" s="24">
        <v>0</v>
      </c>
      <c r="QU119" s="24">
        <v>0</v>
      </c>
      <c r="QV119" s="24">
        <v>148341</v>
      </c>
      <c r="QW119" s="24">
        <v>0</v>
      </c>
      <c r="QX119" s="24">
        <v>0</v>
      </c>
      <c r="QY119" s="24">
        <v>0</v>
      </c>
      <c r="QZ119" s="24">
        <v>0</v>
      </c>
      <c r="RA119" s="24">
        <v>0</v>
      </c>
      <c r="RB119" s="24">
        <v>0</v>
      </c>
      <c r="RG119" s="39">
        <f t="shared" si="129"/>
        <v>1388496</v>
      </c>
      <c r="RH119" s="39">
        <f t="shared" si="247"/>
        <v>111586</v>
      </c>
      <c r="RI119" s="39">
        <f t="shared" si="247"/>
        <v>0</v>
      </c>
      <c r="RJ119" s="39">
        <f t="shared" si="247"/>
        <v>0</v>
      </c>
      <c r="RK119" s="39">
        <f t="shared" si="247"/>
        <v>0</v>
      </c>
      <c r="RL119" s="39">
        <f t="shared" si="247"/>
        <v>184388</v>
      </c>
      <c r="RM119" s="39">
        <f t="shared" si="247"/>
        <v>154993</v>
      </c>
      <c r="RN119" s="39">
        <f t="shared" si="247"/>
        <v>0</v>
      </c>
      <c r="RO119" s="39">
        <f t="shared" si="247"/>
        <v>24606</v>
      </c>
      <c r="RP119" s="39">
        <f t="shared" si="247"/>
        <v>16190</v>
      </c>
      <c r="RQ119" s="39">
        <f t="shared" si="247"/>
        <v>17451</v>
      </c>
      <c r="RR119" s="39">
        <f t="shared" si="247"/>
        <v>11405</v>
      </c>
      <c r="RS119" s="39"/>
      <c r="RT119" s="182"/>
      <c r="RU119" s="39"/>
      <c r="RV119" s="39">
        <f t="shared" si="246"/>
        <v>607684</v>
      </c>
      <c r="RW119" s="39">
        <f t="shared" si="246"/>
        <v>1909115</v>
      </c>
      <c r="RX119" s="39">
        <f t="shared" si="246"/>
        <v>511462</v>
      </c>
      <c r="RY119" s="39">
        <f t="shared" si="246"/>
        <v>174079</v>
      </c>
      <c r="RZ119" s="39"/>
      <c r="SA119" s="182"/>
      <c r="SB119" s="39"/>
      <c r="SC119" s="25">
        <f t="shared" si="183"/>
        <v>1982.4108527131782</v>
      </c>
      <c r="SD119" s="39">
        <f>IFERROR(VLOOKUP(A119, 'Levy Data 15-16'!$B:$O, 3, FALSE), 0)</f>
        <v>149253404</v>
      </c>
      <c r="SE119" s="39">
        <f t="shared" si="208"/>
        <v>578501.56589147286</v>
      </c>
      <c r="SF119" s="631">
        <f>IFERROR(VLOOKUP(A119, 'Levy Data 15-16'!$B:$O, 14, FALSE), 0)*1000</f>
        <v>2.7287080000000001</v>
      </c>
      <c r="SG119" s="39">
        <f t="shared" si="209"/>
        <v>0</v>
      </c>
      <c r="SH119" s="39">
        <f t="shared" si="210"/>
        <v>0</v>
      </c>
      <c r="SI119" s="39">
        <f t="shared" si="211"/>
        <v>511462</v>
      </c>
      <c r="SM119" s="39">
        <f t="shared" si="212"/>
        <v>1909115</v>
      </c>
      <c r="SN119" s="39">
        <f t="shared" si="213"/>
        <v>0</v>
      </c>
      <c r="SO119" s="39">
        <f t="shared" si="184"/>
        <v>1909115</v>
      </c>
      <c r="SP119" s="50">
        <f t="shared" si="130"/>
        <v>1</v>
      </c>
      <c r="ST119" s="124">
        <f>IFERROR(VLOOKUP(A119,'Grade Enroll 15-16'!B:AC,27,FALSE),"")</f>
        <v>258</v>
      </c>
      <c r="SU119" s="124">
        <f t="shared" si="185"/>
        <v>193.92156862745097</v>
      </c>
      <c r="SV119" s="131">
        <f>IFERROR(VLOOKUP($A119, 'Title I Enroll 16-17'!S:V, 4, FALSE), 0)</f>
        <v>0.75163398692810457</v>
      </c>
      <c r="SW119" s="729">
        <f>IFERROR(VLOOKUP(A119, 'ELL Enroll 15-16'!$N:$S, 6, FALSE), 0)</f>
        <v>59</v>
      </c>
      <c r="SX119" s="131">
        <f t="shared" si="131"/>
        <v>0.22868217054263565</v>
      </c>
      <c r="SY119" s="124">
        <f>IFERROR(VLOOKUP(A119, 'SPED enroll 2015-16'!$M:$O, 3, FALSE), 0)</f>
        <v>24</v>
      </c>
      <c r="SZ119" s="131">
        <f t="shared" si="132"/>
        <v>9.3023255813953487E-2</v>
      </c>
      <c r="TA119" s="142">
        <f t="shared" si="207"/>
        <v>16.799999999999997</v>
      </c>
      <c r="TB119" s="142">
        <f t="shared" si="207"/>
        <v>4.8000000000000007</v>
      </c>
      <c r="TC119" s="142">
        <f t="shared" si="207"/>
        <v>1.6800000000000002</v>
      </c>
      <c r="TD119" s="142">
        <f t="shared" si="207"/>
        <v>0.72</v>
      </c>
      <c r="TE119" s="124">
        <f>VLOOKUP($A119, 'Grade Enroll 15-16'!$B:$AB, 20, FALSE)</f>
        <v>0</v>
      </c>
      <c r="TF119" s="124">
        <f>VLOOKUP($A119, 'Grade Enroll 15-16'!$B:$AB, 21, FALSE)</f>
        <v>25</v>
      </c>
      <c r="TG119" s="124">
        <f>VLOOKUP($A119, 'Grade Enroll 15-16'!$B:$AB, 22, FALSE)</f>
        <v>88</v>
      </c>
      <c r="TH119" s="124">
        <f>VLOOKUP($A119, 'Grade Enroll 15-16'!$B:$AB, 23, FALSE)</f>
        <v>71</v>
      </c>
      <c r="TI119" s="124">
        <f>VLOOKUP($A119, 'Grade Enroll 15-16'!$B:$AB, 24, FALSE)</f>
        <v>39</v>
      </c>
      <c r="TJ119" s="124">
        <f>VLOOKUP($A119, 'Grade Enroll 15-16'!$B:$AB, 25, FALSE)</f>
        <v>60</v>
      </c>
      <c r="TK119" s="124">
        <f>VLOOKUP($A119, 'Grade Enroll 15-16'!$B:$AB, 26, FALSE)</f>
        <v>176</v>
      </c>
      <c r="TL119" s="131">
        <f>SUMIFS('Student Achievement 15-16'!N:N, 'Student Achievement 15-16'!B:B, 'Idaho Data'!A119, 'Student Achievement 15-16'!D:D, "math")/100</f>
        <v>0.23199999999999998</v>
      </c>
      <c r="TM119" s="134">
        <f t="shared" si="186"/>
        <v>59.855999999999995</v>
      </c>
      <c r="TN119" s="131">
        <f>SUMIFS('Student Achievement 15-16'!N:N, 'Student Achievement 15-16'!B:B, 'Idaho Data'!A119, 'Student Achievement 15-16'!D:D, "ela")/100</f>
        <v>0.17399999999999999</v>
      </c>
      <c r="TO119" s="134">
        <f t="shared" si="134"/>
        <v>44.891999999999996</v>
      </c>
      <c r="TP119" s="688">
        <f>IFERROR(VLOOKUP(A119, 'G&amp;T 15-16'!B:G, 6, FALSE), 0)*1</f>
        <v>5</v>
      </c>
      <c r="TQ119" s="168">
        <f t="shared" si="135"/>
        <v>15.479999999999999</v>
      </c>
      <c r="TU119" s="168">
        <f t="shared" si="136"/>
        <v>44.891999999999996</v>
      </c>
      <c r="TV119" s="168">
        <f t="shared" si="137"/>
        <v>59.855999999999995</v>
      </c>
      <c r="TW119" s="205">
        <f t="shared" si="138"/>
        <v>59.855999999999995</v>
      </c>
      <c r="TX119" s="144"/>
      <c r="TY119" s="129"/>
      <c r="TZ119" s="127">
        <f t="shared" si="139"/>
        <v>5</v>
      </c>
      <c r="UA119" s="127">
        <f t="shared" si="140"/>
        <v>15.479999999999999</v>
      </c>
      <c r="UB119" s="205">
        <f t="shared" si="141"/>
        <v>15.479999999999999</v>
      </c>
      <c r="UE119" s="853" t="str">
        <f>IF(ST119&lt;='1. Simulator Input'!$E$104, "yes", "")</f>
        <v>yes</v>
      </c>
      <c r="UI119" s="199">
        <f t="shared" si="187"/>
        <v>0</v>
      </c>
      <c r="UJ119" s="200">
        <f>IF('Idaho Data'!SI119&gt;=0, ((1-'1. Simulator Input'!$E$39)*'Idaho Data'!SI119), 0)</f>
        <v>0</v>
      </c>
      <c r="UK119" s="200">
        <f t="shared" si="142"/>
        <v>1909115</v>
      </c>
      <c r="UL119" s="39"/>
      <c r="UM119" s="182"/>
      <c r="UN119" s="39"/>
      <c r="UO119" s="39">
        <f>IF(AND('1. Simulator Input'!$E$96="yes", '1. Simulator Input'!$E$98="yes", '1. Simulator Input'!$E$100="hold harmless"), 'Idaho Data'!WN119, IF(AND('1. Simulator Input'!$E$96="yes", '1. Simulator Input'!$E$98="no", '1. Simulator Input'!$E$100="hold harmless"), 'Idaho Data'!WM119, IF(AND('1. Simulator Input'!$E$96="yes", '1. Simulator Input'!$E$98="yes", '1. Simulator Input'!$E$100="small district grant"), WL119,IF(AND('1. Simulator Input'!$E$96="yes", '1. Simulator Input'!$E$98="no", '1. Simulator Input'!$E$100="small district grant"), WK119, ""))))</f>
        <v>0</v>
      </c>
      <c r="UP119" s="200">
        <f>'1. Simulator Input'!$D$56*('Idaho Data'!ST119)</f>
        <v>1425708</v>
      </c>
      <c r="UQ119" s="204">
        <f>'1. Simulator Input'!$D$65*'1. Simulator Input'!$D$56*'Idaho Data'!SU119</f>
        <v>0</v>
      </c>
      <c r="UR119" s="204">
        <f>'1. Simulator Input'!$D$66*'1. Simulator Input'!$D$56*'Idaho Data'!SW119</f>
        <v>0</v>
      </c>
      <c r="US119" s="200">
        <f>'1. Simulator Input'!$D$67*'1. Simulator Input'!$D$56*'Idaho Data'!TA119</f>
        <v>0</v>
      </c>
      <c r="UT119" s="200">
        <f>'1. Simulator Input'!$D$68*'1. Simulator Input'!$D$56*'Idaho Data'!TB119</f>
        <v>0</v>
      </c>
      <c r="UU119" s="200">
        <f>'1. Simulator Input'!$D$69*'1. Simulator Input'!$D$56*'Idaho Data'!TC119</f>
        <v>0</v>
      </c>
      <c r="UV119" s="200">
        <f>'1. Simulator Input'!$D$70*'1. Simulator Input'!$D$56*TD119</f>
        <v>0</v>
      </c>
      <c r="UW119" s="200">
        <f>'1. Simulator Input'!$D$80*'1. Simulator Input'!$D$56*TW119</f>
        <v>0</v>
      </c>
      <c r="UX119" s="200">
        <f>'1. Simulator Input'!$D$79*'1. Simulator Input'!$D$56*UB119</f>
        <v>0</v>
      </c>
      <c r="UY119" s="200">
        <f>'1. Simulator Input'!$D$87*'1. Simulator Input'!$D$56*TF119</f>
        <v>69075</v>
      </c>
      <c r="UZ119" s="200">
        <f>'1. Simulator Input'!$D$73*'1. Simulator Input'!$D$56*'Idaho Data'!TG119</f>
        <v>0</v>
      </c>
      <c r="VA119" s="200">
        <f>'1. Simulator Input'!$D$56*'1. Simulator Input'!$D$74*'Idaho Data'!TH119</f>
        <v>0</v>
      </c>
      <c r="VB119" s="200">
        <f>'1. Simulator Input'!$D$56*'1. Simulator Input'!$D$75*'Idaho Data'!TI114</f>
        <v>0</v>
      </c>
      <c r="VC119" s="200">
        <f>'1. Simulator Input'!$D$76*'1. Simulator Input'!$D$56*'Idaho Data'!TJ119</f>
        <v>0</v>
      </c>
      <c r="VD119" s="200">
        <f t="shared" si="188"/>
        <v>1494783</v>
      </c>
      <c r="VE119" s="200"/>
      <c r="VF119" s="182"/>
      <c r="VG119" s="200"/>
      <c r="VH119" s="200">
        <f t="shared" si="189"/>
        <v>0</v>
      </c>
      <c r="VI119" s="200">
        <f t="shared" si="190"/>
        <v>0</v>
      </c>
      <c r="VJ119" s="200">
        <f t="shared" si="214"/>
        <v>1494783</v>
      </c>
      <c r="VK119" s="200">
        <f t="shared" si="215"/>
        <v>1494783</v>
      </c>
      <c r="VL119" s="200"/>
      <c r="VM119" s="182"/>
      <c r="VN119" s="200"/>
      <c r="VO119" s="200">
        <f t="shared" si="191"/>
        <v>607684</v>
      </c>
      <c r="VP119" s="200">
        <f t="shared" si="192"/>
        <v>1909115</v>
      </c>
      <c r="VQ119" s="200">
        <f t="shared" si="193"/>
        <v>511462</v>
      </c>
      <c r="VR119" s="200">
        <f t="shared" si="194"/>
        <v>607684</v>
      </c>
      <c r="VS119" s="200">
        <f t="shared" si="216"/>
        <v>1494783</v>
      </c>
      <c r="VT119" s="200">
        <f t="shared" si="217"/>
        <v>511462</v>
      </c>
      <c r="VU119" s="200">
        <f t="shared" si="218"/>
        <v>0</v>
      </c>
      <c r="VV119" s="200"/>
      <c r="VW119" s="182"/>
      <c r="VX119" s="200"/>
      <c r="VZ119" s="199">
        <f t="shared" si="195"/>
        <v>-414332</v>
      </c>
      <c r="WA119" s="466">
        <f t="shared" si="196"/>
        <v>-1605.937984496124</v>
      </c>
      <c r="WB119" s="131">
        <f t="shared" si="197"/>
        <v>-0.21702830892848257</v>
      </c>
      <c r="WC119" s="131"/>
      <c r="WD119" s="461"/>
      <c r="WE119" s="893"/>
      <c r="WF119" s="893">
        <f t="shared" si="198"/>
        <v>11737.445736434109</v>
      </c>
      <c r="WG119" s="893">
        <f t="shared" si="199"/>
        <v>10131.507751937985</v>
      </c>
      <c r="WH119" s="893"/>
      <c r="WI119" s="893">
        <f t="shared" si="200"/>
        <v>1909115</v>
      </c>
      <c r="WJ119" s="893">
        <f t="shared" si="219"/>
        <v>1494783</v>
      </c>
      <c r="WK119" s="39">
        <f t="shared" si="220"/>
        <v>0</v>
      </c>
      <c r="WL119" s="39">
        <f t="shared" si="221"/>
        <v>0</v>
      </c>
      <c r="WM119" s="200">
        <f t="shared" si="222"/>
        <v>414332</v>
      </c>
      <c r="WN119" s="39">
        <f t="shared" si="223"/>
        <v>414332</v>
      </c>
      <c r="WO119" s="39"/>
      <c r="WP119" s="182"/>
      <c r="WQ119" s="39"/>
      <c r="WR119" s="305">
        <f t="shared" si="224"/>
        <v>0.60499999999999998</v>
      </c>
      <c r="WT119" s="200">
        <f t="shared" si="225"/>
        <v>7399.6705426356593</v>
      </c>
      <c r="WU119" s="131">
        <f t="shared" si="201"/>
        <v>0.69</v>
      </c>
      <c r="WW119" s="199">
        <f t="shared" si="226"/>
        <v>607684</v>
      </c>
      <c r="WX119" s="199">
        <f t="shared" si="227"/>
        <v>1494783</v>
      </c>
      <c r="WY119" s="199">
        <f t="shared" si="228"/>
        <v>0</v>
      </c>
      <c r="WZ119" s="199">
        <f t="shared" si="202"/>
        <v>1494783</v>
      </c>
      <c r="XA119" s="199">
        <f t="shared" si="229"/>
        <v>0</v>
      </c>
      <c r="XB119" s="199">
        <f t="shared" si="230"/>
        <v>511462</v>
      </c>
      <c r="XC119" s="199">
        <f t="shared" si="231"/>
        <v>511462</v>
      </c>
      <c r="XD119" s="199" t="str">
        <f t="shared" si="232"/>
        <v/>
      </c>
      <c r="XE119" s="199"/>
      <c r="XF119" s="199"/>
      <c r="XG119" s="199"/>
      <c r="XH119" s="199"/>
      <c r="XI119" s="199"/>
      <c r="XJ119" s="199">
        <f t="shared" si="203"/>
        <v>1494783</v>
      </c>
      <c r="XP119" s="199">
        <f t="shared" si="233"/>
        <v>1494783</v>
      </c>
      <c r="XQ119" s="199">
        <f t="shared" si="234"/>
        <v>5793.7325581395353</v>
      </c>
      <c r="XR119" s="199">
        <f t="shared" si="235"/>
        <v>1494783</v>
      </c>
      <c r="XS119" s="199">
        <f t="shared" si="236"/>
        <v>1494783</v>
      </c>
      <c r="XT119" s="199">
        <f t="shared" si="237"/>
        <v>5793.7325581395353</v>
      </c>
      <c r="XU119" s="199">
        <f t="shared" si="238"/>
        <v>1909115</v>
      </c>
      <c r="XV119" s="199">
        <f t="shared" si="239"/>
        <v>7399.6705426356593</v>
      </c>
      <c r="XW119" s="199">
        <f t="shared" si="240"/>
        <v>1909115</v>
      </c>
      <c r="XX119" s="199">
        <f t="shared" si="241"/>
        <v>7399.6705426356593</v>
      </c>
      <c r="XY119" s="199">
        <f t="shared" si="204"/>
        <v>-414332</v>
      </c>
      <c r="XZ119" s="199">
        <f t="shared" si="205"/>
        <v>-1605.937984496124</v>
      </c>
      <c r="YA119" s="131">
        <f t="shared" si="143"/>
        <v>-0.21702830892848257</v>
      </c>
      <c r="YB119" s="199"/>
      <c r="YC119" s="221"/>
      <c r="YD119" s="199"/>
      <c r="YE119" s="199">
        <f t="shared" si="242"/>
        <v>607684</v>
      </c>
      <c r="YF119" s="200">
        <f t="shared" si="243"/>
        <v>0</v>
      </c>
      <c r="YG119" s="199">
        <f t="shared" si="244"/>
        <v>511462</v>
      </c>
      <c r="YH119" s="199">
        <f t="shared" si="245"/>
        <v>174079</v>
      </c>
    </row>
    <row r="120" spans="1:658">
      <c r="A120" s="3">
        <v>421</v>
      </c>
      <c r="B120" s="2" t="s">
        <v>217</v>
      </c>
      <c r="C120" s="24">
        <v>5600905</v>
      </c>
      <c r="D120" s="24">
        <v>0</v>
      </c>
      <c r="E120" s="24">
        <v>0</v>
      </c>
      <c r="F120" s="24">
        <v>0</v>
      </c>
      <c r="G120" s="24">
        <v>0</v>
      </c>
      <c r="H120" s="24">
        <v>0</v>
      </c>
      <c r="I120" s="24">
        <v>0</v>
      </c>
      <c r="J120" s="24">
        <v>38766</v>
      </c>
      <c r="K120" s="24">
        <v>0</v>
      </c>
      <c r="L120" s="24">
        <v>0</v>
      </c>
      <c r="M120" s="24">
        <v>0</v>
      </c>
      <c r="N120" s="24">
        <v>0</v>
      </c>
      <c r="O120" s="24">
        <v>0</v>
      </c>
      <c r="P120" s="24">
        <v>0</v>
      </c>
      <c r="Q120" s="24">
        <v>0</v>
      </c>
      <c r="R120" s="24">
        <v>0</v>
      </c>
      <c r="S120" s="24">
        <v>0</v>
      </c>
      <c r="T120" s="24">
        <v>0</v>
      </c>
      <c r="U120" s="24">
        <v>0</v>
      </c>
      <c r="V120" s="24">
        <v>0</v>
      </c>
      <c r="W120" s="24">
        <v>0</v>
      </c>
      <c r="X120" s="24">
        <v>2403859</v>
      </c>
      <c r="Y120" s="24">
        <v>72404</v>
      </c>
      <c r="Z120" s="24">
        <v>0</v>
      </c>
      <c r="AA120" s="24">
        <v>0</v>
      </c>
      <c r="AB120" s="24">
        <v>0</v>
      </c>
      <c r="AC120" s="24">
        <v>0</v>
      </c>
      <c r="AD120" s="24">
        <v>0</v>
      </c>
      <c r="AE120" s="24">
        <v>0</v>
      </c>
      <c r="AF120" s="24">
        <v>0</v>
      </c>
      <c r="AG120" s="24">
        <v>0</v>
      </c>
      <c r="AH120" s="24">
        <v>0</v>
      </c>
      <c r="AI120" s="24">
        <v>0</v>
      </c>
      <c r="AJ120" s="24">
        <v>0</v>
      </c>
      <c r="AK120" s="24">
        <v>0</v>
      </c>
      <c r="AL120" s="24">
        <v>14830</v>
      </c>
      <c r="AM120" s="24">
        <v>3118</v>
      </c>
      <c r="AN120" s="24">
        <v>0</v>
      </c>
      <c r="AO120" s="24">
        <v>0</v>
      </c>
      <c r="AP120" s="24">
        <v>0</v>
      </c>
      <c r="AQ120" s="24">
        <v>0</v>
      </c>
      <c r="AR120" s="24">
        <v>0</v>
      </c>
      <c r="AS120" s="24">
        <v>0</v>
      </c>
      <c r="AT120" s="24">
        <v>0</v>
      </c>
      <c r="AU120" s="24">
        <v>0</v>
      </c>
      <c r="AV120" s="24">
        <v>0</v>
      </c>
      <c r="AW120" s="24">
        <v>0</v>
      </c>
      <c r="AX120" s="24">
        <v>0</v>
      </c>
      <c r="AY120" s="24">
        <v>0</v>
      </c>
      <c r="AZ120" s="24">
        <v>0</v>
      </c>
      <c r="BA120" s="24">
        <v>0</v>
      </c>
      <c r="BB120" s="24">
        <v>0</v>
      </c>
      <c r="BC120" s="24">
        <v>0</v>
      </c>
      <c r="BD120" s="24">
        <v>4586</v>
      </c>
      <c r="BE120" s="24">
        <v>3637</v>
      </c>
      <c r="BF120" s="24">
        <v>0</v>
      </c>
      <c r="BG120" s="24">
        <v>0</v>
      </c>
      <c r="BH120" s="24">
        <v>0</v>
      </c>
      <c r="BI120" s="24">
        <v>0</v>
      </c>
      <c r="BJ120" s="24">
        <v>0</v>
      </c>
      <c r="BK120" s="24">
        <v>0</v>
      </c>
      <c r="BL120" s="24">
        <v>0</v>
      </c>
      <c r="BM120" s="24">
        <v>0</v>
      </c>
      <c r="BN120" s="24">
        <v>0</v>
      </c>
      <c r="BO120" s="24">
        <v>0</v>
      </c>
      <c r="BP120" s="24">
        <v>0</v>
      </c>
      <c r="BQ120" s="24">
        <v>0</v>
      </c>
      <c r="BR120" s="24">
        <v>0</v>
      </c>
      <c r="BS120" s="24">
        <v>75</v>
      </c>
      <c r="BT120" s="24">
        <v>0</v>
      </c>
      <c r="BU120" s="24">
        <v>0</v>
      </c>
      <c r="BV120" s="24">
        <v>0</v>
      </c>
      <c r="BW120" s="24">
        <v>0</v>
      </c>
      <c r="BX120" s="24">
        <v>0</v>
      </c>
      <c r="BY120" s="24">
        <v>0</v>
      </c>
      <c r="BZ120" s="24">
        <v>0</v>
      </c>
      <c r="CA120" s="24">
        <v>0</v>
      </c>
      <c r="CB120" s="24">
        <v>0</v>
      </c>
      <c r="CC120" s="24">
        <v>0</v>
      </c>
      <c r="CD120" s="24">
        <v>126998</v>
      </c>
      <c r="CE120" s="24">
        <v>0</v>
      </c>
      <c r="CF120" s="24">
        <v>0</v>
      </c>
      <c r="CG120" s="24">
        <v>0</v>
      </c>
      <c r="CH120" s="24">
        <v>0</v>
      </c>
      <c r="CI120" s="24">
        <v>0</v>
      </c>
      <c r="CJ120" s="24">
        <v>0</v>
      </c>
      <c r="CK120" s="24">
        <v>0</v>
      </c>
      <c r="CL120" s="24">
        <v>0</v>
      </c>
      <c r="CM120" s="24">
        <v>0</v>
      </c>
      <c r="CN120" s="24">
        <v>0</v>
      </c>
      <c r="CO120" s="24">
        <v>0</v>
      </c>
      <c r="CP120" s="24">
        <v>0</v>
      </c>
      <c r="CQ120" s="24">
        <v>0</v>
      </c>
      <c r="CR120" s="24">
        <v>0</v>
      </c>
      <c r="CS120" s="24">
        <v>19014</v>
      </c>
      <c r="CT120" s="24">
        <v>0</v>
      </c>
      <c r="CU120" s="24">
        <v>0</v>
      </c>
      <c r="CV120" s="24">
        <v>0</v>
      </c>
      <c r="CW120" s="24">
        <v>0</v>
      </c>
      <c r="CX120" s="24">
        <v>0</v>
      </c>
      <c r="CY120" s="24">
        <v>0</v>
      </c>
      <c r="CZ120" s="24">
        <v>0</v>
      </c>
      <c r="DA120" s="24">
        <v>0</v>
      </c>
      <c r="DB120" s="24">
        <v>17000</v>
      </c>
      <c r="DC120" s="24">
        <v>0</v>
      </c>
      <c r="DD120" s="24">
        <v>0</v>
      </c>
      <c r="DE120" s="24">
        <v>0</v>
      </c>
      <c r="DF120" s="24">
        <v>0</v>
      </c>
      <c r="DG120" s="24">
        <v>0</v>
      </c>
      <c r="DH120" s="24">
        <v>0</v>
      </c>
      <c r="DI120" s="24">
        <v>0</v>
      </c>
      <c r="DJ120" s="24">
        <v>0</v>
      </c>
      <c r="DK120" s="24">
        <v>0</v>
      </c>
      <c r="DL120" s="24">
        <v>0</v>
      </c>
      <c r="DM120" s="24">
        <v>0</v>
      </c>
      <c r="DN120" s="24">
        <v>0</v>
      </c>
      <c r="DO120" s="24">
        <v>0</v>
      </c>
      <c r="DP120" s="24">
        <v>0</v>
      </c>
      <c r="DQ120" s="24">
        <v>0</v>
      </c>
      <c r="DR120" s="24">
        <v>0</v>
      </c>
      <c r="DS120" s="24">
        <v>0</v>
      </c>
      <c r="DT120" s="24">
        <v>0</v>
      </c>
      <c r="DU120" s="24">
        <v>6988</v>
      </c>
      <c r="DV120" s="24">
        <v>0</v>
      </c>
      <c r="DW120" s="24">
        <v>1170</v>
      </c>
      <c r="DX120" s="24">
        <v>0</v>
      </c>
      <c r="DY120" s="24">
        <v>0</v>
      </c>
      <c r="DZ120" s="24">
        <v>0</v>
      </c>
      <c r="EA120" s="24">
        <v>0</v>
      </c>
      <c r="EB120" s="24">
        <v>0</v>
      </c>
      <c r="EC120" s="24">
        <v>0</v>
      </c>
      <c r="ED120" s="24">
        <v>0</v>
      </c>
      <c r="EE120" s="24">
        <v>0</v>
      </c>
      <c r="EF120" s="24">
        <v>0</v>
      </c>
      <c r="EG120" s="24">
        <v>0</v>
      </c>
      <c r="EH120" s="24">
        <v>0</v>
      </c>
      <c r="EI120" s="24">
        <v>4708</v>
      </c>
      <c r="EJ120" s="24">
        <v>0</v>
      </c>
      <c r="EK120" s="24">
        <v>0</v>
      </c>
      <c r="EL120" s="24">
        <v>0</v>
      </c>
      <c r="EM120" s="24">
        <v>0</v>
      </c>
      <c r="EN120" s="24">
        <v>0</v>
      </c>
      <c r="EO120" s="24">
        <v>0</v>
      </c>
      <c r="EP120" s="24">
        <v>0</v>
      </c>
      <c r="EQ120" s="24">
        <v>0</v>
      </c>
      <c r="ER120" s="24">
        <v>0</v>
      </c>
      <c r="ES120" s="24">
        <v>0</v>
      </c>
      <c r="ET120" s="24">
        <v>0</v>
      </c>
      <c r="EU120" s="24">
        <v>0</v>
      </c>
      <c r="EV120" s="24">
        <v>0</v>
      </c>
      <c r="EW120" s="24">
        <v>0</v>
      </c>
      <c r="EX120" s="24">
        <v>0</v>
      </c>
      <c r="EY120" s="24">
        <v>0</v>
      </c>
      <c r="EZ120" s="24">
        <v>0</v>
      </c>
      <c r="FA120" s="24">
        <v>0</v>
      </c>
      <c r="FB120" s="24">
        <v>2494</v>
      </c>
      <c r="FC120" s="24">
        <v>0</v>
      </c>
      <c r="FD120" s="24">
        <v>0</v>
      </c>
      <c r="FE120" s="24">
        <v>0</v>
      </c>
      <c r="FF120" s="24">
        <v>0</v>
      </c>
      <c r="FG120" s="24">
        <v>0</v>
      </c>
      <c r="FH120" s="24">
        <v>0</v>
      </c>
      <c r="FI120" s="24">
        <v>1607</v>
      </c>
      <c r="FJ120" s="24">
        <v>0</v>
      </c>
      <c r="FK120" s="24">
        <v>0</v>
      </c>
      <c r="FL120" s="24">
        <v>0</v>
      </c>
      <c r="FM120" s="24">
        <v>0</v>
      </c>
      <c r="FN120" s="24">
        <v>0</v>
      </c>
      <c r="FO120" s="24">
        <v>0</v>
      </c>
      <c r="FP120" s="24">
        <v>0</v>
      </c>
      <c r="FQ120" s="24">
        <v>0</v>
      </c>
      <c r="FR120" s="24">
        <v>0</v>
      </c>
      <c r="FS120" s="24">
        <v>19521</v>
      </c>
      <c r="FT120" s="24">
        <v>0</v>
      </c>
      <c r="FU120" s="24">
        <v>0</v>
      </c>
      <c r="FV120" s="24">
        <v>0</v>
      </c>
      <c r="FW120" s="24">
        <v>0</v>
      </c>
      <c r="FX120" s="24">
        <v>0</v>
      </c>
      <c r="FY120" s="24">
        <v>0</v>
      </c>
      <c r="FZ120" s="24">
        <v>0</v>
      </c>
      <c r="GA120" s="24">
        <v>0</v>
      </c>
      <c r="GB120" s="24">
        <v>0</v>
      </c>
      <c r="GC120" s="24">
        <v>0</v>
      </c>
      <c r="GD120" s="24">
        <v>0</v>
      </c>
      <c r="GE120" s="24">
        <v>0</v>
      </c>
      <c r="GF120" s="24">
        <v>0</v>
      </c>
      <c r="GG120" s="24">
        <v>464</v>
      </c>
      <c r="GH120" s="24">
        <v>0</v>
      </c>
      <c r="GI120" s="24">
        <v>0</v>
      </c>
      <c r="GJ120" s="24">
        <v>0</v>
      </c>
      <c r="GK120" s="24">
        <v>0</v>
      </c>
      <c r="GL120" s="24">
        <v>0</v>
      </c>
      <c r="GM120" s="24">
        <v>0</v>
      </c>
      <c r="GN120" s="24">
        <v>0</v>
      </c>
      <c r="GO120" s="24">
        <v>0</v>
      </c>
      <c r="GP120" s="24">
        <v>0</v>
      </c>
      <c r="GQ120" s="24">
        <v>0</v>
      </c>
      <c r="GR120" s="24">
        <v>0</v>
      </c>
      <c r="GS120" s="24">
        <v>0</v>
      </c>
      <c r="GT120" s="24">
        <v>0</v>
      </c>
      <c r="GU120" s="24">
        <v>0</v>
      </c>
      <c r="GV120" s="24">
        <v>0</v>
      </c>
      <c r="GW120" s="24">
        <v>0</v>
      </c>
      <c r="GX120" s="24">
        <v>0</v>
      </c>
      <c r="GY120" s="24">
        <v>0</v>
      </c>
      <c r="GZ120" s="24">
        <v>0</v>
      </c>
      <c r="HA120" s="24">
        <v>0</v>
      </c>
      <c r="HB120" s="24">
        <v>0</v>
      </c>
      <c r="HC120" s="24">
        <v>10000</v>
      </c>
      <c r="HD120" s="24">
        <v>4570555</v>
      </c>
      <c r="HE120" s="24">
        <v>0</v>
      </c>
      <c r="HF120" s="24">
        <v>0</v>
      </c>
      <c r="HG120" s="24">
        <v>0</v>
      </c>
      <c r="HH120" s="24">
        <v>0</v>
      </c>
      <c r="HI120" s="24">
        <v>421977</v>
      </c>
      <c r="HJ120" s="24">
        <v>0</v>
      </c>
      <c r="HK120" s="24">
        <v>0</v>
      </c>
      <c r="HL120" s="24">
        <v>0</v>
      </c>
      <c r="HM120" s="24">
        <v>0</v>
      </c>
      <c r="HN120" s="24">
        <v>45596</v>
      </c>
      <c r="HO120" s="24">
        <v>609495</v>
      </c>
      <c r="HP120" s="24">
        <v>182762</v>
      </c>
      <c r="HQ120" s="24">
        <v>0</v>
      </c>
      <c r="HR120" s="24">
        <v>0</v>
      </c>
      <c r="HS120" s="24">
        <v>0</v>
      </c>
      <c r="HT120" s="24">
        <v>0</v>
      </c>
      <c r="HU120" s="24">
        <v>0</v>
      </c>
      <c r="HV120" s="24">
        <v>0</v>
      </c>
      <c r="HW120" s="24">
        <v>0</v>
      </c>
      <c r="HX120" s="24">
        <v>0</v>
      </c>
      <c r="HY120" s="24">
        <v>24826</v>
      </c>
      <c r="HZ120" s="24">
        <v>0</v>
      </c>
      <c r="IA120" s="24">
        <v>63347</v>
      </c>
      <c r="IB120" s="24">
        <v>14649</v>
      </c>
      <c r="IC120" s="24">
        <v>0</v>
      </c>
      <c r="ID120" s="24">
        <v>0</v>
      </c>
      <c r="IE120" s="24">
        <v>0</v>
      </c>
      <c r="IF120" s="24">
        <v>0</v>
      </c>
      <c r="IG120" s="24">
        <v>0</v>
      </c>
      <c r="IH120" s="24">
        <v>0</v>
      </c>
      <c r="II120" s="24">
        <v>0</v>
      </c>
      <c r="IJ120" s="24">
        <v>0</v>
      </c>
      <c r="IK120" s="24">
        <v>0</v>
      </c>
      <c r="IL120" s="24">
        <v>0</v>
      </c>
      <c r="IM120" s="24">
        <v>0</v>
      </c>
      <c r="IN120" s="24">
        <v>0</v>
      </c>
      <c r="IO120" s="24">
        <v>6018</v>
      </c>
      <c r="IP120" s="24">
        <v>0</v>
      </c>
      <c r="IQ120" s="24">
        <v>0</v>
      </c>
      <c r="IR120" s="24">
        <v>0</v>
      </c>
      <c r="IS120" s="24">
        <v>0</v>
      </c>
      <c r="IT120" s="24">
        <v>0</v>
      </c>
      <c r="IU120" s="24">
        <v>0</v>
      </c>
      <c r="IV120" s="24">
        <v>0</v>
      </c>
      <c r="IW120" s="24">
        <v>59046</v>
      </c>
      <c r="IX120" s="24">
        <v>0</v>
      </c>
      <c r="IY120" s="24">
        <v>0</v>
      </c>
      <c r="IZ120" s="24">
        <v>0</v>
      </c>
      <c r="JA120" s="24">
        <v>0</v>
      </c>
      <c r="JB120" s="24">
        <v>31457</v>
      </c>
      <c r="JC120" s="24">
        <v>0</v>
      </c>
      <c r="JD120" s="24">
        <v>0</v>
      </c>
      <c r="JE120" s="24">
        <v>0</v>
      </c>
      <c r="JF120" s="24">
        <v>0</v>
      </c>
      <c r="JG120" s="24">
        <v>0</v>
      </c>
      <c r="JH120" s="24">
        <v>0</v>
      </c>
      <c r="JI120" s="24">
        <v>0</v>
      </c>
      <c r="JJ120" s="24">
        <v>0</v>
      </c>
      <c r="JK120" s="24">
        <v>0</v>
      </c>
      <c r="JL120" s="24">
        <v>0</v>
      </c>
      <c r="JM120" s="24">
        <v>0</v>
      </c>
      <c r="JN120" s="24">
        <v>0</v>
      </c>
      <c r="JO120" s="24">
        <v>0</v>
      </c>
      <c r="JP120" s="24">
        <v>0</v>
      </c>
      <c r="JQ120" s="24">
        <v>0</v>
      </c>
      <c r="JR120" s="24">
        <v>0</v>
      </c>
      <c r="JS120" s="24">
        <v>0</v>
      </c>
      <c r="JT120" s="24">
        <v>0</v>
      </c>
      <c r="JU120" s="24">
        <v>0</v>
      </c>
      <c r="JV120" s="24">
        <v>0</v>
      </c>
      <c r="JW120" s="24">
        <v>0</v>
      </c>
      <c r="JX120" s="24">
        <v>0</v>
      </c>
      <c r="JY120" s="24">
        <v>0</v>
      </c>
      <c r="JZ120" s="24">
        <v>0</v>
      </c>
      <c r="KA120" s="24">
        <v>0</v>
      </c>
      <c r="KB120" s="24">
        <v>0</v>
      </c>
      <c r="KC120" s="24">
        <v>0</v>
      </c>
      <c r="KD120" s="24">
        <v>0</v>
      </c>
      <c r="KE120" s="24">
        <v>0</v>
      </c>
      <c r="KF120" s="24">
        <v>0</v>
      </c>
      <c r="KG120" s="24">
        <v>398282</v>
      </c>
      <c r="KH120" s="24">
        <v>0</v>
      </c>
      <c r="KI120" s="24">
        <v>0</v>
      </c>
      <c r="KJ120" s="24">
        <v>0</v>
      </c>
      <c r="KK120" s="24">
        <v>0</v>
      </c>
      <c r="KL120" s="24">
        <v>0</v>
      </c>
      <c r="KM120" s="24">
        <v>0</v>
      </c>
      <c r="KN120" s="24">
        <v>0</v>
      </c>
      <c r="KO120" s="24">
        <v>0</v>
      </c>
      <c r="KP120" s="24">
        <v>0</v>
      </c>
      <c r="KQ120" s="24">
        <v>0</v>
      </c>
      <c r="KR120" s="24">
        <v>0</v>
      </c>
      <c r="KS120" s="24">
        <v>0</v>
      </c>
      <c r="KT120" s="24">
        <v>0</v>
      </c>
      <c r="KU120" s="24">
        <v>0</v>
      </c>
      <c r="KV120" s="24">
        <v>0</v>
      </c>
      <c r="KW120" s="24">
        <v>0</v>
      </c>
      <c r="KX120" s="24">
        <v>0</v>
      </c>
      <c r="KY120" s="24">
        <v>0</v>
      </c>
      <c r="KZ120" s="24">
        <v>0</v>
      </c>
      <c r="LA120" s="24">
        <v>0</v>
      </c>
      <c r="LB120" s="24">
        <v>0</v>
      </c>
      <c r="LC120" s="24">
        <v>0</v>
      </c>
      <c r="LD120" s="24">
        <v>0</v>
      </c>
      <c r="LE120" s="24">
        <v>0</v>
      </c>
      <c r="LF120" s="24">
        <v>0</v>
      </c>
      <c r="LG120" s="24">
        <v>0</v>
      </c>
      <c r="LH120" s="24">
        <v>0</v>
      </c>
      <c r="LI120" s="24">
        <v>0</v>
      </c>
      <c r="LJ120" s="24">
        <v>0</v>
      </c>
      <c r="LK120" s="24">
        <v>0</v>
      </c>
      <c r="LL120" s="24">
        <v>0</v>
      </c>
      <c r="LM120" s="24">
        <v>0</v>
      </c>
      <c r="LN120" s="24">
        <v>0</v>
      </c>
      <c r="LO120" s="24">
        <v>0</v>
      </c>
      <c r="LP120" s="24">
        <v>0</v>
      </c>
      <c r="LQ120" s="24">
        <v>147416</v>
      </c>
      <c r="LR120" s="24">
        <v>0</v>
      </c>
      <c r="LS120" s="24">
        <v>0</v>
      </c>
      <c r="LT120" s="24">
        <v>0</v>
      </c>
      <c r="LU120" s="24">
        <v>0</v>
      </c>
      <c r="LV120" s="24">
        <v>0</v>
      </c>
      <c r="LW120" s="24">
        <v>0</v>
      </c>
      <c r="LX120" s="24">
        <v>0</v>
      </c>
      <c r="LY120" s="24">
        <v>0</v>
      </c>
      <c r="LZ120" s="24">
        <v>0</v>
      </c>
      <c r="MA120" s="24">
        <v>0</v>
      </c>
      <c r="MB120" s="24">
        <v>0</v>
      </c>
      <c r="MC120" s="24">
        <v>0</v>
      </c>
      <c r="MD120" s="24">
        <v>0</v>
      </c>
      <c r="ME120" s="24">
        <v>0</v>
      </c>
      <c r="MF120" s="24">
        <v>0</v>
      </c>
      <c r="MG120" s="24">
        <v>0</v>
      </c>
      <c r="MH120" s="24">
        <v>0</v>
      </c>
      <c r="MI120" s="24">
        <v>0</v>
      </c>
      <c r="MJ120" s="24">
        <v>0</v>
      </c>
      <c r="MK120" s="24">
        <v>0</v>
      </c>
      <c r="ML120" s="24">
        <v>9018</v>
      </c>
      <c r="MM120" s="24">
        <v>0</v>
      </c>
      <c r="MN120" s="24">
        <v>0</v>
      </c>
      <c r="MO120" s="24">
        <v>0</v>
      </c>
      <c r="MP120" s="24">
        <v>0</v>
      </c>
      <c r="MQ120" s="24">
        <v>0</v>
      </c>
      <c r="MR120" s="24">
        <v>192511</v>
      </c>
      <c r="MS120" s="24">
        <v>0</v>
      </c>
      <c r="MT120" s="24">
        <v>0</v>
      </c>
      <c r="MU120" s="24">
        <v>0</v>
      </c>
      <c r="MV120" s="24">
        <v>0</v>
      </c>
      <c r="MW120" s="24">
        <v>174536</v>
      </c>
      <c r="MX120" s="24">
        <v>7537</v>
      </c>
      <c r="MY120" s="24">
        <v>0</v>
      </c>
      <c r="MZ120" s="24">
        <v>0</v>
      </c>
      <c r="NA120" s="24">
        <v>0</v>
      </c>
      <c r="NB120" s="24">
        <v>0</v>
      </c>
      <c r="NC120" s="24">
        <v>0</v>
      </c>
      <c r="ND120" s="24">
        <v>0</v>
      </c>
      <c r="NE120" s="24">
        <v>0</v>
      </c>
      <c r="NF120" s="24">
        <v>0</v>
      </c>
      <c r="NG120" s="24">
        <v>0</v>
      </c>
      <c r="NH120" s="24">
        <v>0</v>
      </c>
      <c r="NI120" s="24">
        <v>0</v>
      </c>
      <c r="NJ120" s="24">
        <v>0</v>
      </c>
      <c r="NK120" s="24">
        <v>0</v>
      </c>
      <c r="NL120" s="24">
        <v>0</v>
      </c>
      <c r="NM120" s="24">
        <v>0</v>
      </c>
      <c r="NN120" s="24">
        <v>0</v>
      </c>
      <c r="NO120" s="24">
        <v>0</v>
      </c>
      <c r="NP120" s="24">
        <v>0</v>
      </c>
      <c r="NQ120" s="24">
        <v>0</v>
      </c>
      <c r="NR120" s="24">
        <v>0</v>
      </c>
      <c r="NS120" s="24">
        <v>0</v>
      </c>
      <c r="NT120" s="24">
        <v>0</v>
      </c>
      <c r="NU120" s="24">
        <v>0</v>
      </c>
      <c r="NV120" s="24">
        <v>49637</v>
      </c>
      <c r="NW120" s="24">
        <v>0</v>
      </c>
      <c r="NX120" s="24">
        <v>0</v>
      </c>
      <c r="NY120" s="24">
        <v>0</v>
      </c>
      <c r="NZ120" s="24">
        <v>0</v>
      </c>
      <c r="OA120" s="24">
        <v>0</v>
      </c>
      <c r="OB120" s="24">
        <v>0</v>
      </c>
      <c r="OC120" s="24">
        <v>0</v>
      </c>
      <c r="OD120" s="24">
        <v>0</v>
      </c>
      <c r="OE120" s="24">
        <v>0</v>
      </c>
      <c r="OF120" s="24">
        <v>0</v>
      </c>
      <c r="OG120" s="24">
        <v>0</v>
      </c>
      <c r="OH120" s="24">
        <v>0</v>
      </c>
      <c r="OI120" s="24">
        <v>0</v>
      </c>
      <c r="OJ120" s="24">
        <v>0</v>
      </c>
      <c r="OK120" s="24">
        <v>23333</v>
      </c>
      <c r="OL120" s="24">
        <v>0</v>
      </c>
      <c r="OM120" s="24">
        <v>0</v>
      </c>
      <c r="ON120" s="24">
        <v>0</v>
      </c>
      <c r="OO120" s="24">
        <v>0</v>
      </c>
      <c r="OP120" s="24">
        <v>0</v>
      </c>
      <c r="OQ120" s="24">
        <v>0</v>
      </c>
      <c r="OR120" s="24">
        <v>0</v>
      </c>
      <c r="OS120" s="24">
        <v>0</v>
      </c>
      <c r="OT120" s="24">
        <v>0</v>
      </c>
      <c r="OU120" s="24">
        <v>0</v>
      </c>
      <c r="OV120" s="24">
        <v>0</v>
      </c>
      <c r="OW120" s="24">
        <v>0</v>
      </c>
      <c r="OX120" s="24">
        <v>0</v>
      </c>
      <c r="OY120" s="24">
        <v>0</v>
      </c>
      <c r="OZ120" s="24">
        <v>0</v>
      </c>
      <c r="PA120" s="24">
        <v>0</v>
      </c>
      <c r="PB120" s="24">
        <v>0</v>
      </c>
      <c r="PC120" s="24">
        <v>0</v>
      </c>
      <c r="PD120" s="24">
        <v>0</v>
      </c>
      <c r="PE120" s="24">
        <v>0</v>
      </c>
      <c r="PF120" s="24">
        <v>0</v>
      </c>
      <c r="PG120" s="24">
        <v>0</v>
      </c>
      <c r="PH120" s="24">
        <v>0</v>
      </c>
      <c r="PI120" s="24">
        <v>0</v>
      </c>
      <c r="PJ120" s="24">
        <v>0</v>
      </c>
      <c r="PK120" s="24">
        <v>0</v>
      </c>
      <c r="PL120" s="24">
        <v>0</v>
      </c>
      <c r="PM120" s="24">
        <v>0</v>
      </c>
      <c r="PN120" s="24">
        <v>0</v>
      </c>
      <c r="PO120" s="24">
        <v>0</v>
      </c>
      <c r="PP120" s="24">
        <v>0</v>
      </c>
      <c r="PQ120" s="24">
        <v>0</v>
      </c>
      <c r="PR120" s="24">
        <v>0</v>
      </c>
      <c r="PS120" s="24">
        <v>0</v>
      </c>
      <c r="PT120" s="24">
        <v>0</v>
      </c>
      <c r="PU120" s="24">
        <v>0</v>
      </c>
      <c r="PV120" s="24">
        <v>0</v>
      </c>
      <c r="PW120" s="24">
        <v>0</v>
      </c>
      <c r="PX120" s="24">
        <v>0</v>
      </c>
      <c r="PY120" s="24">
        <v>0</v>
      </c>
      <c r="PZ120" s="24">
        <v>0</v>
      </c>
      <c r="QA120" s="24">
        <v>0</v>
      </c>
      <c r="QB120" s="24">
        <v>0</v>
      </c>
      <c r="QC120" s="24">
        <v>0</v>
      </c>
      <c r="QD120" s="24">
        <v>0</v>
      </c>
      <c r="QE120" s="24">
        <v>0</v>
      </c>
      <c r="QF120" s="24">
        <v>0</v>
      </c>
      <c r="QG120" s="24">
        <v>0</v>
      </c>
      <c r="QH120" s="24">
        <v>0</v>
      </c>
      <c r="QI120" s="24">
        <v>0</v>
      </c>
      <c r="QJ120" s="24">
        <v>0</v>
      </c>
      <c r="QK120" s="24">
        <v>0</v>
      </c>
      <c r="QL120" s="24">
        <v>0</v>
      </c>
      <c r="QM120" s="24">
        <v>0</v>
      </c>
      <c r="QN120" s="24">
        <v>0</v>
      </c>
      <c r="QO120" s="24">
        <v>0</v>
      </c>
      <c r="QP120" s="24">
        <v>0</v>
      </c>
      <c r="QQ120" s="24">
        <v>0</v>
      </c>
      <c r="QR120" s="24">
        <v>0</v>
      </c>
      <c r="QS120" s="24">
        <v>30000</v>
      </c>
      <c r="QT120" s="24">
        <v>0</v>
      </c>
      <c r="QU120" s="24">
        <v>110000</v>
      </c>
      <c r="QV120" s="24">
        <v>0</v>
      </c>
      <c r="QW120" s="24">
        <v>0</v>
      </c>
      <c r="QX120" s="24">
        <v>0</v>
      </c>
      <c r="QY120" s="24">
        <v>0</v>
      </c>
      <c r="QZ120" s="24">
        <v>0</v>
      </c>
      <c r="RA120" s="24">
        <v>0</v>
      </c>
      <c r="RB120" s="24">
        <v>0</v>
      </c>
      <c r="RG120" s="39">
        <f t="shared" si="129"/>
        <v>4570555</v>
      </c>
      <c r="RH120" s="39">
        <f t="shared" si="247"/>
        <v>421977</v>
      </c>
      <c r="RI120" s="39">
        <f t="shared" si="247"/>
        <v>0</v>
      </c>
      <c r="RJ120" s="39">
        <f t="shared" si="247"/>
        <v>0</v>
      </c>
      <c r="RK120" s="39">
        <f t="shared" si="247"/>
        <v>45596</v>
      </c>
      <c r="RL120" s="39">
        <f t="shared" si="247"/>
        <v>609495</v>
      </c>
      <c r="RM120" s="39">
        <f t="shared" si="247"/>
        <v>285584</v>
      </c>
      <c r="RN120" s="39">
        <f t="shared" si="247"/>
        <v>6018</v>
      </c>
      <c r="RO120" s="39">
        <f t="shared" si="247"/>
        <v>0</v>
      </c>
      <c r="RP120" s="39">
        <f t="shared" si="247"/>
        <v>59046</v>
      </c>
      <c r="RQ120" s="39">
        <f t="shared" si="247"/>
        <v>31457</v>
      </c>
      <c r="RR120" s="39">
        <f t="shared" si="247"/>
        <v>0</v>
      </c>
      <c r="RS120" s="39"/>
      <c r="RT120" s="182"/>
      <c r="RU120" s="39"/>
      <c r="RV120" s="39">
        <f t="shared" si="246"/>
        <v>1002270</v>
      </c>
      <c r="RW120" s="39">
        <f t="shared" si="246"/>
        <v>6029728</v>
      </c>
      <c r="RX120" s="39">
        <f t="shared" si="246"/>
        <v>8342144</v>
      </c>
      <c r="RY120" s="39">
        <f t="shared" si="246"/>
        <v>140000</v>
      </c>
      <c r="RZ120" s="39"/>
      <c r="SA120" s="182"/>
      <c r="SB120" s="39"/>
      <c r="SC120" s="25">
        <f t="shared" si="183"/>
        <v>8609.0237358101131</v>
      </c>
      <c r="SD120" s="39">
        <f>IFERROR(VLOOKUP(A120, 'Levy Data 15-16'!$B:$O, 3, FALSE), 0)</f>
        <v>2839424425</v>
      </c>
      <c r="SE120" s="39">
        <f t="shared" si="208"/>
        <v>2930262.5644994839</v>
      </c>
      <c r="SF120" s="631">
        <f>IFERROR(VLOOKUP(A120, 'Levy Data 15-16'!$B:$O, 14, FALSE), 0)*1000</f>
        <v>2.8375490000000001</v>
      </c>
      <c r="SG120" s="39">
        <f t="shared" si="209"/>
        <v>0</v>
      </c>
      <c r="SH120" s="39">
        <f t="shared" si="210"/>
        <v>0</v>
      </c>
      <c r="SI120" s="39">
        <f t="shared" si="211"/>
        <v>8342144</v>
      </c>
      <c r="SM120" s="39">
        <f t="shared" si="212"/>
        <v>6029728</v>
      </c>
      <c r="SN120" s="39">
        <f t="shared" si="213"/>
        <v>0</v>
      </c>
      <c r="SO120" s="39">
        <f t="shared" si="184"/>
        <v>6029728</v>
      </c>
      <c r="SP120" s="50">
        <f t="shared" si="130"/>
        <v>1</v>
      </c>
      <c r="ST120" s="124">
        <f>IFERROR(VLOOKUP(A120,'Grade Enroll 15-16'!B:AC,27,FALSE),"")</f>
        <v>969</v>
      </c>
      <c r="SU120" s="124">
        <f t="shared" si="185"/>
        <v>326.10576923076928</v>
      </c>
      <c r="SV120" s="131">
        <f>IFERROR(VLOOKUP($A120, 'Title I Enroll 16-17'!S:V, 4, FALSE), 0)</f>
        <v>0.33653846153846156</v>
      </c>
      <c r="SW120" s="729">
        <f>IFERROR(VLOOKUP(A120, 'ELL Enroll 15-16'!$N:$S, 6, FALSE), 0)</f>
        <v>45</v>
      </c>
      <c r="SX120" s="131">
        <f t="shared" si="131"/>
        <v>4.6439628482972138E-2</v>
      </c>
      <c r="SY120" s="124">
        <f>IFERROR(VLOOKUP(A120, 'SPED enroll 2015-16'!$M:$O, 3, FALSE), 0)</f>
        <v>121</v>
      </c>
      <c r="SZ120" s="131">
        <f t="shared" si="132"/>
        <v>0.12487100103199174</v>
      </c>
      <c r="TA120" s="142">
        <f t="shared" si="207"/>
        <v>84.699999999999989</v>
      </c>
      <c r="TB120" s="142">
        <f t="shared" si="207"/>
        <v>24.200000000000003</v>
      </c>
      <c r="TC120" s="142">
        <f t="shared" si="207"/>
        <v>8.4700000000000006</v>
      </c>
      <c r="TD120" s="142">
        <f t="shared" si="207"/>
        <v>3.63</v>
      </c>
      <c r="TE120" s="124">
        <f>VLOOKUP($A120, 'Grade Enroll 15-16'!$B:$AB, 20, FALSE)</f>
        <v>7</v>
      </c>
      <c r="TF120" s="124">
        <f>VLOOKUP($A120, 'Grade Enroll 15-16'!$B:$AB, 21, FALSE)</f>
        <v>70</v>
      </c>
      <c r="TG120" s="124">
        <f>VLOOKUP($A120, 'Grade Enroll 15-16'!$B:$AB, 22, FALSE)</f>
        <v>269</v>
      </c>
      <c r="TH120" s="124">
        <f>VLOOKUP($A120, 'Grade Enroll 15-16'!$B:$AB, 23, FALSE)</f>
        <v>231</v>
      </c>
      <c r="TI120" s="124">
        <f>VLOOKUP($A120, 'Grade Enroll 15-16'!$B:$AB, 24, FALSE)</f>
        <v>179</v>
      </c>
      <c r="TJ120" s="124">
        <f>VLOOKUP($A120, 'Grade Enroll 15-16'!$B:$AB, 25, FALSE)</f>
        <v>290</v>
      </c>
      <c r="TK120" s="124">
        <f>VLOOKUP($A120, 'Grade Enroll 15-16'!$B:$AB, 26, FALSE)</f>
        <v>651</v>
      </c>
      <c r="TL120" s="131">
        <f>SUMIFS('Student Achievement 15-16'!N:N, 'Student Achievement 15-16'!B:B, 'Idaho Data'!A120, 'Student Achievement 15-16'!D:D, "math")/100</f>
        <v>0.19600000000000001</v>
      </c>
      <c r="TM120" s="134">
        <f t="shared" si="186"/>
        <v>189.92400000000001</v>
      </c>
      <c r="TN120" s="131">
        <f>SUMIFS('Student Achievement 15-16'!N:N, 'Student Achievement 15-16'!B:B, 'Idaho Data'!A120, 'Student Achievement 15-16'!D:D, "ela")/100</f>
        <v>0.11699999999999999</v>
      </c>
      <c r="TO120" s="134">
        <f t="shared" si="134"/>
        <v>113.37299999999999</v>
      </c>
      <c r="TP120" s="688">
        <f>IFERROR(VLOOKUP(A120, 'G&amp;T 15-16'!B:G, 6, FALSE), 0)*1</f>
        <v>42</v>
      </c>
      <c r="TQ120" s="168">
        <f t="shared" si="135"/>
        <v>58.14</v>
      </c>
      <c r="TU120" s="168">
        <f t="shared" si="136"/>
        <v>113.37299999999999</v>
      </c>
      <c r="TV120" s="168">
        <f t="shared" si="137"/>
        <v>189.92400000000001</v>
      </c>
      <c r="TW120" s="205">
        <f t="shared" si="138"/>
        <v>189.92400000000001</v>
      </c>
      <c r="TX120" s="144"/>
      <c r="TY120" s="129"/>
      <c r="TZ120" s="127">
        <f t="shared" si="139"/>
        <v>42</v>
      </c>
      <c r="UA120" s="127">
        <f t="shared" si="140"/>
        <v>58.14</v>
      </c>
      <c r="UB120" s="205">
        <f t="shared" si="141"/>
        <v>58.14</v>
      </c>
      <c r="UE120" s="853" t="str">
        <f>IF(ST120&lt;='1. Simulator Input'!$E$104, "yes", "")</f>
        <v/>
      </c>
      <c r="UI120" s="199">
        <f t="shared" si="187"/>
        <v>0</v>
      </c>
      <c r="UJ120" s="200">
        <f>IF('Idaho Data'!SI120&gt;=0, ((1-'1. Simulator Input'!$E$39)*'Idaho Data'!SI120), 0)</f>
        <v>0</v>
      </c>
      <c r="UK120" s="200">
        <f t="shared" si="142"/>
        <v>6029728</v>
      </c>
      <c r="UL120" s="39"/>
      <c r="UM120" s="182"/>
      <c r="UN120" s="39"/>
      <c r="UO120" s="39" t="str">
        <f>IF(AND('1. Simulator Input'!$E$96="yes", '1. Simulator Input'!$E$98="yes", '1. Simulator Input'!$E$100="hold harmless"), 'Idaho Data'!WN120, IF(AND('1. Simulator Input'!$E$96="yes", '1. Simulator Input'!$E$98="no", '1. Simulator Input'!$E$100="hold harmless"), 'Idaho Data'!WM120, IF(AND('1. Simulator Input'!$E$96="yes", '1. Simulator Input'!$E$98="yes", '1. Simulator Input'!$E$100="small district grant"), WL120,IF(AND('1. Simulator Input'!$E$96="yes", '1. Simulator Input'!$E$98="no", '1. Simulator Input'!$E$100="small district grant"), WK120, ""))))</f>
        <v/>
      </c>
      <c r="UP120" s="200">
        <f>'1. Simulator Input'!$D$56*('Idaho Data'!ST120)</f>
        <v>5354694</v>
      </c>
      <c r="UQ120" s="204">
        <f>'1. Simulator Input'!$D$65*'1. Simulator Input'!$D$56*'Idaho Data'!SU120</f>
        <v>0</v>
      </c>
      <c r="UR120" s="204">
        <f>'1. Simulator Input'!$D$66*'1. Simulator Input'!$D$56*'Idaho Data'!SW120</f>
        <v>0</v>
      </c>
      <c r="US120" s="200">
        <f>'1. Simulator Input'!$D$67*'1. Simulator Input'!$D$56*'Idaho Data'!TA120</f>
        <v>0</v>
      </c>
      <c r="UT120" s="200">
        <f>'1. Simulator Input'!$D$68*'1. Simulator Input'!$D$56*'Idaho Data'!TB120</f>
        <v>0</v>
      </c>
      <c r="UU120" s="200">
        <f>'1. Simulator Input'!$D$69*'1. Simulator Input'!$D$56*'Idaho Data'!TC120</f>
        <v>0</v>
      </c>
      <c r="UV120" s="200">
        <f>'1. Simulator Input'!$D$70*'1. Simulator Input'!$D$56*TD120</f>
        <v>0</v>
      </c>
      <c r="UW120" s="200">
        <f>'1. Simulator Input'!$D$80*'1. Simulator Input'!$D$56*TW120</f>
        <v>0</v>
      </c>
      <c r="UX120" s="200">
        <f>'1. Simulator Input'!$D$79*'1. Simulator Input'!$D$56*UB120</f>
        <v>0</v>
      </c>
      <c r="UY120" s="200">
        <f>'1. Simulator Input'!$D$87*'1. Simulator Input'!$D$56*TF120</f>
        <v>193410</v>
      </c>
      <c r="UZ120" s="200">
        <f>'1. Simulator Input'!$D$73*'1. Simulator Input'!$D$56*'Idaho Data'!TG120</f>
        <v>0</v>
      </c>
      <c r="VA120" s="200">
        <f>'1. Simulator Input'!$D$56*'1. Simulator Input'!$D$74*'Idaho Data'!TH120</f>
        <v>0</v>
      </c>
      <c r="VB120" s="200">
        <f>'1. Simulator Input'!$D$56*'1. Simulator Input'!$D$75*'Idaho Data'!TI115</f>
        <v>0</v>
      </c>
      <c r="VC120" s="200">
        <f>'1. Simulator Input'!$D$76*'1. Simulator Input'!$D$56*'Idaho Data'!TJ120</f>
        <v>0</v>
      </c>
      <c r="VD120" s="200">
        <f t="shared" si="188"/>
        <v>5548104</v>
      </c>
      <c r="VE120" s="200"/>
      <c r="VF120" s="182"/>
      <c r="VG120" s="200"/>
      <c r="VH120" s="200">
        <f t="shared" si="189"/>
        <v>0</v>
      </c>
      <c r="VI120" s="200">
        <f t="shared" si="190"/>
        <v>0</v>
      </c>
      <c r="VJ120" s="200">
        <f t="shared" si="214"/>
        <v>5548104</v>
      </c>
      <c r="VK120" s="200">
        <f t="shared" si="215"/>
        <v>5548104</v>
      </c>
      <c r="VL120" s="200"/>
      <c r="VM120" s="182"/>
      <c r="VN120" s="200"/>
      <c r="VO120" s="200">
        <f t="shared" si="191"/>
        <v>1002270</v>
      </c>
      <c r="VP120" s="200">
        <f t="shared" si="192"/>
        <v>6029728</v>
      </c>
      <c r="VQ120" s="200">
        <f t="shared" si="193"/>
        <v>8342144</v>
      </c>
      <c r="VR120" s="200">
        <f t="shared" si="194"/>
        <v>1002270</v>
      </c>
      <c r="VS120" s="200">
        <f t="shared" si="216"/>
        <v>5548104</v>
      </c>
      <c r="VT120" s="200">
        <f t="shared" si="217"/>
        <v>8342144</v>
      </c>
      <c r="VU120" s="200">
        <f t="shared" si="218"/>
        <v>0</v>
      </c>
      <c r="VV120" s="200"/>
      <c r="VW120" s="182"/>
      <c r="VX120" s="200"/>
      <c r="VZ120" s="199">
        <f t="shared" si="195"/>
        <v>-481624</v>
      </c>
      <c r="WA120" s="199">
        <f t="shared" si="196"/>
        <v>-497.03199174406603</v>
      </c>
      <c r="WB120" s="131">
        <f t="shared" si="197"/>
        <v>-7.9874913097240874E-2</v>
      </c>
      <c r="WC120" s="131"/>
      <c r="WD120" s="461"/>
      <c r="WE120" s="893"/>
      <c r="WF120" s="893">
        <f t="shared" si="198"/>
        <v>15865.987616099072</v>
      </c>
      <c r="WG120" s="893">
        <f t="shared" si="199"/>
        <v>15368.955624355005</v>
      </c>
      <c r="WH120" s="893"/>
      <c r="WI120" s="893">
        <f t="shared" si="200"/>
        <v>6029728</v>
      </c>
      <c r="WJ120" s="893">
        <f t="shared" si="219"/>
        <v>5548104</v>
      </c>
      <c r="WK120" s="39" t="str">
        <f t="shared" si="220"/>
        <v/>
      </c>
      <c r="WL120" s="39" t="str">
        <f t="shared" si="221"/>
        <v/>
      </c>
      <c r="WM120" s="200" t="str">
        <f t="shared" si="222"/>
        <v/>
      </c>
      <c r="WN120" s="39" t="str">
        <f t="shared" si="223"/>
        <v/>
      </c>
      <c r="WO120" s="39"/>
      <c r="WP120" s="182"/>
      <c r="WQ120" s="39"/>
      <c r="WR120" s="305">
        <f t="shared" si="224"/>
        <v>0.97299999999999998</v>
      </c>
      <c r="WT120" s="200">
        <f t="shared" si="225"/>
        <v>6222.62951496388</v>
      </c>
      <c r="WU120" s="131">
        <f t="shared" si="201"/>
        <v>0.44</v>
      </c>
      <c r="WW120" s="199">
        <f t="shared" si="226"/>
        <v>1002270</v>
      </c>
      <c r="WX120" s="199">
        <f t="shared" si="227"/>
        <v>5548104</v>
      </c>
      <c r="WY120" s="199">
        <f t="shared" si="228"/>
        <v>0</v>
      </c>
      <c r="WZ120" s="199">
        <f t="shared" si="202"/>
        <v>5548104</v>
      </c>
      <c r="XA120" s="199">
        <f t="shared" si="229"/>
        <v>0</v>
      </c>
      <c r="XB120" s="199">
        <f t="shared" si="230"/>
        <v>8342144</v>
      </c>
      <c r="XC120" s="199">
        <f t="shared" si="231"/>
        <v>8342144</v>
      </c>
      <c r="XD120" s="199" t="str">
        <f t="shared" si="232"/>
        <v/>
      </c>
      <c r="XE120" s="199"/>
      <c r="XF120" s="199"/>
      <c r="XG120" s="199"/>
      <c r="XH120" s="199"/>
      <c r="XI120" s="199"/>
      <c r="XJ120" s="199">
        <f t="shared" si="203"/>
        <v>5548104</v>
      </c>
      <c r="XP120" s="199">
        <f t="shared" si="233"/>
        <v>5548104</v>
      </c>
      <c r="XQ120" s="199">
        <f t="shared" si="234"/>
        <v>5725.5975232198143</v>
      </c>
      <c r="XR120" s="199">
        <f t="shared" si="235"/>
        <v>5548104</v>
      </c>
      <c r="XS120" s="199">
        <f t="shared" si="236"/>
        <v>5548104</v>
      </c>
      <c r="XT120" s="199">
        <f t="shared" si="237"/>
        <v>5725.5975232198143</v>
      </c>
      <c r="XU120" s="199">
        <f t="shared" si="238"/>
        <v>6029728</v>
      </c>
      <c r="XV120" s="199">
        <f t="shared" si="239"/>
        <v>6222.62951496388</v>
      </c>
      <c r="XW120" s="199">
        <f t="shared" si="240"/>
        <v>6029728</v>
      </c>
      <c r="XX120" s="199">
        <f t="shared" si="241"/>
        <v>6222.62951496388</v>
      </c>
      <c r="XY120" s="199">
        <f t="shared" si="204"/>
        <v>-481624</v>
      </c>
      <c r="XZ120" s="199">
        <f t="shared" si="205"/>
        <v>-497.03199174406564</v>
      </c>
      <c r="YA120" s="131">
        <f t="shared" si="143"/>
        <v>-7.9874913097240804E-2</v>
      </c>
      <c r="YB120" s="199"/>
      <c r="YC120" s="221"/>
      <c r="YD120" s="199"/>
      <c r="YE120" s="199">
        <f t="shared" si="242"/>
        <v>1002270</v>
      </c>
      <c r="YF120" s="200">
        <f t="shared" si="243"/>
        <v>0</v>
      </c>
      <c r="YG120" s="199">
        <f t="shared" si="244"/>
        <v>8342144</v>
      </c>
      <c r="YH120" s="199">
        <f t="shared" si="245"/>
        <v>140000</v>
      </c>
    </row>
    <row r="121" spans="1:658">
      <c r="A121" s="3">
        <v>422</v>
      </c>
      <c r="B121" s="2" t="s">
        <v>218</v>
      </c>
      <c r="C121" s="24">
        <v>0</v>
      </c>
      <c r="D121" s="24">
        <v>0</v>
      </c>
      <c r="E121" s="24">
        <v>0</v>
      </c>
      <c r="F121" s="24">
        <v>0</v>
      </c>
      <c r="G121" s="24">
        <v>503684</v>
      </c>
      <c r="H121" s="24">
        <v>0</v>
      </c>
      <c r="I121" s="24">
        <v>0</v>
      </c>
      <c r="J121" s="24">
        <v>10076</v>
      </c>
      <c r="K121" s="24">
        <v>0</v>
      </c>
      <c r="L121" s="24">
        <v>0</v>
      </c>
      <c r="M121" s="24">
        <v>0</v>
      </c>
      <c r="N121" s="24">
        <v>0</v>
      </c>
      <c r="O121" s="24">
        <v>0</v>
      </c>
      <c r="P121" s="24">
        <v>0</v>
      </c>
      <c r="Q121" s="24">
        <v>0</v>
      </c>
      <c r="R121" s="24">
        <v>100919</v>
      </c>
      <c r="S121" s="24">
        <v>0</v>
      </c>
      <c r="T121" s="24">
        <v>0</v>
      </c>
      <c r="U121" s="24">
        <v>0</v>
      </c>
      <c r="V121" s="24">
        <v>0</v>
      </c>
      <c r="W121" s="24">
        <v>0</v>
      </c>
      <c r="X121" s="24">
        <v>0</v>
      </c>
      <c r="Y121" s="24">
        <v>5567</v>
      </c>
      <c r="Z121" s="24">
        <v>0</v>
      </c>
      <c r="AA121" s="24">
        <v>6125</v>
      </c>
      <c r="AB121" s="24">
        <v>0</v>
      </c>
      <c r="AC121" s="24">
        <v>0</v>
      </c>
      <c r="AD121" s="24">
        <v>0</v>
      </c>
      <c r="AE121" s="24">
        <v>0</v>
      </c>
      <c r="AF121" s="24">
        <v>0</v>
      </c>
      <c r="AG121" s="24">
        <v>0</v>
      </c>
      <c r="AH121" s="24">
        <v>0</v>
      </c>
      <c r="AI121" s="24">
        <v>0</v>
      </c>
      <c r="AJ121" s="24">
        <v>0</v>
      </c>
      <c r="AK121" s="24">
        <v>0</v>
      </c>
      <c r="AL121" s="24">
        <v>1821</v>
      </c>
      <c r="AM121" s="24">
        <v>6557</v>
      </c>
      <c r="AN121" s="24">
        <v>0</v>
      </c>
      <c r="AO121" s="24">
        <v>0</v>
      </c>
      <c r="AP121" s="24">
        <v>0</v>
      </c>
      <c r="AQ121" s="24">
        <v>0</v>
      </c>
      <c r="AR121" s="24">
        <v>0</v>
      </c>
      <c r="AS121" s="24">
        <v>0</v>
      </c>
      <c r="AT121" s="24">
        <v>0</v>
      </c>
      <c r="AU121" s="24">
        <v>0</v>
      </c>
      <c r="AV121" s="24">
        <v>0</v>
      </c>
      <c r="AW121" s="24">
        <v>0</v>
      </c>
      <c r="AX121" s="24">
        <v>0</v>
      </c>
      <c r="AY121" s="24">
        <v>0</v>
      </c>
      <c r="AZ121" s="24">
        <v>0</v>
      </c>
      <c r="BA121" s="24">
        <v>0</v>
      </c>
      <c r="BB121" s="24">
        <v>0</v>
      </c>
      <c r="BC121" s="24">
        <v>0</v>
      </c>
      <c r="BD121" s="24">
        <v>546</v>
      </c>
      <c r="BE121" s="24">
        <v>0</v>
      </c>
      <c r="BF121" s="24">
        <v>0</v>
      </c>
      <c r="BG121" s="24">
        <v>160</v>
      </c>
      <c r="BH121" s="24">
        <v>0</v>
      </c>
      <c r="BI121" s="24">
        <v>0</v>
      </c>
      <c r="BJ121" s="24">
        <v>0</v>
      </c>
      <c r="BK121" s="24">
        <v>0</v>
      </c>
      <c r="BL121" s="24">
        <v>0</v>
      </c>
      <c r="BM121" s="24">
        <v>433</v>
      </c>
      <c r="BN121" s="24">
        <v>0</v>
      </c>
      <c r="BO121" s="24">
        <v>0</v>
      </c>
      <c r="BP121" s="24">
        <v>0</v>
      </c>
      <c r="BQ121" s="24">
        <v>0</v>
      </c>
      <c r="BR121" s="24">
        <v>0</v>
      </c>
      <c r="BS121" s="24">
        <v>0</v>
      </c>
      <c r="BT121" s="24">
        <v>0</v>
      </c>
      <c r="BU121" s="24">
        <v>0</v>
      </c>
      <c r="BV121" s="24">
        <v>0</v>
      </c>
      <c r="BW121" s="24">
        <v>0</v>
      </c>
      <c r="BX121" s="24">
        <v>0</v>
      </c>
      <c r="BY121" s="24">
        <v>0</v>
      </c>
      <c r="BZ121" s="24">
        <v>0</v>
      </c>
      <c r="CA121" s="24">
        <v>0</v>
      </c>
      <c r="CB121" s="24">
        <v>0</v>
      </c>
      <c r="CC121" s="24">
        <v>0</v>
      </c>
      <c r="CD121" s="24">
        <v>13635</v>
      </c>
      <c r="CE121" s="24">
        <v>0</v>
      </c>
      <c r="CF121" s="24">
        <v>0</v>
      </c>
      <c r="CG121" s="24">
        <v>401</v>
      </c>
      <c r="CH121" s="24">
        <v>0</v>
      </c>
      <c r="CI121" s="24">
        <v>0</v>
      </c>
      <c r="CJ121" s="24">
        <v>0</v>
      </c>
      <c r="CK121" s="24">
        <v>0</v>
      </c>
      <c r="CL121" s="24">
        <v>0</v>
      </c>
      <c r="CM121" s="24">
        <v>0</v>
      </c>
      <c r="CN121" s="24">
        <v>0</v>
      </c>
      <c r="CO121" s="24">
        <v>0</v>
      </c>
      <c r="CP121" s="24">
        <v>0</v>
      </c>
      <c r="CQ121" s="24">
        <v>0</v>
      </c>
      <c r="CR121" s="24">
        <v>0</v>
      </c>
      <c r="CS121" s="24">
        <v>0</v>
      </c>
      <c r="CT121" s="24">
        <v>0</v>
      </c>
      <c r="CU121" s="24">
        <v>0</v>
      </c>
      <c r="CV121" s="24">
        <v>0</v>
      </c>
      <c r="CW121" s="24">
        <v>0</v>
      </c>
      <c r="CX121" s="24">
        <v>0</v>
      </c>
      <c r="CY121" s="24">
        <v>0</v>
      </c>
      <c r="CZ121" s="24">
        <v>0</v>
      </c>
      <c r="DA121" s="24">
        <v>0</v>
      </c>
      <c r="DB121" s="24">
        <v>0</v>
      </c>
      <c r="DC121" s="24">
        <v>0</v>
      </c>
      <c r="DD121" s="24">
        <v>0</v>
      </c>
      <c r="DE121" s="24">
        <v>0</v>
      </c>
      <c r="DF121" s="24">
        <v>0</v>
      </c>
      <c r="DG121" s="24">
        <v>0</v>
      </c>
      <c r="DH121" s="24">
        <v>0</v>
      </c>
      <c r="DI121" s="24">
        <v>0</v>
      </c>
      <c r="DJ121" s="24">
        <v>0</v>
      </c>
      <c r="DK121" s="24">
        <v>0</v>
      </c>
      <c r="DL121" s="24">
        <v>0</v>
      </c>
      <c r="DM121" s="24">
        <v>0</v>
      </c>
      <c r="DN121" s="24">
        <v>0</v>
      </c>
      <c r="DO121" s="24">
        <v>0</v>
      </c>
      <c r="DP121" s="24">
        <v>0</v>
      </c>
      <c r="DQ121" s="24">
        <v>0</v>
      </c>
      <c r="DR121" s="24">
        <v>0</v>
      </c>
      <c r="DS121" s="24">
        <v>0</v>
      </c>
      <c r="DT121" s="24">
        <v>0</v>
      </c>
      <c r="DU121" s="24">
        <v>710</v>
      </c>
      <c r="DV121" s="24">
        <v>0</v>
      </c>
      <c r="DW121" s="24">
        <v>0</v>
      </c>
      <c r="DX121" s="24">
        <v>0</v>
      </c>
      <c r="DY121" s="24">
        <v>0</v>
      </c>
      <c r="DZ121" s="24">
        <v>0</v>
      </c>
      <c r="EA121" s="24">
        <v>0</v>
      </c>
      <c r="EB121" s="24">
        <v>16492</v>
      </c>
      <c r="EC121" s="24">
        <v>0</v>
      </c>
      <c r="ED121" s="24">
        <v>0</v>
      </c>
      <c r="EE121" s="24">
        <v>0</v>
      </c>
      <c r="EF121" s="24">
        <v>0</v>
      </c>
      <c r="EG121" s="24">
        <v>0</v>
      </c>
      <c r="EH121" s="24">
        <v>0</v>
      </c>
      <c r="EI121" s="24">
        <v>0</v>
      </c>
      <c r="EJ121" s="24">
        <v>0</v>
      </c>
      <c r="EK121" s="24">
        <v>0</v>
      </c>
      <c r="EL121" s="24">
        <v>0</v>
      </c>
      <c r="EM121" s="24">
        <v>0</v>
      </c>
      <c r="EN121" s="24">
        <v>0</v>
      </c>
      <c r="EO121" s="24">
        <v>0</v>
      </c>
      <c r="EP121" s="24">
        <v>0</v>
      </c>
      <c r="EQ121" s="24">
        <v>0</v>
      </c>
      <c r="ER121" s="24">
        <v>0</v>
      </c>
      <c r="ES121" s="24">
        <v>0</v>
      </c>
      <c r="ET121" s="24">
        <v>0</v>
      </c>
      <c r="EU121" s="24">
        <v>0</v>
      </c>
      <c r="EV121" s="24">
        <v>0</v>
      </c>
      <c r="EW121" s="24">
        <v>0</v>
      </c>
      <c r="EX121" s="24">
        <v>0</v>
      </c>
      <c r="EY121" s="24">
        <v>0</v>
      </c>
      <c r="EZ121" s="24">
        <v>0</v>
      </c>
      <c r="FA121" s="24">
        <v>0</v>
      </c>
      <c r="FB121" s="24">
        <v>450</v>
      </c>
      <c r="FC121" s="24">
        <v>0</v>
      </c>
      <c r="FD121" s="24">
        <v>0</v>
      </c>
      <c r="FE121" s="24">
        <v>0</v>
      </c>
      <c r="FF121" s="24">
        <v>0</v>
      </c>
      <c r="FG121" s="24">
        <v>0</v>
      </c>
      <c r="FH121" s="24">
        <v>0</v>
      </c>
      <c r="FI121" s="24">
        <v>0</v>
      </c>
      <c r="FJ121" s="24">
        <v>0</v>
      </c>
      <c r="FK121" s="24">
        <v>0</v>
      </c>
      <c r="FL121" s="24">
        <v>0</v>
      </c>
      <c r="FM121" s="24">
        <v>0</v>
      </c>
      <c r="FN121" s="24">
        <v>0</v>
      </c>
      <c r="FO121" s="24">
        <v>0</v>
      </c>
      <c r="FP121" s="24">
        <v>0</v>
      </c>
      <c r="FQ121" s="24">
        <v>0</v>
      </c>
      <c r="FR121" s="24">
        <v>0</v>
      </c>
      <c r="FS121" s="24">
        <v>89453</v>
      </c>
      <c r="FT121" s="24">
        <v>0</v>
      </c>
      <c r="FU121" s="24">
        <v>0</v>
      </c>
      <c r="FV121" s="24">
        <v>0</v>
      </c>
      <c r="FW121" s="24">
        <v>0</v>
      </c>
      <c r="FX121" s="24">
        <v>0</v>
      </c>
      <c r="FY121" s="24">
        <v>0</v>
      </c>
      <c r="FZ121" s="24">
        <v>0</v>
      </c>
      <c r="GA121" s="24">
        <v>0</v>
      </c>
      <c r="GB121" s="24">
        <v>0</v>
      </c>
      <c r="GC121" s="24">
        <v>0</v>
      </c>
      <c r="GD121" s="24">
        <v>0</v>
      </c>
      <c r="GE121" s="24">
        <v>1600</v>
      </c>
      <c r="GF121" s="24">
        <v>0</v>
      </c>
      <c r="GG121" s="24">
        <v>0</v>
      </c>
      <c r="GH121" s="24">
        <v>0</v>
      </c>
      <c r="GI121" s="24">
        <v>0</v>
      </c>
      <c r="GJ121" s="24">
        <v>0</v>
      </c>
      <c r="GK121" s="24">
        <v>0</v>
      </c>
      <c r="GL121" s="24">
        <v>0</v>
      </c>
      <c r="GM121" s="24">
        <v>0</v>
      </c>
      <c r="GN121" s="24">
        <v>0</v>
      </c>
      <c r="GO121" s="24">
        <v>0</v>
      </c>
      <c r="GP121" s="24">
        <v>0</v>
      </c>
      <c r="GQ121" s="24">
        <v>0</v>
      </c>
      <c r="GR121" s="24">
        <v>0</v>
      </c>
      <c r="GS121" s="24">
        <v>0</v>
      </c>
      <c r="GT121" s="24">
        <v>0</v>
      </c>
      <c r="GU121" s="24">
        <v>0</v>
      </c>
      <c r="GV121" s="24">
        <v>0</v>
      </c>
      <c r="GW121" s="24">
        <v>0</v>
      </c>
      <c r="GX121" s="24">
        <v>0</v>
      </c>
      <c r="GY121" s="24">
        <v>0</v>
      </c>
      <c r="GZ121" s="24">
        <v>0</v>
      </c>
      <c r="HA121" s="24">
        <v>0</v>
      </c>
      <c r="HB121" s="24">
        <v>0</v>
      </c>
      <c r="HC121" s="24">
        <v>0</v>
      </c>
      <c r="HD121" s="24">
        <v>1555185</v>
      </c>
      <c r="HE121" s="24">
        <v>0</v>
      </c>
      <c r="HF121" s="24">
        <v>0</v>
      </c>
      <c r="HG121" s="24">
        <v>0</v>
      </c>
      <c r="HH121" s="24">
        <v>0</v>
      </c>
      <c r="HI121" s="24">
        <v>61629</v>
      </c>
      <c r="HJ121" s="24">
        <v>0</v>
      </c>
      <c r="HK121" s="24">
        <v>0</v>
      </c>
      <c r="HL121" s="24">
        <v>0</v>
      </c>
      <c r="HM121" s="24">
        <v>0</v>
      </c>
      <c r="HN121" s="24">
        <v>0</v>
      </c>
      <c r="HO121" s="24">
        <v>213111</v>
      </c>
      <c r="HP121" s="24">
        <v>109911</v>
      </c>
      <c r="HQ121" s="24">
        <v>0</v>
      </c>
      <c r="HR121" s="24">
        <v>0</v>
      </c>
      <c r="HS121" s="24">
        <v>0</v>
      </c>
      <c r="HT121" s="24">
        <v>0</v>
      </c>
      <c r="HU121" s="24">
        <v>0</v>
      </c>
      <c r="HV121" s="24">
        <v>0</v>
      </c>
      <c r="HW121" s="24">
        <v>0</v>
      </c>
      <c r="HX121" s="24">
        <v>0</v>
      </c>
      <c r="HY121" s="24">
        <v>0</v>
      </c>
      <c r="HZ121" s="24">
        <v>0</v>
      </c>
      <c r="IA121" s="24">
        <v>21995</v>
      </c>
      <c r="IB121" s="24">
        <v>5371</v>
      </c>
      <c r="IC121" s="24">
        <v>0</v>
      </c>
      <c r="ID121" s="24">
        <v>0</v>
      </c>
      <c r="IE121" s="24">
        <v>0</v>
      </c>
      <c r="IF121" s="24">
        <v>0</v>
      </c>
      <c r="IG121" s="24">
        <v>0</v>
      </c>
      <c r="IH121" s="24">
        <v>0</v>
      </c>
      <c r="II121" s="24">
        <v>0</v>
      </c>
      <c r="IJ121" s="24">
        <v>0</v>
      </c>
      <c r="IK121" s="24">
        <v>0</v>
      </c>
      <c r="IL121" s="24">
        <v>0</v>
      </c>
      <c r="IM121" s="24">
        <v>0</v>
      </c>
      <c r="IN121" s="24">
        <v>0</v>
      </c>
      <c r="IO121" s="24">
        <v>1938</v>
      </c>
      <c r="IP121" s="24">
        <v>0</v>
      </c>
      <c r="IQ121" s="24">
        <v>0</v>
      </c>
      <c r="IR121" s="24">
        <v>6320</v>
      </c>
      <c r="IS121" s="24">
        <v>0</v>
      </c>
      <c r="IT121" s="24">
        <v>0</v>
      </c>
      <c r="IU121" s="24">
        <v>0</v>
      </c>
      <c r="IV121" s="24">
        <v>0</v>
      </c>
      <c r="IW121" s="24">
        <v>0</v>
      </c>
      <c r="IX121" s="24">
        <v>0</v>
      </c>
      <c r="IY121" s="24">
        <v>0</v>
      </c>
      <c r="IZ121" s="24">
        <v>0</v>
      </c>
      <c r="JA121" s="24">
        <v>0</v>
      </c>
      <c r="JB121" s="24">
        <v>4075</v>
      </c>
      <c r="JC121" s="24">
        <v>0</v>
      </c>
      <c r="JD121" s="24">
        <v>0</v>
      </c>
      <c r="JE121" s="24">
        <v>0</v>
      </c>
      <c r="JF121" s="24">
        <v>0</v>
      </c>
      <c r="JG121" s="24">
        <v>0</v>
      </c>
      <c r="JH121" s="24">
        <v>0</v>
      </c>
      <c r="JI121" s="24">
        <v>0</v>
      </c>
      <c r="JJ121" s="24">
        <v>0</v>
      </c>
      <c r="JK121" s="24">
        <v>0</v>
      </c>
      <c r="JL121" s="24">
        <v>0</v>
      </c>
      <c r="JM121" s="24">
        <v>0</v>
      </c>
      <c r="JN121" s="24">
        <v>0</v>
      </c>
      <c r="JO121" s="24">
        <v>0</v>
      </c>
      <c r="JP121" s="24">
        <v>0</v>
      </c>
      <c r="JQ121" s="24">
        <v>0</v>
      </c>
      <c r="JR121" s="24">
        <v>0</v>
      </c>
      <c r="JS121" s="24">
        <v>0</v>
      </c>
      <c r="JT121" s="24">
        <v>0</v>
      </c>
      <c r="JU121" s="24">
        <v>0</v>
      </c>
      <c r="JV121" s="24">
        <v>0</v>
      </c>
      <c r="JW121" s="24">
        <v>0</v>
      </c>
      <c r="JX121" s="24">
        <v>0</v>
      </c>
      <c r="JY121" s="24">
        <v>0</v>
      </c>
      <c r="JZ121" s="24">
        <v>0</v>
      </c>
      <c r="KA121" s="24">
        <v>0</v>
      </c>
      <c r="KB121" s="24">
        <v>0</v>
      </c>
      <c r="KC121" s="24">
        <v>0</v>
      </c>
      <c r="KD121" s="24">
        <v>0</v>
      </c>
      <c r="KE121" s="24">
        <v>0</v>
      </c>
      <c r="KF121" s="24">
        <v>0</v>
      </c>
      <c r="KG121" s="24">
        <v>0</v>
      </c>
      <c r="KH121" s="24">
        <v>0</v>
      </c>
      <c r="KI121" s="24">
        <v>0</v>
      </c>
      <c r="KJ121" s="24">
        <v>0</v>
      </c>
      <c r="KK121" s="24">
        <v>0</v>
      </c>
      <c r="KL121" s="24">
        <v>0</v>
      </c>
      <c r="KM121" s="24">
        <v>0</v>
      </c>
      <c r="KN121" s="24">
        <v>0</v>
      </c>
      <c r="KO121" s="24">
        <v>0</v>
      </c>
      <c r="KP121" s="24">
        <v>0</v>
      </c>
      <c r="KQ121" s="24">
        <v>0</v>
      </c>
      <c r="KR121" s="24">
        <v>0</v>
      </c>
      <c r="KS121" s="24">
        <v>0</v>
      </c>
      <c r="KT121" s="24">
        <v>0</v>
      </c>
      <c r="KU121" s="24">
        <v>0</v>
      </c>
      <c r="KV121" s="24">
        <v>0</v>
      </c>
      <c r="KW121" s="24">
        <v>0</v>
      </c>
      <c r="KX121" s="24">
        <v>0</v>
      </c>
      <c r="KY121" s="24">
        <v>0</v>
      </c>
      <c r="KZ121" s="24">
        <v>0</v>
      </c>
      <c r="LA121" s="24">
        <v>0</v>
      </c>
      <c r="LB121" s="24">
        <v>0</v>
      </c>
      <c r="LC121" s="24">
        <v>0</v>
      </c>
      <c r="LD121" s="24">
        <v>0</v>
      </c>
      <c r="LE121" s="24">
        <v>0</v>
      </c>
      <c r="LF121" s="24">
        <v>0</v>
      </c>
      <c r="LG121" s="24">
        <v>0</v>
      </c>
      <c r="LH121" s="24">
        <v>0</v>
      </c>
      <c r="LI121" s="24">
        <v>0</v>
      </c>
      <c r="LJ121" s="24">
        <v>0</v>
      </c>
      <c r="LK121" s="24">
        <v>0</v>
      </c>
      <c r="LL121" s="24">
        <v>0</v>
      </c>
      <c r="LM121" s="24">
        <v>0</v>
      </c>
      <c r="LN121" s="24">
        <v>0</v>
      </c>
      <c r="LO121" s="24">
        <v>0</v>
      </c>
      <c r="LP121" s="24">
        <v>0</v>
      </c>
      <c r="LQ121" s="24">
        <v>81025</v>
      </c>
      <c r="LR121" s="24">
        <v>0</v>
      </c>
      <c r="LS121" s="24">
        <v>0</v>
      </c>
      <c r="LT121" s="24">
        <v>0</v>
      </c>
      <c r="LU121" s="24">
        <v>0</v>
      </c>
      <c r="LV121" s="24">
        <v>0</v>
      </c>
      <c r="LW121" s="24">
        <v>0</v>
      </c>
      <c r="LX121" s="24">
        <v>0</v>
      </c>
      <c r="LY121" s="24">
        <v>0</v>
      </c>
      <c r="LZ121" s="24">
        <v>0</v>
      </c>
      <c r="MA121" s="24">
        <v>0</v>
      </c>
      <c r="MB121" s="24">
        <v>0</v>
      </c>
      <c r="MC121" s="24">
        <v>0</v>
      </c>
      <c r="MD121" s="24">
        <v>0</v>
      </c>
      <c r="ME121" s="24">
        <v>0</v>
      </c>
      <c r="MF121" s="24">
        <v>0</v>
      </c>
      <c r="MG121" s="24">
        <v>14712</v>
      </c>
      <c r="MH121" s="24">
        <v>0</v>
      </c>
      <c r="MI121" s="24">
        <v>0</v>
      </c>
      <c r="MJ121" s="24">
        <v>0</v>
      </c>
      <c r="MK121" s="24">
        <v>0</v>
      </c>
      <c r="ML121" s="24">
        <v>0</v>
      </c>
      <c r="MM121" s="24">
        <v>0</v>
      </c>
      <c r="MN121" s="24">
        <v>0</v>
      </c>
      <c r="MO121" s="24">
        <v>3592</v>
      </c>
      <c r="MP121" s="24">
        <v>0</v>
      </c>
      <c r="MQ121" s="24">
        <v>0</v>
      </c>
      <c r="MR121" s="24">
        <v>48761</v>
      </c>
      <c r="MS121" s="24">
        <v>0</v>
      </c>
      <c r="MT121" s="24">
        <v>0</v>
      </c>
      <c r="MU121" s="24">
        <v>0</v>
      </c>
      <c r="MV121" s="24">
        <v>0</v>
      </c>
      <c r="MW121" s="24">
        <v>68338</v>
      </c>
      <c r="MX121" s="24">
        <v>7306</v>
      </c>
      <c r="MY121" s="24">
        <v>0</v>
      </c>
      <c r="MZ121" s="24">
        <v>0</v>
      </c>
      <c r="NA121" s="24">
        <v>0</v>
      </c>
      <c r="NB121" s="24">
        <v>105819</v>
      </c>
      <c r="NC121" s="24">
        <v>0</v>
      </c>
      <c r="ND121" s="24">
        <v>0</v>
      </c>
      <c r="NE121" s="24">
        <v>0</v>
      </c>
      <c r="NF121" s="24">
        <v>0</v>
      </c>
      <c r="NG121" s="24">
        <v>0</v>
      </c>
      <c r="NH121" s="24">
        <v>0</v>
      </c>
      <c r="NI121" s="24">
        <v>0</v>
      </c>
      <c r="NJ121" s="24">
        <v>0</v>
      </c>
      <c r="NK121" s="24">
        <v>0</v>
      </c>
      <c r="NL121" s="24">
        <v>0</v>
      </c>
      <c r="NM121" s="24">
        <v>0</v>
      </c>
      <c r="NN121" s="24">
        <v>0</v>
      </c>
      <c r="NO121" s="24">
        <v>0</v>
      </c>
      <c r="NP121" s="24">
        <v>0</v>
      </c>
      <c r="NQ121" s="24">
        <v>0</v>
      </c>
      <c r="NR121" s="24">
        <v>0</v>
      </c>
      <c r="NS121" s="24">
        <v>0</v>
      </c>
      <c r="NT121" s="24">
        <v>0</v>
      </c>
      <c r="NU121" s="24">
        <v>0</v>
      </c>
      <c r="NV121" s="24">
        <v>17798</v>
      </c>
      <c r="NW121" s="24">
        <v>0</v>
      </c>
      <c r="NX121" s="24">
        <v>0</v>
      </c>
      <c r="NY121" s="24">
        <v>0</v>
      </c>
      <c r="NZ121" s="24">
        <v>0</v>
      </c>
      <c r="OA121" s="24">
        <v>0</v>
      </c>
      <c r="OB121" s="24">
        <v>0</v>
      </c>
      <c r="OC121" s="24">
        <v>0</v>
      </c>
      <c r="OD121" s="24">
        <v>0</v>
      </c>
      <c r="OE121" s="24">
        <v>0</v>
      </c>
      <c r="OF121" s="24">
        <v>0</v>
      </c>
      <c r="OG121" s="24">
        <v>0</v>
      </c>
      <c r="OH121" s="24">
        <v>0</v>
      </c>
      <c r="OI121" s="24">
        <v>0</v>
      </c>
      <c r="OJ121" s="24">
        <v>0</v>
      </c>
      <c r="OK121" s="24">
        <v>5097</v>
      </c>
      <c r="OL121" s="24">
        <v>0</v>
      </c>
      <c r="OM121" s="24">
        <v>0</v>
      </c>
      <c r="ON121" s="24">
        <v>0</v>
      </c>
      <c r="OO121" s="24">
        <v>0</v>
      </c>
      <c r="OP121" s="24">
        <v>0</v>
      </c>
      <c r="OQ121" s="24">
        <v>0</v>
      </c>
      <c r="OR121" s="24">
        <v>0</v>
      </c>
      <c r="OS121" s="24">
        <v>0</v>
      </c>
      <c r="OT121" s="24">
        <v>0</v>
      </c>
      <c r="OU121" s="24">
        <v>0</v>
      </c>
      <c r="OV121" s="24">
        <v>0</v>
      </c>
      <c r="OW121" s="24">
        <v>0</v>
      </c>
      <c r="OX121" s="24">
        <v>0</v>
      </c>
      <c r="OY121" s="24">
        <v>0</v>
      </c>
      <c r="OZ121" s="24">
        <v>0</v>
      </c>
      <c r="PA121" s="24">
        <v>0</v>
      </c>
      <c r="PB121" s="24">
        <v>0</v>
      </c>
      <c r="PC121" s="24">
        <v>0</v>
      </c>
      <c r="PD121" s="24">
        <v>0</v>
      </c>
      <c r="PE121" s="24">
        <v>0</v>
      </c>
      <c r="PF121" s="24">
        <v>0</v>
      </c>
      <c r="PG121" s="24">
        <v>0</v>
      </c>
      <c r="PH121" s="24">
        <v>0</v>
      </c>
      <c r="PI121" s="24">
        <v>200000</v>
      </c>
      <c r="PJ121" s="24">
        <v>0</v>
      </c>
      <c r="PK121" s="24">
        <v>0</v>
      </c>
      <c r="PL121" s="24">
        <v>0</v>
      </c>
      <c r="PM121" s="24">
        <v>0</v>
      </c>
      <c r="PN121" s="24">
        <v>0</v>
      </c>
      <c r="PO121" s="24">
        <v>0</v>
      </c>
      <c r="PP121" s="24">
        <v>0</v>
      </c>
      <c r="PQ121" s="24">
        <v>0</v>
      </c>
      <c r="PR121" s="24">
        <v>0</v>
      </c>
      <c r="PS121" s="24">
        <v>0</v>
      </c>
      <c r="PT121" s="24">
        <v>0</v>
      </c>
      <c r="PU121" s="24">
        <v>0</v>
      </c>
      <c r="PV121" s="24">
        <v>0</v>
      </c>
      <c r="PW121" s="24">
        <v>0</v>
      </c>
      <c r="PX121" s="24">
        <v>0</v>
      </c>
      <c r="PY121" s="24">
        <v>0</v>
      </c>
      <c r="PZ121" s="24">
        <v>0</v>
      </c>
      <c r="QA121" s="24">
        <v>0</v>
      </c>
      <c r="QB121" s="24">
        <v>0</v>
      </c>
      <c r="QC121" s="24">
        <v>0</v>
      </c>
      <c r="QD121" s="24">
        <v>0</v>
      </c>
      <c r="QE121" s="24">
        <v>0</v>
      </c>
      <c r="QF121" s="24">
        <v>0</v>
      </c>
      <c r="QG121" s="24">
        <v>0</v>
      </c>
      <c r="QH121" s="24">
        <v>0</v>
      </c>
      <c r="QI121" s="24">
        <v>0</v>
      </c>
      <c r="QJ121" s="24">
        <v>0</v>
      </c>
      <c r="QK121" s="24">
        <v>0</v>
      </c>
      <c r="QL121" s="24">
        <v>0</v>
      </c>
      <c r="QM121" s="24">
        <v>0</v>
      </c>
      <c r="QN121" s="24">
        <v>0</v>
      </c>
      <c r="QO121" s="24">
        <v>0</v>
      </c>
      <c r="QP121" s="24">
        <v>0</v>
      </c>
      <c r="QQ121" s="24">
        <v>0</v>
      </c>
      <c r="QR121" s="24">
        <v>0</v>
      </c>
      <c r="QS121" s="24">
        <v>31484</v>
      </c>
      <c r="QT121" s="24">
        <v>0</v>
      </c>
      <c r="QU121" s="24">
        <v>0</v>
      </c>
      <c r="QV121" s="24">
        <v>0</v>
      </c>
      <c r="QW121" s="24">
        <v>19580</v>
      </c>
      <c r="QX121" s="24">
        <v>0</v>
      </c>
      <c r="QY121" s="24">
        <v>700000</v>
      </c>
      <c r="QZ121" s="24">
        <v>0</v>
      </c>
      <c r="RA121" s="24">
        <v>0</v>
      </c>
      <c r="RB121" s="24">
        <v>0</v>
      </c>
      <c r="RG121" s="39">
        <f t="shared" si="129"/>
        <v>1555185</v>
      </c>
      <c r="RH121" s="39">
        <f t="shared" si="247"/>
        <v>61629</v>
      </c>
      <c r="RI121" s="39">
        <f t="shared" si="247"/>
        <v>0</v>
      </c>
      <c r="RJ121" s="39">
        <f t="shared" si="247"/>
        <v>0</v>
      </c>
      <c r="RK121" s="39">
        <f t="shared" si="247"/>
        <v>0</v>
      </c>
      <c r="RL121" s="39">
        <f t="shared" si="247"/>
        <v>213111</v>
      </c>
      <c r="RM121" s="39">
        <f t="shared" si="247"/>
        <v>137277</v>
      </c>
      <c r="RN121" s="39">
        <f t="shared" si="247"/>
        <v>1938</v>
      </c>
      <c r="RO121" s="39">
        <f t="shared" si="247"/>
        <v>6320</v>
      </c>
      <c r="RP121" s="39">
        <f t="shared" si="247"/>
        <v>0</v>
      </c>
      <c r="RQ121" s="39">
        <f t="shared" si="247"/>
        <v>4075</v>
      </c>
      <c r="RR121" s="39">
        <f t="shared" si="247"/>
        <v>0</v>
      </c>
      <c r="RS121" s="39"/>
      <c r="RT121" s="182"/>
      <c r="RU121" s="39"/>
      <c r="RV121" s="39">
        <f t="shared" si="246"/>
        <v>352448</v>
      </c>
      <c r="RW121" s="39">
        <f t="shared" si="246"/>
        <v>1979535</v>
      </c>
      <c r="RX121" s="39">
        <f t="shared" si="246"/>
        <v>758629</v>
      </c>
      <c r="RY121" s="39">
        <f t="shared" si="246"/>
        <v>951064</v>
      </c>
      <c r="RZ121" s="39"/>
      <c r="SA121" s="182"/>
      <c r="SB121" s="39"/>
      <c r="SC121" s="25">
        <f t="shared" si="183"/>
        <v>2951.8638132295719</v>
      </c>
      <c r="SD121" s="39">
        <f>IFERROR(VLOOKUP(A121, 'Levy Data 15-16'!$B:$O, 3, FALSE), 0)</f>
        <v>468755866</v>
      </c>
      <c r="SE121" s="39">
        <f t="shared" si="208"/>
        <v>1823952.7859922179</v>
      </c>
      <c r="SF121" s="631">
        <f>IFERROR(VLOOKUP(A121, 'Levy Data 15-16'!$B:$O, 14, FALSE), 0)*1000</f>
        <v>1.293023</v>
      </c>
      <c r="SG121" s="39">
        <f t="shared" si="209"/>
        <v>0</v>
      </c>
      <c r="SH121" s="39">
        <f t="shared" si="210"/>
        <v>0</v>
      </c>
      <c r="SI121" s="39">
        <f t="shared" si="211"/>
        <v>758629</v>
      </c>
      <c r="SM121" s="39">
        <f t="shared" si="212"/>
        <v>1979535</v>
      </c>
      <c r="SN121" s="39">
        <f t="shared" si="213"/>
        <v>0</v>
      </c>
      <c r="SO121" s="39">
        <f t="shared" si="184"/>
        <v>1979535</v>
      </c>
      <c r="SP121" s="50">
        <f t="shared" si="130"/>
        <v>1</v>
      </c>
      <c r="ST121" s="124">
        <f>IFERROR(VLOOKUP(A121,'Grade Enroll 15-16'!B:AC,27,FALSE),"")</f>
        <v>257</v>
      </c>
      <c r="SU121" s="124">
        <f t="shared" si="185"/>
        <v>154.19999999999999</v>
      </c>
      <c r="SV121" s="131">
        <f>IFERROR(VLOOKUP($A121, 'Title I Enroll 16-17'!S:V, 4, FALSE), 0)</f>
        <v>0.6</v>
      </c>
      <c r="SW121" s="729">
        <f>IFERROR(VLOOKUP(A121, 'ELL Enroll 15-16'!$N:$S, 6, FALSE), 0)</f>
        <v>5</v>
      </c>
      <c r="SX121" s="131">
        <f t="shared" si="131"/>
        <v>1.9455252918287938E-2</v>
      </c>
      <c r="SY121" s="124">
        <f>IFERROR(VLOOKUP(A121, 'SPED enroll 2015-16'!$M:$O, 3, FALSE), 0)</f>
        <v>34</v>
      </c>
      <c r="SZ121" s="131">
        <f t="shared" si="132"/>
        <v>0.13229571984435798</v>
      </c>
      <c r="TA121" s="142">
        <f t="shared" si="207"/>
        <v>23.799999999999997</v>
      </c>
      <c r="TB121" s="142">
        <f t="shared" si="207"/>
        <v>6.8000000000000007</v>
      </c>
      <c r="TC121" s="142">
        <f t="shared" si="207"/>
        <v>2.3800000000000003</v>
      </c>
      <c r="TD121" s="142">
        <f t="shared" si="207"/>
        <v>1.02</v>
      </c>
      <c r="TE121" s="124">
        <f>VLOOKUP($A121, 'Grade Enroll 15-16'!$B:$AB, 20, FALSE)</f>
        <v>8</v>
      </c>
      <c r="TF121" s="124">
        <f>VLOOKUP($A121, 'Grade Enroll 15-16'!$B:$AB, 21, FALSE)</f>
        <v>15</v>
      </c>
      <c r="TG121" s="124">
        <f>VLOOKUP($A121, 'Grade Enroll 15-16'!$B:$AB, 22, FALSE)</f>
        <v>56</v>
      </c>
      <c r="TH121" s="124">
        <f>VLOOKUP($A121, 'Grade Enroll 15-16'!$B:$AB, 23, FALSE)</f>
        <v>57</v>
      </c>
      <c r="TI121" s="124">
        <f>VLOOKUP($A121, 'Grade Enroll 15-16'!$B:$AB, 24, FALSE)</f>
        <v>47</v>
      </c>
      <c r="TJ121" s="124">
        <f>VLOOKUP($A121, 'Grade Enroll 15-16'!$B:$AB, 25, FALSE)</f>
        <v>97</v>
      </c>
      <c r="TK121" s="124">
        <f>VLOOKUP($A121, 'Grade Enroll 15-16'!$B:$AB, 26, FALSE)</f>
        <v>168</v>
      </c>
      <c r="TL121" s="131">
        <f>SUMIFS('Student Achievement 15-16'!N:N, 'Student Achievement 15-16'!B:B, 'Idaho Data'!A121, 'Student Achievement 15-16'!D:D, "math")/100</f>
        <v>0.34799999999999998</v>
      </c>
      <c r="TM121" s="134">
        <f t="shared" si="186"/>
        <v>89.435999999999993</v>
      </c>
      <c r="TN121" s="131">
        <f>SUMIFS('Student Achievement 15-16'!N:N, 'Student Achievement 15-16'!B:B, 'Idaho Data'!A121, 'Student Achievement 15-16'!D:D, "ela")/100</f>
        <v>0.34799999999999998</v>
      </c>
      <c r="TO121" s="134">
        <f t="shared" si="134"/>
        <v>89.435999999999993</v>
      </c>
      <c r="TP121" s="688">
        <f>IFERROR(VLOOKUP(A121, 'G&amp;T 15-16'!B:G, 6, FALSE), 0)*1</f>
        <v>0</v>
      </c>
      <c r="TQ121" s="168">
        <f t="shared" si="135"/>
        <v>15.42</v>
      </c>
      <c r="TU121" s="168">
        <f t="shared" si="136"/>
        <v>89.435999999999993</v>
      </c>
      <c r="TV121" s="168">
        <f t="shared" si="137"/>
        <v>89.435999999999993</v>
      </c>
      <c r="TW121" s="205">
        <f t="shared" si="138"/>
        <v>89.435999999999993</v>
      </c>
      <c r="TX121" s="144"/>
      <c r="TY121" s="129"/>
      <c r="TZ121" s="127">
        <f t="shared" si="139"/>
        <v>0</v>
      </c>
      <c r="UA121" s="127">
        <f t="shared" si="140"/>
        <v>15.42</v>
      </c>
      <c r="UB121" s="205">
        <f t="shared" si="141"/>
        <v>15.42</v>
      </c>
      <c r="UE121" s="853" t="str">
        <f>IF(ST121&lt;='1. Simulator Input'!$E$104, "yes", "")</f>
        <v>yes</v>
      </c>
      <c r="UI121" s="199">
        <f t="shared" si="187"/>
        <v>0</v>
      </c>
      <c r="UJ121" s="200">
        <f>IF('Idaho Data'!SI121&gt;=0, ((1-'1. Simulator Input'!$E$39)*'Idaho Data'!SI121), 0)</f>
        <v>0</v>
      </c>
      <c r="UK121" s="200">
        <f t="shared" si="142"/>
        <v>1979535</v>
      </c>
      <c r="UL121" s="39"/>
      <c r="UM121" s="182"/>
      <c r="UN121" s="39"/>
      <c r="UO121" s="39">
        <f>IF(AND('1. Simulator Input'!$E$96="yes", '1. Simulator Input'!$E$98="yes", '1. Simulator Input'!$E$100="hold harmless"), 'Idaho Data'!WN121, IF(AND('1. Simulator Input'!$E$96="yes", '1. Simulator Input'!$E$98="no", '1. Simulator Input'!$E$100="hold harmless"), 'Idaho Data'!WM121, IF(AND('1. Simulator Input'!$E$96="yes", '1. Simulator Input'!$E$98="yes", '1. Simulator Input'!$E$100="small district grant"), WL121,IF(AND('1. Simulator Input'!$E$96="yes", '1. Simulator Input'!$E$98="no", '1. Simulator Input'!$E$100="small district grant"), WK121, ""))))</f>
        <v>0</v>
      </c>
      <c r="UP121" s="200">
        <f>'1. Simulator Input'!$D$56*('Idaho Data'!ST121)</f>
        <v>1420182</v>
      </c>
      <c r="UQ121" s="204">
        <f>'1. Simulator Input'!$D$65*'1. Simulator Input'!$D$56*'Idaho Data'!SU121</f>
        <v>0</v>
      </c>
      <c r="UR121" s="204">
        <f>'1. Simulator Input'!$D$66*'1. Simulator Input'!$D$56*'Idaho Data'!SW121</f>
        <v>0</v>
      </c>
      <c r="US121" s="200">
        <f>'1. Simulator Input'!$D$67*'1. Simulator Input'!$D$56*'Idaho Data'!TA121</f>
        <v>0</v>
      </c>
      <c r="UT121" s="200">
        <f>'1. Simulator Input'!$D$68*'1. Simulator Input'!$D$56*'Idaho Data'!TB121</f>
        <v>0</v>
      </c>
      <c r="UU121" s="200">
        <f>'1. Simulator Input'!$D$69*'1. Simulator Input'!$D$56*'Idaho Data'!TC121</f>
        <v>0</v>
      </c>
      <c r="UV121" s="200">
        <f>'1. Simulator Input'!$D$70*'1. Simulator Input'!$D$56*TD121</f>
        <v>0</v>
      </c>
      <c r="UW121" s="200">
        <f>'1. Simulator Input'!$D$80*'1. Simulator Input'!$D$56*TW121</f>
        <v>0</v>
      </c>
      <c r="UX121" s="200">
        <f>'1. Simulator Input'!$D$79*'1. Simulator Input'!$D$56*UB121</f>
        <v>0</v>
      </c>
      <c r="UY121" s="200">
        <f>'1. Simulator Input'!$D$87*'1. Simulator Input'!$D$56*TF121</f>
        <v>41445</v>
      </c>
      <c r="UZ121" s="200">
        <f>'1. Simulator Input'!$D$73*'1. Simulator Input'!$D$56*'Idaho Data'!TG121</f>
        <v>0</v>
      </c>
      <c r="VA121" s="200">
        <f>'1. Simulator Input'!$D$56*'1. Simulator Input'!$D$74*'Idaho Data'!TH121</f>
        <v>0</v>
      </c>
      <c r="VB121" s="200">
        <f>'1. Simulator Input'!$D$56*'1. Simulator Input'!$D$75*'Idaho Data'!TI116</f>
        <v>0</v>
      </c>
      <c r="VC121" s="200">
        <f>'1. Simulator Input'!$D$76*'1. Simulator Input'!$D$56*'Idaho Data'!TJ121</f>
        <v>0</v>
      </c>
      <c r="VD121" s="200">
        <f t="shared" si="188"/>
        <v>1461627</v>
      </c>
      <c r="VE121" s="200"/>
      <c r="VF121" s="182"/>
      <c r="VG121" s="200"/>
      <c r="VH121" s="200">
        <f t="shared" si="189"/>
        <v>0</v>
      </c>
      <c r="VI121" s="200">
        <f t="shared" si="190"/>
        <v>0</v>
      </c>
      <c r="VJ121" s="200">
        <f t="shared" si="214"/>
        <v>1461627</v>
      </c>
      <c r="VK121" s="200">
        <f t="shared" si="215"/>
        <v>1461627</v>
      </c>
      <c r="VL121" s="200"/>
      <c r="VM121" s="182"/>
      <c r="VN121" s="200"/>
      <c r="VO121" s="200">
        <f t="shared" si="191"/>
        <v>352448</v>
      </c>
      <c r="VP121" s="200">
        <f t="shared" si="192"/>
        <v>1979535</v>
      </c>
      <c r="VQ121" s="200">
        <f t="shared" si="193"/>
        <v>758629</v>
      </c>
      <c r="VR121" s="200">
        <f t="shared" si="194"/>
        <v>352448</v>
      </c>
      <c r="VS121" s="200">
        <f t="shared" si="216"/>
        <v>1461627</v>
      </c>
      <c r="VT121" s="200">
        <f t="shared" si="217"/>
        <v>758629</v>
      </c>
      <c r="VU121" s="200">
        <f t="shared" si="218"/>
        <v>0</v>
      </c>
      <c r="VV121" s="200"/>
      <c r="VW121" s="182"/>
      <c r="VX121" s="200"/>
      <c r="VZ121" s="199">
        <f t="shared" si="195"/>
        <v>-517908</v>
      </c>
      <c r="WA121" s="466">
        <f t="shared" si="196"/>
        <v>-2015.2062256809338</v>
      </c>
      <c r="WB121" s="131">
        <f t="shared" si="197"/>
        <v>-0.26163114064666704</v>
      </c>
      <c r="WC121" s="131"/>
      <c r="WD121" s="461"/>
      <c r="WE121" s="893"/>
      <c r="WF121" s="893">
        <f t="shared" si="198"/>
        <v>12025.727626459144</v>
      </c>
      <c r="WG121" s="893">
        <f t="shared" si="199"/>
        <v>10010.521400778211</v>
      </c>
      <c r="WH121" s="893"/>
      <c r="WI121" s="893">
        <f t="shared" si="200"/>
        <v>1979535</v>
      </c>
      <c r="WJ121" s="893">
        <f t="shared" si="219"/>
        <v>1461627</v>
      </c>
      <c r="WK121" s="39">
        <f t="shared" si="220"/>
        <v>0</v>
      </c>
      <c r="WL121" s="39">
        <f t="shared" si="221"/>
        <v>0</v>
      </c>
      <c r="WM121" s="200">
        <f t="shared" si="222"/>
        <v>517908</v>
      </c>
      <c r="WN121" s="39">
        <f t="shared" si="223"/>
        <v>517908</v>
      </c>
      <c r="WO121" s="39"/>
      <c r="WP121" s="182"/>
      <c r="WQ121" s="39"/>
      <c r="WR121" s="305">
        <f t="shared" si="224"/>
        <v>0.93799999999999994</v>
      </c>
      <c r="WT121" s="200">
        <f t="shared" si="225"/>
        <v>7702.470817120623</v>
      </c>
      <c r="WU121" s="131">
        <f t="shared" si="201"/>
        <v>0.7</v>
      </c>
      <c r="WW121" s="199">
        <f t="shared" si="226"/>
        <v>352448</v>
      </c>
      <c r="WX121" s="199">
        <f t="shared" si="227"/>
        <v>1461627</v>
      </c>
      <c r="WY121" s="199">
        <f t="shared" si="228"/>
        <v>0</v>
      </c>
      <c r="WZ121" s="199">
        <f t="shared" si="202"/>
        <v>1461627</v>
      </c>
      <c r="XA121" s="199">
        <f t="shared" si="229"/>
        <v>0</v>
      </c>
      <c r="XB121" s="199">
        <f t="shared" si="230"/>
        <v>758629</v>
      </c>
      <c r="XC121" s="199">
        <f t="shared" si="231"/>
        <v>758629</v>
      </c>
      <c r="XD121" s="199" t="str">
        <f t="shared" si="232"/>
        <v/>
      </c>
      <c r="XE121" s="199"/>
      <c r="XF121" s="199"/>
      <c r="XG121" s="199"/>
      <c r="XH121" s="199"/>
      <c r="XI121" s="199"/>
      <c r="XJ121" s="199">
        <f t="shared" si="203"/>
        <v>1461627</v>
      </c>
      <c r="XP121" s="199">
        <f t="shared" si="233"/>
        <v>1461627</v>
      </c>
      <c r="XQ121" s="199">
        <f t="shared" si="234"/>
        <v>5687.264591439689</v>
      </c>
      <c r="XR121" s="199">
        <f t="shared" si="235"/>
        <v>1461627</v>
      </c>
      <c r="XS121" s="199">
        <f t="shared" si="236"/>
        <v>1461627</v>
      </c>
      <c r="XT121" s="199">
        <f t="shared" si="237"/>
        <v>5687.264591439689</v>
      </c>
      <c r="XU121" s="199">
        <f t="shared" si="238"/>
        <v>1979535</v>
      </c>
      <c r="XV121" s="199">
        <f t="shared" si="239"/>
        <v>7702.470817120623</v>
      </c>
      <c r="XW121" s="199">
        <f t="shared" si="240"/>
        <v>1979535</v>
      </c>
      <c r="XX121" s="199">
        <f t="shared" si="241"/>
        <v>7702.470817120623</v>
      </c>
      <c r="XY121" s="199">
        <f t="shared" si="204"/>
        <v>-517908</v>
      </c>
      <c r="XZ121" s="199">
        <f t="shared" si="205"/>
        <v>-2015.206225680934</v>
      </c>
      <c r="YA121" s="131">
        <f t="shared" si="143"/>
        <v>-0.26163114064666704</v>
      </c>
      <c r="YB121" s="199"/>
      <c r="YC121" s="221"/>
      <c r="YD121" s="199"/>
      <c r="YE121" s="199">
        <f t="shared" si="242"/>
        <v>352448</v>
      </c>
      <c r="YF121" s="200">
        <f t="shared" si="243"/>
        <v>0</v>
      </c>
      <c r="YG121" s="199">
        <f t="shared" si="244"/>
        <v>758629</v>
      </c>
      <c r="YH121" s="199">
        <f t="shared" si="245"/>
        <v>951064</v>
      </c>
    </row>
    <row r="122" spans="1:658">
      <c r="A122" s="3">
        <v>431</v>
      </c>
      <c r="B122" s="2" t="s">
        <v>219</v>
      </c>
      <c r="C122" s="24">
        <v>0</v>
      </c>
      <c r="D122" s="24">
        <v>0</v>
      </c>
      <c r="E122" s="24">
        <v>0</v>
      </c>
      <c r="F122" s="24">
        <v>0</v>
      </c>
      <c r="G122" s="24">
        <v>349748</v>
      </c>
      <c r="H122" s="24">
        <v>0</v>
      </c>
      <c r="I122" s="24">
        <v>0</v>
      </c>
      <c r="J122" s="24">
        <v>38002</v>
      </c>
      <c r="K122" s="24">
        <v>0</v>
      </c>
      <c r="L122" s="24">
        <v>0</v>
      </c>
      <c r="M122" s="24">
        <v>0</v>
      </c>
      <c r="N122" s="24">
        <v>0</v>
      </c>
      <c r="O122" s="24">
        <v>0</v>
      </c>
      <c r="P122" s="24">
        <v>0</v>
      </c>
      <c r="Q122" s="24">
        <v>0</v>
      </c>
      <c r="R122" s="24">
        <v>0</v>
      </c>
      <c r="S122" s="24">
        <v>0</v>
      </c>
      <c r="T122" s="24">
        <v>309748</v>
      </c>
      <c r="U122" s="24">
        <v>0</v>
      </c>
      <c r="V122" s="24">
        <v>0</v>
      </c>
      <c r="W122" s="24">
        <v>0</v>
      </c>
      <c r="X122" s="24">
        <v>0</v>
      </c>
      <c r="Y122" s="24">
        <v>10175</v>
      </c>
      <c r="Z122" s="24">
        <v>0</v>
      </c>
      <c r="AA122" s="24">
        <v>0</v>
      </c>
      <c r="AB122" s="24">
        <v>0</v>
      </c>
      <c r="AC122" s="24">
        <v>0</v>
      </c>
      <c r="AD122" s="24">
        <v>0</v>
      </c>
      <c r="AE122" s="24">
        <v>0</v>
      </c>
      <c r="AF122" s="24">
        <v>0</v>
      </c>
      <c r="AG122" s="24">
        <v>0</v>
      </c>
      <c r="AH122" s="24">
        <v>11335</v>
      </c>
      <c r="AI122" s="24">
        <v>0</v>
      </c>
      <c r="AJ122" s="24">
        <v>0</v>
      </c>
      <c r="AK122" s="24">
        <v>98961</v>
      </c>
      <c r="AL122" s="24">
        <v>7765</v>
      </c>
      <c r="AM122" s="24">
        <v>0</v>
      </c>
      <c r="AN122" s="24">
        <v>0</v>
      </c>
      <c r="AO122" s="24">
        <v>0</v>
      </c>
      <c r="AP122" s="24">
        <v>0</v>
      </c>
      <c r="AQ122" s="24">
        <v>0</v>
      </c>
      <c r="AR122" s="24">
        <v>0</v>
      </c>
      <c r="AS122" s="24">
        <v>0</v>
      </c>
      <c r="AT122" s="24">
        <v>0</v>
      </c>
      <c r="AU122" s="24">
        <v>0</v>
      </c>
      <c r="AV122" s="24">
        <v>0</v>
      </c>
      <c r="AW122" s="24">
        <v>0</v>
      </c>
      <c r="AX122" s="24">
        <v>0</v>
      </c>
      <c r="AY122" s="24">
        <v>0</v>
      </c>
      <c r="AZ122" s="24">
        <v>0</v>
      </c>
      <c r="BA122" s="24">
        <v>0</v>
      </c>
      <c r="BB122" s="24">
        <v>0</v>
      </c>
      <c r="BC122" s="24">
        <v>22</v>
      </c>
      <c r="BD122" s="24">
        <v>0</v>
      </c>
      <c r="BE122" s="24">
        <v>0</v>
      </c>
      <c r="BF122" s="24">
        <v>0</v>
      </c>
      <c r="BG122" s="24">
        <v>0</v>
      </c>
      <c r="BH122" s="24">
        <v>0</v>
      </c>
      <c r="BI122" s="24">
        <v>0</v>
      </c>
      <c r="BJ122" s="24">
        <v>0</v>
      </c>
      <c r="BK122" s="24">
        <v>0</v>
      </c>
      <c r="BL122" s="24">
        <v>0</v>
      </c>
      <c r="BM122" s="24">
        <v>4260</v>
      </c>
      <c r="BN122" s="24">
        <v>0</v>
      </c>
      <c r="BO122" s="24">
        <v>0</v>
      </c>
      <c r="BP122" s="24">
        <v>0</v>
      </c>
      <c r="BQ122" s="24">
        <v>0</v>
      </c>
      <c r="BR122" s="24">
        <v>0</v>
      </c>
      <c r="BS122" s="24">
        <v>0</v>
      </c>
      <c r="BT122" s="24">
        <v>0</v>
      </c>
      <c r="BU122" s="24">
        <v>0</v>
      </c>
      <c r="BV122" s="24">
        <v>0</v>
      </c>
      <c r="BW122" s="24">
        <v>0</v>
      </c>
      <c r="BX122" s="24">
        <v>0</v>
      </c>
      <c r="BY122" s="24">
        <v>0</v>
      </c>
      <c r="BZ122" s="24">
        <v>0</v>
      </c>
      <c r="CA122" s="24">
        <v>0</v>
      </c>
      <c r="CB122" s="24">
        <v>0</v>
      </c>
      <c r="CC122" s="24">
        <v>0</v>
      </c>
      <c r="CD122" s="24">
        <v>91548</v>
      </c>
      <c r="CE122" s="24">
        <v>9056</v>
      </c>
      <c r="CF122" s="24">
        <v>0</v>
      </c>
      <c r="CG122" s="24">
        <v>4750</v>
      </c>
      <c r="CH122" s="24">
        <v>0</v>
      </c>
      <c r="CI122" s="24">
        <v>0</v>
      </c>
      <c r="CJ122" s="24">
        <v>0</v>
      </c>
      <c r="CK122" s="24">
        <v>0</v>
      </c>
      <c r="CL122" s="24">
        <v>0</v>
      </c>
      <c r="CM122" s="24">
        <v>0</v>
      </c>
      <c r="CN122" s="24">
        <v>0</v>
      </c>
      <c r="CO122" s="24">
        <v>0</v>
      </c>
      <c r="CP122" s="24">
        <v>0</v>
      </c>
      <c r="CQ122" s="24">
        <v>0</v>
      </c>
      <c r="CR122" s="24">
        <v>0</v>
      </c>
      <c r="CS122" s="24">
        <v>0</v>
      </c>
      <c r="CT122" s="24">
        <v>0</v>
      </c>
      <c r="CU122" s="24">
        <v>0</v>
      </c>
      <c r="CV122" s="24">
        <v>0</v>
      </c>
      <c r="CW122" s="24">
        <v>0</v>
      </c>
      <c r="CX122" s="24">
        <v>0</v>
      </c>
      <c r="CY122" s="24">
        <v>0</v>
      </c>
      <c r="CZ122" s="24">
        <v>0</v>
      </c>
      <c r="DA122" s="24">
        <v>0</v>
      </c>
      <c r="DB122" s="24">
        <v>0</v>
      </c>
      <c r="DC122" s="24">
        <v>0</v>
      </c>
      <c r="DD122" s="24">
        <v>0</v>
      </c>
      <c r="DE122" s="24">
        <v>0</v>
      </c>
      <c r="DF122" s="24">
        <v>0</v>
      </c>
      <c r="DG122" s="24">
        <v>0</v>
      </c>
      <c r="DH122" s="24">
        <v>0</v>
      </c>
      <c r="DI122" s="24">
        <v>0</v>
      </c>
      <c r="DJ122" s="24">
        <v>0</v>
      </c>
      <c r="DK122" s="24">
        <v>0</v>
      </c>
      <c r="DL122" s="24">
        <v>0</v>
      </c>
      <c r="DM122" s="24">
        <v>0</v>
      </c>
      <c r="DN122" s="24">
        <v>0</v>
      </c>
      <c r="DO122" s="24">
        <v>0</v>
      </c>
      <c r="DP122" s="24">
        <v>0</v>
      </c>
      <c r="DQ122" s="24">
        <v>0</v>
      </c>
      <c r="DR122" s="24">
        <v>0</v>
      </c>
      <c r="DS122" s="24">
        <v>0</v>
      </c>
      <c r="DT122" s="24">
        <v>0</v>
      </c>
      <c r="DU122" s="24">
        <v>0</v>
      </c>
      <c r="DV122" s="24">
        <v>0</v>
      </c>
      <c r="DW122" s="24">
        <v>0</v>
      </c>
      <c r="DX122" s="24">
        <v>0</v>
      </c>
      <c r="DY122" s="24">
        <v>0</v>
      </c>
      <c r="DZ122" s="24">
        <v>0</v>
      </c>
      <c r="EA122" s="24">
        <v>0</v>
      </c>
      <c r="EB122" s="24">
        <v>0</v>
      </c>
      <c r="EC122" s="24">
        <v>0</v>
      </c>
      <c r="ED122" s="24">
        <v>0</v>
      </c>
      <c r="EE122" s="24">
        <v>0</v>
      </c>
      <c r="EF122" s="24">
        <v>0</v>
      </c>
      <c r="EG122" s="24">
        <v>0</v>
      </c>
      <c r="EH122" s="24">
        <v>0</v>
      </c>
      <c r="EI122" s="24">
        <v>0</v>
      </c>
      <c r="EJ122" s="24">
        <v>0</v>
      </c>
      <c r="EK122" s="24">
        <v>0</v>
      </c>
      <c r="EL122" s="24">
        <v>0</v>
      </c>
      <c r="EM122" s="24">
        <v>0</v>
      </c>
      <c r="EN122" s="24">
        <v>0</v>
      </c>
      <c r="EO122" s="24">
        <v>0</v>
      </c>
      <c r="EP122" s="24">
        <v>0</v>
      </c>
      <c r="EQ122" s="24">
        <v>0</v>
      </c>
      <c r="ER122" s="24">
        <v>0</v>
      </c>
      <c r="ES122" s="24">
        <v>0</v>
      </c>
      <c r="ET122" s="24">
        <v>0</v>
      </c>
      <c r="EU122" s="24">
        <v>0</v>
      </c>
      <c r="EV122" s="24">
        <v>62666</v>
      </c>
      <c r="EW122" s="24">
        <v>0</v>
      </c>
      <c r="EX122" s="24">
        <v>0</v>
      </c>
      <c r="EY122" s="24">
        <v>0</v>
      </c>
      <c r="EZ122" s="24">
        <v>0</v>
      </c>
      <c r="FA122" s="24">
        <v>0</v>
      </c>
      <c r="FB122" s="24">
        <v>720</v>
      </c>
      <c r="FC122" s="24">
        <v>0</v>
      </c>
      <c r="FD122" s="24">
        <v>0</v>
      </c>
      <c r="FE122" s="24">
        <v>0</v>
      </c>
      <c r="FF122" s="24">
        <v>0</v>
      </c>
      <c r="FG122" s="24">
        <v>0</v>
      </c>
      <c r="FH122" s="24">
        <v>0</v>
      </c>
      <c r="FI122" s="24">
        <v>0</v>
      </c>
      <c r="FJ122" s="24">
        <v>0</v>
      </c>
      <c r="FK122" s="24">
        <v>0</v>
      </c>
      <c r="FL122" s="24">
        <v>0</v>
      </c>
      <c r="FM122" s="24">
        <v>0</v>
      </c>
      <c r="FN122" s="24">
        <v>0</v>
      </c>
      <c r="FO122" s="24">
        <v>0</v>
      </c>
      <c r="FP122" s="24">
        <v>0</v>
      </c>
      <c r="FQ122" s="24">
        <v>0</v>
      </c>
      <c r="FR122" s="24">
        <v>0</v>
      </c>
      <c r="FS122" s="24">
        <v>65683</v>
      </c>
      <c r="FT122" s="24">
        <v>0</v>
      </c>
      <c r="FU122" s="24">
        <v>0</v>
      </c>
      <c r="FV122" s="24">
        <v>0</v>
      </c>
      <c r="FW122" s="24">
        <v>0</v>
      </c>
      <c r="FX122" s="24">
        <v>54949</v>
      </c>
      <c r="FY122" s="24">
        <v>0</v>
      </c>
      <c r="FZ122" s="24">
        <v>0</v>
      </c>
      <c r="GA122" s="24">
        <v>0</v>
      </c>
      <c r="GB122" s="24">
        <v>0</v>
      </c>
      <c r="GC122" s="24">
        <v>0</v>
      </c>
      <c r="GD122" s="24">
        <v>0</v>
      </c>
      <c r="GE122" s="24">
        <v>0</v>
      </c>
      <c r="GF122" s="24">
        <v>61179</v>
      </c>
      <c r="GG122" s="24">
        <v>0</v>
      </c>
      <c r="GH122" s="24">
        <v>0</v>
      </c>
      <c r="GI122" s="24">
        <v>0</v>
      </c>
      <c r="GJ122" s="24">
        <v>0</v>
      </c>
      <c r="GK122" s="24">
        <v>0</v>
      </c>
      <c r="GL122" s="24">
        <v>0</v>
      </c>
      <c r="GM122" s="24">
        <v>0</v>
      </c>
      <c r="GN122" s="24">
        <v>0</v>
      </c>
      <c r="GO122" s="24">
        <v>0</v>
      </c>
      <c r="GP122" s="24">
        <v>0</v>
      </c>
      <c r="GQ122" s="24">
        <v>0</v>
      </c>
      <c r="GR122" s="24">
        <v>4787</v>
      </c>
      <c r="GS122" s="24">
        <v>0</v>
      </c>
      <c r="GT122" s="24">
        <v>0</v>
      </c>
      <c r="GU122" s="24">
        <v>0</v>
      </c>
      <c r="GV122" s="24">
        <v>0</v>
      </c>
      <c r="GW122" s="24">
        <v>0</v>
      </c>
      <c r="GX122" s="24">
        <v>0</v>
      </c>
      <c r="GY122" s="24">
        <v>0</v>
      </c>
      <c r="GZ122" s="24">
        <v>0</v>
      </c>
      <c r="HA122" s="24">
        <v>0</v>
      </c>
      <c r="HB122" s="24">
        <v>0</v>
      </c>
      <c r="HC122" s="24">
        <v>0</v>
      </c>
      <c r="HD122" s="24">
        <v>6439357</v>
      </c>
      <c r="HE122" s="24">
        <v>0</v>
      </c>
      <c r="HF122" s="24">
        <v>0</v>
      </c>
      <c r="HG122" s="24">
        <v>0</v>
      </c>
      <c r="HH122" s="24">
        <v>0</v>
      </c>
      <c r="HI122" s="24">
        <v>237041</v>
      </c>
      <c r="HJ122" s="24">
        <v>0</v>
      </c>
      <c r="HK122" s="24">
        <v>0</v>
      </c>
      <c r="HL122" s="24">
        <v>0</v>
      </c>
      <c r="HM122" s="24">
        <v>0</v>
      </c>
      <c r="HN122" s="24">
        <v>0</v>
      </c>
      <c r="HO122" s="24">
        <v>857506</v>
      </c>
      <c r="HP122" s="24">
        <v>332233</v>
      </c>
      <c r="HQ122" s="24">
        <v>0</v>
      </c>
      <c r="HR122" s="24">
        <v>0</v>
      </c>
      <c r="HS122" s="24">
        <v>0</v>
      </c>
      <c r="HT122" s="24">
        <v>0</v>
      </c>
      <c r="HU122" s="24">
        <v>0</v>
      </c>
      <c r="HV122" s="24">
        <v>0</v>
      </c>
      <c r="HW122" s="24">
        <v>0</v>
      </c>
      <c r="HX122" s="24">
        <v>0</v>
      </c>
      <c r="HY122" s="24">
        <v>0</v>
      </c>
      <c r="HZ122" s="24">
        <v>0</v>
      </c>
      <c r="IA122" s="24">
        <v>92167</v>
      </c>
      <c r="IB122" s="24">
        <v>21133</v>
      </c>
      <c r="IC122" s="24">
        <v>0</v>
      </c>
      <c r="ID122" s="24">
        <v>0</v>
      </c>
      <c r="IE122" s="24">
        <v>0</v>
      </c>
      <c r="IF122" s="24">
        <v>0</v>
      </c>
      <c r="IG122" s="24">
        <v>0</v>
      </c>
      <c r="IH122" s="24">
        <v>0</v>
      </c>
      <c r="II122" s="24">
        <v>0</v>
      </c>
      <c r="IJ122" s="24">
        <v>0</v>
      </c>
      <c r="IK122" s="24">
        <v>0</v>
      </c>
      <c r="IL122" s="24">
        <v>0</v>
      </c>
      <c r="IM122" s="24">
        <v>0</v>
      </c>
      <c r="IN122" s="24">
        <v>0</v>
      </c>
      <c r="IO122" s="24">
        <v>12500</v>
      </c>
      <c r="IP122" s="24">
        <v>0</v>
      </c>
      <c r="IQ122" s="24">
        <v>0</v>
      </c>
      <c r="IR122" s="24">
        <v>0</v>
      </c>
      <c r="IS122" s="24">
        <v>0</v>
      </c>
      <c r="IT122" s="24">
        <v>0</v>
      </c>
      <c r="IU122" s="24">
        <v>0</v>
      </c>
      <c r="IV122" s="24">
        <v>0</v>
      </c>
      <c r="IW122" s="24">
        <v>166586</v>
      </c>
      <c r="IX122" s="24">
        <v>0</v>
      </c>
      <c r="IY122" s="24">
        <v>0</v>
      </c>
      <c r="IZ122" s="24">
        <v>0</v>
      </c>
      <c r="JA122" s="24">
        <v>0</v>
      </c>
      <c r="JB122" s="24">
        <v>13118</v>
      </c>
      <c r="JC122" s="24">
        <v>0</v>
      </c>
      <c r="JD122" s="24">
        <v>0</v>
      </c>
      <c r="JE122" s="24">
        <v>0</v>
      </c>
      <c r="JF122" s="24">
        <v>0</v>
      </c>
      <c r="JG122" s="24">
        <v>0</v>
      </c>
      <c r="JH122" s="24">
        <v>0</v>
      </c>
      <c r="JI122" s="24">
        <v>0</v>
      </c>
      <c r="JJ122" s="24">
        <v>0</v>
      </c>
      <c r="JK122" s="24">
        <v>0</v>
      </c>
      <c r="JL122" s="24">
        <v>0</v>
      </c>
      <c r="JM122" s="24">
        <v>0</v>
      </c>
      <c r="JN122" s="24">
        <v>0</v>
      </c>
      <c r="JO122" s="24">
        <v>0</v>
      </c>
      <c r="JP122" s="24">
        <v>0</v>
      </c>
      <c r="JQ122" s="24">
        <v>0</v>
      </c>
      <c r="JR122" s="24">
        <v>0</v>
      </c>
      <c r="JS122" s="24">
        <v>0</v>
      </c>
      <c r="JT122" s="24">
        <v>0</v>
      </c>
      <c r="JU122" s="24">
        <v>0</v>
      </c>
      <c r="JV122" s="24">
        <v>0</v>
      </c>
      <c r="JW122" s="24">
        <v>0</v>
      </c>
      <c r="JX122" s="24">
        <v>0</v>
      </c>
      <c r="JY122" s="24">
        <v>0</v>
      </c>
      <c r="JZ122" s="24">
        <v>0</v>
      </c>
      <c r="KA122" s="24">
        <v>0</v>
      </c>
      <c r="KB122" s="24">
        <v>0</v>
      </c>
      <c r="KC122" s="24">
        <v>0</v>
      </c>
      <c r="KD122" s="24">
        <v>0</v>
      </c>
      <c r="KE122" s="24">
        <v>0</v>
      </c>
      <c r="KF122" s="24">
        <v>0</v>
      </c>
      <c r="KG122" s="24">
        <v>0</v>
      </c>
      <c r="KH122" s="24">
        <v>0</v>
      </c>
      <c r="KI122" s="24">
        <v>0</v>
      </c>
      <c r="KJ122" s="24">
        <v>0</v>
      </c>
      <c r="KK122" s="24">
        <v>0</v>
      </c>
      <c r="KL122" s="24">
        <v>0</v>
      </c>
      <c r="KM122" s="24">
        <v>0</v>
      </c>
      <c r="KN122" s="24">
        <v>0</v>
      </c>
      <c r="KO122" s="24">
        <v>0</v>
      </c>
      <c r="KP122" s="24">
        <v>0</v>
      </c>
      <c r="KQ122" s="24">
        <v>0</v>
      </c>
      <c r="KR122" s="24">
        <v>0</v>
      </c>
      <c r="KS122" s="24">
        <v>0</v>
      </c>
      <c r="KT122" s="24">
        <v>0</v>
      </c>
      <c r="KU122" s="24">
        <v>0</v>
      </c>
      <c r="KV122" s="24">
        <v>0</v>
      </c>
      <c r="KW122" s="24">
        <v>0</v>
      </c>
      <c r="KX122" s="24">
        <v>0</v>
      </c>
      <c r="KY122" s="24">
        <v>0</v>
      </c>
      <c r="KZ122" s="24">
        <v>0</v>
      </c>
      <c r="LA122" s="24">
        <v>0</v>
      </c>
      <c r="LB122" s="24">
        <v>0</v>
      </c>
      <c r="LC122" s="24">
        <v>0</v>
      </c>
      <c r="LD122" s="24">
        <v>0</v>
      </c>
      <c r="LE122" s="24">
        <v>0</v>
      </c>
      <c r="LF122" s="24">
        <v>0</v>
      </c>
      <c r="LG122" s="24">
        <v>0</v>
      </c>
      <c r="LH122" s="24">
        <v>0</v>
      </c>
      <c r="LI122" s="24">
        <v>0</v>
      </c>
      <c r="LJ122" s="24">
        <v>0</v>
      </c>
      <c r="LK122" s="24">
        <v>0</v>
      </c>
      <c r="LL122" s="24">
        <v>0</v>
      </c>
      <c r="LM122" s="24">
        <v>0</v>
      </c>
      <c r="LN122" s="24">
        <v>0</v>
      </c>
      <c r="LO122" s="24">
        <v>0</v>
      </c>
      <c r="LP122" s="24">
        <v>0</v>
      </c>
      <c r="LQ122" s="24">
        <v>289280</v>
      </c>
      <c r="LR122" s="24">
        <v>33671</v>
      </c>
      <c r="LS122" s="24">
        <v>0</v>
      </c>
      <c r="LT122" s="24">
        <v>0</v>
      </c>
      <c r="LU122" s="24">
        <v>0</v>
      </c>
      <c r="LV122" s="24">
        <v>0</v>
      </c>
      <c r="LW122" s="24">
        <v>0</v>
      </c>
      <c r="LX122" s="24">
        <v>0</v>
      </c>
      <c r="LY122" s="24">
        <v>0</v>
      </c>
      <c r="LZ122" s="24">
        <v>0</v>
      </c>
      <c r="MA122" s="24">
        <v>0</v>
      </c>
      <c r="MB122" s="24">
        <v>0</v>
      </c>
      <c r="MC122" s="24">
        <v>0</v>
      </c>
      <c r="MD122" s="24">
        <v>0</v>
      </c>
      <c r="ME122" s="24">
        <v>0</v>
      </c>
      <c r="MF122" s="24">
        <v>0</v>
      </c>
      <c r="MG122" s="24">
        <v>0</v>
      </c>
      <c r="MH122" s="24">
        <v>0</v>
      </c>
      <c r="MI122" s="24">
        <v>0</v>
      </c>
      <c r="MJ122" s="24">
        <v>0</v>
      </c>
      <c r="MK122" s="24">
        <v>0</v>
      </c>
      <c r="ML122" s="24">
        <v>0</v>
      </c>
      <c r="MM122" s="24">
        <v>0</v>
      </c>
      <c r="MN122" s="24">
        <v>0</v>
      </c>
      <c r="MO122" s="24">
        <v>18711</v>
      </c>
      <c r="MP122" s="24">
        <v>0</v>
      </c>
      <c r="MQ122" s="24">
        <v>0</v>
      </c>
      <c r="MR122" s="24">
        <v>550955</v>
      </c>
      <c r="MS122" s="24">
        <v>0</v>
      </c>
      <c r="MT122" s="24">
        <v>0</v>
      </c>
      <c r="MU122" s="24">
        <v>0</v>
      </c>
      <c r="MV122" s="24">
        <v>0</v>
      </c>
      <c r="MW122" s="24">
        <v>307677</v>
      </c>
      <c r="MX122" s="24">
        <v>13468</v>
      </c>
      <c r="MY122" s="24">
        <v>0</v>
      </c>
      <c r="MZ122" s="24">
        <v>0</v>
      </c>
      <c r="NA122" s="24">
        <v>0</v>
      </c>
      <c r="NB122" s="24">
        <v>40305</v>
      </c>
      <c r="NC122" s="24">
        <v>0</v>
      </c>
      <c r="ND122" s="24">
        <v>20000</v>
      </c>
      <c r="NE122" s="24">
        <v>10</v>
      </c>
      <c r="NF122" s="24">
        <v>0</v>
      </c>
      <c r="NG122" s="24">
        <v>0</v>
      </c>
      <c r="NH122" s="24">
        <v>0</v>
      </c>
      <c r="NI122" s="24">
        <v>0</v>
      </c>
      <c r="NJ122" s="24">
        <v>0</v>
      </c>
      <c r="NK122" s="24">
        <v>0</v>
      </c>
      <c r="NL122" s="24">
        <v>0</v>
      </c>
      <c r="NM122" s="24">
        <v>0</v>
      </c>
      <c r="NN122" s="24">
        <v>0</v>
      </c>
      <c r="NO122" s="24">
        <v>0</v>
      </c>
      <c r="NP122" s="24">
        <v>0</v>
      </c>
      <c r="NQ122" s="24">
        <v>40711</v>
      </c>
      <c r="NR122" s="24">
        <v>0</v>
      </c>
      <c r="NS122" s="24">
        <v>0</v>
      </c>
      <c r="NT122" s="24">
        <v>0</v>
      </c>
      <c r="NU122" s="24">
        <v>34629</v>
      </c>
      <c r="NV122" s="24">
        <v>90963</v>
      </c>
      <c r="NW122" s="24">
        <v>0</v>
      </c>
      <c r="NX122" s="24">
        <v>152000</v>
      </c>
      <c r="NY122" s="24">
        <v>0</v>
      </c>
      <c r="NZ122" s="24">
        <v>0</v>
      </c>
      <c r="OA122" s="24">
        <v>0</v>
      </c>
      <c r="OB122" s="24">
        <v>0</v>
      </c>
      <c r="OC122" s="24">
        <v>0</v>
      </c>
      <c r="OD122" s="24">
        <v>0</v>
      </c>
      <c r="OE122" s="24">
        <v>0</v>
      </c>
      <c r="OF122" s="24">
        <v>0</v>
      </c>
      <c r="OG122" s="24">
        <v>0</v>
      </c>
      <c r="OH122" s="24">
        <v>0</v>
      </c>
      <c r="OI122" s="24">
        <v>0</v>
      </c>
      <c r="OJ122" s="24">
        <v>0</v>
      </c>
      <c r="OK122" s="24">
        <v>44402</v>
      </c>
      <c r="OL122" s="24">
        <v>0</v>
      </c>
      <c r="OM122" s="24">
        <v>0</v>
      </c>
      <c r="ON122" s="24">
        <v>0</v>
      </c>
      <c r="OO122" s="24">
        <v>0</v>
      </c>
      <c r="OP122" s="24">
        <v>0</v>
      </c>
      <c r="OQ122" s="24">
        <v>0</v>
      </c>
      <c r="OR122" s="24">
        <v>0</v>
      </c>
      <c r="OS122" s="24">
        <v>0</v>
      </c>
      <c r="OT122" s="24">
        <v>0</v>
      </c>
      <c r="OU122" s="24">
        <v>0</v>
      </c>
      <c r="OV122" s="24">
        <v>0</v>
      </c>
      <c r="OW122" s="24">
        <v>0</v>
      </c>
      <c r="OX122" s="24">
        <v>0</v>
      </c>
      <c r="OY122" s="24">
        <v>0</v>
      </c>
      <c r="OZ122" s="24">
        <v>0</v>
      </c>
      <c r="PA122" s="24">
        <v>0</v>
      </c>
      <c r="PB122" s="24">
        <v>0</v>
      </c>
      <c r="PC122" s="24">
        <v>0</v>
      </c>
      <c r="PD122" s="24">
        <v>0</v>
      </c>
      <c r="PE122" s="24">
        <v>0</v>
      </c>
      <c r="PF122" s="24">
        <v>0</v>
      </c>
      <c r="PG122" s="24">
        <v>0</v>
      </c>
      <c r="PH122" s="24">
        <v>5490</v>
      </c>
      <c r="PI122" s="24">
        <v>0</v>
      </c>
      <c r="PJ122" s="24">
        <v>0</v>
      </c>
      <c r="PK122" s="24">
        <v>2994</v>
      </c>
      <c r="PL122" s="24">
        <v>74652</v>
      </c>
      <c r="PM122" s="24">
        <v>10418</v>
      </c>
      <c r="PN122" s="24">
        <v>0</v>
      </c>
      <c r="PO122" s="24">
        <v>0</v>
      </c>
      <c r="PP122" s="24">
        <v>0</v>
      </c>
      <c r="PQ122" s="24">
        <v>0</v>
      </c>
      <c r="PR122" s="24">
        <v>0</v>
      </c>
      <c r="PS122" s="24">
        <v>0</v>
      </c>
      <c r="PT122" s="24">
        <v>0</v>
      </c>
      <c r="PU122" s="24">
        <v>0</v>
      </c>
      <c r="PV122" s="24">
        <v>116</v>
      </c>
      <c r="PW122" s="24">
        <v>0</v>
      </c>
      <c r="PX122" s="24">
        <v>0</v>
      </c>
      <c r="PY122" s="24">
        <v>0</v>
      </c>
      <c r="PZ122" s="24">
        <v>0</v>
      </c>
      <c r="QA122" s="24">
        <v>0</v>
      </c>
      <c r="QB122" s="24">
        <v>0</v>
      </c>
      <c r="QC122" s="24">
        <v>0</v>
      </c>
      <c r="QD122" s="24">
        <v>0</v>
      </c>
      <c r="QE122" s="24">
        <v>0</v>
      </c>
      <c r="QF122" s="24">
        <v>0</v>
      </c>
      <c r="QG122" s="24">
        <v>0</v>
      </c>
      <c r="QH122" s="24">
        <v>0</v>
      </c>
      <c r="QI122" s="24">
        <v>0</v>
      </c>
      <c r="QJ122" s="24">
        <v>0</v>
      </c>
      <c r="QK122" s="24">
        <v>0</v>
      </c>
      <c r="QL122" s="24">
        <v>0</v>
      </c>
      <c r="QM122" s="24">
        <v>0</v>
      </c>
      <c r="QN122" s="24">
        <v>0</v>
      </c>
      <c r="QO122" s="24">
        <v>0</v>
      </c>
      <c r="QP122" s="24">
        <v>0</v>
      </c>
      <c r="QQ122" s="24">
        <v>0</v>
      </c>
      <c r="QR122" s="24">
        <v>0</v>
      </c>
      <c r="QS122" s="24">
        <v>0</v>
      </c>
      <c r="QT122" s="24">
        <v>0</v>
      </c>
      <c r="QU122" s="24">
        <v>0</v>
      </c>
      <c r="QV122" s="24">
        <v>0</v>
      </c>
      <c r="QW122" s="24">
        <v>99158</v>
      </c>
      <c r="QX122" s="24">
        <v>0</v>
      </c>
      <c r="QY122" s="24">
        <v>0</v>
      </c>
      <c r="QZ122" s="24">
        <v>0</v>
      </c>
      <c r="RA122" s="24">
        <v>0</v>
      </c>
      <c r="RB122" s="24">
        <v>0</v>
      </c>
      <c r="RG122" s="39">
        <f t="shared" si="129"/>
        <v>6439357</v>
      </c>
      <c r="RH122" s="39">
        <f t="shared" si="247"/>
        <v>237041</v>
      </c>
      <c r="RI122" s="39">
        <f t="shared" si="247"/>
        <v>0</v>
      </c>
      <c r="RJ122" s="39">
        <f t="shared" si="247"/>
        <v>0</v>
      </c>
      <c r="RK122" s="39">
        <f t="shared" si="247"/>
        <v>0</v>
      </c>
      <c r="RL122" s="39">
        <f t="shared" si="247"/>
        <v>857506</v>
      </c>
      <c r="RM122" s="39">
        <f t="shared" si="247"/>
        <v>445533</v>
      </c>
      <c r="RN122" s="39">
        <f t="shared" si="247"/>
        <v>12500</v>
      </c>
      <c r="RO122" s="39">
        <f t="shared" si="247"/>
        <v>0</v>
      </c>
      <c r="RP122" s="39">
        <f t="shared" si="247"/>
        <v>166586</v>
      </c>
      <c r="RQ122" s="39">
        <f t="shared" si="247"/>
        <v>13118</v>
      </c>
      <c r="RR122" s="39">
        <f t="shared" si="247"/>
        <v>0</v>
      </c>
      <c r="RS122" s="39"/>
      <c r="RT122" s="182"/>
      <c r="RU122" s="39"/>
      <c r="RV122" s="39">
        <f t="shared" si="246"/>
        <v>1636782</v>
      </c>
      <c r="RW122" s="39">
        <f t="shared" si="246"/>
        <v>8171641</v>
      </c>
      <c r="RX122" s="39">
        <f t="shared" si="246"/>
        <v>1185354</v>
      </c>
      <c r="RY122" s="39">
        <f t="shared" si="246"/>
        <v>192828</v>
      </c>
      <c r="RZ122" s="39"/>
      <c r="SA122" s="182"/>
      <c r="SB122" s="39"/>
      <c r="SC122" s="25">
        <f t="shared" si="183"/>
        <v>833.58227848101262</v>
      </c>
      <c r="SD122" s="39">
        <f>IFERROR(VLOOKUP(A122, 'Levy Data 15-16'!$B:$O, 3, FALSE), 0)</f>
        <v>442606328</v>
      </c>
      <c r="SE122" s="39">
        <f t="shared" si="208"/>
        <v>311256.20815752464</v>
      </c>
      <c r="SF122" s="631">
        <f>IFERROR(VLOOKUP(A122, 'Levy Data 15-16'!$B:$O, 14, FALSE), 0)*1000</f>
        <v>1.5727250000000002</v>
      </c>
      <c r="SG122" s="39">
        <f t="shared" si="209"/>
        <v>0</v>
      </c>
      <c r="SH122" s="39">
        <f t="shared" si="210"/>
        <v>0</v>
      </c>
      <c r="SI122" s="39">
        <f t="shared" si="211"/>
        <v>1185354</v>
      </c>
      <c r="SM122" s="39">
        <f t="shared" si="212"/>
        <v>8171641</v>
      </c>
      <c r="SN122" s="39">
        <f t="shared" si="213"/>
        <v>0</v>
      </c>
      <c r="SO122" s="39">
        <f t="shared" si="184"/>
        <v>8171641</v>
      </c>
      <c r="SP122" s="50">
        <f t="shared" si="130"/>
        <v>1</v>
      </c>
      <c r="ST122" s="124">
        <f>IFERROR(VLOOKUP(A122,'Grade Enroll 15-16'!B:AC,27,FALSE),"")</f>
        <v>1422</v>
      </c>
      <c r="SU122" s="124">
        <f t="shared" si="185"/>
        <v>849.32342007434943</v>
      </c>
      <c r="SV122" s="131">
        <f>IFERROR(VLOOKUP($A122, 'Title I Enroll 16-17'!S:V, 4, FALSE), 0)</f>
        <v>0.59727385377942999</v>
      </c>
      <c r="SW122" s="729">
        <f>IFERROR(VLOOKUP(A122, 'ELL Enroll 15-16'!$N:$S, 6, FALSE), 0)</f>
        <v>271</v>
      </c>
      <c r="SX122" s="131">
        <f t="shared" si="131"/>
        <v>0.19057665260196907</v>
      </c>
      <c r="SY122" s="124">
        <f>IFERROR(VLOOKUP(A122, 'SPED enroll 2015-16'!$M:$O, 3, FALSE), 0)</f>
        <v>168</v>
      </c>
      <c r="SZ122" s="131">
        <f t="shared" si="132"/>
        <v>0.11814345991561181</v>
      </c>
      <c r="TA122" s="142">
        <f t="shared" si="207"/>
        <v>117.6</v>
      </c>
      <c r="TB122" s="142">
        <f t="shared" si="207"/>
        <v>33.6</v>
      </c>
      <c r="TC122" s="142">
        <f t="shared" si="207"/>
        <v>11.760000000000002</v>
      </c>
      <c r="TD122" s="142">
        <f t="shared" si="207"/>
        <v>5.04</v>
      </c>
      <c r="TE122" s="124">
        <f>VLOOKUP($A122, 'Grade Enroll 15-16'!$B:$AB, 20, FALSE)</f>
        <v>18</v>
      </c>
      <c r="TF122" s="124">
        <f>VLOOKUP($A122, 'Grade Enroll 15-16'!$B:$AB, 21, FALSE)</f>
        <v>93</v>
      </c>
      <c r="TG122" s="124">
        <f>VLOOKUP($A122, 'Grade Enroll 15-16'!$B:$AB, 22, FALSE)</f>
        <v>326</v>
      </c>
      <c r="TH122" s="124">
        <f>VLOOKUP($A122, 'Grade Enroll 15-16'!$B:$AB, 23, FALSE)</f>
        <v>367</v>
      </c>
      <c r="TI122" s="124">
        <f>VLOOKUP($A122, 'Grade Enroll 15-16'!$B:$AB, 24, FALSE)</f>
        <v>269</v>
      </c>
      <c r="TJ122" s="124">
        <f>VLOOKUP($A122, 'Grade Enroll 15-16'!$B:$AB, 25, FALSE)</f>
        <v>460</v>
      </c>
      <c r="TK122" s="124">
        <f>VLOOKUP($A122, 'Grade Enroll 15-16'!$B:$AB, 26, FALSE)</f>
        <v>984</v>
      </c>
      <c r="TL122" s="131">
        <f>SUMIFS('Student Achievement 15-16'!N:N, 'Student Achievement 15-16'!B:B, 'Idaho Data'!A122, 'Student Achievement 15-16'!D:D, "math")/100</f>
        <v>0.29199999999999998</v>
      </c>
      <c r="TM122" s="134">
        <f t="shared" si="186"/>
        <v>415.22399999999999</v>
      </c>
      <c r="TN122" s="131">
        <f>SUMIFS('Student Achievement 15-16'!N:N, 'Student Achievement 15-16'!B:B, 'Idaho Data'!A122, 'Student Achievement 15-16'!D:D, "ela")/100</f>
        <v>0.22600000000000001</v>
      </c>
      <c r="TO122" s="134">
        <f t="shared" si="134"/>
        <v>321.37200000000001</v>
      </c>
      <c r="TP122" s="688">
        <f>IFERROR(VLOOKUP(A122, 'G&amp;T 15-16'!B:G, 6, FALSE), 0)*1</f>
        <v>0</v>
      </c>
      <c r="TQ122" s="168">
        <f t="shared" si="135"/>
        <v>85.32</v>
      </c>
      <c r="TU122" s="168">
        <f t="shared" si="136"/>
        <v>321.37200000000001</v>
      </c>
      <c r="TV122" s="168">
        <f t="shared" si="137"/>
        <v>415.22399999999999</v>
      </c>
      <c r="TW122" s="205">
        <f t="shared" si="138"/>
        <v>415.22399999999999</v>
      </c>
      <c r="TX122" s="144"/>
      <c r="TY122" s="129"/>
      <c r="TZ122" s="127">
        <f t="shared" si="139"/>
        <v>0</v>
      </c>
      <c r="UA122" s="127">
        <f t="shared" si="140"/>
        <v>85.32</v>
      </c>
      <c r="UB122" s="205">
        <f t="shared" si="141"/>
        <v>85.32</v>
      </c>
      <c r="UE122" s="853" t="str">
        <f>IF(ST122&lt;='1. Simulator Input'!$E$104, "yes", "")</f>
        <v/>
      </c>
      <c r="UI122" s="199">
        <f t="shared" si="187"/>
        <v>0</v>
      </c>
      <c r="UJ122" s="200">
        <f>IF('Idaho Data'!SI122&gt;=0, ((1-'1. Simulator Input'!$E$39)*'Idaho Data'!SI122), 0)</f>
        <v>0</v>
      </c>
      <c r="UK122" s="200">
        <f t="shared" si="142"/>
        <v>8171641</v>
      </c>
      <c r="UL122" s="39"/>
      <c r="UM122" s="182"/>
      <c r="UN122" s="39"/>
      <c r="UO122" s="39" t="str">
        <f>IF(AND('1. Simulator Input'!$E$96="yes", '1. Simulator Input'!$E$98="yes", '1. Simulator Input'!$E$100="hold harmless"), 'Idaho Data'!WN122, IF(AND('1. Simulator Input'!$E$96="yes", '1. Simulator Input'!$E$98="no", '1. Simulator Input'!$E$100="hold harmless"), 'Idaho Data'!WM122, IF(AND('1. Simulator Input'!$E$96="yes", '1. Simulator Input'!$E$98="yes", '1. Simulator Input'!$E$100="small district grant"), WL122,IF(AND('1. Simulator Input'!$E$96="yes", '1. Simulator Input'!$E$98="no", '1. Simulator Input'!$E$100="small district grant"), WK122, ""))))</f>
        <v/>
      </c>
      <c r="UP122" s="200">
        <f>'1. Simulator Input'!$D$56*('Idaho Data'!ST122)</f>
        <v>7857972</v>
      </c>
      <c r="UQ122" s="204">
        <f>'1. Simulator Input'!$D$65*'1. Simulator Input'!$D$56*'Idaho Data'!SU122</f>
        <v>0</v>
      </c>
      <c r="UR122" s="204">
        <f>'1. Simulator Input'!$D$66*'1. Simulator Input'!$D$56*'Idaho Data'!SW122</f>
        <v>0</v>
      </c>
      <c r="US122" s="200">
        <f>'1. Simulator Input'!$D$67*'1. Simulator Input'!$D$56*'Idaho Data'!TA122</f>
        <v>0</v>
      </c>
      <c r="UT122" s="200">
        <f>'1. Simulator Input'!$D$68*'1. Simulator Input'!$D$56*'Idaho Data'!TB122</f>
        <v>0</v>
      </c>
      <c r="UU122" s="200">
        <f>'1. Simulator Input'!$D$69*'1. Simulator Input'!$D$56*'Idaho Data'!TC122</f>
        <v>0</v>
      </c>
      <c r="UV122" s="200">
        <f>'1. Simulator Input'!$D$70*'1. Simulator Input'!$D$56*TD122</f>
        <v>0</v>
      </c>
      <c r="UW122" s="200">
        <f>'1. Simulator Input'!$D$80*'1. Simulator Input'!$D$56*TW122</f>
        <v>0</v>
      </c>
      <c r="UX122" s="200">
        <f>'1. Simulator Input'!$D$79*'1. Simulator Input'!$D$56*UB122</f>
        <v>0</v>
      </c>
      <c r="UY122" s="200">
        <f>'1. Simulator Input'!$D$87*'1. Simulator Input'!$D$56*TF122</f>
        <v>256959</v>
      </c>
      <c r="UZ122" s="200">
        <f>'1. Simulator Input'!$D$73*'1. Simulator Input'!$D$56*'Idaho Data'!TG122</f>
        <v>0</v>
      </c>
      <c r="VA122" s="200">
        <f>'1. Simulator Input'!$D$56*'1. Simulator Input'!$D$74*'Idaho Data'!TH122</f>
        <v>0</v>
      </c>
      <c r="VB122" s="200">
        <f>'1. Simulator Input'!$D$56*'1. Simulator Input'!$D$75*'Idaho Data'!TI117</f>
        <v>0</v>
      </c>
      <c r="VC122" s="200">
        <f>'1. Simulator Input'!$D$76*'1. Simulator Input'!$D$56*'Idaho Data'!TJ122</f>
        <v>0</v>
      </c>
      <c r="VD122" s="200">
        <f t="shared" si="188"/>
        <v>8114931</v>
      </c>
      <c r="VE122" s="200"/>
      <c r="VF122" s="182"/>
      <c r="VG122" s="200"/>
      <c r="VH122" s="200">
        <f t="shared" si="189"/>
        <v>0</v>
      </c>
      <c r="VI122" s="200">
        <f t="shared" si="190"/>
        <v>0</v>
      </c>
      <c r="VJ122" s="200">
        <f t="shared" si="214"/>
        <v>8114931</v>
      </c>
      <c r="VK122" s="200">
        <f t="shared" si="215"/>
        <v>8114931</v>
      </c>
      <c r="VL122" s="200"/>
      <c r="VM122" s="182"/>
      <c r="VN122" s="200"/>
      <c r="VO122" s="200">
        <f t="shared" si="191"/>
        <v>1636782</v>
      </c>
      <c r="VP122" s="200">
        <f t="shared" si="192"/>
        <v>8171641</v>
      </c>
      <c r="VQ122" s="200">
        <f t="shared" si="193"/>
        <v>1185354</v>
      </c>
      <c r="VR122" s="200">
        <f t="shared" si="194"/>
        <v>1636782</v>
      </c>
      <c r="VS122" s="200">
        <f t="shared" si="216"/>
        <v>8114931</v>
      </c>
      <c r="VT122" s="200">
        <f t="shared" si="217"/>
        <v>1185354</v>
      </c>
      <c r="VU122" s="200">
        <f t="shared" si="218"/>
        <v>0</v>
      </c>
      <c r="VV122" s="200"/>
      <c r="VW122" s="182"/>
      <c r="VX122" s="200"/>
      <c r="VZ122" s="199">
        <f t="shared" si="195"/>
        <v>-56710</v>
      </c>
      <c r="WA122" s="199">
        <f t="shared" si="196"/>
        <v>-39.880450070323491</v>
      </c>
      <c r="WB122" s="131">
        <f t="shared" si="197"/>
        <v>-6.9398545530818109E-3</v>
      </c>
      <c r="WC122" s="131"/>
      <c r="WD122" s="461"/>
      <c r="WE122" s="893"/>
      <c r="WF122" s="893">
        <f t="shared" si="198"/>
        <v>7731.2074542897326</v>
      </c>
      <c r="WG122" s="893">
        <f t="shared" si="199"/>
        <v>7691.327004219409</v>
      </c>
      <c r="WH122" s="893"/>
      <c r="WI122" s="893">
        <f t="shared" si="200"/>
        <v>8171641</v>
      </c>
      <c r="WJ122" s="893">
        <f t="shared" si="219"/>
        <v>8114931</v>
      </c>
      <c r="WK122" s="39" t="str">
        <f t="shared" si="220"/>
        <v/>
      </c>
      <c r="WL122" s="39" t="str">
        <f t="shared" si="221"/>
        <v/>
      </c>
      <c r="WM122" s="200" t="str">
        <f t="shared" si="222"/>
        <v/>
      </c>
      <c r="WN122" s="39" t="str">
        <f t="shared" si="223"/>
        <v/>
      </c>
      <c r="WO122" s="39"/>
      <c r="WP122" s="182"/>
      <c r="WQ122" s="39"/>
      <c r="WR122" s="305">
        <f t="shared" si="224"/>
        <v>0.29799999999999999</v>
      </c>
      <c r="WT122" s="200">
        <f t="shared" si="225"/>
        <v>5746.5829817158929</v>
      </c>
      <c r="WU122" s="131">
        <f t="shared" si="201"/>
        <v>0.24</v>
      </c>
      <c r="WW122" s="199">
        <f t="shared" si="226"/>
        <v>1636782</v>
      </c>
      <c r="WX122" s="199">
        <f t="shared" si="227"/>
        <v>8114931</v>
      </c>
      <c r="WY122" s="199">
        <f t="shared" si="228"/>
        <v>0</v>
      </c>
      <c r="WZ122" s="199">
        <f t="shared" si="202"/>
        <v>8114931</v>
      </c>
      <c r="XA122" s="199">
        <f t="shared" si="229"/>
        <v>0</v>
      </c>
      <c r="XB122" s="199">
        <f t="shared" si="230"/>
        <v>1185354</v>
      </c>
      <c r="XC122" s="199">
        <f t="shared" si="231"/>
        <v>1185354</v>
      </c>
      <c r="XD122" s="199" t="str">
        <f t="shared" si="232"/>
        <v/>
      </c>
      <c r="XE122" s="199"/>
      <c r="XF122" s="199"/>
      <c r="XG122" s="199"/>
      <c r="XH122" s="199"/>
      <c r="XI122" s="199"/>
      <c r="XJ122" s="199">
        <f t="shared" si="203"/>
        <v>8114931</v>
      </c>
      <c r="XP122" s="199">
        <f t="shared" si="233"/>
        <v>8114931</v>
      </c>
      <c r="XQ122" s="199">
        <f t="shared" si="234"/>
        <v>5706.7025316455693</v>
      </c>
      <c r="XR122" s="199">
        <f t="shared" si="235"/>
        <v>8114931</v>
      </c>
      <c r="XS122" s="199">
        <f t="shared" si="236"/>
        <v>8114931</v>
      </c>
      <c r="XT122" s="199">
        <f t="shared" si="237"/>
        <v>5706.7025316455693</v>
      </c>
      <c r="XU122" s="199">
        <f t="shared" si="238"/>
        <v>8171641</v>
      </c>
      <c r="XV122" s="199">
        <f t="shared" si="239"/>
        <v>5746.5829817158929</v>
      </c>
      <c r="XW122" s="199">
        <f t="shared" si="240"/>
        <v>8171641</v>
      </c>
      <c r="XX122" s="199">
        <f t="shared" si="241"/>
        <v>5746.5829817158929</v>
      </c>
      <c r="XY122" s="199">
        <f t="shared" si="204"/>
        <v>-56710</v>
      </c>
      <c r="XZ122" s="199">
        <f t="shared" si="205"/>
        <v>-39.880450070323604</v>
      </c>
      <c r="YA122" s="131">
        <f t="shared" si="143"/>
        <v>-6.9398545530818308E-3</v>
      </c>
      <c r="YB122" s="199"/>
      <c r="YC122" s="221"/>
      <c r="YD122" s="199"/>
      <c r="YE122" s="199">
        <f t="shared" si="242"/>
        <v>1636782</v>
      </c>
      <c r="YF122" s="200">
        <f t="shared" si="243"/>
        <v>0</v>
      </c>
      <c r="YG122" s="199">
        <f t="shared" si="244"/>
        <v>1185354</v>
      </c>
      <c r="YH122" s="199">
        <f t="shared" si="245"/>
        <v>192828</v>
      </c>
    </row>
    <row r="123" spans="1:658">
      <c r="A123" s="3">
        <v>432</v>
      </c>
      <c r="B123" s="2" t="s">
        <v>220</v>
      </c>
      <c r="C123" s="24">
        <v>0</v>
      </c>
      <c r="D123" s="24">
        <v>0</v>
      </c>
      <c r="E123" s="24">
        <v>0</v>
      </c>
      <c r="F123" s="24">
        <v>0</v>
      </c>
      <c r="G123" s="24">
        <v>317</v>
      </c>
      <c r="H123" s="24">
        <v>0</v>
      </c>
      <c r="I123" s="24">
        <v>282</v>
      </c>
      <c r="J123" s="24">
        <v>9</v>
      </c>
      <c r="K123" s="24">
        <v>0</v>
      </c>
      <c r="L123" s="24">
        <v>0</v>
      </c>
      <c r="M123" s="24">
        <v>0</v>
      </c>
      <c r="N123" s="24">
        <v>1104</v>
      </c>
      <c r="O123" s="24">
        <v>2442</v>
      </c>
      <c r="P123" s="24">
        <v>0</v>
      </c>
      <c r="Q123" s="24">
        <v>0</v>
      </c>
      <c r="R123" s="24">
        <v>0</v>
      </c>
      <c r="S123" s="24">
        <v>0</v>
      </c>
      <c r="T123" s="24">
        <v>0</v>
      </c>
      <c r="U123" s="24">
        <v>0</v>
      </c>
      <c r="V123" s="24">
        <v>0</v>
      </c>
      <c r="W123" s="24">
        <v>0</v>
      </c>
      <c r="X123" s="24">
        <v>212060</v>
      </c>
      <c r="Y123" s="24">
        <v>221</v>
      </c>
      <c r="Z123" s="24">
        <v>0</v>
      </c>
      <c r="AA123" s="24">
        <v>1198</v>
      </c>
      <c r="AB123" s="24">
        <v>0</v>
      </c>
      <c r="AC123" s="24">
        <v>0</v>
      </c>
      <c r="AD123" s="24">
        <v>0</v>
      </c>
      <c r="AE123" s="24">
        <v>0</v>
      </c>
      <c r="AF123" s="24">
        <v>0</v>
      </c>
      <c r="AG123" s="24">
        <v>0</v>
      </c>
      <c r="AH123" s="24">
        <v>0</v>
      </c>
      <c r="AI123" s="24">
        <v>0</v>
      </c>
      <c r="AJ123" s="24">
        <v>0</v>
      </c>
      <c r="AK123" s="24">
        <v>0</v>
      </c>
      <c r="AL123" s="24">
        <v>1595</v>
      </c>
      <c r="AM123" s="24">
        <v>0</v>
      </c>
      <c r="AN123" s="24">
        <v>0</v>
      </c>
      <c r="AO123" s="24">
        <v>0</v>
      </c>
      <c r="AP123" s="24">
        <v>0</v>
      </c>
      <c r="AQ123" s="24">
        <v>0</v>
      </c>
      <c r="AR123" s="24">
        <v>0</v>
      </c>
      <c r="AS123" s="24">
        <v>0</v>
      </c>
      <c r="AT123" s="24">
        <v>0</v>
      </c>
      <c r="AU123" s="24">
        <v>0</v>
      </c>
      <c r="AV123" s="24">
        <v>0</v>
      </c>
      <c r="AW123" s="24">
        <v>0</v>
      </c>
      <c r="AX123" s="24">
        <v>0</v>
      </c>
      <c r="AY123" s="24">
        <v>0</v>
      </c>
      <c r="AZ123" s="24">
        <v>0</v>
      </c>
      <c r="BA123" s="24">
        <v>0</v>
      </c>
      <c r="BB123" s="24">
        <v>0</v>
      </c>
      <c r="BC123" s="24">
        <v>0</v>
      </c>
      <c r="BD123" s="24">
        <v>56</v>
      </c>
      <c r="BE123" s="24">
        <v>0</v>
      </c>
      <c r="BF123" s="24">
        <v>0</v>
      </c>
      <c r="BG123" s="24">
        <v>0</v>
      </c>
      <c r="BH123" s="24">
        <v>0</v>
      </c>
      <c r="BI123" s="24">
        <v>0</v>
      </c>
      <c r="BJ123" s="24">
        <v>0</v>
      </c>
      <c r="BK123" s="24">
        <v>0</v>
      </c>
      <c r="BL123" s="24">
        <v>0</v>
      </c>
      <c r="BM123" s="24">
        <v>0</v>
      </c>
      <c r="BN123" s="24">
        <v>0</v>
      </c>
      <c r="BO123" s="24">
        <v>0</v>
      </c>
      <c r="BP123" s="24">
        <v>0</v>
      </c>
      <c r="BQ123" s="24">
        <v>0</v>
      </c>
      <c r="BR123" s="24">
        <v>0</v>
      </c>
      <c r="BS123" s="24">
        <v>0</v>
      </c>
      <c r="BT123" s="24">
        <v>0</v>
      </c>
      <c r="BU123" s="24">
        <v>0</v>
      </c>
      <c r="BV123" s="24">
        <v>0</v>
      </c>
      <c r="BW123" s="24">
        <v>0</v>
      </c>
      <c r="BX123" s="24">
        <v>0</v>
      </c>
      <c r="BY123" s="24">
        <v>0</v>
      </c>
      <c r="BZ123" s="24">
        <v>0</v>
      </c>
      <c r="CA123" s="24">
        <v>0</v>
      </c>
      <c r="CB123" s="24">
        <v>0</v>
      </c>
      <c r="CC123" s="24">
        <v>0</v>
      </c>
      <c r="CD123" s="24">
        <v>12169</v>
      </c>
      <c r="CE123" s="24">
        <v>1081</v>
      </c>
      <c r="CF123" s="24">
        <v>0</v>
      </c>
      <c r="CG123" s="24">
        <v>0</v>
      </c>
      <c r="CH123" s="24">
        <v>0</v>
      </c>
      <c r="CI123" s="24">
        <v>0</v>
      </c>
      <c r="CJ123" s="24">
        <v>0</v>
      </c>
      <c r="CK123" s="24">
        <v>0</v>
      </c>
      <c r="CL123" s="24">
        <v>0</v>
      </c>
      <c r="CM123" s="24">
        <v>0</v>
      </c>
      <c r="CN123" s="24">
        <v>0</v>
      </c>
      <c r="CO123" s="24">
        <v>0</v>
      </c>
      <c r="CP123" s="24">
        <v>0</v>
      </c>
      <c r="CQ123" s="24">
        <v>0</v>
      </c>
      <c r="CR123" s="24">
        <v>0</v>
      </c>
      <c r="CS123" s="24">
        <v>0</v>
      </c>
      <c r="CT123" s="24">
        <v>0</v>
      </c>
      <c r="CU123" s="24">
        <v>0</v>
      </c>
      <c r="CV123" s="24">
        <v>0</v>
      </c>
      <c r="CW123" s="24">
        <v>0</v>
      </c>
      <c r="CX123" s="24">
        <v>0</v>
      </c>
      <c r="CY123" s="24">
        <v>0</v>
      </c>
      <c r="CZ123" s="24">
        <v>0</v>
      </c>
      <c r="DA123" s="24">
        <v>0</v>
      </c>
      <c r="DB123" s="24">
        <v>0</v>
      </c>
      <c r="DC123" s="24">
        <v>0</v>
      </c>
      <c r="DD123" s="24">
        <v>0</v>
      </c>
      <c r="DE123" s="24">
        <v>0</v>
      </c>
      <c r="DF123" s="24">
        <v>0</v>
      </c>
      <c r="DG123" s="24">
        <v>0</v>
      </c>
      <c r="DH123" s="24">
        <v>0</v>
      </c>
      <c r="DI123" s="24">
        <v>0</v>
      </c>
      <c r="DJ123" s="24">
        <v>0</v>
      </c>
      <c r="DK123" s="24">
        <v>0</v>
      </c>
      <c r="DL123" s="24">
        <v>0</v>
      </c>
      <c r="DM123" s="24">
        <v>0</v>
      </c>
      <c r="DN123" s="24">
        <v>0</v>
      </c>
      <c r="DO123" s="24">
        <v>0</v>
      </c>
      <c r="DP123" s="24">
        <v>0</v>
      </c>
      <c r="DQ123" s="24">
        <v>0</v>
      </c>
      <c r="DR123" s="24">
        <v>0</v>
      </c>
      <c r="DS123" s="24">
        <v>0</v>
      </c>
      <c r="DT123" s="24">
        <v>0</v>
      </c>
      <c r="DU123" s="24">
        <v>7920</v>
      </c>
      <c r="DV123" s="24">
        <v>0</v>
      </c>
      <c r="DW123" s="24">
        <v>0</v>
      </c>
      <c r="DX123" s="24">
        <v>0</v>
      </c>
      <c r="DY123" s="24">
        <v>0</v>
      </c>
      <c r="DZ123" s="24">
        <v>0</v>
      </c>
      <c r="EA123" s="24">
        <v>0</v>
      </c>
      <c r="EB123" s="24">
        <v>0</v>
      </c>
      <c r="EC123" s="24">
        <v>0</v>
      </c>
      <c r="ED123" s="24">
        <v>0</v>
      </c>
      <c r="EE123" s="24">
        <v>0</v>
      </c>
      <c r="EF123" s="24">
        <v>0</v>
      </c>
      <c r="EG123" s="24">
        <v>10228</v>
      </c>
      <c r="EH123" s="24">
        <v>16075</v>
      </c>
      <c r="EI123" s="24">
        <v>0</v>
      </c>
      <c r="EJ123" s="24">
        <v>0</v>
      </c>
      <c r="EK123" s="24">
        <v>0</v>
      </c>
      <c r="EL123" s="24">
        <v>0</v>
      </c>
      <c r="EM123" s="24">
        <v>0</v>
      </c>
      <c r="EN123" s="24">
        <v>0</v>
      </c>
      <c r="EO123" s="24">
        <v>0</v>
      </c>
      <c r="EP123" s="24">
        <v>0</v>
      </c>
      <c r="EQ123" s="24">
        <v>0</v>
      </c>
      <c r="ER123" s="24">
        <v>0</v>
      </c>
      <c r="ES123" s="24">
        <v>0</v>
      </c>
      <c r="ET123" s="24">
        <v>0</v>
      </c>
      <c r="EU123" s="24">
        <v>0</v>
      </c>
      <c r="EV123" s="24">
        <v>0</v>
      </c>
      <c r="EW123" s="24">
        <v>0</v>
      </c>
      <c r="EX123" s="24">
        <v>0</v>
      </c>
      <c r="EY123" s="24">
        <v>0</v>
      </c>
      <c r="EZ123" s="24">
        <v>0</v>
      </c>
      <c r="FA123" s="24">
        <v>0</v>
      </c>
      <c r="FB123" s="24">
        <v>0</v>
      </c>
      <c r="FC123" s="24">
        <v>0</v>
      </c>
      <c r="FD123" s="24">
        <v>0</v>
      </c>
      <c r="FE123" s="24">
        <v>0</v>
      </c>
      <c r="FF123" s="24">
        <v>0</v>
      </c>
      <c r="FG123" s="24">
        <v>0</v>
      </c>
      <c r="FH123" s="24">
        <v>0</v>
      </c>
      <c r="FI123" s="24">
        <v>0</v>
      </c>
      <c r="FJ123" s="24">
        <v>0</v>
      </c>
      <c r="FK123" s="24">
        <v>0</v>
      </c>
      <c r="FL123" s="24">
        <v>585</v>
      </c>
      <c r="FM123" s="24">
        <v>0</v>
      </c>
      <c r="FN123" s="24">
        <v>0</v>
      </c>
      <c r="FO123" s="24">
        <v>0</v>
      </c>
      <c r="FP123" s="24">
        <v>0</v>
      </c>
      <c r="FQ123" s="24">
        <v>0</v>
      </c>
      <c r="FR123" s="24">
        <v>0</v>
      </c>
      <c r="FS123" s="24">
        <v>36860</v>
      </c>
      <c r="FT123" s="24">
        <v>0</v>
      </c>
      <c r="FU123" s="24">
        <v>0</v>
      </c>
      <c r="FV123" s="24">
        <v>0</v>
      </c>
      <c r="FW123" s="24">
        <v>0</v>
      </c>
      <c r="FX123" s="24">
        <v>0</v>
      </c>
      <c r="FY123" s="24">
        <v>0</v>
      </c>
      <c r="FZ123" s="24">
        <v>0</v>
      </c>
      <c r="GA123" s="24">
        <v>0</v>
      </c>
      <c r="GB123" s="24">
        <v>0</v>
      </c>
      <c r="GC123" s="24">
        <v>0</v>
      </c>
      <c r="GD123" s="24">
        <v>0</v>
      </c>
      <c r="GE123" s="24">
        <v>1350</v>
      </c>
      <c r="GF123" s="24">
        <v>0</v>
      </c>
      <c r="GG123" s="24">
        <v>0</v>
      </c>
      <c r="GH123" s="24">
        <v>0</v>
      </c>
      <c r="GI123" s="24">
        <v>0</v>
      </c>
      <c r="GJ123" s="24">
        <v>0</v>
      </c>
      <c r="GK123" s="24">
        <v>0</v>
      </c>
      <c r="GL123" s="24">
        <v>0</v>
      </c>
      <c r="GM123" s="24">
        <v>0</v>
      </c>
      <c r="GN123" s="24">
        <v>0</v>
      </c>
      <c r="GO123" s="24">
        <v>0</v>
      </c>
      <c r="GP123" s="24">
        <v>0</v>
      </c>
      <c r="GQ123" s="24">
        <v>0</v>
      </c>
      <c r="GR123" s="24">
        <v>83</v>
      </c>
      <c r="GS123" s="24">
        <v>0</v>
      </c>
      <c r="GT123" s="24">
        <v>0</v>
      </c>
      <c r="GU123" s="24">
        <v>0</v>
      </c>
      <c r="GV123" s="24">
        <v>4300</v>
      </c>
      <c r="GW123" s="24">
        <v>0</v>
      </c>
      <c r="GX123" s="24">
        <v>0</v>
      </c>
      <c r="GY123" s="24">
        <v>0</v>
      </c>
      <c r="GZ123" s="24">
        <v>0</v>
      </c>
      <c r="HA123" s="24">
        <v>0</v>
      </c>
      <c r="HB123" s="24">
        <v>0</v>
      </c>
      <c r="HC123" s="24">
        <v>0</v>
      </c>
      <c r="HD123" s="24">
        <v>1066545</v>
      </c>
      <c r="HE123" s="24">
        <v>0</v>
      </c>
      <c r="HF123" s="24">
        <v>0</v>
      </c>
      <c r="HG123" s="24">
        <v>0</v>
      </c>
      <c r="HH123" s="24">
        <v>0</v>
      </c>
      <c r="HI123" s="24">
        <v>48505</v>
      </c>
      <c r="HJ123" s="24">
        <v>0</v>
      </c>
      <c r="HK123" s="24">
        <v>0</v>
      </c>
      <c r="HL123" s="24">
        <v>0</v>
      </c>
      <c r="HM123" s="24">
        <v>0</v>
      </c>
      <c r="HN123" s="24">
        <v>0</v>
      </c>
      <c r="HO123" s="24">
        <v>120455</v>
      </c>
      <c r="HP123" s="24">
        <v>3658</v>
      </c>
      <c r="HQ123" s="24">
        <v>0</v>
      </c>
      <c r="HR123" s="24">
        <v>0</v>
      </c>
      <c r="HS123" s="24">
        <v>0</v>
      </c>
      <c r="HT123" s="24">
        <v>0</v>
      </c>
      <c r="HU123" s="24">
        <v>0</v>
      </c>
      <c r="HV123" s="24">
        <v>0</v>
      </c>
      <c r="HW123" s="24">
        <v>0</v>
      </c>
      <c r="HX123" s="24">
        <v>0</v>
      </c>
      <c r="HY123" s="24">
        <v>0</v>
      </c>
      <c r="HZ123" s="24">
        <v>0</v>
      </c>
      <c r="IA123" s="24">
        <v>17203</v>
      </c>
      <c r="IB123" s="24">
        <v>3341</v>
      </c>
      <c r="IC123" s="24">
        <v>0</v>
      </c>
      <c r="ID123" s="24">
        <v>0</v>
      </c>
      <c r="IE123" s="24">
        <v>0</v>
      </c>
      <c r="IF123" s="24">
        <v>0</v>
      </c>
      <c r="IG123" s="24">
        <v>0</v>
      </c>
      <c r="IH123" s="24">
        <v>0</v>
      </c>
      <c r="II123" s="24">
        <v>0</v>
      </c>
      <c r="IJ123" s="24">
        <v>0</v>
      </c>
      <c r="IK123" s="24">
        <v>0</v>
      </c>
      <c r="IL123" s="24">
        <v>0</v>
      </c>
      <c r="IM123" s="24">
        <v>0</v>
      </c>
      <c r="IN123" s="24">
        <v>0</v>
      </c>
      <c r="IO123" s="24">
        <v>934</v>
      </c>
      <c r="IP123" s="24">
        <v>0</v>
      </c>
      <c r="IQ123" s="24">
        <v>0</v>
      </c>
      <c r="IR123" s="24">
        <v>15175</v>
      </c>
      <c r="IS123" s="24">
        <v>0</v>
      </c>
      <c r="IT123" s="24">
        <v>0</v>
      </c>
      <c r="IU123" s="24">
        <v>0</v>
      </c>
      <c r="IV123" s="24">
        <v>0</v>
      </c>
      <c r="IW123" s="24">
        <v>0</v>
      </c>
      <c r="IX123" s="24">
        <v>23580</v>
      </c>
      <c r="IY123" s="24">
        <v>0</v>
      </c>
      <c r="IZ123" s="24">
        <v>0</v>
      </c>
      <c r="JA123" s="24">
        <v>0</v>
      </c>
      <c r="JB123" s="24">
        <v>8114</v>
      </c>
      <c r="JC123" s="24">
        <v>0</v>
      </c>
      <c r="JD123" s="24">
        <v>0</v>
      </c>
      <c r="JE123" s="24">
        <v>71932</v>
      </c>
      <c r="JF123" s="24">
        <v>0</v>
      </c>
      <c r="JG123" s="24">
        <v>0</v>
      </c>
      <c r="JH123" s="24">
        <v>0</v>
      </c>
      <c r="JI123" s="24">
        <v>0</v>
      </c>
      <c r="JJ123" s="24">
        <v>0</v>
      </c>
      <c r="JK123" s="24">
        <v>0</v>
      </c>
      <c r="JL123" s="24">
        <v>0</v>
      </c>
      <c r="JM123" s="24">
        <v>0</v>
      </c>
      <c r="JN123" s="24">
        <v>0</v>
      </c>
      <c r="JO123" s="24">
        <v>0</v>
      </c>
      <c r="JP123" s="24">
        <v>0</v>
      </c>
      <c r="JQ123" s="24">
        <v>0</v>
      </c>
      <c r="JR123" s="24">
        <v>0</v>
      </c>
      <c r="JS123" s="24">
        <v>0</v>
      </c>
      <c r="JT123" s="24">
        <v>0</v>
      </c>
      <c r="JU123" s="24">
        <v>0</v>
      </c>
      <c r="JV123" s="24">
        <v>0</v>
      </c>
      <c r="JW123" s="24">
        <v>0</v>
      </c>
      <c r="JX123" s="24">
        <v>0</v>
      </c>
      <c r="JY123" s="24">
        <v>0</v>
      </c>
      <c r="JZ123" s="24">
        <v>0</v>
      </c>
      <c r="KA123" s="24">
        <v>0</v>
      </c>
      <c r="KB123" s="24">
        <v>0</v>
      </c>
      <c r="KC123" s="24">
        <v>0</v>
      </c>
      <c r="KD123" s="24">
        <v>0</v>
      </c>
      <c r="KE123" s="24">
        <v>0</v>
      </c>
      <c r="KF123" s="24">
        <v>0</v>
      </c>
      <c r="KG123" s="24">
        <v>5194</v>
      </c>
      <c r="KH123" s="24">
        <v>0</v>
      </c>
      <c r="KI123" s="24">
        <v>0</v>
      </c>
      <c r="KJ123" s="24">
        <v>0</v>
      </c>
      <c r="KK123" s="24">
        <v>0</v>
      </c>
      <c r="KL123" s="24">
        <v>0</v>
      </c>
      <c r="KM123" s="24">
        <v>0</v>
      </c>
      <c r="KN123" s="24">
        <v>0</v>
      </c>
      <c r="KO123" s="24">
        <v>0</v>
      </c>
      <c r="KP123" s="24">
        <v>0</v>
      </c>
      <c r="KQ123" s="24">
        <v>0</v>
      </c>
      <c r="KR123" s="24">
        <v>0</v>
      </c>
      <c r="KS123" s="24">
        <v>0</v>
      </c>
      <c r="KT123" s="24">
        <v>0</v>
      </c>
      <c r="KU123" s="24">
        <v>0</v>
      </c>
      <c r="KV123" s="24">
        <v>0</v>
      </c>
      <c r="KW123" s="24">
        <v>0</v>
      </c>
      <c r="KX123" s="24">
        <v>0</v>
      </c>
      <c r="KY123" s="24">
        <v>0</v>
      </c>
      <c r="KZ123" s="24">
        <v>0</v>
      </c>
      <c r="LA123" s="24">
        <v>0</v>
      </c>
      <c r="LB123" s="24">
        <v>0</v>
      </c>
      <c r="LC123" s="24">
        <v>0</v>
      </c>
      <c r="LD123" s="24">
        <v>0</v>
      </c>
      <c r="LE123" s="24">
        <v>0</v>
      </c>
      <c r="LF123" s="24">
        <v>0</v>
      </c>
      <c r="LG123" s="24">
        <v>0</v>
      </c>
      <c r="LH123" s="24">
        <v>0</v>
      </c>
      <c r="LI123" s="24">
        <v>0</v>
      </c>
      <c r="LJ123" s="24">
        <v>0</v>
      </c>
      <c r="LK123" s="24">
        <v>0</v>
      </c>
      <c r="LL123" s="24">
        <v>0</v>
      </c>
      <c r="LM123" s="24">
        <v>0</v>
      </c>
      <c r="LN123" s="24">
        <v>0</v>
      </c>
      <c r="LO123" s="24">
        <v>0</v>
      </c>
      <c r="LP123" s="24">
        <v>0</v>
      </c>
      <c r="LQ123" s="24">
        <v>33402</v>
      </c>
      <c r="LR123" s="24">
        <v>0</v>
      </c>
      <c r="LS123" s="24">
        <v>0</v>
      </c>
      <c r="LT123" s="24">
        <v>0</v>
      </c>
      <c r="LU123" s="24">
        <v>0</v>
      </c>
      <c r="LV123" s="24">
        <v>0</v>
      </c>
      <c r="LW123" s="24">
        <v>0</v>
      </c>
      <c r="LX123" s="24">
        <v>0</v>
      </c>
      <c r="LY123" s="24">
        <v>0</v>
      </c>
      <c r="LZ123" s="24">
        <v>0</v>
      </c>
      <c r="MA123" s="24">
        <v>0</v>
      </c>
      <c r="MB123" s="24">
        <v>0</v>
      </c>
      <c r="MC123" s="24">
        <v>0</v>
      </c>
      <c r="MD123" s="24">
        <v>0</v>
      </c>
      <c r="ME123" s="24">
        <v>0</v>
      </c>
      <c r="MF123" s="24">
        <v>0</v>
      </c>
      <c r="MG123" s="24">
        <v>0</v>
      </c>
      <c r="MH123" s="24">
        <v>0</v>
      </c>
      <c r="MI123" s="24">
        <v>0</v>
      </c>
      <c r="MJ123" s="24">
        <v>0</v>
      </c>
      <c r="MK123" s="24">
        <v>0</v>
      </c>
      <c r="ML123" s="24">
        <v>0</v>
      </c>
      <c r="MM123" s="24">
        <v>0</v>
      </c>
      <c r="MN123" s="24">
        <v>0</v>
      </c>
      <c r="MO123" s="24">
        <v>1582</v>
      </c>
      <c r="MP123" s="24">
        <v>0</v>
      </c>
      <c r="MQ123" s="24">
        <v>0</v>
      </c>
      <c r="MR123" s="24">
        <v>41923</v>
      </c>
      <c r="MS123" s="24">
        <v>0</v>
      </c>
      <c r="MT123" s="24">
        <v>0</v>
      </c>
      <c r="MU123" s="24">
        <v>0</v>
      </c>
      <c r="MV123" s="24">
        <v>0</v>
      </c>
      <c r="MW123" s="24">
        <v>42440</v>
      </c>
      <c r="MX123" s="24">
        <v>1668</v>
      </c>
      <c r="MY123" s="24">
        <v>0</v>
      </c>
      <c r="MZ123" s="24">
        <v>0</v>
      </c>
      <c r="NA123" s="24">
        <v>0</v>
      </c>
      <c r="NB123" s="24">
        <v>0</v>
      </c>
      <c r="NC123" s="24">
        <v>0</v>
      </c>
      <c r="ND123" s="24">
        <v>0</v>
      </c>
      <c r="NE123" s="24">
        <v>0</v>
      </c>
      <c r="NF123" s="24">
        <v>0</v>
      </c>
      <c r="NG123" s="24">
        <v>0</v>
      </c>
      <c r="NH123" s="24">
        <v>0</v>
      </c>
      <c r="NI123" s="24">
        <v>0</v>
      </c>
      <c r="NJ123" s="24">
        <v>0</v>
      </c>
      <c r="NK123" s="24">
        <v>0</v>
      </c>
      <c r="NL123" s="24">
        <v>0</v>
      </c>
      <c r="NM123" s="24">
        <v>0</v>
      </c>
      <c r="NN123" s="24">
        <v>0</v>
      </c>
      <c r="NO123" s="24">
        <v>0</v>
      </c>
      <c r="NP123" s="24">
        <v>17</v>
      </c>
      <c r="NQ123" s="24">
        <v>786</v>
      </c>
      <c r="NR123" s="24">
        <v>0</v>
      </c>
      <c r="NS123" s="24">
        <v>0</v>
      </c>
      <c r="NT123" s="24">
        <v>0</v>
      </c>
      <c r="NU123" s="24">
        <v>0</v>
      </c>
      <c r="NV123" s="24">
        <v>13274</v>
      </c>
      <c r="NW123" s="24">
        <v>0</v>
      </c>
      <c r="NX123" s="24">
        <v>0</v>
      </c>
      <c r="NY123" s="24">
        <v>0</v>
      </c>
      <c r="NZ123" s="24">
        <v>0</v>
      </c>
      <c r="OA123" s="24">
        <v>0</v>
      </c>
      <c r="OB123" s="24">
        <v>0</v>
      </c>
      <c r="OC123" s="24">
        <v>0</v>
      </c>
      <c r="OD123" s="24">
        <v>0</v>
      </c>
      <c r="OE123" s="24">
        <v>0</v>
      </c>
      <c r="OF123" s="24">
        <v>0</v>
      </c>
      <c r="OG123" s="24">
        <v>0</v>
      </c>
      <c r="OH123" s="24">
        <v>0</v>
      </c>
      <c r="OI123" s="24">
        <v>0</v>
      </c>
      <c r="OJ123" s="24">
        <v>0</v>
      </c>
      <c r="OK123" s="24">
        <v>5728</v>
      </c>
      <c r="OL123" s="24">
        <v>0</v>
      </c>
      <c r="OM123" s="24">
        <v>0</v>
      </c>
      <c r="ON123" s="24">
        <v>0</v>
      </c>
      <c r="OO123" s="24">
        <v>0</v>
      </c>
      <c r="OP123" s="24">
        <v>0</v>
      </c>
      <c r="OQ123" s="24">
        <v>0</v>
      </c>
      <c r="OR123" s="24">
        <v>0</v>
      </c>
      <c r="OS123" s="24">
        <v>0</v>
      </c>
      <c r="OT123" s="24">
        <v>0</v>
      </c>
      <c r="OU123" s="24">
        <v>0</v>
      </c>
      <c r="OV123" s="24">
        <v>0</v>
      </c>
      <c r="OW123" s="24">
        <v>50000</v>
      </c>
      <c r="OX123" s="24">
        <v>0</v>
      </c>
      <c r="OY123" s="24">
        <v>0</v>
      </c>
      <c r="OZ123" s="24">
        <v>0</v>
      </c>
      <c r="PA123" s="24">
        <v>0</v>
      </c>
      <c r="PB123" s="24">
        <v>0</v>
      </c>
      <c r="PC123" s="24">
        <v>0</v>
      </c>
      <c r="PD123" s="24">
        <v>0</v>
      </c>
      <c r="PE123" s="24">
        <v>0</v>
      </c>
      <c r="PF123" s="24">
        <v>0</v>
      </c>
      <c r="PG123" s="24">
        <v>0</v>
      </c>
      <c r="PH123" s="24">
        <v>0</v>
      </c>
      <c r="PI123" s="24">
        <v>0</v>
      </c>
      <c r="PJ123" s="24">
        <v>0</v>
      </c>
      <c r="PK123" s="24">
        <v>0</v>
      </c>
      <c r="PL123" s="24">
        <v>0</v>
      </c>
      <c r="PM123" s="24">
        <v>0</v>
      </c>
      <c r="PN123" s="24">
        <v>0</v>
      </c>
      <c r="PO123" s="24">
        <v>0</v>
      </c>
      <c r="PP123" s="24">
        <v>0</v>
      </c>
      <c r="PQ123" s="24">
        <v>0</v>
      </c>
      <c r="PR123" s="24">
        <v>0</v>
      </c>
      <c r="PS123" s="24">
        <v>0</v>
      </c>
      <c r="PT123" s="24">
        <v>0</v>
      </c>
      <c r="PU123" s="24">
        <v>0</v>
      </c>
      <c r="PV123" s="24">
        <v>0</v>
      </c>
      <c r="PW123" s="24">
        <v>0</v>
      </c>
      <c r="PX123" s="24">
        <v>0</v>
      </c>
      <c r="PY123" s="24">
        <v>0</v>
      </c>
      <c r="PZ123" s="24">
        <v>0</v>
      </c>
      <c r="QA123" s="24">
        <v>0</v>
      </c>
      <c r="QB123" s="24">
        <v>0</v>
      </c>
      <c r="QC123" s="24">
        <v>0</v>
      </c>
      <c r="QD123" s="24">
        <v>0</v>
      </c>
      <c r="QE123" s="24">
        <v>0</v>
      </c>
      <c r="QF123" s="24">
        <v>0</v>
      </c>
      <c r="QG123" s="24">
        <v>0</v>
      </c>
      <c r="QH123" s="24">
        <v>0</v>
      </c>
      <c r="QI123" s="24">
        <v>0</v>
      </c>
      <c r="QJ123" s="24">
        <v>0</v>
      </c>
      <c r="QK123" s="24">
        <v>0</v>
      </c>
      <c r="QL123" s="24">
        <v>0</v>
      </c>
      <c r="QM123" s="24">
        <v>0</v>
      </c>
      <c r="QN123" s="24">
        <v>0</v>
      </c>
      <c r="QO123" s="24">
        <v>0</v>
      </c>
      <c r="QP123" s="24">
        <v>0</v>
      </c>
      <c r="QQ123" s="24">
        <v>0</v>
      </c>
      <c r="QR123" s="24">
        <v>0</v>
      </c>
      <c r="QS123" s="24">
        <v>15000</v>
      </c>
      <c r="QT123" s="24">
        <v>0</v>
      </c>
      <c r="QU123" s="24">
        <v>0</v>
      </c>
      <c r="QV123" s="24">
        <v>0</v>
      </c>
      <c r="QW123" s="24">
        <v>15891</v>
      </c>
      <c r="QX123" s="24">
        <v>0</v>
      </c>
      <c r="QY123" s="24">
        <v>0</v>
      </c>
      <c r="QZ123" s="24">
        <v>0</v>
      </c>
      <c r="RA123" s="24">
        <v>0</v>
      </c>
      <c r="RB123" s="24">
        <v>0</v>
      </c>
      <c r="RG123" s="39">
        <f t="shared" si="129"/>
        <v>1066545</v>
      </c>
      <c r="RH123" s="39">
        <f t="shared" si="247"/>
        <v>48505</v>
      </c>
      <c r="RI123" s="39">
        <f t="shared" si="247"/>
        <v>0</v>
      </c>
      <c r="RJ123" s="39">
        <f t="shared" si="247"/>
        <v>0</v>
      </c>
      <c r="RK123" s="39">
        <f t="shared" si="247"/>
        <v>0</v>
      </c>
      <c r="RL123" s="39">
        <f t="shared" si="247"/>
        <v>120455</v>
      </c>
      <c r="RM123" s="39">
        <f t="shared" si="247"/>
        <v>24202</v>
      </c>
      <c r="RN123" s="39">
        <f t="shared" si="247"/>
        <v>934</v>
      </c>
      <c r="RO123" s="39">
        <f t="shared" si="247"/>
        <v>15175</v>
      </c>
      <c r="RP123" s="39">
        <f t="shared" si="247"/>
        <v>23580</v>
      </c>
      <c r="RQ123" s="39">
        <f t="shared" si="247"/>
        <v>8114</v>
      </c>
      <c r="RR123" s="39">
        <f t="shared" si="247"/>
        <v>71932</v>
      </c>
      <c r="RS123" s="39"/>
      <c r="RT123" s="182"/>
      <c r="RU123" s="39"/>
      <c r="RV123" s="39">
        <f t="shared" si="246"/>
        <v>146014</v>
      </c>
      <c r="RW123" s="39">
        <f t="shared" si="246"/>
        <v>1379442</v>
      </c>
      <c r="RX123" s="39">
        <f t="shared" si="246"/>
        <v>309935</v>
      </c>
      <c r="RY123" s="39">
        <f t="shared" si="246"/>
        <v>80891</v>
      </c>
      <c r="RZ123" s="39"/>
      <c r="SA123" s="182"/>
      <c r="SB123" s="39"/>
      <c r="SC123" s="25">
        <f t="shared" si="183"/>
        <v>2817.590909090909</v>
      </c>
      <c r="SD123" s="39">
        <f>IFERROR(VLOOKUP(A123, 'Levy Data 15-16'!$B:$O, 3, FALSE), 0)</f>
        <v>161852307</v>
      </c>
      <c r="SE123" s="39">
        <f t="shared" si="208"/>
        <v>1471384.6090909091</v>
      </c>
      <c r="SF123" s="631">
        <f>IFERROR(VLOOKUP(A123, 'Levy Data 15-16'!$B:$O, 14, FALSE), 0)*1000</f>
        <v>1.3218970000000001</v>
      </c>
      <c r="SG123" s="39">
        <f t="shared" si="209"/>
        <v>0</v>
      </c>
      <c r="SH123" s="39">
        <f t="shared" si="210"/>
        <v>0</v>
      </c>
      <c r="SI123" s="39">
        <f t="shared" si="211"/>
        <v>309935</v>
      </c>
      <c r="SM123" s="39">
        <f t="shared" si="212"/>
        <v>1379442</v>
      </c>
      <c r="SN123" s="39">
        <f t="shared" si="213"/>
        <v>0</v>
      </c>
      <c r="SO123" s="39">
        <f t="shared" si="184"/>
        <v>1379442</v>
      </c>
      <c r="SP123" s="50">
        <f t="shared" si="130"/>
        <v>1</v>
      </c>
      <c r="ST123" s="124">
        <f>IFERROR(VLOOKUP(A123,'Grade Enroll 15-16'!B:AC,27,FALSE),"")</f>
        <v>110</v>
      </c>
      <c r="SU123" s="124">
        <f t="shared" si="185"/>
        <v>55.462184873949582</v>
      </c>
      <c r="SV123" s="131">
        <f>IFERROR(VLOOKUP($A123, 'Title I Enroll 16-17'!S:V, 4, FALSE), 0)</f>
        <v>0.50420168067226889</v>
      </c>
      <c r="SW123" s="729">
        <f>IFERROR(VLOOKUP(A123, 'ELL Enroll 15-16'!$N:$S, 6, FALSE), 0)</f>
        <v>5</v>
      </c>
      <c r="SX123" s="131">
        <f t="shared" si="131"/>
        <v>4.5454545454545456E-2</v>
      </c>
      <c r="SY123" s="124">
        <f>IFERROR(VLOOKUP(A123, 'SPED enroll 2015-16'!$M:$O, 3, FALSE), 0)</f>
        <v>20</v>
      </c>
      <c r="SZ123" s="131">
        <f t="shared" si="132"/>
        <v>0.18181818181818182</v>
      </c>
      <c r="TA123" s="142">
        <f t="shared" si="207"/>
        <v>14</v>
      </c>
      <c r="TB123" s="142">
        <f t="shared" si="207"/>
        <v>4</v>
      </c>
      <c r="TC123" s="142">
        <f t="shared" si="207"/>
        <v>1.4000000000000001</v>
      </c>
      <c r="TD123" s="142">
        <f t="shared" si="207"/>
        <v>0.6</v>
      </c>
      <c r="TE123" s="124">
        <f>VLOOKUP($A123, 'Grade Enroll 15-16'!$B:$AB, 20, FALSE)</f>
        <v>12</v>
      </c>
      <c r="TF123" s="124">
        <f>VLOOKUP($A123, 'Grade Enroll 15-16'!$B:$AB, 21, FALSE)</f>
        <v>10</v>
      </c>
      <c r="TG123" s="124">
        <f>VLOOKUP($A123, 'Grade Enroll 15-16'!$B:$AB, 22, FALSE)</f>
        <v>33</v>
      </c>
      <c r="TH123" s="124">
        <f>VLOOKUP($A123, 'Grade Enroll 15-16'!$B:$AB, 23, FALSE)</f>
        <v>19</v>
      </c>
      <c r="TI123" s="124">
        <f>VLOOKUP($A123, 'Grade Enroll 15-16'!$B:$AB, 24, FALSE)</f>
        <v>22</v>
      </c>
      <c r="TJ123" s="124">
        <f>VLOOKUP($A123, 'Grade Enroll 15-16'!$B:$AB, 25, FALSE)</f>
        <v>36</v>
      </c>
      <c r="TK123" s="124">
        <f>VLOOKUP($A123, 'Grade Enroll 15-16'!$B:$AB, 26, FALSE)</f>
        <v>71</v>
      </c>
      <c r="TL123" s="131">
        <f>SUMIFS('Student Achievement 15-16'!N:N, 'Student Achievement 15-16'!B:B, 'Idaho Data'!A123, 'Student Achievement 15-16'!D:D, "math")/100</f>
        <v>0.32600000000000001</v>
      </c>
      <c r="TM123" s="134">
        <f t="shared" si="186"/>
        <v>35.86</v>
      </c>
      <c r="TN123" s="131">
        <f>SUMIFS('Student Achievement 15-16'!N:N, 'Student Achievement 15-16'!B:B, 'Idaho Data'!A123, 'Student Achievement 15-16'!D:D, "ela")/100</f>
        <v>0.36399999999999999</v>
      </c>
      <c r="TO123" s="134">
        <f t="shared" si="134"/>
        <v>40.04</v>
      </c>
      <c r="TP123" s="688">
        <f>IFERROR(VLOOKUP(A123, 'G&amp;T 15-16'!B:G, 6, FALSE), 0)*1</f>
        <v>0</v>
      </c>
      <c r="TQ123" s="168">
        <f t="shared" si="135"/>
        <v>6.6</v>
      </c>
      <c r="TU123" s="168">
        <f t="shared" si="136"/>
        <v>35.86</v>
      </c>
      <c r="TV123" s="168">
        <f t="shared" si="137"/>
        <v>40.04</v>
      </c>
      <c r="TW123" s="205">
        <f t="shared" si="138"/>
        <v>40.04</v>
      </c>
      <c r="TX123" s="144"/>
      <c r="TY123" s="129"/>
      <c r="TZ123" s="127">
        <f t="shared" si="139"/>
        <v>0</v>
      </c>
      <c r="UA123" s="127">
        <f t="shared" si="140"/>
        <v>6.6</v>
      </c>
      <c r="UB123" s="205">
        <f t="shared" si="141"/>
        <v>6.6</v>
      </c>
      <c r="UE123" s="853" t="str">
        <f>IF(ST123&lt;='1. Simulator Input'!$E$104, "yes", "")</f>
        <v>yes</v>
      </c>
      <c r="UI123" s="199">
        <f t="shared" si="187"/>
        <v>0</v>
      </c>
      <c r="UJ123" s="200">
        <f>IF('Idaho Data'!SI123&gt;=0, ((1-'1. Simulator Input'!$E$39)*'Idaho Data'!SI123), 0)</f>
        <v>0</v>
      </c>
      <c r="UK123" s="200">
        <f t="shared" si="142"/>
        <v>1379442</v>
      </c>
      <c r="UL123" s="39"/>
      <c r="UM123" s="182"/>
      <c r="UN123" s="39"/>
      <c r="UO123" s="39">
        <f>IF(AND('1. Simulator Input'!$E$96="yes", '1. Simulator Input'!$E$98="yes", '1. Simulator Input'!$E$100="hold harmless"), 'Idaho Data'!WN123, IF(AND('1. Simulator Input'!$E$96="yes", '1. Simulator Input'!$E$98="no", '1. Simulator Input'!$E$100="hold harmless"), 'Idaho Data'!WM123, IF(AND('1. Simulator Input'!$E$96="yes", '1. Simulator Input'!$E$98="yes", '1. Simulator Input'!$E$100="small district grant"), WL123,IF(AND('1. Simulator Input'!$E$96="yes", '1. Simulator Input'!$E$98="no", '1. Simulator Input'!$E$100="small district grant"), WK123, ""))))</f>
        <v>0</v>
      </c>
      <c r="UP123" s="200">
        <f>'1. Simulator Input'!$D$56*('Idaho Data'!ST123)</f>
        <v>607860</v>
      </c>
      <c r="UQ123" s="204">
        <f>'1. Simulator Input'!$D$65*'1. Simulator Input'!$D$56*'Idaho Data'!SU123</f>
        <v>0</v>
      </c>
      <c r="UR123" s="204">
        <f>'1. Simulator Input'!$D$66*'1. Simulator Input'!$D$56*'Idaho Data'!SW123</f>
        <v>0</v>
      </c>
      <c r="US123" s="200">
        <f>'1. Simulator Input'!$D$67*'1. Simulator Input'!$D$56*'Idaho Data'!TA123</f>
        <v>0</v>
      </c>
      <c r="UT123" s="200">
        <f>'1. Simulator Input'!$D$68*'1. Simulator Input'!$D$56*'Idaho Data'!TB123</f>
        <v>0</v>
      </c>
      <c r="UU123" s="200">
        <f>'1. Simulator Input'!$D$69*'1. Simulator Input'!$D$56*'Idaho Data'!TC123</f>
        <v>0</v>
      </c>
      <c r="UV123" s="200">
        <f>'1. Simulator Input'!$D$70*'1. Simulator Input'!$D$56*TD123</f>
        <v>0</v>
      </c>
      <c r="UW123" s="200">
        <f>'1. Simulator Input'!$D$80*'1. Simulator Input'!$D$56*TW123</f>
        <v>0</v>
      </c>
      <c r="UX123" s="200">
        <f>'1. Simulator Input'!$D$79*'1. Simulator Input'!$D$56*UB123</f>
        <v>0</v>
      </c>
      <c r="UY123" s="200">
        <f>'1. Simulator Input'!$D$87*'1. Simulator Input'!$D$56*TF123</f>
        <v>27630</v>
      </c>
      <c r="UZ123" s="200">
        <f>'1. Simulator Input'!$D$73*'1. Simulator Input'!$D$56*'Idaho Data'!TG123</f>
        <v>0</v>
      </c>
      <c r="VA123" s="200">
        <f>'1. Simulator Input'!$D$56*'1. Simulator Input'!$D$74*'Idaho Data'!TH123</f>
        <v>0</v>
      </c>
      <c r="VB123" s="200">
        <f>'1. Simulator Input'!$D$56*'1. Simulator Input'!$D$75*'Idaho Data'!TI118</f>
        <v>0</v>
      </c>
      <c r="VC123" s="200">
        <f>'1. Simulator Input'!$D$76*'1. Simulator Input'!$D$56*'Idaho Data'!TJ123</f>
        <v>0</v>
      </c>
      <c r="VD123" s="200">
        <f t="shared" si="188"/>
        <v>635490</v>
      </c>
      <c r="VE123" s="200"/>
      <c r="VF123" s="182"/>
      <c r="VG123" s="200"/>
      <c r="VH123" s="200">
        <f t="shared" si="189"/>
        <v>0</v>
      </c>
      <c r="VI123" s="200">
        <f t="shared" si="190"/>
        <v>0</v>
      </c>
      <c r="VJ123" s="200">
        <f t="shared" si="214"/>
        <v>635490</v>
      </c>
      <c r="VK123" s="200">
        <f t="shared" si="215"/>
        <v>635490</v>
      </c>
      <c r="VL123" s="200"/>
      <c r="VM123" s="182"/>
      <c r="VN123" s="200"/>
      <c r="VO123" s="200">
        <f t="shared" si="191"/>
        <v>146014</v>
      </c>
      <c r="VP123" s="200">
        <f t="shared" si="192"/>
        <v>1379442</v>
      </c>
      <c r="VQ123" s="200">
        <f t="shared" si="193"/>
        <v>309935</v>
      </c>
      <c r="VR123" s="200">
        <f t="shared" si="194"/>
        <v>146014</v>
      </c>
      <c r="VS123" s="200">
        <f t="shared" si="216"/>
        <v>635490</v>
      </c>
      <c r="VT123" s="200">
        <f t="shared" si="217"/>
        <v>309935</v>
      </c>
      <c r="VU123" s="200">
        <f t="shared" si="218"/>
        <v>0</v>
      </c>
      <c r="VV123" s="200"/>
      <c r="VW123" s="182"/>
      <c r="VX123" s="200"/>
      <c r="VZ123" s="199">
        <f t="shared" si="195"/>
        <v>-743952</v>
      </c>
      <c r="WA123" s="466">
        <f t="shared" si="196"/>
        <v>-6763.2</v>
      </c>
      <c r="WB123" s="131">
        <f t="shared" si="197"/>
        <v>-0.53931372250518683</v>
      </c>
      <c r="WC123" s="131"/>
      <c r="WD123" s="461"/>
      <c r="WE123" s="893"/>
      <c r="WF123" s="893">
        <f t="shared" si="198"/>
        <v>16685.372727272726</v>
      </c>
      <c r="WG123" s="893">
        <f t="shared" si="199"/>
        <v>9922.1727272727276</v>
      </c>
      <c r="WH123" s="893"/>
      <c r="WI123" s="893">
        <f t="shared" si="200"/>
        <v>1379442</v>
      </c>
      <c r="WJ123" s="893">
        <f t="shared" si="219"/>
        <v>635490</v>
      </c>
      <c r="WK123" s="39">
        <f t="shared" si="220"/>
        <v>0</v>
      </c>
      <c r="WL123" s="39">
        <f t="shared" si="221"/>
        <v>0</v>
      </c>
      <c r="WM123" s="200">
        <f t="shared" si="222"/>
        <v>743952</v>
      </c>
      <c r="WN123" s="39">
        <f t="shared" si="223"/>
        <v>743952</v>
      </c>
      <c r="WO123" s="39"/>
      <c r="WP123" s="182"/>
      <c r="WQ123" s="39"/>
      <c r="WR123" s="305">
        <f t="shared" si="224"/>
        <v>0.877</v>
      </c>
      <c r="WT123" s="200">
        <f t="shared" si="225"/>
        <v>12540.381818181819</v>
      </c>
      <c r="WU123" s="131">
        <f t="shared" si="201"/>
        <v>0.92</v>
      </c>
      <c r="WW123" s="199">
        <f t="shared" si="226"/>
        <v>146014</v>
      </c>
      <c r="WX123" s="199">
        <f t="shared" si="227"/>
        <v>635490</v>
      </c>
      <c r="WY123" s="199">
        <f t="shared" si="228"/>
        <v>0</v>
      </c>
      <c r="WZ123" s="199">
        <f t="shared" si="202"/>
        <v>635490</v>
      </c>
      <c r="XA123" s="199">
        <f t="shared" si="229"/>
        <v>0</v>
      </c>
      <c r="XB123" s="199">
        <f t="shared" si="230"/>
        <v>309935</v>
      </c>
      <c r="XC123" s="199">
        <f t="shared" si="231"/>
        <v>309935</v>
      </c>
      <c r="XD123" s="199" t="str">
        <f t="shared" si="232"/>
        <v/>
      </c>
      <c r="XE123" s="199"/>
      <c r="XF123" s="199"/>
      <c r="XG123" s="199"/>
      <c r="XH123" s="199"/>
      <c r="XI123" s="199"/>
      <c r="XJ123" s="199">
        <f t="shared" si="203"/>
        <v>635490</v>
      </c>
      <c r="XP123" s="199">
        <f t="shared" si="233"/>
        <v>635490</v>
      </c>
      <c r="XQ123" s="199">
        <f t="shared" si="234"/>
        <v>5777.181818181818</v>
      </c>
      <c r="XR123" s="199">
        <f t="shared" si="235"/>
        <v>635490</v>
      </c>
      <c r="XS123" s="199">
        <f t="shared" si="236"/>
        <v>635490</v>
      </c>
      <c r="XT123" s="199">
        <f t="shared" si="237"/>
        <v>5777.181818181818</v>
      </c>
      <c r="XU123" s="199">
        <f t="shared" si="238"/>
        <v>1379442</v>
      </c>
      <c r="XV123" s="199">
        <f t="shared" si="239"/>
        <v>12540.381818181819</v>
      </c>
      <c r="XW123" s="199">
        <f t="shared" si="240"/>
        <v>1379442</v>
      </c>
      <c r="XX123" s="199">
        <f t="shared" si="241"/>
        <v>12540.381818181819</v>
      </c>
      <c r="XY123" s="199">
        <f t="shared" si="204"/>
        <v>-743952</v>
      </c>
      <c r="XZ123" s="199">
        <f t="shared" si="205"/>
        <v>-6763.2000000000007</v>
      </c>
      <c r="YA123" s="131">
        <f t="shared" si="143"/>
        <v>-0.53931372250518694</v>
      </c>
      <c r="YB123" s="199"/>
      <c r="YC123" s="221"/>
      <c r="YD123" s="199"/>
      <c r="YE123" s="199">
        <f t="shared" si="242"/>
        <v>146014</v>
      </c>
      <c r="YF123" s="200">
        <f t="shared" si="243"/>
        <v>0</v>
      </c>
      <c r="YG123" s="199">
        <f t="shared" si="244"/>
        <v>309935</v>
      </c>
      <c r="YH123" s="199">
        <f t="shared" si="245"/>
        <v>80891</v>
      </c>
    </row>
    <row r="124" spans="1:658">
      <c r="A124" s="3">
        <v>433</v>
      </c>
      <c r="B124" s="2" t="s">
        <v>221</v>
      </c>
      <c r="C124" s="24">
        <v>0</v>
      </c>
      <c r="D124" s="24">
        <v>0</v>
      </c>
      <c r="E124" s="24">
        <v>0</v>
      </c>
      <c r="F124" s="24">
        <v>0</v>
      </c>
      <c r="G124" s="24">
        <v>0</v>
      </c>
      <c r="H124" s="24">
        <v>0</v>
      </c>
      <c r="I124" s="24">
        <v>0</v>
      </c>
      <c r="J124" s="24">
        <v>13987</v>
      </c>
      <c r="K124" s="24">
        <v>0</v>
      </c>
      <c r="L124" s="24">
        <v>0</v>
      </c>
      <c r="M124" s="24">
        <v>0</v>
      </c>
      <c r="N124" s="24">
        <v>0</v>
      </c>
      <c r="O124" s="24">
        <v>0</v>
      </c>
      <c r="P124" s="24">
        <v>0</v>
      </c>
      <c r="Q124" s="24">
        <v>0</v>
      </c>
      <c r="R124" s="24">
        <v>0</v>
      </c>
      <c r="S124" s="24">
        <v>0</v>
      </c>
      <c r="T124" s="24">
        <v>0</v>
      </c>
      <c r="U124" s="24">
        <v>0</v>
      </c>
      <c r="V124" s="24">
        <v>0</v>
      </c>
      <c r="W124" s="24">
        <v>0</v>
      </c>
      <c r="X124" s="24">
        <v>0</v>
      </c>
      <c r="Y124" s="24">
        <v>83</v>
      </c>
      <c r="Z124" s="24">
        <v>0</v>
      </c>
      <c r="AA124" s="24">
        <v>0</v>
      </c>
      <c r="AB124" s="24">
        <v>0</v>
      </c>
      <c r="AC124" s="24">
        <v>0</v>
      </c>
      <c r="AD124" s="24">
        <v>0</v>
      </c>
      <c r="AE124" s="24">
        <v>0</v>
      </c>
      <c r="AF124" s="24">
        <v>0</v>
      </c>
      <c r="AG124" s="24">
        <v>0</v>
      </c>
      <c r="AH124" s="24">
        <v>0</v>
      </c>
      <c r="AI124" s="24">
        <v>0</v>
      </c>
      <c r="AJ124" s="24">
        <v>0</v>
      </c>
      <c r="AK124" s="24">
        <v>0</v>
      </c>
      <c r="AL124" s="24">
        <v>2400</v>
      </c>
      <c r="AM124" s="24">
        <v>0</v>
      </c>
      <c r="AN124" s="24">
        <v>0</v>
      </c>
      <c r="AO124" s="24">
        <v>0</v>
      </c>
      <c r="AP124" s="24">
        <v>0</v>
      </c>
      <c r="AQ124" s="24">
        <v>0</v>
      </c>
      <c r="AR124" s="24">
        <v>0</v>
      </c>
      <c r="AS124" s="24">
        <v>0</v>
      </c>
      <c r="AT124" s="24">
        <v>0</v>
      </c>
      <c r="AU124" s="24">
        <v>0</v>
      </c>
      <c r="AV124" s="24">
        <v>0</v>
      </c>
      <c r="AW124" s="24">
        <v>0</v>
      </c>
      <c r="AX124" s="24">
        <v>0</v>
      </c>
      <c r="AY124" s="24">
        <v>0</v>
      </c>
      <c r="AZ124" s="24">
        <v>0</v>
      </c>
      <c r="BA124" s="24">
        <v>0</v>
      </c>
      <c r="BB124" s="24">
        <v>0</v>
      </c>
      <c r="BC124" s="24">
        <v>0</v>
      </c>
      <c r="BD124" s="24">
        <v>0</v>
      </c>
      <c r="BE124" s="24">
        <v>0</v>
      </c>
      <c r="BF124" s="24">
        <v>0</v>
      </c>
      <c r="BG124" s="24">
        <v>0</v>
      </c>
      <c r="BH124" s="24">
        <v>0</v>
      </c>
      <c r="BI124" s="24">
        <v>0</v>
      </c>
      <c r="BJ124" s="24">
        <v>0</v>
      </c>
      <c r="BK124" s="24">
        <v>0</v>
      </c>
      <c r="BL124" s="24">
        <v>0</v>
      </c>
      <c r="BM124" s="24">
        <v>0</v>
      </c>
      <c r="BN124" s="24">
        <v>0</v>
      </c>
      <c r="BO124" s="24">
        <v>0</v>
      </c>
      <c r="BP124" s="24">
        <v>0</v>
      </c>
      <c r="BQ124" s="24">
        <v>0</v>
      </c>
      <c r="BR124" s="24">
        <v>0</v>
      </c>
      <c r="BS124" s="24">
        <v>0</v>
      </c>
      <c r="BT124" s="24">
        <v>0</v>
      </c>
      <c r="BU124" s="24">
        <v>0</v>
      </c>
      <c r="BV124" s="24">
        <v>0</v>
      </c>
      <c r="BW124" s="24">
        <v>0</v>
      </c>
      <c r="BX124" s="24">
        <v>0</v>
      </c>
      <c r="BY124" s="24">
        <v>0</v>
      </c>
      <c r="BZ124" s="24">
        <v>0</v>
      </c>
      <c r="CA124" s="24">
        <v>0</v>
      </c>
      <c r="CB124" s="24">
        <v>0</v>
      </c>
      <c r="CC124" s="24">
        <v>0</v>
      </c>
      <c r="CD124" s="24">
        <v>13250</v>
      </c>
      <c r="CE124" s="24">
        <v>3410</v>
      </c>
      <c r="CF124" s="24">
        <v>0</v>
      </c>
      <c r="CG124" s="24">
        <v>0</v>
      </c>
      <c r="CH124" s="24">
        <v>0</v>
      </c>
      <c r="CI124" s="24">
        <v>0</v>
      </c>
      <c r="CJ124" s="24">
        <v>0</v>
      </c>
      <c r="CK124" s="24">
        <v>0</v>
      </c>
      <c r="CL124" s="24">
        <v>0</v>
      </c>
      <c r="CM124" s="24">
        <v>0</v>
      </c>
      <c r="CN124" s="24">
        <v>0</v>
      </c>
      <c r="CO124" s="24">
        <v>0</v>
      </c>
      <c r="CP124" s="24">
        <v>0</v>
      </c>
      <c r="CQ124" s="24">
        <v>0</v>
      </c>
      <c r="CR124" s="24">
        <v>0</v>
      </c>
      <c r="CS124" s="24">
        <v>0</v>
      </c>
      <c r="CT124" s="24">
        <v>0</v>
      </c>
      <c r="CU124" s="24">
        <v>0</v>
      </c>
      <c r="CV124" s="24">
        <v>0</v>
      </c>
      <c r="CW124" s="24">
        <v>0</v>
      </c>
      <c r="CX124" s="24">
        <v>0</v>
      </c>
      <c r="CY124" s="24">
        <v>0</v>
      </c>
      <c r="CZ124" s="24">
        <v>0</v>
      </c>
      <c r="DA124" s="24">
        <v>0</v>
      </c>
      <c r="DB124" s="24">
        <v>0</v>
      </c>
      <c r="DC124" s="24">
        <v>0</v>
      </c>
      <c r="DD124" s="24">
        <v>0</v>
      </c>
      <c r="DE124" s="24">
        <v>0</v>
      </c>
      <c r="DF124" s="24">
        <v>0</v>
      </c>
      <c r="DG124" s="24">
        <v>0</v>
      </c>
      <c r="DH124" s="24">
        <v>0</v>
      </c>
      <c r="DI124" s="24">
        <v>0</v>
      </c>
      <c r="DJ124" s="24">
        <v>0</v>
      </c>
      <c r="DK124" s="24">
        <v>0</v>
      </c>
      <c r="DL124" s="24">
        <v>0</v>
      </c>
      <c r="DM124" s="24">
        <v>0</v>
      </c>
      <c r="DN124" s="24">
        <v>0</v>
      </c>
      <c r="DO124" s="24">
        <v>0</v>
      </c>
      <c r="DP124" s="24">
        <v>0</v>
      </c>
      <c r="DQ124" s="24">
        <v>0</v>
      </c>
      <c r="DR124" s="24">
        <v>0</v>
      </c>
      <c r="DS124" s="24">
        <v>0</v>
      </c>
      <c r="DT124" s="24">
        <v>0</v>
      </c>
      <c r="DU124" s="24">
        <v>0</v>
      </c>
      <c r="DV124" s="24">
        <v>0</v>
      </c>
      <c r="DW124" s="24">
        <v>0</v>
      </c>
      <c r="DX124" s="24">
        <v>0</v>
      </c>
      <c r="DY124" s="24">
        <v>0</v>
      </c>
      <c r="DZ124" s="24">
        <v>0</v>
      </c>
      <c r="EA124" s="24">
        <v>0</v>
      </c>
      <c r="EB124" s="24">
        <v>0</v>
      </c>
      <c r="EC124" s="24">
        <v>0</v>
      </c>
      <c r="ED124" s="24">
        <v>0</v>
      </c>
      <c r="EE124" s="24">
        <v>0</v>
      </c>
      <c r="EF124" s="24">
        <v>0</v>
      </c>
      <c r="EG124" s="24">
        <v>0</v>
      </c>
      <c r="EH124" s="24">
        <v>0</v>
      </c>
      <c r="EI124" s="24">
        <v>0</v>
      </c>
      <c r="EJ124" s="24">
        <v>0</v>
      </c>
      <c r="EK124" s="24">
        <v>0</v>
      </c>
      <c r="EL124" s="24">
        <v>0</v>
      </c>
      <c r="EM124" s="24">
        <v>0</v>
      </c>
      <c r="EN124" s="24">
        <v>0</v>
      </c>
      <c r="EO124" s="24">
        <v>0</v>
      </c>
      <c r="EP124" s="24">
        <v>0</v>
      </c>
      <c r="EQ124" s="24">
        <v>0</v>
      </c>
      <c r="ER124" s="24">
        <v>0</v>
      </c>
      <c r="ES124" s="24">
        <v>0</v>
      </c>
      <c r="ET124" s="24">
        <v>0</v>
      </c>
      <c r="EU124" s="24">
        <v>0</v>
      </c>
      <c r="EV124" s="24">
        <v>0</v>
      </c>
      <c r="EW124" s="24">
        <v>0</v>
      </c>
      <c r="EX124" s="24">
        <v>0</v>
      </c>
      <c r="EY124" s="24">
        <v>0</v>
      </c>
      <c r="EZ124" s="24">
        <v>0</v>
      </c>
      <c r="FA124" s="24">
        <v>0</v>
      </c>
      <c r="FB124" s="24">
        <v>0</v>
      </c>
      <c r="FC124" s="24">
        <v>0</v>
      </c>
      <c r="FD124" s="24">
        <v>0</v>
      </c>
      <c r="FE124" s="24">
        <v>0</v>
      </c>
      <c r="FF124" s="24">
        <v>0</v>
      </c>
      <c r="FG124" s="24">
        <v>0</v>
      </c>
      <c r="FH124" s="24">
        <v>0</v>
      </c>
      <c r="FI124" s="24">
        <v>0</v>
      </c>
      <c r="FJ124" s="24">
        <v>0</v>
      </c>
      <c r="FK124" s="24">
        <v>0</v>
      </c>
      <c r="FL124" s="24">
        <v>0</v>
      </c>
      <c r="FM124" s="24">
        <v>0</v>
      </c>
      <c r="FN124" s="24">
        <v>0</v>
      </c>
      <c r="FO124" s="24">
        <v>0</v>
      </c>
      <c r="FP124" s="24">
        <v>0</v>
      </c>
      <c r="FQ124" s="24">
        <v>0</v>
      </c>
      <c r="FR124" s="24">
        <v>0</v>
      </c>
      <c r="FS124" s="24">
        <v>25858</v>
      </c>
      <c r="FT124" s="24">
        <v>0</v>
      </c>
      <c r="FU124" s="24">
        <v>0</v>
      </c>
      <c r="FV124" s="24">
        <v>0</v>
      </c>
      <c r="FW124" s="24">
        <v>0</v>
      </c>
      <c r="FX124" s="24">
        <v>0</v>
      </c>
      <c r="FY124" s="24">
        <v>0</v>
      </c>
      <c r="FZ124" s="24">
        <v>0</v>
      </c>
      <c r="GA124" s="24">
        <v>0</v>
      </c>
      <c r="GB124" s="24">
        <v>0</v>
      </c>
      <c r="GC124" s="24">
        <v>0</v>
      </c>
      <c r="GD124" s="24">
        <v>0</v>
      </c>
      <c r="GE124" s="24">
        <v>1615</v>
      </c>
      <c r="GF124" s="24">
        <v>175</v>
      </c>
      <c r="GG124" s="24">
        <v>0</v>
      </c>
      <c r="GH124" s="24">
        <v>0</v>
      </c>
      <c r="GI124" s="24">
        <v>0</v>
      </c>
      <c r="GJ124" s="24">
        <v>0</v>
      </c>
      <c r="GK124" s="24">
        <v>0</v>
      </c>
      <c r="GL124" s="24">
        <v>0</v>
      </c>
      <c r="GM124" s="24">
        <v>0</v>
      </c>
      <c r="GN124" s="24">
        <v>0</v>
      </c>
      <c r="GO124" s="24">
        <v>0</v>
      </c>
      <c r="GP124" s="24">
        <v>0</v>
      </c>
      <c r="GQ124" s="24">
        <v>0</v>
      </c>
      <c r="GR124" s="24">
        <v>32154</v>
      </c>
      <c r="GS124" s="24">
        <v>0</v>
      </c>
      <c r="GT124" s="24">
        <v>0</v>
      </c>
      <c r="GU124" s="24">
        <v>1500</v>
      </c>
      <c r="GV124" s="24">
        <v>0</v>
      </c>
      <c r="GW124" s="24">
        <v>0</v>
      </c>
      <c r="GX124" s="24">
        <v>0</v>
      </c>
      <c r="GY124" s="24">
        <v>0</v>
      </c>
      <c r="GZ124" s="24">
        <v>0</v>
      </c>
      <c r="HA124" s="24">
        <v>0</v>
      </c>
      <c r="HB124" s="24">
        <v>0</v>
      </c>
      <c r="HC124" s="24">
        <v>0</v>
      </c>
      <c r="HD124" s="24">
        <v>1172516</v>
      </c>
      <c r="HE124" s="24">
        <v>0</v>
      </c>
      <c r="HF124" s="24">
        <v>0</v>
      </c>
      <c r="HG124" s="24">
        <v>0</v>
      </c>
      <c r="HH124" s="24">
        <v>0</v>
      </c>
      <c r="HI124" s="24">
        <v>37943</v>
      </c>
      <c r="HJ124" s="24">
        <v>0</v>
      </c>
      <c r="HK124" s="24">
        <v>0</v>
      </c>
      <c r="HL124" s="24">
        <v>0</v>
      </c>
      <c r="HM124" s="24">
        <v>0</v>
      </c>
      <c r="HN124" s="24">
        <v>0</v>
      </c>
      <c r="HO124" s="24">
        <v>145526</v>
      </c>
      <c r="HP124" s="24">
        <v>82016</v>
      </c>
      <c r="HQ124" s="24">
        <v>0</v>
      </c>
      <c r="HR124" s="24">
        <v>0</v>
      </c>
      <c r="HS124" s="24">
        <v>0</v>
      </c>
      <c r="HT124" s="24">
        <v>0</v>
      </c>
      <c r="HU124" s="24">
        <v>0</v>
      </c>
      <c r="HV124" s="24">
        <v>0</v>
      </c>
      <c r="HW124" s="24">
        <v>0</v>
      </c>
      <c r="HX124" s="24">
        <v>0</v>
      </c>
      <c r="HY124" s="24">
        <v>0</v>
      </c>
      <c r="HZ124" s="24">
        <v>0</v>
      </c>
      <c r="IA124" s="24">
        <v>31889</v>
      </c>
      <c r="IB124" s="24">
        <v>3610</v>
      </c>
      <c r="IC124" s="24">
        <v>0</v>
      </c>
      <c r="ID124" s="24">
        <v>0</v>
      </c>
      <c r="IE124" s="24">
        <v>0</v>
      </c>
      <c r="IF124" s="24">
        <v>0</v>
      </c>
      <c r="IG124" s="24">
        <v>0</v>
      </c>
      <c r="IH124" s="24">
        <v>0</v>
      </c>
      <c r="II124" s="24">
        <v>0</v>
      </c>
      <c r="IJ124" s="24">
        <v>0</v>
      </c>
      <c r="IK124" s="24">
        <v>0</v>
      </c>
      <c r="IL124" s="24">
        <v>0</v>
      </c>
      <c r="IM124" s="24">
        <v>0</v>
      </c>
      <c r="IN124" s="24">
        <v>0</v>
      </c>
      <c r="IO124" s="24">
        <v>1250</v>
      </c>
      <c r="IP124" s="24">
        <v>0</v>
      </c>
      <c r="IQ124" s="24">
        <v>0</v>
      </c>
      <c r="IR124" s="24">
        <v>31246</v>
      </c>
      <c r="IS124" s="24">
        <v>0</v>
      </c>
      <c r="IT124" s="24">
        <v>0</v>
      </c>
      <c r="IU124" s="24">
        <v>0</v>
      </c>
      <c r="IV124" s="24">
        <v>0</v>
      </c>
      <c r="IW124" s="24">
        <v>0</v>
      </c>
      <c r="IX124" s="24">
        <v>0</v>
      </c>
      <c r="IY124" s="24">
        <v>0</v>
      </c>
      <c r="IZ124" s="24">
        <v>0</v>
      </c>
      <c r="JA124" s="24">
        <v>0</v>
      </c>
      <c r="JB124" s="24">
        <v>0</v>
      </c>
      <c r="JC124" s="24">
        <v>0</v>
      </c>
      <c r="JD124" s="24">
        <v>0</v>
      </c>
      <c r="JE124" s="24">
        <v>7537</v>
      </c>
      <c r="JF124" s="24">
        <v>0</v>
      </c>
      <c r="JG124" s="24">
        <v>0</v>
      </c>
      <c r="JH124" s="24">
        <v>0</v>
      </c>
      <c r="JI124" s="24">
        <v>0</v>
      </c>
      <c r="JJ124" s="24">
        <v>0</v>
      </c>
      <c r="JK124" s="24">
        <v>0</v>
      </c>
      <c r="JL124" s="24">
        <v>0</v>
      </c>
      <c r="JM124" s="24">
        <v>0</v>
      </c>
      <c r="JN124" s="24">
        <v>0</v>
      </c>
      <c r="JO124" s="24">
        <v>0</v>
      </c>
      <c r="JP124" s="24">
        <v>0</v>
      </c>
      <c r="JQ124" s="24">
        <v>0</v>
      </c>
      <c r="JR124" s="24">
        <v>0</v>
      </c>
      <c r="JS124" s="24">
        <v>0</v>
      </c>
      <c r="JT124" s="24">
        <v>0</v>
      </c>
      <c r="JU124" s="24">
        <v>0</v>
      </c>
      <c r="JV124" s="24">
        <v>0</v>
      </c>
      <c r="JW124" s="24">
        <v>0</v>
      </c>
      <c r="JX124" s="24">
        <v>0</v>
      </c>
      <c r="JY124" s="24">
        <v>0</v>
      </c>
      <c r="JZ124" s="24">
        <v>0</v>
      </c>
      <c r="KA124" s="24">
        <v>0</v>
      </c>
      <c r="KB124" s="24">
        <v>0</v>
      </c>
      <c r="KC124" s="24">
        <v>0</v>
      </c>
      <c r="KD124" s="24">
        <v>0</v>
      </c>
      <c r="KE124" s="24">
        <v>0</v>
      </c>
      <c r="KF124" s="24">
        <v>0</v>
      </c>
      <c r="KG124" s="24">
        <v>3222</v>
      </c>
      <c r="KH124" s="24">
        <v>0</v>
      </c>
      <c r="KI124" s="24">
        <v>0</v>
      </c>
      <c r="KJ124" s="24">
        <v>0</v>
      </c>
      <c r="KK124" s="24">
        <v>0</v>
      </c>
      <c r="KL124" s="24">
        <v>0</v>
      </c>
      <c r="KM124" s="24">
        <v>0</v>
      </c>
      <c r="KN124" s="24">
        <v>0</v>
      </c>
      <c r="KO124" s="24">
        <v>0</v>
      </c>
      <c r="KP124" s="24">
        <v>0</v>
      </c>
      <c r="KQ124" s="24">
        <v>0</v>
      </c>
      <c r="KR124" s="24">
        <v>0</v>
      </c>
      <c r="KS124" s="24">
        <v>0</v>
      </c>
      <c r="KT124" s="24">
        <v>0</v>
      </c>
      <c r="KU124" s="24">
        <v>0</v>
      </c>
      <c r="KV124" s="24">
        <v>0</v>
      </c>
      <c r="KW124" s="24">
        <v>0</v>
      </c>
      <c r="KX124" s="24">
        <v>0</v>
      </c>
      <c r="KY124" s="24">
        <v>0</v>
      </c>
      <c r="KZ124" s="24">
        <v>0</v>
      </c>
      <c r="LA124" s="24">
        <v>0</v>
      </c>
      <c r="LB124" s="24">
        <v>0</v>
      </c>
      <c r="LC124" s="24">
        <v>0</v>
      </c>
      <c r="LD124" s="24">
        <v>0</v>
      </c>
      <c r="LE124" s="24">
        <v>0</v>
      </c>
      <c r="LF124" s="24">
        <v>0</v>
      </c>
      <c r="LG124" s="24">
        <v>0</v>
      </c>
      <c r="LH124" s="24">
        <v>0</v>
      </c>
      <c r="LI124" s="24">
        <v>0</v>
      </c>
      <c r="LJ124" s="24">
        <v>0</v>
      </c>
      <c r="LK124" s="24">
        <v>0</v>
      </c>
      <c r="LL124" s="24">
        <v>0</v>
      </c>
      <c r="LM124" s="24">
        <v>0</v>
      </c>
      <c r="LN124" s="24">
        <v>0</v>
      </c>
      <c r="LO124" s="24">
        <v>0</v>
      </c>
      <c r="LP124" s="24">
        <v>0</v>
      </c>
      <c r="LQ124" s="24">
        <v>46472</v>
      </c>
      <c r="LR124" s="24">
        <v>0</v>
      </c>
      <c r="LS124" s="24">
        <v>0</v>
      </c>
      <c r="LT124" s="24">
        <v>0</v>
      </c>
      <c r="LU124" s="24">
        <v>0</v>
      </c>
      <c r="LV124" s="24">
        <v>0</v>
      </c>
      <c r="LW124" s="24">
        <v>0</v>
      </c>
      <c r="LX124" s="24">
        <v>0</v>
      </c>
      <c r="LY124" s="24">
        <v>0</v>
      </c>
      <c r="LZ124" s="24">
        <v>0</v>
      </c>
      <c r="MA124" s="24">
        <v>0</v>
      </c>
      <c r="MB124" s="24">
        <v>0</v>
      </c>
      <c r="MC124" s="24">
        <v>0</v>
      </c>
      <c r="MD124" s="24">
        <v>0</v>
      </c>
      <c r="ME124" s="24">
        <v>0</v>
      </c>
      <c r="MF124" s="24">
        <v>0</v>
      </c>
      <c r="MG124" s="24">
        <v>0</v>
      </c>
      <c r="MH124" s="24">
        <v>0</v>
      </c>
      <c r="MI124" s="24">
        <v>0</v>
      </c>
      <c r="MJ124" s="24">
        <v>0</v>
      </c>
      <c r="MK124" s="24">
        <v>0</v>
      </c>
      <c r="ML124" s="24">
        <v>0</v>
      </c>
      <c r="MM124" s="24">
        <v>0</v>
      </c>
      <c r="MN124" s="24">
        <v>0</v>
      </c>
      <c r="MO124" s="24">
        <v>1067</v>
      </c>
      <c r="MP124" s="24">
        <v>0</v>
      </c>
      <c r="MQ124" s="24">
        <v>0</v>
      </c>
      <c r="MR124" s="24">
        <v>40061</v>
      </c>
      <c r="MS124" s="24">
        <v>0</v>
      </c>
      <c r="MT124" s="24">
        <v>0</v>
      </c>
      <c r="MU124" s="24">
        <v>0</v>
      </c>
      <c r="MV124" s="24">
        <v>0</v>
      </c>
      <c r="MW124" s="24">
        <v>24576</v>
      </c>
      <c r="MX124" s="24">
        <v>1697</v>
      </c>
      <c r="MY124" s="24">
        <v>0</v>
      </c>
      <c r="MZ124" s="24">
        <v>0</v>
      </c>
      <c r="NA124" s="24">
        <v>0</v>
      </c>
      <c r="NB124" s="24">
        <v>0</v>
      </c>
      <c r="NC124" s="24">
        <v>0</v>
      </c>
      <c r="ND124" s="24">
        <v>0</v>
      </c>
      <c r="NE124" s="24">
        <v>0</v>
      </c>
      <c r="NF124" s="24">
        <v>0</v>
      </c>
      <c r="NG124" s="24">
        <v>0</v>
      </c>
      <c r="NH124" s="24">
        <v>0</v>
      </c>
      <c r="NI124" s="24">
        <v>0</v>
      </c>
      <c r="NJ124" s="24">
        <v>0</v>
      </c>
      <c r="NK124" s="24">
        <v>0</v>
      </c>
      <c r="NL124" s="24">
        <v>0</v>
      </c>
      <c r="NM124" s="24">
        <v>0</v>
      </c>
      <c r="NN124" s="24">
        <v>0</v>
      </c>
      <c r="NO124" s="24">
        <v>0</v>
      </c>
      <c r="NP124" s="24">
        <v>0</v>
      </c>
      <c r="NQ124" s="24">
        <v>15957</v>
      </c>
      <c r="NR124" s="24">
        <v>0</v>
      </c>
      <c r="NS124" s="24">
        <v>0</v>
      </c>
      <c r="NT124" s="24">
        <v>0</v>
      </c>
      <c r="NU124" s="24">
        <v>0</v>
      </c>
      <c r="NV124" s="24">
        <v>4990</v>
      </c>
      <c r="NW124" s="24">
        <v>0</v>
      </c>
      <c r="NX124" s="24">
        <v>0</v>
      </c>
      <c r="NY124" s="24">
        <v>0</v>
      </c>
      <c r="NZ124" s="24">
        <v>0</v>
      </c>
      <c r="OA124" s="24">
        <v>0</v>
      </c>
      <c r="OB124" s="24">
        <v>0</v>
      </c>
      <c r="OC124" s="24">
        <v>0</v>
      </c>
      <c r="OD124" s="24">
        <v>0</v>
      </c>
      <c r="OE124" s="24">
        <v>0</v>
      </c>
      <c r="OF124" s="24">
        <v>0</v>
      </c>
      <c r="OG124" s="24">
        <v>0</v>
      </c>
      <c r="OH124" s="24">
        <v>0</v>
      </c>
      <c r="OI124" s="24">
        <v>0</v>
      </c>
      <c r="OJ124" s="24">
        <v>0</v>
      </c>
      <c r="OK124" s="24">
        <v>3295</v>
      </c>
      <c r="OL124" s="24">
        <v>0</v>
      </c>
      <c r="OM124" s="24">
        <v>0</v>
      </c>
      <c r="ON124" s="24">
        <v>0</v>
      </c>
      <c r="OO124" s="24">
        <v>0</v>
      </c>
      <c r="OP124" s="24">
        <v>0</v>
      </c>
      <c r="OQ124" s="24">
        <v>0</v>
      </c>
      <c r="OR124" s="24">
        <v>0</v>
      </c>
      <c r="OS124" s="24">
        <v>0</v>
      </c>
      <c r="OT124" s="24">
        <v>0</v>
      </c>
      <c r="OU124" s="24">
        <v>0</v>
      </c>
      <c r="OV124" s="24">
        <v>0</v>
      </c>
      <c r="OW124" s="24">
        <v>0</v>
      </c>
      <c r="OX124" s="24">
        <v>0</v>
      </c>
      <c r="OY124" s="24">
        <v>0</v>
      </c>
      <c r="OZ124" s="24">
        <v>0</v>
      </c>
      <c r="PA124" s="24">
        <v>0</v>
      </c>
      <c r="PB124" s="24">
        <v>0</v>
      </c>
      <c r="PC124" s="24">
        <v>0</v>
      </c>
      <c r="PD124" s="24">
        <v>0</v>
      </c>
      <c r="PE124" s="24">
        <v>0</v>
      </c>
      <c r="PF124" s="24">
        <v>0</v>
      </c>
      <c r="PG124" s="24">
        <v>0</v>
      </c>
      <c r="PH124" s="24">
        <v>0</v>
      </c>
      <c r="PI124" s="24">
        <v>0</v>
      </c>
      <c r="PJ124" s="24">
        <v>0</v>
      </c>
      <c r="PK124" s="24">
        <v>0</v>
      </c>
      <c r="PL124" s="24">
        <v>0</v>
      </c>
      <c r="PM124" s="24">
        <v>0</v>
      </c>
      <c r="PN124" s="24">
        <v>0</v>
      </c>
      <c r="PO124" s="24">
        <v>0</v>
      </c>
      <c r="PP124" s="24">
        <v>0</v>
      </c>
      <c r="PQ124" s="24">
        <v>0</v>
      </c>
      <c r="PR124" s="24">
        <v>0</v>
      </c>
      <c r="PS124" s="24">
        <v>0</v>
      </c>
      <c r="PT124" s="24">
        <v>0</v>
      </c>
      <c r="PU124" s="24">
        <v>0</v>
      </c>
      <c r="PV124" s="24">
        <v>0</v>
      </c>
      <c r="PW124" s="24">
        <v>0</v>
      </c>
      <c r="PX124" s="24">
        <v>0</v>
      </c>
      <c r="PY124" s="24">
        <v>0</v>
      </c>
      <c r="PZ124" s="24">
        <v>0</v>
      </c>
      <c r="QA124" s="24">
        <v>0</v>
      </c>
      <c r="QB124" s="24">
        <v>0</v>
      </c>
      <c r="QC124" s="24">
        <v>0</v>
      </c>
      <c r="QD124" s="24">
        <v>0</v>
      </c>
      <c r="QE124" s="24">
        <v>0</v>
      </c>
      <c r="QF124" s="24">
        <v>0</v>
      </c>
      <c r="QG124" s="24">
        <v>0</v>
      </c>
      <c r="QH124" s="24">
        <v>0</v>
      </c>
      <c r="QI124" s="24">
        <v>0</v>
      </c>
      <c r="QJ124" s="24">
        <v>0</v>
      </c>
      <c r="QK124" s="24">
        <v>0</v>
      </c>
      <c r="QL124" s="24">
        <v>0</v>
      </c>
      <c r="QM124" s="24">
        <v>0</v>
      </c>
      <c r="QN124" s="24">
        <v>0</v>
      </c>
      <c r="QO124" s="24">
        <v>0</v>
      </c>
      <c r="QP124" s="24">
        <v>0</v>
      </c>
      <c r="QQ124" s="24">
        <v>0</v>
      </c>
      <c r="QR124" s="24">
        <v>0</v>
      </c>
      <c r="QS124" s="24">
        <v>0</v>
      </c>
      <c r="QT124" s="24">
        <v>0</v>
      </c>
      <c r="QU124" s="24">
        <v>0</v>
      </c>
      <c r="QV124" s="24">
        <v>200000</v>
      </c>
      <c r="QW124" s="24">
        <v>6301</v>
      </c>
      <c r="QX124" s="24">
        <v>0</v>
      </c>
      <c r="QY124" s="24">
        <v>0</v>
      </c>
      <c r="QZ124" s="24">
        <v>0</v>
      </c>
      <c r="RA124" s="24">
        <v>0</v>
      </c>
      <c r="RB124" s="24">
        <v>0</v>
      </c>
      <c r="RG124" s="39">
        <f t="shared" si="129"/>
        <v>1172516</v>
      </c>
      <c r="RH124" s="39">
        <f t="shared" si="247"/>
        <v>37943</v>
      </c>
      <c r="RI124" s="39">
        <f t="shared" si="247"/>
        <v>0</v>
      </c>
      <c r="RJ124" s="39">
        <f t="shared" si="247"/>
        <v>0</v>
      </c>
      <c r="RK124" s="39">
        <f t="shared" si="247"/>
        <v>0</v>
      </c>
      <c r="RL124" s="39">
        <f t="shared" si="247"/>
        <v>145526</v>
      </c>
      <c r="RM124" s="39">
        <f t="shared" si="247"/>
        <v>117515</v>
      </c>
      <c r="RN124" s="39">
        <f t="shared" si="247"/>
        <v>1250</v>
      </c>
      <c r="RO124" s="39">
        <f t="shared" si="247"/>
        <v>31246</v>
      </c>
      <c r="RP124" s="39">
        <f t="shared" si="247"/>
        <v>0</v>
      </c>
      <c r="RQ124" s="39">
        <f t="shared" si="247"/>
        <v>0</v>
      </c>
      <c r="RR124" s="39">
        <f t="shared" si="247"/>
        <v>7537</v>
      </c>
      <c r="RS124" s="39"/>
      <c r="RT124" s="182"/>
      <c r="RU124" s="39"/>
      <c r="RV124" s="39">
        <f t="shared" si="246"/>
        <v>141337</v>
      </c>
      <c r="RW124" s="39">
        <f t="shared" si="246"/>
        <v>1513533</v>
      </c>
      <c r="RX124" s="39">
        <f t="shared" si="246"/>
        <v>94432</v>
      </c>
      <c r="RY124" s="39">
        <f t="shared" si="246"/>
        <v>206301</v>
      </c>
      <c r="RZ124" s="39"/>
      <c r="SA124" s="182"/>
      <c r="SB124" s="39"/>
      <c r="SC124" s="39">
        <f t="shared" si="183"/>
        <v>835.68141592920358</v>
      </c>
      <c r="SD124" s="39">
        <f>IFERROR(VLOOKUP(A124, 'Levy Data 15-16'!$B:$O, 3, FALSE), 0)</f>
        <v>128237433</v>
      </c>
      <c r="SE124" s="39">
        <f t="shared" si="208"/>
        <v>1134844.5398230089</v>
      </c>
      <c r="SF124" s="631">
        <f>IFERROR(VLOOKUP(A124, 'Levy Data 15-16'!$B:$O, 14, FALSE), 0)*1000</f>
        <v>0.11036599999999999</v>
      </c>
      <c r="SG124" s="39">
        <f t="shared" si="209"/>
        <v>0</v>
      </c>
      <c r="SH124" s="39">
        <f t="shared" si="210"/>
        <v>0</v>
      </c>
      <c r="SI124" s="39">
        <f t="shared" si="211"/>
        <v>94432</v>
      </c>
      <c r="SM124" s="39">
        <f t="shared" si="212"/>
        <v>1513533</v>
      </c>
      <c r="SN124" s="39">
        <f t="shared" si="213"/>
        <v>0</v>
      </c>
      <c r="SO124" s="39">
        <f t="shared" si="184"/>
        <v>1513533</v>
      </c>
      <c r="SP124" s="50">
        <f t="shared" si="130"/>
        <v>1</v>
      </c>
      <c r="ST124" s="124">
        <f>IFERROR(VLOOKUP(A124,'Grade Enroll 15-16'!B:AC,27,FALSE),"")</f>
        <v>113</v>
      </c>
      <c r="SU124" s="124">
        <f t="shared" si="185"/>
        <v>68.902439024390247</v>
      </c>
      <c r="SV124" s="131">
        <f>IFERROR(VLOOKUP($A124, 'Title I Enroll 16-17'!S:V, 4, FALSE), 0)</f>
        <v>0.6097560975609756</v>
      </c>
      <c r="SW124" s="729">
        <f>IFERROR(VLOOKUP(A124, 'ELL Enroll 15-16'!$N:$S, 6, FALSE), 0)</f>
        <v>5</v>
      </c>
      <c r="SX124" s="131">
        <f t="shared" si="131"/>
        <v>4.4247787610619468E-2</v>
      </c>
      <c r="SY124" s="124">
        <f>IFERROR(VLOOKUP(A124, 'SPED enroll 2015-16'!$M:$O, 3, FALSE), 0)</f>
        <v>15</v>
      </c>
      <c r="SZ124" s="131">
        <f t="shared" si="132"/>
        <v>0.13274336283185842</v>
      </c>
      <c r="TA124" s="142">
        <f t="shared" si="207"/>
        <v>10.5</v>
      </c>
      <c r="TB124" s="142">
        <f t="shared" si="207"/>
        <v>3</v>
      </c>
      <c r="TC124" s="142">
        <f t="shared" si="207"/>
        <v>1.05</v>
      </c>
      <c r="TD124" s="142">
        <f t="shared" si="207"/>
        <v>0.44999999999999996</v>
      </c>
      <c r="TE124" s="124">
        <f>VLOOKUP($A124, 'Grade Enroll 15-16'!$B:$AB, 20, FALSE)</f>
        <v>7</v>
      </c>
      <c r="TF124" s="124">
        <f>VLOOKUP($A124, 'Grade Enroll 15-16'!$B:$AB, 21, FALSE)</f>
        <v>5</v>
      </c>
      <c r="TG124" s="124">
        <f>VLOOKUP($A124, 'Grade Enroll 15-16'!$B:$AB, 22, FALSE)</f>
        <v>21</v>
      </c>
      <c r="TH124" s="124">
        <f>VLOOKUP($A124, 'Grade Enroll 15-16'!$B:$AB, 23, FALSE)</f>
        <v>24</v>
      </c>
      <c r="TI124" s="124">
        <f>VLOOKUP($A124, 'Grade Enroll 15-16'!$B:$AB, 24, FALSE)</f>
        <v>19</v>
      </c>
      <c r="TJ124" s="124">
        <f>VLOOKUP($A124, 'Grade Enroll 15-16'!$B:$AB, 25, FALSE)</f>
        <v>49</v>
      </c>
      <c r="TK124" s="124">
        <f>VLOOKUP($A124, 'Grade Enroll 15-16'!$B:$AB, 26, FALSE)</f>
        <v>76</v>
      </c>
      <c r="TL124" s="131">
        <f>SUMIFS('Student Achievement 15-16'!N:N, 'Student Achievement 15-16'!B:B, 'Idaho Data'!A124, 'Student Achievement 15-16'!D:D, "math")/100</f>
        <v>0.28999999999999998</v>
      </c>
      <c r="TM124" s="134">
        <f t="shared" si="186"/>
        <v>32.769999999999996</v>
      </c>
      <c r="TN124" s="131">
        <f>SUMIFS('Student Achievement 15-16'!N:N, 'Student Achievement 15-16'!B:B, 'Idaho Data'!A124, 'Student Achievement 15-16'!D:D, "ela")/100</f>
        <v>0.28999999999999998</v>
      </c>
      <c r="TO124" s="134">
        <f t="shared" si="134"/>
        <v>32.769999999999996</v>
      </c>
      <c r="TP124" s="688">
        <f>IFERROR(VLOOKUP(A124, 'G&amp;T 15-16'!B:G, 6, FALSE), 0)*1</f>
        <v>16</v>
      </c>
      <c r="TQ124" s="168">
        <f t="shared" si="135"/>
        <v>6.7799999999999994</v>
      </c>
      <c r="TU124" s="168">
        <f t="shared" si="136"/>
        <v>32.769999999999996</v>
      </c>
      <c r="TV124" s="168">
        <f t="shared" si="137"/>
        <v>32.769999999999996</v>
      </c>
      <c r="TW124" s="205">
        <f t="shared" si="138"/>
        <v>32.769999999999996</v>
      </c>
      <c r="TX124" s="144"/>
      <c r="TY124" s="129"/>
      <c r="TZ124" s="127">
        <f t="shared" si="139"/>
        <v>6.7799999999999994</v>
      </c>
      <c r="UA124" s="127">
        <f t="shared" si="140"/>
        <v>16</v>
      </c>
      <c r="UB124" s="205">
        <f t="shared" si="141"/>
        <v>16</v>
      </c>
      <c r="UE124" s="853" t="str">
        <f>IF(ST124&lt;='1. Simulator Input'!$E$104, "yes", "")</f>
        <v>yes</v>
      </c>
      <c r="UI124" s="199">
        <f t="shared" si="187"/>
        <v>0</v>
      </c>
      <c r="UJ124" s="200">
        <f>IF('Idaho Data'!SI124&gt;=0, ((1-'1. Simulator Input'!$E$39)*'Idaho Data'!SI124), 0)</f>
        <v>0</v>
      </c>
      <c r="UK124" s="200">
        <f t="shared" si="142"/>
        <v>1513533</v>
      </c>
      <c r="UL124" s="39"/>
      <c r="UM124" s="182"/>
      <c r="UN124" s="39"/>
      <c r="UO124" s="39">
        <f>IF(AND('1. Simulator Input'!$E$96="yes", '1. Simulator Input'!$E$98="yes", '1. Simulator Input'!$E$100="hold harmless"), 'Idaho Data'!WN124, IF(AND('1. Simulator Input'!$E$96="yes", '1. Simulator Input'!$E$98="no", '1. Simulator Input'!$E$100="hold harmless"), 'Idaho Data'!WM124, IF(AND('1. Simulator Input'!$E$96="yes", '1. Simulator Input'!$E$98="yes", '1. Simulator Input'!$E$100="small district grant"), WL124,IF(AND('1. Simulator Input'!$E$96="yes", '1. Simulator Input'!$E$98="no", '1. Simulator Input'!$E$100="small district grant"), WK124, ""))))</f>
        <v>0</v>
      </c>
      <c r="UP124" s="200">
        <f>'1. Simulator Input'!$D$56*('Idaho Data'!ST124)</f>
        <v>624438</v>
      </c>
      <c r="UQ124" s="204">
        <f>'1. Simulator Input'!$D$65*'1. Simulator Input'!$D$56*'Idaho Data'!SU124</f>
        <v>0</v>
      </c>
      <c r="UR124" s="204">
        <f>'1. Simulator Input'!$D$66*'1. Simulator Input'!$D$56*'Idaho Data'!SW124</f>
        <v>0</v>
      </c>
      <c r="US124" s="200">
        <f>'1. Simulator Input'!$D$67*'1. Simulator Input'!$D$56*'Idaho Data'!TA124</f>
        <v>0</v>
      </c>
      <c r="UT124" s="200">
        <f>'1. Simulator Input'!$D$68*'1. Simulator Input'!$D$56*'Idaho Data'!TB124</f>
        <v>0</v>
      </c>
      <c r="UU124" s="200">
        <f>'1. Simulator Input'!$D$69*'1. Simulator Input'!$D$56*'Idaho Data'!TC124</f>
        <v>0</v>
      </c>
      <c r="UV124" s="200">
        <f>'1. Simulator Input'!$D$70*'1. Simulator Input'!$D$56*TD124</f>
        <v>0</v>
      </c>
      <c r="UW124" s="200">
        <f>'1. Simulator Input'!$D$80*'1. Simulator Input'!$D$56*TW124</f>
        <v>0</v>
      </c>
      <c r="UX124" s="200">
        <f>'1. Simulator Input'!$D$79*'1. Simulator Input'!$D$56*UB124</f>
        <v>0</v>
      </c>
      <c r="UY124" s="200">
        <f>'1. Simulator Input'!$D$87*'1. Simulator Input'!$D$56*TF124</f>
        <v>13815</v>
      </c>
      <c r="UZ124" s="200">
        <f>'1. Simulator Input'!$D$73*'1. Simulator Input'!$D$56*'Idaho Data'!TG124</f>
        <v>0</v>
      </c>
      <c r="VA124" s="200">
        <f>'1. Simulator Input'!$D$56*'1. Simulator Input'!$D$74*'Idaho Data'!TH124</f>
        <v>0</v>
      </c>
      <c r="VB124" s="200">
        <f>'1. Simulator Input'!$D$56*'1. Simulator Input'!$D$75*'Idaho Data'!TI119</f>
        <v>0</v>
      </c>
      <c r="VC124" s="200">
        <f>'1. Simulator Input'!$D$76*'1. Simulator Input'!$D$56*'Idaho Data'!TJ124</f>
        <v>0</v>
      </c>
      <c r="VD124" s="200">
        <f t="shared" si="188"/>
        <v>638253</v>
      </c>
      <c r="VE124" s="200"/>
      <c r="VF124" s="182"/>
      <c r="VG124" s="200"/>
      <c r="VH124" s="200">
        <f t="shared" si="189"/>
        <v>0</v>
      </c>
      <c r="VI124" s="200">
        <f t="shared" si="190"/>
        <v>0</v>
      </c>
      <c r="VJ124" s="200">
        <f t="shared" si="214"/>
        <v>638253</v>
      </c>
      <c r="VK124" s="200">
        <f t="shared" si="215"/>
        <v>638253</v>
      </c>
      <c r="VL124" s="200"/>
      <c r="VM124" s="182"/>
      <c r="VN124" s="200"/>
      <c r="VO124" s="200">
        <f t="shared" si="191"/>
        <v>141337</v>
      </c>
      <c r="VP124" s="200">
        <f t="shared" si="192"/>
        <v>1513533</v>
      </c>
      <c r="VQ124" s="200">
        <f t="shared" si="193"/>
        <v>94432</v>
      </c>
      <c r="VR124" s="200">
        <f t="shared" si="194"/>
        <v>141337</v>
      </c>
      <c r="VS124" s="200">
        <f t="shared" si="216"/>
        <v>638253</v>
      </c>
      <c r="VT124" s="200">
        <f t="shared" si="217"/>
        <v>94432</v>
      </c>
      <c r="VU124" s="200">
        <f t="shared" si="218"/>
        <v>0</v>
      </c>
      <c r="VV124" s="200"/>
      <c r="VW124" s="182"/>
      <c r="VX124" s="200"/>
      <c r="VZ124" s="199">
        <f t="shared" si="195"/>
        <v>-875280</v>
      </c>
      <c r="WA124" s="466">
        <f t="shared" si="196"/>
        <v>-7745.8407079646022</v>
      </c>
      <c r="WB124" s="131">
        <f t="shared" si="197"/>
        <v>-0.57830255435461264</v>
      </c>
      <c r="WC124" s="131"/>
      <c r="WD124" s="461"/>
      <c r="WE124" s="893"/>
      <c r="WF124" s="893">
        <f t="shared" si="198"/>
        <v>15480.548672566372</v>
      </c>
      <c r="WG124" s="893">
        <f t="shared" si="199"/>
        <v>7734.7079646017701</v>
      </c>
      <c r="WH124" s="893"/>
      <c r="WI124" s="893">
        <f t="shared" si="200"/>
        <v>1513533</v>
      </c>
      <c r="WJ124" s="893">
        <f t="shared" si="219"/>
        <v>638253</v>
      </c>
      <c r="WK124" s="39">
        <f t="shared" si="220"/>
        <v>0</v>
      </c>
      <c r="WL124" s="39">
        <f t="shared" si="221"/>
        <v>0</v>
      </c>
      <c r="WM124" s="200">
        <f t="shared" si="222"/>
        <v>875280</v>
      </c>
      <c r="WN124" s="39">
        <f t="shared" si="223"/>
        <v>875280</v>
      </c>
      <c r="WO124" s="39"/>
      <c r="WP124" s="182"/>
      <c r="WQ124" s="39"/>
      <c r="WR124" s="305">
        <f t="shared" si="224"/>
        <v>0.83299999999999996</v>
      </c>
      <c r="WT124" s="200">
        <f t="shared" si="225"/>
        <v>13394.097345132743</v>
      </c>
      <c r="WU124" s="131">
        <f t="shared" si="201"/>
        <v>0.94</v>
      </c>
      <c r="WW124" s="199">
        <f t="shared" si="226"/>
        <v>141337</v>
      </c>
      <c r="WX124" s="199">
        <f t="shared" si="227"/>
        <v>638253</v>
      </c>
      <c r="WY124" s="199">
        <f t="shared" si="228"/>
        <v>0</v>
      </c>
      <c r="WZ124" s="199">
        <f t="shared" si="202"/>
        <v>638253</v>
      </c>
      <c r="XA124" s="199">
        <f t="shared" si="229"/>
        <v>0</v>
      </c>
      <c r="XB124" s="199">
        <f t="shared" si="230"/>
        <v>94432</v>
      </c>
      <c r="XC124" s="199">
        <f t="shared" si="231"/>
        <v>94432</v>
      </c>
      <c r="XD124" s="199" t="str">
        <f t="shared" si="232"/>
        <v/>
      </c>
      <c r="XE124" s="199"/>
      <c r="XF124" s="199"/>
      <c r="XG124" s="199"/>
      <c r="XH124" s="199"/>
      <c r="XI124" s="199"/>
      <c r="XJ124" s="199">
        <f t="shared" si="203"/>
        <v>638253</v>
      </c>
      <c r="XP124" s="199">
        <f t="shared" si="233"/>
        <v>638253</v>
      </c>
      <c r="XQ124" s="199">
        <f t="shared" si="234"/>
        <v>5648.2566371681414</v>
      </c>
      <c r="XR124" s="199">
        <f t="shared" si="235"/>
        <v>638253</v>
      </c>
      <c r="XS124" s="199">
        <f t="shared" si="236"/>
        <v>638253</v>
      </c>
      <c r="XT124" s="199">
        <f t="shared" si="237"/>
        <v>5648.2566371681414</v>
      </c>
      <c r="XU124" s="199">
        <f t="shared" si="238"/>
        <v>1513533</v>
      </c>
      <c r="XV124" s="199">
        <f t="shared" si="239"/>
        <v>13394.097345132743</v>
      </c>
      <c r="XW124" s="199">
        <f t="shared" si="240"/>
        <v>1513533</v>
      </c>
      <c r="XX124" s="199">
        <f t="shared" si="241"/>
        <v>13394.097345132743</v>
      </c>
      <c r="XY124" s="199">
        <f t="shared" si="204"/>
        <v>-875280</v>
      </c>
      <c r="XZ124" s="199">
        <f t="shared" si="205"/>
        <v>-7745.8407079646013</v>
      </c>
      <c r="YA124" s="131">
        <f t="shared" si="143"/>
        <v>-0.57830255435461264</v>
      </c>
      <c r="YB124" s="199"/>
      <c r="YC124" s="221"/>
      <c r="YD124" s="199"/>
      <c r="YE124" s="199">
        <f t="shared" si="242"/>
        <v>141337</v>
      </c>
      <c r="YF124" s="200">
        <f t="shared" si="243"/>
        <v>0</v>
      </c>
      <c r="YG124" s="199">
        <f t="shared" si="244"/>
        <v>94432</v>
      </c>
      <c r="YH124" s="199">
        <f t="shared" si="245"/>
        <v>206301</v>
      </c>
    </row>
    <row r="125" spans="1:658">
      <c r="A125" s="3">
        <v>451</v>
      </c>
      <c r="B125" s="2" t="s">
        <v>222</v>
      </c>
      <c r="C125" s="24">
        <v>0</v>
      </c>
      <c r="D125" s="24">
        <v>0</v>
      </c>
      <c r="E125" s="24">
        <v>0</v>
      </c>
      <c r="F125" s="24">
        <v>0</v>
      </c>
      <c r="G125" s="24">
        <v>0</v>
      </c>
      <c r="H125" s="24">
        <v>0</v>
      </c>
      <c r="I125" s="24">
        <v>0</v>
      </c>
      <c r="J125" s="24">
        <v>0</v>
      </c>
      <c r="K125" s="24">
        <v>0</v>
      </c>
      <c r="L125" s="24">
        <v>0</v>
      </c>
      <c r="M125" s="24">
        <v>0</v>
      </c>
      <c r="N125" s="24">
        <v>0</v>
      </c>
      <c r="O125" s="24">
        <v>0</v>
      </c>
      <c r="P125" s="24">
        <v>0</v>
      </c>
      <c r="Q125" s="24">
        <v>0</v>
      </c>
      <c r="R125" s="24">
        <v>0</v>
      </c>
      <c r="S125" s="24">
        <v>0</v>
      </c>
      <c r="T125" s="24">
        <v>0</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3242</v>
      </c>
      <c r="AM125" s="24">
        <v>0</v>
      </c>
      <c r="AN125" s="24">
        <v>0</v>
      </c>
      <c r="AO125" s="24">
        <v>0</v>
      </c>
      <c r="AP125" s="24">
        <v>0</v>
      </c>
      <c r="AQ125" s="24">
        <v>0</v>
      </c>
      <c r="AR125" s="24">
        <v>0</v>
      </c>
      <c r="AS125" s="24">
        <v>0</v>
      </c>
      <c r="AT125" s="24">
        <v>0</v>
      </c>
      <c r="AU125" s="24">
        <v>0</v>
      </c>
      <c r="AV125" s="24">
        <v>0</v>
      </c>
      <c r="AW125" s="24">
        <v>0</v>
      </c>
      <c r="AX125" s="24">
        <v>0</v>
      </c>
      <c r="AY125" s="24">
        <v>0</v>
      </c>
      <c r="AZ125" s="24">
        <v>0</v>
      </c>
      <c r="BA125" s="24">
        <v>0</v>
      </c>
      <c r="BB125" s="24">
        <v>0</v>
      </c>
      <c r="BC125" s="24">
        <v>0</v>
      </c>
      <c r="BD125" s="24">
        <v>365</v>
      </c>
      <c r="BE125" s="24">
        <v>0</v>
      </c>
      <c r="BF125" s="24">
        <v>0</v>
      </c>
      <c r="BG125" s="24">
        <v>0</v>
      </c>
      <c r="BH125" s="24">
        <v>0</v>
      </c>
      <c r="BI125" s="24">
        <v>0</v>
      </c>
      <c r="BJ125" s="24">
        <v>0</v>
      </c>
      <c r="BK125" s="24">
        <v>0</v>
      </c>
      <c r="BL125" s="24">
        <v>0</v>
      </c>
      <c r="BM125" s="24">
        <v>0</v>
      </c>
      <c r="BN125" s="24">
        <v>0</v>
      </c>
      <c r="BO125" s="24">
        <v>0</v>
      </c>
      <c r="BP125" s="24">
        <v>0</v>
      </c>
      <c r="BQ125" s="24">
        <v>0</v>
      </c>
      <c r="BR125" s="24">
        <v>0</v>
      </c>
      <c r="BS125" s="24">
        <v>0</v>
      </c>
      <c r="BT125" s="24">
        <v>0</v>
      </c>
      <c r="BU125" s="24">
        <v>0</v>
      </c>
      <c r="BV125" s="24">
        <v>0</v>
      </c>
      <c r="BW125" s="24">
        <v>0</v>
      </c>
      <c r="BX125" s="24">
        <v>0</v>
      </c>
      <c r="BY125" s="24">
        <v>0</v>
      </c>
      <c r="BZ125" s="24">
        <v>0</v>
      </c>
      <c r="CA125" s="24">
        <v>0</v>
      </c>
      <c r="CB125" s="24">
        <v>0</v>
      </c>
      <c r="CC125" s="24">
        <v>0</v>
      </c>
      <c r="CD125" s="24">
        <v>42804</v>
      </c>
      <c r="CE125" s="24">
        <v>219</v>
      </c>
      <c r="CF125" s="24">
        <v>0</v>
      </c>
      <c r="CG125" s="24">
        <v>6639</v>
      </c>
      <c r="CH125" s="24">
        <v>0</v>
      </c>
      <c r="CI125" s="24">
        <v>0</v>
      </c>
      <c r="CJ125" s="24">
        <v>0</v>
      </c>
      <c r="CK125" s="24">
        <v>0</v>
      </c>
      <c r="CL125" s="24">
        <v>0</v>
      </c>
      <c r="CM125" s="24">
        <v>0</v>
      </c>
      <c r="CN125" s="24">
        <v>0</v>
      </c>
      <c r="CO125" s="24">
        <v>0</v>
      </c>
      <c r="CP125" s="24">
        <v>0</v>
      </c>
      <c r="CQ125" s="24">
        <v>0</v>
      </c>
      <c r="CR125" s="24">
        <v>0</v>
      </c>
      <c r="CS125" s="24">
        <v>0</v>
      </c>
      <c r="CT125" s="24">
        <v>0</v>
      </c>
      <c r="CU125" s="24">
        <v>0</v>
      </c>
      <c r="CV125" s="24">
        <v>0</v>
      </c>
      <c r="CW125" s="24">
        <v>0</v>
      </c>
      <c r="CX125" s="24">
        <v>0</v>
      </c>
      <c r="CY125" s="24">
        <v>0</v>
      </c>
      <c r="CZ125" s="24">
        <v>0</v>
      </c>
      <c r="DA125" s="24">
        <v>0</v>
      </c>
      <c r="DB125" s="24">
        <v>0</v>
      </c>
      <c r="DC125" s="24">
        <v>0</v>
      </c>
      <c r="DD125" s="24">
        <v>0</v>
      </c>
      <c r="DE125" s="24">
        <v>0</v>
      </c>
      <c r="DF125" s="24">
        <v>0</v>
      </c>
      <c r="DG125" s="24">
        <v>0</v>
      </c>
      <c r="DH125" s="24">
        <v>0</v>
      </c>
      <c r="DI125" s="24">
        <v>0</v>
      </c>
      <c r="DJ125" s="24">
        <v>0</v>
      </c>
      <c r="DK125" s="24">
        <v>0</v>
      </c>
      <c r="DL125" s="24">
        <v>0</v>
      </c>
      <c r="DM125" s="24">
        <v>0</v>
      </c>
      <c r="DN125" s="24">
        <v>0</v>
      </c>
      <c r="DO125" s="24">
        <v>0</v>
      </c>
      <c r="DP125" s="24">
        <v>0</v>
      </c>
      <c r="DQ125" s="24">
        <v>0</v>
      </c>
      <c r="DR125" s="24">
        <v>0</v>
      </c>
      <c r="DS125" s="24">
        <v>0</v>
      </c>
      <c r="DT125" s="24">
        <v>0</v>
      </c>
      <c r="DU125" s="24">
        <v>0</v>
      </c>
      <c r="DV125" s="24">
        <v>0</v>
      </c>
      <c r="DW125" s="24">
        <v>0</v>
      </c>
      <c r="DX125" s="24">
        <v>0</v>
      </c>
      <c r="DY125" s="24">
        <v>0</v>
      </c>
      <c r="DZ125" s="24">
        <v>0</v>
      </c>
      <c r="EA125" s="24">
        <v>0</v>
      </c>
      <c r="EB125" s="24">
        <v>0</v>
      </c>
      <c r="EC125" s="24">
        <v>0</v>
      </c>
      <c r="ED125" s="24">
        <v>0</v>
      </c>
      <c r="EE125" s="24">
        <v>0</v>
      </c>
      <c r="EF125" s="24">
        <v>0</v>
      </c>
      <c r="EG125" s="24">
        <v>27453</v>
      </c>
      <c r="EH125" s="24">
        <v>0</v>
      </c>
      <c r="EI125" s="24">
        <v>0</v>
      </c>
      <c r="EJ125" s="24">
        <v>0</v>
      </c>
      <c r="EK125" s="24">
        <v>0</v>
      </c>
      <c r="EL125" s="24">
        <v>0</v>
      </c>
      <c r="EM125" s="24">
        <v>0</v>
      </c>
      <c r="EN125" s="24">
        <v>0</v>
      </c>
      <c r="EO125" s="24">
        <v>0</v>
      </c>
      <c r="EP125" s="24">
        <v>0</v>
      </c>
      <c r="EQ125" s="24">
        <v>0</v>
      </c>
      <c r="ER125" s="24">
        <v>0</v>
      </c>
      <c r="ES125" s="24">
        <v>0</v>
      </c>
      <c r="ET125" s="24">
        <v>0</v>
      </c>
      <c r="EU125" s="24">
        <v>0</v>
      </c>
      <c r="EV125" s="24">
        <v>0</v>
      </c>
      <c r="EW125" s="24">
        <v>0</v>
      </c>
      <c r="EX125" s="24">
        <v>0</v>
      </c>
      <c r="EY125" s="24">
        <v>0</v>
      </c>
      <c r="EZ125" s="24">
        <v>0</v>
      </c>
      <c r="FA125" s="24">
        <v>0</v>
      </c>
      <c r="FB125" s="24">
        <v>0</v>
      </c>
      <c r="FC125" s="24">
        <v>0</v>
      </c>
      <c r="FD125" s="24">
        <v>0</v>
      </c>
      <c r="FE125" s="24">
        <v>0</v>
      </c>
      <c r="FF125" s="24">
        <v>0</v>
      </c>
      <c r="FG125" s="24">
        <v>0</v>
      </c>
      <c r="FH125" s="24">
        <v>0</v>
      </c>
      <c r="FI125" s="24">
        <v>0</v>
      </c>
      <c r="FJ125" s="24">
        <v>0</v>
      </c>
      <c r="FK125" s="24">
        <v>0</v>
      </c>
      <c r="FL125" s="24">
        <v>0</v>
      </c>
      <c r="FM125" s="24">
        <v>0</v>
      </c>
      <c r="FN125" s="24">
        <v>0</v>
      </c>
      <c r="FO125" s="24">
        <v>0</v>
      </c>
      <c r="FP125" s="24">
        <v>0</v>
      </c>
      <c r="FQ125" s="24">
        <v>0</v>
      </c>
      <c r="FR125" s="24">
        <v>0</v>
      </c>
      <c r="FS125" s="24">
        <v>2408</v>
      </c>
      <c r="FT125" s="24">
        <v>0</v>
      </c>
      <c r="FU125" s="24">
        <v>0</v>
      </c>
      <c r="FV125" s="24">
        <v>0</v>
      </c>
      <c r="FW125" s="24">
        <v>0</v>
      </c>
      <c r="FX125" s="24">
        <v>0</v>
      </c>
      <c r="FY125" s="24">
        <v>0</v>
      </c>
      <c r="FZ125" s="24">
        <v>0</v>
      </c>
      <c r="GA125" s="24">
        <v>0</v>
      </c>
      <c r="GB125" s="24">
        <v>0</v>
      </c>
      <c r="GC125" s="24">
        <v>0</v>
      </c>
      <c r="GD125" s="24">
        <v>0</v>
      </c>
      <c r="GE125" s="24">
        <v>0</v>
      </c>
      <c r="GF125" s="24">
        <v>0</v>
      </c>
      <c r="GG125" s="24">
        <v>0</v>
      </c>
      <c r="GH125" s="24">
        <v>0</v>
      </c>
      <c r="GI125" s="24">
        <v>0</v>
      </c>
      <c r="GJ125" s="24">
        <v>0</v>
      </c>
      <c r="GK125" s="24">
        <v>0</v>
      </c>
      <c r="GL125" s="24">
        <v>0</v>
      </c>
      <c r="GM125" s="24">
        <v>0</v>
      </c>
      <c r="GN125" s="24">
        <v>0</v>
      </c>
      <c r="GO125" s="24">
        <v>0</v>
      </c>
      <c r="GP125" s="24">
        <v>0</v>
      </c>
      <c r="GQ125" s="24">
        <v>0</v>
      </c>
      <c r="GR125" s="24">
        <v>0</v>
      </c>
      <c r="GS125" s="24">
        <v>0</v>
      </c>
      <c r="GT125" s="24">
        <v>0</v>
      </c>
      <c r="GU125" s="24">
        <v>0</v>
      </c>
      <c r="GV125" s="24">
        <v>0</v>
      </c>
      <c r="GW125" s="24">
        <v>0</v>
      </c>
      <c r="GX125" s="24">
        <v>0</v>
      </c>
      <c r="GY125" s="24">
        <v>0</v>
      </c>
      <c r="GZ125" s="24">
        <v>0</v>
      </c>
      <c r="HA125" s="24">
        <v>0</v>
      </c>
      <c r="HB125" s="24">
        <v>0</v>
      </c>
      <c r="HC125" s="24">
        <v>0</v>
      </c>
      <c r="HD125" s="24">
        <v>2091085</v>
      </c>
      <c r="HE125" s="24">
        <v>0</v>
      </c>
      <c r="HF125" s="24">
        <v>0</v>
      </c>
      <c r="HG125" s="24">
        <v>0</v>
      </c>
      <c r="HH125" s="24">
        <v>0</v>
      </c>
      <c r="HI125" s="24">
        <v>84466</v>
      </c>
      <c r="HJ125" s="24">
        <v>0</v>
      </c>
      <c r="HK125" s="24">
        <v>0</v>
      </c>
      <c r="HL125" s="24">
        <v>0</v>
      </c>
      <c r="HM125" s="24">
        <v>0</v>
      </c>
      <c r="HN125" s="24">
        <v>0</v>
      </c>
      <c r="HO125" s="24">
        <v>217080</v>
      </c>
      <c r="HP125" s="24">
        <v>203735</v>
      </c>
      <c r="HQ125" s="24">
        <v>0</v>
      </c>
      <c r="HR125" s="24">
        <v>0</v>
      </c>
      <c r="HS125" s="24">
        <v>0</v>
      </c>
      <c r="HT125" s="24">
        <v>0</v>
      </c>
      <c r="HU125" s="24">
        <v>0</v>
      </c>
      <c r="HV125" s="24">
        <v>0</v>
      </c>
      <c r="HW125" s="24">
        <v>0</v>
      </c>
      <c r="HX125" s="24">
        <v>0</v>
      </c>
      <c r="HY125" s="24">
        <v>0</v>
      </c>
      <c r="HZ125" s="24">
        <v>0</v>
      </c>
      <c r="IA125" s="24">
        <v>0</v>
      </c>
      <c r="IB125" s="24">
        <v>7378</v>
      </c>
      <c r="IC125" s="24">
        <v>0</v>
      </c>
      <c r="ID125" s="24">
        <v>0</v>
      </c>
      <c r="IE125" s="24">
        <v>0</v>
      </c>
      <c r="IF125" s="24">
        <v>0</v>
      </c>
      <c r="IG125" s="24">
        <v>0</v>
      </c>
      <c r="IH125" s="24">
        <v>0</v>
      </c>
      <c r="II125" s="24">
        <v>0</v>
      </c>
      <c r="IJ125" s="24">
        <v>0</v>
      </c>
      <c r="IK125" s="24">
        <v>0</v>
      </c>
      <c r="IL125" s="24">
        <v>0</v>
      </c>
      <c r="IM125" s="24">
        <v>0</v>
      </c>
      <c r="IN125" s="24">
        <v>0</v>
      </c>
      <c r="IO125" s="24">
        <v>0</v>
      </c>
      <c r="IP125" s="24">
        <v>0</v>
      </c>
      <c r="IQ125" s="24">
        <v>0</v>
      </c>
      <c r="IR125" s="24">
        <v>0</v>
      </c>
      <c r="IS125" s="24">
        <v>0</v>
      </c>
      <c r="IT125" s="24">
        <v>0</v>
      </c>
      <c r="IU125" s="24">
        <v>0</v>
      </c>
      <c r="IV125" s="24">
        <v>0</v>
      </c>
      <c r="IW125" s="24">
        <v>25003</v>
      </c>
      <c r="IX125" s="24">
        <v>0</v>
      </c>
      <c r="IY125" s="24">
        <v>0</v>
      </c>
      <c r="IZ125" s="24">
        <v>0</v>
      </c>
      <c r="JA125" s="24">
        <v>0</v>
      </c>
      <c r="JB125" s="24">
        <v>0</v>
      </c>
      <c r="JC125" s="24">
        <v>0</v>
      </c>
      <c r="JD125" s="24">
        <v>0</v>
      </c>
      <c r="JE125" s="24">
        <v>0</v>
      </c>
      <c r="JF125" s="24">
        <v>0</v>
      </c>
      <c r="JG125" s="24">
        <v>0</v>
      </c>
      <c r="JH125" s="24">
        <v>0</v>
      </c>
      <c r="JI125" s="24">
        <v>0</v>
      </c>
      <c r="JJ125" s="24">
        <v>0</v>
      </c>
      <c r="JK125" s="24">
        <v>0</v>
      </c>
      <c r="JL125" s="24">
        <v>0</v>
      </c>
      <c r="JM125" s="24">
        <v>0</v>
      </c>
      <c r="JN125" s="24">
        <v>0</v>
      </c>
      <c r="JO125" s="24">
        <v>0</v>
      </c>
      <c r="JP125" s="24">
        <v>0</v>
      </c>
      <c r="JQ125" s="24">
        <v>0</v>
      </c>
      <c r="JR125" s="24">
        <v>0</v>
      </c>
      <c r="JS125" s="24">
        <v>0</v>
      </c>
      <c r="JT125" s="24">
        <v>0</v>
      </c>
      <c r="JU125" s="24">
        <v>0</v>
      </c>
      <c r="JV125" s="24">
        <v>0</v>
      </c>
      <c r="JW125" s="24">
        <v>0</v>
      </c>
      <c r="JX125" s="24">
        <v>0</v>
      </c>
      <c r="JY125" s="24">
        <v>0</v>
      </c>
      <c r="JZ125" s="24">
        <v>0</v>
      </c>
      <c r="KA125" s="24">
        <v>0</v>
      </c>
      <c r="KB125" s="24">
        <v>0</v>
      </c>
      <c r="KC125" s="24">
        <v>0</v>
      </c>
      <c r="KD125" s="24">
        <v>0</v>
      </c>
      <c r="KE125" s="24">
        <v>0</v>
      </c>
      <c r="KF125" s="24">
        <v>0</v>
      </c>
      <c r="KG125" s="24">
        <v>0</v>
      </c>
      <c r="KH125" s="24">
        <v>0</v>
      </c>
      <c r="KI125" s="24">
        <v>0</v>
      </c>
      <c r="KJ125" s="24">
        <v>0</v>
      </c>
      <c r="KK125" s="24">
        <v>0</v>
      </c>
      <c r="KL125" s="24">
        <v>0</v>
      </c>
      <c r="KM125" s="24">
        <v>0</v>
      </c>
      <c r="KN125" s="24">
        <v>0</v>
      </c>
      <c r="KO125" s="24">
        <v>0</v>
      </c>
      <c r="KP125" s="24">
        <v>0</v>
      </c>
      <c r="KQ125" s="24">
        <v>0</v>
      </c>
      <c r="KR125" s="24">
        <v>0</v>
      </c>
      <c r="KS125" s="24">
        <v>0</v>
      </c>
      <c r="KT125" s="24">
        <v>0</v>
      </c>
      <c r="KU125" s="24">
        <v>0</v>
      </c>
      <c r="KV125" s="24">
        <v>0</v>
      </c>
      <c r="KW125" s="24">
        <v>0</v>
      </c>
      <c r="KX125" s="24">
        <v>0</v>
      </c>
      <c r="KY125" s="24">
        <v>0</v>
      </c>
      <c r="KZ125" s="24">
        <v>0</v>
      </c>
      <c r="LA125" s="24">
        <v>0</v>
      </c>
      <c r="LB125" s="24">
        <v>0</v>
      </c>
      <c r="LC125" s="24">
        <v>0</v>
      </c>
      <c r="LD125" s="24">
        <v>0</v>
      </c>
      <c r="LE125" s="24">
        <v>0</v>
      </c>
      <c r="LF125" s="24">
        <v>0</v>
      </c>
      <c r="LG125" s="24">
        <v>0</v>
      </c>
      <c r="LH125" s="24">
        <v>0</v>
      </c>
      <c r="LI125" s="24">
        <v>0</v>
      </c>
      <c r="LJ125" s="24">
        <v>0</v>
      </c>
      <c r="LK125" s="24">
        <v>0</v>
      </c>
      <c r="LL125" s="24">
        <v>0</v>
      </c>
      <c r="LM125" s="24">
        <v>0</v>
      </c>
      <c r="LN125" s="24">
        <v>0</v>
      </c>
      <c r="LO125" s="24">
        <v>0</v>
      </c>
      <c r="LP125" s="24">
        <v>0</v>
      </c>
      <c r="LQ125" s="24">
        <v>73843</v>
      </c>
      <c r="LR125" s="24">
        <v>0</v>
      </c>
      <c r="LS125" s="24">
        <v>0</v>
      </c>
      <c r="LT125" s="24">
        <v>0</v>
      </c>
      <c r="LU125" s="24">
        <v>0</v>
      </c>
      <c r="LV125" s="24">
        <v>0</v>
      </c>
      <c r="LW125" s="24">
        <v>0</v>
      </c>
      <c r="LX125" s="24">
        <v>0</v>
      </c>
      <c r="LY125" s="24">
        <v>0</v>
      </c>
      <c r="LZ125" s="24">
        <v>0</v>
      </c>
      <c r="MA125" s="24">
        <v>0</v>
      </c>
      <c r="MB125" s="24">
        <v>0</v>
      </c>
      <c r="MC125" s="24">
        <v>0</v>
      </c>
      <c r="MD125" s="24">
        <v>0</v>
      </c>
      <c r="ME125" s="24">
        <v>0</v>
      </c>
      <c r="MF125" s="24">
        <v>0</v>
      </c>
      <c r="MG125" s="24">
        <v>34922</v>
      </c>
      <c r="MH125" s="24">
        <v>0</v>
      </c>
      <c r="MI125" s="24">
        <v>0</v>
      </c>
      <c r="MJ125" s="24">
        <v>0</v>
      </c>
      <c r="MK125" s="24">
        <v>0</v>
      </c>
      <c r="ML125" s="24">
        <v>0</v>
      </c>
      <c r="MM125" s="24">
        <v>0</v>
      </c>
      <c r="MN125" s="24">
        <v>0</v>
      </c>
      <c r="MO125" s="24">
        <v>0</v>
      </c>
      <c r="MP125" s="24">
        <v>0</v>
      </c>
      <c r="MQ125" s="24">
        <v>0</v>
      </c>
      <c r="MR125" s="24">
        <v>67858</v>
      </c>
      <c r="MS125" s="24">
        <v>0</v>
      </c>
      <c r="MT125" s="24">
        <v>0</v>
      </c>
      <c r="MU125" s="24">
        <v>0</v>
      </c>
      <c r="MV125" s="24">
        <v>0</v>
      </c>
      <c r="MW125" s="24">
        <v>58946</v>
      </c>
      <c r="MX125" s="24">
        <v>0</v>
      </c>
      <c r="MY125" s="24">
        <v>0</v>
      </c>
      <c r="MZ125" s="24">
        <v>0</v>
      </c>
      <c r="NA125" s="24">
        <v>0</v>
      </c>
      <c r="NB125" s="24">
        <v>0</v>
      </c>
      <c r="NC125" s="24">
        <v>0</v>
      </c>
      <c r="ND125" s="24">
        <v>0</v>
      </c>
      <c r="NE125" s="24">
        <v>0</v>
      </c>
      <c r="NF125" s="24">
        <v>0</v>
      </c>
      <c r="NG125" s="24">
        <v>0</v>
      </c>
      <c r="NH125" s="24">
        <v>0</v>
      </c>
      <c r="NI125" s="24">
        <v>0</v>
      </c>
      <c r="NJ125" s="24">
        <v>0</v>
      </c>
      <c r="NK125" s="24">
        <v>0</v>
      </c>
      <c r="NL125" s="24">
        <v>0</v>
      </c>
      <c r="NM125" s="24">
        <v>0</v>
      </c>
      <c r="NN125" s="24">
        <v>0</v>
      </c>
      <c r="NO125" s="24">
        <v>0</v>
      </c>
      <c r="NP125" s="24">
        <v>0</v>
      </c>
      <c r="NQ125" s="24">
        <v>0</v>
      </c>
      <c r="NR125" s="24">
        <v>0</v>
      </c>
      <c r="NS125" s="24">
        <v>0</v>
      </c>
      <c r="NT125" s="24">
        <v>0</v>
      </c>
      <c r="NU125" s="24">
        <v>0</v>
      </c>
      <c r="NV125" s="24">
        <v>13988</v>
      </c>
      <c r="NW125" s="24">
        <v>0</v>
      </c>
      <c r="NX125" s="24">
        <v>0</v>
      </c>
      <c r="NY125" s="24">
        <v>0</v>
      </c>
      <c r="NZ125" s="24">
        <v>0</v>
      </c>
      <c r="OA125" s="24">
        <v>0</v>
      </c>
      <c r="OB125" s="24">
        <v>0</v>
      </c>
      <c r="OC125" s="24">
        <v>0</v>
      </c>
      <c r="OD125" s="24">
        <v>0</v>
      </c>
      <c r="OE125" s="24">
        <v>0</v>
      </c>
      <c r="OF125" s="24">
        <v>0</v>
      </c>
      <c r="OG125" s="24">
        <v>0</v>
      </c>
      <c r="OH125" s="24">
        <v>0</v>
      </c>
      <c r="OI125" s="24">
        <v>0</v>
      </c>
      <c r="OJ125" s="24">
        <v>0</v>
      </c>
      <c r="OK125" s="24">
        <v>11653</v>
      </c>
      <c r="OL125" s="24">
        <v>0</v>
      </c>
      <c r="OM125" s="24">
        <v>0</v>
      </c>
      <c r="ON125" s="24">
        <v>0</v>
      </c>
      <c r="OO125" s="24">
        <v>0</v>
      </c>
      <c r="OP125" s="24">
        <v>0</v>
      </c>
      <c r="OQ125" s="24">
        <v>0</v>
      </c>
      <c r="OR125" s="24">
        <v>0</v>
      </c>
      <c r="OS125" s="24">
        <v>0</v>
      </c>
      <c r="OT125" s="24">
        <v>0</v>
      </c>
      <c r="OU125" s="24">
        <v>0</v>
      </c>
      <c r="OV125" s="24">
        <v>0</v>
      </c>
      <c r="OW125" s="24">
        <v>0</v>
      </c>
      <c r="OX125" s="24">
        <v>0</v>
      </c>
      <c r="OY125" s="24">
        <v>0</v>
      </c>
      <c r="OZ125" s="24">
        <v>0</v>
      </c>
      <c r="PA125" s="24">
        <v>0</v>
      </c>
      <c r="PB125" s="24">
        <v>0</v>
      </c>
      <c r="PC125" s="24">
        <v>0</v>
      </c>
      <c r="PD125" s="24">
        <v>0</v>
      </c>
      <c r="PE125" s="24">
        <v>0</v>
      </c>
      <c r="PF125" s="24">
        <v>0</v>
      </c>
      <c r="PG125" s="24">
        <v>0</v>
      </c>
      <c r="PH125" s="24">
        <v>0</v>
      </c>
      <c r="PI125" s="24">
        <v>0</v>
      </c>
      <c r="PJ125" s="24">
        <v>0</v>
      </c>
      <c r="PK125" s="24">
        <v>0</v>
      </c>
      <c r="PL125" s="24">
        <v>0</v>
      </c>
      <c r="PM125" s="24">
        <v>0</v>
      </c>
      <c r="PN125" s="24">
        <v>0</v>
      </c>
      <c r="PO125" s="24">
        <v>0</v>
      </c>
      <c r="PP125" s="24">
        <v>0</v>
      </c>
      <c r="PQ125" s="24">
        <v>0</v>
      </c>
      <c r="PR125" s="24">
        <v>0</v>
      </c>
      <c r="PS125" s="24">
        <v>0</v>
      </c>
      <c r="PT125" s="24">
        <v>0</v>
      </c>
      <c r="PU125" s="24">
        <v>0</v>
      </c>
      <c r="PV125" s="24">
        <v>0</v>
      </c>
      <c r="PW125" s="24">
        <v>0</v>
      </c>
      <c r="PX125" s="24">
        <v>0</v>
      </c>
      <c r="PY125" s="24">
        <v>0</v>
      </c>
      <c r="PZ125" s="24">
        <v>0</v>
      </c>
      <c r="QA125" s="24">
        <v>0</v>
      </c>
      <c r="QB125" s="24">
        <v>0</v>
      </c>
      <c r="QC125" s="24">
        <v>0</v>
      </c>
      <c r="QD125" s="24">
        <v>0</v>
      </c>
      <c r="QE125" s="24">
        <v>0</v>
      </c>
      <c r="QF125" s="24">
        <v>0</v>
      </c>
      <c r="QG125" s="24">
        <v>0</v>
      </c>
      <c r="QH125" s="24">
        <v>0</v>
      </c>
      <c r="QI125" s="24">
        <v>0</v>
      </c>
      <c r="QJ125" s="24">
        <v>0</v>
      </c>
      <c r="QK125" s="24">
        <v>0</v>
      </c>
      <c r="QL125" s="24">
        <v>0</v>
      </c>
      <c r="QM125" s="24">
        <v>0</v>
      </c>
      <c r="QN125" s="24">
        <v>0</v>
      </c>
      <c r="QO125" s="24">
        <v>0</v>
      </c>
      <c r="QP125" s="24">
        <v>0</v>
      </c>
      <c r="QQ125" s="24">
        <v>0</v>
      </c>
      <c r="QR125" s="24">
        <v>0</v>
      </c>
      <c r="QS125" s="24">
        <v>0</v>
      </c>
      <c r="QT125" s="24">
        <v>390628</v>
      </c>
      <c r="QU125" s="24">
        <v>0</v>
      </c>
      <c r="QV125" s="24">
        <v>0</v>
      </c>
      <c r="QW125" s="24">
        <v>0</v>
      </c>
      <c r="QX125" s="24">
        <v>0</v>
      </c>
      <c r="QY125" s="24">
        <v>0</v>
      </c>
      <c r="QZ125" s="24">
        <v>0</v>
      </c>
      <c r="RA125" s="24">
        <v>0</v>
      </c>
      <c r="RB125" s="24">
        <v>0</v>
      </c>
      <c r="RC125" s="913">
        <v>2</v>
      </c>
      <c r="RG125" s="39">
        <f t="shared" ref="RG125:RQ155" si="248">SUMIFS($C125:$RB125,$C$7:$RB$7,RG$3)</f>
        <v>2091085</v>
      </c>
      <c r="RH125" s="39">
        <f t="shared" ref="RH125:RR147" si="249">SUMIFS($C125:$RB125,$C$7:$RB$7,RH$3)</f>
        <v>84466</v>
      </c>
      <c r="RI125" s="39">
        <f t="shared" si="249"/>
        <v>0</v>
      </c>
      <c r="RJ125" s="39">
        <f t="shared" si="249"/>
        <v>0</v>
      </c>
      <c r="RK125" s="39">
        <f t="shared" si="249"/>
        <v>0</v>
      </c>
      <c r="RL125" s="39">
        <f t="shared" si="249"/>
        <v>217080</v>
      </c>
      <c r="RM125" s="39">
        <f t="shared" si="249"/>
        <v>211113</v>
      </c>
      <c r="RN125" s="39">
        <f t="shared" si="249"/>
        <v>0</v>
      </c>
      <c r="RO125" s="39">
        <f t="shared" si="249"/>
        <v>0</v>
      </c>
      <c r="RP125" s="39">
        <f t="shared" si="249"/>
        <v>25003</v>
      </c>
      <c r="RQ125" s="39">
        <f t="shared" si="249"/>
        <v>0</v>
      </c>
      <c r="RR125" s="39">
        <f t="shared" si="249"/>
        <v>0</v>
      </c>
      <c r="RS125" s="39"/>
      <c r="RT125" s="182"/>
      <c r="RU125" s="39"/>
      <c r="RV125" s="39">
        <f t="shared" si="246"/>
        <v>261210</v>
      </c>
      <c r="RW125" s="39">
        <f t="shared" si="246"/>
        <v>2628747</v>
      </c>
      <c r="RX125" s="39">
        <f t="shared" si="246"/>
        <v>83130</v>
      </c>
      <c r="RY125" s="39">
        <f t="shared" si="246"/>
        <v>390628</v>
      </c>
      <c r="RZ125" s="39"/>
      <c r="SA125" s="182"/>
      <c r="SB125" s="39"/>
      <c r="SC125" s="25">
        <f t="shared" si="183"/>
        <v>217.04960835509138</v>
      </c>
      <c r="SD125" s="39">
        <f>IFERROR(VLOOKUP(A125, 'Levy Data 15-16'!$B:$O, 3, FALSE), 0)</f>
        <v>0</v>
      </c>
      <c r="SE125" s="39">
        <f t="shared" si="208"/>
        <v>0</v>
      </c>
      <c r="SF125" s="631">
        <f>IFERROR(VLOOKUP(A125, 'Levy Data 15-16'!$B:$O, 14, FALSE), 0)*1000</f>
        <v>0</v>
      </c>
      <c r="SG125" s="39">
        <f t="shared" si="209"/>
        <v>0</v>
      </c>
      <c r="SH125" s="39">
        <f t="shared" si="210"/>
        <v>0</v>
      </c>
      <c r="SI125" s="39">
        <f t="shared" si="211"/>
        <v>83130</v>
      </c>
      <c r="SM125" s="39">
        <f t="shared" si="212"/>
        <v>2628747</v>
      </c>
      <c r="SN125" s="39">
        <f t="shared" si="213"/>
        <v>0</v>
      </c>
      <c r="SO125" s="39">
        <f t="shared" si="184"/>
        <v>2628747</v>
      </c>
      <c r="SP125" s="50">
        <f t="shared" ref="SP125:SP153" si="250">(SM125-SN125)/SM125</f>
        <v>1</v>
      </c>
      <c r="ST125" s="124">
        <f>IFERROR(VLOOKUP(A125,'Grade Enroll 15-16'!B:AC,27,FALSE),"")</f>
        <v>383</v>
      </c>
      <c r="SU125" s="124">
        <f t="shared" si="185"/>
        <v>138.4108910891089</v>
      </c>
      <c r="SV125" s="131">
        <f>IFERROR(VLOOKUP($A125, 'Title I Enroll 16-17'!S:V, 4, FALSE), 0)</f>
        <v>0.36138613861386137</v>
      </c>
      <c r="SW125" s="729">
        <f>IFERROR(VLOOKUP(A125, 'ELL Enroll 15-16'!$N:$S, 6, FALSE), 0)</f>
        <v>5</v>
      </c>
      <c r="SX125" s="131">
        <f t="shared" ref="SX125:SX154" si="251">SW125/ST125</f>
        <v>1.3054830287206266E-2</v>
      </c>
      <c r="SY125" s="124">
        <f>IFERROR(VLOOKUP(A125, 'SPED enroll 2015-16'!$M:$O, 3, FALSE), 0)</f>
        <v>15</v>
      </c>
      <c r="SZ125" s="131">
        <f t="shared" ref="SZ125:SZ154" si="252">SY125/ST125</f>
        <v>3.91644908616188E-2</v>
      </c>
      <c r="TA125" s="142">
        <f t="shared" ref="TA125:TD155" si="253">$SY125*TA$8</f>
        <v>10.5</v>
      </c>
      <c r="TB125" s="142">
        <f t="shared" si="253"/>
        <v>3</v>
      </c>
      <c r="TC125" s="142">
        <f t="shared" si="253"/>
        <v>1.05</v>
      </c>
      <c r="TD125" s="142">
        <f t="shared" si="253"/>
        <v>0.44999999999999996</v>
      </c>
      <c r="TE125" s="124">
        <f>VLOOKUP($A125, 'Grade Enroll 15-16'!$B:$AB, 20, FALSE)</f>
        <v>0</v>
      </c>
      <c r="TF125" s="124">
        <f>VLOOKUP($A125, 'Grade Enroll 15-16'!$B:$AB, 21, FALSE)</f>
        <v>24</v>
      </c>
      <c r="TG125" s="124">
        <f>VLOOKUP($A125, 'Grade Enroll 15-16'!$B:$AB, 22, FALSE)</f>
        <v>86</v>
      </c>
      <c r="TH125" s="124">
        <f>VLOOKUP($A125, 'Grade Enroll 15-16'!$B:$AB, 23, FALSE)</f>
        <v>99</v>
      </c>
      <c r="TI125" s="124">
        <f>VLOOKUP($A125, 'Grade Enroll 15-16'!$B:$AB, 24, FALSE)</f>
        <v>61</v>
      </c>
      <c r="TJ125" s="124">
        <f>VLOOKUP($A125, 'Grade Enroll 15-16'!$B:$AB, 25, FALSE)</f>
        <v>137</v>
      </c>
      <c r="TK125" s="124">
        <f>VLOOKUP($A125, 'Grade Enroll 15-16'!$B:$AB, 26, FALSE)</f>
        <v>258</v>
      </c>
      <c r="TL125" s="131">
        <f>SUMIFS('Student Achievement 15-16'!N:N, 'Student Achievement 15-16'!B:B, 'Idaho Data'!A125, 'Student Achievement 15-16'!D:D, "math")/100</f>
        <v>0.106</v>
      </c>
      <c r="TM125" s="134">
        <f t="shared" si="186"/>
        <v>40.597999999999999</v>
      </c>
      <c r="TN125" s="131">
        <f>SUMIFS('Student Achievement 15-16'!N:N, 'Student Achievement 15-16'!B:B, 'Idaho Data'!A125, 'Student Achievement 15-16'!D:D, "ela")/100</f>
        <v>5.5E-2</v>
      </c>
      <c r="TO125" s="134">
        <f t="shared" ref="TO125:TO154" si="254">TN125*$ST125</f>
        <v>21.065000000000001</v>
      </c>
      <c r="TP125" s="688">
        <f>IFERROR(VLOOKUP(A125, 'G&amp;T 15-16'!B:G, 6, FALSE), 0)*1</f>
        <v>0</v>
      </c>
      <c r="TQ125" s="168">
        <f t="shared" ref="TQ125:TQ154" si="255">0.06*ST125</f>
        <v>22.98</v>
      </c>
      <c r="TU125" s="168">
        <f t="shared" ref="TU125:TU154" si="256">MIN(TM125,TO125)</f>
        <v>21.065000000000001</v>
      </c>
      <c r="TV125" s="168">
        <f t="shared" ref="TV125:TV154" si="257">MAX(TM125,TO125)</f>
        <v>40.597999999999999</v>
      </c>
      <c r="TW125" s="205">
        <f t="shared" ref="TW125:TW154" si="258">IF(TW$4="low", TU125, TV125)</f>
        <v>40.597999999999999</v>
      </c>
      <c r="TX125" s="144"/>
      <c r="TY125" s="129"/>
      <c r="TZ125" s="127">
        <f t="shared" ref="TZ125:TZ154" si="259">MIN(TP125:TQ125)</f>
        <v>0</v>
      </c>
      <c r="UA125" s="127">
        <f t="shared" ref="UA125:UA154" si="260">MAX(TP125:TQ125)</f>
        <v>22.98</v>
      </c>
      <c r="UB125" s="205">
        <f t="shared" ref="UB125:UB154" si="261">IF(UB$4="low", TZ125, UA125)</f>
        <v>22.98</v>
      </c>
      <c r="UE125" s="853" t="str">
        <f>IF(ST125&lt;='1. Simulator Input'!$E$104, "yes", "")</f>
        <v/>
      </c>
      <c r="UI125" s="199">
        <f t="shared" si="187"/>
        <v>0</v>
      </c>
      <c r="UJ125" s="200">
        <f>IF('Idaho Data'!SI125&gt;=0, ((1-'1. Simulator Input'!$E$39)*'Idaho Data'!SI125), 0)</f>
        <v>0</v>
      </c>
      <c r="UK125" s="200">
        <f t="shared" ref="UK125:UK163" si="262">SUMIF($RG$4:$RR$4, "x", $RG125:$RR125)</f>
        <v>2628747</v>
      </c>
      <c r="UL125" s="39"/>
      <c r="UM125" s="182"/>
      <c r="UN125" s="39"/>
      <c r="UO125" s="39" t="str">
        <f>IF(AND('1. Simulator Input'!$E$96="yes", '1. Simulator Input'!$E$98="yes", '1. Simulator Input'!$E$100="hold harmless"), 'Idaho Data'!WN125, IF(AND('1. Simulator Input'!$E$96="yes", '1. Simulator Input'!$E$98="no", '1. Simulator Input'!$E$100="hold harmless"), 'Idaho Data'!WM125, IF(AND('1. Simulator Input'!$E$96="yes", '1. Simulator Input'!$E$98="yes", '1. Simulator Input'!$E$100="small district grant"), WL125,IF(AND('1. Simulator Input'!$E$96="yes", '1. Simulator Input'!$E$98="no", '1. Simulator Input'!$E$100="small district grant"), WK125, ""))))</f>
        <v/>
      </c>
      <c r="UP125" s="200">
        <f>'1. Simulator Input'!$D$56*('Idaho Data'!ST125)</f>
        <v>2116458</v>
      </c>
      <c r="UQ125" s="204">
        <f>'1. Simulator Input'!$D$65*'1. Simulator Input'!$D$56*'Idaho Data'!SU125</f>
        <v>0</v>
      </c>
      <c r="UR125" s="204">
        <f>'1. Simulator Input'!$D$66*'1. Simulator Input'!$D$56*'Idaho Data'!SW125</f>
        <v>0</v>
      </c>
      <c r="US125" s="200">
        <f>'1. Simulator Input'!$D$67*'1. Simulator Input'!$D$56*'Idaho Data'!TA125</f>
        <v>0</v>
      </c>
      <c r="UT125" s="200">
        <f>'1. Simulator Input'!$D$68*'1. Simulator Input'!$D$56*'Idaho Data'!TB125</f>
        <v>0</v>
      </c>
      <c r="UU125" s="200">
        <f>'1. Simulator Input'!$D$69*'1. Simulator Input'!$D$56*'Idaho Data'!TC125</f>
        <v>0</v>
      </c>
      <c r="UV125" s="200">
        <f>'1. Simulator Input'!$D$70*'1. Simulator Input'!$D$56*TD125</f>
        <v>0</v>
      </c>
      <c r="UW125" s="200">
        <f>'1. Simulator Input'!$D$80*'1. Simulator Input'!$D$56*TW125</f>
        <v>0</v>
      </c>
      <c r="UX125" s="200">
        <f>'1. Simulator Input'!$D$79*'1. Simulator Input'!$D$56*UB125</f>
        <v>0</v>
      </c>
      <c r="UY125" s="200">
        <f>'1. Simulator Input'!$D$87*'1. Simulator Input'!$D$56*TF125</f>
        <v>66312</v>
      </c>
      <c r="UZ125" s="200">
        <f>'1. Simulator Input'!$D$73*'1. Simulator Input'!$D$56*'Idaho Data'!TG125</f>
        <v>0</v>
      </c>
      <c r="VA125" s="200">
        <f>'1. Simulator Input'!$D$56*'1. Simulator Input'!$D$74*'Idaho Data'!TH125</f>
        <v>0</v>
      </c>
      <c r="VB125" s="200">
        <f>'1. Simulator Input'!$D$56*'1. Simulator Input'!$D$75*'Idaho Data'!TI120</f>
        <v>0</v>
      </c>
      <c r="VC125" s="200">
        <f>'1. Simulator Input'!$D$76*'1. Simulator Input'!$D$56*'Idaho Data'!TJ125</f>
        <v>0</v>
      </c>
      <c r="VD125" s="200">
        <f t="shared" si="188"/>
        <v>2182770</v>
      </c>
      <c r="VE125" s="200"/>
      <c r="VF125" s="182"/>
      <c r="VG125" s="200"/>
      <c r="VH125" s="200">
        <f t="shared" si="189"/>
        <v>0</v>
      </c>
      <c r="VI125" s="200">
        <f t="shared" si="190"/>
        <v>0</v>
      </c>
      <c r="VJ125" s="200">
        <f t="shared" si="214"/>
        <v>2182770</v>
      </c>
      <c r="VK125" s="200">
        <f t="shared" si="215"/>
        <v>2182770</v>
      </c>
      <c r="VL125" s="200"/>
      <c r="VM125" s="182"/>
      <c r="VN125" s="200"/>
      <c r="VO125" s="200">
        <f t="shared" si="191"/>
        <v>261210</v>
      </c>
      <c r="VP125" s="200">
        <f t="shared" si="192"/>
        <v>2628747</v>
      </c>
      <c r="VQ125" s="200">
        <f t="shared" si="193"/>
        <v>83130</v>
      </c>
      <c r="VR125" s="200">
        <f t="shared" si="194"/>
        <v>261210</v>
      </c>
      <c r="VS125" s="200">
        <f t="shared" si="216"/>
        <v>2182770</v>
      </c>
      <c r="VT125" s="200">
        <f t="shared" si="217"/>
        <v>83130</v>
      </c>
      <c r="VU125" s="200">
        <f t="shared" si="218"/>
        <v>0</v>
      </c>
      <c r="VV125" s="200"/>
      <c r="VW125" s="182"/>
      <c r="VX125" s="200"/>
      <c r="VZ125" s="199">
        <f t="shared" si="195"/>
        <v>-445977</v>
      </c>
      <c r="WA125" s="199">
        <f t="shared" si="196"/>
        <v>-1164.4308093994778</v>
      </c>
      <c r="WB125" s="131">
        <f t="shared" si="197"/>
        <v>-0.1696538312739872</v>
      </c>
      <c r="WC125" s="131"/>
      <c r="WD125" s="461"/>
      <c r="WE125" s="893"/>
      <c r="WF125" s="893">
        <f t="shared" si="198"/>
        <v>7762.6292428198431</v>
      </c>
      <c r="WG125" s="893">
        <f t="shared" si="199"/>
        <v>6598.1984334203653</v>
      </c>
      <c r="WH125" s="893"/>
      <c r="WI125" s="893">
        <f t="shared" si="200"/>
        <v>2628747</v>
      </c>
      <c r="WJ125" s="893">
        <f t="shared" si="219"/>
        <v>2182770</v>
      </c>
      <c r="WK125" s="39" t="str">
        <f t="shared" si="220"/>
        <v/>
      </c>
      <c r="WL125" s="39" t="str">
        <f t="shared" si="221"/>
        <v/>
      </c>
      <c r="WM125" s="200" t="str">
        <f t="shared" si="222"/>
        <v/>
      </c>
      <c r="WN125" s="39" t="str">
        <f t="shared" si="223"/>
        <v/>
      </c>
      <c r="WO125" s="39"/>
      <c r="WP125" s="182"/>
      <c r="WQ125" s="39"/>
      <c r="WR125" s="305"/>
      <c r="WT125" s="200">
        <f t="shared" si="225"/>
        <v>6863.5691906005222</v>
      </c>
      <c r="WU125" s="131">
        <f t="shared" si="201"/>
        <v>0.56999999999999995</v>
      </c>
      <c r="WW125" s="199">
        <f t="shared" si="226"/>
        <v>261210</v>
      </c>
      <c r="WX125" s="199">
        <f t="shared" si="227"/>
        <v>2182770</v>
      </c>
      <c r="WY125" s="199">
        <f t="shared" si="228"/>
        <v>0</v>
      </c>
      <c r="WZ125" s="199">
        <f t="shared" si="202"/>
        <v>2182770</v>
      </c>
      <c r="XA125" s="199">
        <f t="shared" si="229"/>
        <v>0</v>
      </c>
      <c r="XB125" s="199">
        <f t="shared" si="230"/>
        <v>83130</v>
      </c>
      <c r="XC125" s="199">
        <f t="shared" si="231"/>
        <v>83130</v>
      </c>
      <c r="XD125" s="199" t="str">
        <f t="shared" si="232"/>
        <v/>
      </c>
      <c r="XE125" s="199"/>
      <c r="XF125" s="199"/>
      <c r="XG125" s="199"/>
      <c r="XH125" s="199"/>
      <c r="XI125" s="199"/>
      <c r="XJ125" s="199">
        <f t="shared" si="203"/>
        <v>2182770</v>
      </c>
      <c r="XP125" s="199">
        <f t="shared" si="233"/>
        <v>2182770</v>
      </c>
      <c r="XQ125" s="199">
        <f t="shared" si="234"/>
        <v>5699.1383812010445</v>
      </c>
      <c r="XR125" s="199">
        <f t="shared" si="235"/>
        <v>2182770</v>
      </c>
      <c r="XS125" s="199">
        <f t="shared" si="236"/>
        <v>2182770</v>
      </c>
      <c r="XT125" s="199">
        <f t="shared" si="237"/>
        <v>5699.1383812010445</v>
      </c>
      <c r="XU125" s="199">
        <f t="shared" si="238"/>
        <v>2628747</v>
      </c>
      <c r="XV125" s="199">
        <f t="shared" si="239"/>
        <v>6863.5691906005222</v>
      </c>
      <c r="XW125" s="199">
        <f t="shared" si="240"/>
        <v>2628747</v>
      </c>
      <c r="XX125" s="199">
        <f t="shared" si="241"/>
        <v>6863.5691906005222</v>
      </c>
      <c r="XY125" s="199">
        <f t="shared" si="204"/>
        <v>-445977</v>
      </c>
      <c r="XZ125" s="199">
        <f t="shared" si="205"/>
        <v>-1164.4308093994778</v>
      </c>
      <c r="YA125" s="131">
        <f t="shared" ref="YA125:YA154" si="263">XZ125/XV125</f>
        <v>-0.16965383127398717</v>
      </c>
      <c r="YB125" s="199"/>
      <c r="YC125" s="221"/>
      <c r="YD125" s="199"/>
      <c r="YE125" s="199">
        <f t="shared" si="242"/>
        <v>261210</v>
      </c>
      <c r="YF125" s="200">
        <f t="shared" si="243"/>
        <v>0</v>
      </c>
      <c r="YG125" s="199">
        <f t="shared" si="244"/>
        <v>83130</v>
      </c>
      <c r="YH125" s="199">
        <f t="shared" si="245"/>
        <v>390628</v>
      </c>
    </row>
    <row r="126" spans="1:658">
      <c r="A126" s="3">
        <v>452</v>
      </c>
      <c r="B126" s="2" t="s">
        <v>223</v>
      </c>
      <c r="C126" s="24">
        <v>0</v>
      </c>
      <c r="D126" s="24">
        <v>0</v>
      </c>
      <c r="E126" s="24">
        <v>0</v>
      </c>
      <c r="F126" s="24">
        <v>0</v>
      </c>
      <c r="G126" s="24">
        <v>0</v>
      </c>
      <c r="H126" s="24">
        <v>0</v>
      </c>
      <c r="I126" s="24">
        <v>0</v>
      </c>
      <c r="J126" s="24">
        <v>0</v>
      </c>
      <c r="K126" s="24">
        <v>0</v>
      </c>
      <c r="L126" s="24">
        <v>0</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4230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c r="BE126" s="24">
        <v>0</v>
      </c>
      <c r="BF126" s="24">
        <v>0</v>
      </c>
      <c r="BG126" s="24">
        <v>0</v>
      </c>
      <c r="BH126" s="24">
        <v>0</v>
      </c>
      <c r="BI126" s="24">
        <v>0</v>
      </c>
      <c r="BJ126" s="24">
        <v>0</v>
      </c>
      <c r="BK126" s="24">
        <v>0</v>
      </c>
      <c r="BL126" s="24">
        <v>0</v>
      </c>
      <c r="BM126" s="24">
        <v>0</v>
      </c>
      <c r="BN126" s="24">
        <v>0</v>
      </c>
      <c r="BO126" s="24">
        <v>0</v>
      </c>
      <c r="BP126" s="24">
        <v>0</v>
      </c>
      <c r="BQ126" s="24">
        <v>0</v>
      </c>
      <c r="BR126" s="24">
        <v>0</v>
      </c>
      <c r="BS126" s="24">
        <v>0</v>
      </c>
      <c r="BT126" s="24">
        <v>0</v>
      </c>
      <c r="BU126" s="24">
        <v>0</v>
      </c>
      <c r="BV126" s="24">
        <v>0</v>
      </c>
      <c r="BW126" s="24">
        <v>0</v>
      </c>
      <c r="BX126" s="24">
        <v>0</v>
      </c>
      <c r="BY126" s="24">
        <v>0</v>
      </c>
      <c r="BZ126" s="24">
        <v>0</v>
      </c>
      <c r="CA126" s="24">
        <v>0</v>
      </c>
      <c r="CB126" s="24">
        <v>0</v>
      </c>
      <c r="CC126" s="24">
        <v>0</v>
      </c>
      <c r="CD126" s="24">
        <v>0</v>
      </c>
      <c r="CE126" s="24">
        <v>0</v>
      </c>
      <c r="CF126" s="24">
        <v>0</v>
      </c>
      <c r="CG126" s="24">
        <v>0</v>
      </c>
      <c r="CH126" s="24">
        <v>0</v>
      </c>
      <c r="CI126" s="24">
        <v>0</v>
      </c>
      <c r="CJ126" s="24">
        <v>0</v>
      </c>
      <c r="CK126" s="24">
        <v>0</v>
      </c>
      <c r="CL126" s="24">
        <v>0</v>
      </c>
      <c r="CM126" s="24">
        <v>0</v>
      </c>
      <c r="CN126" s="24">
        <v>0</v>
      </c>
      <c r="CO126" s="24">
        <v>0</v>
      </c>
      <c r="CP126" s="24">
        <v>0</v>
      </c>
      <c r="CQ126" s="24">
        <v>0</v>
      </c>
      <c r="CR126" s="24">
        <v>0</v>
      </c>
      <c r="CS126" s="24">
        <v>0</v>
      </c>
      <c r="CT126" s="24">
        <v>0</v>
      </c>
      <c r="CU126" s="24">
        <v>0</v>
      </c>
      <c r="CV126" s="24">
        <v>0</v>
      </c>
      <c r="CW126" s="24">
        <v>0</v>
      </c>
      <c r="CX126" s="24">
        <v>0</v>
      </c>
      <c r="CY126" s="24">
        <v>0</v>
      </c>
      <c r="CZ126" s="24">
        <v>0</v>
      </c>
      <c r="DA126" s="24">
        <v>0</v>
      </c>
      <c r="DB126" s="24">
        <v>0</v>
      </c>
      <c r="DC126" s="24">
        <v>0</v>
      </c>
      <c r="DD126" s="24">
        <v>0</v>
      </c>
      <c r="DE126" s="24">
        <v>0</v>
      </c>
      <c r="DF126" s="24">
        <v>0</v>
      </c>
      <c r="DG126" s="24">
        <v>0</v>
      </c>
      <c r="DH126" s="24">
        <v>0</v>
      </c>
      <c r="DI126" s="24">
        <v>0</v>
      </c>
      <c r="DJ126" s="24">
        <v>0</v>
      </c>
      <c r="DK126" s="24">
        <v>0</v>
      </c>
      <c r="DL126" s="24">
        <v>0</v>
      </c>
      <c r="DM126" s="24">
        <v>0</v>
      </c>
      <c r="DN126" s="24">
        <v>0</v>
      </c>
      <c r="DO126" s="24">
        <v>0</v>
      </c>
      <c r="DP126" s="24">
        <v>0</v>
      </c>
      <c r="DQ126" s="24">
        <v>0</v>
      </c>
      <c r="DR126" s="24">
        <v>0</v>
      </c>
      <c r="DS126" s="24">
        <v>0</v>
      </c>
      <c r="DT126" s="24">
        <v>0</v>
      </c>
      <c r="DU126" s="24">
        <v>0</v>
      </c>
      <c r="DV126" s="24">
        <v>0</v>
      </c>
      <c r="DW126" s="24">
        <v>0</v>
      </c>
      <c r="DX126" s="24">
        <v>0</v>
      </c>
      <c r="DY126" s="24">
        <v>0</v>
      </c>
      <c r="DZ126" s="24">
        <v>0</v>
      </c>
      <c r="EA126" s="24">
        <v>0</v>
      </c>
      <c r="EB126" s="24">
        <v>0</v>
      </c>
      <c r="EC126" s="24">
        <v>0</v>
      </c>
      <c r="ED126" s="24">
        <v>0</v>
      </c>
      <c r="EE126" s="24">
        <v>0</v>
      </c>
      <c r="EF126" s="24">
        <v>0</v>
      </c>
      <c r="EG126" s="24">
        <v>0</v>
      </c>
      <c r="EH126" s="24">
        <v>0</v>
      </c>
      <c r="EI126" s="24">
        <v>0</v>
      </c>
      <c r="EJ126" s="24">
        <v>0</v>
      </c>
      <c r="EK126" s="24">
        <v>0</v>
      </c>
      <c r="EL126" s="24">
        <v>0</v>
      </c>
      <c r="EM126" s="24">
        <v>0</v>
      </c>
      <c r="EN126" s="24">
        <v>0</v>
      </c>
      <c r="EO126" s="24">
        <v>0</v>
      </c>
      <c r="EP126" s="24">
        <v>0</v>
      </c>
      <c r="EQ126" s="24">
        <v>0</v>
      </c>
      <c r="ER126" s="24">
        <v>0</v>
      </c>
      <c r="ES126" s="24">
        <v>0</v>
      </c>
      <c r="ET126" s="24">
        <v>0</v>
      </c>
      <c r="EU126" s="24">
        <v>0</v>
      </c>
      <c r="EV126" s="24">
        <v>0</v>
      </c>
      <c r="EW126" s="24">
        <v>0</v>
      </c>
      <c r="EX126" s="24">
        <v>0</v>
      </c>
      <c r="EY126" s="24">
        <v>0</v>
      </c>
      <c r="EZ126" s="24">
        <v>0</v>
      </c>
      <c r="FA126" s="24">
        <v>0</v>
      </c>
      <c r="FB126" s="24">
        <v>0</v>
      </c>
      <c r="FC126" s="24">
        <v>0</v>
      </c>
      <c r="FD126" s="24">
        <v>0</v>
      </c>
      <c r="FE126" s="24">
        <v>0</v>
      </c>
      <c r="FF126" s="24">
        <v>0</v>
      </c>
      <c r="FG126" s="24">
        <v>0</v>
      </c>
      <c r="FH126" s="24">
        <v>0</v>
      </c>
      <c r="FI126" s="24">
        <v>0</v>
      </c>
      <c r="FJ126" s="24">
        <v>0</v>
      </c>
      <c r="FK126" s="24">
        <v>0</v>
      </c>
      <c r="FL126" s="24">
        <v>0</v>
      </c>
      <c r="FM126" s="24">
        <v>0</v>
      </c>
      <c r="FN126" s="24">
        <v>0</v>
      </c>
      <c r="FO126" s="24">
        <v>0</v>
      </c>
      <c r="FP126" s="24">
        <v>0</v>
      </c>
      <c r="FQ126" s="24">
        <v>0</v>
      </c>
      <c r="FR126" s="24">
        <v>0</v>
      </c>
      <c r="FS126" s="24">
        <v>745852</v>
      </c>
      <c r="FT126" s="24">
        <v>0</v>
      </c>
      <c r="FU126" s="24">
        <v>0</v>
      </c>
      <c r="FV126" s="24">
        <v>0</v>
      </c>
      <c r="FW126" s="24">
        <v>0</v>
      </c>
      <c r="FX126" s="24">
        <v>0</v>
      </c>
      <c r="FY126" s="24">
        <v>0</v>
      </c>
      <c r="FZ126" s="24">
        <v>0</v>
      </c>
      <c r="GA126" s="24">
        <v>0</v>
      </c>
      <c r="GB126" s="24">
        <v>0</v>
      </c>
      <c r="GC126" s="24">
        <v>0</v>
      </c>
      <c r="GD126" s="24">
        <v>0</v>
      </c>
      <c r="GE126" s="24">
        <v>0</v>
      </c>
      <c r="GF126" s="24">
        <v>0</v>
      </c>
      <c r="GG126" s="24">
        <v>0</v>
      </c>
      <c r="GH126" s="24">
        <v>0</v>
      </c>
      <c r="GI126" s="24">
        <v>0</v>
      </c>
      <c r="GJ126" s="24">
        <v>0</v>
      </c>
      <c r="GK126" s="24">
        <v>0</v>
      </c>
      <c r="GL126" s="24">
        <v>0</v>
      </c>
      <c r="GM126" s="24">
        <v>0</v>
      </c>
      <c r="GN126" s="24">
        <v>0</v>
      </c>
      <c r="GO126" s="24">
        <v>0</v>
      </c>
      <c r="GP126" s="24">
        <v>0</v>
      </c>
      <c r="GQ126" s="24">
        <v>0</v>
      </c>
      <c r="GR126" s="24">
        <v>0</v>
      </c>
      <c r="GS126" s="24">
        <v>0</v>
      </c>
      <c r="GT126" s="24">
        <v>0</v>
      </c>
      <c r="GU126" s="24">
        <v>0</v>
      </c>
      <c r="GV126" s="24">
        <v>0</v>
      </c>
      <c r="GW126" s="24">
        <v>0</v>
      </c>
      <c r="GX126" s="24">
        <v>0</v>
      </c>
      <c r="GY126" s="24">
        <v>0</v>
      </c>
      <c r="GZ126" s="24">
        <v>0</v>
      </c>
      <c r="HA126" s="24">
        <v>0</v>
      </c>
      <c r="HB126" s="24">
        <v>0</v>
      </c>
      <c r="HC126" s="24">
        <v>0</v>
      </c>
      <c r="HD126" s="24">
        <v>8443040</v>
      </c>
      <c r="HE126" s="24">
        <v>0</v>
      </c>
      <c r="HF126" s="24">
        <v>0</v>
      </c>
      <c r="HG126" s="24">
        <v>0</v>
      </c>
      <c r="HH126" s="24">
        <v>0</v>
      </c>
      <c r="HI126" s="24">
        <v>897154</v>
      </c>
      <c r="HJ126" s="24">
        <v>0</v>
      </c>
      <c r="HK126" s="24">
        <v>0</v>
      </c>
      <c r="HL126" s="24">
        <v>0</v>
      </c>
      <c r="HM126" s="24">
        <v>0</v>
      </c>
      <c r="HN126" s="24">
        <v>0</v>
      </c>
      <c r="HO126" s="24">
        <v>535751</v>
      </c>
      <c r="HP126" s="24">
        <v>0</v>
      </c>
      <c r="HQ126" s="24">
        <v>0</v>
      </c>
      <c r="HR126" s="24">
        <v>0</v>
      </c>
      <c r="HS126" s="24">
        <v>0</v>
      </c>
      <c r="HT126" s="24">
        <v>0</v>
      </c>
      <c r="HU126" s="24">
        <v>0</v>
      </c>
      <c r="HV126" s="24">
        <v>0</v>
      </c>
      <c r="HW126" s="24">
        <v>0</v>
      </c>
      <c r="HX126" s="24">
        <v>0</v>
      </c>
      <c r="HY126" s="24">
        <v>0</v>
      </c>
      <c r="HZ126" s="24">
        <v>0</v>
      </c>
      <c r="IA126" s="24">
        <v>134550</v>
      </c>
      <c r="IB126" s="24">
        <v>0</v>
      </c>
      <c r="IC126" s="24">
        <v>0</v>
      </c>
      <c r="ID126" s="24">
        <v>0</v>
      </c>
      <c r="IE126" s="24">
        <v>0</v>
      </c>
      <c r="IF126" s="24">
        <v>0</v>
      </c>
      <c r="IG126" s="24">
        <v>0</v>
      </c>
      <c r="IH126" s="24">
        <v>0</v>
      </c>
      <c r="II126" s="24">
        <v>0</v>
      </c>
      <c r="IJ126" s="24">
        <v>0</v>
      </c>
      <c r="IK126" s="24">
        <v>0</v>
      </c>
      <c r="IL126" s="24">
        <v>0</v>
      </c>
      <c r="IM126" s="24">
        <v>0</v>
      </c>
      <c r="IN126" s="24">
        <v>0</v>
      </c>
      <c r="IO126" s="24">
        <v>0</v>
      </c>
      <c r="IP126" s="24">
        <v>0</v>
      </c>
      <c r="IQ126" s="24">
        <v>0</v>
      </c>
      <c r="IR126" s="24">
        <v>0</v>
      </c>
      <c r="IS126" s="24">
        <v>0</v>
      </c>
      <c r="IT126" s="24">
        <v>0</v>
      </c>
      <c r="IU126" s="24">
        <v>0</v>
      </c>
      <c r="IV126" s="24">
        <v>0</v>
      </c>
      <c r="IW126" s="24">
        <v>144706</v>
      </c>
      <c r="IX126" s="24">
        <v>0</v>
      </c>
      <c r="IY126" s="24">
        <v>175021</v>
      </c>
      <c r="IZ126" s="24">
        <v>0</v>
      </c>
      <c r="JA126" s="24">
        <v>0</v>
      </c>
      <c r="JB126" s="24">
        <v>0</v>
      </c>
      <c r="JC126" s="24">
        <v>0</v>
      </c>
      <c r="JD126" s="24">
        <v>0</v>
      </c>
      <c r="JE126" s="24">
        <v>712780</v>
      </c>
      <c r="JF126" s="24">
        <v>0</v>
      </c>
      <c r="JG126" s="24">
        <v>0</v>
      </c>
      <c r="JH126" s="24">
        <v>0</v>
      </c>
      <c r="JI126" s="24">
        <v>0</v>
      </c>
      <c r="JJ126" s="24">
        <v>0</v>
      </c>
      <c r="JK126" s="24">
        <v>0</v>
      </c>
      <c r="JL126" s="24">
        <v>0</v>
      </c>
      <c r="JM126" s="24">
        <v>0</v>
      </c>
      <c r="JN126" s="24">
        <v>0</v>
      </c>
      <c r="JO126" s="24">
        <v>0</v>
      </c>
      <c r="JP126" s="24">
        <v>0</v>
      </c>
      <c r="JQ126" s="24">
        <v>0</v>
      </c>
      <c r="JR126" s="24">
        <v>0</v>
      </c>
      <c r="JS126" s="24">
        <v>0</v>
      </c>
      <c r="JT126" s="24">
        <v>0</v>
      </c>
      <c r="JU126" s="24">
        <v>32303</v>
      </c>
      <c r="JV126" s="24">
        <v>0</v>
      </c>
      <c r="JW126" s="24">
        <v>0</v>
      </c>
      <c r="JX126" s="24">
        <v>0</v>
      </c>
      <c r="JY126" s="24">
        <v>0</v>
      </c>
      <c r="JZ126" s="24">
        <v>0</v>
      </c>
      <c r="KA126" s="24">
        <v>0</v>
      </c>
      <c r="KB126" s="24">
        <v>0</v>
      </c>
      <c r="KC126" s="24">
        <v>0</v>
      </c>
      <c r="KD126" s="24">
        <v>0</v>
      </c>
      <c r="KE126" s="24">
        <v>0</v>
      </c>
      <c r="KF126" s="24">
        <v>0</v>
      </c>
      <c r="KG126" s="24">
        <v>0</v>
      </c>
      <c r="KH126" s="24">
        <v>0</v>
      </c>
      <c r="KI126" s="24">
        <v>0</v>
      </c>
      <c r="KJ126" s="24">
        <v>0</v>
      </c>
      <c r="KK126" s="24">
        <v>0</v>
      </c>
      <c r="KL126" s="24">
        <v>0</v>
      </c>
      <c r="KM126" s="24">
        <v>0</v>
      </c>
      <c r="KN126" s="24">
        <v>0</v>
      </c>
      <c r="KO126" s="24">
        <v>0</v>
      </c>
      <c r="KP126" s="24">
        <v>0</v>
      </c>
      <c r="KQ126" s="24">
        <v>0</v>
      </c>
      <c r="KR126" s="24">
        <v>0</v>
      </c>
      <c r="KS126" s="24">
        <v>0</v>
      </c>
      <c r="KT126" s="24">
        <v>0</v>
      </c>
      <c r="KU126" s="24">
        <v>0</v>
      </c>
      <c r="KV126" s="24">
        <v>0</v>
      </c>
      <c r="KW126" s="24">
        <v>0</v>
      </c>
      <c r="KX126" s="24">
        <v>0</v>
      </c>
      <c r="KY126" s="24">
        <v>0</v>
      </c>
      <c r="KZ126" s="24">
        <v>0</v>
      </c>
      <c r="LA126" s="24">
        <v>75937</v>
      </c>
      <c r="LB126" s="24">
        <v>0</v>
      </c>
      <c r="LC126" s="24">
        <v>0</v>
      </c>
      <c r="LD126" s="24">
        <v>0</v>
      </c>
      <c r="LE126" s="24">
        <v>0</v>
      </c>
      <c r="LF126" s="24">
        <v>0</v>
      </c>
      <c r="LG126" s="24">
        <v>0</v>
      </c>
      <c r="LH126" s="24">
        <v>0</v>
      </c>
      <c r="LI126" s="24">
        <v>0</v>
      </c>
      <c r="LJ126" s="24">
        <v>0</v>
      </c>
      <c r="LK126" s="24">
        <v>0</v>
      </c>
      <c r="LL126" s="24">
        <v>0</v>
      </c>
      <c r="LM126" s="24">
        <v>0</v>
      </c>
      <c r="LN126" s="24">
        <v>0</v>
      </c>
      <c r="LO126" s="24">
        <v>0</v>
      </c>
      <c r="LP126" s="24">
        <v>0</v>
      </c>
      <c r="LQ126" s="24">
        <v>803779</v>
      </c>
      <c r="LR126" s="24">
        <v>0</v>
      </c>
      <c r="LS126" s="24">
        <v>0</v>
      </c>
      <c r="LT126" s="24">
        <v>0</v>
      </c>
      <c r="LU126" s="24">
        <v>0</v>
      </c>
      <c r="LV126" s="24">
        <v>0</v>
      </c>
      <c r="LW126" s="24">
        <v>0</v>
      </c>
      <c r="LX126" s="24">
        <v>0</v>
      </c>
      <c r="LY126" s="24">
        <v>0</v>
      </c>
      <c r="LZ126" s="24">
        <v>0</v>
      </c>
      <c r="MA126" s="24">
        <v>0</v>
      </c>
      <c r="MB126" s="24">
        <v>0</v>
      </c>
      <c r="MC126" s="24">
        <v>0</v>
      </c>
      <c r="MD126" s="24">
        <v>0</v>
      </c>
      <c r="ME126" s="24">
        <v>0</v>
      </c>
      <c r="MF126" s="24">
        <v>0</v>
      </c>
      <c r="MG126" s="24">
        <v>0</v>
      </c>
      <c r="MH126" s="24">
        <v>0</v>
      </c>
      <c r="MI126" s="24">
        <v>0</v>
      </c>
      <c r="MJ126" s="24">
        <v>0</v>
      </c>
      <c r="MK126" s="24">
        <v>0</v>
      </c>
      <c r="ML126" s="24">
        <v>0</v>
      </c>
      <c r="MM126" s="24">
        <v>0</v>
      </c>
      <c r="MN126" s="24">
        <v>0</v>
      </c>
      <c r="MO126" s="24">
        <v>0</v>
      </c>
      <c r="MP126" s="24">
        <v>0</v>
      </c>
      <c r="MQ126" s="24">
        <v>0</v>
      </c>
      <c r="MR126" s="24">
        <v>0</v>
      </c>
      <c r="MS126" s="24">
        <v>0</v>
      </c>
      <c r="MT126" s="24">
        <v>0</v>
      </c>
      <c r="MU126" s="24">
        <v>0</v>
      </c>
      <c r="MV126" s="24">
        <v>0</v>
      </c>
      <c r="MW126" s="24">
        <v>415608</v>
      </c>
      <c r="MX126" s="24">
        <v>0</v>
      </c>
      <c r="MY126" s="24">
        <v>0</v>
      </c>
      <c r="MZ126" s="24">
        <v>0</v>
      </c>
      <c r="NA126" s="24">
        <v>0</v>
      </c>
      <c r="NB126" s="24">
        <v>0</v>
      </c>
      <c r="NC126" s="24">
        <v>0</v>
      </c>
      <c r="ND126" s="24">
        <v>0</v>
      </c>
      <c r="NE126" s="24">
        <v>0</v>
      </c>
      <c r="NF126" s="24">
        <v>0</v>
      </c>
      <c r="NG126" s="24">
        <v>0</v>
      </c>
      <c r="NH126" s="24">
        <v>0</v>
      </c>
      <c r="NI126" s="24">
        <v>0</v>
      </c>
      <c r="NJ126" s="24">
        <v>0</v>
      </c>
      <c r="NK126" s="24">
        <v>0</v>
      </c>
      <c r="NL126" s="24">
        <v>0</v>
      </c>
      <c r="NM126" s="24">
        <v>0</v>
      </c>
      <c r="NN126" s="24">
        <v>0</v>
      </c>
      <c r="NO126" s="24">
        <v>0</v>
      </c>
      <c r="NP126" s="24">
        <v>0</v>
      </c>
      <c r="NQ126" s="24">
        <v>0</v>
      </c>
      <c r="NR126" s="24">
        <v>0</v>
      </c>
      <c r="NS126" s="24">
        <v>0</v>
      </c>
      <c r="NT126" s="24">
        <v>0</v>
      </c>
      <c r="NU126" s="24">
        <v>0</v>
      </c>
      <c r="NV126" s="24">
        <v>0</v>
      </c>
      <c r="NW126" s="24">
        <v>0</v>
      </c>
      <c r="NX126" s="24">
        <v>0</v>
      </c>
      <c r="NY126" s="24">
        <v>0</v>
      </c>
      <c r="NZ126" s="24">
        <v>0</v>
      </c>
      <c r="OA126" s="24">
        <v>0</v>
      </c>
      <c r="OB126" s="24">
        <v>0</v>
      </c>
      <c r="OC126" s="24">
        <v>0</v>
      </c>
      <c r="OD126" s="24">
        <v>0</v>
      </c>
      <c r="OE126" s="24">
        <v>0</v>
      </c>
      <c r="OF126" s="24">
        <v>0</v>
      </c>
      <c r="OG126" s="24">
        <v>0</v>
      </c>
      <c r="OH126" s="24">
        <v>0</v>
      </c>
      <c r="OI126" s="24">
        <v>0</v>
      </c>
      <c r="OJ126" s="24">
        <v>0</v>
      </c>
      <c r="OK126" s="24">
        <v>0</v>
      </c>
      <c r="OL126" s="24">
        <v>0</v>
      </c>
      <c r="OM126" s="24">
        <v>0</v>
      </c>
      <c r="ON126" s="24">
        <v>0</v>
      </c>
      <c r="OO126" s="24">
        <v>0</v>
      </c>
      <c r="OP126" s="24">
        <v>0</v>
      </c>
      <c r="OQ126" s="24">
        <v>0</v>
      </c>
      <c r="OR126" s="24">
        <v>0</v>
      </c>
      <c r="OS126" s="24">
        <v>0</v>
      </c>
      <c r="OT126" s="24">
        <v>0</v>
      </c>
      <c r="OU126" s="24">
        <v>0</v>
      </c>
      <c r="OV126" s="24">
        <v>0</v>
      </c>
      <c r="OW126" s="24">
        <v>0</v>
      </c>
      <c r="OX126" s="24">
        <v>0</v>
      </c>
      <c r="OY126" s="24">
        <v>0</v>
      </c>
      <c r="OZ126" s="24">
        <v>0</v>
      </c>
      <c r="PA126" s="24">
        <v>0</v>
      </c>
      <c r="PB126" s="24">
        <v>0</v>
      </c>
      <c r="PC126" s="24">
        <v>0</v>
      </c>
      <c r="PD126" s="24">
        <v>0</v>
      </c>
      <c r="PE126" s="24">
        <v>0</v>
      </c>
      <c r="PF126" s="24">
        <v>0</v>
      </c>
      <c r="PG126" s="24">
        <v>0</v>
      </c>
      <c r="PH126" s="24">
        <v>0</v>
      </c>
      <c r="PI126" s="24">
        <v>0</v>
      </c>
      <c r="PJ126" s="24">
        <v>0</v>
      </c>
      <c r="PK126" s="24">
        <v>0</v>
      </c>
      <c r="PL126" s="24">
        <v>0</v>
      </c>
      <c r="PM126" s="24">
        <v>0</v>
      </c>
      <c r="PN126" s="24">
        <v>0</v>
      </c>
      <c r="PO126" s="24">
        <v>0</v>
      </c>
      <c r="PP126" s="24">
        <v>0</v>
      </c>
      <c r="PQ126" s="24">
        <v>0</v>
      </c>
      <c r="PR126" s="24">
        <v>0</v>
      </c>
      <c r="PS126" s="24">
        <v>0</v>
      </c>
      <c r="PT126" s="24">
        <v>0</v>
      </c>
      <c r="PU126" s="24">
        <v>0</v>
      </c>
      <c r="PV126" s="24">
        <v>0</v>
      </c>
      <c r="PW126" s="24">
        <v>123607</v>
      </c>
      <c r="PX126" s="24">
        <v>0</v>
      </c>
      <c r="PY126" s="24">
        <v>0</v>
      </c>
      <c r="PZ126" s="24">
        <v>0</v>
      </c>
      <c r="QA126" s="24">
        <v>0</v>
      </c>
      <c r="QB126" s="24">
        <v>0</v>
      </c>
      <c r="QC126" s="24">
        <v>0</v>
      </c>
      <c r="QD126" s="24">
        <v>0</v>
      </c>
      <c r="QE126" s="24">
        <v>0</v>
      </c>
      <c r="QF126" s="24">
        <v>0</v>
      </c>
      <c r="QG126" s="24">
        <v>0</v>
      </c>
      <c r="QH126" s="24">
        <v>0</v>
      </c>
      <c r="QI126" s="24">
        <v>0</v>
      </c>
      <c r="QJ126" s="24">
        <v>0</v>
      </c>
      <c r="QK126" s="24">
        <v>0</v>
      </c>
      <c r="QL126" s="24">
        <v>0</v>
      </c>
      <c r="QM126" s="24">
        <v>0</v>
      </c>
      <c r="QN126" s="24">
        <v>0</v>
      </c>
      <c r="QO126" s="24">
        <v>0</v>
      </c>
      <c r="QP126" s="24">
        <v>0</v>
      </c>
      <c r="QQ126" s="24">
        <v>0</v>
      </c>
      <c r="QR126" s="24">
        <v>0</v>
      </c>
      <c r="QS126" s="24">
        <v>0</v>
      </c>
      <c r="QT126" s="24">
        <v>0</v>
      </c>
      <c r="QU126" s="24">
        <v>0</v>
      </c>
      <c r="QV126" s="24">
        <v>251283</v>
      </c>
      <c r="QW126" s="24">
        <v>0</v>
      </c>
      <c r="QX126" s="24">
        <v>0</v>
      </c>
      <c r="QY126" s="24">
        <v>0</v>
      </c>
      <c r="QZ126" s="24">
        <v>0</v>
      </c>
      <c r="RA126" s="24">
        <v>0</v>
      </c>
      <c r="RB126" s="24">
        <v>0</v>
      </c>
      <c r="RC126" s="913">
        <v>2</v>
      </c>
      <c r="RG126" s="39">
        <f t="shared" si="248"/>
        <v>8443040</v>
      </c>
      <c r="RH126" s="39">
        <f t="shared" si="249"/>
        <v>897154</v>
      </c>
      <c r="RI126" s="39">
        <f t="shared" si="249"/>
        <v>0</v>
      </c>
      <c r="RJ126" s="39">
        <f t="shared" si="249"/>
        <v>0</v>
      </c>
      <c r="RK126" s="39">
        <f t="shared" si="249"/>
        <v>0</v>
      </c>
      <c r="RL126" s="39">
        <f t="shared" si="249"/>
        <v>535751</v>
      </c>
      <c r="RM126" s="39">
        <f t="shared" si="249"/>
        <v>134550</v>
      </c>
      <c r="RN126" s="39">
        <f t="shared" si="249"/>
        <v>0</v>
      </c>
      <c r="RO126" s="39">
        <f t="shared" si="249"/>
        <v>0</v>
      </c>
      <c r="RP126" s="39">
        <f t="shared" si="249"/>
        <v>319727</v>
      </c>
      <c r="RQ126" s="39">
        <f t="shared" si="249"/>
        <v>0</v>
      </c>
      <c r="RR126" s="39">
        <f t="shared" si="249"/>
        <v>745083</v>
      </c>
      <c r="RS126" s="39"/>
      <c r="RT126" s="182"/>
      <c r="RU126" s="39"/>
      <c r="RV126" s="39">
        <f t="shared" si="246"/>
        <v>1295324</v>
      </c>
      <c r="RW126" s="39">
        <f t="shared" si="246"/>
        <v>11075305</v>
      </c>
      <c r="RX126" s="39">
        <f t="shared" si="246"/>
        <v>750082</v>
      </c>
      <c r="RY126" s="39">
        <f t="shared" si="246"/>
        <v>374890</v>
      </c>
      <c r="RZ126" s="39"/>
      <c r="SA126" s="182"/>
      <c r="SB126" s="39"/>
      <c r="SC126" s="25">
        <f t="shared" si="183"/>
        <v>345.81927155371136</v>
      </c>
      <c r="SD126" s="39">
        <f>IFERROR(VLOOKUP(A126, 'Levy Data 15-16'!$B:$O, 3, FALSE), 0)</f>
        <v>0</v>
      </c>
      <c r="SE126" s="39">
        <f t="shared" si="208"/>
        <v>0</v>
      </c>
      <c r="SF126" s="631">
        <f>IFERROR(VLOOKUP(A126, 'Levy Data 15-16'!$B:$O, 14, FALSE), 0)*1000</f>
        <v>0</v>
      </c>
      <c r="SG126" s="39">
        <f t="shared" si="209"/>
        <v>0</v>
      </c>
      <c r="SH126" s="39">
        <f t="shared" si="210"/>
        <v>0</v>
      </c>
      <c r="SI126" s="39">
        <f t="shared" si="211"/>
        <v>750082</v>
      </c>
      <c r="SM126" s="39">
        <f t="shared" si="212"/>
        <v>11075305</v>
      </c>
      <c r="SN126" s="39">
        <f t="shared" si="213"/>
        <v>0</v>
      </c>
      <c r="SO126" s="39">
        <f t="shared" si="184"/>
        <v>11075305</v>
      </c>
      <c r="SP126" s="50">
        <f t="shared" si="250"/>
        <v>1</v>
      </c>
      <c r="ST126" s="124">
        <f>IFERROR(VLOOKUP(A126,'Grade Enroll 15-16'!B:AC,27,FALSE),"")</f>
        <v>2169</v>
      </c>
      <c r="SU126" s="124">
        <f t="shared" si="185"/>
        <v>1163.6491058482359</v>
      </c>
      <c r="SV126" s="131">
        <f>IFERROR(VLOOKUP($A126, 'Title I Enroll 16-17'!S:V, 4, FALSE), 0)</f>
        <v>0.53649105848235867</v>
      </c>
      <c r="SW126" s="729">
        <f>IFERROR(VLOOKUP(A126, 'ELL Enroll 15-16'!$N:$S, 6, FALSE), 0)</f>
        <v>5</v>
      </c>
      <c r="SX126" s="131">
        <f t="shared" si="251"/>
        <v>2.3052097740894422E-3</v>
      </c>
      <c r="SY126" s="124">
        <f>IFERROR(VLOOKUP(A126, 'SPED enroll 2015-16'!$M:$O, 3, FALSE), 0)</f>
        <v>264</v>
      </c>
      <c r="SZ126" s="131">
        <f t="shared" si="252"/>
        <v>0.12171507607192254</v>
      </c>
      <c r="TA126" s="142">
        <f t="shared" si="253"/>
        <v>184.79999999999998</v>
      </c>
      <c r="TB126" s="142">
        <f t="shared" si="253"/>
        <v>52.800000000000004</v>
      </c>
      <c r="TC126" s="142">
        <f t="shared" si="253"/>
        <v>18.48</v>
      </c>
      <c r="TD126" s="142">
        <f t="shared" si="253"/>
        <v>7.92</v>
      </c>
      <c r="TE126" s="124">
        <f>VLOOKUP($A126, 'Grade Enroll 15-16'!$B:$AB, 20, FALSE)</f>
        <v>0</v>
      </c>
      <c r="TF126" s="124">
        <f>VLOOKUP($A126, 'Grade Enroll 15-16'!$B:$AB, 21, FALSE)</f>
        <v>116</v>
      </c>
      <c r="TG126" s="124">
        <f>VLOOKUP($A126, 'Grade Enroll 15-16'!$B:$AB, 22, FALSE)</f>
        <v>349</v>
      </c>
      <c r="TH126" s="124">
        <f>VLOOKUP($A126, 'Grade Enroll 15-16'!$B:$AB, 23, FALSE)</f>
        <v>425</v>
      </c>
      <c r="TI126" s="124">
        <f>VLOOKUP($A126, 'Grade Enroll 15-16'!$B:$AB, 24, FALSE)</f>
        <v>433</v>
      </c>
      <c r="TJ126" s="124">
        <f>VLOOKUP($A126, 'Grade Enroll 15-16'!$B:$AB, 25, FALSE)</f>
        <v>962</v>
      </c>
      <c r="TK126" s="124">
        <f>VLOOKUP($A126, 'Grade Enroll 15-16'!$B:$AB, 26, FALSE)</f>
        <v>1461</v>
      </c>
      <c r="TL126" s="131">
        <f>SUMIFS('Student Achievement 15-16'!N:N, 'Student Achievement 15-16'!B:B, 'Idaho Data'!A126, 'Student Achievement 15-16'!D:D, "math")/100</f>
        <v>0.40299999999999997</v>
      </c>
      <c r="TM126" s="134">
        <f t="shared" si="186"/>
        <v>874.10699999999997</v>
      </c>
      <c r="TN126" s="131">
        <f>SUMIFS('Student Achievement 15-16'!N:N, 'Student Achievement 15-16'!B:B, 'Idaho Data'!A126, 'Student Achievement 15-16'!D:D, "ela")/100</f>
        <v>0.27200000000000002</v>
      </c>
      <c r="TO126" s="134">
        <f t="shared" si="254"/>
        <v>589.96800000000007</v>
      </c>
      <c r="TP126" s="688">
        <f>IFERROR(VLOOKUP(A126, 'G&amp;T 15-16'!B:G, 6, FALSE), 0)*1</f>
        <v>249</v>
      </c>
      <c r="TQ126" s="168">
        <f t="shared" si="255"/>
        <v>130.13999999999999</v>
      </c>
      <c r="TU126" s="168">
        <f t="shared" si="256"/>
        <v>589.96800000000007</v>
      </c>
      <c r="TV126" s="168">
        <f t="shared" si="257"/>
        <v>874.10699999999997</v>
      </c>
      <c r="TW126" s="205">
        <f t="shared" si="258"/>
        <v>874.10699999999997</v>
      </c>
      <c r="TX126" s="144"/>
      <c r="TY126" s="129"/>
      <c r="TZ126" s="127">
        <f t="shared" si="259"/>
        <v>130.13999999999999</v>
      </c>
      <c r="UA126" s="127">
        <f t="shared" si="260"/>
        <v>249</v>
      </c>
      <c r="UB126" s="205">
        <f t="shared" si="261"/>
        <v>249</v>
      </c>
      <c r="UE126" s="853" t="str">
        <f>IF(ST126&lt;='1. Simulator Input'!$E$104, "yes", "")</f>
        <v/>
      </c>
      <c r="UI126" s="199">
        <f t="shared" si="187"/>
        <v>0</v>
      </c>
      <c r="UJ126" s="200">
        <f>IF('Idaho Data'!SI126&gt;=0, ((1-'1. Simulator Input'!$E$39)*'Idaho Data'!SI126), 0)</f>
        <v>0</v>
      </c>
      <c r="UK126" s="200">
        <f t="shared" si="262"/>
        <v>11075305</v>
      </c>
      <c r="UL126" s="39"/>
      <c r="UM126" s="182"/>
      <c r="UN126" s="39"/>
      <c r="UO126" s="39" t="str">
        <f>IF(AND('1. Simulator Input'!$E$96="yes", '1. Simulator Input'!$E$98="yes", '1. Simulator Input'!$E$100="hold harmless"), 'Idaho Data'!WN126, IF(AND('1. Simulator Input'!$E$96="yes", '1. Simulator Input'!$E$98="no", '1. Simulator Input'!$E$100="hold harmless"), 'Idaho Data'!WM126, IF(AND('1. Simulator Input'!$E$96="yes", '1. Simulator Input'!$E$98="yes", '1. Simulator Input'!$E$100="small district grant"), WL126,IF(AND('1. Simulator Input'!$E$96="yes", '1. Simulator Input'!$E$98="no", '1. Simulator Input'!$E$100="small district grant"), WK126, ""))))</f>
        <v/>
      </c>
      <c r="UP126" s="200">
        <f>'1. Simulator Input'!$D$56*('Idaho Data'!ST126)</f>
        <v>11985894</v>
      </c>
      <c r="UQ126" s="204">
        <f>'1. Simulator Input'!$D$65*'1. Simulator Input'!$D$56*'Idaho Data'!SU126</f>
        <v>0</v>
      </c>
      <c r="UR126" s="204">
        <f>'1. Simulator Input'!$D$66*'1. Simulator Input'!$D$56*'Idaho Data'!SW126</f>
        <v>0</v>
      </c>
      <c r="US126" s="200">
        <f>'1. Simulator Input'!$D$67*'1. Simulator Input'!$D$56*'Idaho Data'!TA126</f>
        <v>0</v>
      </c>
      <c r="UT126" s="200">
        <f>'1. Simulator Input'!$D$68*'1. Simulator Input'!$D$56*'Idaho Data'!TB126</f>
        <v>0</v>
      </c>
      <c r="UU126" s="200">
        <f>'1. Simulator Input'!$D$69*'1. Simulator Input'!$D$56*'Idaho Data'!TC126</f>
        <v>0</v>
      </c>
      <c r="UV126" s="200">
        <f>'1. Simulator Input'!$D$70*'1. Simulator Input'!$D$56*TD126</f>
        <v>0</v>
      </c>
      <c r="UW126" s="200">
        <f>'1. Simulator Input'!$D$80*'1. Simulator Input'!$D$56*TW126</f>
        <v>0</v>
      </c>
      <c r="UX126" s="200">
        <f>'1. Simulator Input'!$D$79*'1. Simulator Input'!$D$56*UB126</f>
        <v>0</v>
      </c>
      <c r="UY126" s="200">
        <f>'1. Simulator Input'!$D$87*'1. Simulator Input'!$D$56*TF126</f>
        <v>320508</v>
      </c>
      <c r="UZ126" s="200">
        <f>'1. Simulator Input'!$D$73*'1. Simulator Input'!$D$56*'Idaho Data'!TG126</f>
        <v>0</v>
      </c>
      <c r="VA126" s="200">
        <f>'1. Simulator Input'!$D$56*'1. Simulator Input'!$D$74*'Idaho Data'!TH126</f>
        <v>0</v>
      </c>
      <c r="VB126" s="200">
        <f>'1. Simulator Input'!$D$56*'1. Simulator Input'!$D$75*'Idaho Data'!TI121</f>
        <v>0</v>
      </c>
      <c r="VC126" s="200">
        <f>'1. Simulator Input'!$D$76*'1. Simulator Input'!$D$56*'Idaho Data'!TJ126</f>
        <v>0</v>
      </c>
      <c r="VD126" s="200">
        <f t="shared" si="188"/>
        <v>12306402</v>
      </c>
      <c r="VE126" s="200"/>
      <c r="VF126" s="182"/>
      <c r="VG126" s="200"/>
      <c r="VH126" s="200">
        <f t="shared" si="189"/>
        <v>0</v>
      </c>
      <c r="VI126" s="200">
        <f t="shared" si="190"/>
        <v>0</v>
      </c>
      <c r="VJ126" s="200">
        <f t="shared" si="214"/>
        <v>12306402</v>
      </c>
      <c r="VK126" s="200">
        <f t="shared" si="215"/>
        <v>12306402</v>
      </c>
      <c r="VL126" s="200"/>
      <c r="VM126" s="182"/>
      <c r="VN126" s="200"/>
      <c r="VO126" s="200">
        <f t="shared" si="191"/>
        <v>1295324</v>
      </c>
      <c r="VP126" s="200">
        <f t="shared" si="192"/>
        <v>11075305</v>
      </c>
      <c r="VQ126" s="200">
        <f t="shared" si="193"/>
        <v>750082</v>
      </c>
      <c r="VR126" s="200">
        <f t="shared" si="194"/>
        <v>1295324</v>
      </c>
      <c r="VS126" s="200">
        <f t="shared" si="216"/>
        <v>12306402</v>
      </c>
      <c r="VT126" s="200">
        <f t="shared" si="217"/>
        <v>750082</v>
      </c>
      <c r="VU126" s="200">
        <f t="shared" si="218"/>
        <v>0</v>
      </c>
      <c r="VV126" s="200"/>
      <c r="VW126" s="182"/>
      <c r="VX126" s="200"/>
      <c r="VZ126" s="199">
        <f t="shared" si="195"/>
        <v>1231097</v>
      </c>
      <c r="WA126" s="199">
        <f t="shared" si="196"/>
        <v>567.58736745043802</v>
      </c>
      <c r="WB126" s="131">
        <f t="shared" si="197"/>
        <v>0.11115693879310773</v>
      </c>
      <c r="WC126" s="131"/>
      <c r="WD126" s="461"/>
      <c r="WE126" s="893"/>
      <c r="WF126" s="893">
        <f t="shared" si="198"/>
        <v>6049.1982480405713</v>
      </c>
      <c r="WG126" s="893">
        <f t="shared" si="199"/>
        <v>6616.7856154910096</v>
      </c>
      <c r="WH126" s="893"/>
      <c r="WI126" s="893">
        <f t="shared" si="200"/>
        <v>11075305</v>
      </c>
      <c r="WJ126" s="893">
        <f t="shared" si="219"/>
        <v>12306402</v>
      </c>
      <c r="WK126" s="39" t="str">
        <f t="shared" si="220"/>
        <v/>
      </c>
      <c r="WL126" s="39" t="str">
        <f t="shared" si="221"/>
        <v/>
      </c>
      <c r="WM126" s="200" t="str">
        <f t="shared" si="222"/>
        <v/>
      </c>
      <c r="WN126" s="39" t="str">
        <f t="shared" si="223"/>
        <v/>
      </c>
      <c r="WO126" s="39"/>
      <c r="WP126" s="182"/>
      <c r="WQ126" s="39"/>
      <c r="WR126" s="305"/>
      <c r="WT126" s="200">
        <f t="shared" si="225"/>
        <v>5106.1802674043338</v>
      </c>
      <c r="WU126" s="131">
        <f t="shared" si="201"/>
        <v>0.02</v>
      </c>
      <c r="WW126" s="199">
        <f t="shared" si="226"/>
        <v>1295324</v>
      </c>
      <c r="WX126" s="199">
        <f t="shared" si="227"/>
        <v>12306402</v>
      </c>
      <c r="WY126" s="199">
        <f t="shared" si="228"/>
        <v>0</v>
      </c>
      <c r="WZ126" s="199">
        <f t="shared" si="202"/>
        <v>12306402</v>
      </c>
      <c r="XA126" s="199">
        <f t="shared" si="229"/>
        <v>0</v>
      </c>
      <c r="XB126" s="199">
        <f t="shared" si="230"/>
        <v>750082</v>
      </c>
      <c r="XC126" s="199">
        <f t="shared" si="231"/>
        <v>750082</v>
      </c>
      <c r="XD126" s="199" t="str">
        <f t="shared" si="232"/>
        <v/>
      </c>
      <c r="XE126" s="199"/>
      <c r="XF126" s="199"/>
      <c r="XG126" s="199"/>
      <c r="XH126" s="199"/>
      <c r="XI126" s="199"/>
      <c r="XJ126" s="199">
        <f t="shared" si="203"/>
        <v>12306402</v>
      </c>
      <c r="XP126" s="199">
        <f t="shared" si="233"/>
        <v>12306402</v>
      </c>
      <c r="XQ126" s="199">
        <f t="shared" si="234"/>
        <v>5673.767634854772</v>
      </c>
      <c r="XR126" s="199">
        <f t="shared" si="235"/>
        <v>12306402</v>
      </c>
      <c r="XS126" s="199">
        <f t="shared" si="236"/>
        <v>12306402</v>
      </c>
      <c r="XT126" s="199">
        <f t="shared" si="237"/>
        <v>5673.767634854772</v>
      </c>
      <c r="XU126" s="199">
        <f t="shared" si="238"/>
        <v>11075305</v>
      </c>
      <c r="XV126" s="199">
        <f t="shared" si="239"/>
        <v>5106.1802674043338</v>
      </c>
      <c r="XW126" s="199">
        <f t="shared" si="240"/>
        <v>11075305</v>
      </c>
      <c r="XX126" s="199">
        <f t="shared" si="241"/>
        <v>5106.1802674043338</v>
      </c>
      <c r="XY126" s="199">
        <f t="shared" si="204"/>
        <v>1231097</v>
      </c>
      <c r="XZ126" s="199">
        <f t="shared" si="205"/>
        <v>567.58736745043825</v>
      </c>
      <c r="YA126" s="131">
        <f t="shared" si="263"/>
        <v>0.11115693879310778</v>
      </c>
      <c r="YB126" s="199"/>
      <c r="YC126" s="221"/>
      <c r="YD126" s="199"/>
      <c r="YE126" s="199">
        <f t="shared" si="242"/>
        <v>1295324</v>
      </c>
      <c r="YF126" s="200">
        <f t="shared" si="243"/>
        <v>0</v>
      </c>
      <c r="YG126" s="199">
        <f t="shared" si="244"/>
        <v>750082</v>
      </c>
      <c r="YH126" s="199">
        <f t="shared" si="245"/>
        <v>374890</v>
      </c>
    </row>
    <row r="127" spans="1:658">
      <c r="A127" s="3">
        <v>453</v>
      </c>
      <c r="B127" s="2" t="s">
        <v>1482</v>
      </c>
      <c r="C127" s="24">
        <v>0</v>
      </c>
      <c r="D127" s="24">
        <v>0</v>
      </c>
      <c r="E127" s="24">
        <v>0</v>
      </c>
      <c r="F127" s="24">
        <v>0</v>
      </c>
      <c r="G127" s="24">
        <v>0</v>
      </c>
      <c r="H127" s="24">
        <v>0</v>
      </c>
      <c r="I127" s="24">
        <v>0</v>
      </c>
      <c r="J127" s="24">
        <v>0</v>
      </c>
      <c r="K127" s="24">
        <v>0</v>
      </c>
      <c r="L127" s="24">
        <v>0</v>
      </c>
      <c r="M127" s="24">
        <v>0</v>
      </c>
      <c r="N127" s="24">
        <v>0</v>
      </c>
      <c r="O127" s="24">
        <v>0</v>
      </c>
      <c r="P127" s="24">
        <v>0</v>
      </c>
      <c r="Q127" s="24">
        <v>0</v>
      </c>
      <c r="R127" s="24">
        <v>0</v>
      </c>
      <c r="S127" s="24">
        <v>0</v>
      </c>
      <c r="T127" s="24">
        <v>0</v>
      </c>
      <c r="U127" s="24">
        <v>0</v>
      </c>
      <c r="V127" s="24">
        <v>0</v>
      </c>
      <c r="W127" s="24">
        <v>0</v>
      </c>
      <c r="X127" s="24">
        <v>0</v>
      </c>
      <c r="Y127" s="24">
        <v>0</v>
      </c>
      <c r="Z127" s="24">
        <v>0</v>
      </c>
      <c r="AA127" s="24">
        <v>0</v>
      </c>
      <c r="AB127" s="24">
        <v>0</v>
      </c>
      <c r="AC127" s="24">
        <v>0</v>
      </c>
      <c r="AD127" s="24">
        <v>0</v>
      </c>
      <c r="AE127" s="24">
        <v>0</v>
      </c>
      <c r="AF127" s="24">
        <v>0</v>
      </c>
      <c r="AG127" s="24">
        <v>0</v>
      </c>
      <c r="AH127" s="24">
        <v>0</v>
      </c>
      <c r="AI127" s="24">
        <v>0</v>
      </c>
      <c r="AJ127" s="24">
        <v>0</v>
      </c>
      <c r="AK127" s="24">
        <v>0</v>
      </c>
      <c r="AL127" s="24">
        <v>4804</v>
      </c>
      <c r="AM127" s="24">
        <v>0</v>
      </c>
      <c r="AN127" s="24">
        <v>0</v>
      </c>
      <c r="AO127" s="24">
        <v>0</v>
      </c>
      <c r="AP127" s="24">
        <v>0</v>
      </c>
      <c r="AQ127" s="24">
        <v>0</v>
      </c>
      <c r="AR127" s="24">
        <v>0</v>
      </c>
      <c r="AS127" s="24">
        <v>0</v>
      </c>
      <c r="AT127" s="24">
        <v>0</v>
      </c>
      <c r="AU127" s="24">
        <v>0</v>
      </c>
      <c r="AV127" s="24">
        <v>0</v>
      </c>
      <c r="AW127" s="24">
        <v>0</v>
      </c>
      <c r="AX127" s="24">
        <v>0</v>
      </c>
      <c r="AY127" s="24">
        <v>0</v>
      </c>
      <c r="AZ127" s="24">
        <v>0</v>
      </c>
      <c r="BA127" s="24">
        <v>0</v>
      </c>
      <c r="BB127" s="24">
        <v>0</v>
      </c>
      <c r="BC127" s="24">
        <v>0</v>
      </c>
      <c r="BD127" s="24">
        <v>0</v>
      </c>
      <c r="BE127" s="24">
        <v>0</v>
      </c>
      <c r="BF127" s="24">
        <v>0</v>
      </c>
      <c r="BG127" s="24">
        <v>0</v>
      </c>
      <c r="BH127" s="24">
        <v>0</v>
      </c>
      <c r="BI127" s="24">
        <v>0</v>
      </c>
      <c r="BJ127" s="24">
        <v>0</v>
      </c>
      <c r="BK127" s="24">
        <v>0</v>
      </c>
      <c r="BL127" s="24">
        <v>0</v>
      </c>
      <c r="BM127" s="24">
        <v>0</v>
      </c>
      <c r="BN127" s="24">
        <v>0</v>
      </c>
      <c r="BO127" s="24">
        <v>0</v>
      </c>
      <c r="BP127" s="24">
        <v>0</v>
      </c>
      <c r="BQ127" s="24">
        <v>0</v>
      </c>
      <c r="BR127" s="24">
        <v>0</v>
      </c>
      <c r="BS127" s="24">
        <v>0</v>
      </c>
      <c r="BT127" s="24">
        <v>0</v>
      </c>
      <c r="BU127" s="24">
        <v>0</v>
      </c>
      <c r="BV127" s="24">
        <v>0</v>
      </c>
      <c r="BW127" s="24">
        <v>0</v>
      </c>
      <c r="BX127" s="24">
        <v>0</v>
      </c>
      <c r="BY127" s="24">
        <v>0</v>
      </c>
      <c r="BZ127" s="24">
        <v>0</v>
      </c>
      <c r="CA127" s="24">
        <v>0</v>
      </c>
      <c r="CB127" s="24">
        <v>0</v>
      </c>
      <c r="CC127" s="24">
        <v>0</v>
      </c>
      <c r="CD127" s="24">
        <v>0</v>
      </c>
      <c r="CE127" s="24">
        <v>0</v>
      </c>
      <c r="CF127" s="24">
        <v>0</v>
      </c>
      <c r="CG127" s="24">
        <v>0</v>
      </c>
      <c r="CH127" s="24">
        <v>0</v>
      </c>
      <c r="CI127" s="24">
        <v>0</v>
      </c>
      <c r="CJ127" s="24">
        <v>0</v>
      </c>
      <c r="CK127" s="24">
        <v>0</v>
      </c>
      <c r="CL127" s="24">
        <v>0</v>
      </c>
      <c r="CM127" s="24">
        <v>0</v>
      </c>
      <c r="CN127" s="24">
        <v>0</v>
      </c>
      <c r="CO127" s="24">
        <v>0</v>
      </c>
      <c r="CP127" s="24">
        <v>0</v>
      </c>
      <c r="CQ127" s="24">
        <v>0</v>
      </c>
      <c r="CR127" s="24">
        <v>0</v>
      </c>
      <c r="CS127" s="24">
        <v>12037</v>
      </c>
      <c r="CT127" s="24">
        <v>0</v>
      </c>
      <c r="CU127" s="24">
        <v>0</v>
      </c>
      <c r="CV127" s="24">
        <v>0</v>
      </c>
      <c r="CW127" s="24">
        <v>0</v>
      </c>
      <c r="CX127" s="24">
        <v>0</v>
      </c>
      <c r="CY127" s="24">
        <v>0</v>
      </c>
      <c r="CZ127" s="24">
        <v>0</v>
      </c>
      <c r="DA127" s="24">
        <v>0</v>
      </c>
      <c r="DB127" s="24">
        <v>0</v>
      </c>
      <c r="DC127" s="24">
        <v>0</v>
      </c>
      <c r="DD127" s="24">
        <v>0</v>
      </c>
      <c r="DE127" s="24">
        <v>0</v>
      </c>
      <c r="DF127" s="24">
        <v>0</v>
      </c>
      <c r="DG127" s="24">
        <v>0</v>
      </c>
      <c r="DH127" s="24">
        <v>0</v>
      </c>
      <c r="DI127" s="24">
        <v>0</v>
      </c>
      <c r="DJ127" s="24">
        <v>0</v>
      </c>
      <c r="DK127" s="24">
        <v>0</v>
      </c>
      <c r="DL127" s="24">
        <v>0</v>
      </c>
      <c r="DM127" s="24">
        <v>0</v>
      </c>
      <c r="DN127" s="24">
        <v>0</v>
      </c>
      <c r="DO127" s="24">
        <v>0</v>
      </c>
      <c r="DP127" s="24">
        <v>0</v>
      </c>
      <c r="DQ127" s="24">
        <v>0</v>
      </c>
      <c r="DR127" s="24">
        <v>0</v>
      </c>
      <c r="DS127" s="24">
        <v>0</v>
      </c>
      <c r="DT127" s="24">
        <v>0</v>
      </c>
      <c r="DU127" s="24">
        <v>0</v>
      </c>
      <c r="DV127" s="24">
        <v>0</v>
      </c>
      <c r="DW127" s="24">
        <v>0</v>
      </c>
      <c r="DX127" s="24">
        <v>0</v>
      </c>
      <c r="DY127" s="24">
        <v>0</v>
      </c>
      <c r="DZ127" s="24">
        <v>0</v>
      </c>
      <c r="EA127" s="24">
        <v>0</v>
      </c>
      <c r="EB127" s="24">
        <v>0</v>
      </c>
      <c r="EC127" s="24">
        <v>0</v>
      </c>
      <c r="ED127" s="24">
        <v>0</v>
      </c>
      <c r="EE127" s="24">
        <v>0</v>
      </c>
      <c r="EF127" s="24">
        <v>0</v>
      </c>
      <c r="EG127" s="24">
        <v>0</v>
      </c>
      <c r="EH127" s="24">
        <v>0</v>
      </c>
      <c r="EI127" s="24">
        <v>0</v>
      </c>
      <c r="EJ127" s="24">
        <v>0</v>
      </c>
      <c r="EK127" s="24">
        <v>0</v>
      </c>
      <c r="EL127" s="24">
        <v>0</v>
      </c>
      <c r="EM127" s="24">
        <v>0</v>
      </c>
      <c r="EN127" s="24">
        <v>0</v>
      </c>
      <c r="EO127" s="24">
        <v>0</v>
      </c>
      <c r="EP127" s="24">
        <v>0</v>
      </c>
      <c r="EQ127" s="24">
        <v>0</v>
      </c>
      <c r="ER127" s="24">
        <v>0</v>
      </c>
      <c r="ES127" s="24">
        <v>0</v>
      </c>
      <c r="ET127" s="24">
        <v>0</v>
      </c>
      <c r="EU127" s="24">
        <v>0</v>
      </c>
      <c r="EV127" s="24">
        <v>0</v>
      </c>
      <c r="EW127" s="24">
        <v>0</v>
      </c>
      <c r="EX127" s="24">
        <v>0</v>
      </c>
      <c r="EY127" s="24">
        <v>0</v>
      </c>
      <c r="EZ127" s="24">
        <v>0</v>
      </c>
      <c r="FA127" s="24">
        <v>0</v>
      </c>
      <c r="FB127" s="24">
        <v>0</v>
      </c>
      <c r="FC127" s="24">
        <v>0</v>
      </c>
      <c r="FD127" s="24">
        <v>0</v>
      </c>
      <c r="FE127" s="24">
        <v>0</v>
      </c>
      <c r="FF127" s="24">
        <v>0</v>
      </c>
      <c r="FG127" s="24">
        <v>0</v>
      </c>
      <c r="FH127" s="24">
        <v>0</v>
      </c>
      <c r="FI127" s="24">
        <v>0</v>
      </c>
      <c r="FJ127" s="24">
        <v>0</v>
      </c>
      <c r="FK127" s="24">
        <v>0</v>
      </c>
      <c r="FL127" s="24">
        <v>0</v>
      </c>
      <c r="FM127" s="24">
        <v>0</v>
      </c>
      <c r="FN127" s="24">
        <v>0</v>
      </c>
      <c r="FO127" s="24">
        <v>0</v>
      </c>
      <c r="FP127" s="24">
        <v>0</v>
      </c>
      <c r="FQ127" s="24">
        <v>0</v>
      </c>
      <c r="FR127" s="24">
        <v>0</v>
      </c>
      <c r="FS127" s="24">
        <v>0</v>
      </c>
      <c r="FT127" s="24">
        <v>0</v>
      </c>
      <c r="FU127" s="24">
        <v>0</v>
      </c>
      <c r="FV127" s="24">
        <v>0</v>
      </c>
      <c r="FW127" s="24">
        <v>0</v>
      </c>
      <c r="FX127" s="24">
        <v>0</v>
      </c>
      <c r="FY127" s="24">
        <v>0</v>
      </c>
      <c r="FZ127" s="24">
        <v>0</v>
      </c>
      <c r="GA127" s="24">
        <v>0</v>
      </c>
      <c r="GB127" s="24">
        <v>0</v>
      </c>
      <c r="GC127" s="24">
        <v>0</v>
      </c>
      <c r="GD127" s="24">
        <v>0</v>
      </c>
      <c r="GE127" s="24">
        <v>0</v>
      </c>
      <c r="GF127" s="24">
        <v>0</v>
      </c>
      <c r="GG127" s="24">
        <v>0</v>
      </c>
      <c r="GH127" s="24">
        <v>0</v>
      </c>
      <c r="GI127" s="24">
        <v>0</v>
      </c>
      <c r="GJ127" s="24">
        <v>0</v>
      </c>
      <c r="GK127" s="24">
        <v>0</v>
      </c>
      <c r="GL127" s="24">
        <v>0</v>
      </c>
      <c r="GM127" s="24">
        <v>0</v>
      </c>
      <c r="GN127" s="24">
        <v>0</v>
      </c>
      <c r="GO127" s="24">
        <v>0</v>
      </c>
      <c r="GP127" s="24">
        <v>0</v>
      </c>
      <c r="GQ127" s="24">
        <v>0</v>
      </c>
      <c r="GR127" s="24">
        <v>0</v>
      </c>
      <c r="GS127" s="24">
        <v>0</v>
      </c>
      <c r="GT127" s="24">
        <v>0</v>
      </c>
      <c r="GU127" s="24">
        <v>0</v>
      </c>
      <c r="GV127" s="24">
        <v>0</v>
      </c>
      <c r="GW127" s="24">
        <v>0</v>
      </c>
      <c r="GX127" s="24">
        <v>0</v>
      </c>
      <c r="GY127" s="24">
        <v>0</v>
      </c>
      <c r="GZ127" s="24">
        <v>0</v>
      </c>
      <c r="HA127" s="24">
        <v>0</v>
      </c>
      <c r="HB127" s="24">
        <v>0</v>
      </c>
      <c r="HC127" s="24">
        <v>0</v>
      </c>
      <c r="HD127" s="24">
        <v>2019237</v>
      </c>
      <c r="HE127" s="24">
        <v>0</v>
      </c>
      <c r="HF127" s="24">
        <v>0</v>
      </c>
      <c r="HG127" s="24">
        <v>0</v>
      </c>
      <c r="HH127" s="24">
        <v>0</v>
      </c>
      <c r="HI127" s="24">
        <v>0</v>
      </c>
      <c r="HJ127" s="24">
        <v>0</v>
      </c>
      <c r="HK127" s="24">
        <v>0</v>
      </c>
      <c r="HL127" s="24">
        <v>0</v>
      </c>
      <c r="HM127" s="24">
        <v>0</v>
      </c>
      <c r="HN127" s="24">
        <v>0</v>
      </c>
      <c r="HO127" s="24">
        <v>252786</v>
      </c>
      <c r="HP127" s="24">
        <v>116156</v>
      </c>
      <c r="HQ127" s="24">
        <v>0</v>
      </c>
      <c r="HR127" s="24">
        <v>0</v>
      </c>
      <c r="HS127" s="24">
        <v>0</v>
      </c>
      <c r="HT127" s="24">
        <v>0</v>
      </c>
      <c r="HU127" s="24">
        <v>0</v>
      </c>
      <c r="HV127" s="24">
        <v>0</v>
      </c>
      <c r="HW127" s="24">
        <v>0</v>
      </c>
      <c r="HX127" s="24">
        <v>0</v>
      </c>
      <c r="HY127" s="24">
        <v>0</v>
      </c>
      <c r="HZ127" s="24">
        <v>0</v>
      </c>
      <c r="IA127" s="24">
        <v>0</v>
      </c>
      <c r="IB127" s="24">
        <v>0</v>
      </c>
      <c r="IC127" s="24">
        <v>0</v>
      </c>
      <c r="ID127" s="24">
        <v>0</v>
      </c>
      <c r="IE127" s="24">
        <v>0</v>
      </c>
      <c r="IF127" s="24">
        <v>0</v>
      </c>
      <c r="IG127" s="24">
        <v>0</v>
      </c>
      <c r="IH127" s="24">
        <v>0</v>
      </c>
      <c r="II127" s="24">
        <v>0</v>
      </c>
      <c r="IJ127" s="24">
        <v>0</v>
      </c>
      <c r="IK127" s="24">
        <v>0</v>
      </c>
      <c r="IL127" s="24">
        <v>0</v>
      </c>
      <c r="IM127" s="24">
        <v>0</v>
      </c>
      <c r="IN127" s="24">
        <v>0</v>
      </c>
      <c r="IO127" s="24">
        <v>0</v>
      </c>
      <c r="IP127" s="24">
        <v>0</v>
      </c>
      <c r="IQ127" s="24">
        <v>0</v>
      </c>
      <c r="IR127" s="24">
        <v>0</v>
      </c>
      <c r="IS127" s="24">
        <v>0</v>
      </c>
      <c r="IT127" s="24">
        <v>0</v>
      </c>
      <c r="IU127" s="24">
        <v>0</v>
      </c>
      <c r="IV127" s="24">
        <v>0</v>
      </c>
      <c r="IW127" s="24">
        <v>0</v>
      </c>
      <c r="IX127" s="24">
        <v>0</v>
      </c>
      <c r="IY127" s="24">
        <v>0</v>
      </c>
      <c r="IZ127" s="24">
        <v>0</v>
      </c>
      <c r="JA127" s="24">
        <v>0</v>
      </c>
      <c r="JB127" s="24">
        <v>0</v>
      </c>
      <c r="JC127" s="24">
        <v>0</v>
      </c>
      <c r="JD127" s="24">
        <v>0</v>
      </c>
      <c r="JE127" s="24">
        <v>4800</v>
      </c>
      <c r="JF127" s="24">
        <v>0</v>
      </c>
      <c r="JG127" s="24">
        <v>0</v>
      </c>
      <c r="JH127" s="24">
        <v>0</v>
      </c>
      <c r="JI127" s="24">
        <v>0</v>
      </c>
      <c r="JJ127" s="24">
        <v>0</v>
      </c>
      <c r="JK127" s="24">
        <v>0</v>
      </c>
      <c r="JL127" s="24">
        <v>0</v>
      </c>
      <c r="JM127" s="24">
        <v>0</v>
      </c>
      <c r="JN127" s="24">
        <v>0</v>
      </c>
      <c r="JO127" s="24">
        <v>0</v>
      </c>
      <c r="JP127" s="24">
        <v>0</v>
      </c>
      <c r="JQ127" s="24">
        <v>0</v>
      </c>
      <c r="JR127" s="24">
        <v>0</v>
      </c>
      <c r="JS127" s="24">
        <v>0</v>
      </c>
      <c r="JT127" s="24">
        <v>0</v>
      </c>
      <c r="JU127" s="24">
        <v>0</v>
      </c>
      <c r="JV127" s="24">
        <v>0</v>
      </c>
      <c r="JW127" s="24">
        <v>0</v>
      </c>
      <c r="JX127" s="24">
        <v>0</v>
      </c>
      <c r="JY127" s="24">
        <v>0</v>
      </c>
      <c r="JZ127" s="24">
        <v>0</v>
      </c>
      <c r="KA127" s="24">
        <v>0</v>
      </c>
      <c r="KB127" s="24">
        <v>0</v>
      </c>
      <c r="KC127" s="24">
        <v>0</v>
      </c>
      <c r="KD127" s="24">
        <v>0</v>
      </c>
      <c r="KE127" s="24">
        <v>0</v>
      </c>
      <c r="KF127" s="24">
        <v>0</v>
      </c>
      <c r="KG127" s="24">
        <v>0</v>
      </c>
      <c r="KH127" s="24">
        <v>0</v>
      </c>
      <c r="KI127" s="24">
        <v>0</v>
      </c>
      <c r="KJ127" s="24">
        <v>0</v>
      </c>
      <c r="KK127" s="24">
        <v>0</v>
      </c>
      <c r="KL127" s="24">
        <v>0</v>
      </c>
      <c r="KM127" s="24">
        <v>0</v>
      </c>
      <c r="KN127" s="24">
        <v>0</v>
      </c>
      <c r="KO127" s="24">
        <v>0</v>
      </c>
      <c r="KP127" s="24">
        <v>0</v>
      </c>
      <c r="KQ127" s="24">
        <v>0</v>
      </c>
      <c r="KR127" s="24">
        <v>0</v>
      </c>
      <c r="KS127" s="24">
        <v>0</v>
      </c>
      <c r="KT127" s="24">
        <v>0</v>
      </c>
      <c r="KU127" s="24">
        <v>0</v>
      </c>
      <c r="KV127" s="24">
        <v>0</v>
      </c>
      <c r="KW127" s="24">
        <v>0</v>
      </c>
      <c r="KX127" s="24">
        <v>0</v>
      </c>
      <c r="KY127" s="24">
        <v>0</v>
      </c>
      <c r="KZ127" s="24">
        <v>0</v>
      </c>
      <c r="LA127" s="24">
        <v>0</v>
      </c>
      <c r="LB127" s="24">
        <v>0</v>
      </c>
      <c r="LC127" s="24">
        <v>0</v>
      </c>
      <c r="LD127" s="24">
        <v>0</v>
      </c>
      <c r="LE127" s="24">
        <v>0</v>
      </c>
      <c r="LF127" s="24">
        <v>0</v>
      </c>
      <c r="LG127" s="24">
        <v>0</v>
      </c>
      <c r="LH127" s="24">
        <v>0</v>
      </c>
      <c r="LI127" s="24">
        <v>0</v>
      </c>
      <c r="LJ127" s="24">
        <v>0</v>
      </c>
      <c r="LK127" s="24">
        <v>0</v>
      </c>
      <c r="LL127" s="24">
        <v>0</v>
      </c>
      <c r="LM127" s="24">
        <v>0</v>
      </c>
      <c r="LN127" s="24">
        <v>0</v>
      </c>
      <c r="LO127" s="24">
        <v>0</v>
      </c>
      <c r="LP127" s="24">
        <v>0</v>
      </c>
      <c r="LQ127" s="24">
        <v>0</v>
      </c>
      <c r="LR127" s="24">
        <v>0</v>
      </c>
      <c r="LS127" s="24">
        <v>0</v>
      </c>
      <c r="LT127" s="24">
        <v>0</v>
      </c>
      <c r="LU127" s="24">
        <v>0</v>
      </c>
      <c r="LV127" s="24">
        <v>0</v>
      </c>
      <c r="LW127" s="24">
        <v>0</v>
      </c>
      <c r="LX127" s="24">
        <v>0</v>
      </c>
      <c r="LY127" s="24">
        <v>0</v>
      </c>
      <c r="LZ127" s="24">
        <v>0</v>
      </c>
      <c r="MA127" s="24">
        <v>0</v>
      </c>
      <c r="MB127" s="24">
        <v>0</v>
      </c>
      <c r="MC127" s="24">
        <v>0</v>
      </c>
      <c r="MD127" s="24">
        <v>0</v>
      </c>
      <c r="ME127" s="24">
        <v>0</v>
      </c>
      <c r="MF127" s="24">
        <v>0</v>
      </c>
      <c r="MG127" s="24">
        <v>0</v>
      </c>
      <c r="MH127" s="24">
        <v>0</v>
      </c>
      <c r="MI127" s="24">
        <v>0</v>
      </c>
      <c r="MJ127" s="24">
        <v>0</v>
      </c>
      <c r="MK127" s="24">
        <v>0</v>
      </c>
      <c r="ML127" s="24">
        <v>0</v>
      </c>
      <c r="MM127" s="24">
        <v>0</v>
      </c>
      <c r="MN127" s="24">
        <v>0</v>
      </c>
      <c r="MO127" s="24">
        <v>0</v>
      </c>
      <c r="MP127" s="24">
        <v>0</v>
      </c>
      <c r="MQ127" s="24">
        <v>0</v>
      </c>
      <c r="MR127" s="24">
        <v>0</v>
      </c>
      <c r="MS127" s="24">
        <v>0</v>
      </c>
      <c r="MT127" s="24">
        <v>0</v>
      </c>
      <c r="MU127" s="24">
        <v>0</v>
      </c>
      <c r="MV127" s="24">
        <v>0</v>
      </c>
      <c r="MW127" s="24">
        <v>0</v>
      </c>
      <c r="MX127" s="24">
        <v>0</v>
      </c>
      <c r="MY127" s="24">
        <v>0</v>
      </c>
      <c r="MZ127" s="24">
        <v>0</v>
      </c>
      <c r="NA127" s="24">
        <v>0</v>
      </c>
      <c r="NB127" s="24">
        <v>0</v>
      </c>
      <c r="NC127" s="24">
        <v>0</v>
      </c>
      <c r="ND127" s="24">
        <v>0</v>
      </c>
      <c r="NE127" s="24">
        <v>0</v>
      </c>
      <c r="NF127" s="24">
        <v>0</v>
      </c>
      <c r="NG127" s="24">
        <v>0</v>
      </c>
      <c r="NH127" s="24">
        <v>0</v>
      </c>
      <c r="NI127" s="24">
        <v>0</v>
      </c>
      <c r="NJ127" s="24">
        <v>0</v>
      </c>
      <c r="NK127" s="24">
        <v>0</v>
      </c>
      <c r="NL127" s="24">
        <v>0</v>
      </c>
      <c r="NM127" s="24">
        <v>0</v>
      </c>
      <c r="NN127" s="24">
        <v>0</v>
      </c>
      <c r="NO127" s="24">
        <v>0</v>
      </c>
      <c r="NP127" s="24">
        <v>0</v>
      </c>
      <c r="NQ127" s="24">
        <v>0</v>
      </c>
      <c r="NR127" s="24">
        <v>0</v>
      </c>
      <c r="NS127" s="24">
        <v>0</v>
      </c>
      <c r="NT127" s="24">
        <v>0</v>
      </c>
      <c r="NU127" s="24">
        <v>0</v>
      </c>
      <c r="NV127" s="24">
        <v>0</v>
      </c>
      <c r="NW127" s="24">
        <v>0</v>
      </c>
      <c r="NX127" s="24">
        <v>0</v>
      </c>
      <c r="NY127" s="24">
        <v>0</v>
      </c>
      <c r="NZ127" s="24">
        <v>0</v>
      </c>
      <c r="OA127" s="24">
        <v>0</v>
      </c>
      <c r="OB127" s="24">
        <v>0</v>
      </c>
      <c r="OC127" s="24">
        <v>0</v>
      </c>
      <c r="OD127" s="24">
        <v>0</v>
      </c>
      <c r="OE127" s="24">
        <v>0</v>
      </c>
      <c r="OF127" s="24">
        <v>0</v>
      </c>
      <c r="OG127" s="24">
        <v>0</v>
      </c>
      <c r="OH127" s="24">
        <v>0</v>
      </c>
      <c r="OI127" s="24">
        <v>0</v>
      </c>
      <c r="OJ127" s="24">
        <v>0</v>
      </c>
      <c r="OK127" s="24">
        <v>0</v>
      </c>
      <c r="OL127" s="24">
        <v>0</v>
      </c>
      <c r="OM127" s="24">
        <v>0</v>
      </c>
      <c r="ON127" s="24">
        <v>0</v>
      </c>
      <c r="OO127" s="24">
        <v>0</v>
      </c>
      <c r="OP127" s="24">
        <v>0</v>
      </c>
      <c r="OQ127" s="24">
        <v>0</v>
      </c>
      <c r="OR127" s="24">
        <v>600000</v>
      </c>
      <c r="OS127" s="24">
        <v>0</v>
      </c>
      <c r="OT127" s="24">
        <v>0</v>
      </c>
      <c r="OU127" s="24">
        <v>0</v>
      </c>
      <c r="OV127" s="24">
        <v>0</v>
      </c>
      <c r="OW127" s="24">
        <v>0</v>
      </c>
      <c r="OX127" s="24">
        <v>0</v>
      </c>
      <c r="OY127" s="24">
        <v>0</v>
      </c>
      <c r="OZ127" s="24">
        <v>0</v>
      </c>
      <c r="PA127" s="24">
        <v>0</v>
      </c>
      <c r="PB127" s="24">
        <v>0</v>
      </c>
      <c r="PC127" s="24">
        <v>0</v>
      </c>
      <c r="PD127" s="24">
        <v>0</v>
      </c>
      <c r="PE127" s="24">
        <v>0</v>
      </c>
      <c r="PF127" s="24">
        <v>0</v>
      </c>
      <c r="PG127" s="24">
        <v>0</v>
      </c>
      <c r="PH127" s="24">
        <v>0</v>
      </c>
      <c r="PI127" s="24">
        <v>0</v>
      </c>
      <c r="PJ127" s="24">
        <v>0</v>
      </c>
      <c r="PK127" s="24">
        <v>0</v>
      </c>
      <c r="PL127" s="24">
        <v>0</v>
      </c>
      <c r="PM127" s="24">
        <v>0</v>
      </c>
      <c r="PN127" s="24">
        <v>0</v>
      </c>
      <c r="PO127" s="24">
        <v>0</v>
      </c>
      <c r="PP127" s="24">
        <v>0</v>
      </c>
      <c r="PQ127" s="24">
        <v>0</v>
      </c>
      <c r="PR127" s="24">
        <v>0</v>
      </c>
      <c r="PS127" s="24">
        <v>0</v>
      </c>
      <c r="PT127" s="24">
        <v>0</v>
      </c>
      <c r="PU127" s="24">
        <v>0</v>
      </c>
      <c r="PV127" s="24">
        <v>0</v>
      </c>
      <c r="PW127" s="24">
        <v>0</v>
      </c>
      <c r="PX127" s="24">
        <v>0</v>
      </c>
      <c r="PY127" s="24">
        <v>0</v>
      </c>
      <c r="PZ127" s="24">
        <v>0</v>
      </c>
      <c r="QA127" s="24">
        <v>0</v>
      </c>
      <c r="QB127" s="24">
        <v>0</v>
      </c>
      <c r="QC127" s="24">
        <v>0</v>
      </c>
      <c r="QD127" s="24">
        <v>0</v>
      </c>
      <c r="QE127" s="24">
        <v>0</v>
      </c>
      <c r="QF127" s="24">
        <v>0</v>
      </c>
      <c r="QG127" s="24">
        <v>0</v>
      </c>
      <c r="QH127" s="24">
        <v>0</v>
      </c>
      <c r="QI127" s="24">
        <v>0</v>
      </c>
      <c r="QJ127" s="24">
        <v>0</v>
      </c>
      <c r="QK127" s="24">
        <v>0</v>
      </c>
      <c r="QL127" s="24">
        <v>0</v>
      </c>
      <c r="QM127" s="24">
        <v>0</v>
      </c>
      <c r="QN127" s="24">
        <v>0</v>
      </c>
      <c r="QO127" s="24">
        <v>0</v>
      </c>
      <c r="QP127" s="24">
        <v>0</v>
      </c>
      <c r="QQ127" s="24">
        <v>0</v>
      </c>
      <c r="QR127" s="24">
        <v>0</v>
      </c>
      <c r="QS127" s="24">
        <v>0</v>
      </c>
      <c r="QT127" s="24">
        <v>0</v>
      </c>
      <c r="QU127" s="24">
        <v>0</v>
      </c>
      <c r="QV127" s="24">
        <v>0</v>
      </c>
      <c r="QW127" s="24">
        <v>0</v>
      </c>
      <c r="QX127" s="24">
        <v>0</v>
      </c>
      <c r="QY127" s="24">
        <v>0</v>
      </c>
      <c r="QZ127" s="24">
        <v>0</v>
      </c>
      <c r="RA127" s="24">
        <v>0</v>
      </c>
      <c r="RB127" s="24">
        <v>0</v>
      </c>
      <c r="RC127" s="913">
        <v>2</v>
      </c>
      <c r="RG127" s="39">
        <f t="shared" si="248"/>
        <v>2019237</v>
      </c>
      <c r="RH127" s="39">
        <f t="shared" si="249"/>
        <v>0</v>
      </c>
      <c r="RI127" s="39">
        <f t="shared" si="249"/>
        <v>0</v>
      </c>
      <c r="RJ127" s="39">
        <f t="shared" si="249"/>
        <v>0</v>
      </c>
      <c r="RK127" s="39">
        <f t="shared" si="249"/>
        <v>0</v>
      </c>
      <c r="RL127" s="39">
        <f t="shared" si="249"/>
        <v>252786</v>
      </c>
      <c r="RM127" s="39">
        <f t="shared" si="249"/>
        <v>116156</v>
      </c>
      <c r="RN127" s="39">
        <f t="shared" si="249"/>
        <v>0</v>
      </c>
      <c r="RO127" s="39">
        <f t="shared" si="249"/>
        <v>0</v>
      </c>
      <c r="RP127" s="39">
        <f t="shared" si="249"/>
        <v>0</v>
      </c>
      <c r="RQ127" s="39">
        <f t="shared" si="249"/>
        <v>0</v>
      </c>
      <c r="RR127" s="39">
        <f t="shared" si="249"/>
        <v>4800</v>
      </c>
      <c r="RS127" s="39"/>
      <c r="RT127" s="182"/>
      <c r="RU127" s="39"/>
      <c r="RV127" s="39">
        <f t="shared" si="246"/>
        <v>0</v>
      </c>
      <c r="RW127" s="39">
        <f t="shared" si="246"/>
        <v>2392979</v>
      </c>
      <c r="RX127" s="39">
        <f t="shared" si="246"/>
        <v>16841</v>
      </c>
      <c r="RY127" s="39">
        <f t="shared" si="246"/>
        <v>600000</v>
      </c>
      <c r="RZ127" s="39"/>
      <c r="SA127" s="182"/>
      <c r="SB127" s="39"/>
      <c r="SC127" s="25">
        <f t="shared" si="183"/>
        <v>49.973293768545993</v>
      </c>
      <c r="SD127" s="39">
        <f>IFERROR(VLOOKUP(A127, 'Levy Data 15-16'!$B:$O, 3, FALSE), 0)</f>
        <v>0</v>
      </c>
      <c r="SE127" s="39">
        <f t="shared" si="208"/>
        <v>0</v>
      </c>
      <c r="SF127" s="631">
        <f>IFERROR(VLOOKUP(A127, 'Levy Data 15-16'!$B:$O, 14, FALSE), 0)*1000</f>
        <v>0</v>
      </c>
      <c r="SG127" s="39">
        <f t="shared" si="209"/>
        <v>0</v>
      </c>
      <c r="SH127" s="39">
        <f t="shared" si="210"/>
        <v>0</v>
      </c>
      <c r="SI127" s="39">
        <f t="shared" si="211"/>
        <v>16841</v>
      </c>
      <c r="SM127" s="39">
        <f t="shared" si="212"/>
        <v>2392979</v>
      </c>
      <c r="SN127" s="39">
        <f t="shared" si="213"/>
        <v>0</v>
      </c>
      <c r="SO127" s="39">
        <f t="shared" si="184"/>
        <v>2392979</v>
      </c>
      <c r="SP127" s="50">
        <f t="shared" si="250"/>
        <v>1</v>
      </c>
      <c r="ST127" s="124">
        <f>IFERROR(VLOOKUP(A127,'Grade Enroll 15-16'!B:AC,27,FALSE),"")</f>
        <v>337</v>
      </c>
      <c r="SU127" s="124">
        <f t="shared" si="185"/>
        <v>0</v>
      </c>
      <c r="SV127" s="131">
        <f>IFERROR(VLOOKUP($A127, 'Title I Enroll 16-17'!S:V, 4, FALSE), 0)</f>
        <v>0</v>
      </c>
      <c r="SW127" s="729">
        <f>IFERROR(VLOOKUP(A127, 'ELL Enroll 15-16'!$N:$S, 6, FALSE), 0)</f>
        <v>5</v>
      </c>
      <c r="SX127" s="131">
        <f t="shared" si="251"/>
        <v>1.483679525222552E-2</v>
      </c>
      <c r="SY127" s="124">
        <f>IFERROR(VLOOKUP(A127, 'SPED enroll 2015-16'!$M:$O, 3, FALSE), 0)</f>
        <v>5</v>
      </c>
      <c r="SZ127" s="131">
        <f t="shared" si="252"/>
        <v>1.483679525222552E-2</v>
      </c>
      <c r="TA127" s="142">
        <f t="shared" si="253"/>
        <v>3.5</v>
      </c>
      <c r="TB127" s="142">
        <f t="shared" si="253"/>
        <v>1</v>
      </c>
      <c r="TC127" s="142">
        <f t="shared" si="253"/>
        <v>0.35000000000000003</v>
      </c>
      <c r="TD127" s="142">
        <f t="shared" si="253"/>
        <v>0.15</v>
      </c>
      <c r="TE127" s="124">
        <f>VLOOKUP($A127, 'Grade Enroll 15-16'!$B:$AB, 20, FALSE)</f>
        <v>0</v>
      </c>
      <c r="TF127" s="124">
        <f>VLOOKUP($A127, 'Grade Enroll 15-16'!$B:$AB, 21, FALSE)</f>
        <v>0</v>
      </c>
      <c r="TG127" s="124">
        <f>VLOOKUP($A127, 'Grade Enroll 15-16'!$B:$AB, 22, FALSE)</f>
        <v>0</v>
      </c>
      <c r="TH127" s="124">
        <f>VLOOKUP($A127, 'Grade Enroll 15-16'!$B:$AB, 23, FALSE)</f>
        <v>0</v>
      </c>
      <c r="TI127" s="124">
        <f>VLOOKUP($A127, 'Grade Enroll 15-16'!$B:$AB, 24, FALSE)</f>
        <v>0</v>
      </c>
      <c r="TJ127" s="124">
        <f>VLOOKUP($A127, 'Grade Enroll 15-16'!$B:$AB, 25, FALSE)</f>
        <v>337</v>
      </c>
      <c r="TK127" s="124">
        <f>VLOOKUP($A127, 'Grade Enroll 15-16'!$B:$AB, 26, FALSE)</f>
        <v>91</v>
      </c>
      <c r="TL127" s="131">
        <f>SUMIFS('Student Achievement 15-16'!N:N, 'Student Achievement 15-16'!B:B, 'Idaho Data'!A127, 'Student Achievement 15-16'!D:D, "math")/100</f>
        <v>0.05</v>
      </c>
      <c r="TM127" s="134">
        <f t="shared" si="186"/>
        <v>16.850000000000001</v>
      </c>
      <c r="TN127" s="131">
        <f>SUMIFS('Student Achievement 15-16'!N:N, 'Student Achievement 15-16'!B:B, 'Idaho Data'!A127, 'Student Achievement 15-16'!D:D, "ela")/100</f>
        <v>0.05</v>
      </c>
      <c r="TO127" s="134">
        <f t="shared" si="254"/>
        <v>16.850000000000001</v>
      </c>
      <c r="TP127" s="688">
        <f>IFERROR(VLOOKUP(A127, 'G&amp;T 15-16'!B:G, 6, FALSE), 0)*1</f>
        <v>0</v>
      </c>
      <c r="TQ127" s="168">
        <f t="shared" si="255"/>
        <v>20.22</v>
      </c>
      <c r="TU127" s="168">
        <f t="shared" si="256"/>
        <v>16.850000000000001</v>
      </c>
      <c r="TV127" s="168">
        <f t="shared" si="257"/>
        <v>16.850000000000001</v>
      </c>
      <c r="TW127" s="205">
        <f t="shared" si="258"/>
        <v>16.850000000000001</v>
      </c>
      <c r="TX127" s="144"/>
      <c r="TY127" s="129"/>
      <c r="TZ127" s="127">
        <f t="shared" si="259"/>
        <v>0</v>
      </c>
      <c r="UA127" s="127">
        <f t="shared" si="260"/>
        <v>20.22</v>
      </c>
      <c r="UB127" s="205">
        <f t="shared" si="261"/>
        <v>20.22</v>
      </c>
      <c r="UE127" s="853" t="str">
        <f>IF(ST127&lt;='1. Simulator Input'!$E$104, "yes", "")</f>
        <v/>
      </c>
      <c r="UI127" s="199">
        <f t="shared" si="187"/>
        <v>0</v>
      </c>
      <c r="UJ127" s="200">
        <f>IF('Idaho Data'!SI127&gt;=0, ((1-'1. Simulator Input'!$E$39)*'Idaho Data'!SI127), 0)</f>
        <v>0</v>
      </c>
      <c r="UK127" s="200">
        <f t="shared" si="262"/>
        <v>2392979</v>
      </c>
      <c r="UL127" s="39"/>
      <c r="UM127" s="182"/>
      <c r="UN127" s="39"/>
      <c r="UO127" s="39" t="str">
        <f>IF(AND('1. Simulator Input'!$E$96="yes", '1. Simulator Input'!$E$98="yes", '1. Simulator Input'!$E$100="hold harmless"), 'Idaho Data'!WN127, IF(AND('1. Simulator Input'!$E$96="yes", '1. Simulator Input'!$E$98="no", '1. Simulator Input'!$E$100="hold harmless"), 'Idaho Data'!WM127, IF(AND('1. Simulator Input'!$E$96="yes", '1. Simulator Input'!$E$98="yes", '1. Simulator Input'!$E$100="small district grant"), WL127,IF(AND('1. Simulator Input'!$E$96="yes", '1. Simulator Input'!$E$98="no", '1. Simulator Input'!$E$100="small district grant"), WK127, ""))))</f>
        <v/>
      </c>
      <c r="UP127" s="200">
        <f>'1. Simulator Input'!$D$56*('Idaho Data'!ST127)</f>
        <v>1862262</v>
      </c>
      <c r="UQ127" s="204">
        <f>'1. Simulator Input'!$D$65*'1. Simulator Input'!$D$56*'Idaho Data'!SU127</f>
        <v>0</v>
      </c>
      <c r="UR127" s="204">
        <f>'1. Simulator Input'!$D$66*'1. Simulator Input'!$D$56*'Idaho Data'!SW127</f>
        <v>0</v>
      </c>
      <c r="US127" s="200">
        <f>'1. Simulator Input'!$D$67*'1. Simulator Input'!$D$56*'Idaho Data'!TA127</f>
        <v>0</v>
      </c>
      <c r="UT127" s="200">
        <f>'1. Simulator Input'!$D$68*'1. Simulator Input'!$D$56*'Idaho Data'!TB127</f>
        <v>0</v>
      </c>
      <c r="UU127" s="200">
        <f>'1. Simulator Input'!$D$69*'1. Simulator Input'!$D$56*'Idaho Data'!TC127</f>
        <v>0</v>
      </c>
      <c r="UV127" s="200">
        <f>'1. Simulator Input'!$D$70*'1. Simulator Input'!$D$56*TD127</f>
        <v>0</v>
      </c>
      <c r="UW127" s="200">
        <f>'1. Simulator Input'!$D$80*'1. Simulator Input'!$D$56*TW127</f>
        <v>0</v>
      </c>
      <c r="UX127" s="200">
        <f>'1. Simulator Input'!$D$79*'1. Simulator Input'!$D$56*UB127</f>
        <v>0</v>
      </c>
      <c r="UY127" s="200">
        <f>'1. Simulator Input'!$D$87*'1. Simulator Input'!$D$56*TF127</f>
        <v>0</v>
      </c>
      <c r="UZ127" s="200">
        <f>'1. Simulator Input'!$D$73*'1. Simulator Input'!$D$56*'Idaho Data'!TG127</f>
        <v>0</v>
      </c>
      <c r="VA127" s="200">
        <f>'1. Simulator Input'!$D$56*'1. Simulator Input'!$D$74*'Idaho Data'!TH127</f>
        <v>0</v>
      </c>
      <c r="VB127" s="200">
        <f>'1. Simulator Input'!$D$56*'1. Simulator Input'!$D$75*'Idaho Data'!TI122</f>
        <v>0</v>
      </c>
      <c r="VC127" s="200">
        <f>'1. Simulator Input'!$D$76*'1. Simulator Input'!$D$56*'Idaho Data'!TJ127</f>
        <v>0</v>
      </c>
      <c r="VD127" s="200">
        <f t="shared" si="188"/>
        <v>1862262</v>
      </c>
      <c r="VE127" s="200"/>
      <c r="VF127" s="182"/>
      <c r="VG127" s="200"/>
      <c r="VH127" s="200">
        <f t="shared" si="189"/>
        <v>0</v>
      </c>
      <c r="VI127" s="200">
        <f t="shared" si="190"/>
        <v>0</v>
      </c>
      <c r="VJ127" s="200">
        <f t="shared" si="214"/>
        <v>1862262</v>
      </c>
      <c r="VK127" s="200">
        <f t="shared" si="215"/>
        <v>1862262</v>
      </c>
      <c r="VL127" s="200"/>
      <c r="VM127" s="182"/>
      <c r="VN127" s="200"/>
      <c r="VO127" s="200">
        <f t="shared" si="191"/>
        <v>0</v>
      </c>
      <c r="VP127" s="200">
        <f t="shared" si="192"/>
        <v>2392979</v>
      </c>
      <c r="VQ127" s="200">
        <f t="shared" si="193"/>
        <v>16841</v>
      </c>
      <c r="VR127" s="200">
        <f t="shared" si="194"/>
        <v>0</v>
      </c>
      <c r="VS127" s="200">
        <f t="shared" si="216"/>
        <v>1862262</v>
      </c>
      <c r="VT127" s="200">
        <f t="shared" si="217"/>
        <v>16841</v>
      </c>
      <c r="VU127" s="200">
        <f t="shared" si="218"/>
        <v>0</v>
      </c>
      <c r="VV127" s="200"/>
      <c r="VW127" s="182"/>
      <c r="VX127" s="200"/>
      <c r="VZ127" s="199">
        <f t="shared" si="195"/>
        <v>-530717</v>
      </c>
      <c r="WA127" s="199">
        <f t="shared" si="196"/>
        <v>-1574.8278931750742</v>
      </c>
      <c r="WB127" s="131">
        <f t="shared" si="197"/>
        <v>-0.22178088483016356</v>
      </c>
      <c r="WC127" s="131"/>
      <c r="WD127" s="461"/>
      <c r="WE127" s="893"/>
      <c r="WF127" s="893">
        <f t="shared" si="198"/>
        <v>7150.8011869436205</v>
      </c>
      <c r="WG127" s="893">
        <f t="shared" si="199"/>
        <v>5575.9732937685458</v>
      </c>
      <c r="WH127" s="893"/>
      <c r="WI127" s="893">
        <f t="shared" si="200"/>
        <v>2392979</v>
      </c>
      <c r="WJ127" s="893">
        <f t="shared" si="219"/>
        <v>1862262</v>
      </c>
      <c r="WK127" s="39" t="str">
        <f t="shared" si="220"/>
        <v/>
      </c>
      <c r="WL127" s="39" t="str">
        <f t="shared" si="221"/>
        <v/>
      </c>
      <c r="WM127" s="200" t="str">
        <f t="shared" si="222"/>
        <v/>
      </c>
      <c r="WN127" s="39" t="str">
        <f t="shared" si="223"/>
        <v/>
      </c>
      <c r="WO127" s="39"/>
      <c r="WP127" s="182"/>
      <c r="WQ127" s="39"/>
      <c r="WR127" s="305"/>
      <c r="WT127" s="200">
        <f t="shared" si="225"/>
        <v>7100.8278931750738</v>
      </c>
      <c r="WU127" s="131">
        <f t="shared" si="201"/>
        <v>0.61</v>
      </c>
      <c r="WW127" s="199">
        <f t="shared" si="226"/>
        <v>0</v>
      </c>
      <c r="WX127" s="199">
        <f t="shared" si="227"/>
        <v>1862262</v>
      </c>
      <c r="WY127" s="199">
        <f t="shared" si="228"/>
        <v>0</v>
      </c>
      <c r="WZ127" s="199">
        <f t="shared" si="202"/>
        <v>1862262</v>
      </c>
      <c r="XA127" s="199">
        <f t="shared" si="229"/>
        <v>0</v>
      </c>
      <c r="XB127" s="199">
        <f t="shared" si="230"/>
        <v>16841</v>
      </c>
      <c r="XC127" s="199">
        <f t="shared" si="231"/>
        <v>16841</v>
      </c>
      <c r="XD127" s="199" t="str">
        <f t="shared" si="232"/>
        <v/>
      </c>
      <c r="XE127" s="199"/>
      <c r="XF127" s="199"/>
      <c r="XG127" s="199"/>
      <c r="XH127" s="199"/>
      <c r="XI127" s="199"/>
      <c r="XJ127" s="199">
        <f t="shared" si="203"/>
        <v>1862262</v>
      </c>
      <c r="XP127" s="199">
        <f t="shared" si="233"/>
        <v>1862262</v>
      </c>
      <c r="XQ127" s="199">
        <f t="shared" si="234"/>
        <v>5526</v>
      </c>
      <c r="XR127" s="199">
        <f t="shared" si="235"/>
        <v>1862262</v>
      </c>
      <c r="XS127" s="199">
        <f t="shared" si="236"/>
        <v>1862262</v>
      </c>
      <c r="XT127" s="199">
        <f t="shared" si="237"/>
        <v>5526</v>
      </c>
      <c r="XU127" s="199">
        <f t="shared" si="238"/>
        <v>2392979</v>
      </c>
      <c r="XV127" s="199">
        <f t="shared" si="239"/>
        <v>7100.8278931750738</v>
      </c>
      <c r="XW127" s="199">
        <f t="shared" si="240"/>
        <v>2392979</v>
      </c>
      <c r="XX127" s="199">
        <f t="shared" si="241"/>
        <v>7100.8278931750738</v>
      </c>
      <c r="XY127" s="199">
        <f t="shared" si="204"/>
        <v>-530717</v>
      </c>
      <c r="XZ127" s="199">
        <f t="shared" si="205"/>
        <v>-1574.8278931750738</v>
      </c>
      <c r="YA127" s="131">
        <f t="shared" si="263"/>
        <v>-0.22178088483016353</v>
      </c>
      <c r="YB127" s="199"/>
      <c r="YC127" s="221"/>
      <c r="YD127" s="199"/>
      <c r="YE127" s="199">
        <f t="shared" si="242"/>
        <v>0</v>
      </c>
      <c r="YF127" s="200">
        <f t="shared" si="243"/>
        <v>0</v>
      </c>
      <c r="YG127" s="199">
        <f t="shared" si="244"/>
        <v>16841</v>
      </c>
      <c r="YH127" s="199">
        <f t="shared" si="245"/>
        <v>600000</v>
      </c>
    </row>
    <row r="128" spans="1:658">
      <c r="A128" s="3">
        <v>454</v>
      </c>
      <c r="B128" s="2" t="s">
        <v>225</v>
      </c>
      <c r="C128" s="24">
        <v>0</v>
      </c>
      <c r="D128" s="24">
        <v>0</v>
      </c>
      <c r="E128" s="24">
        <v>0</v>
      </c>
      <c r="F128" s="24">
        <v>0</v>
      </c>
      <c r="G128" s="24">
        <v>0</v>
      </c>
      <c r="H128" s="24">
        <v>0</v>
      </c>
      <c r="I128" s="24">
        <v>0</v>
      </c>
      <c r="J128" s="24">
        <v>0</v>
      </c>
      <c r="K128" s="24">
        <v>0</v>
      </c>
      <c r="L128" s="24">
        <v>0</v>
      </c>
      <c r="M128" s="24">
        <v>0</v>
      </c>
      <c r="N128" s="24">
        <v>0</v>
      </c>
      <c r="O128" s="24">
        <v>0</v>
      </c>
      <c r="P128" s="24">
        <v>0</v>
      </c>
      <c r="Q128" s="24">
        <v>0</v>
      </c>
      <c r="R128" s="24">
        <v>0</v>
      </c>
      <c r="S128" s="24">
        <v>0</v>
      </c>
      <c r="T128" s="24">
        <v>0</v>
      </c>
      <c r="U128" s="24">
        <v>0</v>
      </c>
      <c r="V128" s="24">
        <v>0</v>
      </c>
      <c r="W128" s="24">
        <v>0</v>
      </c>
      <c r="X128" s="24">
        <v>0</v>
      </c>
      <c r="Y128" s="24">
        <v>0</v>
      </c>
      <c r="Z128" s="24">
        <v>0</v>
      </c>
      <c r="AA128" s="24">
        <v>0</v>
      </c>
      <c r="AB128" s="24">
        <v>0</v>
      </c>
      <c r="AC128" s="24">
        <v>0</v>
      </c>
      <c r="AD128" s="24">
        <v>0</v>
      </c>
      <c r="AE128" s="24">
        <v>0</v>
      </c>
      <c r="AF128" s="24">
        <v>0</v>
      </c>
      <c r="AG128" s="24">
        <v>0</v>
      </c>
      <c r="AH128" s="24">
        <v>0</v>
      </c>
      <c r="AI128" s="24">
        <v>0</v>
      </c>
      <c r="AJ128" s="24">
        <v>0</v>
      </c>
      <c r="AK128" s="24">
        <v>0</v>
      </c>
      <c r="AL128" s="24">
        <v>0</v>
      </c>
      <c r="AM128" s="24">
        <v>0</v>
      </c>
      <c r="AN128" s="24">
        <v>0</v>
      </c>
      <c r="AO128" s="24">
        <v>0</v>
      </c>
      <c r="AP128" s="24">
        <v>0</v>
      </c>
      <c r="AQ128" s="24">
        <v>0</v>
      </c>
      <c r="AR128" s="24">
        <v>0</v>
      </c>
      <c r="AS128" s="24">
        <v>0</v>
      </c>
      <c r="AT128" s="24">
        <v>0</v>
      </c>
      <c r="AU128" s="24">
        <v>0</v>
      </c>
      <c r="AV128" s="24">
        <v>0</v>
      </c>
      <c r="AW128" s="24">
        <v>0</v>
      </c>
      <c r="AX128" s="24">
        <v>0</v>
      </c>
      <c r="AY128" s="24">
        <v>0</v>
      </c>
      <c r="AZ128" s="24">
        <v>0</v>
      </c>
      <c r="BA128" s="24">
        <v>0</v>
      </c>
      <c r="BB128" s="24">
        <v>0</v>
      </c>
      <c r="BC128" s="24">
        <v>0</v>
      </c>
      <c r="BD128" s="24">
        <v>0</v>
      </c>
      <c r="BE128" s="24">
        <v>0</v>
      </c>
      <c r="BF128" s="24">
        <v>0</v>
      </c>
      <c r="BG128" s="24">
        <v>0</v>
      </c>
      <c r="BH128" s="24">
        <v>0</v>
      </c>
      <c r="BI128" s="24">
        <v>0</v>
      </c>
      <c r="BJ128" s="24">
        <v>0</v>
      </c>
      <c r="BK128" s="24">
        <v>0</v>
      </c>
      <c r="BL128" s="24">
        <v>0</v>
      </c>
      <c r="BM128" s="24">
        <v>0</v>
      </c>
      <c r="BN128" s="24">
        <v>0</v>
      </c>
      <c r="BO128" s="24">
        <v>0</v>
      </c>
      <c r="BP128" s="24">
        <v>0</v>
      </c>
      <c r="BQ128" s="24">
        <v>0</v>
      </c>
      <c r="BR128" s="24">
        <v>0</v>
      </c>
      <c r="BS128" s="24">
        <v>0</v>
      </c>
      <c r="BT128" s="24">
        <v>0</v>
      </c>
      <c r="BU128" s="24">
        <v>0</v>
      </c>
      <c r="BV128" s="24">
        <v>0</v>
      </c>
      <c r="BW128" s="24">
        <v>0</v>
      </c>
      <c r="BX128" s="24">
        <v>0</v>
      </c>
      <c r="BY128" s="24">
        <v>0</v>
      </c>
      <c r="BZ128" s="24">
        <v>0</v>
      </c>
      <c r="CA128" s="24">
        <v>0</v>
      </c>
      <c r="CB128" s="24">
        <v>0</v>
      </c>
      <c r="CC128" s="24">
        <v>0</v>
      </c>
      <c r="CD128" s="24">
        <v>29768</v>
      </c>
      <c r="CE128" s="24">
        <v>0</v>
      </c>
      <c r="CF128" s="24">
        <v>0</v>
      </c>
      <c r="CG128" s="24">
        <v>0</v>
      </c>
      <c r="CH128" s="24">
        <v>0</v>
      </c>
      <c r="CI128" s="24">
        <v>0</v>
      </c>
      <c r="CJ128" s="24">
        <v>0</v>
      </c>
      <c r="CK128" s="24">
        <v>0</v>
      </c>
      <c r="CL128" s="24">
        <v>0</v>
      </c>
      <c r="CM128" s="24">
        <v>0</v>
      </c>
      <c r="CN128" s="24">
        <v>0</v>
      </c>
      <c r="CO128" s="24">
        <v>0</v>
      </c>
      <c r="CP128" s="24">
        <v>0</v>
      </c>
      <c r="CQ128" s="24">
        <v>0</v>
      </c>
      <c r="CR128" s="24">
        <v>0</v>
      </c>
      <c r="CS128" s="24">
        <v>0</v>
      </c>
      <c r="CT128" s="24">
        <v>0</v>
      </c>
      <c r="CU128" s="24">
        <v>4770</v>
      </c>
      <c r="CV128" s="24">
        <v>0</v>
      </c>
      <c r="CW128" s="24">
        <v>0</v>
      </c>
      <c r="CX128" s="24">
        <v>0</v>
      </c>
      <c r="CY128" s="24">
        <v>0</v>
      </c>
      <c r="CZ128" s="24">
        <v>0</v>
      </c>
      <c r="DA128" s="24">
        <v>0</v>
      </c>
      <c r="DB128" s="24">
        <v>0</v>
      </c>
      <c r="DC128" s="24">
        <v>0</v>
      </c>
      <c r="DD128" s="24">
        <v>18156</v>
      </c>
      <c r="DE128" s="24">
        <v>0</v>
      </c>
      <c r="DF128" s="24">
        <v>0</v>
      </c>
      <c r="DG128" s="24">
        <v>0</v>
      </c>
      <c r="DH128" s="24">
        <v>0</v>
      </c>
      <c r="DI128" s="24">
        <v>0</v>
      </c>
      <c r="DJ128" s="24">
        <v>0</v>
      </c>
      <c r="DK128" s="24">
        <v>0</v>
      </c>
      <c r="DL128" s="24">
        <v>0</v>
      </c>
      <c r="DM128" s="24">
        <v>0</v>
      </c>
      <c r="DN128" s="24">
        <v>0</v>
      </c>
      <c r="DO128" s="24">
        <v>0</v>
      </c>
      <c r="DP128" s="24">
        <v>0</v>
      </c>
      <c r="DQ128" s="24">
        <v>0</v>
      </c>
      <c r="DR128" s="24">
        <v>0</v>
      </c>
      <c r="DS128" s="24">
        <v>0</v>
      </c>
      <c r="DT128" s="24">
        <v>0</v>
      </c>
      <c r="DU128" s="24">
        <v>0</v>
      </c>
      <c r="DV128" s="24">
        <v>0</v>
      </c>
      <c r="DW128" s="24">
        <v>0</v>
      </c>
      <c r="DX128" s="24">
        <v>0</v>
      </c>
      <c r="DY128" s="24">
        <v>0</v>
      </c>
      <c r="DZ128" s="24">
        <v>0</v>
      </c>
      <c r="EA128" s="24">
        <v>0</v>
      </c>
      <c r="EB128" s="24">
        <v>0</v>
      </c>
      <c r="EC128" s="24">
        <v>0</v>
      </c>
      <c r="ED128" s="24">
        <v>0</v>
      </c>
      <c r="EE128" s="24">
        <v>0</v>
      </c>
      <c r="EF128" s="24">
        <v>0</v>
      </c>
      <c r="EG128" s="24">
        <v>23411</v>
      </c>
      <c r="EH128" s="24">
        <v>0</v>
      </c>
      <c r="EI128" s="24">
        <v>28105</v>
      </c>
      <c r="EJ128" s="24">
        <v>20</v>
      </c>
      <c r="EK128" s="24">
        <v>0</v>
      </c>
      <c r="EL128" s="24">
        <v>0</v>
      </c>
      <c r="EM128" s="24">
        <v>0</v>
      </c>
      <c r="EN128" s="24">
        <v>0</v>
      </c>
      <c r="EO128" s="24">
        <v>0</v>
      </c>
      <c r="EP128" s="24">
        <v>0</v>
      </c>
      <c r="EQ128" s="24">
        <v>0</v>
      </c>
      <c r="ER128" s="24">
        <v>0</v>
      </c>
      <c r="ES128" s="24">
        <v>0</v>
      </c>
      <c r="ET128" s="24">
        <v>0</v>
      </c>
      <c r="EU128" s="24">
        <v>0</v>
      </c>
      <c r="EV128" s="24">
        <v>0</v>
      </c>
      <c r="EW128" s="24">
        <v>0</v>
      </c>
      <c r="EX128" s="24">
        <v>0</v>
      </c>
      <c r="EY128" s="24">
        <v>0</v>
      </c>
      <c r="EZ128" s="24">
        <v>0</v>
      </c>
      <c r="FA128" s="24">
        <v>0</v>
      </c>
      <c r="FB128" s="24">
        <v>0</v>
      </c>
      <c r="FC128" s="24">
        <v>0</v>
      </c>
      <c r="FD128" s="24">
        <v>0</v>
      </c>
      <c r="FE128" s="24">
        <v>0</v>
      </c>
      <c r="FF128" s="24">
        <v>0</v>
      </c>
      <c r="FG128" s="24">
        <v>0</v>
      </c>
      <c r="FH128" s="24">
        <v>0</v>
      </c>
      <c r="FI128" s="24">
        <v>0</v>
      </c>
      <c r="FJ128" s="24">
        <v>0</v>
      </c>
      <c r="FK128" s="24">
        <v>0</v>
      </c>
      <c r="FL128" s="24">
        <v>0</v>
      </c>
      <c r="FM128" s="24">
        <v>0</v>
      </c>
      <c r="FN128" s="24">
        <v>0</v>
      </c>
      <c r="FO128" s="24">
        <v>0</v>
      </c>
      <c r="FP128" s="24">
        <v>0</v>
      </c>
      <c r="FQ128" s="24">
        <v>0</v>
      </c>
      <c r="FR128" s="24">
        <v>0</v>
      </c>
      <c r="FS128" s="24">
        <v>799095</v>
      </c>
      <c r="FT128" s="24">
        <v>0</v>
      </c>
      <c r="FU128" s="24">
        <v>0</v>
      </c>
      <c r="FV128" s="24">
        <v>0</v>
      </c>
      <c r="FW128" s="24">
        <v>0</v>
      </c>
      <c r="FX128" s="24">
        <v>0</v>
      </c>
      <c r="FY128" s="24">
        <v>0</v>
      </c>
      <c r="FZ128" s="24">
        <v>0</v>
      </c>
      <c r="GA128" s="24">
        <v>0</v>
      </c>
      <c r="GB128" s="24">
        <v>0</v>
      </c>
      <c r="GC128" s="24">
        <v>0</v>
      </c>
      <c r="GD128" s="24">
        <v>0</v>
      </c>
      <c r="GE128" s="24">
        <v>0</v>
      </c>
      <c r="GF128" s="24">
        <v>0</v>
      </c>
      <c r="GG128" s="24">
        <v>0</v>
      </c>
      <c r="GH128" s="24">
        <v>0</v>
      </c>
      <c r="GI128" s="24">
        <v>0</v>
      </c>
      <c r="GJ128" s="24">
        <v>0</v>
      </c>
      <c r="GK128" s="24">
        <v>0</v>
      </c>
      <c r="GL128" s="24">
        <v>0</v>
      </c>
      <c r="GM128" s="24">
        <v>0</v>
      </c>
      <c r="GN128" s="24">
        <v>0</v>
      </c>
      <c r="GO128" s="24">
        <v>0</v>
      </c>
      <c r="GP128" s="24">
        <v>0</v>
      </c>
      <c r="GQ128" s="24">
        <v>0</v>
      </c>
      <c r="GR128" s="24">
        <v>0</v>
      </c>
      <c r="GS128" s="24">
        <v>0</v>
      </c>
      <c r="GT128" s="24">
        <v>0</v>
      </c>
      <c r="GU128" s="24">
        <v>0</v>
      </c>
      <c r="GV128" s="24">
        <v>0</v>
      </c>
      <c r="GW128" s="24">
        <v>0</v>
      </c>
      <c r="GX128" s="24">
        <v>0</v>
      </c>
      <c r="GY128" s="24">
        <v>0</v>
      </c>
      <c r="GZ128" s="24">
        <v>0</v>
      </c>
      <c r="HA128" s="24">
        <v>0</v>
      </c>
      <c r="HB128" s="24">
        <v>0</v>
      </c>
      <c r="HC128" s="24">
        <v>0</v>
      </c>
      <c r="HD128" s="24">
        <v>1051795</v>
      </c>
      <c r="HE128" s="24">
        <v>0</v>
      </c>
      <c r="HF128" s="24">
        <v>0</v>
      </c>
      <c r="HG128" s="24">
        <v>0</v>
      </c>
      <c r="HH128" s="24">
        <v>0</v>
      </c>
      <c r="HI128" s="24">
        <v>0</v>
      </c>
      <c r="HJ128" s="24">
        <v>0</v>
      </c>
      <c r="HK128" s="24">
        <v>0</v>
      </c>
      <c r="HL128" s="24">
        <v>0</v>
      </c>
      <c r="HM128" s="24">
        <v>0</v>
      </c>
      <c r="HN128" s="24">
        <v>0</v>
      </c>
      <c r="HO128" s="24">
        <v>127931</v>
      </c>
      <c r="HP128" s="24">
        <v>141334</v>
      </c>
      <c r="HQ128" s="24">
        <v>0</v>
      </c>
      <c r="HR128" s="24">
        <v>0</v>
      </c>
      <c r="HS128" s="24">
        <v>0</v>
      </c>
      <c r="HT128" s="24">
        <v>0</v>
      </c>
      <c r="HU128" s="24">
        <v>0</v>
      </c>
      <c r="HV128" s="24">
        <v>0</v>
      </c>
      <c r="HW128" s="24">
        <v>0</v>
      </c>
      <c r="HX128" s="24">
        <v>0</v>
      </c>
      <c r="HY128" s="24">
        <v>0</v>
      </c>
      <c r="HZ128" s="24">
        <v>0</v>
      </c>
      <c r="IA128" s="24">
        <v>0</v>
      </c>
      <c r="IB128" s="24">
        <v>0</v>
      </c>
      <c r="IC128" s="24">
        <v>0</v>
      </c>
      <c r="ID128" s="24">
        <v>0</v>
      </c>
      <c r="IE128" s="24">
        <v>0</v>
      </c>
      <c r="IF128" s="24">
        <v>0</v>
      </c>
      <c r="IG128" s="24">
        <v>0</v>
      </c>
      <c r="IH128" s="24">
        <v>0</v>
      </c>
      <c r="II128" s="24">
        <v>0</v>
      </c>
      <c r="IJ128" s="24">
        <v>0</v>
      </c>
      <c r="IK128" s="24">
        <v>0</v>
      </c>
      <c r="IL128" s="24">
        <v>0</v>
      </c>
      <c r="IM128" s="24">
        <v>0</v>
      </c>
      <c r="IN128" s="24">
        <v>0</v>
      </c>
      <c r="IO128" s="24">
        <v>0</v>
      </c>
      <c r="IP128" s="24">
        <v>0</v>
      </c>
      <c r="IQ128" s="24">
        <v>0</v>
      </c>
      <c r="IR128" s="24">
        <v>0</v>
      </c>
      <c r="IS128" s="24">
        <v>0</v>
      </c>
      <c r="IT128" s="24">
        <v>0</v>
      </c>
      <c r="IU128" s="24">
        <v>0</v>
      </c>
      <c r="IV128" s="24">
        <v>0</v>
      </c>
      <c r="IW128" s="24">
        <v>0</v>
      </c>
      <c r="IX128" s="24">
        <v>0</v>
      </c>
      <c r="IY128" s="24">
        <v>0</v>
      </c>
      <c r="IZ128" s="24">
        <v>0</v>
      </c>
      <c r="JA128" s="24">
        <v>0</v>
      </c>
      <c r="JB128" s="24">
        <v>0</v>
      </c>
      <c r="JC128" s="24">
        <v>0</v>
      </c>
      <c r="JD128" s="24">
        <v>0</v>
      </c>
      <c r="JE128" s="24">
        <v>0</v>
      </c>
      <c r="JF128" s="24">
        <v>0</v>
      </c>
      <c r="JG128" s="24">
        <v>0</v>
      </c>
      <c r="JH128" s="24">
        <v>0</v>
      </c>
      <c r="JI128" s="24">
        <v>0</v>
      </c>
      <c r="JJ128" s="24">
        <v>0</v>
      </c>
      <c r="JK128" s="24">
        <v>0</v>
      </c>
      <c r="JL128" s="24">
        <v>0</v>
      </c>
      <c r="JM128" s="24">
        <v>0</v>
      </c>
      <c r="JN128" s="24">
        <v>0</v>
      </c>
      <c r="JO128" s="24">
        <v>0</v>
      </c>
      <c r="JP128" s="24">
        <v>0</v>
      </c>
      <c r="JQ128" s="24">
        <v>0</v>
      </c>
      <c r="JR128" s="24">
        <v>0</v>
      </c>
      <c r="JS128" s="24">
        <v>0</v>
      </c>
      <c r="JT128" s="24">
        <v>0</v>
      </c>
      <c r="JU128" s="24">
        <v>5245</v>
      </c>
      <c r="JV128" s="24">
        <v>0</v>
      </c>
      <c r="JW128" s="24">
        <v>0</v>
      </c>
      <c r="JX128" s="24">
        <v>0</v>
      </c>
      <c r="JY128" s="24">
        <v>0</v>
      </c>
      <c r="JZ128" s="24">
        <v>0</v>
      </c>
      <c r="KA128" s="24">
        <v>0</v>
      </c>
      <c r="KB128" s="24">
        <v>0</v>
      </c>
      <c r="KC128" s="24">
        <v>0</v>
      </c>
      <c r="KD128" s="24">
        <v>0</v>
      </c>
      <c r="KE128" s="24">
        <v>0</v>
      </c>
      <c r="KF128" s="24">
        <v>0</v>
      </c>
      <c r="KG128" s="24">
        <v>0</v>
      </c>
      <c r="KH128" s="24">
        <v>0</v>
      </c>
      <c r="KI128" s="24">
        <v>0</v>
      </c>
      <c r="KJ128" s="24">
        <v>0</v>
      </c>
      <c r="KK128" s="24">
        <v>0</v>
      </c>
      <c r="KL128" s="24">
        <v>0</v>
      </c>
      <c r="KM128" s="24">
        <v>0</v>
      </c>
      <c r="KN128" s="24">
        <v>0</v>
      </c>
      <c r="KO128" s="24">
        <v>0</v>
      </c>
      <c r="KP128" s="24">
        <v>0</v>
      </c>
      <c r="KQ128" s="24">
        <v>0</v>
      </c>
      <c r="KR128" s="24">
        <v>0</v>
      </c>
      <c r="KS128" s="24">
        <v>0</v>
      </c>
      <c r="KT128" s="24">
        <v>0</v>
      </c>
      <c r="KU128" s="24">
        <v>0</v>
      </c>
      <c r="KV128" s="24">
        <v>0</v>
      </c>
      <c r="KW128" s="24">
        <v>0</v>
      </c>
      <c r="KX128" s="24">
        <v>0</v>
      </c>
      <c r="KY128" s="24">
        <v>0</v>
      </c>
      <c r="KZ128" s="24">
        <v>0</v>
      </c>
      <c r="LA128" s="24">
        <v>0</v>
      </c>
      <c r="LB128" s="24">
        <v>0</v>
      </c>
      <c r="LC128" s="24">
        <v>0</v>
      </c>
      <c r="LD128" s="24">
        <v>0</v>
      </c>
      <c r="LE128" s="24">
        <v>0</v>
      </c>
      <c r="LF128" s="24">
        <v>0</v>
      </c>
      <c r="LG128" s="24">
        <v>0</v>
      </c>
      <c r="LH128" s="24">
        <v>0</v>
      </c>
      <c r="LI128" s="24">
        <v>0</v>
      </c>
      <c r="LJ128" s="24">
        <v>0</v>
      </c>
      <c r="LK128" s="24">
        <v>0</v>
      </c>
      <c r="LL128" s="24">
        <v>0</v>
      </c>
      <c r="LM128" s="24">
        <v>0</v>
      </c>
      <c r="LN128" s="24">
        <v>0</v>
      </c>
      <c r="LO128" s="24">
        <v>0</v>
      </c>
      <c r="LP128" s="24">
        <v>0</v>
      </c>
      <c r="LQ128" s="24">
        <v>39639</v>
      </c>
      <c r="LR128" s="24">
        <v>0</v>
      </c>
      <c r="LS128" s="24">
        <v>0</v>
      </c>
      <c r="LT128" s="24">
        <v>0</v>
      </c>
      <c r="LU128" s="24">
        <v>0</v>
      </c>
      <c r="LV128" s="24">
        <v>0</v>
      </c>
      <c r="LW128" s="24">
        <v>0</v>
      </c>
      <c r="LX128" s="24">
        <v>0</v>
      </c>
      <c r="LY128" s="24">
        <v>0</v>
      </c>
      <c r="LZ128" s="24">
        <v>0</v>
      </c>
      <c r="MA128" s="24">
        <v>0</v>
      </c>
      <c r="MB128" s="24">
        <v>0</v>
      </c>
      <c r="MC128" s="24">
        <v>0</v>
      </c>
      <c r="MD128" s="24">
        <v>0</v>
      </c>
      <c r="ME128" s="24">
        <v>0</v>
      </c>
      <c r="MF128" s="24">
        <v>0</v>
      </c>
      <c r="MG128" s="24">
        <v>0</v>
      </c>
      <c r="MH128" s="24">
        <v>0</v>
      </c>
      <c r="MI128" s="24">
        <v>0</v>
      </c>
      <c r="MJ128" s="24">
        <v>0</v>
      </c>
      <c r="MK128" s="24">
        <v>0</v>
      </c>
      <c r="ML128" s="24">
        <v>0</v>
      </c>
      <c r="MM128" s="24">
        <v>0</v>
      </c>
      <c r="MN128" s="24">
        <v>0</v>
      </c>
      <c r="MO128" s="24">
        <v>0</v>
      </c>
      <c r="MP128" s="24">
        <v>0</v>
      </c>
      <c r="MQ128" s="24">
        <v>0</v>
      </c>
      <c r="MR128" s="24">
        <v>40270</v>
      </c>
      <c r="MS128" s="24">
        <v>0</v>
      </c>
      <c r="MT128" s="24">
        <v>0</v>
      </c>
      <c r="MU128" s="24">
        <v>0</v>
      </c>
      <c r="MV128" s="24">
        <v>0</v>
      </c>
      <c r="MW128" s="24">
        <v>45651</v>
      </c>
      <c r="MX128" s="24">
        <v>0</v>
      </c>
      <c r="MY128" s="24">
        <v>0</v>
      </c>
      <c r="MZ128" s="24">
        <v>0</v>
      </c>
      <c r="NA128" s="24">
        <v>0</v>
      </c>
      <c r="NB128" s="24">
        <v>0</v>
      </c>
      <c r="NC128" s="24">
        <v>0</v>
      </c>
      <c r="ND128" s="24">
        <v>0</v>
      </c>
      <c r="NE128" s="24">
        <v>0</v>
      </c>
      <c r="NF128" s="24">
        <v>0</v>
      </c>
      <c r="NG128" s="24">
        <v>0</v>
      </c>
      <c r="NH128" s="24">
        <v>0</v>
      </c>
      <c r="NI128" s="24">
        <v>0</v>
      </c>
      <c r="NJ128" s="24">
        <v>0</v>
      </c>
      <c r="NK128" s="24">
        <v>0</v>
      </c>
      <c r="NL128" s="24">
        <v>0</v>
      </c>
      <c r="NM128" s="24">
        <v>0</v>
      </c>
      <c r="NN128" s="24">
        <v>0</v>
      </c>
      <c r="NO128" s="24">
        <v>0</v>
      </c>
      <c r="NP128" s="24">
        <v>0</v>
      </c>
      <c r="NQ128" s="24">
        <v>0</v>
      </c>
      <c r="NR128" s="24">
        <v>0</v>
      </c>
      <c r="NS128" s="24">
        <v>0</v>
      </c>
      <c r="NT128" s="24">
        <v>0</v>
      </c>
      <c r="NU128" s="24">
        <v>0</v>
      </c>
      <c r="NV128" s="24">
        <v>7427</v>
      </c>
      <c r="NW128" s="24">
        <v>0</v>
      </c>
      <c r="NX128" s="24">
        <v>0</v>
      </c>
      <c r="NY128" s="24">
        <v>0</v>
      </c>
      <c r="NZ128" s="24">
        <v>0</v>
      </c>
      <c r="OA128" s="24">
        <v>0</v>
      </c>
      <c r="OB128" s="24">
        <v>0</v>
      </c>
      <c r="OC128" s="24">
        <v>0</v>
      </c>
      <c r="OD128" s="24">
        <v>0</v>
      </c>
      <c r="OE128" s="24">
        <v>0</v>
      </c>
      <c r="OF128" s="24">
        <v>0</v>
      </c>
      <c r="OG128" s="24">
        <v>0</v>
      </c>
      <c r="OH128" s="24">
        <v>0</v>
      </c>
      <c r="OI128" s="24">
        <v>0</v>
      </c>
      <c r="OJ128" s="24">
        <v>0</v>
      </c>
      <c r="OK128" s="24">
        <v>4479</v>
      </c>
      <c r="OL128" s="24">
        <v>0</v>
      </c>
      <c r="OM128" s="24">
        <v>0</v>
      </c>
      <c r="ON128" s="24">
        <v>0</v>
      </c>
      <c r="OO128" s="24">
        <v>0</v>
      </c>
      <c r="OP128" s="24">
        <v>0</v>
      </c>
      <c r="OQ128" s="24">
        <v>0</v>
      </c>
      <c r="OR128" s="24">
        <v>0</v>
      </c>
      <c r="OS128" s="24">
        <v>0</v>
      </c>
      <c r="OT128" s="24">
        <v>0</v>
      </c>
      <c r="OU128" s="24">
        <v>0</v>
      </c>
      <c r="OV128" s="24">
        <v>0</v>
      </c>
      <c r="OW128" s="24">
        <v>0</v>
      </c>
      <c r="OX128" s="24">
        <v>0</v>
      </c>
      <c r="OY128" s="24">
        <v>0</v>
      </c>
      <c r="OZ128" s="24">
        <v>0</v>
      </c>
      <c r="PA128" s="24">
        <v>0</v>
      </c>
      <c r="PB128" s="24">
        <v>0</v>
      </c>
      <c r="PC128" s="24">
        <v>0</v>
      </c>
      <c r="PD128" s="24">
        <v>0</v>
      </c>
      <c r="PE128" s="24">
        <v>0</v>
      </c>
      <c r="PF128" s="24">
        <v>0</v>
      </c>
      <c r="PG128" s="24">
        <v>0</v>
      </c>
      <c r="PH128" s="24">
        <v>0</v>
      </c>
      <c r="PI128" s="24">
        <v>0</v>
      </c>
      <c r="PJ128" s="24">
        <v>0</v>
      </c>
      <c r="PK128" s="24">
        <v>0</v>
      </c>
      <c r="PL128" s="24">
        <v>3693</v>
      </c>
      <c r="PM128" s="24">
        <v>0</v>
      </c>
      <c r="PN128" s="24">
        <v>0</v>
      </c>
      <c r="PO128" s="24">
        <v>0</v>
      </c>
      <c r="PP128" s="24">
        <v>0</v>
      </c>
      <c r="PQ128" s="24">
        <v>0</v>
      </c>
      <c r="PR128" s="24">
        <v>0</v>
      </c>
      <c r="PS128" s="24">
        <v>0</v>
      </c>
      <c r="PT128" s="24">
        <v>0</v>
      </c>
      <c r="PU128" s="24">
        <v>0</v>
      </c>
      <c r="PV128" s="24">
        <v>0</v>
      </c>
      <c r="PW128" s="24">
        <v>0</v>
      </c>
      <c r="PX128" s="24">
        <v>0</v>
      </c>
      <c r="PY128" s="24">
        <v>0</v>
      </c>
      <c r="PZ128" s="24">
        <v>0</v>
      </c>
      <c r="QA128" s="24">
        <v>0</v>
      </c>
      <c r="QB128" s="24">
        <v>0</v>
      </c>
      <c r="QC128" s="24">
        <v>0</v>
      </c>
      <c r="QD128" s="24">
        <v>0</v>
      </c>
      <c r="QE128" s="24">
        <v>0</v>
      </c>
      <c r="QF128" s="24">
        <v>0</v>
      </c>
      <c r="QG128" s="24">
        <v>0</v>
      </c>
      <c r="QH128" s="24">
        <v>0</v>
      </c>
      <c r="QI128" s="24">
        <v>0</v>
      </c>
      <c r="QJ128" s="24">
        <v>0</v>
      </c>
      <c r="QK128" s="24">
        <v>0</v>
      </c>
      <c r="QL128" s="24">
        <v>0</v>
      </c>
      <c r="QM128" s="24">
        <v>0</v>
      </c>
      <c r="QN128" s="24">
        <v>0</v>
      </c>
      <c r="QO128" s="24">
        <v>0</v>
      </c>
      <c r="QP128" s="24">
        <v>0</v>
      </c>
      <c r="QQ128" s="24">
        <v>0</v>
      </c>
      <c r="QR128" s="24">
        <v>0</v>
      </c>
      <c r="QS128" s="24">
        <v>0</v>
      </c>
      <c r="QT128" s="24">
        <v>0</v>
      </c>
      <c r="QU128" s="24">
        <v>0</v>
      </c>
      <c r="QV128" s="24">
        <v>0</v>
      </c>
      <c r="QW128" s="24">
        <v>0</v>
      </c>
      <c r="QX128" s="24">
        <v>0</v>
      </c>
      <c r="QY128" s="24">
        <v>0</v>
      </c>
      <c r="QZ128" s="24">
        <v>0</v>
      </c>
      <c r="RA128" s="24">
        <v>0</v>
      </c>
      <c r="RB128" s="24">
        <v>0</v>
      </c>
      <c r="RC128" s="913">
        <v>2</v>
      </c>
      <c r="RG128" s="39">
        <f t="shared" si="248"/>
        <v>1051795</v>
      </c>
      <c r="RH128" s="39">
        <f t="shared" si="249"/>
        <v>0</v>
      </c>
      <c r="RI128" s="39">
        <f t="shared" si="249"/>
        <v>0</v>
      </c>
      <c r="RJ128" s="39">
        <f t="shared" si="249"/>
        <v>0</v>
      </c>
      <c r="RK128" s="39">
        <f t="shared" si="249"/>
        <v>0</v>
      </c>
      <c r="RL128" s="39">
        <f t="shared" si="249"/>
        <v>127931</v>
      </c>
      <c r="RM128" s="39">
        <f t="shared" si="249"/>
        <v>141334</v>
      </c>
      <c r="RN128" s="39">
        <f t="shared" si="249"/>
        <v>0</v>
      </c>
      <c r="RO128" s="39">
        <f t="shared" si="249"/>
        <v>0</v>
      </c>
      <c r="RP128" s="39">
        <f t="shared" si="249"/>
        <v>0</v>
      </c>
      <c r="RQ128" s="39">
        <f t="shared" si="249"/>
        <v>0</v>
      </c>
      <c r="RR128" s="39">
        <f t="shared" si="249"/>
        <v>5245</v>
      </c>
      <c r="RS128" s="39"/>
      <c r="RT128" s="182"/>
      <c r="RU128" s="39"/>
      <c r="RV128" s="39">
        <f t="shared" si="246"/>
        <v>137466</v>
      </c>
      <c r="RW128" s="39">
        <f t="shared" si="246"/>
        <v>1326305</v>
      </c>
      <c r="RX128" s="39">
        <f t="shared" si="246"/>
        <v>903325</v>
      </c>
      <c r="RY128" s="39">
        <f t="shared" si="246"/>
        <v>3693</v>
      </c>
      <c r="RZ128" s="39"/>
      <c r="SA128" s="182"/>
      <c r="SB128" s="39"/>
      <c r="SC128" s="25">
        <f t="shared" si="183"/>
        <v>4124.7716894977166</v>
      </c>
      <c r="SD128" s="39">
        <f>IFERROR(VLOOKUP(A128, 'Levy Data 15-16'!$B:$O, 3, FALSE), 0)</f>
        <v>0</v>
      </c>
      <c r="SE128" s="39">
        <f t="shared" si="208"/>
        <v>0</v>
      </c>
      <c r="SF128" s="631">
        <f>IFERROR(VLOOKUP(A128, 'Levy Data 15-16'!$B:$O, 14, FALSE), 0)*1000</f>
        <v>0</v>
      </c>
      <c r="SG128" s="39">
        <f t="shared" si="209"/>
        <v>0</v>
      </c>
      <c r="SH128" s="39">
        <f t="shared" si="210"/>
        <v>0</v>
      </c>
      <c r="SI128" s="39">
        <f t="shared" si="211"/>
        <v>903325</v>
      </c>
      <c r="SM128" s="39">
        <f t="shared" si="212"/>
        <v>1326305</v>
      </c>
      <c r="SN128" s="39">
        <f t="shared" si="213"/>
        <v>0</v>
      </c>
      <c r="SO128" s="39">
        <f t="shared" si="184"/>
        <v>1326305</v>
      </c>
      <c r="SP128" s="50">
        <f t="shared" si="250"/>
        <v>1</v>
      </c>
      <c r="ST128" s="124">
        <f>IFERROR(VLOOKUP(A128,'Grade Enroll 15-16'!B:AC,27,FALSE),"")</f>
        <v>219</v>
      </c>
      <c r="SU128" s="124">
        <f t="shared" si="185"/>
        <v>76.826612903225808</v>
      </c>
      <c r="SV128" s="131">
        <f>IFERROR(VLOOKUP($A128, 'Title I Enroll 16-17'!S:V, 4, FALSE), 0)</f>
        <v>0.35080645161290325</v>
      </c>
      <c r="SW128" s="729">
        <f>IFERROR(VLOOKUP(A128, 'ELL Enroll 15-16'!$N:$S, 6, FALSE), 0)</f>
        <v>5</v>
      </c>
      <c r="SX128" s="131">
        <f t="shared" si="251"/>
        <v>2.2831050228310501E-2</v>
      </c>
      <c r="SY128" s="124">
        <f>IFERROR(VLOOKUP(A128, 'SPED enroll 2015-16'!$M:$O, 3, FALSE), 0)</f>
        <v>37</v>
      </c>
      <c r="SZ128" s="131">
        <f t="shared" si="252"/>
        <v>0.16894977168949771</v>
      </c>
      <c r="TA128" s="142">
        <f t="shared" si="253"/>
        <v>25.9</v>
      </c>
      <c r="TB128" s="142">
        <f t="shared" si="253"/>
        <v>7.4</v>
      </c>
      <c r="TC128" s="142">
        <f t="shared" si="253"/>
        <v>2.5900000000000003</v>
      </c>
      <c r="TD128" s="142">
        <f t="shared" si="253"/>
        <v>1.1099999999999999</v>
      </c>
      <c r="TE128" s="124">
        <f>VLOOKUP($A128, 'Grade Enroll 15-16'!$B:$AB, 20, FALSE)</f>
        <v>0</v>
      </c>
      <c r="TF128" s="124">
        <f>VLOOKUP($A128, 'Grade Enroll 15-16'!$B:$AB, 21, FALSE)</f>
        <v>24</v>
      </c>
      <c r="TG128" s="124">
        <f>VLOOKUP($A128, 'Grade Enroll 15-16'!$B:$AB, 22, FALSE)</f>
        <v>82</v>
      </c>
      <c r="TH128" s="124">
        <f>VLOOKUP($A128, 'Grade Enroll 15-16'!$B:$AB, 23, FALSE)</f>
        <v>92</v>
      </c>
      <c r="TI128" s="124">
        <f>VLOOKUP($A128, 'Grade Enroll 15-16'!$B:$AB, 24, FALSE)</f>
        <v>45</v>
      </c>
      <c r="TJ128" s="124">
        <f>VLOOKUP($A128, 'Grade Enroll 15-16'!$B:$AB, 25, FALSE)</f>
        <v>0</v>
      </c>
      <c r="TK128" s="124">
        <f>VLOOKUP($A128, 'Grade Enroll 15-16'!$B:$AB, 26, FALSE)</f>
        <v>169</v>
      </c>
      <c r="TL128" s="131">
        <f>SUMIFS('Student Achievement 15-16'!N:N, 'Student Achievement 15-16'!B:B, 'Idaho Data'!A128, 'Student Achievement 15-16'!D:D, "math")/100</f>
        <v>0.16600000000000001</v>
      </c>
      <c r="TM128" s="134">
        <f t="shared" si="186"/>
        <v>36.353999999999999</v>
      </c>
      <c r="TN128" s="131">
        <f>SUMIFS('Student Achievement 15-16'!N:N, 'Student Achievement 15-16'!B:B, 'Idaho Data'!A128, 'Student Achievement 15-16'!D:D, "ela")/100</f>
        <v>0.16</v>
      </c>
      <c r="TO128" s="134">
        <f t="shared" si="254"/>
        <v>35.04</v>
      </c>
      <c r="TP128" s="688">
        <f>IFERROR(VLOOKUP(A128, 'G&amp;T 15-16'!B:G, 6, FALSE), 0)*1</f>
        <v>0</v>
      </c>
      <c r="TQ128" s="168">
        <f t="shared" si="255"/>
        <v>13.139999999999999</v>
      </c>
      <c r="TU128" s="168">
        <f t="shared" si="256"/>
        <v>35.04</v>
      </c>
      <c r="TV128" s="168">
        <f t="shared" si="257"/>
        <v>36.353999999999999</v>
      </c>
      <c r="TW128" s="205">
        <f t="shared" si="258"/>
        <v>36.353999999999999</v>
      </c>
      <c r="TX128" s="144"/>
      <c r="TY128" s="129"/>
      <c r="TZ128" s="127">
        <f t="shared" si="259"/>
        <v>0</v>
      </c>
      <c r="UA128" s="127">
        <f t="shared" si="260"/>
        <v>13.139999999999999</v>
      </c>
      <c r="UB128" s="205">
        <f t="shared" si="261"/>
        <v>13.139999999999999</v>
      </c>
      <c r="UE128" s="853" t="str">
        <f>IF(ST128&lt;='1. Simulator Input'!$E$104, "yes", "")</f>
        <v>yes</v>
      </c>
      <c r="UI128" s="199">
        <f t="shared" si="187"/>
        <v>0</v>
      </c>
      <c r="UJ128" s="200">
        <f>IF('Idaho Data'!SI128&gt;=0, ((1-'1. Simulator Input'!$E$39)*'Idaho Data'!SI128), 0)</f>
        <v>0</v>
      </c>
      <c r="UK128" s="200">
        <f t="shared" si="262"/>
        <v>1326305</v>
      </c>
      <c r="UL128" s="39"/>
      <c r="UM128" s="182"/>
      <c r="UN128" s="39"/>
      <c r="UO128" s="39">
        <f>IF(AND('1. Simulator Input'!$E$96="yes", '1. Simulator Input'!$E$98="yes", '1. Simulator Input'!$E$100="hold harmless"), 'Idaho Data'!WN128, IF(AND('1. Simulator Input'!$E$96="yes", '1. Simulator Input'!$E$98="no", '1. Simulator Input'!$E$100="hold harmless"), 'Idaho Data'!WM128, IF(AND('1. Simulator Input'!$E$96="yes", '1. Simulator Input'!$E$98="yes", '1. Simulator Input'!$E$100="small district grant"), WL128,IF(AND('1. Simulator Input'!$E$96="yes", '1. Simulator Input'!$E$98="no", '1. Simulator Input'!$E$100="small district grant"), WK128, ""))))</f>
        <v>0</v>
      </c>
      <c r="UP128" s="200">
        <f>'1. Simulator Input'!$D$56*('Idaho Data'!ST128)</f>
        <v>1210194</v>
      </c>
      <c r="UQ128" s="204">
        <f>'1. Simulator Input'!$D$65*'1. Simulator Input'!$D$56*'Idaho Data'!SU128</f>
        <v>0</v>
      </c>
      <c r="UR128" s="204">
        <f>'1. Simulator Input'!$D$66*'1. Simulator Input'!$D$56*'Idaho Data'!SW128</f>
        <v>0</v>
      </c>
      <c r="US128" s="200">
        <f>'1. Simulator Input'!$D$67*'1. Simulator Input'!$D$56*'Idaho Data'!TA128</f>
        <v>0</v>
      </c>
      <c r="UT128" s="200">
        <f>'1. Simulator Input'!$D$68*'1. Simulator Input'!$D$56*'Idaho Data'!TB128</f>
        <v>0</v>
      </c>
      <c r="UU128" s="200">
        <f>'1. Simulator Input'!$D$69*'1. Simulator Input'!$D$56*'Idaho Data'!TC128</f>
        <v>0</v>
      </c>
      <c r="UV128" s="200">
        <f>'1. Simulator Input'!$D$70*'1. Simulator Input'!$D$56*TD128</f>
        <v>0</v>
      </c>
      <c r="UW128" s="200">
        <f>'1. Simulator Input'!$D$80*'1. Simulator Input'!$D$56*TW128</f>
        <v>0</v>
      </c>
      <c r="UX128" s="200">
        <f>'1. Simulator Input'!$D$79*'1. Simulator Input'!$D$56*UB128</f>
        <v>0</v>
      </c>
      <c r="UY128" s="200">
        <f>'1. Simulator Input'!$D$87*'1. Simulator Input'!$D$56*TF128</f>
        <v>66312</v>
      </c>
      <c r="UZ128" s="200">
        <f>'1. Simulator Input'!$D$73*'1. Simulator Input'!$D$56*'Idaho Data'!TG128</f>
        <v>0</v>
      </c>
      <c r="VA128" s="200">
        <f>'1. Simulator Input'!$D$56*'1. Simulator Input'!$D$74*'Idaho Data'!TH128</f>
        <v>0</v>
      </c>
      <c r="VB128" s="200">
        <f>'1. Simulator Input'!$D$56*'1. Simulator Input'!$D$75*'Idaho Data'!TI123</f>
        <v>0</v>
      </c>
      <c r="VC128" s="200">
        <f>'1. Simulator Input'!$D$76*'1. Simulator Input'!$D$56*'Idaho Data'!TJ128</f>
        <v>0</v>
      </c>
      <c r="VD128" s="200">
        <f t="shared" si="188"/>
        <v>1276506</v>
      </c>
      <c r="VE128" s="200"/>
      <c r="VF128" s="182"/>
      <c r="VG128" s="200"/>
      <c r="VH128" s="200">
        <f t="shared" si="189"/>
        <v>0</v>
      </c>
      <c r="VI128" s="200">
        <f t="shared" si="190"/>
        <v>0</v>
      </c>
      <c r="VJ128" s="200">
        <f t="shared" si="214"/>
        <v>1276506</v>
      </c>
      <c r="VK128" s="200">
        <f t="shared" si="215"/>
        <v>1276506</v>
      </c>
      <c r="VL128" s="200"/>
      <c r="VM128" s="182"/>
      <c r="VN128" s="200"/>
      <c r="VO128" s="200">
        <f t="shared" si="191"/>
        <v>137466</v>
      </c>
      <c r="VP128" s="200">
        <f t="shared" si="192"/>
        <v>1326305</v>
      </c>
      <c r="VQ128" s="200">
        <f t="shared" si="193"/>
        <v>903325</v>
      </c>
      <c r="VR128" s="200">
        <f t="shared" si="194"/>
        <v>137466</v>
      </c>
      <c r="VS128" s="200">
        <f t="shared" si="216"/>
        <v>1276506</v>
      </c>
      <c r="VT128" s="200">
        <f t="shared" si="217"/>
        <v>903325</v>
      </c>
      <c r="VU128" s="200">
        <f t="shared" si="218"/>
        <v>0</v>
      </c>
      <c r="VV128" s="200"/>
      <c r="VW128" s="182"/>
      <c r="VX128" s="200"/>
      <c r="VZ128" s="199">
        <f t="shared" si="195"/>
        <v>-49799</v>
      </c>
      <c r="WA128" s="199">
        <f t="shared" si="196"/>
        <v>-227.39269406392694</v>
      </c>
      <c r="WB128" s="131">
        <f t="shared" si="197"/>
        <v>-3.754717052261735E-2</v>
      </c>
      <c r="WC128" s="131"/>
      <c r="WD128" s="461"/>
      <c r="WE128" s="893"/>
      <c r="WF128" s="893">
        <f t="shared" si="198"/>
        <v>10808.657534246575</v>
      </c>
      <c r="WG128" s="893">
        <f t="shared" si="199"/>
        <v>10581.264840182648</v>
      </c>
      <c r="WH128" s="893"/>
      <c r="WI128" s="893">
        <f t="shared" si="200"/>
        <v>1326305</v>
      </c>
      <c r="WJ128" s="893">
        <f t="shared" si="219"/>
        <v>1276506</v>
      </c>
      <c r="WK128" s="39">
        <f t="shared" si="220"/>
        <v>0</v>
      </c>
      <c r="WL128" s="39">
        <f t="shared" si="221"/>
        <v>0</v>
      </c>
      <c r="WM128" s="200">
        <f t="shared" si="222"/>
        <v>49799</v>
      </c>
      <c r="WN128" s="39">
        <f t="shared" si="223"/>
        <v>49799</v>
      </c>
      <c r="WO128" s="39"/>
      <c r="WP128" s="182"/>
      <c r="WQ128" s="39"/>
      <c r="WR128" s="305"/>
      <c r="WT128" s="200">
        <f t="shared" si="225"/>
        <v>6056.1872146118722</v>
      </c>
      <c r="WU128" s="131">
        <f t="shared" si="201"/>
        <v>0.38</v>
      </c>
      <c r="WW128" s="199">
        <f t="shared" si="226"/>
        <v>137466</v>
      </c>
      <c r="WX128" s="199">
        <f t="shared" si="227"/>
        <v>1276506</v>
      </c>
      <c r="WY128" s="199">
        <f t="shared" si="228"/>
        <v>0</v>
      </c>
      <c r="WZ128" s="199">
        <f t="shared" si="202"/>
        <v>1276506</v>
      </c>
      <c r="XA128" s="199">
        <f t="shared" si="229"/>
        <v>0</v>
      </c>
      <c r="XB128" s="199">
        <f t="shared" si="230"/>
        <v>903325</v>
      </c>
      <c r="XC128" s="199">
        <f t="shared" si="231"/>
        <v>903325</v>
      </c>
      <c r="XD128" s="199" t="str">
        <f t="shared" si="232"/>
        <v/>
      </c>
      <c r="XE128" s="199"/>
      <c r="XF128" s="199"/>
      <c r="XG128" s="199"/>
      <c r="XH128" s="199"/>
      <c r="XI128" s="199"/>
      <c r="XJ128" s="199">
        <f t="shared" si="203"/>
        <v>1276506</v>
      </c>
      <c r="XP128" s="199">
        <f t="shared" si="233"/>
        <v>1276506</v>
      </c>
      <c r="XQ128" s="199">
        <f t="shared" si="234"/>
        <v>5828.7945205479455</v>
      </c>
      <c r="XR128" s="199">
        <f t="shared" si="235"/>
        <v>1276506</v>
      </c>
      <c r="XS128" s="199">
        <f t="shared" si="236"/>
        <v>1276506</v>
      </c>
      <c r="XT128" s="199">
        <f t="shared" si="237"/>
        <v>5828.7945205479455</v>
      </c>
      <c r="XU128" s="199">
        <f t="shared" si="238"/>
        <v>1326305</v>
      </c>
      <c r="XV128" s="199">
        <f t="shared" si="239"/>
        <v>6056.1872146118722</v>
      </c>
      <c r="XW128" s="199">
        <f t="shared" si="240"/>
        <v>1326305</v>
      </c>
      <c r="XX128" s="199">
        <f t="shared" si="241"/>
        <v>6056.1872146118722</v>
      </c>
      <c r="XY128" s="199">
        <f t="shared" si="204"/>
        <v>-49799</v>
      </c>
      <c r="XZ128" s="199">
        <f t="shared" si="205"/>
        <v>-227.39269406392668</v>
      </c>
      <c r="YA128" s="131">
        <f t="shared" si="263"/>
        <v>-3.7547170522617301E-2</v>
      </c>
      <c r="YB128" s="199"/>
      <c r="YC128" s="221"/>
      <c r="YD128" s="199"/>
      <c r="YE128" s="199">
        <f t="shared" si="242"/>
        <v>137466</v>
      </c>
      <c r="YF128" s="200">
        <f t="shared" si="243"/>
        <v>0</v>
      </c>
      <c r="YG128" s="199">
        <f t="shared" si="244"/>
        <v>903325</v>
      </c>
      <c r="YH128" s="199">
        <f t="shared" si="245"/>
        <v>3693</v>
      </c>
    </row>
    <row r="129" spans="1:658">
      <c r="A129" s="3">
        <v>455</v>
      </c>
      <c r="B129" s="2" t="s">
        <v>226</v>
      </c>
      <c r="C129" s="24">
        <v>0</v>
      </c>
      <c r="D129" s="24">
        <v>0</v>
      </c>
      <c r="E129" s="24">
        <v>0</v>
      </c>
      <c r="F129" s="24">
        <v>0</v>
      </c>
      <c r="G129" s="24">
        <v>0</v>
      </c>
      <c r="H129" s="24">
        <v>0</v>
      </c>
      <c r="I129" s="24">
        <v>0</v>
      </c>
      <c r="J129" s="24">
        <v>0</v>
      </c>
      <c r="K129" s="24">
        <v>0</v>
      </c>
      <c r="L129" s="24">
        <v>0</v>
      </c>
      <c r="M129" s="24">
        <v>0</v>
      </c>
      <c r="N129" s="24">
        <v>0</v>
      </c>
      <c r="O129" s="24">
        <v>0</v>
      </c>
      <c r="P129" s="24">
        <v>0</v>
      </c>
      <c r="Q129" s="24">
        <v>0</v>
      </c>
      <c r="R129" s="24">
        <v>0</v>
      </c>
      <c r="S129" s="24">
        <v>0</v>
      </c>
      <c r="T129" s="24">
        <v>0</v>
      </c>
      <c r="U129" s="24">
        <v>0</v>
      </c>
      <c r="V129" s="24">
        <v>0</v>
      </c>
      <c r="W129" s="24">
        <v>0</v>
      </c>
      <c r="X129" s="24">
        <v>0</v>
      </c>
      <c r="Y129" s="24">
        <v>0</v>
      </c>
      <c r="Z129" s="24">
        <v>0</v>
      </c>
      <c r="AA129" s="24">
        <v>0</v>
      </c>
      <c r="AB129" s="24">
        <v>0</v>
      </c>
      <c r="AC129" s="24">
        <v>0</v>
      </c>
      <c r="AD129" s="24">
        <v>0</v>
      </c>
      <c r="AE129" s="24">
        <v>0</v>
      </c>
      <c r="AF129" s="24">
        <v>0</v>
      </c>
      <c r="AG129" s="24">
        <v>0</v>
      </c>
      <c r="AH129" s="24">
        <v>0</v>
      </c>
      <c r="AI129" s="24">
        <v>0</v>
      </c>
      <c r="AJ129" s="24">
        <v>0</v>
      </c>
      <c r="AK129" s="24">
        <v>0</v>
      </c>
      <c r="AL129" s="24">
        <v>1701</v>
      </c>
      <c r="AM129" s="24">
        <v>0</v>
      </c>
      <c r="AN129" s="24">
        <v>0</v>
      </c>
      <c r="AO129" s="24">
        <v>0</v>
      </c>
      <c r="AP129" s="24">
        <v>0</v>
      </c>
      <c r="AQ129" s="24">
        <v>0</v>
      </c>
      <c r="AR129" s="24">
        <v>0</v>
      </c>
      <c r="AS129" s="24">
        <v>0</v>
      </c>
      <c r="AT129" s="24">
        <v>0</v>
      </c>
      <c r="AU129" s="24">
        <v>0</v>
      </c>
      <c r="AV129" s="24">
        <v>0</v>
      </c>
      <c r="AW129" s="24">
        <v>0</v>
      </c>
      <c r="AX129" s="24">
        <v>0</v>
      </c>
      <c r="AY129" s="24">
        <v>0</v>
      </c>
      <c r="AZ129" s="24">
        <v>0</v>
      </c>
      <c r="BA129" s="24">
        <v>0</v>
      </c>
      <c r="BB129" s="24">
        <v>0</v>
      </c>
      <c r="BC129" s="24">
        <v>0</v>
      </c>
      <c r="BD129" s="24">
        <v>342</v>
      </c>
      <c r="BE129" s="24">
        <v>0</v>
      </c>
      <c r="BF129" s="24">
        <v>0</v>
      </c>
      <c r="BG129" s="24">
        <v>0</v>
      </c>
      <c r="BH129" s="24">
        <v>0</v>
      </c>
      <c r="BI129" s="24">
        <v>0</v>
      </c>
      <c r="BJ129" s="24">
        <v>0</v>
      </c>
      <c r="BK129" s="24">
        <v>0</v>
      </c>
      <c r="BL129" s="24">
        <v>0</v>
      </c>
      <c r="BM129" s="24">
        <v>0</v>
      </c>
      <c r="BN129" s="24">
        <v>0</v>
      </c>
      <c r="BO129" s="24">
        <v>0</v>
      </c>
      <c r="BP129" s="24">
        <v>0</v>
      </c>
      <c r="BQ129" s="24">
        <v>0</v>
      </c>
      <c r="BR129" s="24">
        <v>0</v>
      </c>
      <c r="BS129" s="24">
        <v>0</v>
      </c>
      <c r="BT129" s="24">
        <v>0</v>
      </c>
      <c r="BU129" s="24">
        <v>0</v>
      </c>
      <c r="BV129" s="24">
        <v>0</v>
      </c>
      <c r="BW129" s="24">
        <v>0</v>
      </c>
      <c r="BX129" s="24">
        <v>0</v>
      </c>
      <c r="BY129" s="24">
        <v>0</v>
      </c>
      <c r="BZ129" s="24">
        <v>0</v>
      </c>
      <c r="CA129" s="24">
        <v>0</v>
      </c>
      <c r="CB129" s="24">
        <v>0</v>
      </c>
      <c r="CC129" s="24">
        <v>0</v>
      </c>
      <c r="CD129" s="24">
        <v>95374</v>
      </c>
      <c r="CE129" s="24">
        <v>1625</v>
      </c>
      <c r="CF129" s="24">
        <v>0</v>
      </c>
      <c r="CG129" s="24">
        <v>2252</v>
      </c>
      <c r="CH129" s="24">
        <v>0</v>
      </c>
      <c r="CI129" s="24">
        <v>0</v>
      </c>
      <c r="CJ129" s="24">
        <v>0</v>
      </c>
      <c r="CK129" s="24">
        <v>0</v>
      </c>
      <c r="CL129" s="24">
        <v>0</v>
      </c>
      <c r="CM129" s="24">
        <v>0</v>
      </c>
      <c r="CN129" s="24">
        <v>0</v>
      </c>
      <c r="CO129" s="24">
        <v>0</v>
      </c>
      <c r="CP129" s="24">
        <v>0</v>
      </c>
      <c r="CQ129" s="24">
        <v>0</v>
      </c>
      <c r="CR129" s="24">
        <v>0</v>
      </c>
      <c r="CS129" s="24">
        <v>0</v>
      </c>
      <c r="CT129" s="24">
        <v>0</v>
      </c>
      <c r="CU129" s="24">
        <v>0</v>
      </c>
      <c r="CV129" s="24">
        <v>0</v>
      </c>
      <c r="CW129" s="24">
        <v>0</v>
      </c>
      <c r="CX129" s="24">
        <v>0</v>
      </c>
      <c r="CY129" s="24">
        <v>0</v>
      </c>
      <c r="CZ129" s="24">
        <v>0</v>
      </c>
      <c r="DA129" s="24">
        <v>0</v>
      </c>
      <c r="DB129" s="24">
        <v>0</v>
      </c>
      <c r="DC129" s="24">
        <v>0</v>
      </c>
      <c r="DD129" s="24">
        <v>0</v>
      </c>
      <c r="DE129" s="24">
        <v>0</v>
      </c>
      <c r="DF129" s="24">
        <v>0</v>
      </c>
      <c r="DG129" s="24">
        <v>0</v>
      </c>
      <c r="DH129" s="24">
        <v>0</v>
      </c>
      <c r="DI129" s="24">
        <v>0</v>
      </c>
      <c r="DJ129" s="24">
        <v>0</v>
      </c>
      <c r="DK129" s="24">
        <v>0</v>
      </c>
      <c r="DL129" s="24">
        <v>0</v>
      </c>
      <c r="DM129" s="24">
        <v>0</v>
      </c>
      <c r="DN129" s="24">
        <v>0</v>
      </c>
      <c r="DO129" s="24">
        <v>0</v>
      </c>
      <c r="DP129" s="24">
        <v>0</v>
      </c>
      <c r="DQ129" s="24">
        <v>0</v>
      </c>
      <c r="DR129" s="24">
        <v>0</v>
      </c>
      <c r="DS129" s="24">
        <v>0</v>
      </c>
      <c r="DT129" s="24">
        <v>0</v>
      </c>
      <c r="DU129" s="24">
        <v>0</v>
      </c>
      <c r="DV129" s="24">
        <v>0</v>
      </c>
      <c r="DW129" s="24">
        <v>0</v>
      </c>
      <c r="DX129" s="24">
        <v>0</v>
      </c>
      <c r="DY129" s="24">
        <v>0</v>
      </c>
      <c r="DZ129" s="24">
        <v>0</v>
      </c>
      <c r="EA129" s="24">
        <v>0</v>
      </c>
      <c r="EB129" s="24">
        <v>0</v>
      </c>
      <c r="EC129" s="24">
        <v>0</v>
      </c>
      <c r="ED129" s="24">
        <v>0</v>
      </c>
      <c r="EE129" s="24">
        <v>0</v>
      </c>
      <c r="EF129" s="24">
        <v>0</v>
      </c>
      <c r="EG129" s="24">
        <v>11110</v>
      </c>
      <c r="EH129" s="24">
        <v>0</v>
      </c>
      <c r="EI129" s="24">
        <v>457039</v>
      </c>
      <c r="EJ129" s="24">
        <v>0</v>
      </c>
      <c r="EK129" s="24">
        <v>0</v>
      </c>
      <c r="EL129" s="24">
        <v>0</v>
      </c>
      <c r="EM129" s="24">
        <v>0</v>
      </c>
      <c r="EN129" s="24">
        <v>0</v>
      </c>
      <c r="EO129" s="24">
        <v>0</v>
      </c>
      <c r="EP129" s="24">
        <v>0</v>
      </c>
      <c r="EQ129" s="24">
        <v>0</v>
      </c>
      <c r="ER129" s="24">
        <v>0</v>
      </c>
      <c r="ES129" s="24">
        <v>0</v>
      </c>
      <c r="ET129" s="24">
        <v>0</v>
      </c>
      <c r="EU129" s="24">
        <v>0</v>
      </c>
      <c r="EV129" s="24">
        <v>0</v>
      </c>
      <c r="EW129" s="24">
        <v>0</v>
      </c>
      <c r="EX129" s="24">
        <v>0</v>
      </c>
      <c r="EY129" s="24">
        <v>0</v>
      </c>
      <c r="EZ129" s="24">
        <v>0</v>
      </c>
      <c r="FA129" s="24">
        <v>0</v>
      </c>
      <c r="FB129" s="24">
        <v>0</v>
      </c>
      <c r="FC129" s="24">
        <v>0</v>
      </c>
      <c r="FD129" s="24">
        <v>0</v>
      </c>
      <c r="FE129" s="24">
        <v>0</v>
      </c>
      <c r="FF129" s="24">
        <v>0</v>
      </c>
      <c r="FG129" s="24">
        <v>0</v>
      </c>
      <c r="FH129" s="24">
        <v>0</v>
      </c>
      <c r="FI129" s="24">
        <v>0</v>
      </c>
      <c r="FJ129" s="24">
        <v>0</v>
      </c>
      <c r="FK129" s="24">
        <v>0</v>
      </c>
      <c r="FL129" s="24">
        <v>0</v>
      </c>
      <c r="FM129" s="24">
        <v>0</v>
      </c>
      <c r="FN129" s="24">
        <v>0</v>
      </c>
      <c r="FO129" s="24">
        <v>0</v>
      </c>
      <c r="FP129" s="24">
        <v>0</v>
      </c>
      <c r="FQ129" s="24">
        <v>0</v>
      </c>
      <c r="FR129" s="24">
        <v>0</v>
      </c>
      <c r="FS129" s="24">
        <v>17050</v>
      </c>
      <c r="FT129" s="24">
        <v>0</v>
      </c>
      <c r="FU129" s="24">
        <v>0</v>
      </c>
      <c r="FV129" s="24">
        <v>0</v>
      </c>
      <c r="FW129" s="24">
        <v>0</v>
      </c>
      <c r="FX129" s="24">
        <v>0</v>
      </c>
      <c r="FY129" s="24">
        <v>0</v>
      </c>
      <c r="FZ129" s="24">
        <v>0</v>
      </c>
      <c r="GA129" s="24">
        <v>0</v>
      </c>
      <c r="GB129" s="24">
        <v>0</v>
      </c>
      <c r="GC129" s="24">
        <v>0</v>
      </c>
      <c r="GD129" s="24">
        <v>0</v>
      </c>
      <c r="GE129" s="24">
        <v>0</v>
      </c>
      <c r="GF129" s="24">
        <v>0</v>
      </c>
      <c r="GG129" s="24">
        <v>0</v>
      </c>
      <c r="GH129" s="24">
        <v>0</v>
      </c>
      <c r="GI129" s="24">
        <v>0</v>
      </c>
      <c r="GJ129" s="24">
        <v>0</v>
      </c>
      <c r="GK129" s="24">
        <v>0</v>
      </c>
      <c r="GL129" s="24">
        <v>0</v>
      </c>
      <c r="GM129" s="24">
        <v>0</v>
      </c>
      <c r="GN129" s="24">
        <v>0</v>
      </c>
      <c r="GO129" s="24">
        <v>0</v>
      </c>
      <c r="GP129" s="24">
        <v>0</v>
      </c>
      <c r="GQ129" s="24">
        <v>0</v>
      </c>
      <c r="GR129" s="24">
        <v>0</v>
      </c>
      <c r="GS129" s="24">
        <v>0</v>
      </c>
      <c r="GT129" s="24">
        <v>0</v>
      </c>
      <c r="GU129" s="24">
        <v>0</v>
      </c>
      <c r="GV129" s="24">
        <v>0</v>
      </c>
      <c r="GW129" s="24">
        <v>0</v>
      </c>
      <c r="GX129" s="24">
        <v>0</v>
      </c>
      <c r="GY129" s="24">
        <v>0</v>
      </c>
      <c r="GZ129" s="24">
        <v>0</v>
      </c>
      <c r="HA129" s="24">
        <v>0</v>
      </c>
      <c r="HB129" s="24">
        <v>0</v>
      </c>
      <c r="HC129" s="24">
        <v>0</v>
      </c>
      <c r="HD129" s="24">
        <v>3566744</v>
      </c>
      <c r="HE129" s="24">
        <v>0</v>
      </c>
      <c r="HF129" s="24">
        <v>0</v>
      </c>
      <c r="HG129" s="24">
        <v>0</v>
      </c>
      <c r="HH129" s="24">
        <v>0</v>
      </c>
      <c r="HI129" s="24">
        <v>255839</v>
      </c>
      <c r="HJ129" s="24">
        <v>0</v>
      </c>
      <c r="HK129" s="24">
        <v>0</v>
      </c>
      <c r="HL129" s="24">
        <v>0</v>
      </c>
      <c r="HM129" s="24">
        <v>0</v>
      </c>
      <c r="HN129" s="24">
        <v>0</v>
      </c>
      <c r="HO129" s="24">
        <v>465513</v>
      </c>
      <c r="HP129" s="24">
        <v>351086</v>
      </c>
      <c r="HQ129" s="24">
        <v>0</v>
      </c>
      <c r="HR129" s="24">
        <v>0</v>
      </c>
      <c r="HS129" s="24">
        <v>0</v>
      </c>
      <c r="HT129" s="24">
        <v>0</v>
      </c>
      <c r="HU129" s="24">
        <v>0</v>
      </c>
      <c r="HV129" s="24">
        <v>0</v>
      </c>
      <c r="HW129" s="24">
        <v>0</v>
      </c>
      <c r="HX129" s="24">
        <v>0</v>
      </c>
      <c r="HY129" s="24">
        <v>0</v>
      </c>
      <c r="HZ129" s="24">
        <v>0</v>
      </c>
      <c r="IA129" s="24">
        <v>48874</v>
      </c>
      <c r="IB129" s="24">
        <v>10634</v>
      </c>
      <c r="IC129" s="24">
        <v>0</v>
      </c>
      <c r="ID129" s="24">
        <v>0</v>
      </c>
      <c r="IE129" s="24">
        <v>0</v>
      </c>
      <c r="IF129" s="24">
        <v>0</v>
      </c>
      <c r="IG129" s="24">
        <v>0</v>
      </c>
      <c r="IH129" s="24">
        <v>0</v>
      </c>
      <c r="II129" s="24">
        <v>0</v>
      </c>
      <c r="IJ129" s="24">
        <v>0</v>
      </c>
      <c r="IK129" s="24">
        <v>0</v>
      </c>
      <c r="IL129" s="24">
        <v>0</v>
      </c>
      <c r="IM129" s="24">
        <v>0</v>
      </c>
      <c r="IN129" s="24">
        <v>0</v>
      </c>
      <c r="IO129" s="24">
        <v>0</v>
      </c>
      <c r="IP129" s="24">
        <v>0</v>
      </c>
      <c r="IQ129" s="24">
        <v>0</v>
      </c>
      <c r="IR129" s="24">
        <v>14904</v>
      </c>
      <c r="IS129" s="24">
        <v>0</v>
      </c>
      <c r="IT129" s="24">
        <v>0</v>
      </c>
      <c r="IU129" s="24">
        <v>0</v>
      </c>
      <c r="IV129" s="24">
        <v>0</v>
      </c>
      <c r="IW129" s="24">
        <v>40201</v>
      </c>
      <c r="IX129" s="24">
        <v>0</v>
      </c>
      <c r="IY129" s="24">
        <v>0</v>
      </c>
      <c r="IZ129" s="24">
        <v>0</v>
      </c>
      <c r="JA129" s="24">
        <v>0</v>
      </c>
      <c r="JB129" s="24">
        <v>0</v>
      </c>
      <c r="JC129" s="24">
        <v>0</v>
      </c>
      <c r="JD129" s="24">
        <v>0</v>
      </c>
      <c r="JE129" s="24">
        <v>0</v>
      </c>
      <c r="JF129" s="24">
        <v>0</v>
      </c>
      <c r="JG129" s="24">
        <v>0</v>
      </c>
      <c r="JH129" s="24">
        <v>0</v>
      </c>
      <c r="JI129" s="24">
        <v>0</v>
      </c>
      <c r="JJ129" s="24">
        <v>0</v>
      </c>
      <c r="JK129" s="24">
        <v>0</v>
      </c>
      <c r="JL129" s="24">
        <v>0</v>
      </c>
      <c r="JM129" s="24">
        <v>0</v>
      </c>
      <c r="JN129" s="24">
        <v>0</v>
      </c>
      <c r="JO129" s="24">
        <v>0</v>
      </c>
      <c r="JP129" s="24">
        <v>0</v>
      </c>
      <c r="JQ129" s="24">
        <v>0</v>
      </c>
      <c r="JR129" s="24">
        <v>0</v>
      </c>
      <c r="JS129" s="24">
        <v>0</v>
      </c>
      <c r="JT129" s="24">
        <v>0</v>
      </c>
      <c r="JU129" s="24">
        <v>0</v>
      </c>
      <c r="JV129" s="24">
        <v>0</v>
      </c>
      <c r="JW129" s="24">
        <v>0</v>
      </c>
      <c r="JX129" s="24">
        <v>0</v>
      </c>
      <c r="JY129" s="24">
        <v>0</v>
      </c>
      <c r="JZ129" s="24">
        <v>0</v>
      </c>
      <c r="KA129" s="24">
        <v>0</v>
      </c>
      <c r="KB129" s="24">
        <v>0</v>
      </c>
      <c r="KC129" s="24">
        <v>0</v>
      </c>
      <c r="KD129" s="24">
        <v>0</v>
      </c>
      <c r="KE129" s="24">
        <v>0</v>
      </c>
      <c r="KF129" s="24">
        <v>0</v>
      </c>
      <c r="KG129" s="24">
        <v>0</v>
      </c>
      <c r="KH129" s="24">
        <v>0</v>
      </c>
      <c r="KI129" s="24">
        <v>0</v>
      </c>
      <c r="KJ129" s="24">
        <v>0</v>
      </c>
      <c r="KK129" s="24">
        <v>0</v>
      </c>
      <c r="KL129" s="24">
        <v>0</v>
      </c>
      <c r="KM129" s="24">
        <v>0</v>
      </c>
      <c r="KN129" s="24">
        <v>0</v>
      </c>
      <c r="KO129" s="24">
        <v>0</v>
      </c>
      <c r="KP129" s="24">
        <v>0</v>
      </c>
      <c r="KQ129" s="24">
        <v>0</v>
      </c>
      <c r="KR129" s="24">
        <v>0</v>
      </c>
      <c r="KS129" s="24">
        <v>0</v>
      </c>
      <c r="KT129" s="24">
        <v>0</v>
      </c>
      <c r="KU129" s="24">
        <v>0</v>
      </c>
      <c r="KV129" s="24">
        <v>0</v>
      </c>
      <c r="KW129" s="24">
        <v>0</v>
      </c>
      <c r="KX129" s="24">
        <v>0</v>
      </c>
      <c r="KY129" s="24">
        <v>0</v>
      </c>
      <c r="KZ129" s="24">
        <v>0</v>
      </c>
      <c r="LA129" s="24">
        <v>0</v>
      </c>
      <c r="LB129" s="24">
        <v>0</v>
      </c>
      <c r="LC129" s="24">
        <v>0</v>
      </c>
      <c r="LD129" s="24">
        <v>0</v>
      </c>
      <c r="LE129" s="24">
        <v>0</v>
      </c>
      <c r="LF129" s="24">
        <v>0</v>
      </c>
      <c r="LG129" s="24">
        <v>0</v>
      </c>
      <c r="LH129" s="24">
        <v>0</v>
      </c>
      <c r="LI129" s="24">
        <v>0</v>
      </c>
      <c r="LJ129" s="24">
        <v>0</v>
      </c>
      <c r="LK129" s="24">
        <v>0</v>
      </c>
      <c r="LL129" s="24">
        <v>0</v>
      </c>
      <c r="LM129" s="24">
        <v>0</v>
      </c>
      <c r="LN129" s="24">
        <v>0</v>
      </c>
      <c r="LO129" s="24">
        <v>0</v>
      </c>
      <c r="LP129" s="24">
        <v>0</v>
      </c>
      <c r="LQ129" s="24">
        <v>0</v>
      </c>
      <c r="LR129" s="24">
        <v>0</v>
      </c>
      <c r="LS129" s="24">
        <v>0</v>
      </c>
      <c r="LT129" s="24">
        <v>0</v>
      </c>
      <c r="LU129" s="24">
        <v>0</v>
      </c>
      <c r="LV129" s="24">
        <v>0</v>
      </c>
      <c r="LW129" s="24">
        <v>0</v>
      </c>
      <c r="LX129" s="24">
        <v>0</v>
      </c>
      <c r="LY129" s="24">
        <v>0</v>
      </c>
      <c r="LZ129" s="24">
        <v>0</v>
      </c>
      <c r="MA129" s="24">
        <v>0</v>
      </c>
      <c r="MB129" s="24">
        <v>0</v>
      </c>
      <c r="MC129" s="24">
        <v>0</v>
      </c>
      <c r="MD129" s="24">
        <v>0</v>
      </c>
      <c r="ME129" s="24">
        <v>0</v>
      </c>
      <c r="MF129" s="24">
        <v>0</v>
      </c>
      <c r="MG129" s="24">
        <v>0</v>
      </c>
      <c r="MH129" s="24">
        <v>0</v>
      </c>
      <c r="MI129" s="24">
        <v>0</v>
      </c>
      <c r="MJ129" s="24">
        <v>0</v>
      </c>
      <c r="MK129" s="24">
        <v>0</v>
      </c>
      <c r="ML129" s="24">
        <v>0</v>
      </c>
      <c r="MM129" s="24">
        <v>0</v>
      </c>
      <c r="MN129" s="24">
        <v>0</v>
      </c>
      <c r="MO129" s="24">
        <v>0</v>
      </c>
      <c r="MP129" s="24">
        <v>0</v>
      </c>
      <c r="MQ129" s="24">
        <v>0</v>
      </c>
      <c r="MR129" s="24">
        <v>76150</v>
      </c>
      <c r="MS129" s="24">
        <v>0</v>
      </c>
      <c r="MT129" s="24">
        <v>0</v>
      </c>
      <c r="MU129" s="24">
        <v>0</v>
      </c>
      <c r="MV129" s="24">
        <v>0</v>
      </c>
      <c r="MW129" s="24">
        <v>107768</v>
      </c>
      <c r="MX129" s="24">
        <v>0</v>
      </c>
      <c r="MY129" s="24">
        <v>0</v>
      </c>
      <c r="MZ129" s="24">
        <v>0</v>
      </c>
      <c r="NA129" s="24">
        <v>0</v>
      </c>
      <c r="NB129" s="24">
        <v>0</v>
      </c>
      <c r="NC129" s="24">
        <v>0</v>
      </c>
      <c r="ND129" s="24">
        <v>0</v>
      </c>
      <c r="NE129" s="24">
        <v>0</v>
      </c>
      <c r="NF129" s="24">
        <v>0</v>
      </c>
      <c r="NG129" s="24">
        <v>0</v>
      </c>
      <c r="NH129" s="24">
        <v>0</v>
      </c>
      <c r="NI129" s="24">
        <v>0</v>
      </c>
      <c r="NJ129" s="24">
        <v>0</v>
      </c>
      <c r="NK129" s="24">
        <v>0</v>
      </c>
      <c r="NL129" s="24">
        <v>0</v>
      </c>
      <c r="NM129" s="24">
        <v>0</v>
      </c>
      <c r="NN129" s="24">
        <v>0</v>
      </c>
      <c r="NO129" s="24">
        <v>0</v>
      </c>
      <c r="NP129" s="24">
        <v>0</v>
      </c>
      <c r="NQ129" s="24">
        <v>0</v>
      </c>
      <c r="NR129" s="24">
        <v>0</v>
      </c>
      <c r="NS129" s="24">
        <v>0</v>
      </c>
      <c r="NT129" s="24">
        <v>0</v>
      </c>
      <c r="NU129" s="24">
        <v>0</v>
      </c>
      <c r="NV129" s="24">
        <v>5839</v>
      </c>
      <c r="NW129" s="24">
        <v>0</v>
      </c>
      <c r="NX129" s="24">
        <v>0</v>
      </c>
      <c r="NY129" s="24">
        <v>0</v>
      </c>
      <c r="NZ129" s="24">
        <v>0</v>
      </c>
      <c r="OA129" s="24">
        <v>0</v>
      </c>
      <c r="OB129" s="24">
        <v>0</v>
      </c>
      <c r="OC129" s="24">
        <v>0</v>
      </c>
      <c r="OD129" s="24">
        <v>0</v>
      </c>
      <c r="OE129" s="24">
        <v>0</v>
      </c>
      <c r="OF129" s="24">
        <v>0</v>
      </c>
      <c r="OG129" s="24">
        <v>0</v>
      </c>
      <c r="OH129" s="24">
        <v>0</v>
      </c>
      <c r="OI129" s="24">
        <v>0</v>
      </c>
      <c r="OJ129" s="24">
        <v>0</v>
      </c>
      <c r="OK129" s="24">
        <v>22917</v>
      </c>
      <c r="OL129" s="24">
        <v>0</v>
      </c>
      <c r="OM129" s="24">
        <v>0</v>
      </c>
      <c r="ON129" s="24">
        <v>0</v>
      </c>
      <c r="OO129" s="24">
        <v>0</v>
      </c>
      <c r="OP129" s="24">
        <v>0</v>
      </c>
      <c r="OQ129" s="24">
        <v>0</v>
      </c>
      <c r="OR129" s="24">
        <v>0</v>
      </c>
      <c r="OS129" s="24">
        <v>0</v>
      </c>
      <c r="OT129" s="24">
        <v>0</v>
      </c>
      <c r="OU129" s="24">
        <v>0</v>
      </c>
      <c r="OV129" s="24">
        <v>0</v>
      </c>
      <c r="OW129" s="24">
        <v>0</v>
      </c>
      <c r="OX129" s="24">
        <v>0</v>
      </c>
      <c r="OY129" s="24">
        <v>0</v>
      </c>
      <c r="OZ129" s="24">
        <v>0</v>
      </c>
      <c r="PA129" s="24">
        <v>0</v>
      </c>
      <c r="PB129" s="24">
        <v>0</v>
      </c>
      <c r="PC129" s="24">
        <v>0</v>
      </c>
      <c r="PD129" s="24">
        <v>0</v>
      </c>
      <c r="PE129" s="24">
        <v>0</v>
      </c>
      <c r="PF129" s="24">
        <v>0</v>
      </c>
      <c r="PG129" s="24">
        <v>0</v>
      </c>
      <c r="PH129" s="24">
        <v>68175</v>
      </c>
      <c r="PI129" s="24">
        <v>0</v>
      </c>
      <c r="PJ129" s="24">
        <v>0</v>
      </c>
      <c r="PK129" s="24">
        <v>0</v>
      </c>
      <c r="PL129" s="24">
        <v>0</v>
      </c>
      <c r="PM129" s="24">
        <v>0</v>
      </c>
      <c r="PN129" s="24">
        <v>0</v>
      </c>
      <c r="PO129" s="24">
        <v>0</v>
      </c>
      <c r="PP129" s="24">
        <v>0</v>
      </c>
      <c r="PQ129" s="24">
        <v>0</v>
      </c>
      <c r="PR129" s="24">
        <v>0</v>
      </c>
      <c r="PS129" s="24">
        <v>0</v>
      </c>
      <c r="PT129" s="24">
        <v>68175</v>
      </c>
      <c r="PU129" s="24">
        <v>0</v>
      </c>
      <c r="PV129" s="24">
        <v>0</v>
      </c>
      <c r="PW129" s="24">
        <v>0</v>
      </c>
      <c r="PX129" s="24">
        <v>0</v>
      </c>
      <c r="PY129" s="24">
        <v>0</v>
      </c>
      <c r="PZ129" s="24">
        <v>0</v>
      </c>
      <c r="QA129" s="24">
        <v>0</v>
      </c>
      <c r="QB129" s="24">
        <v>0</v>
      </c>
      <c r="QC129" s="24">
        <v>0</v>
      </c>
      <c r="QD129" s="24">
        <v>0</v>
      </c>
      <c r="QE129" s="24">
        <v>0</v>
      </c>
      <c r="QF129" s="24">
        <v>0</v>
      </c>
      <c r="QG129" s="24">
        <v>0</v>
      </c>
      <c r="QH129" s="24">
        <v>0</v>
      </c>
      <c r="QI129" s="24">
        <v>0</v>
      </c>
      <c r="QJ129" s="24">
        <v>0</v>
      </c>
      <c r="QK129" s="24">
        <v>0</v>
      </c>
      <c r="QL129" s="24">
        <v>0</v>
      </c>
      <c r="QM129" s="24">
        <v>0</v>
      </c>
      <c r="QN129" s="24">
        <v>0</v>
      </c>
      <c r="QO129" s="24">
        <v>0</v>
      </c>
      <c r="QP129" s="24">
        <v>0</v>
      </c>
      <c r="QQ129" s="24">
        <v>0</v>
      </c>
      <c r="QR129" s="24">
        <v>0</v>
      </c>
      <c r="QS129" s="24">
        <v>2850</v>
      </c>
      <c r="QT129" s="24">
        <v>373228</v>
      </c>
      <c r="QU129" s="24">
        <v>0</v>
      </c>
      <c r="QV129" s="24">
        <v>0</v>
      </c>
      <c r="QW129" s="24">
        <v>0</v>
      </c>
      <c r="QX129" s="24">
        <v>0</v>
      </c>
      <c r="QY129" s="24">
        <v>0</v>
      </c>
      <c r="QZ129" s="24">
        <v>0</v>
      </c>
      <c r="RA129" s="24">
        <v>0</v>
      </c>
      <c r="RB129" s="24">
        <v>0</v>
      </c>
      <c r="RC129" s="913">
        <v>2</v>
      </c>
      <c r="RG129" s="39">
        <f t="shared" si="248"/>
        <v>3566744</v>
      </c>
      <c r="RH129" s="39">
        <f t="shared" si="249"/>
        <v>255839</v>
      </c>
      <c r="RI129" s="39">
        <f t="shared" si="249"/>
        <v>0</v>
      </c>
      <c r="RJ129" s="39">
        <f t="shared" si="249"/>
        <v>0</v>
      </c>
      <c r="RK129" s="39">
        <f t="shared" si="249"/>
        <v>0</v>
      </c>
      <c r="RL129" s="39">
        <f t="shared" si="249"/>
        <v>465513</v>
      </c>
      <c r="RM129" s="39">
        <f t="shared" si="249"/>
        <v>410594</v>
      </c>
      <c r="RN129" s="39">
        <f t="shared" si="249"/>
        <v>0</v>
      </c>
      <c r="RO129" s="39">
        <f t="shared" si="249"/>
        <v>14904</v>
      </c>
      <c r="RP129" s="39">
        <f t="shared" si="249"/>
        <v>40201</v>
      </c>
      <c r="RQ129" s="39">
        <f t="shared" si="249"/>
        <v>0</v>
      </c>
      <c r="RR129" s="39">
        <f t="shared" si="249"/>
        <v>0</v>
      </c>
      <c r="RS129" s="39"/>
      <c r="RT129" s="182"/>
      <c r="RU129" s="39"/>
      <c r="RV129" s="39">
        <f t="shared" si="246"/>
        <v>212674</v>
      </c>
      <c r="RW129" s="39">
        <f t="shared" si="246"/>
        <v>4753795</v>
      </c>
      <c r="RX129" s="39">
        <f t="shared" si="246"/>
        <v>586493</v>
      </c>
      <c r="RY129" s="39">
        <f t="shared" si="246"/>
        <v>512428</v>
      </c>
      <c r="RZ129" s="39"/>
      <c r="SA129" s="182"/>
      <c r="SB129" s="39"/>
      <c r="SC129" s="25">
        <f t="shared" si="183"/>
        <v>743.33713561470211</v>
      </c>
      <c r="SD129" s="39">
        <f>IFERROR(VLOOKUP(A129, 'Levy Data 15-16'!$B:$O, 3, FALSE), 0)</f>
        <v>0</v>
      </c>
      <c r="SE129" s="39">
        <f t="shared" si="208"/>
        <v>0</v>
      </c>
      <c r="SF129" s="631">
        <f>IFERROR(VLOOKUP(A129, 'Levy Data 15-16'!$B:$O, 14, FALSE), 0)*1000</f>
        <v>0</v>
      </c>
      <c r="SG129" s="39">
        <f t="shared" si="209"/>
        <v>0</v>
      </c>
      <c r="SH129" s="39">
        <f t="shared" si="210"/>
        <v>0</v>
      </c>
      <c r="SI129" s="39">
        <f t="shared" si="211"/>
        <v>586493</v>
      </c>
      <c r="SM129" s="39">
        <f t="shared" si="212"/>
        <v>4753795</v>
      </c>
      <c r="SN129" s="39">
        <f t="shared" si="213"/>
        <v>0</v>
      </c>
      <c r="SO129" s="39">
        <f t="shared" si="184"/>
        <v>4753795</v>
      </c>
      <c r="SP129" s="50">
        <f t="shared" si="250"/>
        <v>1</v>
      </c>
      <c r="ST129" s="124">
        <f>IFERROR(VLOOKUP(A129,'Grade Enroll 15-16'!B:AC,27,FALSE),"")</f>
        <v>789</v>
      </c>
      <c r="SU129" s="124">
        <f t="shared" si="185"/>
        <v>0</v>
      </c>
      <c r="SV129" s="131">
        <f>IFERROR(VLOOKUP($A129, 'Title I Enroll 16-17'!S:V, 4, FALSE), 0)</f>
        <v>0</v>
      </c>
      <c r="SW129" s="729">
        <f>IFERROR(VLOOKUP(A129, 'ELL Enroll 15-16'!$N:$S, 6, FALSE), 0)</f>
        <v>5</v>
      </c>
      <c r="SX129" s="131">
        <f t="shared" si="251"/>
        <v>6.3371356147021544E-3</v>
      </c>
      <c r="SY129" s="124">
        <f>IFERROR(VLOOKUP(A129, 'SPED enroll 2015-16'!$M:$O, 3, FALSE), 0)</f>
        <v>29</v>
      </c>
      <c r="SZ129" s="131">
        <f t="shared" si="252"/>
        <v>3.6755386565272496E-2</v>
      </c>
      <c r="TA129" s="142">
        <f t="shared" si="253"/>
        <v>20.299999999999997</v>
      </c>
      <c r="TB129" s="142">
        <f t="shared" si="253"/>
        <v>5.8000000000000007</v>
      </c>
      <c r="TC129" s="142">
        <f t="shared" si="253"/>
        <v>2.0300000000000002</v>
      </c>
      <c r="TD129" s="142">
        <f t="shared" si="253"/>
        <v>0.87</v>
      </c>
      <c r="TE129" s="124">
        <f>VLOOKUP($A129, 'Grade Enroll 15-16'!$B:$AB, 20, FALSE)</f>
        <v>0</v>
      </c>
      <c r="TF129" s="124">
        <f>VLOOKUP($A129, 'Grade Enroll 15-16'!$B:$AB, 21, FALSE)</f>
        <v>71</v>
      </c>
      <c r="TG129" s="124">
        <f>VLOOKUP($A129, 'Grade Enroll 15-16'!$B:$AB, 22, FALSE)</f>
        <v>228</v>
      </c>
      <c r="TH129" s="124">
        <f>VLOOKUP($A129, 'Grade Enroll 15-16'!$B:$AB, 23, FALSE)</f>
        <v>257</v>
      </c>
      <c r="TI129" s="124">
        <f>VLOOKUP($A129, 'Grade Enroll 15-16'!$B:$AB, 24, FALSE)</f>
        <v>169</v>
      </c>
      <c r="TJ129" s="124">
        <f>VLOOKUP($A129, 'Grade Enroll 15-16'!$B:$AB, 25, FALSE)</f>
        <v>135</v>
      </c>
      <c r="TK129" s="124">
        <f>VLOOKUP($A129, 'Grade Enroll 15-16'!$B:$AB, 26, FALSE)</f>
        <v>590</v>
      </c>
      <c r="TL129" s="131">
        <f>SUMIFS('Student Achievement 15-16'!N:N, 'Student Achievement 15-16'!B:B, 'Idaho Data'!A129, 'Student Achievement 15-16'!D:D, "math")/100</f>
        <v>4.2000000000000003E-2</v>
      </c>
      <c r="TM129" s="134">
        <f t="shared" si="186"/>
        <v>33.138000000000005</v>
      </c>
      <c r="TN129" s="131">
        <f>SUMIFS('Student Achievement 15-16'!N:N, 'Student Achievement 15-16'!B:B, 'Idaho Data'!A129, 'Student Achievement 15-16'!D:D, "ela")/100</f>
        <v>7.0000000000000007E-2</v>
      </c>
      <c r="TO129" s="134">
        <f t="shared" si="254"/>
        <v>55.230000000000004</v>
      </c>
      <c r="TP129" s="688">
        <f>IFERROR(VLOOKUP(A129, 'G&amp;T 15-16'!B:G, 6, FALSE), 0)*1</f>
        <v>0</v>
      </c>
      <c r="TQ129" s="168">
        <f t="shared" si="255"/>
        <v>47.339999999999996</v>
      </c>
      <c r="TU129" s="168">
        <f t="shared" si="256"/>
        <v>33.138000000000005</v>
      </c>
      <c r="TV129" s="168">
        <f t="shared" si="257"/>
        <v>55.230000000000004</v>
      </c>
      <c r="TW129" s="205">
        <f t="shared" si="258"/>
        <v>55.230000000000004</v>
      </c>
      <c r="TX129" s="144"/>
      <c r="TY129" s="129"/>
      <c r="TZ129" s="127">
        <f t="shared" si="259"/>
        <v>0</v>
      </c>
      <c r="UA129" s="127">
        <f t="shared" si="260"/>
        <v>47.339999999999996</v>
      </c>
      <c r="UB129" s="205">
        <f t="shared" si="261"/>
        <v>47.339999999999996</v>
      </c>
      <c r="UE129" s="853" t="str">
        <f>IF(ST129&lt;='1. Simulator Input'!$E$104, "yes", "")</f>
        <v/>
      </c>
      <c r="UI129" s="199">
        <f t="shared" si="187"/>
        <v>0</v>
      </c>
      <c r="UJ129" s="200">
        <f>IF('Idaho Data'!SI129&gt;=0, ((1-'1. Simulator Input'!$E$39)*'Idaho Data'!SI129), 0)</f>
        <v>0</v>
      </c>
      <c r="UK129" s="200">
        <f t="shared" si="262"/>
        <v>4753795</v>
      </c>
      <c r="UL129" s="39"/>
      <c r="UM129" s="182"/>
      <c r="UN129" s="39"/>
      <c r="UO129" s="39" t="str">
        <f>IF(AND('1. Simulator Input'!$E$96="yes", '1. Simulator Input'!$E$98="yes", '1. Simulator Input'!$E$100="hold harmless"), 'Idaho Data'!WN129, IF(AND('1. Simulator Input'!$E$96="yes", '1. Simulator Input'!$E$98="no", '1. Simulator Input'!$E$100="hold harmless"), 'Idaho Data'!WM129, IF(AND('1. Simulator Input'!$E$96="yes", '1. Simulator Input'!$E$98="yes", '1. Simulator Input'!$E$100="small district grant"), WL129,IF(AND('1. Simulator Input'!$E$96="yes", '1. Simulator Input'!$E$98="no", '1. Simulator Input'!$E$100="small district grant"), WK129, ""))))</f>
        <v/>
      </c>
      <c r="UP129" s="200">
        <f>'1. Simulator Input'!$D$56*('Idaho Data'!ST129)</f>
        <v>4360014</v>
      </c>
      <c r="UQ129" s="204">
        <f>'1. Simulator Input'!$D$65*'1. Simulator Input'!$D$56*'Idaho Data'!SU129</f>
        <v>0</v>
      </c>
      <c r="UR129" s="204">
        <f>'1. Simulator Input'!$D$66*'1. Simulator Input'!$D$56*'Idaho Data'!SW129</f>
        <v>0</v>
      </c>
      <c r="US129" s="200">
        <f>'1. Simulator Input'!$D$67*'1. Simulator Input'!$D$56*'Idaho Data'!TA129</f>
        <v>0</v>
      </c>
      <c r="UT129" s="200">
        <f>'1. Simulator Input'!$D$68*'1. Simulator Input'!$D$56*'Idaho Data'!TB129</f>
        <v>0</v>
      </c>
      <c r="UU129" s="200">
        <f>'1. Simulator Input'!$D$69*'1. Simulator Input'!$D$56*'Idaho Data'!TC129</f>
        <v>0</v>
      </c>
      <c r="UV129" s="200">
        <f>'1. Simulator Input'!$D$70*'1. Simulator Input'!$D$56*TD129</f>
        <v>0</v>
      </c>
      <c r="UW129" s="200">
        <f>'1. Simulator Input'!$D$80*'1. Simulator Input'!$D$56*TW129</f>
        <v>0</v>
      </c>
      <c r="UX129" s="200">
        <f>'1. Simulator Input'!$D$79*'1. Simulator Input'!$D$56*UB129</f>
        <v>0</v>
      </c>
      <c r="UY129" s="200">
        <f>'1. Simulator Input'!$D$87*'1. Simulator Input'!$D$56*TF129</f>
        <v>196173</v>
      </c>
      <c r="UZ129" s="200">
        <f>'1. Simulator Input'!$D$73*'1. Simulator Input'!$D$56*'Idaho Data'!TG129</f>
        <v>0</v>
      </c>
      <c r="VA129" s="200">
        <f>'1. Simulator Input'!$D$56*'1. Simulator Input'!$D$74*'Idaho Data'!TH129</f>
        <v>0</v>
      </c>
      <c r="VB129" s="200">
        <f>'1. Simulator Input'!$D$56*'1. Simulator Input'!$D$75*'Idaho Data'!TI124</f>
        <v>0</v>
      </c>
      <c r="VC129" s="200">
        <f>'1. Simulator Input'!$D$76*'1. Simulator Input'!$D$56*'Idaho Data'!TJ129</f>
        <v>0</v>
      </c>
      <c r="VD129" s="200">
        <f t="shared" si="188"/>
        <v>4556187</v>
      </c>
      <c r="VE129" s="200"/>
      <c r="VF129" s="182"/>
      <c r="VG129" s="200"/>
      <c r="VH129" s="200">
        <f t="shared" si="189"/>
        <v>0</v>
      </c>
      <c r="VI129" s="200">
        <f t="shared" si="190"/>
        <v>0</v>
      </c>
      <c r="VJ129" s="200">
        <f t="shared" si="214"/>
        <v>4556187</v>
      </c>
      <c r="VK129" s="200">
        <f t="shared" si="215"/>
        <v>4556187</v>
      </c>
      <c r="VL129" s="200"/>
      <c r="VM129" s="182"/>
      <c r="VN129" s="200"/>
      <c r="VO129" s="200">
        <f t="shared" si="191"/>
        <v>212674</v>
      </c>
      <c r="VP129" s="200">
        <f t="shared" si="192"/>
        <v>4753795</v>
      </c>
      <c r="VQ129" s="200">
        <f t="shared" si="193"/>
        <v>586493</v>
      </c>
      <c r="VR129" s="200">
        <f t="shared" si="194"/>
        <v>212674</v>
      </c>
      <c r="VS129" s="200">
        <f t="shared" si="216"/>
        <v>4556187</v>
      </c>
      <c r="VT129" s="200">
        <f t="shared" si="217"/>
        <v>586493</v>
      </c>
      <c r="VU129" s="200">
        <f t="shared" si="218"/>
        <v>0</v>
      </c>
      <c r="VV129" s="200"/>
      <c r="VW129" s="182"/>
      <c r="VX129" s="200"/>
      <c r="VZ129" s="199">
        <f t="shared" si="195"/>
        <v>-197608</v>
      </c>
      <c r="WA129" s="199">
        <f t="shared" si="196"/>
        <v>-250.45373891001267</v>
      </c>
      <c r="WB129" s="131">
        <f t="shared" si="197"/>
        <v>-4.1568473188263275E-2</v>
      </c>
      <c r="WC129" s="131"/>
      <c r="WD129" s="461"/>
      <c r="WE129" s="893"/>
      <c r="WF129" s="893">
        <f t="shared" si="198"/>
        <v>7037.9746514575409</v>
      </c>
      <c r="WG129" s="893">
        <f t="shared" si="199"/>
        <v>6787.5209125475285</v>
      </c>
      <c r="WH129" s="893"/>
      <c r="WI129" s="893">
        <f t="shared" si="200"/>
        <v>4753795</v>
      </c>
      <c r="WJ129" s="893">
        <f t="shared" si="219"/>
        <v>4556187</v>
      </c>
      <c r="WK129" s="39" t="str">
        <f t="shared" si="220"/>
        <v/>
      </c>
      <c r="WL129" s="39" t="str">
        <f t="shared" si="221"/>
        <v/>
      </c>
      <c r="WM129" s="200" t="str">
        <f t="shared" si="222"/>
        <v/>
      </c>
      <c r="WN129" s="39" t="str">
        <f t="shared" si="223"/>
        <v/>
      </c>
      <c r="WO129" s="39"/>
      <c r="WP129" s="182"/>
      <c r="WQ129" s="39"/>
      <c r="WR129" s="305"/>
      <c r="WT129" s="200">
        <f t="shared" si="225"/>
        <v>6025.0887198986056</v>
      </c>
      <c r="WU129" s="131">
        <f t="shared" si="201"/>
        <v>0.36</v>
      </c>
      <c r="WW129" s="199">
        <f t="shared" si="226"/>
        <v>212674</v>
      </c>
      <c r="WX129" s="199">
        <f t="shared" si="227"/>
        <v>4556187</v>
      </c>
      <c r="WY129" s="199">
        <f t="shared" si="228"/>
        <v>0</v>
      </c>
      <c r="WZ129" s="199">
        <f t="shared" si="202"/>
        <v>4556187</v>
      </c>
      <c r="XA129" s="199">
        <f t="shared" si="229"/>
        <v>0</v>
      </c>
      <c r="XB129" s="199">
        <f t="shared" si="230"/>
        <v>586493</v>
      </c>
      <c r="XC129" s="199">
        <f t="shared" si="231"/>
        <v>586493</v>
      </c>
      <c r="XD129" s="199" t="str">
        <f t="shared" si="232"/>
        <v/>
      </c>
      <c r="XE129" s="199"/>
      <c r="XF129" s="199"/>
      <c r="XG129" s="199"/>
      <c r="XH129" s="199"/>
      <c r="XI129" s="199"/>
      <c r="XJ129" s="199">
        <f t="shared" si="203"/>
        <v>4556187</v>
      </c>
      <c r="XP129" s="199">
        <f t="shared" si="233"/>
        <v>4556187</v>
      </c>
      <c r="XQ129" s="199">
        <f t="shared" si="234"/>
        <v>5774.6349809885933</v>
      </c>
      <c r="XR129" s="199">
        <f t="shared" si="235"/>
        <v>4556187</v>
      </c>
      <c r="XS129" s="199">
        <f t="shared" si="236"/>
        <v>4556187</v>
      </c>
      <c r="XT129" s="199">
        <f t="shared" si="237"/>
        <v>5774.6349809885933</v>
      </c>
      <c r="XU129" s="199">
        <f t="shared" si="238"/>
        <v>4753795</v>
      </c>
      <c r="XV129" s="199">
        <f t="shared" si="239"/>
        <v>6025.0887198986056</v>
      </c>
      <c r="XW129" s="199">
        <f t="shared" si="240"/>
        <v>4753795</v>
      </c>
      <c r="XX129" s="199">
        <f t="shared" si="241"/>
        <v>6025.0887198986056</v>
      </c>
      <c r="XY129" s="199">
        <f t="shared" si="204"/>
        <v>-197608</v>
      </c>
      <c r="XZ129" s="199">
        <f t="shared" si="205"/>
        <v>-250.45373891001236</v>
      </c>
      <c r="YA129" s="131">
        <f t="shared" si="263"/>
        <v>-4.1568473188263219E-2</v>
      </c>
      <c r="YB129" s="199"/>
      <c r="YC129" s="221"/>
      <c r="YD129" s="199"/>
      <c r="YE129" s="199">
        <f t="shared" si="242"/>
        <v>212674</v>
      </c>
      <c r="YF129" s="200">
        <f t="shared" si="243"/>
        <v>0</v>
      </c>
      <c r="YG129" s="199">
        <f t="shared" si="244"/>
        <v>586493</v>
      </c>
      <c r="YH129" s="199">
        <f t="shared" si="245"/>
        <v>512428</v>
      </c>
    </row>
    <row r="130" spans="1:658">
      <c r="A130" s="3">
        <v>456</v>
      </c>
      <c r="B130" s="2" t="s">
        <v>227</v>
      </c>
      <c r="C130" s="24">
        <v>0</v>
      </c>
      <c r="D130" s="24">
        <v>0</v>
      </c>
      <c r="E130" s="24">
        <v>0</v>
      </c>
      <c r="F130" s="24">
        <v>0</v>
      </c>
      <c r="G130" s="24">
        <v>0</v>
      </c>
      <c r="H130" s="24">
        <v>0</v>
      </c>
      <c r="I130" s="24">
        <v>0</v>
      </c>
      <c r="J130" s="24">
        <v>0</v>
      </c>
      <c r="K130" s="24">
        <v>0</v>
      </c>
      <c r="L130" s="24">
        <v>0</v>
      </c>
      <c r="M130" s="24">
        <v>0</v>
      </c>
      <c r="N130" s="24">
        <v>0</v>
      </c>
      <c r="O130" s="24">
        <v>0</v>
      </c>
      <c r="P130" s="24">
        <v>0</v>
      </c>
      <c r="Q130" s="24">
        <v>0</v>
      </c>
      <c r="R130" s="24">
        <v>0</v>
      </c>
      <c r="S130" s="24">
        <v>0</v>
      </c>
      <c r="T130" s="24">
        <v>0</v>
      </c>
      <c r="U130" s="24">
        <v>0</v>
      </c>
      <c r="V130" s="24">
        <v>0</v>
      </c>
      <c r="W130" s="24">
        <v>0</v>
      </c>
      <c r="X130" s="24">
        <v>0</v>
      </c>
      <c r="Y130" s="24">
        <v>0</v>
      </c>
      <c r="Z130" s="24">
        <v>0</v>
      </c>
      <c r="AA130" s="24">
        <v>0</v>
      </c>
      <c r="AB130" s="24">
        <v>0</v>
      </c>
      <c r="AC130" s="24">
        <v>0</v>
      </c>
      <c r="AD130" s="24">
        <v>0</v>
      </c>
      <c r="AE130" s="24">
        <v>0</v>
      </c>
      <c r="AF130" s="24">
        <v>0</v>
      </c>
      <c r="AG130" s="24">
        <v>0</v>
      </c>
      <c r="AH130" s="24">
        <v>0</v>
      </c>
      <c r="AI130" s="24">
        <v>0</v>
      </c>
      <c r="AJ130" s="24">
        <v>0</v>
      </c>
      <c r="AK130" s="24">
        <v>0</v>
      </c>
      <c r="AL130" s="24">
        <v>1017</v>
      </c>
      <c r="AM130" s="24">
        <v>0</v>
      </c>
      <c r="AN130" s="24">
        <v>0</v>
      </c>
      <c r="AO130" s="24">
        <v>0</v>
      </c>
      <c r="AP130" s="24">
        <v>0</v>
      </c>
      <c r="AQ130" s="24">
        <v>0</v>
      </c>
      <c r="AR130" s="24">
        <v>0</v>
      </c>
      <c r="AS130" s="24">
        <v>0</v>
      </c>
      <c r="AT130" s="24">
        <v>0</v>
      </c>
      <c r="AU130" s="24">
        <v>0</v>
      </c>
      <c r="AV130" s="24">
        <v>0</v>
      </c>
      <c r="AW130" s="24">
        <v>0</v>
      </c>
      <c r="AX130" s="24">
        <v>0</v>
      </c>
      <c r="AY130" s="24">
        <v>0</v>
      </c>
      <c r="AZ130" s="24">
        <v>0</v>
      </c>
      <c r="BA130" s="24">
        <v>0</v>
      </c>
      <c r="BB130" s="24">
        <v>0</v>
      </c>
      <c r="BC130" s="24">
        <v>0</v>
      </c>
      <c r="BD130" s="24">
        <v>0</v>
      </c>
      <c r="BE130" s="24">
        <v>0</v>
      </c>
      <c r="BF130" s="24">
        <v>0</v>
      </c>
      <c r="BG130" s="24">
        <v>0</v>
      </c>
      <c r="BH130" s="24">
        <v>0</v>
      </c>
      <c r="BI130" s="24">
        <v>0</v>
      </c>
      <c r="BJ130" s="24">
        <v>0</v>
      </c>
      <c r="BK130" s="24">
        <v>0</v>
      </c>
      <c r="BL130" s="24">
        <v>0</v>
      </c>
      <c r="BM130" s="24">
        <v>0</v>
      </c>
      <c r="BN130" s="24">
        <v>0</v>
      </c>
      <c r="BO130" s="24">
        <v>0</v>
      </c>
      <c r="BP130" s="24">
        <v>0</v>
      </c>
      <c r="BQ130" s="24">
        <v>0</v>
      </c>
      <c r="BR130" s="24">
        <v>0</v>
      </c>
      <c r="BS130" s="24">
        <v>0</v>
      </c>
      <c r="BT130" s="24">
        <v>0</v>
      </c>
      <c r="BU130" s="24">
        <v>0</v>
      </c>
      <c r="BV130" s="24">
        <v>0</v>
      </c>
      <c r="BW130" s="24">
        <v>0</v>
      </c>
      <c r="BX130" s="24">
        <v>0</v>
      </c>
      <c r="BY130" s="24">
        <v>0</v>
      </c>
      <c r="BZ130" s="24">
        <v>0</v>
      </c>
      <c r="CA130" s="24">
        <v>0</v>
      </c>
      <c r="CB130" s="24">
        <v>0</v>
      </c>
      <c r="CC130" s="24">
        <v>0</v>
      </c>
      <c r="CD130" s="24">
        <v>27660</v>
      </c>
      <c r="CE130" s="24">
        <v>0</v>
      </c>
      <c r="CF130" s="24">
        <v>0</v>
      </c>
      <c r="CG130" s="24">
        <v>0</v>
      </c>
      <c r="CH130" s="24">
        <v>0</v>
      </c>
      <c r="CI130" s="24">
        <v>0</v>
      </c>
      <c r="CJ130" s="24">
        <v>0</v>
      </c>
      <c r="CK130" s="24">
        <v>0</v>
      </c>
      <c r="CL130" s="24">
        <v>0</v>
      </c>
      <c r="CM130" s="24">
        <v>0</v>
      </c>
      <c r="CN130" s="24">
        <v>0</v>
      </c>
      <c r="CO130" s="24">
        <v>0</v>
      </c>
      <c r="CP130" s="24">
        <v>0</v>
      </c>
      <c r="CQ130" s="24">
        <v>0</v>
      </c>
      <c r="CR130" s="24">
        <v>0</v>
      </c>
      <c r="CS130" s="24">
        <v>0</v>
      </c>
      <c r="CT130" s="24">
        <v>0</v>
      </c>
      <c r="CU130" s="24">
        <v>0</v>
      </c>
      <c r="CV130" s="24">
        <v>0</v>
      </c>
      <c r="CW130" s="24">
        <v>0</v>
      </c>
      <c r="CX130" s="24">
        <v>0</v>
      </c>
      <c r="CY130" s="24">
        <v>0</v>
      </c>
      <c r="CZ130" s="24">
        <v>0</v>
      </c>
      <c r="DA130" s="24">
        <v>0</v>
      </c>
      <c r="DB130" s="24">
        <v>0</v>
      </c>
      <c r="DC130" s="24">
        <v>0</v>
      </c>
      <c r="DD130" s="24">
        <v>0</v>
      </c>
      <c r="DE130" s="24">
        <v>0</v>
      </c>
      <c r="DF130" s="24">
        <v>0</v>
      </c>
      <c r="DG130" s="24">
        <v>0</v>
      </c>
      <c r="DH130" s="24">
        <v>0</v>
      </c>
      <c r="DI130" s="24">
        <v>0</v>
      </c>
      <c r="DJ130" s="24">
        <v>0</v>
      </c>
      <c r="DK130" s="24">
        <v>0</v>
      </c>
      <c r="DL130" s="24">
        <v>0</v>
      </c>
      <c r="DM130" s="24">
        <v>0</v>
      </c>
      <c r="DN130" s="24">
        <v>0</v>
      </c>
      <c r="DO130" s="24">
        <v>0</v>
      </c>
      <c r="DP130" s="24">
        <v>0</v>
      </c>
      <c r="DQ130" s="24">
        <v>0</v>
      </c>
      <c r="DR130" s="24">
        <v>0</v>
      </c>
      <c r="DS130" s="24">
        <v>0</v>
      </c>
      <c r="DT130" s="24">
        <v>0</v>
      </c>
      <c r="DU130" s="24">
        <v>0</v>
      </c>
      <c r="DV130" s="24">
        <v>0</v>
      </c>
      <c r="DW130" s="24">
        <v>0</v>
      </c>
      <c r="DX130" s="24">
        <v>0</v>
      </c>
      <c r="DY130" s="24">
        <v>0</v>
      </c>
      <c r="DZ130" s="24">
        <v>0</v>
      </c>
      <c r="EA130" s="24">
        <v>0</v>
      </c>
      <c r="EB130" s="24">
        <v>0</v>
      </c>
      <c r="EC130" s="24">
        <v>0</v>
      </c>
      <c r="ED130" s="24">
        <v>0</v>
      </c>
      <c r="EE130" s="24">
        <v>0</v>
      </c>
      <c r="EF130" s="24">
        <v>0</v>
      </c>
      <c r="EG130" s="24">
        <v>857</v>
      </c>
      <c r="EH130" s="24">
        <v>0</v>
      </c>
      <c r="EI130" s="24">
        <v>0</v>
      </c>
      <c r="EJ130" s="24">
        <v>0</v>
      </c>
      <c r="EK130" s="24">
        <v>0</v>
      </c>
      <c r="EL130" s="24">
        <v>0</v>
      </c>
      <c r="EM130" s="24">
        <v>0</v>
      </c>
      <c r="EN130" s="24">
        <v>0</v>
      </c>
      <c r="EO130" s="24">
        <v>0</v>
      </c>
      <c r="EP130" s="24">
        <v>0</v>
      </c>
      <c r="EQ130" s="24">
        <v>0</v>
      </c>
      <c r="ER130" s="24">
        <v>0</v>
      </c>
      <c r="ES130" s="24">
        <v>0</v>
      </c>
      <c r="ET130" s="24">
        <v>0</v>
      </c>
      <c r="EU130" s="24">
        <v>0</v>
      </c>
      <c r="EV130" s="24">
        <v>0</v>
      </c>
      <c r="EW130" s="24">
        <v>0</v>
      </c>
      <c r="EX130" s="24">
        <v>0</v>
      </c>
      <c r="EY130" s="24">
        <v>0</v>
      </c>
      <c r="EZ130" s="24">
        <v>0</v>
      </c>
      <c r="FA130" s="24">
        <v>0</v>
      </c>
      <c r="FB130" s="24">
        <v>0</v>
      </c>
      <c r="FC130" s="24">
        <v>0</v>
      </c>
      <c r="FD130" s="24">
        <v>0</v>
      </c>
      <c r="FE130" s="24">
        <v>0</v>
      </c>
      <c r="FF130" s="24">
        <v>0</v>
      </c>
      <c r="FG130" s="24">
        <v>0</v>
      </c>
      <c r="FH130" s="24">
        <v>0</v>
      </c>
      <c r="FI130" s="24">
        <v>0</v>
      </c>
      <c r="FJ130" s="24">
        <v>0</v>
      </c>
      <c r="FK130" s="24">
        <v>0</v>
      </c>
      <c r="FL130" s="24">
        <v>0</v>
      </c>
      <c r="FM130" s="24">
        <v>0</v>
      </c>
      <c r="FN130" s="24">
        <v>0</v>
      </c>
      <c r="FO130" s="24">
        <v>0</v>
      </c>
      <c r="FP130" s="24">
        <v>0</v>
      </c>
      <c r="FQ130" s="24">
        <v>0</v>
      </c>
      <c r="FR130" s="24">
        <v>0</v>
      </c>
      <c r="FS130" s="24">
        <v>13920</v>
      </c>
      <c r="FT130" s="24">
        <v>0</v>
      </c>
      <c r="FU130" s="24">
        <v>0</v>
      </c>
      <c r="FV130" s="24">
        <v>0</v>
      </c>
      <c r="FW130" s="24">
        <v>0</v>
      </c>
      <c r="FX130" s="24">
        <v>0</v>
      </c>
      <c r="FY130" s="24">
        <v>0</v>
      </c>
      <c r="FZ130" s="24">
        <v>0</v>
      </c>
      <c r="GA130" s="24">
        <v>0</v>
      </c>
      <c r="GB130" s="24">
        <v>0</v>
      </c>
      <c r="GC130" s="24">
        <v>0</v>
      </c>
      <c r="GD130" s="24">
        <v>0</v>
      </c>
      <c r="GE130" s="24">
        <v>0</v>
      </c>
      <c r="GF130" s="24">
        <v>0</v>
      </c>
      <c r="GG130" s="24">
        <v>0</v>
      </c>
      <c r="GH130" s="24">
        <v>0</v>
      </c>
      <c r="GI130" s="24">
        <v>0</v>
      </c>
      <c r="GJ130" s="24">
        <v>0</v>
      </c>
      <c r="GK130" s="24">
        <v>0</v>
      </c>
      <c r="GL130" s="24">
        <v>0</v>
      </c>
      <c r="GM130" s="24">
        <v>0</v>
      </c>
      <c r="GN130" s="24">
        <v>0</v>
      </c>
      <c r="GO130" s="24">
        <v>0</v>
      </c>
      <c r="GP130" s="24">
        <v>0</v>
      </c>
      <c r="GQ130" s="24">
        <v>0</v>
      </c>
      <c r="GR130" s="24">
        <v>0</v>
      </c>
      <c r="GS130" s="24">
        <v>0</v>
      </c>
      <c r="GT130" s="24">
        <v>0</v>
      </c>
      <c r="GU130" s="24">
        <v>0</v>
      </c>
      <c r="GV130" s="24">
        <v>0</v>
      </c>
      <c r="GW130" s="24">
        <v>0</v>
      </c>
      <c r="GX130" s="24">
        <v>0</v>
      </c>
      <c r="GY130" s="24">
        <v>0</v>
      </c>
      <c r="GZ130" s="24">
        <v>0</v>
      </c>
      <c r="HA130" s="24">
        <v>0</v>
      </c>
      <c r="HB130" s="24">
        <v>0</v>
      </c>
      <c r="HC130" s="24">
        <v>0</v>
      </c>
      <c r="HD130" s="24">
        <v>1405946</v>
      </c>
      <c r="HE130" s="24">
        <v>0</v>
      </c>
      <c r="HF130" s="24">
        <v>0</v>
      </c>
      <c r="HG130" s="24">
        <v>0</v>
      </c>
      <c r="HH130" s="24">
        <v>0</v>
      </c>
      <c r="HI130" s="24">
        <v>0</v>
      </c>
      <c r="HJ130" s="24">
        <v>0</v>
      </c>
      <c r="HK130" s="24">
        <v>0</v>
      </c>
      <c r="HL130" s="24">
        <v>0</v>
      </c>
      <c r="HM130" s="24">
        <v>0</v>
      </c>
      <c r="HN130" s="24">
        <v>0</v>
      </c>
      <c r="HO130" s="24">
        <v>0</v>
      </c>
      <c r="HP130" s="24">
        <v>124294</v>
      </c>
      <c r="HQ130" s="24">
        <v>0</v>
      </c>
      <c r="HR130" s="24">
        <v>0</v>
      </c>
      <c r="HS130" s="24">
        <v>0</v>
      </c>
      <c r="HT130" s="24">
        <v>0</v>
      </c>
      <c r="HU130" s="24">
        <v>0</v>
      </c>
      <c r="HV130" s="24">
        <v>0</v>
      </c>
      <c r="HW130" s="24">
        <v>0</v>
      </c>
      <c r="HX130" s="24">
        <v>0</v>
      </c>
      <c r="HY130" s="24">
        <v>0</v>
      </c>
      <c r="HZ130" s="24">
        <v>0</v>
      </c>
      <c r="IA130" s="24">
        <v>0</v>
      </c>
      <c r="IB130" s="24">
        <v>0</v>
      </c>
      <c r="IC130" s="24">
        <v>0</v>
      </c>
      <c r="ID130" s="24">
        <v>0</v>
      </c>
      <c r="IE130" s="24">
        <v>0</v>
      </c>
      <c r="IF130" s="24">
        <v>0</v>
      </c>
      <c r="IG130" s="24">
        <v>0</v>
      </c>
      <c r="IH130" s="24">
        <v>0</v>
      </c>
      <c r="II130" s="24">
        <v>0</v>
      </c>
      <c r="IJ130" s="24">
        <v>0</v>
      </c>
      <c r="IK130" s="24">
        <v>0</v>
      </c>
      <c r="IL130" s="24">
        <v>0</v>
      </c>
      <c r="IM130" s="24">
        <v>0</v>
      </c>
      <c r="IN130" s="24">
        <v>0</v>
      </c>
      <c r="IO130" s="24">
        <v>0</v>
      </c>
      <c r="IP130" s="24">
        <v>0</v>
      </c>
      <c r="IQ130" s="24">
        <v>0</v>
      </c>
      <c r="IR130" s="24">
        <v>0</v>
      </c>
      <c r="IS130" s="24">
        <v>0</v>
      </c>
      <c r="IT130" s="24">
        <v>0</v>
      </c>
      <c r="IU130" s="24">
        <v>0</v>
      </c>
      <c r="IV130" s="24">
        <v>0</v>
      </c>
      <c r="IW130" s="24">
        <v>16614</v>
      </c>
      <c r="IX130" s="24">
        <v>0</v>
      </c>
      <c r="IY130" s="24">
        <v>0</v>
      </c>
      <c r="IZ130" s="24">
        <v>0</v>
      </c>
      <c r="JA130" s="24">
        <v>0</v>
      </c>
      <c r="JB130" s="24">
        <v>0</v>
      </c>
      <c r="JC130" s="24">
        <v>0</v>
      </c>
      <c r="JD130" s="24">
        <v>0</v>
      </c>
      <c r="JE130" s="24">
        <v>0</v>
      </c>
      <c r="JF130" s="24">
        <v>0</v>
      </c>
      <c r="JG130" s="24">
        <v>0</v>
      </c>
      <c r="JH130" s="24">
        <v>0</v>
      </c>
      <c r="JI130" s="24">
        <v>0</v>
      </c>
      <c r="JJ130" s="24">
        <v>0</v>
      </c>
      <c r="JK130" s="24">
        <v>0</v>
      </c>
      <c r="JL130" s="24">
        <v>0</v>
      </c>
      <c r="JM130" s="24">
        <v>0</v>
      </c>
      <c r="JN130" s="24">
        <v>0</v>
      </c>
      <c r="JO130" s="24">
        <v>0</v>
      </c>
      <c r="JP130" s="24">
        <v>0</v>
      </c>
      <c r="JQ130" s="24">
        <v>3194</v>
      </c>
      <c r="JR130" s="24">
        <v>0</v>
      </c>
      <c r="JS130" s="24">
        <v>0</v>
      </c>
      <c r="JT130" s="24">
        <v>17191</v>
      </c>
      <c r="JU130" s="24">
        <v>5584</v>
      </c>
      <c r="JV130" s="24">
        <v>0</v>
      </c>
      <c r="JW130" s="24">
        <v>0</v>
      </c>
      <c r="JX130" s="24">
        <v>0</v>
      </c>
      <c r="JY130" s="24">
        <v>0</v>
      </c>
      <c r="JZ130" s="24">
        <v>0</v>
      </c>
      <c r="KA130" s="24">
        <v>155</v>
      </c>
      <c r="KB130" s="24">
        <v>0</v>
      </c>
      <c r="KC130" s="24">
        <v>0</v>
      </c>
      <c r="KD130" s="24">
        <v>0</v>
      </c>
      <c r="KE130" s="24">
        <v>0</v>
      </c>
      <c r="KF130" s="24">
        <v>0</v>
      </c>
      <c r="KG130" s="24">
        <v>0</v>
      </c>
      <c r="KH130" s="24">
        <v>0</v>
      </c>
      <c r="KI130" s="24">
        <v>0</v>
      </c>
      <c r="KJ130" s="24">
        <v>0</v>
      </c>
      <c r="KK130" s="24">
        <v>0</v>
      </c>
      <c r="KL130" s="24">
        <v>0</v>
      </c>
      <c r="KM130" s="24">
        <v>0</v>
      </c>
      <c r="KN130" s="24">
        <v>0</v>
      </c>
      <c r="KO130" s="24">
        <v>0</v>
      </c>
      <c r="KP130" s="24">
        <v>0</v>
      </c>
      <c r="KQ130" s="24">
        <v>0</v>
      </c>
      <c r="KR130" s="24">
        <v>0</v>
      </c>
      <c r="KS130" s="24">
        <v>0</v>
      </c>
      <c r="KT130" s="24">
        <v>0</v>
      </c>
      <c r="KU130" s="24">
        <v>0</v>
      </c>
      <c r="KV130" s="24">
        <v>0</v>
      </c>
      <c r="KW130" s="24">
        <v>0</v>
      </c>
      <c r="KX130" s="24">
        <v>0</v>
      </c>
      <c r="KY130" s="24">
        <v>0</v>
      </c>
      <c r="KZ130" s="24">
        <v>0</v>
      </c>
      <c r="LA130" s="24">
        <v>0</v>
      </c>
      <c r="LB130" s="24">
        <v>0</v>
      </c>
      <c r="LC130" s="24">
        <v>0</v>
      </c>
      <c r="LD130" s="24">
        <v>0</v>
      </c>
      <c r="LE130" s="24">
        <v>0</v>
      </c>
      <c r="LF130" s="24">
        <v>0</v>
      </c>
      <c r="LG130" s="24">
        <v>0</v>
      </c>
      <c r="LH130" s="24">
        <v>0</v>
      </c>
      <c r="LI130" s="24">
        <v>0</v>
      </c>
      <c r="LJ130" s="24">
        <v>0</v>
      </c>
      <c r="LK130" s="24">
        <v>0</v>
      </c>
      <c r="LL130" s="24">
        <v>0</v>
      </c>
      <c r="LM130" s="24">
        <v>0</v>
      </c>
      <c r="LN130" s="24">
        <v>0</v>
      </c>
      <c r="LO130" s="24">
        <v>0</v>
      </c>
      <c r="LP130" s="24">
        <v>0</v>
      </c>
      <c r="LQ130" s="24">
        <v>28209</v>
      </c>
      <c r="LR130" s="24">
        <v>0</v>
      </c>
      <c r="LS130" s="24">
        <v>0</v>
      </c>
      <c r="LT130" s="24">
        <v>0</v>
      </c>
      <c r="LU130" s="24">
        <v>0</v>
      </c>
      <c r="LV130" s="24">
        <v>0</v>
      </c>
      <c r="LW130" s="24">
        <v>0</v>
      </c>
      <c r="LX130" s="24">
        <v>0</v>
      </c>
      <c r="LY130" s="24">
        <v>0</v>
      </c>
      <c r="LZ130" s="24">
        <v>0</v>
      </c>
      <c r="MA130" s="24">
        <v>0</v>
      </c>
      <c r="MB130" s="24">
        <v>0</v>
      </c>
      <c r="MC130" s="24">
        <v>0</v>
      </c>
      <c r="MD130" s="24">
        <v>0</v>
      </c>
      <c r="ME130" s="24">
        <v>0</v>
      </c>
      <c r="MF130" s="24">
        <v>0</v>
      </c>
      <c r="MG130" s="24">
        <v>0</v>
      </c>
      <c r="MH130" s="24">
        <v>0</v>
      </c>
      <c r="MI130" s="24">
        <v>0</v>
      </c>
      <c r="MJ130" s="24">
        <v>0</v>
      </c>
      <c r="MK130" s="24">
        <v>0</v>
      </c>
      <c r="ML130" s="24">
        <v>0</v>
      </c>
      <c r="MM130" s="24">
        <v>0</v>
      </c>
      <c r="MN130" s="24">
        <v>0</v>
      </c>
      <c r="MO130" s="24">
        <v>0</v>
      </c>
      <c r="MP130" s="24">
        <v>0</v>
      </c>
      <c r="MQ130" s="24">
        <v>0</v>
      </c>
      <c r="MR130" s="24">
        <v>26800</v>
      </c>
      <c r="MS130" s="24">
        <v>0</v>
      </c>
      <c r="MT130" s="24">
        <v>0</v>
      </c>
      <c r="MU130" s="24">
        <v>0</v>
      </c>
      <c r="MV130" s="24">
        <v>0</v>
      </c>
      <c r="MW130" s="24">
        <v>35974</v>
      </c>
      <c r="MX130" s="24">
        <v>0</v>
      </c>
      <c r="MY130" s="24">
        <v>0</v>
      </c>
      <c r="MZ130" s="24">
        <v>0</v>
      </c>
      <c r="NA130" s="24">
        <v>0</v>
      </c>
      <c r="NB130" s="24">
        <v>0</v>
      </c>
      <c r="NC130" s="24">
        <v>0</v>
      </c>
      <c r="ND130" s="24">
        <v>0</v>
      </c>
      <c r="NE130" s="24">
        <v>0</v>
      </c>
      <c r="NF130" s="24">
        <v>0</v>
      </c>
      <c r="NG130" s="24">
        <v>0</v>
      </c>
      <c r="NH130" s="24">
        <v>0</v>
      </c>
      <c r="NI130" s="24">
        <v>0</v>
      </c>
      <c r="NJ130" s="24">
        <v>0</v>
      </c>
      <c r="NK130" s="24">
        <v>0</v>
      </c>
      <c r="NL130" s="24">
        <v>0</v>
      </c>
      <c r="NM130" s="24">
        <v>0</v>
      </c>
      <c r="NN130" s="24">
        <v>0</v>
      </c>
      <c r="NO130" s="24">
        <v>0</v>
      </c>
      <c r="NP130" s="24">
        <v>0</v>
      </c>
      <c r="NQ130" s="24">
        <v>0</v>
      </c>
      <c r="NR130" s="24">
        <v>0</v>
      </c>
      <c r="NS130" s="24">
        <v>0</v>
      </c>
      <c r="NT130" s="24">
        <v>0</v>
      </c>
      <c r="NU130" s="24">
        <v>0</v>
      </c>
      <c r="NV130" s="24">
        <v>4454</v>
      </c>
      <c r="NW130" s="24">
        <v>0</v>
      </c>
      <c r="NX130" s="24">
        <v>0</v>
      </c>
      <c r="NY130" s="24">
        <v>0</v>
      </c>
      <c r="NZ130" s="24">
        <v>0</v>
      </c>
      <c r="OA130" s="24">
        <v>0</v>
      </c>
      <c r="OB130" s="24">
        <v>0</v>
      </c>
      <c r="OC130" s="24">
        <v>0</v>
      </c>
      <c r="OD130" s="24">
        <v>0</v>
      </c>
      <c r="OE130" s="24">
        <v>0</v>
      </c>
      <c r="OF130" s="24">
        <v>0</v>
      </c>
      <c r="OG130" s="24">
        <v>0</v>
      </c>
      <c r="OH130" s="24">
        <v>0</v>
      </c>
      <c r="OI130" s="24">
        <v>0</v>
      </c>
      <c r="OJ130" s="24">
        <v>0</v>
      </c>
      <c r="OK130" s="24">
        <v>0</v>
      </c>
      <c r="OL130" s="24">
        <v>0</v>
      </c>
      <c r="OM130" s="24">
        <v>0</v>
      </c>
      <c r="ON130" s="24">
        <v>0</v>
      </c>
      <c r="OO130" s="24">
        <v>0</v>
      </c>
      <c r="OP130" s="24">
        <v>0</v>
      </c>
      <c r="OQ130" s="24">
        <v>0</v>
      </c>
      <c r="OR130" s="24">
        <v>0</v>
      </c>
      <c r="OS130" s="24">
        <v>0</v>
      </c>
      <c r="OT130" s="24">
        <v>0</v>
      </c>
      <c r="OU130" s="24">
        <v>0</v>
      </c>
      <c r="OV130" s="24">
        <v>0</v>
      </c>
      <c r="OW130" s="24">
        <v>0</v>
      </c>
      <c r="OX130" s="24">
        <v>0</v>
      </c>
      <c r="OY130" s="24">
        <v>0</v>
      </c>
      <c r="OZ130" s="24">
        <v>0</v>
      </c>
      <c r="PA130" s="24">
        <v>0</v>
      </c>
      <c r="PB130" s="24">
        <v>0</v>
      </c>
      <c r="PC130" s="24">
        <v>0</v>
      </c>
      <c r="PD130" s="24">
        <v>0</v>
      </c>
      <c r="PE130" s="24">
        <v>0</v>
      </c>
      <c r="PF130" s="24">
        <v>0</v>
      </c>
      <c r="PG130" s="24">
        <v>0</v>
      </c>
      <c r="PH130" s="24">
        <v>10225</v>
      </c>
      <c r="PI130" s="24">
        <v>0</v>
      </c>
      <c r="PJ130" s="24">
        <v>0</v>
      </c>
      <c r="PK130" s="24">
        <v>0</v>
      </c>
      <c r="PL130" s="24">
        <v>0</v>
      </c>
      <c r="PM130" s="24">
        <v>0</v>
      </c>
      <c r="PN130" s="24">
        <v>0</v>
      </c>
      <c r="PO130" s="24">
        <v>0</v>
      </c>
      <c r="PP130" s="24">
        <v>0</v>
      </c>
      <c r="PQ130" s="24">
        <v>0</v>
      </c>
      <c r="PR130" s="24">
        <v>0</v>
      </c>
      <c r="PS130" s="24">
        <v>0</v>
      </c>
      <c r="PT130" s="24">
        <v>0</v>
      </c>
      <c r="PU130" s="24">
        <v>0</v>
      </c>
      <c r="PV130" s="24">
        <v>0</v>
      </c>
      <c r="PW130" s="24">
        <v>0</v>
      </c>
      <c r="PX130" s="24">
        <v>0</v>
      </c>
      <c r="PY130" s="24">
        <v>0</v>
      </c>
      <c r="PZ130" s="24">
        <v>0</v>
      </c>
      <c r="QA130" s="24">
        <v>0</v>
      </c>
      <c r="QB130" s="24">
        <v>0</v>
      </c>
      <c r="QC130" s="24">
        <v>0</v>
      </c>
      <c r="QD130" s="24">
        <v>3473</v>
      </c>
      <c r="QE130" s="24">
        <v>0</v>
      </c>
      <c r="QF130" s="24">
        <v>0</v>
      </c>
      <c r="QG130" s="24">
        <v>0</v>
      </c>
      <c r="QH130" s="24">
        <v>0</v>
      </c>
      <c r="QI130" s="24">
        <v>0</v>
      </c>
      <c r="QJ130" s="24">
        <v>0</v>
      </c>
      <c r="QK130" s="24">
        <v>0</v>
      </c>
      <c r="QL130" s="24">
        <v>0</v>
      </c>
      <c r="QM130" s="24">
        <v>0</v>
      </c>
      <c r="QN130" s="24">
        <v>0</v>
      </c>
      <c r="QO130" s="24">
        <v>0</v>
      </c>
      <c r="QP130" s="24">
        <v>0</v>
      </c>
      <c r="QQ130" s="24">
        <v>0</v>
      </c>
      <c r="QR130" s="24">
        <v>0</v>
      </c>
      <c r="QS130" s="24">
        <v>0</v>
      </c>
      <c r="QT130" s="24">
        <v>213025</v>
      </c>
      <c r="QU130" s="24">
        <v>0</v>
      </c>
      <c r="QV130" s="24">
        <v>0</v>
      </c>
      <c r="QW130" s="24">
        <v>0</v>
      </c>
      <c r="QX130" s="24">
        <v>0</v>
      </c>
      <c r="QY130" s="24">
        <v>0</v>
      </c>
      <c r="QZ130" s="24">
        <v>0</v>
      </c>
      <c r="RA130" s="24">
        <v>0</v>
      </c>
      <c r="RB130" s="24">
        <v>0</v>
      </c>
      <c r="RC130" s="913">
        <v>2</v>
      </c>
      <c r="RG130" s="39">
        <f t="shared" si="248"/>
        <v>1405946</v>
      </c>
      <c r="RH130" s="39">
        <f t="shared" si="249"/>
        <v>0</v>
      </c>
      <c r="RI130" s="39">
        <f t="shared" si="249"/>
        <v>0</v>
      </c>
      <c r="RJ130" s="39">
        <f t="shared" si="249"/>
        <v>0</v>
      </c>
      <c r="RK130" s="39">
        <f t="shared" si="249"/>
        <v>0</v>
      </c>
      <c r="RL130" s="39">
        <f t="shared" si="249"/>
        <v>0</v>
      </c>
      <c r="RM130" s="39">
        <f t="shared" si="249"/>
        <v>124294</v>
      </c>
      <c r="RN130" s="39">
        <f t="shared" si="249"/>
        <v>0</v>
      </c>
      <c r="RO130" s="39">
        <f t="shared" si="249"/>
        <v>0</v>
      </c>
      <c r="RP130" s="39">
        <f t="shared" si="249"/>
        <v>16614</v>
      </c>
      <c r="RQ130" s="39">
        <f t="shared" si="249"/>
        <v>0</v>
      </c>
      <c r="RR130" s="39">
        <f t="shared" si="249"/>
        <v>26124</v>
      </c>
      <c r="RS130" s="39"/>
      <c r="RT130" s="182"/>
      <c r="RU130" s="39"/>
      <c r="RV130" s="39">
        <f t="shared" si="246"/>
        <v>95437</v>
      </c>
      <c r="RW130" s="39">
        <f t="shared" si="246"/>
        <v>1572978</v>
      </c>
      <c r="RX130" s="39">
        <f t="shared" si="246"/>
        <v>43454</v>
      </c>
      <c r="RY130" s="39">
        <f t="shared" si="246"/>
        <v>226723</v>
      </c>
      <c r="RZ130" s="39"/>
      <c r="SA130" s="182"/>
      <c r="SB130" s="39"/>
      <c r="SC130" s="25">
        <f t="shared" si="183"/>
        <v>173.816</v>
      </c>
      <c r="SD130" s="39">
        <f>IFERROR(VLOOKUP(A130, 'Levy Data 15-16'!$B:$O, 3, FALSE), 0)</f>
        <v>0</v>
      </c>
      <c r="SE130" s="39">
        <f t="shared" si="208"/>
        <v>0</v>
      </c>
      <c r="SF130" s="631">
        <f>IFERROR(VLOOKUP(A130, 'Levy Data 15-16'!$B:$O, 14, FALSE), 0)*1000</f>
        <v>0</v>
      </c>
      <c r="SG130" s="39">
        <f t="shared" si="209"/>
        <v>0</v>
      </c>
      <c r="SH130" s="39">
        <f t="shared" si="210"/>
        <v>0</v>
      </c>
      <c r="SI130" s="39">
        <f t="shared" si="211"/>
        <v>43454</v>
      </c>
      <c r="SM130" s="39">
        <f t="shared" si="212"/>
        <v>1572978</v>
      </c>
      <c r="SN130" s="39">
        <f t="shared" si="213"/>
        <v>0</v>
      </c>
      <c r="SO130" s="39">
        <f t="shared" si="184"/>
        <v>1572978</v>
      </c>
      <c r="SP130" s="50">
        <f t="shared" si="250"/>
        <v>1</v>
      </c>
      <c r="ST130" s="124">
        <f>IFERROR(VLOOKUP(A130,'Grade Enroll 15-16'!B:AC,27,FALSE),"")</f>
        <v>250</v>
      </c>
      <c r="SU130" s="124">
        <f t="shared" ref="SU130:SU154" si="264">SV130*(ST130)</f>
        <v>55.55555555555555</v>
      </c>
      <c r="SV130" s="131">
        <f>IFERROR(VLOOKUP($A130, 'Title I Enroll 16-17'!S:V, 4, FALSE), 0)</f>
        <v>0.22222222222222221</v>
      </c>
      <c r="SW130" s="729">
        <f>IFERROR(VLOOKUP(A130, 'ELL Enroll 15-16'!$N:$S, 6, FALSE), 0)</f>
        <v>5</v>
      </c>
      <c r="SX130" s="131">
        <f t="shared" si="251"/>
        <v>0.02</v>
      </c>
      <c r="SY130" s="124">
        <f>IFERROR(VLOOKUP(A130, 'SPED enroll 2015-16'!$M:$O, 3, FALSE), 0)</f>
        <v>17</v>
      </c>
      <c r="SZ130" s="131">
        <f t="shared" si="252"/>
        <v>6.8000000000000005E-2</v>
      </c>
      <c r="TA130" s="142">
        <f t="shared" si="253"/>
        <v>11.899999999999999</v>
      </c>
      <c r="TB130" s="142">
        <f t="shared" si="253"/>
        <v>3.4000000000000004</v>
      </c>
      <c r="TC130" s="142">
        <f t="shared" si="253"/>
        <v>1.1900000000000002</v>
      </c>
      <c r="TD130" s="142">
        <f t="shared" si="253"/>
        <v>0.51</v>
      </c>
      <c r="TE130" s="124">
        <f>VLOOKUP($A130, 'Grade Enroll 15-16'!$B:$AB, 20, FALSE)</f>
        <v>0</v>
      </c>
      <c r="TF130" s="124">
        <f>VLOOKUP($A130, 'Grade Enroll 15-16'!$B:$AB, 21, FALSE)</f>
        <v>24</v>
      </c>
      <c r="TG130" s="124">
        <f>VLOOKUP($A130, 'Grade Enroll 15-16'!$B:$AB, 22, FALSE)</f>
        <v>87</v>
      </c>
      <c r="TH130" s="124">
        <f>VLOOKUP($A130, 'Grade Enroll 15-16'!$B:$AB, 23, FALSE)</f>
        <v>100</v>
      </c>
      <c r="TI130" s="124">
        <f>VLOOKUP($A130, 'Grade Enroll 15-16'!$B:$AB, 24, FALSE)</f>
        <v>63</v>
      </c>
      <c r="TJ130" s="124">
        <f>VLOOKUP($A130, 'Grade Enroll 15-16'!$B:$AB, 25, FALSE)</f>
        <v>0</v>
      </c>
      <c r="TK130" s="124">
        <f>VLOOKUP($A130, 'Grade Enroll 15-16'!$B:$AB, 26, FALSE)</f>
        <v>192</v>
      </c>
      <c r="TL130" s="131">
        <f>SUMIFS('Student Achievement 15-16'!N:N, 'Student Achievement 15-16'!B:B, 'Idaho Data'!A130, 'Student Achievement 15-16'!D:D, "math")/100</f>
        <v>0.17399999999999999</v>
      </c>
      <c r="TM130" s="134">
        <f t="shared" si="186"/>
        <v>43.5</v>
      </c>
      <c r="TN130" s="131">
        <f>SUMIFS('Student Achievement 15-16'!N:N, 'Student Achievement 15-16'!B:B, 'Idaho Data'!A130, 'Student Achievement 15-16'!D:D, "ela")/100</f>
        <v>0.19600000000000001</v>
      </c>
      <c r="TO130" s="134">
        <f t="shared" si="254"/>
        <v>49</v>
      </c>
      <c r="TP130" s="688">
        <f>IFERROR(VLOOKUP(A130, 'G&amp;T 15-16'!B:G, 6, FALSE), 0)*1</f>
        <v>0</v>
      </c>
      <c r="TQ130" s="168">
        <f t="shared" si="255"/>
        <v>15</v>
      </c>
      <c r="TU130" s="168">
        <f t="shared" si="256"/>
        <v>43.5</v>
      </c>
      <c r="TV130" s="168">
        <f t="shared" si="257"/>
        <v>49</v>
      </c>
      <c r="TW130" s="205">
        <f t="shared" si="258"/>
        <v>49</v>
      </c>
      <c r="TX130" s="144"/>
      <c r="TY130" s="129"/>
      <c r="TZ130" s="127">
        <f t="shared" si="259"/>
        <v>0</v>
      </c>
      <c r="UA130" s="127">
        <f t="shared" si="260"/>
        <v>15</v>
      </c>
      <c r="UB130" s="205">
        <f t="shared" si="261"/>
        <v>15</v>
      </c>
      <c r="UE130" s="853" t="str">
        <f>IF(ST130&lt;='1. Simulator Input'!$E$104, "yes", "")</f>
        <v>yes</v>
      </c>
      <c r="UI130" s="199">
        <f t="shared" si="187"/>
        <v>0</v>
      </c>
      <c r="UJ130" s="200">
        <f>IF('Idaho Data'!SI130&gt;=0, ((1-'1. Simulator Input'!$E$39)*'Idaho Data'!SI130), 0)</f>
        <v>0</v>
      </c>
      <c r="UK130" s="200">
        <f t="shared" si="262"/>
        <v>1572978</v>
      </c>
      <c r="UL130" s="39"/>
      <c r="UM130" s="182"/>
      <c r="UN130" s="39"/>
      <c r="UO130" s="39">
        <f>IF(AND('1. Simulator Input'!$E$96="yes", '1. Simulator Input'!$E$98="yes", '1. Simulator Input'!$E$100="hold harmless"), 'Idaho Data'!WN130, IF(AND('1. Simulator Input'!$E$96="yes", '1. Simulator Input'!$E$98="no", '1. Simulator Input'!$E$100="hold harmless"), 'Idaho Data'!WM130, IF(AND('1. Simulator Input'!$E$96="yes", '1. Simulator Input'!$E$98="yes", '1. Simulator Input'!$E$100="small district grant"), WL130,IF(AND('1. Simulator Input'!$E$96="yes", '1. Simulator Input'!$E$98="no", '1. Simulator Input'!$E$100="small district grant"), WK130, ""))))</f>
        <v>0</v>
      </c>
      <c r="UP130" s="200">
        <f>'1. Simulator Input'!$D$56*('Idaho Data'!ST130)</f>
        <v>1381500</v>
      </c>
      <c r="UQ130" s="204">
        <f>'1. Simulator Input'!$D$65*'1. Simulator Input'!$D$56*'Idaho Data'!SU130</f>
        <v>0</v>
      </c>
      <c r="UR130" s="204">
        <f>'1. Simulator Input'!$D$66*'1. Simulator Input'!$D$56*'Idaho Data'!SW130</f>
        <v>0</v>
      </c>
      <c r="US130" s="200">
        <f>'1. Simulator Input'!$D$67*'1. Simulator Input'!$D$56*'Idaho Data'!TA130</f>
        <v>0</v>
      </c>
      <c r="UT130" s="200">
        <f>'1. Simulator Input'!$D$68*'1. Simulator Input'!$D$56*'Idaho Data'!TB130</f>
        <v>0</v>
      </c>
      <c r="UU130" s="200">
        <f>'1. Simulator Input'!$D$69*'1. Simulator Input'!$D$56*'Idaho Data'!TC130</f>
        <v>0</v>
      </c>
      <c r="UV130" s="200">
        <f>'1. Simulator Input'!$D$70*'1. Simulator Input'!$D$56*TD130</f>
        <v>0</v>
      </c>
      <c r="UW130" s="200">
        <f>'1. Simulator Input'!$D$80*'1. Simulator Input'!$D$56*TW130</f>
        <v>0</v>
      </c>
      <c r="UX130" s="200">
        <f>'1. Simulator Input'!$D$79*'1. Simulator Input'!$D$56*UB130</f>
        <v>0</v>
      </c>
      <c r="UY130" s="200">
        <f>'1. Simulator Input'!$D$87*'1. Simulator Input'!$D$56*TF130</f>
        <v>66312</v>
      </c>
      <c r="UZ130" s="200">
        <f>'1. Simulator Input'!$D$73*'1. Simulator Input'!$D$56*'Idaho Data'!TG130</f>
        <v>0</v>
      </c>
      <c r="VA130" s="200">
        <f>'1. Simulator Input'!$D$56*'1. Simulator Input'!$D$74*'Idaho Data'!TH130</f>
        <v>0</v>
      </c>
      <c r="VB130" s="200">
        <f>'1. Simulator Input'!$D$56*'1. Simulator Input'!$D$75*'Idaho Data'!TI125</f>
        <v>0</v>
      </c>
      <c r="VC130" s="200">
        <f>'1. Simulator Input'!$D$76*'1. Simulator Input'!$D$56*'Idaho Data'!TJ130</f>
        <v>0</v>
      </c>
      <c r="VD130" s="200">
        <f t="shared" si="188"/>
        <v>1447812</v>
      </c>
      <c r="VE130" s="200"/>
      <c r="VF130" s="182"/>
      <c r="VG130" s="200"/>
      <c r="VH130" s="200">
        <f t="shared" si="189"/>
        <v>0</v>
      </c>
      <c r="VI130" s="200">
        <f t="shared" si="190"/>
        <v>0</v>
      </c>
      <c r="VJ130" s="200">
        <f t="shared" si="214"/>
        <v>1447812</v>
      </c>
      <c r="VK130" s="200">
        <f t="shared" si="215"/>
        <v>1447812</v>
      </c>
      <c r="VL130" s="200"/>
      <c r="VM130" s="182"/>
      <c r="VN130" s="200"/>
      <c r="VO130" s="200">
        <f t="shared" si="191"/>
        <v>95437</v>
      </c>
      <c r="VP130" s="200">
        <f t="shared" si="192"/>
        <v>1572978</v>
      </c>
      <c r="VQ130" s="200">
        <f t="shared" si="193"/>
        <v>43454</v>
      </c>
      <c r="VR130" s="200">
        <f t="shared" si="194"/>
        <v>95437</v>
      </c>
      <c r="VS130" s="200">
        <f t="shared" si="216"/>
        <v>1447812</v>
      </c>
      <c r="VT130" s="200">
        <f t="shared" si="217"/>
        <v>43454</v>
      </c>
      <c r="VU130" s="200">
        <f t="shared" si="218"/>
        <v>0</v>
      </c>
      <c r="VV130" s="200"/>
      <c r="VW130" s="182"/>
      <c r="VX130" s="200"/>
      <c r="VZ130" s="199">
        <f t="shared" si="195"/>
        <v>-125166</v>
      </c>
      <c r="WA130" s="199">
        <f t="shared" si="196"/>
        <v>-500.66399999999999</v>
      </c>
      <c r="WB130" s="131">
        <f t="shared" si="197"/>
        <v>-7.9572632293649373E-2</v>
      </c>
      <c r="WC130" s="131"/>
      <c r="WD130" s="461"/>
      <c r="WE130" s="893"/>
      <c r="WF130" s="893">
        <f t="shared" si="198"/>
        <v>6847.4759999999997</v>
      </c>
      <c r="WG130" s="893">
        <f t="shared" si="199"/>
        <v>6346.8119999999999</v>
      </c>
      <c r="WH130" s="893"/>
      <c r="WI130" s="893">
        <f t="shared" si="200"/>
        <v>1572978</v>
      </c>
      <c r="WJ130" s="893">
        <f t="shared" si="219"/>
        <v>1447812</v>
      </c>
      <c r="WK130" s="39">
        <f t="shared" si="220"/>
        <v>0</v>
      </c>
      <c r="WL130" s="39">
        <f t="shared" si="221"/>
        <v>0</v>
      </c>
      <c r="WM130" s="200">
        <f t="shared" si="222"/>
        <v>125166</v>
      </c>
      <c r="WN130" s="39">
        <f t="shared" si="223"/>
        <v>125166</v>
      </c>
      <c r="WO130" s="39"/>
      <c r="WP130" s="182"/>
      <c r="WQ130" s="39"/>
      <c r="WR130" s="305"/>
      <c r="WT130" s="200">
        <f t="shared" si="225"/>
        <v>6291.9120000000003</v>
      </c>
      <c r="WU130" s="131">
        <f t="shared" si="201"/>
        <v>0.46</v>
      </c>
      <c r="WW130" s="199">
        <f t="shared" si="226"/>
        <v>95437</v>
      </c>
      <c r="WX130" s="199">
        <f t="shared" si="227"/>
        <v>1447812</v>
      </c>
      <c r="WY130" s="199">
        <f t="shared" si="228"/>
        <v>0</v>
      </c>
      <c r="WZ130" s="199">
        <f t="shared" si="202"/>
        <v>1447812</v>
      </c>
      <c r="XA130" s="199">
        <f t="shared" si="229"/>
        <v>0</v>
      </c>
      <c r="XB130" s="199">
        <f t="shared" si="230"/>
        <v>43454</v>
      </c>
      <c r="XC130" s="199">
        <f t="shared" si="231"/>
        <v>43454</v>
      </c>
      <c r="XD130" s="199" t="str">
        <f t="shared" si="232"/>
        <v/>
      </c>
      <c r="XE130" s="199"/>
      <c r="XF130" s="199"/>
      <c r="XG130" s="199"/>
      <c r="XH130" s="199"/>
      <c r="XI130" s="199"/>
      <c r="XJ130" s="199">
        <f t="shared" si="203"/>
        <v>1447812</v>
      </c>
      <c r="XP130" s="199">
        <f t="shared" si="233"/>
        <v>1447812</v>
      </c>
      <c r="XQ130" s="199">
        <f t="shared" si="234"/>
        <v>5791.2479999999996</v>
      </c>
      <c r="XR130" s="199">
        <f t="shared" si="235"/>
        <v>1447812</v>
      </c>
      <c r="XS130" s="199">
        <f t="shared" si="236"/>
        <v>1447812</v>
      </c>
      <c r="XT130" s="199">
        <f t="shared" si="237"/>
        <v>5791.2479999999996</v>
      </c>
      <c r="XU130" s="199">
        <f t="shared" si="238"/>
        <v>1572978</v>
      </c>
      <c r="XV130" s="199">
        <f t="shared" si="239"/>
        <v>6291.9120000000003</v>
      </c>
      <c r="XW130" s="199">
        <f t="shared" si="240"/>
        <v>1572978</v>
      </c>
      <c r="XX130" s="199">
        <f t="shared" si="241"/>
        <v>6291.9120000000003</v>
      </c>
      <c r="XY130" s="199">
        <f t="shared" si="204"/>
        <v>-125166</v>
      </c>
      <c r="XZ130" s="199">
        <f t="shared" si="205"/>
        <v>-500.66400000000067</v>
      </c>
      <c r="YA130" s="131">
        <f t="shared" si="263"/>
        <v>-7.957263229364947E-2</v>
      </c>
      <c r="YB130" s="199"/>
      <c r="YC130" s="221"/>
      <c r="YD130" s="199"/>
      <c r="YE130" s="199">
        <f t="shared" si="242"/>
        <v>95437</v>
      </c>
      <c r="YF130" s="200">
        <f t="shared" si="243"/>
        <v>0</v>
      </c>
      <c r="YG130" s="199">
        <f t="shared" si="244"/>
        <v>43454</v>
      </c>
      <c r="YH130" s="199">
        <f t="shared" si="245"/>
        <v>226723</v>
      </c>
    </row>
    <row r="131" spans="1:658">
      <c r="A131" s="3">
        <v>457</v>
      </c>
      <c r="B131" s="2" t="s">
        <v>1483</v>
      </c>
      <c r="C131" s="24">
        <v>0</v>
      </c>
      <c r="D131" s="24">
        <v>0</v>
      </c>
      <c r="E131" s="24">
        <v>0</v>
      </c>
      <c r="F131" s="24">
        <v>0</v>
      </c>
      <c r="G131" s="24">
        <v>0</v>
      </c>
      <c r="H131" s="24">
        <v>0</v>
      </c>
      <c r="I131" s="24">
        <v>0</v>
      </c>
      <c r="J131" s="24">
        <v>0</v>
      </c>
      <c r="K131" s="24">
        <v>0</v>
      </c>
      <c r="L131" s="24">
        <v>0</v>
      </c>
      <c r="M131" s="24">
        <v>0</v>
      </c>
      <c r="N131" s="24">
        <v>0</v>
      </c>
      <c r="O131" s="24">
        <v>0</v>
      </c>
      <c r="P131" s="24">
        <v>0</v>
      </c>
      <c r="Q131" s="24">
        <v>0</v>
      </c>
      <c r="R131" s="24">
        <v>0</v>
      </c>
      <c r="S131" s="24">
        <v>0</v>
      </c>
      <c r="T131" s="24">
        <v>0</v>
      </c>
      <c r="U131" s="24">
        <v>0</v>
      </c>
      <c r="V131" s="24">
        <v>0</v>
      </c>
      <c r="W131" s="24">
        <v>0</v>
      </c>
      <c r="X131" s="24">
        <v>0</v>
      </c>
      <c r="Y131" s="24">
        <v>0</v>
      </c>
      <c r="Z131" s="24">
        <v>0</v>
      </c>
      <c r="AA131" s="24">
        <v>0</v>
      </c>
      <c r="AB131" s="24">
        <v>0</v>
      </c>
      <c r="AC131" s="24">
        <v>0</v>
      </c>
      <c r="AD131" s="24">
        <v>0</v>
      </c>
      <c r="AE131" s="24">
        <v>0</v>
      </c>
      <c r="AF131" s="24">
        <v>0</v>
      </c>
      <c r="AG131" s="24">
        <v>0</v>
      </c>
      <c r="AH131" s="24">
        <v>0</v>
      </c>
      <c r="AI131" s="24">
        <v>0</v>
      </c>
      <c r="AJ131" s="24">
        <v>0</v>
      </c>
      <c r="AK131" s="24">
        <v>0</v>
      </c>
      <c r="AL131" s="24">
        <v>2255</v>
      </c>
      <c r="AM131" s="24">
        <v>0</v>
      </c>
      <c r="AN131" s="24">
        <v>0</v>
      </c>
      <c r="AO131" s="24">
        <v>0</v>
      </c>
      <c r="AP131" s="24">
        <v>0</v>
      </c>
      <c r="AQ131" s="24">
        <v>0</v>
      </c>
      <c r="AR131" s="24">
        <v>0</v>
      </c>
      <c r="AS131" s="24">
        <v>0</v>
      </c>
      <c r="AT131" s="24">
        <v>0</v>
      </c>
      <c r="AU131" s="24">
        <v>0</v>
      </c>
      <c r="AV131" s="24">
        <v>0</v>
      </c>
      <c r="AW131" s="24">
        <v>0</v>
      </c>
      <c r="AX131" s="24">
        <v>0</v>
      </c>
      <c r="AY131" s="24">
        <v>0</v>
      </c>
      <c r="AZ131" s="24">
        <v>0</v>
      </c>
      <c r="BA131" s="24">
        <v>0</v>
      </c>
      <c r="BB131" s="24">
        <v>0</v>
      </c>
      <c r="BC131" s="24">
        <v>0</v>
      </c>
      <c r="BD131" s="24">
        <v>0</v>
      </c>
      <c r="BE131" s="24">
        <v>0</v>
      </c>
      <c r="BF131" s="24">
        <v>0</v>
      </c>
      <c r="BG131" s="24">
        <v>0</v>
      </c>
      <c r="BH131" s="24">
        <v>0</v>
      </c>
      <c r="BI131" s="24">
        <v>0</v>
      </c>
      <c r="BJ131" s="24">
        <v>0</v>
      </c>
      <c r="BK131" s="24">
        <v>0</v>
      </c>
      <c r="BL131" s="24">
        <v>0</v>
      </c>
      <c r="BM131" s="24">
        <v>0</v>
      </c>
      <c r="BN131" s="24">
        <v>0</v>
      </c>
      <c r="BO131" s="24">
        <v>0</v>
      </c>
      <c r="BP131" s="24">
        <v>0</v>
      </c>
      <c r="BQ131" s="24">
        <v>0</v>
      </c>
      <c r="BR131" s="24">
        <v>0</v>
      </c>
      <c r="BS131" s="24">
        <v>0</v>
      </c>
      <c r="BT131" s="24">
        <v>0</v>
      </c>
      <c r="BU131" s="24">
        <v>0</v>
      </c>
      <c r="BV131" s="24">
        <v>0</v>
      </c>
      <c r="BW131" s="24">
        <v>0</v>
      </c>
      <c r="BX131" s="24">
        <v>0</v>
      </c>
      <c r="BY131" s="24">
        <v>0</v>
      </c>
      <c r="BZ131" s="24">
        <v>0</v>
      </c>
      <c r="CA131" s="24">
        <v>0</v>
      </c>
      <c r="CB131" s="24">
        <v>0</v>
      </c>
      <c r="CC131" s="24">
        <v>0</v>
      </c>
      <c r="CD131" s="24">
        <v>0</v>
      </c>
      <c r="CE131" s="24">
        <v>0</v>
      </c>
      <c r="CF131" s="24">
        <v>0</v>
      </c>
      <c r="CG131" s="24">
        <v>0</v>
      </c>
      <c r="CH131" s="24">
        <v>0</v>
      </c>
      <c r="CI131" s="24">
        <v>0</v>
      </c>
      <c r="CJ131" s="24">
        <v>0</v>
      </c>
      <c r="CK131" s="24">
        <v>0</v>
      </c>
      <c r="CL131" s="24">
        <v>0</v>
      </c>
      <c r="CM131" s="24">
        <v>0</v>
      </c>
      <c r="CN131" s="24">
        <v>0</v>
      </c>
      <c r="CO131" s="24">
        <v>0</v>
      </c>
      <c r="CP131" s="24">
        <v>0</v>
      </c>
      <c r="CQ131" s="24">
        <v>0</v>
      </c>
      <c r="CR131" s="24">
        <v>0</v>
      </c>
      <c r="CS131" s="24">
        <v>0</v>
      </c>
      <c r="CT131" s="24">
        <v>0</v>
      </c>
      <c r="CU131" s="24">
        <v>0</v>
      </c>
      <c r="CV131" s="24">
        <v>0</v>
      </c>
      <c r="CW131" s="24">
        <v>0</v>
      </c>
      <c r="CX131" s="24">
        <v>0</v>
      </c>
      <c r="CY131" s="24">
        <v>0</v>
      </c>
      <c r="CZ131" s="24">
        <v>0</v>
      </c>
      <c r="DA131" s="24">
        <v>0</v>
      </c>
      <c r="DB131" s="24">
        <v>0</v>
      </c>
      <c r="DC131" s="24">
        <v>0</v>
      </c>
      <c r="DD131" s="24">
        <v>0</v>
      </c>
      <c r="DE131" s="24">
        <v>0</v>
      </c>
      <c r="DF131" s="24">
        <v>0</v>
      </c>
      <c r="DG131" s="24">
        <v>0</v>
      </c>
      <c r="DH131" s="24">
        <v>0</v>
      </c>
      <c r="DI131" s="24">
        <v>0</v>
      </c>
      <c r="DJ131" s="24">
        <v>0</v>
      </c>
      <c r="DK131" s="24">
        <v>0</v>
      </c>
      <c r="DL131" s="24">
        <v>0</v>
      </c>
      <c r="DM131" s="24">
        <v>0</v>
      </c>
      <c r="DN131" s="24">
        <v>0</v>
      </c>
      <c r="DO131" s="24">
        <v>0</v>
      </c>
      <c r="DP131" s="24">
        <v>0</v>
      </c>
      <c r="DQ131" s="24">
        <v>0</v>
      </c>
      <c r="DR131" s="24">
        <v>0</v>
      </c>
      <c r="DS131" s="24">
        <v>0</v>
      </c>
      <c r="DT131" s="24">
        <v>0</v>
      </c>
      <c r="DU131" s="24">
        <v>0</v>
      </c>
      <c r="DV131" s="24">
        <v>0</v>
      </c>
      <c r="DW131" s="24">
        <v>0</v>
      </c>
      <c r="DX131" s="24">
        <v>0</v>
      </c>
      <c r="DY131" s="24">
        <v>0</v>
      </c>
      <c r="DZ131" s="24">
        <v>0</v>
      </c>
      <c r="EA131" s="24">
        <v>0</v>
      </c>
      <c r="EB131" s="24">
        <v>0</v>
      </c>
      <c r="EC131" s="24">
        <v>0</v>
      </c>
      <c r="ED131" s="24">
        <v>0</v>
      </c>
      <c r="EE131" s="24">
        <v>0</v>
      </c>
      <c r="EF131" s="24">
        <v>0</v>
      </c>
      <c r="EG131" s="24">
        <v>423</v>
      </c>
      <c r="EH131" s="24">
        <v>0</v>
      </c>
      <c r="EI131" s="24">
        <v>0</v>
      </c>
      <c r="EJ131" s="24">
        <v>0</v>
      </c>
      <c r="EK131" s="24">
        <v>0</v>
      </c>
      <c r="EL131" s="24">
        <v>0</v>
      </c>
      <c r="EM131" s="24">
        <v>0</v>
      </c>
      <c r="EN131" s="24">
        <v>0</v>
      </c>
      <c r="EO131" s="24">
        <v>0</v>
      </c>
      <c r="EP131" s="24">
        <v>0</v>
      </c>
      <c r="EQ131" s="24">
        <v>0</v>
      </c>
      <c r="ER131" s="24">
        <v>0</v>
      </c>
      <c r="ES131" s="24">
        <v>0</v>
      </c>
      <c r="ET131" s="24">
        <v>0</v>
      </c>
      <c r="EU131" s="24">
        <v>0</v>
      </c>
      <c r="EV131" s="24">
        <v>0</v>
      </c>
      <c r="EW131" s="24">
        <v>0</v>
      </c>
      <c r="EX131" s="24">
        <v>0</v>
      </c>
      <c r="EY131" s="24">
        <v>0</v>
      </c>
      <c r="EZ131" s="24">
        <v>0</v>
      </c>
      <c r="FA131" s="24">
        <v>0</v>
      </c>
      <c r="FB131" s="24">
        <v>0</v>
      </c>
      <c r="FC131" s="24">
        <v>0</v>
      </c>
      <c r="FD131" s="24">
        <v>0</v>
      </c>
      <c r="FE131" s="24">
        <v>0</v>
      </c>
      <c r="FF131" s="24">
        <v>0</v>
      </c>
      <c r="FG131" s="24">
        <v>0</v>
      </c>
      <c r="FH131" s="24">
        <v>0</v>
      </c>
      <c r="FI131" s="24">
        <v>0</v>
      </c>
      <c r="FJ131" s="24">
        <v>0</v>
      </c>
      <c r="FK131" s="24">
        <v>0</v>
      </c>
      <c r="FL131" s="24">
        <v>0</v>
      </c>
      <c r="FM131" s="24">
        <v>0</v>
      </c>
      <c r="FN131" s="24">
        <v>0</v>
      </c>
      <c r="FO131" s="24">
        <v>0</v>
      </c>
      <c r="FP131" s="24">
        <v>0</v>
      </c>
      <c r="FQ131" s="24">
        <v>0</v>
      </c>
      <c r="FR131" s="24">
        <v>0</v>
      </c>
      <c r="FS131" s="24">
        <v>0</v>
      </c>
      <c r="FT131" s="24">
        <v>0</v>
      </c>
      <c r="FU131" s="24">
        <v>0</v>
      </c>
      <c r="FV131" s="24">
        <v>0</v>
      </c>
      <c r="FW131" s="24">
        <v>0</v>
      </c>
      <c r="FX131" s="24">
        <v>0</v>
      </c>
      <c r="FY131" s="24">
        <v>0</v>
      </c>
      <c r="FZ131" s="24">
        <v>0</v>
      </c>
      <c r="GA131" s="24">
        <v>0</v>
      </c>
      <c r="GB131" s="24">
        <v>0</v>
      </c>
      <c r="GC131" s="24">
        <v>0</v>
      </c>
      <c r="GD131" s="24">
        <v>0</v>
      </c>
      <c r="GE131" s="24">
        <v>0</v>
      </c>
      <c r="GF131" s="24">
        <v>0</v>
      </c>
      <c r="GG131" s="24">
        <v>0</v>
      </c>
      <c r="GH131" s="24">
        <v>0</v>
      </c>
      <c r="GI131" s="24">
        <v>0</v>
      </c>
      <c r="GJ131" s="24">
        <v>0</v>
      </c>
      <c r="GK131" s="24">
        <v>0</v>
      </c>
      <c r="GL131" s="24">
        <v>0</v>
      </c>
      <c r="GM131" s="24">
        <v>0</v>
      </c>
      <c r="GN131" s="24">
        <v>0</v>
      </c>
      <c r="GO131" s="24">
        <v>0</v>
      </c>
      <c r="GP131" s="24">
        <v>0</v>
      </c>
      <c r="GQ131" s="24">
        <v>0</v>
      </c>
      <c r="GR131" s="24">
        <v>0</v>
      </c>
      <c r="GS131" s="24">
        <v>0</v>
      </c>
      <c r="GT131" s="24">
        <v>0</v>
      </c>
      <c r="GU131" s="24">
        <v>0</v>
      </c>
      <c r="GV131" s="24">
        <v>0</v>
      </c>
      <c r="GW131" s="24">
        <v>0</v>
      </c>
      <c r="GX131" s="24">
        <v>0</v>
      </c>
      <c r="GY131" s="24">
        <v>0</v>
      </c>
      <c r="GZ131" s="24">
        <v>0</v>
      </c>
      <c r="HA131" s="24">
        <v>0</v>
      </c>
      <c r="HB131" s="24">
        <v>0</v>
      </c>
      <c r="HC131" s="24">
        <v>0</v>
      </c>
      <c r="HD131" s="24">
        <v>3456086</v>
      </c>
      <c r="HE131" s="24">
        <v>0</v>
      </c>
      <c r="HF131" s="24">
        <v>0</v>
      </c>
      <c r="HG131" s="24">
        <v>0</v>
      </c>
      <c r="HH131" s="24">
        <v>0</v>
      </c>
      <c r="HI131" s="24">
        <v>438131</v>
      </c>
      <c r="HJ131" s="24">
        <v>0</v>
      </c>
      <c r="HK131" s="24">
        <v>0</v>
      </c>
      <c r="HL131" s="24">
        <v>28514</v>
      </c>
      <c r="HM131" s="24">
        <v>0</v>
      </c>
      <c r="HN131" s="24">
        <v>0</v>
      </c>
      <c r="HO131" s="24">
        <v>227878</v>
      </c>
      <c r="HP131" s="24">
        <v>281550</v>
      </c>
      <c r="HQ131" s="24">
        <v>0</v>
      </c>
      <c r="HR131" s="24">
        <v>0</v>
      </c>
      <c r="HS131" s="24">
        <v>0</v>
      </c>
      <c r="HT131" s="24">
        <v>0</v>
      </c>
      <c r="HU131" s="24">
        <v>0</v>
      </c>
      <c r="HV131" s="24">
        <v>0</v>
      </c>
      <c r="HW131" s="24">
        <v>0</v>
      </c>
      <c r="HX131" s="24">
        <v>0</v>
      </c>
      <c r="HY131" s="24">
        <v>0</v>
      </c>
      <c r="HZ131" s="24">
        <v>0</v>
      </c>
      <c r="IA131" s="24">
        <v>0</v>
      </c>
      <c r="IB131" s="24">
        <v>0</v>
      </c>
      <c r="IC131" s="24">
        <v>0</v>
      </c>
      <c r="ID131" s="24">
        <v>0</v>
      </c>
      <c r="IE131" s="24">
        <v>0</v>
      </c>
      <c r="IF131" s="24">
        <v>0</v>
      </c>
      <c r="IG131" s="24">
        <v>0</v>
      </c>
      <c r="IH131" s="24">
        <v>0</v>
      </c>
      <c r="II131" s="24">
        <v>0</v>
      </c>
      <c r="IJ131" s="24">
        <v>0</v>
      </c>
      <c r="IK131" s="24">
        <v>0</v>
      </c>
      <c r="IL131" s="24">
        <v>0</v>
      </c>
      <c r="IM131" s="24">
        <v>0</v>
      </c>
      <c r="IN131" s="24">
        <v>0</v>
      </c>
      <c r="IO131" s="24">
        <v>0</v>
      </c>
      <c r="IP131" s="24">
        <v>0</v>
      </c>
      <c r="IQ131" s="24">
        <v>0</v>
      </c>
      <c r="IR131" s="24">
        <v>0</v>
      </c>
      <c r="IS131" s="24">
        <v>0</v>
      </c>
      <c r="IT131" s="24">
        <v>0</v>
      </c>
      <c r="IU131" s="24">
        <v>0</v>
      </c>
      <c r="IV131" s="24">
        <v>0</v>
      </c>
      <c r="IW131" s="24">
        <v>0</v>
      </c>
      <c r="IX131" s="24">
        <v>0</v>
      </c>
      <c r="IY131" s="24">
        <v>0</v>
      </c>
      <c r="IZ131" s="24">
        <v>0</v>
      </c>
      <c r="JA131" s="24">
        <v>0</v>
      </c>
      <c r="JB131" s="24">
        <v>0</v>
      </c>
      <c r="JC131" s="24">
        <v>0</v>
      </c>
      <c r="JD131" s="24">
        <v>0</v>
      </c>
      <c r="JE131" s="24">
        <v>0</v>
      </c>
      <c r="JF131" s="24">
        <v>0</v>
      </c>
      <c r="JG131" s="24">
        <v>0</v>
      </c>
      <c r="JH131" s="24">
        <v>0</v>
      </c>
      <c r="JI131" s="24">
        <v>0</v>
      </c>
      <c r="JJ131" s="24">
        <v>0</v>
      </c>
      <c r="JK131" s="24">
        <v>0</v>
      </c>
      <c r="JL131" s="24">
        <v>0</v>
      </c>
      <c r="JM131" s="24">
        <v>0</v>
      </c>
      <c r="JN131" s="24">
        <v>0</v>
      </c>
      <c r="JO131" s="24">
        <v>0</v>
      </c>
      <c r="JP131" s="24">
        <v>0</v>
      </c>
      <c r="JQ131" s="24">
        <v>0</v>
      </c>
      <c r="JR131" s="24">
        <v>0</v>
      </c>
      <c r="JS131" s="24">
        <v>0</v>
      </c>
      <c r="JT131" s="24">
        <v>0</v>
      </c>
      <c r="JU131" s="24">
        <v>0</v>
      </c>
      <c r="JV131" s="24">
        <v>0</v>
      </c>
      <c r="JW131" s="24">
        <v>0</v>
      </c>
      <c r="JX131" s="24">
        <v>0</v>
      </c>
      <c r="JY131" s="24">
        <v>0</v>
      </c>
      <c r="JZ131" s="24">
        <v>0</v>
      </c>
      <c r="KA131" s="24">
        <v>0</v>
      </c>
      <c r="KB131" s="24">
        <v>0</v>
      </c>
      <c r="KC131" s="24">
        <v>0</v>
      </c>
      <c r="KD131" s="24">
        <v>0</v>
      </c>
      <c r="KE131" s="24">
        <v>0</v>
      </c>
      <c r="KF131" s="24">
        <v>0</v>
      </c>
      <c r="KG131" s="24">
        <v>0</v>
      </c>
      <c r="KH131" s="24">
        <v>0</v>
      </c>
      <c r="KI131" s="24">
        <v>0</v>
      </c>
      <c r="KJ131" s="24">
        <v>0</v>
      </c>
      <c r="KK131" s="24">
        <v>0</v>
      </c>
      <c r="KL131" s="24">
        <v>0</v>
      </c>
      <c r="KM131" s="24">
        <v>0</v>
      </c>
      <c r="KN131" s="24">
        <v>0</v>
      </c>
      <c r="KO131" s="24">
        <v>0</v>
      </c>
      <c r="KP131" s="24">
        <v>0</v>
      </c>
      <c r="KQ131" s="24">
        <v>0</v>
      </c>
      <c r="KR131" s="24">
        <v>0</v>
      </c>
      <c r="KS131" s="24">
        <v>0</v>
      </c>
      <c r="KT131" s="24">
        <v>0</v>
      </c>
      <c r="KU131" s="24">
        <v>0</v>
      </c>
      <c r="KV131" s="24">
        <v>0</v>
      </c>
      <c r="KW131" s="24">
        <v>0</v>
      </c>
      <c r="KX131" s="24">
        <v>0</v>
      </c>
      <c r="KY131" s="24">
        <v>0</v>
      </c>
      <c r="KZ131" s="24">
        <v>0</v>
      </c>
      <c r="LA131" s="24">
        <v>0</v>
      </c>
      <c r="LB131" s="24">
        <v>0</v>
      </c>
      <c r="LC131" s="24">
        <v>0</v>
      </c>
      <c r="LD131" s="24">
        <v>0</v>
      </c>
      <c r="LE131" s="24">
        <v>0</v>
      </c>
      <c r="LF131" s="24">
        <v>0</v>
      </c>
      <c r="LG131" s="24">
        <v>0</v>
      </c>
      <c r="LH131" s="24">
        <v>0</v>
      </c>
      <c r="LI131" s="24">
        <v>0</v>
      </c>
      <c r="LJ131" s="24">
        <v>0</v>
      </c>
      <c r="LK131" s="24">
        <v>0</v>
      </c>
      <c r="LL131" s="24">
        <v>0</v>
      </c>
      <c r="LM131" s="24">
        <v>0</v>
      </c>
      <c r="LN131" s="24">
        <v>0</v>
      </c>
      <c r="LO131" s="24">
        <v>0</v>
      </c>
      <c r="LP131" s="24">
        <v>0</v>
      </c>
      <c r="LQ131" s="24">
        <v>185090</v>
      </c>
      <c r="LR131" s="24">
        <v>0</v>
      </c>
      <c r="LS131" s="24">
        <v>0</v>
      </c>
      <c r="LT131" s="24">
        <v>0</v>
      </c>
      <c r="LU131" s="24">
        <v>0</v>
      </c>
      <c r="LV131" s="24">
        <v>0</v>
      </c>
      <c r="LW131" s="24">
        <v>0</v>
      </c>
      <c r="LX131" s="24">
        <v>0</v>
      </c>
      <c r="LY131" s="24">
        <v>0</v>
      </c>
      <c r="LZ131" s="24">
        <v>0</v>
      </c>
      <c r="MA131" s="24">
        <v>0</v>
      </c>
      <c r="MB131" s="24">
        <v>0</v>
      </c>
      <c r="MC131" s="24">
        <v>0</v>
      </c>
      <c r="MD131" s="24">
        <v>0</v>
      </c>
      <c r="ME131" s="24">
        <v>0</v>
      </c>
      <c r="MF131" s="24">
        <v>0</v>
      </c>
      <c r="MG131" s="24">
        <v>0</v>
      </c>
      <c r="MH131" s="24">
        <v>0</v>
      </c>
      <c r="MI131" s="24">
        <v>0</v>
      </c>
      <c r="MJ131" s="24">
        <v>0</v>
      </c>
      <c r="MK131" s="24">
        <v>0</v>
      </c>
      <c r="ML131" s="24">
        <v>0</v>
      </c>
      <c r="MM131" s="24">
        <v>0</v>
      </c>
      <c r="MN131" s="24">
        <v>0</v>
      </c>
      <c r="MO131" s="24">
        <v>0</v>
      </c>
      <c r="MP131" s="24">
        <v>0</v>
      </c>
      <c r="MQ131" s="24">
        <v>0</v>
      </c>
      <c r="MR131" s="24">
        <v>0</v>
      </c>
      <c r="MS131" s="24">
        <v>0</v>
      </c>
      <c r="MT131" s="24">
        <v>0</v>
      </c>
      <c r="MU131" s="24">
        <v>0</v>
      </c>
      <c r="MV131" s="24">
        <v>0</v>
      </c>
      <c r="MW131" s="24">
        <v>140241</v>
      </c>
      <c r="MX131" s="24">
        <v>0</v>
      </c>
      <c r="MY131" s="24">
        <v>0</v>
      </c>
      <c r="MZ131" s="24">
        <v>0</v>
      </c>
      <c r="NA131" s="24">
        <v>4104</v>
      </c>
      <c r="NB131" s="24">
        <v>0</v>
      </c>
      <c r="NC131" s="24">
        <v>0</v>
      </c>
      <c r="ND131" s="24">
        <v>0</v>
      </c>
      <c r="NE131" s="24">
        <v>0</v>
      </c>
      <c r="NF131" s="24">
        <v>0</v>
      </c>
      <c r="NG131" s="24">
        <v>0</v>
      </c>
      <c r="NH131" s="24">
        <v>0</v>
      </c>
      <c r="NI131" s="24">
        <v>0</v>
      </c>
      <c r="NJ131" s="24">
        <v>0</v>
      </c>
      <c r="NK131" s="24">
        <v>0</v>
      </c>
      <c r="NL131" s="24">
        <v>0</v>
      </c>
      <c r="NM131" s="24">
        <v>0</v>
      </c>
      <c r="NN131" s="24">
        <v>0</v>
      </c>
      <c r="NO131" s="24">
        <v>0</v>
      </c>
      <c r="NP131" s="24">
        <v>0</v>
      </c>
      <c r="NQ131" s="24">
        <v>0</v>
      </c>
      <c r="NR131" s="24">
        <v>0</v>
      </c>
      <c r="NS131" s="24">
        <v>0</v>
      </c>
      <c r="NT131" s="24">
        <v>0</v>
      </c>
      <c r="NU131" s="24">
        <v>0</v>
      </c>
      <c r="NV131" s="24">
        <v>23279</v>
      </c>
      <c r="NW131" s="24">
        <v>0</v>
      </c>
      <c r="NX131" s="24">
        <v>0</v>
      </c>
      <c r="NY131" s="24">
        <v>0</v>
      </c>
      <c r="NZ131" s="24">
        <v>0</v>
      </c>
      <c r="OA131" s="24">
        <v>0</v>
      </c>
      <c r="OB131" s="24">
        <v>0</v>
      </c>
      <c r="OC131" s="24">
        <v>0</v>
      </c>
      <c r="OD131" s="24">
        <v>0</v>
      </c>
      <c r="OE131" s="24">
        <v>0</v>
      </c>
      <c r="OF131" s="24">
        <v>0</v>
      </c>
      <c r="OG131" s="24">
        <v>0</v>
      </c>
      <c r="OH131" s="24">
        <v>0</v>
      </c>
      <c r="OI131" s="24">
        <v>0</v>
      </c>
      <c r="OJ131" s="24">
        <v>0</v>
      </c>
      <c r="OK131" s="24">
        <v>0</v>
      </c>
      <c r="OL131" s="24">
        <v>0</v>
      </c>
      <c r="OM131" s="24">
        <v>0</v>
      </c>
      <c r="ON131" s="24">
        <v>0</v>
      </c>
      <c r="OO131" s="24">
        <v>0</v>
      </c>
      <c r="OP131" s="24">
        <v>0</v>
      </c>
      <c r="OQ131" s="24">
        <v>0</v>
      </c>
      <c r="OR131" s="24">
        <v>0</v>
      </c>
      <c r="OS131" s="24">
        <v>0</v>
      </c>
      <c r="OT131" s="24">
        <v>0</v>
      </c>
      <c r="OU131" s="24">
        <v>0</v>
      </c>
      <c r="OV131" s="24">
        <v>0</v>
      </c>
      <c r="OW131" s="24">
        <v>0</v>
      </c>
      <c r="OX131" s="24">
        <v>0</v>
      </c>
      <c r="OY131" s="24">
        <v>0</v>
      </c>
      <c r="OZ131" s="24">
        <v>0</v>
      </c>
      <c r="PA131" s="24">
        <v>0</v>
      </c>
      <c r="PB131" s="24">
        <v>0</v>
      </c>
      <c r="PC131" s="24">
        <v>0</v>
      </c>
      <c r="PD131" s="24">
        <v>0</v>
      </c>
      <c r="PE131" s="24">
        <v>0</v>
      </c>
      <c r="PF131" s="24">
        <v>0</v>
      </c>
      <c r="PG131" s="24">
        <v>0</v>
      </c>
      <c r="PH131" s="24">
        <v>0</v>
      </c>
      <c r="PI131" s="24">
        <v>0</v>
      </c>
      <c r="PJ131" s="24">
        <v>0</v>
      </c>
      <c r="PK131" s="24">
        <v>0</v>
      </c>
      <c r="PL131" s="24">
        <v>0</v>
      </c>
      <c r="PM131" s="24">
        <v>0</v>
      </c>
      <c r="PN131" s="24">
        <v>0</v>
      </c>
      <c r="PO131" s="24">
        <v>0</v>
      </c>
      <c r="PP131" s="24">
        <v>0</v>
      </c>
      <c r="PQ131" s="24">
        <v>0</v>
      </c>
      <c r="PR131" s="24">
        <v>0</v>
      </c>
      <c r="PS131" s="24">
        <v>0</v>
      </c>
      <c r="PT131" s="24">
        <v>0</v>
      </c>
      <c r="PU131" s="24">
        <v>0</v>
      </c>
      <c r="PV131" s="24">
        <v>0</v>
      </c>
      <c r="PW131" s="24">
        <v>0</v>
      </c>
      <c r="PX131" s="24">
        <v>0</v>
      </c>
      <c r="PY131" s="24">
        <v>0</v>
      </c>
      <c r="PZ131" s="24">
        <v>0</v>
      </c>
      <c r="QA131" s="24">
        <v>0</v>
      </c>
      <c r="QB131" s="24">
        <v>0</v>
      </c>
      <c r="QC131" s="24">
        <v>0</v>
      </c>
      <c r="QD131" s="24">
        <v>0</v>
      </c>
      <c r="QE131" s="24">
        <v>0</v>
      </c>
      <c r="QF131" s="24">
        <v>0</v>
      </c>
      <c r="QG131" s="24">
        <v>0</v>
      </c>
      <c r="QH131" s="24">
        <v>0</v>
      </c>
      <c r="QI131" s="24">
        <v>0</v>
      </c>
      <c r="QJ131" s="24">
        <v>0</v>
      </c>
      <c r="QK131" s="24">
        <v>0</v>
      </c>
      <c r="QL131" s="24">
        <v>0</v>
      </c>
      <c r="QM131" s="24">
        <v>0</v>
      </c>
      <c r="QN131" s="24">
        <v>0</v>
      </c>
      <c r="QO131" s="24">
        <v>0</v>
      </c>
      <c r="QP131" s="24">
        <v>0</v>
      </c>
      <c r="QQ131" s="24">
        <v>0</v>
      </c>
      <c r="QR131" s="24">
        <v>0</v>
      </c>
      <c r="QS131" s="24">
        <v>0</v>
      </c>
      <c r="QT131" s="24">
        <v>0</v>
      </c>
      <c r="QU131" s="24">
        <v>0</v>
      </c>
      <c r="QV131" s="24">
        <v>17901</v>
      </c>
      <c r="QW131" s="24">
        <v>0</v>
      </c>
      <c r="QX131" s="24">
        <v>0</v>
      </c>
      <c r="QY131" s="24">
        <v>0</v>
      </c>
      <c r="QZ131" s="24">
        <v>0</v>
      </c>
      <c r="RA131" s="24">
        <v>0</v>
      </c>
      <c r="RB131" s="24">
        <v>0</v>
      </c>
      <c r="RC131" s="913">
        <v>2</v>
      </c>
      <c r="RG131" s="39">
        <f t="shared" si="248"/>
        <v>3456086</v>
      </c>
      <c r="RH131" s="39">
        <f t="shared" si="249"/>
        <v>438131</v>
      </c>
      <c r="RI131" s="39">
        <f t="shared" si="249"/>
        <v>28514</v>
      </c>
      <c r="RJ131" s="39">
        <f t="shared" si="249"/>
        <v>0</v>
      </c>
      <c r="RK131" s="39">
        <f t="shared" si="249"/>
        <v>0</v>
      </c>
      <c r="RL131" s="39">
        <f t="shared" si="249"/>
        <v>227878</v>
      </c>
      <c r="RM131" s="39">
        <f t="shared" si="249"/>
        <v>281550</v>
      </c>
      <c r="RN131" s="39">
        <f t="shared" si="249"/>
        <v>0</v>
      </c>
      <c r="RO131" s="39">
        <f t="shared" si="249"/>
        <v>0</v>
      </c>
      <c r="RP131" s="39">
        <f t="shared" si="249"/>
        <v>0</v>
      </c>
      <c r="RQ131" s="39">
        <f t="shared" si="249"/>
        <v>0</v>
      </c>
      <c r="RR131" s="39">
        <f t="shared" si="249"/>
        <v>0</v>
      </c>
      <c r="RS131" s="39"/>
      <c r="RT131" s="182"/>
      <c r="RU131" s="39"/>
      <c r="RV131" s="39">
        <f t="shared" si="246"/>
        <v>352714</v>
      </c>
      <c r="RW131" s="39">
        <f t="shared" si="246"/>
        <v>4432159</v>
      </c>
      <c r="RX131" s="39">
        <f t="shared" si="246"/>
        <v>2678</v>
      </c>
      <c r="RY131" s="39">
        <f t="shared" si="246"/>
        <v>17901</v>
      </c>
      <c r="RZ131" s="39"/>
      <c r="SA131" s="182"/>
      <c r="SB131" s="39"/>
      <c r="SC131" s="25">
        <f t="shared" si="183"/>
        <v>2.9045553145336225</v>
      </c>
      <c r="SD131" s="39">
        <f>IFERROR(VLOOKUP(A131, 'Levy Data 15-16'!$B:$O, 3, FALSE), 0)</f>
        <v>0</v>
      </c>
      <c r="SE131" s="39">
        <f t="shared" si="208"/>
        <v>0</v>
      </c>
      <c r="SF131" s="631">
        <f>IFERROR(VLOOKUP(A131, 'Levy Data 15-16'!$B:$O, 14, FALSE), 0)*1000</f>
        <v>0</v>
      </c>
      <c r="SG131" s="39">
        <f t="shared" si="209"/>
        <v>0</v>
      </c>
      <c r="SH131" s="39">
        <f t="shared" si="210"/>
        <v>0</v>
      </c>
      <c r="SI131" s="39">
        <f t="shared" si="211"/>
        <v>2678</v>
      </c>
      <c r="SM131" s="39">
        <f t="shared" si="212"/>
        <v>4432159</v>
      </c>
      <c r="SN131" s="39">
        <f t="shared" si="213"/>
        <v>0</v>
      </c>
      <c r="SO131" s="39">
        <f t="shared" si="184"/>
        <v>4432159</v>
      </c>
      <c r="SP131" s="50">
        <f t="shared" si="250"/>
        <v>1</v>
      </c>
      <c r="ST131" s="124">
        <f>IFERROR(VLOOKUP(A131,'Grade Enroll 15-16'!B:AC,27,FALSE),"")</f>
        <v>922</v>
      </c>
      <c r="SU131" s="124">
        <f t="shared" si="264"/>
        <v>486.04284621270079</v>
      </c>
      <c r="SV131" s="131">
        <f>IFERROR(VLOOKUP($A131, 'Title I Enroll 16-17'!S:V, 4, FALSE), 0)</f>
        <v>0.52716143840856922</v>
      </c>
      <c r="SW131" s="729">
        <f>IFERROR(VLOOKUP(A131, 'ELL Enroll 15-16'!$N:$S, 6, FALSE), 0)</f>
        <v>5</v>
      </c>
      <c r="SX131" s="131">
        <f t="shared" si="251"/>
        <v>5.4229934924078091E-3</v>
      </c>
      <c r="SY131" s="124">
        <f>IFERROR(VLOOKUP(A131, 'SPED enroll 2015-16'!$M:$O, 3, FALSE), 0)</f>
        <v>94</v>
      </c>
      <c r="SZ131" s="131">
        <f t="shared" si="252"/>
        <v>0.1019522776572668</v>
      </c>
      <c r="TA131" s="142">
        <f t="shared" si="253"/>
        <v>65.8</v>
      </c>
      <c r="TB131" s="142">
        <f t="shared" si="253"/>
        <v>18.8</v>
      </c>
      <c r="TC131" s="142">
        <f t="shared" si="253"/>
        <v>6.580000000000001</v>
      </c>
      <c r="TD131" s="142">
        <f t="shared" si="253"/>
        <v>2.82</v>
      </c>
      <c r="TE131" s="124">
        <f>VLOOKUP($A131, 'Grade Enroll 15-16'!$B:$AB, 20, FALSE)</f>
        <v>0</v>
      </c>
      <c r="TF131" s="124">
        <f>VLOOKUP($A131, 'Grade Enroll 15-16'!$B:$AB, 21, FALSE)</f>
        <v>35</v>
      </c>
      <c r="TG131" s="124">
        <f>VLOOKUP($A131, 'Grade Enroll 15-16'!$B:$AB, 22, FALSE)</f>
        <v>129</v>
      </c>
      <c r="TH131" s="124">
        <f>VLOOKUP($A131, 'Grade Enroll 15-16'!$B:$AB, 23, FALSE)</f>
        <v>158</v>
      </c>
      <c r="TI131" s="124">
        <f>VLOOKUP($A131, 'Grade Enroll 15-16'!$B:$AB, 24, FALSE)</f>
        <v>197</v>
      </c>
      <c r="TJ131" s="124">
        <f>VLOOKUP($A131, 'Grade Enroll 15-16'!$B:$AB, 25, FALSE)</f>
        <v>438</v>
      </c>
      <c r="TK131" s="124">
        <f>VLOOKUP($A131, 'Grade Enroll 15-16'!$B:$AB, 26, FALSE)</f>
        <v>635</v>
      </c>
      <c r="TL131" s="131">
        <f>SUMIFS('Student Achievement 15-16'!N:N, 'Student Achievement 15-16'!B:B, 'Idaho Data'!A131, 'Student Achievement 15-16'!D:D, "math")/100</f>
        <v>0.41399999999999998</v>
      </c>
      <c r="TM131" s="134">
        <f t="shared" si="186"/>
        <v>381.70799999999997</v>
      </c>
      <c r="TN131" s="131">
        <f>SUMIFS('Student Achievement 15-16'!N:N, 'Student Achievement 15-16'!B:B, 'Idaho Data'!A131, 'Student Achievement 15-16'!D:D, "ela")/100</f>
        <v>0.188</v>
      </c>
      <c r="TO131" s="134">
        <f t="shared" si="254"/>
        <v>173.33600000000001</v>
      </c>
      <c r="TP131" s="688">
        <f>IFERROR(VLOOKUP(A131, 'G&amp;T 15-16'!B:G, 6, FALSE), 0)*1</f>
        <v>0</v>
      </c>
      <c r="TQ131" s="168">
        <f t="shared" si="255"/>
        <v>55.32</v>
      </c>
      <c r="TU131" s="168">
        <f t="shared" si="256"/>
        <v>173.33600000000001</v>
      </c>
      <c r="TV131" s="168">
        <f t="shared" si="257"/>
        <v>381.70799999999997</v>
      </c>
      <c r="TW131" s="205">
        <f t="shared" si="258"/>
        <v>381.70799999999997</v>
      </c>
      <c r="TX131" s="144"/>
      <c r="TY131" s="129"/>
      <c r="TZ131" s="127">
        <f t="shared" si="259"/>
        <v>0</v>
      </c>
      <c r="UA131" s="127">
        <f t="shared" si="260"/>
        <v>55.32</v>
      </c>
      <c r="UB131" s="205">
        <f t="shared" si="261"/>
        <v>55.32</v>
      </c>
      <c r="UE131" s="853" t="str">
        <f>IF(ST131&lt;='1. Simulator Input'!$E$104, "yes", "")</f>
        <v/>
      </c>
      <c r="UI131" s="199">
        <f t="shared" si="187"/>
        <v>0</v>
      </c>
      <c r="UJ131" s="200">
        <f>IF('Idaho Data'!SI131&gt;=0, ((1-'1. Simulator Input'!$E$39)*'Idaho Data'!SI131), 0)</f>
        <v>0</v>
      </c>
      <c r="UK131" s="200">
        <f t="shared" si="262"/>
        <v>4432159</v>
      </c>
      <c r="UL131" s="39"/>
      <c r="UM131" s="182"/>
      <c r="UN131" s="39"/>
      <c r="UO131" s="39" t="str">
        <f>IF(AND('1. Simulator Input'!$E$96="yes", '1. Simulator Input'!$E$98="yes", '1. Simulator Input'!$E$100="hold harmless"), 'Idaho Data'!WN131, IF(AND('1. Simulator Input'!$E$96="yes", '1. Simulator Input'!$E$98="no", '1. Simulator Input'!$E$100="hold harmless"), 'Idaho Data'!WM131, IF(AND('1. Simulator Input'!$E$96="yes", '1. Simulator Input'!$E$98="yes", '1. Simulator Input'!$E$100="small district grant"), WL131,IF(AND('1. Simulator Input'!$E$96="yes", '1. Simulator Input'!$E$98="no", '1. Simulator Input'!$E$100="small district grant"), WK131, ""))))</f>
        <v/>
      </c>
      <c r="UP131" s="200">
        <f>'1. Simulator Input'!$D$56*('Idaho Data'!ST131)</f>
        <v>5094972</v>
      </c>
      <c r="UQ131" s="204">
        <f>'1. Simulator Input'!$D$65*'1. Simulator Input'!$D$56*'Idaho Data'!SU131</f>
        <v>0</v>
      </c>
      <c r="UR131" s="204">
        <f>'1. Simulator Input'!$D$66*'1. Simulator Input'!$D$56*'Idaho Data'!SW131</f>
        <v>0</v>
      </c>
      <c r="US131" s="200">
        <f>'1. Simulator Input'!$D$67*'1. Simulator Input'!$D$56*'Idaho Data'!TA131</f>
        <v>0</v>
      </c>
      <c r="UT131" s="200">
        <f>'1. Simulator Input'!$D$68*'1. Simulator Input'!$D$56*'Idaho Data'!TB131</f>
        <v>0</v>
      </c>
      <c r="UU131" s="200">
        <f>'1. Simulator Input'!$D$69*'1. Simulator Input'!$D$56*'Idaho Data'!TC131</f>
        <v>0</v>
      </c>
      <c r="UV131" s="200">
        <f>'1. Simulator Input'!$D$70*'1. Simulator Input'!$D$56*TD131</f>
        <v>0</v>
      </c>
      <c r="UW131" s="200">
        <f>'1. Simulator Input'!$D$80*'1. Simulator Input'!$D$56*TW131</f>
        <v>0</v>
      </c>
      <c r="UX131" s="200">
        <f>'1. Simulator Input'!$D$79*'1. Simulator Input'!$D$56*UB131</f>
        <v>0</v>
      </c>
      <c r="UY131" s="200">
        <f>'1. Simulator Input'!$D$87*'1. Simulator Input'!$D$56*TF131</f>
        <v>96705</v>
      </c>
      <c r="UZ131" s="200">
        <f>'1. Simulator Input'!$D$73*'1. Simulator Input'!$D$56*'Idaho Data'!TG131</f>
        <v>0</v>
      </c>
      <c r="VA131" s="200">
        <f>'1. Simulator Input'!$D$56*'1. Simulator Input'!$D$74*'Idaho Data'!TH131</f>
        <v>0</v>
      </c>
      <c r="VB131" s="200">
        <f>'1. Simulator Input'!$D$56*'1. Simulator Input'!$D$75*'Idaho Data'!TI126</f>
        <v>0</v>
      </c>
      <c r="VC131" s="200">
        <f>'1. Simulator Input'!$D$76*'1. Simulator Input'!$D$56*'Idaho Data'!TJ131</f>
        <v>0</v>
      </c>
      <c r="VD131" s="200">
        <f t="shared" si="188"/>
        <v>5191677</v>
      </c>
      <c r="VE131" s="200"/>
      <c r="VF131" s="182"/>
      <c r="VG131" s="200"/>
      <c r="VH131" s="200">
        <f t="shared" si="189"/>
        <v>0</v>
      </c>
      <c r="VI131" s="200">
        <f t="shared" si="190"/>
        <v>0</v>
      </c>
      <c r="VJ131" s="200">
        <f t="shared" si="214"/>
        <v>5191677</v>
      </c>
      <c r="VK131" s="200">
        <f t="shared" si="215"/>
        <v>5191677</v>
      </c>
      <c r="VL131" s="200"/>
      <c r="VM131" s="182"/>
      <c r="VN131" s="200"/>
      <c r="VO131" s="200">
        <f t="shared" si="191"/>
        <v>352714</v>
      </c>
      <c r="VP131" s="200">
        <f t="shared" si="192"/>
        <v>4432159</v>
      </c>
      <c r="VQ131" s="200">
        <f t="shared" si="193"/>
        <v>2678</v>
      </c>
      <c r="VR131" s="200">
        <f t="shared" si="194"/>
        <v>352714</v>
      </c>
      <c r="VS131" s="200">
        <f t="shared" si="216"/>
        <v>5191677</v>
      </c>
      <c r="VT131" s="200">
        <f t="shared" si="217"/>
        <v>2678</v>
      </c>
      <c r="VU131" s="200">
        <f t="shared" si="218"/>
        <v>0</v>
      </c>
      <c r="VV131" s="200"/>
      <c r="VW131" s="182"/>
      <c r="VX131" s="200"/>
      <c r="VZ131" s="199">
        <f t="shared" si="195"/>
        <v>759518</v>
      </c>
      <c r="WA131" s="199">
        <f t="shared" si="196"/>
        <v>823.77223427331887</v>
      </c>
      <c r="WB131" s="131">
        <f t="shared" si="197"/>
        <v>0.17136524208630602</v>
      </c>
      <c r="WC131" s="131"/>
      <c r="WD131" s="461"/>
      <c r="WE131" s="893"/>
      <c r="WF131" s="893">
        <f t="shared" si="198"/>
        <v>5192.5715835141</v>
      </c>
      <c r="WG131" s="893">
        <f t="shared" si="199"/>
        <v>6016.3438177874186</v>
      </c>
      <c r="WH131" s="893"/>
      <c r="WI131" s="893">
        <f t="shared" si="200"/>
        <v>4432159</v>
      </c>
      <c r="WJ131" s="893">
        <f t="shared" si="219"/>
        <v>5191677</v>
      </c>
      <c r="WK131" s="39" t="str">
        <f t="shared" si="220"/>
        <v/>
      </c>
      <c r="WL131" s="39" t="str">
        <f t="shared" si="221"/>
        <v/>
      </c>
      <c r="WM131" s="200" t="str">
        <f t="shared" si="222"/>
        <v/>
      </c>
      <c r="WN131" s="39" t="str">
        <f t="shared" si="223"/>
        <v/>
      </c>
      <c r="WO131" s="39"/>
      <c r="WP131" s="182"/>
      <c r="WQ131" s="39"/>
      <c r="WR131" s="305"/>
      <c r="WT131" s="200">
        <f t="shared" si="225"/>
        <v>4807.1138828633402</v>
      </c>
      <c r="WU131" s="131">
        <f t="shared" si="201"/>
        <v>0.01</v>
      </c>
      <c r="WW131" s="199">
        <f t="shared" si="226"/>
        <v>352714</v>
      </c>
      <c r="WX131" s="199">
        <f t="shared" si="227"/>
        <v>5191677</v>
      </c>
      <c r="WY131" s="199">
        <f t="shared" si="228"/>
        <v>0</v>
      </c>
      <c r="WZ131" s="199">
        <f t="shared" si="202"/>
        <v>5191677</v>
      </c>
      <c r="XA131" s="199">
        <f t="shared" si="229"/>
        <v>0</v>
      </c>
      <c r="XB131" s="199">
        <f t="shared" si="230"/>
        <v>2678</v>
      </c>
      <c r="XC131" s="199">
        <f t="shared" si="231"/>
        <v>2678</v>
      </c>
      <c r="XD131" s="199" t="str">
        <f t="shared" si="232"/>
        <v/>
      </c>
      <c r="XE131" s="199"/>
      <c r="XF131" s="199"/>
      <c r="XG131" s="199"/>
      <c r="XH131" s="199"/>
      <c r="XI131" s="199"/>
      <c r="XJ131" s="199">
        <f t="shared" si="203"/>
        <v>5191677</v>
      </c>
      <c r="XP131" s="199">
        <f t="shared" si="233"/>
        <v>5191677</v>
      </c>
      <c r="XQ131" s="199">
        <f t="shared" si="234"/>
        <v>5630.8861171366598</v>
      </c>
      <c r="XR131" s="199">
        <f t="shared" si="235"/>
        <v>5191677</v>
      </c>
      <c r="XS131" s="199">
        <f t="shared" si="236"/>
        <v>5191677</v>
      </c>
      <c r="XT131" s="199">
        <f t="shared" si="237"/>
        <v>5630.8861171366598</v>
      </c>
      <c r="XU131" s="199">
        <f t="shared" si="238"/>
        <v>4432159</v>
      </c>
      <c r="XV131" s="199">
        <f t="shared" si="239"/>
        <v>4807.1138828633402</v>
      </c>
      <c r="XW131" s="199">
        <f t="shared" si="240"/>
        <v>4432159</v>
      </c>
      <c r="XX131" s="199">
        <f t="shared" si="241"/>
        <v>4807.1138828633402</v>
      </c>
      <c r="XY131" s="199">
        <f t="shared" si="204"/>
        <v>759518</v>
      </c>
      <c r="XZ131" s="199">
        <f t="shared" si="205"/>
        <v>823.77223427331955</v>
      </c>
      <c r="YA131" s="131">
        <f t="shared" si="263"/>
        <v>0.17136524208630619</v>
      </c>
      <c r="YB131" s="199"/>
      <c r="YC131" s="221"/>
      <c r="YD131" s="199"/>
      <c r="YE131" s="199">
        <f t="shared" si="242"/>
        <v>352714</v>
      </c>
      <c r="YF131" s="200">
        <f t="shared" si="243"/>
        <v>0</v>
      </c>
      <c r="YG131" s="199">
        <f t="shared" si="244"/>
        <v>2678</v>
      </c>
      <c r="YH131" s="199">
        <f t="shared" si="245"/>
        <v>17901</v>
      </c>
    </row>
    <row r="132" spans="1:658">
      <c r="A132" s="3">
        <v>458</v>
      </c>
      <c r="B132" s="2" t="s">
        <v>229</v>
      </c>
      <c r="C132" s="24">
        <v>0</v>
      </c>
      <c r="D132" s="24">
        <v>0</v>
      </c>
      <c r="E132" s="24">
        <v>0</v>
      </c>
      <c r="F132" s="24">
        <v>0</v>
      </c>
      <c r="G132" s="24">
        <v>0</v>
      </c>
      <c r="H132" s="24">
        <v>0</v>
      </c>
      <c r="I132" s="24">
        <v>0</v>
      </c>
      <c r="J132" s="24">
        <v>0</v>
      </c>
      <c r="K132" s="24">
        <v>0</v>
      </c>
      <c r="L132" s="24">
        <v>0</v>
      </c>
      <c r="M132" s="24">
        <v>0</v>
      </c>
      <c r="N132" s="24">
        <v>0</v>
      </c>
      <c r="O132" s="24">
        <v>0</v>
      </c>
      <c r="P132" s="24">
        <v>0</v>
      </c>
      <c r="Q132" s="24">
        <v>0</v>
      </c>
      <c r="R132" s="24">
        <v>0</v>
      </c>
      <c r="S132" s="24">
        <v>0</v>
      </c>
      <c r="T132" s="24">
        <v>0</v>
      </c>
      <c r="U132" s="24">
        <v>0</v>
      </c>
      <c r="V132" s="24">
        <v>0</v>
      </c>
      <c r="W132" s="24">
        <v>0</v>
      </c>
      <c r="X132" s="24">
        <v>0</v>
      </c>
      <c r="Y132" s="24">
        <v>0</v>
      </c>
      <c r="Z132" s="24">
        <v>0</v>
      </c>
      <c r="AA132" s="24">
        <v>0</v>
      </c>
      <c r="AB132" s="24">
        <v>0</v>
      </c>
      <c r="AC132" s="24">
        <v>0</v>
      </c>
      <c r="AD132" s="24">
        <v>0</v>
      </c>
      <c r="AE132" s="24">
        <v>0</v>
      </c>
      <c r="AF132" s="24">
        <v>0</v>
      </c>
      <c r="AG132" s="24">
        <v>0</v>
      </c>
      <c r="AH132" s="24">
        <v>0</v>
      </c>
      <c r="AI132" s="24">
        <v>0</v>
      </c>
      <c r="AJ132" s="24">
        <v>0</v>
      </c>
      <c r="AK132" s="24">
        <v>0</v>
      </c>
      <c r="AL132" s="24">
        <v>5411</v>
      </c>
      <c r="AM132" s="24">
        <v>0</v>
      </c>
      <c r="AN132" s="24">
        <v>0</v>
      </c>
      <c r="AO132" s="24">
        <v>0</v>
      </c>
      <c r="AP132" s="24">
        <v>0</v>
      </c>
      <c r="AQ132" s="24">
        <v>0</v>
      </c>
      <c r="AR132" s="24">
        <v>0</v>
      </c>
      <c r="AS132" s="24">
        <v>0</v>
      </c>
      <c r="AT132" s="24">
        <v>0</v>
      </c>
      <c r="AU132" s="24">
        <v>0</v>
      </c>
      <c r="AV132" s="24">
        <v>0</v>
      </c>
      <c r="AW132" s="24">
        <v>0</v>
      </c>
      <c r="AX132" s="24">
        <v>0</v>
      </c>
      <c r="AY132" s="24">
        <v>0</v>
      </c>
      <c r="AZ132" s="24">
        <v>0</v>
      </c>
      <c r="BA132" s="24">
        <v>0</v>
      </c>
      <c r="BB132" s="24">
        <v>0</v>
      </c>
      <c r="BC132" s="24">
        <v>0</v>
      </c>
      <c r="BD132" s="24">
        <v>292</v>
      </c>
      <c r="BE132" s="24">
        <v>0</v>
      </c>
      <c r="BF132" s="24">
        <v>0</v>
      </c>
      <c r="BG132" s="24">
        <v>0</v>
      </c>
      <c r="BH132" s="24">
        <v>0</v>
      </c>
      <c r="BI132" s="24">
        <v>0</v>
      </c>
      <c r="BJ132" s="24">
        <v>0</v>
      </c>
      <c r="BK132" s="24">
        <v>0</v>
      </c>
      <c r="BL132" s="24">
        <v>0</v>
      </c>
      <c r="BM132" s="24">
        <v>0</v>
      </c>
      <c r="BN132" s="24">
        <v>0</v>
      </c>
      <c r="BO132" s="24">
        <v>0</v>
      </c>
      <c r="BP132" s="24">
        <v>0</v>
      </c>
      <c r="BQ132" s="24">
        <v>0</v>
      </c>
      <c r="BR132" s="24">
        <v>0</v>
      </c>
      <c r="BS132" s="24">
        <v>0</v>
      </c>
      <c r="BT132" s="24">
        <v>0</v>
      </c>
      <c r="BU132" s="24">
        <v>0</v>
      </c>
      <c r="BV132" s="24">
        <v>0</v>
      </c>
      <c r="BW132" s="24">
        <v>0</v>
      </c>
      <c r="BX132" s="24">
        <v>0</v>
      </c>
      <c r="BY132" s="24">
        <v>0</v>
      </c>
      <c r="BZ132" s="24">
        <v>0</v>
      </c>
      <c r="CA132" s="24">
        <v>0</v>
      </c>
      <c r="CB132" s="24">
        <v>0</v>
      </c>
      <c r="CC132" s="24">
        <v>0</v>
      </c>
      <c r="CD132" s="24">
        <v>74678</v>
      </c>
      <c r="CE132" s="24">
        <v>1888</v>
      </c>
      <c r="CF132" s="24">
        <v>0</v>
      </c>
      <c r="CG132" s="24">
        <v>11093</v>
      </c>
      <c r="CH132" s="24">
        <v>0</v>
      </c>
      <c r="CI132" s="24">
        <v>0</v>
      </c>
      <c r="CJ132" s="24">
        <v>0</v>
      </c>
      <c r="CK132" s="24">
        <v>0</v>
      </c>
      <c r="CL132" s="24">
        <v>0</v>
      </c>
      <c r="CM132" s="24">
        <v>0</v>
      </c>
      <c r="CN132" s="24">
        <v>0</v>
      </c>
      <c r="CO132" s="24">
        <v>0</v>
      </c>
      <c r="CP132" s="24">
        <v>0</v>
      </c>
      <c r="CQ132" s="24">
        <v>0</v>
      </c>
      <c r="CR132" s="24">
        <v>0</v>
      </c>
      <c r="CS132" s="24">
        <v>0</v>
      </c>
      <c r="CT132" s="24">
        <v>0</v>
      </c>
      <c r="CU132" s="24">
        <v>0</v>
      </c>
      <c r="CV132" s="24">
        <v>0</v>
      </c>
      <c r="CW132" s="24">
        <v>0</v>
      </c>
      <c r="CX132" s="24">
        <v>0</v>
      </c>
      <c r="CY132" s="24">
        <v>0</v>
      </c>
      <c r="CZ132" s="24">
        <v>0</v>
      </c>
      <c r="DA132" s="24">
        <v>0</v>
      </c>
      <c r="DB132" s="24">
        <v>0</v>
      </c>
      <c r="DC132" s="24">
        <v>0</v>
      </c>
      <c r="DD132" s="24">
        <v>0</v>
      </c>
      <c r="DE132" s="24">
        <v>0</v>
      </c>
      <c r="DF132" s="24">
        <v>0</v>
      </c>
      <c r="DG132" s="24">
        <v>0</v>
      </c>
      <c r="DH132" s="24">
        <v>0</v>
      </c>
      <c r="DI132" s="24">
        <v>0</v>
      </c>
      <c r="DJ132" s="24">
        <v>0</v>
      </c>
      <c r="DK132" s="24">
        <v>0</v>
      </c>
      <c r="DL132" s="24">
        <v>0</v>
      </c>
      <c r="DM132" s="24">
        <v>0</v>
      </c>
      <c r="DN132" s="24">
        <v>0</v>
      </c>
      <c r="DO132" s="24">
        <v>0</v>
      </c>
      <c r="DP132" s="24">
        <v>0</v>
      </c>
      <c r="DQ132" s="24">
        <v>0</v>
      </c>
      <c r="DR132" s="24">
        <v>0</v>
      </c>
      <c r="DS132" s="24">
        <v>0</v>
      </c>
      <c r="DT132" s="24">
        <v>0</v>
      </c>
      <c r="DU132" s="24">
        <v>0</v>
      </c>
      <c r="DV132" s="24">
        <v>0</v>
      </c>
      <c r="DW132" s="24">
        <v>0</v>
      </c>
      <c r="DX132" s="24">
        <v>0</v>
      </c>
      <c r="DY132" s="24">
        <v>0</v>
      </c>
      <c r="DZ132" s="24">
        <v>0</v>
      </c>
      <c r="EA132" s="24">
        <v>0</v>
      </c>
      <c r="EB132" s="24">
        <v>0</v>
      </c>
      <c r="EC132" s="24">
        <v>0</v>
      </c>
      <c r="ED132" s="24">
        <v>0</v>
      </c>
      <c r="EE132" s="24">
        <v>0</v>
      </c>
      <c r="EF132" s="24">
        <v>0</v>
      </c>
      <c r="EG132" s="24">
        <v>0</v>
      </c>
      <c r="EH132" s="24">
        <v>0</v>
      </c>
      <c r="EI132" s="24">
        <v>0</v>
      </c>
      <c r="EJ132" s="24">
        <v>0</v>
      </c>
      <c r="EK132" s="24">
        <v>0</v>
      </c>
      <c r="EL132" s="24">
        <v>0</v>
      </c>
      <c r="EM132" s="24">
        <v>0</v>
      </c>
      <c r="EN132" s="24">
        <v>0</v>
      </c>
      <c r="EO132" s="24">
        <v>0</v>
      </c>
      <c r="EP132" s="24">
        <v>0</v>
      </c>
      <c r="EQ132" s="24">
        <v>0</v>
      </c>
      <c r="ER132" s="24">
        <v>0</v>
      </c>
      <c r="ES132" s="24">
        <v>0</v>
      </c>
      <c r="ET132" s="24">
        <v>0</v>
      </c>
      <c r="EU132" s="24">
        <v>0</v>
      </c>
      <c r="EV132" s="24">
        <v>0</v>
      </c>
      <c r="EW132" s="24">
        <v>0</v>
      </c>
      <c r="EX132" s="24">
        <v>0</v>
      </c>
      <c r="EY132" s="24">
        <v>0</v>
      </c>
      <c r="EZ132" s="24">
        <v>0</v>
      </c>
      <c r="FA132" s="24">
        <v>0</v>
      </c>
      <c r="FB132" s="24">
        <v>0</v>
      </c>
      <c r="FC132" s="24">
        <v>0</v>
      </c>
      <c r="FD132" s="24">
        <v>0</v>
      </c>
      <c r="FE132" s="24">
        <v>0</v>
      </c>
      <c r="FF132" s="24">
        <v>0</v>
      </c>
      <c r="FG132" s="24">
        <v>0</v>
      </c>
      <c r="FH132" s="24">
        <v>0</v>
      </c>
      <c r="FI132" s="24">
        <v>0</v>
      </c>
      <c r="FJ132" s="24">
        <v>0</v>
      </c>
      <c r="FK132" s="24">
        <v>0</v>
      </c>
      <c r="FL132" s="24">
        <v>0</v>
      </c>
      <c r="FM132" s="24">
        <v>0</v>
      </c>
      <c r="FN132" s="24">
        <v>0</v>
      </c>
      <c r="FO132" s="24">
        <v>0</v>
      </c>
      <c r="FP132" s="24">
        <v>0</v>
      </c>
      <c r="FQ132" s="24">
        <v>0</v>
      </c>
      <c r="FR132" s="24">
        <v>0</v>
      </c>
      <c r="FS132" s="24">
        <v>44313</v>
      </c>
      <c r="FT132" s="24">
        <v>0</v>
      </c>
      <c r="FU132" s="24">
        <v>0</v>
      </c>
      <c r="FV132" s="24">
        <v>0</v>
      </c>
      <c r="FW132" s="24">
        <v>0</v>
      </c>
      <c r="FX132" s="24">
        <v>0</v>
      </c>
      <c r="FY132" s="24">
        <v>0</v>
      </c>
      <c r="FZ132" s="24">
        <v>0</v>
      </c>
      <c r="GA132" s="24">
        <v>0</v>
      </c>
      <c r="GB132" s="24">
        <v>0</v>
      </c>
      <c r="GC132" s="24">
        <v>0</v>
      </c>
      <c r="GD132" s="24">
        <v>0</v>
      </c>
      <c r="GE132" s="24">
        <v>0</v>
      </c>
      <c r="GF132" s="24">
        <v>0</v>
      </c>
      <c r="GG132" s="24">
        <v>0</v>
      </c>
      <c r="GH132" s="24">
        <v>0</v>
      </c>
      <c r="GI132" s="24">
        <v>0</v>
      </c>
      <c r="GJ132" s="24">
        <v>0</v>
      </c>
      <c r="GK132" s="24">
        <v>0</v>
      </c>
      <c r="GL132" s="24">
        <v>0</v>
      </c>
      <c r="GM132" s="24">
        <v>0</v>
      </c>
      <c r="GN132" s="24">
        <v>0</v>
      </c>
      <c r="GO132" s="24">
        <v>0</v>
      </c>
      <c r="GP132" s="24">
        <v>0</v>
      </c>
      <c r="GQ132" s="24">
        <v>0</v>
      </c>
      <c r="GR132" s="24">
        <v>0</v>
      </c>
      <c r="GS132" s="24">
        <v>0</v>
      </c>
      <c r="GT132" s="24">
        <v>0</v>
      </c>
      <c r="GU132" s="24">
        <v>0</v>
      </c>
      <c r="GV132" s="24">
        <v>0</v>
      </c>
      <c r="GW132" s="24">
        <v>0</v>
      </c>
      <c r="GX132" s="24">
        <v>0</v>
      </c>
      <c r="GY132" s="24">
        <v>0</v>
      </c>
      <c r="GZ132" s="24">
        <v>0</v>
      </c>
      <c r="HA132" s="24">
        <v>0</v>
      </c>
      <c r="HB132" s="24">
        <v>0</v>
      </c>
      <c r="HC132" s="24">
        <v>0</v>
      </c>
      <c r="HD132" s="24">
        <v>2194221</v>
      </c>
      <c r="HE132" s="24">
        <v>0</v>
      </c>
      <c r="HF132" s="24">
        <v>0</v>
      </c>
      <c r="HG132" s="24">
        <v>0</v>
      </c>
      <c r="HH132" s="24">
        <v>0</v>
      </c>
      <c r="HI132" s="24">
        <v>140427</v>
      </c>
      <c r="HJ132" s="24">
        <v>0</v>
      </c>
      <c r="HK132" s="24">
        <v>0</v>
      </c>
      <c r="HL132" s="24">
        <v>0</v>
      </c>
      <c r="HM132" s="24">
        <v>0</v>
      </c>
      <c r="HN132" s="24">
        <v>0</v>
      </c>
      <c r="HO132" s="24">
        <v>239104</v>
      </c>
      <c r="HP132" s="24">
        <v>203926</v>
      </c>
      <c r="HQ132" s="24">
        <v>0</v>
      </c>
      <c r="HR132" s="24">
        <v>0</v>
      </c>
      <c r="HS132" s="24">
        <v>0</v>
      </c>
      <c r="HT132" s="24">
        <v>0</v>
      </c>
      <c r="HU132" s="24">
        <v>0</v>
      </c>
      <c r="HV132" s="24">
        <v>0</v>
      </c>
      <c r="HW132" s="24">
        <v>0</v>
      </c>
      <c r="HX132" s="24">
        <v>0</v>
      </c>
      <c r="HY132" s="24">
        <v>0</v>
      </c>
      <c r="HZ132" s="24">
        <v>0</v>
      </c>
      <c r="IA132" s="24">
        <v>0</v>
      </c>
      <c r="IB132" s="24">
        <v>7565</v>
      </c>
      <c r="IC132" s="24">
        <v>0</v>
      </c>
      <c r="ID132" s="24">
        <v>0</v>
      </c>
      <c r="IE132" s="24">
        <v>0</v>
      </c>
      <c r="IF132" s="24">
        <v>0</v>
      </c>
      <c r="IG132" s="24">
        <v>0</v>
      </c>
      <c r="IH132" s="24">
        <v>0</v>
      </c>
      <c r="II132" s="24">
        <v>0</v>
      </c>
      <c r="IJ132" s="24">
        <v>0</v>
      </c>
      <c r="IK132" s="24">
        <v>0</v>
      </c>
      <c r="IL132" s="24">
        <v>0</v>
      </c>
      <c r="IM132" s="24">
        <v>0</v>
      </c>
      <c r="IN132" s="24">
        <v>0</v>
      </c>
      <c r="IO132" s="24">
        <v>0</v>
      </c>
      <c r="IP132" s="24">
        <v>0</v>
      </c>
      <c r="IQ132" s="24">
        <v>0</v>
      </c>
      <c r="IR132" s="24">
        <v>0</v>
      </c>
      <c r="IS132" s="24">
        <v>0</v>
      </c>
      <c r="IT132" s="24">
        <v>0</v>
      </c>
      <c r="IU132" s="24">
        <v>0</v>
      </c>
      <c r="IV132" s="24">
        <v>0</v>
      </c>
      <c r="IW132" s="24">
        <v>25888</v>
      </c>
      <c r="IX132" s="24">
        <v>0</v>
      </c>
      <c r="IY132" s="24">
        <v>0</v>
      </c>
      <c r="IZ132" s="24">
        <v>0</v>
      </c>
      <c r="JA132" s="24">
        <v>0</v>
      </c>
      <c r="JB132" s="24">
        <v>0</v>
      </c>
      <c r="JC132" s="24">
        <v>0</v>
      </c>
      <c r="JD132" s="24">
        <v>0</v>
      </c>
      <c r="JE132" s="24">
        <v>0</v>
      </c>
      <c r="JF132" s="24">
        <v>0</v>
      </c>
      <c r="JG132" s="24">
        <v>0</v>
      </c>
      <c r="JH132" s="24">
        <v>0</v>
      </c>
      <c r="JI132" s="24">
        <v>0</v>
      </c>
      <c r="JJ132" s="24">
        <v>0</v>
      </c>
      <c r="JK132" s="24">
        <v>0</v>
      </c>
      <c r="JL132" s="24">
        <v>0</v>
      </c>
      <c r="JM132" s="24">
        <v>0</v>
      </c>
      <c r="JN132" s="24">
        <v>0</v>
      </c>
      <c r="JO132" s="24">
        <v>0</v>
      </c>
      <c r="JP132" s="24">
        <v>0</v>
      </c>
      <c r="JQ132" s="24">
        <v>0</v>
      </c>
      <c r="JR132" s="24">
        <v>0</v>
      </c>
      <c r="JS132" s="24">
        <v>0</v>
      </c>
      <c r="JT132" s="24">
        <v>0</v>
      </c>
      <c r="JU132" s="24">
        <v>0</v>
      </c>
      <c r="JV132" s="24">
        <v>0</v>
      </c>
      <c r="JW132" s="24">
        <v>0</v>
      </c>
      <c r="JX132" s="24">
        <v>0</v>
      </c>
      <c r="JY132" s="24">
        <v>0</v>
      </c>
      <c r="JZ132" s="24">
        <v>0</v>
      </c>
      <c r="KA132" s="24">
        <v>0</v>
      </c>
      <c r="KB132" s="24">
        <v>0</v>
      </c>
      <c r="KC132" s="24">
        <v>0</v>
      </c>
      <c r="KD132" s="24">
        <v>0</v>
      </c>
      <c r="KE132" s="24">
        <v>0</v>
      </c>
      <c r="KF132" s="24">
        <v>0</v>
      </c>
      <c r="KG132" s="24">
        <v>0</v>
      </c>
      <c r="KH132" s="24">
        <v>0</v>
      </c>
      <c r="KI132" s="24">
        <v>0</v>
      </c>
      <c r="KJ132" s="24">
        <v>0</v>
      </c>
      <c r="KK132" s="24">
        <v>0</v>
      </c>
      <c r="KL132" s="24">
        <v>0</v>
      </c>
      <c r="KM132" s="24">
        <v>0</v>
      </c>
      <c r="KN132" s="24">
        <v>0</v>
      </c>
      <c r="KO132" s="24">
        <v>0</v>
      </c>
      <c r="KP132" s="24">
        <v>0</v>
      </c>
      <c r="KQ132" s="24">
        <v>0</v>
      </c>
      <c r="KR132" s="24">
        <v>0</v>
      </c>
      <c r="KS132" s="24">
        <v>0</v>
      </c>
      <c r="KT132" s="24">
        <v>0</v>
      </c>
      <c r="KU132" s="24">
        <v>0</v>
      </c>
      <c r="KV132" s="24">
        <v>0</v>
      </c>
      <c r="KW132" s="24">
        <v>33814</v>
      </c>
      <c r="KX132" s="24">
        <v>0</v>
      </c>
      <c r="KY132" s="24">
        <v>0</v>
      </c>
      <c r="KZ132" s="24">
        <v>0</v>
      </c>
      <c r="LA132" s="24">
        <v>0</v>
      </c>
      <c r="LB132" s="24">
        <v>0</v>
      </c>
      <c r="LC132" s="24">
        <v>0</v>
      </c>
      <c r="LD132" s="24">
        <v>0</v>
      </c>
      <c r="LE132" s="24">
        <v>0</v>
      </c>
      <c r="LF132" s="24">
        <v>0</v>
      </c>
      <c r="LG132" s="24">
        <v>0</v>
      </c>
      <c r="LH132" s="24">
        <v>0</v>
      </c>
      <c r="LI132" s="24">
        <v>0</v>
      </c>
      <c r="LJ132" s="24">
        <v>0</v>
      </c>
      <c r="LK132" s="24">
        <v>0</v>
      </c>
      <c r="LL132" s="24">
        <v>0</v>
      </c>
      <c r="LM132" s="24">
        <v>0</v>
      </c>
      <c r="LN132" s="24">
        <v>0</v>
      </c>
      <c r="LO132" s="24">
        <v>0</v>
      </c>
      <c r="LP132" s="24">
        <v>0</v>
      </c>
      <c r="LQ132" s="24">
        <v>73268</v>
      </c>
      <c r="LR132" s="24">
        <v>0</v>
      </c>
      <c r="LS132" s="24">
        <v>0</v>
      </c>
      <c r="LT132" s="24">
        <v>0</v>
      </c>
      <c r="LU132" s="24">
        <v>0</v>
      </c>
      <c r="LV132" s="24">
        <v>0</v>
      </c>
      <c r="LW132" s="24">
        <v>0</v>
      </c>
      <c r="LX132" s="24">
        <v>0</v>
      </c>
      <c r="LY132" s="24">
        <v>0</v>
      </c>
      <c r="LZ132" s="24">
        <v>0</v>
      </c>
      <c r="MA132" s="24">
        <v>0</v>
      </c>
      <c r="MB132" s="24">
        <v>0</v>
      </c>
      <c r="MC132" s="24">
        <v>0</v>
      </c>
      <c r="MD132" s="24">
        <v>0</v>
      </c>
      <c r="ME132" s="24">
        <v>0</v>
      </c>
      <c r="MF132" s="24">
        <v>0</v>
      </c>
      <c r="MG132" s="24">
        <v>0</v>
      </c>
      <c r="MH132" s="24">
        <v>0</v>
      </c>
      <c r="MI132" s="24">
        <v>0</v>
      </c>
      <c r="MJ132" s="24">
        <v>0</v>
      </c>
      <c r="MK132" s="24">
        <v>0</v>
      </c>
      <c r="ML132" s="24">
        <v>0</v>
      </c>
      <c r="MM132" s="24">
        <v>0</v>
      </c>
      <c r="MN132" s="24">
        <v>0</v>
      </c>
      <c r="MO132" s="24">
        <v>0</v>
      </c>
      <c r="MP132" s="24">
        <v>0</v>
      </c>
      <c r="MQ132" s="24">
        <v>0</v>
      </c>
      <c r="MR132" s="24">
        <v>122794</v>
      </c>
      <c r="MS132" s="24">
        <v>0</v>
      </c>
      <c r="MT132" s="24">
        <v>0</v>
      </c>
      <c r="MU132" s="24">
        <v>0</v>
      </c>
      <c r="MV132" s="24">
        <v>0</v>
      </c>
      <c r="MW132" s="24">
        <v>64826</v>
      </c>
      <c r="MX132" s="24">
        <v>0</v>
      </c>
      <c r="MY132" s="24">
        <v>0</v>
      </c>
      <c r="MZ132" s="24">
        <v>0</v>
      </c>
      <c r="NA132" s="24">
        <v>0</v>
      </c>
      <c r="NB132" s="24">
        <v>0</v>
      </c>
      <c r="NC132" s="24">
        <v>0</v>
      </c>
      <c r="ND132" s="24">
        <v>0</v>
      </c>
      <c r="NE132" s="24">
        <v>0</v>
      </c>
      <c r="NF132" s="24">
        <v>0</v>
      </c>
      <c r="NG132" s="24">
        <v>0</v>
      </c>
      <c r="NH132" s="24">
        <v>0</v>
      </c>
      <c r="NI132" s="24">
        <v>0</v>
      </c>
      <c r="NJ132" s="24">
        <v>0</v>
      </c>
      <c r="NK132" s="24">
        <v>0</v>
      </c>
      <c r="NL132" s="24">
        <v>0</v>
      </c>
      <c r="NM132" s="24">
        <v>0</v>
      </c>
      <c r="NN132" s="24">
        <v>0</v>
      </c>
      <c r="NO132" s="24">
        <v>0</v>
      </c>
      <c r="NP132" s="24">
        <v>0</v>
      </c>
      <c r="NQ132" s="24">
        <v>0</v>
      </c>
      <c r="NR132" s="24">
        <v>0</v>
      </c>
      <c r="NS132" s="24">
        <v>0</v>
      </c>
      <c r="NT132" s="24">
        <v>0</v>
      </c>
      <c r="NU132" s="24">
        <v>0</v>
      </c>
      <c r="NV132" s="24">
        <v>18604</v>
      </c>
      <c r="NW132" s="24">
        <v>0</v>
      </c>
      <c r="NX132" s="24">
        <v>0</v>
      </c>
      <c r="NY132" s="24">
        <v>0</v>
      </c>
      <c r="NZ132" s="24">
        <v>0</v>
      </c>
      <c r="OA132" s="24">
        <v>0</v>
      </c>
      <c r="OB132" s="24">
        <v>0</v>
      </c>
      <c r="OC132" s="24">
        <v>0</v>
      </c>
      <c r="OD132" s="24">
        <v>0</v>
      </c>
      <c r="OE132" s="24">
        <v>0</v>
      </c>
      <c r="OF132" s="24">
        <v>0</v>
      </c>
      <c r="OG132" s="24">
        <v>0</v>
      </c>
      <c r="OH132" s="24">
        <v>0</v>
      </c>
      <c r="OI132" s="24">
        <v>0</v>
      </c>
      <c r="OJ132" s="24">
        <v>0</v>
      </c>
      <c r="OK132" s="24">
        <v>20763</v>
      </c>
      <c r="OL132" s="24">
        <v>0</v>
      </c>
      <c r="OM132" s="24">
        <v>0</v>
      </c>
      <c r="ON132" s="24">
        <v>0</v>
      </c>
      <c r="OO132" s="24">
        <v>0</v>
      </c>
      <c r="OP132" s="24">
        <v>0</v>
      </c>
      <c r="OQ132" s="24">
        <v>0</v>
      </c>
      <c r="OR132" s="24">
        <v>0</v>
      </c>
      <c r="OS132" s="24">
        <v>0</v>
      </c>
      <c r="OT132" s="24">
        <v>0</v>
      </c>
      <c r="OU132" s="24">
        <v>0</v>
      </c>
      <c r="OV132" s="24">
        <v>0</v>
      </c>
      <c r="OW132" s="24">
        <v>0</v>
      </c>
      <c r="OX132" s="24">
        <v>0</v>
      </c>
      <c r="OY132" s="24">
        <v>0</v>
      </c>
      <c r="OZ132" s="24">
        <v>0</v>
      </c>
      <c r="PA132" s="24">
        <v>0</v>
      </c>
      <c r="PB132" s="24">
        <v>0</v>
      </c>
      <c r="PC132" s="24">
        <v>0</v>
      </c>
      <c r="PD132" s="24">
        <v>0</v>
      </c>
      <c r="PE132" s="24">
        <v>0</v>
      </c>
      <c r="PF132" s="24">
        <v>0</v>
      </c>
      <c r="PG132" s="24">
        <v>0</v>
      </c>
      <c r="PH132" s="24">
        <v>0</v>
      </c>
      <c r="PI132" s="24">
        <v>0</v>
      </c>
      <c r="PJ132" s="24">
        <v>0</v>
      </c>
      <c r="PK132" s="24">
        <v>0</v>
      </c>
      <c r="PL132" s="24">
        <v>0</v>
      </c>
      <c r="PM132" s="24">
        <v>0</v>
      </c>
      <c r="PN132" s="24">
        <v>0</v>
      </c>
      <c r="PO132" s="24">
        <v>0</v>
      </c>
      <c r="PP132" s="24">
        <v>0</v>
      </c>
      <c r="PQ132" s="24">
        <v>0</v>
      </c>
      <c r="PR132" s="24">
        <v>0</v>
      </c>
      <c r="PS132" s="24">
        <v>0</v>
      </c>
      <c r="PT132" s="24">
        <v>0</v>
      </c>
      <c r="PU132" s="24">
        <v>0</v>
      </c>
      <c r="PV132" s="24">
        <v>0</v>
      </c>
      <c r="PW132" s="24">
        <v>0</v>
      </c>
      <c r="PX132" s="24">
        <v>0</v>
      </c>
      <c r="PY132" s="24">
        <v>0</v>
      </c>
      <c r="PZ132" s="24">
        <v>0</v>
      </c>
      <c r="QA132" s="24">
        <v>0</v>
      </c>
      <c r="QB132" s="24">
        <v>0</v>
      </c>
      <c r="QC132" s="24">
        <v>0</v>
      </c>
      <c r="QD132" s="24">
        <v>0</v>
      </c>
      <c r="QE132" s="24">
        <v>0</v>
      </c>
      <c r="QF132" s="24">
        <v>0</v>
      </c>
      <c r="QG132" s="24">
        <v>0</v>
      </c>
      <c r="QH132" s="24">
        <v>0</v>
      </c>
      <c r="QI132" s="24">
        <v>0</v>
      </c>
      <c r="QJ132" s="24">
        <v>0</v>
      </c>
      <c r="QK132" s="24">
        <v>0</v>
      </c>
      <c r="QL132" s="24">
        <v>0</v>
      </c>
      <c r="QM132" s="24">
        <v>0</v>
      </c>
      <c r="QN132" s="24">
        <v>0</v>
      </c>
      <c r="QO132" s="24">
        <v>0</v>
      </c>
      <c r="QP132" s="24">
        <v>0</v>
      </c>
      <c r="QQ132" s="24">
        <v>0</v>
      </c>
      <c r="QR132" s="24">
        <v>0</v>
      </c>
      <c r="QS132" s="24">
        <v>0</v>
      </c>
      <c r="QT132" s="24">
        <v>297235</v>
      </c>
      <c r="QU132" s="24">
        <v>0</v>
      </c>
      <c r="QV132" s="24">
        <v>0</v>
      </c>
      <c r="QW132" s="24">
        <v>0</v>
      </c>
      <c r="QX132" s="24">
        <v>0</v>
      </c>
      <c r="QY132" s="24">
        <v>0</v>
      </c>
      <c r="QZ132" s="24">
        <v>0</v>
      </c>
      <c r="RA132" s="24">
        <v>0</v>
      </c>
      <c r="RB132" s="24">
        <v>0</v>
      </c>
      <c r="RC132" s="913">
        <v>2</v>
      </c>
      <c r="RG132" s="39">
        <f t="shared" si="248"/>
        <v>2194221</v>
      </c>
      <c r="RH132" s="39">
        <f t="shared" si="249"/>
        <v>140427</v>
      </c>
      <c r="RI132" s="39">
        <f t="shared" si="249"/>
        <v>0</v>
      </c>
      <c r="RJ132" s="39">
        <f t="shared" si="249"/>
        <v>0</v>
      </c>
      <c r="RK132" s="39">
        <f t="shared" si="249"/>
        <v>0</v>
      </c>
      <c r="RL132" s="39">
        <f t="shared" si="249"/>
        <v>239104</v>
      </c>
      <c r="RM132" s="39">
        <f t="shared" si="249"/>
        <v>211491</v>
      </c>
      <c r="RN132" s="39">
        <f t="shared" si="249"/>
        <v>0</v>
      </c>
      <c r="RO132" s="39">
        <f t="shared" si="249"/>
        <v>0</v>
      </c>
      <c r="RP132" s="39">
        <f t="shared" si="249"/>
        <v>25888</v>
      </c>
      <c r="RQ132" s="39">
        <f t="shared" si="249"/>
        <v>0</v>
      </c>
      <c r="RR132" s="39">
        <f t="shared" si="249"/>
        <v>0</v>
      </c>
      <c r="RS132" s="39"/>
      <c r="RT132" s="182"/>
      <c r="RU132" s="39"/>
      <c r="RV132" s="39">
        <f t="shared" si="246"/>
        <v>334069</v>
      </c>
      <c r="RW132" s="39">
        <f t="shared" si="246"/>
        <v>2811131</v>
      </c>
      <c r="RX132" s="39">
        <f t="shared" si="246"/>
        <v>137675</v>
      </c>
      <c r="RY132" s="39">
        <f t="shared" si="246"/>
        <v>297235</v>
      </c>
      <c r="RZ132" s="39"/>
      <c r="SA132" s="182"/>
      <c r="SB132" s="39"/>
      <c r="SC132" s="25">
        <f t="shared" si="183"/>
        <v>349.42893401015226</v>
      </c>
      <c r="SD132" s="39">
        <f>IFERROR(VLOOKUP(A132, 'Levy Data 15-16'!$B:$O, 3, FALSE), 0)</f>
        <v>0</v>
      </c>
      <c r="SE132" s="39">
        <f t="shared" si="208"/>
        <v>0</v>
      </c>
      <c r="SF132" s="631">
        <f>IFERROR(VLOOKUP(A132, 'Levy Data 15-16'!$B:$O, 14, FALSE), 0)*1000</f>
        <v>0</v>
      </c>
      <c r="SG132" s="39">
        <f t="shared" si="209"/>
        <v>0</v>
      </c>
      <c r="SH132" s="39">
        <f t="shared" si="210"/>
        <v>0</v>
      </c>
      <c r="SI132" s="39">
        <f t="shared" si="211"/>
        <v>137675</v>
      </c>
      <c r="SM132" s="39">
        <f t="shared" si="212"/>
        <v>2811131</v>
      </c>
      <c r="SN132" s="39">
        <f t="shared" si="213"/>
        <v>0</v>
      </c>
      <c r="SO132" s="39">
        <f t="shared" si="184"/>
        <v>2811131</v>
      </c>
      <c r="SP132" s="50">
        <f t="shared" si="250"/>
        <v>1</v>
      </c>
      <c r="ST132" s="124">
        <f>IFERROR(VLOOKUP(A132,'Grade Enroll 15-16'!B:AC,27,FALSE),"")</f>
        <v>394</v>
      </c>
      <c r="SU132" s="124">
        <f t="shared" si="264"/>
        <v>141.72661870503597</v>
      </c>
      <c r="SV132" s="131">
        <f>IFERROR(VLOOKUP($A132, 'Title I Enroll 16-17'!S:V, 4, FALSE), 0)</f>
        <v>0.35971223021582732</v>
      </c>
      <c r="SW132" s="729">
        <f>IFERROR(VLOOKUP(A132, 'ELL Enroll 15-16'!$N:$S, 6, FALSE), 0)</f>
        <v>5</v>
      </c>
      <c r="SX132" s="131">
        <f t="shared" si="251"/>
        <v>1.2690355329949238E-2</v>
      </c>
      <c r="SY132" s="124">
        <f>IFERROR(VLOOKUP(A132, 'SPED enroll 2015-16'!$M:$O, 3, FALSE), 0)</f>
        <v>23</v>
      </c>
      <c r="SZ132" s="131">
        <f t="shared" si="252"/>
        <v>5.8375634517766499E-2</v>
      </c>
      <c r="TA132" s="142">
        <f t="shared" si="253"/>
        <v>16.099999999999998</v>
      </c>
      <c r="TB132" s="142">
        <f t="shared" si="253"/>
        <v>4.6000000000000005</v>
      </c>
      <c r="TC132" s="142">
        <f t="shared" si="253"/>
        <v>1.61</v>
      </c>
      <c r="TD132" s="142">
        <f t="shared" si="253"/>
        <v>0.69</v>
      </c>
      <c r="TE132" s="124">
        <f>VLOOKUP($A132, 'Grade Enroll 15-16'!$B:$AB, 20, FALSE)</f>
        <v>0</v>
      </c>
      <c r="TF132" s="124">
        <f>VLOOKUP($A132, 'Grade Enroll 15-16'!$B:$AB, 21, FALSE)</f>
        <v>24</v>
      </c>
      <c r="TG132" s="124">
        <f>VLOOKUP($A132, 'Grade Enroll 15-16'!$B:$AB, 22, FALSE)</f>
        <v>88</v>
      </c>
      <c r="TH132" s="124">
        <f>VLOOKUP($A132, 'Grade Enroll 15-16'!$B:$AB, 23, FALSE)</f>
        <v>99</v>
      </c>
      <c r="TI132" s="124">
        <f>VLOOKUP($A132, 'Grade Enroll 15-16'!$B:$AB, 24, FALSE)</f>
        <v>65</v>
      </c>
      <c r="TJ132" s="124">
        <f>VLOOKUP($A132, 'Grade Enroll 15-16'!$B:$AB, 25, FALSE)</f>
        <v>142</v>
      </c>
      <c r="TK132" s="124">
        <f>VLOOKUP($A132, 'Grade Enroll 15-16'!$B:$AB, 26, FALSE)</f>
        <v>265</v>
      </c>
      <c r="TL132" s="131">
        <f>SUMIFS('Student Achievement 15-16'!N:N, 'Student Achievement 15-16'!B:B, 'Idaho Data'!A132, 'Student Achievement 15-16'!D:D, "math")/100</f>
        <v>0.114</v>
      </c>
      <c r="TM132" s="134">
        <f t="shared" si="186"/>
        <v>44.916000000000004</v>
      </c>
      <c r="TN132" s="131">
        <f>SUMIFS('Student Achievement 15-16'!N:N, 'Student Achievement 15-16'!B:B, 'Idaho Data'!A132, 'Student Achievement 15-16'!D:D, "ela")/100</f>
        <v>0.109</v>
      </c>
      <c r="TO132" s="134">
        <f t="shared" si="254"/>
        <v>42.945999999999998</v>
      </c>
      <c r="TP132" s="688">
        <f>IFERROR(VLOOKUP(A132, 'G&amp;T 15-16'!B:G, 6, FALSE), 0)*1</f>
        <v>0</v>
      </c>
      <c r="TQ132" s="168">
        <f t="shared" si="255"/>
        <v>23.64</v>
      </c>
      <c r="TU132" s="168">
        <f t="shared" si="256"/>
        <v>42.945999999999998</v>
      </c>
      <c r="TV132" s="168">
        <f t="shared" si="257"/>
        <v>44.916000000000004</v>
      </c>
      <c r="TW132" s="205">
        <f t="shared" si="258"/>
        <v>44.916000000000004</v>
      </c>
      <c r="TX132" s="144"/>
      <c r="TY132" s="129"/>
      <c r="TZ132" s="127">
        <f t="shared" si="259"/>
        <v>0</v>
      </c>
      <c r="UA132" s="127">
        <f t="shared" si="260"/>
        <v>23.64</v>
      </c>
      <c r="UB132" s="205">
        <f t="shared" si="261"/>
        <v>23.64</v>
      </c>
      <c r="UE132" s="853" t="str">
        <f>IF(ST132&lt;='1. Simulator Input'!$E$104, "yes", "")</f>
        <v/>
      </c>
      <c r="UI132" s="199">
        <f t="shared" si="187"/>
        <v>0</v>
      </c>
      <c r="UJ132" s="200">
        <f>IF('Idaho Data'!SI132&gt;=0, ((1-'1. Simulator Input'!$E$39)*'Idaho Data'!SI132), 0)</f>
        <v>0</v>
      </c>
      <c r="UK132" s="200">
        <f t="shared" si="262"/>
        <v>2811131</v>
      </c>
      <c r="UL132" s="39"/>
      <c r="UM132" s="182"/>
      <c r="UN132" s="39"/>
      <c r="UO132" s="39" t="str">
        <f>IF(AND('1. Simulator Input'!$E$96="yes", '1. Simulator Input'!$E$98="yes", '1. Simulator Input'!$E$100="hold harmless"), 'Idaho Data'!WN132, IF(AND('1. Simulator Input'!$E$96="yes", '1. Simulator Input'!$E$98="no", '1. Simulator Input'!$E$100="hold harmless"), 'Idaho Data'!WM132, IF(AND('1. Simulator Input'!$E$96="yes", '1. Simulator Input'!$E$98="yes", '1. Simulator Input'!$E$100="small district grant"), WL132,IF(AND('1. Simulator Input'!$E$96="yes", '1. Simulator Input'!$E$98="no", '1. Simulator Input'!$E$100="small district grant"), WK132, ""))))</f>
        <v/>
      </c>
      <c r="UP132" s="200">
        <f>'1. Simulator Input'!$D$56*('Idaho Data'!ST132)</f>
        <v>2177244</v>
      </c>
      <c r="UQ132" s="204">
        <f>'1. Simulator Input'!$D$65*'1. Simulator Input'!$D$56*'Idaho Data'!SU132</f>
        <v>0</v>
      </c>
      <c r="UR132" s="204">
        <f>'1. Simulator Input'!$D$66*'1. Simulator Input'!$D$56*'Idaho Data'!SW132</f>
        <v>0</v>
      </c>
      <c r="US132" s="200">
        <f>'1. Simulator Input'!$D$67*'1. Simulator Input'!$D$56*'Idaho Data'!TA132</f>
        <v>0</v>
      </c>
      <c r="UT132" s="200">
        <f>'1. Simulator Input'!$D$68*'1. Simulator Input'!$D$56*'Idaho Data'!TB132</f>
        <v>0</v>
      </c>
      <c r="UU132" s="200">
        <f>'1. Simulator Input'!$D$69*'1. Simulator Input'!$D$56*'Idaho Data'!TC132</f>
        <v>0</v>
      </c>
      <c r="UV132" s="200">
        <f>'1. Simulator Input'!$D$70*'1. Simulator Input'!$D$56*TD132</f>
        <v>0</v>
      </c>
      <c r="UW132" s="200">
        <f>'1. Simulator Input'!$D$80*'1. Simulator Input'!$D$56*TW132</f>
        <v>0</v>
      </c>
      <c r="UX132" s="200">
        <f>'1. Simulator Input'!$D$79*'1. Simulator Input'!$D$56*UB132</f>
        <v>0</v>
      </c>
      <c r="UY132" s="200">
        <f>'1. Simulator Input'!$D$87*'1. Simulator Input'!$D$56*TF132</f>
        <v>66312</v>
      </c>
      <c r="UZ132" s="200">
        <f>'1. Simulator Input'!$D$73*'1. Simulator Input'!$D$56*'Idaho Data'!TG132</f>
        <v>0</v>
      </c>
      <c r="VA132" s="200">
        <f>'1. Simulator Input'!$D$56*'1. Simulator Input'!$D$74*'Idaho Data'!TH132</f>
        <v>0</v>
      </c>
      <c r="VB132" s="200">
        <f>'1. Simulator Input'!$D$56*'1. Simulator Input'!$D$75*'Idaho Data'!TI127</f>
        <v>0</v>
      </c>
      <c r="VC132" s="200">
        <f>'1. Simulator Input'!$D$76*'1. Simulator Input'!$D$56*'Idaho Data'!TJ132</f>
        <v>0</v>
      </c>
      <c r="VD132" s="200">
        <f t="shared" si="188"/>
        <v>2243556</v>
      </c>
      <c r="VE132" s="200"/>
      <c r="VF132" s="182"/>
      <c r="VG132" s="200"/>
      <c r="VH132" s="200">
        <f t="shared" si="189"/>
        <v>0</v>
      </c>
      <c r="VI132" s="200">
        <f t="shared" si="190"/>
        <v>0</v>
      </c>
      <c r="VJ132" s="200">
        <f t="shared" si="214"/>
        <v>2243556</v>
      </c>
      <c r="VK132" s="200">
        <f t="shared" si="215"/>
        <v>2243556</v>
      </c>
      <c r="VL132" s="200"/>
      <c r="VM132" s="182"/>
      <c r="VN132" s="200"/>
      <c r="VO132" s="200">
        <f t="shared" si="191"/>
        <v>334069</v>
      </c>
      <c r="VP132" s="200">
        <f t="shared" si="192"/>
        <v>2811131</v>
      </c>
      <c r="VQ132" s="200">
        <f t="shared" si="193"/>
        <v>137675</v>
      </c>
      <c r="VR132" s="200">
        <f t="shared" si="194"/>
        <v>334069</v>
      </c>
      <c r="VS132" s="200">
        <f t="shared" si="216"/>
        <v>2243556</v>
      </c>
      <c r="VT132" s="200">
        <f t="shared" si="217"/>
        <v>137675</v>
      </c>
      <c r="VU132" s="200">
        <f t="shared" si="218"/>
        <v>0</v>
      </c>
      <c r="VV132" s="200"/>
      <c r="VW132" s="182"/>
      <c r="VX132" s="200"/>
      <c r="VZ132" s="199">
        <f t="shared" si="195"/>
        <v>-567575</v>
      </c>
      <c r="WA132" s="199">
        <f t="shared" si="196"/>
        <v>-1440.5456852791879</v>
      </c>
      <c r="WB132" s="131">
        <f t="shared" si="197"/>
        <v>-0.20190272171592147</v>
      </c>
      <c r="WC132" s="131"/>
      <c r="WD132" s="461"/>
      <c r="WE132" s="893"/>
      <c r="WF132" s="893">
        <f t="shared" si="198"/>
        <v>8332.1700507614205</v>
      </c>
      <c r="WG132" s="893">
        <f t="shared" si="199"/>
        <v>6891.6243654822338</v>
      </c>
      <c r="WH132" s="893"/>
      <c r="WI132" s="893">
        <f t="shared" si="200"/>
        <v>2811131</v>
      </c>
      <c r="WJ132" s="893">
        <f t="shared" si="219"/>
        <v>2243556</v>
      </c>
      <c r="WK132" s="39" t="str">
        <f t="shared" si="220"/>
        <v/>
      </c>
      <c r="WL132" s="39" t="str">
        <f t="shared" si="221"/>
        <v/>
      </c>
      <c r="WM132" s="200" t="str">
        <f t="shared" si="222"/>
        <v/>
      </c>
      <c r="WN132" s="39" t="str">
        <f t="shared" si="223"/>
        <v/>
      </c>
      <c r="WO132" s="39"/>
      <c r="WP132" s="182"/>
      <c r="WQ132" s="39"/>
      <c r="WR132" s="305"/>
      <c r="WT132" s="200">
        <f t="shared" si="225"/>
        <v>7134.850253807107</v>
      </c>
      <c r="WU132" s="131">
        <f t="shared" si="201"/>
        <v>0.63</v>
      </c>
      <c r="WW132" s="199">
        <f t="shared" si="226"/>
        <v>334069</v>
      </c>
      <c r="WX132" s="199">
        <f t="shared" si="227"/>
        <v>2243556</v>
      </c>
      <c r="WY132" s="199">
        <f t="shared" si="228"/>
        <v>0</v>
      </c>
      <c r="WZ132" s="199">
        <f t="shared" si="202"/>
        <v>2243556</v>
      </c>
      <c r="XA132" s="199">
        <f t="shared" si="229"/>
        <v>0</v>
      </c>
      <c r="XB132" s="199">
        <f t="shared" si="230"/>
        <v>137675</v>
      </c>
      <c r="XC132" s="199">
        <f t="shared" si="231"/>
        <v>137675</v>
      </c>
      <c r="XD132" s="199" t="str">
        <f t="shared" si="232"/>
        <v/>
      </c>
      <c r="XE132" s="199"/>
      <c r="XF132" s="199"/>
      <c r="XG132" s="199"/>
      <c r="XH132" s="199"/>
      <c r="XI132" s="199"/>
      <c r="XJ132" s="199">
        <f t="shared" si="203"/>
        <v>2243556</v>
      </c>
      <c r="XP132" s="199">
        <f t="shared" si="233"/>
        <v>2243556</v>
      </c>
      <c r="XQ132" s="199">
        <f t="shared" si="234"/>
        <v>5694.3045685279185</v>
      </c>
      <c r="XR132" s="199">
        <f t="shared" si="235"/>
        <v>2243556</v>
      </c>
      <c r="XS132" s="199">
        <f t="shared" si="236"/>
        <v>2243556</v>
      </c>
      <c r="XT132" s="199">
        <f t="shared" si="237"/>
        <v>5694.3045685279185</v>
      </c>
      <c r="XU132" s="199">
        <f t="shared" si="238"/>
        <v>2811131</v>
      </c>
      <c r="XV132" s="199">
        <f t="shared" si="239"/>
        <v>7134.850253807107</v>
      </c>
      <c r="XW132" s="199">
        <f t="shared" si="240"/>
        <v>2811131</v>
      </c>
      <c r="XX132" s="199">
        <f t="shared" si="241"/>
        <v>7134.850253807107</v>
      </c>
      <c r="XY132" s="199">
        <f t="shared" si="204"/>
        <v>-567575</v>
      </c>
      <c r="XZ132" s="199">
        <f t="shared" si="205"/>
        <v>-1440.5456852791885</v>
      </c>
      <c r="YA132" s="131">
        <f t="shared" si="263"/>
        <v>-0.20190272171592155</v>
      </c>
      <c r="YB132" s="199"/>
      <c r="YC132" s="221"/>
      <c r="YD132" s="199"/>
      <c r="YE132" s="199">
        <f t="shared" si="242"/>
        <v>334069</v>
      </c>
      <c r="YF132" s="200">
        <f t="shared" si="243"/>
        <v>0</v>
      </c>
      <c r="YG132" s="199">
        <f t="shared" si="244"/>
        <v>137675</v>
      </c>
      <c r="YH132" s="199">
        <f t="shared" si="245"/>
        <v>297235</v>
      </c>
    </row>
    <row r="133" spans="1:658">
      <c r="A133" s="3">
        <v>460</v>
      </c>
      <c r="B133" s="2" t="s">
        <v>230</v>
      </c>
      <c r="C133" s="24">
        <v>0</v>
      </c>
      <c r="D133" s="24">
        <v>0</v>
      </c>
      <c r="E133" s="24">
        <v>0</v>
      </c>
      <c r="F133" s="24">
        <v>0</v>
      </c>
      <c r="G133" s="24">
        <v>0</v>
      </c>
      <c r="H133" s="24">
        <v>0</v>
      </c>
      <c r="I133" s="24">
        <v>0</v>
      </c>
      <c r="J133" s="24">
        <v>0</v>
      </c>
      <c r="K133" s="24">
        <v>0</v>
      </c>
      <c r="L133" s="24">
        <v>0</v>
      </c>
      <c r="M133" s="24">
        <v>0</v>
      </c>
      <c r="N133" s="24">
        <v>0</v>
      </c>
      <c r="O133" s="24">
        <v>0</v>
      </c>
      <c r="P133" s="24">
        <v>0</v>
      </c>
      <c r="Q133" s="24">
        <v>0</v>
      </c>
      <c r="R133" s="24">
        <v>0</v>
      </c>
      <c r="S133" s="24">
        <v>0</v>
      </c>
      <c r="T133" s="24">
        <v>0</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24">
        <v>0</v>
      </c>
      <c r="AP133" s="24">
        <v>0</v>
      </c>
      <c r="AQ133" s="24">
        <v>0</v>
      </c>
      <c r="AR133" s="24">
        <v>0</v>
      </c>
      <c r="AS133" s="24">
        <v>0</v>
      </c>
      <c r="AT133" s="24">
        <v>0</v>
      </c>
      <c r="AU133" s="24">
        <v>0</v>
      </c>
      <c r="AV133" s="24">
        <v>0</v>
      </c>
      <c r="AW133" s="24">
        <v>0</v>
      </c>
      <c r="AX133" s="24">
        <v>0</v>
      </c>
      <c r="AY133" s="24">
        <v>0</v>
      </c>
      <c r="AZ133" s="24">
        <v>0</v>
      </c>
      <c r="BA133" s="24">
        <v>0</v>
      </c>
      <c r="BB133" s="24">
        <v>0</v>
      </c>
      <c r="BC133" s="24">
        <v>0</v>
      </c>
      <c r="BD133" s="24">
        <v>0</v>
      </c>
      <c r="BE133" s="24">
        <v>0</v>
      </c>
      <c r="BF133" s="24">
        <v>0</v>
      </c>
      <c r="BG133" s="24">
        <v>0</v>
      </c>
      <c r="BH133" s="24">
        <v>0</v>
      </c>
      <c r="BI133" s="24">
        <v>0</v>
      </c>
      <c r="BJ133" s="24">
        <v>0</v>
      </c>
      <c r="BK133" s="24">
        <v>0</v>
      </c>
      <c r="BL133" s="24">
        <v>0</v>
      </c>
      <c r="BM133" s="24">
        <v>0</v>
      </c>
      <c r="BN133" s="24">
        <v>0</v>
      </c>
      <c r="BO133" s="24">
        <v>0</v>
      </c>
      <c r="BP133" s="24">
        <v>0</v>
      </c>
      <c r="BQ133" s="24">
        <v>0</v>
      </c>
      <c r="BR133" s="24">
        <v>0</v>
      </c>
      <c r="BS133" s="24">
        <v>0</v>
      </c>
      <c r="BT133" s="24">
        <v>0</v>
      </c>
      <c r="BU133" s="24">
        <v>0</v>
      </c>
      <c r="BV133" s="24">
        <v>0</v>
      </c>
      <c r="BW133" s="24">
        <v>0</v>
      </c>
      <c r="BX133" s="24">
        <v>0</v>
      </c>
      <c r="BY133" s="24">
        <v>0</v>
      </c>
      <c r="BZ133" s="24">
        <v>0</v>
      </c>
      <c r="CA133" s="24">
        <v>0</v>
      </c>
      <c r="CB133" s="24">
        <v>0</v>
      </c>
      <c r="CC133" s="24">
        <v>0</v>
      </c>
      <c r="CD133" s="24">
        <v>0</v>
      </c>
      <c r="CE133" s="24">
        <v>0</v>
      </c>
      <c r="CF133" s="24">
        <v>0</v>
      </c>
      <c r="CG133" s="24">
        <v>0</v>
      </c>
      <c r="CH133" s="24">
        <v>0</v>
      </c>
      <c r="CI133" s="24">
        <v>0</v>
      </c>
      <c r="CJ133" s="24">
        <v>0</v>
      </c>
      <c r="CK133" s="24">
        <v>0</v>
      </c>
      <c r="CL133" s="24">
        <v>0</v>
      </c>
      <c r="CM133" s="24">
        <v>0</v>
      </c>
      <c r="CN133" s="24">
        <v>0</v>
      </c>
      <c r="CO133" s="24">
        <v>0</v>
      </c>
      <c r="CP133" s="24">
        <v>0</v>
      </c>
      <c r="CQ133" s="24">
        <v>0</v>
      </c>
      <c r="CR133" s="24">
        <v>0</v>
      </c>
      <c r="CS133" s="24">
        <v>0</v>
      </c>
      <c r="CT133" s="24">
        <v>0</v>
      </c>
      <c r="CU133" s="24">
        <v>0</v>
      </c>
      <c r="CV133" s="24">
        <v>0</v>
      </c>
      <c r="CW133" s="24">
        <v>0</v>
      </c>
      <c r="CX133" s="24">
        <v>0</v>
      </c>
      <c r="CY133" s="24">
        <v>0</v>
      </c>
      <c r="CZ133" s="24">
        <v>0</v>
      </c>
      <c r="DA133" s="24">
        <v>0</v>
      </c>
      <c r="DB133" s="24">
        <v>0</v>
      </c>
      <c r="DC133" s="24">
        <v>0</v>
      </c>
      <c r="DD133" s="24">
        <v>0</v>
      </c>
      <c r="DE133" s="24">
        <v>0</v>
      </c>
      <c r="DF133" s="24">
        <v>0</v>
      </c>
      <c r="DG133" s="24">
        <v>0</v>
      </c>
      <c r="DH133" s="24">
        <v>0</v>
      </c>
      <c r="DI133" s="24">
        <v>0</v>
      </c>
      <c r="DJ133" s="24">
        <v>0</v>
      </c>
      <c r="DK133" s="24">
        <v>0</v>
      </c>
      <c r="DL133" s="24">
        <v>0</v>
      </c>
      <c r="DM133" s="24">
        <v>0</v>
      </c>
      <c r="DN133" s="24">
        <v>0</v>
      </c>
      <c r="DO133" s="24">
        <v>0</v>
      </c>
      <c r="DP133" s="24">
        <v>0</v>
      </c>
      <c r="DQ133" s="24">
        <v>0</v>
      </c>
      <c r="DR133" s="24">
        <v>0</v>
      </c>
      <c r="DS133" s="24">
        <v>0</v>
      </c>
      <c r="DT133" s="24">
        <v>0</v>
      </c>
      <c r="DU133" s="24">
        <v>0</v>
      </c>
      <c r="DV133" s="24">
        <v>0</v>
      </c>
      <c r="DW133" s="24">
        <v>0</v>
      </c>
      <c r="DX133" s="24">
        <v>0</v>
      </c>
      <c r="DY133" s="24">
        <v>0</v>
      </c>
      <c r="DZ133" s="24">
        <v>0</v>
      </c>
      <c r="EA133" s="24">
        <v>0</v>
      </c>
      <c r="EB133" s="24">
        <v>0</v>
      </c>
      <c r="EC133" s="24">
        <v>0</v>
      </c>
      <c r="ED133" s="24">
        <v>0</v>
      </c>
      <c r="EE133" s="24">
        <v>0</v>
      </c>
      <c r="EF133" s="24">
        <v>0</v>
      </c>
      <c r="EG133" s="24">
        <v>5093</v>
      </c>
      <c r="EH133" s="24">
        <v>0</v>
      </c>
      <c r="EI133" s="24">
        <v>0</v>
      </c>
      <c r="EJ133" s="24">
        <v>0</v>
      </c>
      <c r="EK133" s="24">
        <v>0</v>
      </c>
      <c r="EL133" s="24">
        <v>0</v>
      </c>
      <c r="EM133" s="24">
        <v>0</v>
      </c>
      <c r="EN133" s="24">
        <v>0</v>
      </c>
      <c r="EO133" s="24">
        <v>0</v>
      </c>
      <c r="EP133" s="24">
        <v>0</v>
      </c>
      <c r="EQ133" s="24">
        <v>0</v>
      </c>
      <c r="ER133" s="24">
        <v>0</v>
      </c>
      <c r="ES133" s="24">
        <v>0</v>
      </c>
      <c r="ET133" s="24">
        <v>0</v>
      </c>
      <c r="EU133" s="24">
        <v>0</v>
      </c>
      <c r="EV133" s="24">
        <v>0</v>
      </c>
      <c r="EW133" s="24">
        <v>0</v>
      </c>
      <c r="EX133" s="24">
        <v>0</v>
      </c>
      <c r="EY133" s="24">
        <v>0</v>
      </c>
      <c r="EZ133" s="24">
        <v>0</v>
      </c>
      <c r="FA133" s="24">
        <v>0</v>
      </c>
      <c r="FB133" s="24">
        <v>0</v>
      </c>
      <c r="FC133" s="24">
        <v>0</v>
      </c>
      <c r="FD133" s="24">
        <v>0</v>
      </c>
      <c r="FE133" s="24">
        <v>0</v>
      </c>
      <c r="FF133" s="24">
        <v>0</v>
      </c>
      <c r="FG133" s="24">
        <v>0</v>
      </c>
      <c r="FH133" s="24">
        <v>0</v>
      </c>
      <c r="FI133" s="24">
        <v>0</v>
      </c>
      <c r="FJ133" s="24">
        <v>0</v>
      </c>
      <c r="FK133" s="24">
        <v>0</v>
      </c>
      <c r="FL133" s="24">
        <v>0</v>
      </c>
      <c r="FM133" s="24">
        <v>0</v>
      </c>
      <c r="FN133" s="24">
        <v>0</v>
      </c>
      <c r="FO133" s="24">
        <v>0</v>
      </c>
      <c r="FP133" s="24">
        <v>0</v>
      </c>
      <c r="FQ133" s="24">
        <v>0</v>
      </c>
      <c r="FR133" s="24">
        <v>0</v>
      </c>
      <c r="FS133" s="24">
        <v>44220</v>
      </c>
      <c r="FT133" s="24">
        <v>0</v>
      </c>
      <c r="FU133" s="24">
        <v>0</v>
      </c>
      <c r="FV133" s="24">
        <v>0</v>
      </c>
      <c r="FW133" s="24">
        <v>0</v>
      </c>
      <c r="FX133" s="24">
        <v>0</v>
      </c>
      <c r="FY133" s="24">
        <v>0</v>
      </c>
      <c r="FZ133" s="24">
        <v>0</v>
      </c>
      <c r="GA133" s="24">
        <v>0</v>
      </c>
      <c r="GB133" s="24">
        <v>0</v>
      </c>
      <c r="GC133" s="24">
        <v>0</v>
      </c>
      <c r="GD133" s="24">
        <v>0</v>
      </c>
      <c r="GE133" s="24">
        <v>0</v>
      </c>
      <c r="GF133" s="24">
        <v>0</v>
      </c>
      <c r="GG133" s="24">
        <v>0</v>
      </c>
      <c r="GH133" s="24">
        <v>0</v>
      </c>
      <c r="GI133" s="24">
        <v>0</v>
      </c>
      <c r="GJ133" s="24">
        <v>0</v>
      </c>
      <c r="GK133" s="24">
        <v>0</v>
      </c>
      <c r="GL133" s="24">
        <v>0</v>
      </c>
      <c r="GM133" s="24">
        <v>0</v>
      </c>
      <c r="GN133" s="24">
        <v>0</v>
      </c>
      <c r="GO133" s="24">
        <v>0</v>
      </c>
      <c r="GP133" s="24">
        <v>0</v>
      </c>
      <c r="GQ133" s="24">
        <v>0</v>
      </c>
      <c r="GR133" s="24">
        <v>0</v>
      </c>
      <c r="GS133" s="24">
        <v>0</v>
      </c>
      <c r="GT133" s="24">
        <v>0</v>
      </c>
      <c r="GU133" s="24">
        <v>0</v>
      </c>
      <c r="GV133" s="24">
        <v>0</v>
      </c>
      <c r="GW133" s="24">
        <v>0</v>
      </c>
      <c r="GX133" s="24">
        <v>0</v>
      </c>
      <c r="GY133" s="24">
        <v>0</v>
      </c>
      <c r="GZ133" s="24">
        <v>0</v>
      </c>
      <c r="HA133" s="24">
        <v>0</v>
      </c>
      <c r="HB133" s="24">
        <v>0</v>
      </c>
      <c r="HC133" s="24">
        <v>0</v>
      </c>
      <c r="HD133" s="24">
        <v>1848713</v>
      </c>
      <c r="HE133" s="24">
        <v>0</v>
      </c>
      <c r="HF133" s="24">
        <v>0</v>
      </c>
      <c r="HG133" s="24">
        <v>0</v>
      </c>
      <c r="HH133" s="24">
        <v>0</v>
      </c>
      <c r="HI133" s="24">
        <v>0</v>
      </c>
      <c r="HJ133" s="24">
        <v>0</v>
      </c>
      <c r="HK133" s="24">
        <v>0</v>
      </c>
      <c r="HL133" s="24">
        <v>0</v>
      </c>
      <c r="HM133" s="24">
        <v>0</v>
      </c>
      <c r="HN133" s="24">
        <v>0</v>
      </c>
      <c r="HO133" s="24">
        <v>224589</v>
      </c>
      <c r="HP133" s="24">
        <v>217516</v>
      </c>
      <c r="HQ133" s="24">
        <v>0</v>
      </c>
      <c r="HR133" s="24">
        <v>0</v>
      </c>
      <c r="HS133" s="24">
        <v>0</v>
      </c>
      <c r="HT133" s="24">
        <v>0</v>
      </c>
      <c r="HU133" s="24">
        <v>0</v>
      </c>
      <c r="HV133" s="24">
        <v>0</v>
      </c>
      <c r="HW133" s="24">
        <v>0</v>
      </c>
      <c r="HX133" s="24">
        <v>0</v>
      </c>
      <c r="HY133" s="24">
        <v>0</v>
      </c>
      <c r="HZ133" s="24">
        <v>0</v>
      </c>
      <c r="IA133" s="24">
        <v>31346</v>
      </c>
      <c r="IB133" s="24">
        <v>5649</v>
      </c>
      <c r="IC133" s="24">
        <v>0</v>
      </c>
      <c r="ID133" s="24">
        <v>0</v>
      </c>
      <c r="IE133" s="24">
        <v>0</v>
      </c>
      <c r="IF133" s="24">
        <v>0</v>
      </c>
      <c r="IG133" s="24">
        <v>0</v>
      </c>
      <c r="IH133" s="24">
        <v>0</v>
      </c>
      <c r="II133" s="24">
        <v>0</v>
      </c>
      <c r="IJ133" s="24">
        <v>0</v>
      </c>
      <c r="IK133" s="24">
        <v>0</v>
      </c>
      <c r="IL133" s="24">
        <v>0</v>
      </c>
      <c r="IM133" s="24">
        <v>0</v>
      </c>
      <c r="IN133" s="24">
        <v>0</v>
      </c>
      <c r="IO133" s="24">
        <v>0</v>
      </c>
      <c r="IP133" s="24">
        <v>0</v>
      </c>
      <c r="IQ133" s="24">
        <v>0</v>
      </c>
      <c r="IR133" s="24">
        <v>0</v>
      </c>
      <c r="IS133" s="24">
        <v>0</v>
      </c>
      <c r="IT133" s="24">
        <v>0</v>
      </c>
      <c r="IU133" s="24">
        <v>0</v>
      </c>
      <c r="IV133" s="24">
        <v>0</v>
      </c>
      <c r="IW133" s="24">
        <v>0</v>
      </c>
      <c r="IX133" s="24">
        <v>0</v>
      </c>
      <c r="IY133" s="24">
        <v>0</v>
      </c>
      <c r="IZ133" s="24">
        <v>0</v>
      </c>
      <c r="JA133" s="24">
        <v>0</v>
      </c>
      <c r="JB133" s="24">
        <v>0</v>
      </c>
      <c r="JC133" s="24">
        <v>0</v>
      </c>
      <c r="JD133" s="24">
        <v>0</v>
      </c>
      <c r="JE133" s="24">
        <v>0</v>
      </c>
      <c r="JF133" s="24">
        <v>0</v>
      </c>
      <c r="JG133" s="24">
        <v>0</v>
      </c>
      <c r="JH133" s="24">
        <v>0</v>
      </c>
      <c r="JI133" s="24">
        <v>0</v>
      </c>
      <c r="JJ133" s="24">
        <v>0</v>
      </c>
      <c r="JK133" s="24">
        <v>0</v>
      </c>
      <c r="JL133" s="24">
        <v>0</v>
      </c>
      <c r="JM133" s="24">
        <v>0</v>
      </c>
      <c r="JN133" s="24">
        <v>0</v>
      </c>
      <c r="JO133" s="24">
        <v>0</v>
      </c>
      <c r="JP133" s="24">
        <v>0</v>
      </c>
      <c r="JQ133" s="24">
        <v>0</v>
      </c>
      <c r="JR133" s="24">
        <v>0</v>
      </c>
      <c r="JS133" s="24">
        <v>0</v>
      </c>
      <c r="JT133" s="24">
        <v>0</v>
      </c>
      <c r="JU133" s="24">
        <v>0</v>
      </c>
      <c r="JV133" s="24">
        <v>0</v>
      </c>
      <c r="JW133" s="24">
        <v>0</v>
      </c>
      <c r="JX133" s="24">
        <v>0</v>
      </c>
      <c r="JY133" s="24">
        <v>0</v>
      </c>
      <c r="JZ133" s="24">
        <v>0</v>
      </c>
      <c r="KA133" s="24">
        <v>0</v>
      </c>
      <c r="KB133" s="24">
        <v>0</v>
      </c>
      <c r="KC133" s="24">
        <v>0</v>
      </c>
      <c r="KD133" s="24">
        <v>0</v>
      </c>
      <c r="KE133" s="24">
        <v>0</v>
      </c>
      <c r="KF133" s="24">
        <v>0</v>
      </c>
      <c r="KG133" s="24">
        <v>0</v>
      </c>
      <c r="KH133" s="24">
        <v>0</v>
      </c>
      <c r="KI133" s="24">
        <v>0</v>
      </c>
      <c r="KJ133" s="24">
        <v>0</v>
      </c>
      <c r="KK133" s="24">
        <v>0</v>
      </c>
      <c r="KL133" s="24">
        <v>0</v>
      </c>
      <c r="KM133" s="24">
        <v>0</v>
      </c>
      <c r="KN133" s="24">
        <v>0</v>
      </c>
      <c r="KO133" s="24">
        <v>0</v>
      </c>
      <c r="KP133" s="24">
        <v>0</v>
      </c>
      <c r="KQ133" s="24">
        <v>0</v>
      </c>
      <c r="KR133" s="24">
        <v>0</v>
      </c>
      <c r="KS133" s="24">
        <v>0</v>
      </c>
      <c r="KT133" s="24">
        <v>0</v>
      </c>
      <c r="KU133" s="24">
        <v>0</v>
      </c>
      <c r="KV133" s="24">
        <v>0</v>
      </c>
      <c r="KW133" s="24">
        <v>0</v>
      </c>
      <c r="KX133" s="24">
        <v>0</v>
      </c>
      <c r="KY133" s="24">
        <v>0</v>
      </c>
      <c r="KZ133" s="24">
        <v>0</v>
      </c>
      <c r="LA133" s="24">
        <v>0</v>
      </c>
      <c r="LB133" s="24">
        <v>0</v>
      </c>
      <c r="LC133" s="24">
        <v>0</v>
      </c>
      <c r="LD133" s="24">
        <v>0</v>
      </c>
      <c r="LE133" s="24">
        <v>0</v>
      </c>
      <c r="LF133" s="24">
        <v>0</v>
      </c>
      <c r="LG133" s="24">
        <v>0</v>
      </c>
      <c r="LH133" s="24">
        <v>0</v>
      </c>
      <c r="LI133" s="24">
        <v>0</v>
      </c>
      <c r="LJ133" s="24">
        <v>0</v>
      </c>
      <c r="LK133" s="24">
        <v>0</v>
      </c>
      <c r="LL133" s="24">
        <v>0</v>
      </c>
      <c r="LM133" s="24">
        <v>0</v>
      </c>
      <c r="LN133" s="24">
        <v>0</v>
      </c>
      <c r="LO133" s="24">
        <v>0</v>
      </c>
      <c r="LP133" s="24">
        <v>0</v>
      </c>
      <c r="LQ133" s="24">
        <v>64856</v>
      </c>
      <c r="LR133" s="24">
        <v>0</v>
      </c>
      <c r="LS133" s="24">
        <v>0</v>
      </c>
      <c r="LT133" s="24">
        <v>0</v>
      </c>
      <c r="LU133" s="24">
        <v>0</v>
      </c>
      <c r="LV133" s="24">
        <v>0</v>
      </c>
      <c r="LW133" s="24">
        <v>0</v>
      </c>
      <c r="LX133" s="24">
        <v>0</v>
      </c>
      <c r="LY133" s="24">
        <v>0</v>
      </c>
      <c r="LZ133" s="24">
        <v>0</v>
      </c>
      <c r="MA133" s="24">
        <v>0</v>
      </c>
      <c r="MB133" s="24">
        <v>0</v>
      </c>
      <c r="MC133" s="24">
        <v>0</v>
      </c>
      <c r="MD133" s="24">
        <v>0</v>
      </c>
      <c r="ME133" s="24">
        <v>0</v>
      </c>
      <c r="MF133" s="24">
        <v>0</v>
      </c>
      <c r="MG133" s="24">
        <v>0</v>
      </c>
      <c r="MH133" s="24">
        <v>0</v>
      </c>
      <c r="MI133" s="24">
        <v>0</v>
      </c>
      <c r="MJ133" s="24">
        <v>0</v>
      </c>
      <c r="MK133" s="24">
        <v>0</v>
      </c>
      <c r="ML133" s="24">
        <v>0</v>
      </c>
      <c r="MM133" s="24">
        <v>0</v>
      </c>
      <c r="MN133" s="24">
        <v>0</v>
      </c>
      <c r="MO133" s="24">
        <v>0</v>
      </c>
      <c r="MP133" s="24">
        <v>0</v>
      </c>
      <c r="MQ133" s="24">
        <v>0</v>
      </c>
      <c r="MR133" s="24">
        <v>0</v>
      </c>
      <c r="MS133" s="24">
        <v>0</v>
      </c>
      <c r="MT133" s="24">
        <v>0</v>
      </c>
      <c r="MU133" s="24">
        <v>0</v>
      </c>
      <c r="MV133" s="24">
        <v>0</v>
      </c>
      <c r="MW133" s="24">
        <v>52063</v>
      </c>
      <c r="MX133" s="24">
        <v>0</v>
      </c>
      <c r="MY133" s="24">
        <v>0</v>
      </c>
      <c r="MZ133" s="24">
        <v>0</v>
      </c>
      <c r="NA133" s="24">
        <v>816</v>
      </c>
      <c r="NB133" s="24">
        <v>0</v>
      </c>
      <c r="NC133" s="24">
        <v>0</v>
      </c>
      <c r="ND133" s="24">
        <v>0</v>
      </c>
      <c r="NE133" s="24">
        <v>0</v>
      </c>
      <c r="NF133" s="24">
        <v>0</v>
      </c>
      <c r="NG133" s="24">
        <v>0</v>
      </c>
      <c r="NH133" s="24">
        <v>0</v>
      </c>
      <c r="NI133" s="24">
        <v>0</v>
      </c>
      <c r="NJ133" s="24">
        <v>0</v>
      </c>
      <c r="NK133" s="24">
        <v>0</v>
      </c>
      <c r="NL133" s="24">
        <v>0</v>
      </c>
      <c r="NM133" s="24">
        <v>0</v>
      </c>
      <c r="NN133" s="24">
        <v>0</v>
      </c>
      <c r="NO133" s="24">
        <v>0</v>
      </c>
      <c r="NP133" s="24">
        <v>0</v>
      </c>
      <c r="NQ133" s="24">
        <v>0</v>
      </c>
      <c r="NR133" s="24">
        <v>0</v>
      </c>
      <c r="NS133" s="24">
        <v>0</v>
      </c>
      <c r="NT133" s="24">
        <v>0</v>
      </c>
      <c r="NU133" s="24">
        <v>0</v>
      </c>
      <c r="NV133" s="24">
        <v>7465</v>
      </c>
      <c r="NW133" s="24">
        <v>0</v>
      </c>
      <c r="NX133" s="24">
        <v>0</v>
      </c>
      <c r="NY133" s="24">
        <v>0</v>
      </c>
      <c r="NZ133" s="24">
        <v>0</v>
      </c>
      <c r="OA133" s="24">
        <v>0</v>
      </c>
      <c r="OB133" s="24">
        <v>0</v>
      </c>
      <c r="OC133" s="24">
        <v>0</v>
      </c>
      <c r="OD133" s="24">
        <v>0</v>
      </c>
      <c r="OE133" s="24">
        <v>0</v>
      </c>
      <c r="OF133" s="24">
        <v>0</v>
      </c>
      <c r="OG133" s="24">
        <v>0</v>
      </c>
      <c r="OH133" s="24">
        <v>0</v>
      </c>
      <c r="OI133" s="24">
        <v>0</v>
      </c>
      <c r="OJ133" s="24">
        <v>0</v>
      </c>
      <c r="OK133" s="24">
        <v>0</v>
      </c>
      <c r="OL133" s="24">
        <v>0</v>
      </c>
      <c r="OM133" s="24">
        <v>0</v>
      </c>
      <c r="ON133" s="24">
        <v>0</v>
      </c>
      <c r="OO133" s="24">
        <v>0</v>
      </c>
      <c r="OP133" s="24">
        <v>0</v>
      </c>
      <c r="OQ133" s="24">
        <v>0</v>
      </c>
      <c r="OR133" s="24">
        <v>0</v>
      </c>
      <c r="OS133" s="24">
        <v>0</v>
      </c>
      <c r="OT133" s="24">
        <v>0</v>
      </c>
      <c r="OU133" s="24">
        <v>0</v>
      </c>
      <c r="OV133" s="24">
        <v>0</v>
      </c>
      <c r="OW133" s="24">
        <v>0</v>
      </c>
      <c r="OX133" s="24">
        <v>0</v>
      </c>
      <c r="OY133" s="24">
        <v>0</v>
      </c>
      <c r="OZ133" s="24">
        <v>0</v>
      </c>
      <c r="PA133" s="24">
        <v>0</v>
      </c>
      <c r="PB133" s="24">
        <v>0</v>
      </c>
      <c r="PC133" s="24">
        <v>0</v>
      </c>
      <c r="PD133" s="24">
        <v>0</v>
      </c>
      <c r="PE133" s="24">
        <v>0</v>
      </c>
      <c r="PF133" s="24">
        <v>0</v>
      </c>
      <c r="PG133" s="24">
        <v>0</v>
      </c>
      <c r="PH133" s="24">
        <v>0</v>
      </c>
      <c r="PI133" s="24">
        <v>0</v>
      </c>
      <c r="PJ133" s="24">
        <v>0</v>
      </c>
      <c r="PK133" s="24">
        <v>0</v>
      </c>
      <c r="PL133" s="24">
        <v>0</v>
      </c>
      <c r="PM133" s="24">
        <v>0</v>
      </c>
      <c r="PN133" s="24">
        <v>0</v>
      </c>
      <c r="PO133" s="24">
        <v>0</v>
      </c>
      <c r="PP133" s="24">
        <v>0</v>
      </c>
      <c r="PQ133" s="24">
        <v>0</v>
      </c>
      <c r="PR133" s="24">
        <v>0</v>
      </c>
      <c r="PS133" s="24">
        <v>0</v>
      </c>
      <c r="PT133" s="24">
        <v>0</v>
      </c>
      <c r="PU133" s="24">
        <v>0</v>
      </c>
      <c r="PV133" s="24">
        <v>0</v>
      </c>
      <c r="PW133" s="24">
        <v>0</v>
      </c>
      <c r="PX133" s="24">
        <v>0</v>
      </c>
      <c r="PY133" s="24">
        <v>0</v>
      </c>
      <c r="PZ133" s="24">
        <v>0</v>
      </c>
      <c r="QA133" s="24">
        <v>0</v>
      </c>
      <c r="QB133" s="24">
        <v>0</v>
      </c>
      <c r="QC133" s="24">
        <v>0</v>
      </c>
      <c r="QD133" s="24">
        <v>0</v>
      </c>
      <c r="QE133" s="24">
        <v>0</v>
      </c>
      <c r="QF133" s="24">
        <v>0</v>
      </c>
      <c r="QG133" s="24">
        <v>0</v>
      </c>
      <c r="QH133" s="24">
        <v>0</v>
      </c>
      <c r="QI133" s="24">
        <v>0</v>
      </c>
      <c r="QJ133" s="24">
        <v>0</v>
      </c>
      <c r="QK133" s="24">
        <v>0</v>
      </c>
      <c r="QL133" s="24">
        <v>0</v>
      </c>
      <c r="QM133" s="24">
        <v>0</v>
      </c>
      <c r="QN133" s="24">
        <v>0</v>
      </c>
      <c r="QO133" s="24">
        <v>0</v>
      </c>
      <c r="QP133" s="24">
        <v>0</v>
      </c>
      <c r="QQ133" s="24">
        <v>0</v>
      </c>
      <c r="QR133" s="24">
        <v>0</v>
      </c>
      <c r="QS133" s="24">
        <v>0</v>
      </c>
      <c r="QT133" s="24">
        <v>0</v>
      </c>
      <c r="QU133" s="24">
        <v>0</v>
      </c>
      <c r="QV133" s="24">
        <v>0</v>
      </c>
      <c r="QW133" s="24">
        <v>0</v>
      </c>
      <c r="QX133" s="24">
        <v>0</v>
      </c>
      <c r="QY133" s="24">
        <v>0</v>
      </c>
      <c r="QZ133" s="24">
        <v>0</v>
      </c>
      <c r="RA133" s="24">
        <v>0</v>
      </c>
      <c r="RB133" s="24">
        <v>0</v>
      </c>
      <c r="RC133" s="913">
        <v>2</v>
      </c>
      <c r="RG133" s="39">
        <f t="shared" si="248"/>
        <v>1848713</v>
      </c>
      <c r="RH133" s="39">
        <f t="shared" si="249"/>
        <v>0</v>
      </c>
      <c r="RI133" s="39">
        <f t="shared" si="249"/>
        <v>0</v>
      </c>
      <c r="RJ133" s="39">
        <f t="shared" si="249"/>
        <v>0</v>
      </c>
      <c r="RK133" s="39">
        <f t="shared" si="249"/>
        <v>0</v>
      </c>
      <c r="RL133" s="39">
        <f t="shared" si="249"/>
        <v>224589</v>
      </c>
      <c r="RM133" s="39">
        <f t="shared" si="249"/>
        <v>254511</v>
      </c>
      <c r="RN133" s="39">
        <f t="shared" si="249"/>
        <v>0</v>
      </c>
      <c r="RO133" s="39">
        <f t="shared" si="249"/>
        <v>0</v>
      </c>
      <c r="RP133" s="39">
        <f t="shared" si="249"/>
        <v>0</v>
      </c>
      <c r="RQ133" s="39">
        <f t="shared" si="249"/>
        <v>0</v>
      </c>
      <c r="RR133" s="39">
        <f t="shared" si="249"/>
        <v>0</v>
      </c>
      <c r="RS133" s="39"/>
      <c r="RT133" s="182"/>
      <c r="RU133" s="39"/>
      <c r="RV133" s="39">
        <f t="shared" si="246"/>
        <v>125200</v>
      </c>
      <c r="RW133" s="39">
        <f t="shared" si="246"/>
        <v>2327813</v>
      </c>
      <c r="RX133" s="39">
        <f t="shared" si="246"/>
        <v>49313</v>
      </c>
      <c r="RY133" s="39">
        <f t="shared" si="246"/>
        <v>0</v>
      </c>
      <c r="RZ133" s="39"/>
      <c r="SA133" s="182"/>
      <c r="SB133" s="39"/>
      <c r="SC133" s="25">
        <f t="shared" si="183"/>
        <v>112.84439359267735</v>
      </c>
      <c r="SD133" s="39">
        <f>IFERROR(VLOOKUP(A133, 'Levy Data 15-16'!$B:$O, 3, FALSE), 0)</f>
        <v>0</v>
      </c>
      <c r="SE133" s="39">
        <f t="shared" si="208"/>
        <v>0</v>
      </c>
      <c r="SF133" s="631">
        <f>IFERROR(VLOOKUP(A133, 'Levy Data 15-16'!$B:$O, 14, FALSE), 0)*1000</f>
        <v>0</v>
      </c>
      <c r="SG133" s="39">
        <f t="shared" si="209"/>
        <v>0</v>
      </c>
      <c r="SH133" s="39">
        <f t="shared" si="210"/>
        <v>0</v>
      </c>
      <c r="SI133" s="39">
        <f t="shared" si="211"/>
        <v>49313</v>
      </c>
      <c r="SM133" s="39">
        <f t="shared" si="212"/>
        <v>2327813</v>
      </c>
      <c r="SN133" s="39">
        <f t="shared" si="213"/>
        <v>0</v>
      </c>
      <c r="SO133" s="39">
        <f t="shared" si="184"/>
        <v>2327813</v>
      </c>
      <c r="SP133" s="50">
        <f t="shared" si="250"/>
        <v>1</v>
      </c>
      <c r="ST133" s="124">
        <f>IFERROR(VLOOKUP(A133,'Grade Enroll 15-16'!B:AC,27,FALSE),"")</f>
        <v>437</v>
      </c>
      <c r="SU133" s="124">
        <f t="shared" si="264"/>
        <v>160.29303278688525</v>
      </c>
      <c r="SV133" s="131">
        <f>IFERROR(VLOOKUP($A133, 'Title I Enroll 16-17'!S:V, 4, FALSE), 0)</f>
        <v>0.36680327868852458</v>
      </c>
      <c r="SW133" s="729">
        <f>IFERROR(VLOOKUP(A133, 'ELL Enroll 15-16'!$N:$S, 6, FALSE), 0)</f>
        <v>5</v>
      </c>
      <c r="SX133" s="131">
        <f t="shared" si="251"/>
        <v>1.1441647597254004E-2</v>
      </c>
      <c r="SY133" s="124">
        <f>IFERROR(VLOOKUP(A133, 'SPED enroll 2015-16'!$M:$O, 3, FALSE), 0)</f>
        <v>39</v>
      </c>
      <c r="SZ133" s="131">
        <f t="shared" si="252"/>
        <v>8.924485125858124E-2</v>
      </c>
      <c r="TA133" s="142">
        <f t="shared" si="253"/>
        <v>27.299999999999997</v>
      </c>
      <c r="TB133" s="142">
        <f t="shared" si="253"/>
        <v>7.8000000000000007</v>
      </c>
      <c r="TC133" s="142">
        <f t="shared" si="253"/>
        <v>2.7300000000000004</v>
      </c>
      <c r="TD133" s="142">
        <f t="shared" si="253"/>
        <v>1.17</v>
      </c>
      <c r="TE133" s="124">
        <f>VLOOKUP($A133, 'Grade Enroll 15-16'!$B:$AB, 20, FALSE)</f>
        <v>0</v>
      </c>
      <c r="TF133" s="124">
        <f>VLOOKUP($A133, 'Grade Enroll 15-16'!$B:$AB, 21, FALSE)</f>
        <v>48</v>
      </c>
      <c r="TG133" s="124">
        <f>VLOOKUP($A133, 'Grade Enroll 15-16'!$B:$AB, 22, FALSE)</f>
        <v>181</v>
      </c>
      <c r="TH133" s="124">
        <f>VLOOKUP($A133, 'Grade Enroll 15-16'!$B:$AB, 23, FALSE)</f>
        <v>188</v>
      </c>
      <c r="TI133" s="124">
        <f>VLOOKUP($A133, 'Grade Enroll 15-16'!$B:$AB, 24, FALSE)</f>
        <v>68</v>
      </c>
      <c r="TJ133" s="124">
        <f>VLOOKUP($A133, 'Grade Enroll 15-16'!$B:$AB, 25, FALSE)</f>
        <v>0</v>
      </c>
      <c r="TK133" s="124">
        <f>VLOOKUP($A133, 'Grade Enroll 15-16'!$B:$AB, 26, FALSE)</f>
        <v>320</v>
      </c>
      <c r="TL133" s="131">
        <f>SUMIFS('Student Achievement 15-16'!N:N, 'Student Achievement 15-16'!B:B, 'Idaho Data'!A133, 'Student Achievement 15-16'!D:D, "math")/100</f>
        <v>0.152</v>
      </c>
      <c r="TM133" s="134">
        <f t="shared" si="186"/>
        <v>66.423999999999992</v>
      </c>
      <c r="TN133" s="131">
        <f>SUMIFS('Student Achievement 15-16'!N:N, 'Student Achievement 15-16'!B:B, 'Idaho Data'!A133, 'Student Achievement 15-16'!D:D, "ela")/100</f>
        <v>0.18</v>
      </c>
      <c r="TO133" s="134">
        <f t="shared" si="254"/>
        <v>78.66</v>
      </c>
      <c r="TP133" s="688">
        <f>IFERROR(VLOOKUP(A133, 'G&amp;T 15-16'!B:G, 6, FALSE), 0)*1</f>
        <v>0</v>
      </c>
      <c r="TQ133" s="168">
        <f t="shared" si="255"/>
        <v>26.22</v>
      </c>
      <c r="TU133" s="168">
        <f t="shared" si="256"/>
        <v>66.423999999999992</v>
      </c>
      <c r="TV133" s="168">
        <f t="shared" si="257"/>
        <v>78.66</v>
      </c>
      <c r="TW133" s="205">
        <f t="shared" si="258"/>
        <v>78.66</v>
      </c>
      <c r="TX133" s="144"/>
      <c r="TY133" s="129"/>
      <c r="TZ133" s="127">
        <f t="shared" si="259"/>
        <v>0</v>
      </c>
      <c r="UA133" s="127">
        <f t="shared" si="260"/>
        <v>26.22</v>
      </c>
      <c r="UB133" s="205">
        <f t="shared" si="261"/>
        <v>26.22</v>
      </c>
      <c r="UE133" s="853" t="str">
        <f>IF(ST133&lt;='1. Simulator Input'!$E$104, "yes", "")</f>
        <v/>
      </c>
      <c r="UI133" s="199">
        <f t="shared" si="187"/>
        <v>0</v>
      </c>
      <c r="UJ133" s="200">
        <f>IF('Idaho Data'!SI133&gt;=0, ((1-'1. Simulator Input'!$E$39)*'Idaho Data'!SI133), 0)</f>
        <v>0</v>
      </c>
      <c r="UK133" s="200">
        <f t="shared" si="262"/>
        <v>2327813</v>
      </c>
      <c r="UL133" s="39"/>
      <c r="UM133" s="182"/>
      <c r="UN133" s="39"/>
      <c r="UO133" s="39" t="str">
        <f>IF(AND('1. Simulator Input'!$E$96="yes", '1. Simulator Input'!$E$98="yes", '1. Simulator Input'!$E$100="hold harmless"), 'Idaho Data'!WN133, IF(AND('1. Simulator Input'!$E$96="yes", '1. Simulator Input'!$E$98="no", '1. Simulator Input'!$E$100="hold harmless"), 'Idaho Data'!WM133, IF(AND('1. Simulator Input'!$E$96="yes", '1. Simulator Input'!$E$98="yes", '1. Simulator Input'!$E$100="small district grant"), WL133,IF(AND('1. Simulator Input'!$E$96="yes", '1. Simulator Input'!$E$98="no", '1. Simulator Input'!$E$100="small district grant"), WK133, ""))))</f>
        <v/>
      </c>
      <c r="UP133" s="200">
        <f>'1. Simulator Input'!$D$56*('Idaho Data'!ST133)</f>
        <v>2414862</v>
      </c>
      <c r="UQ133" s="204">
        <f>'1. Simulator Input'!$D$65*'1. Simulator Input'!$D$56*'Idaho Data'!SU133</f>
        <v>0</v>
      </c>
      <c r="UR133" s="204">
        <f>'1. Simulator Input'!$D$66*'1. Simulator Input'!$D$56*'Idaho Data'!SW133</f>
        <v>0</v>
      </c>
      <c r="US133" s="200">
        <f>'1. Simulator Input'!$D$67*'1. Simulator Input'!$D$56*'Idaho Data'!TA133</f>
        <v>0</v>
      </c>
      <c r="UT133" s="200">
        <f>'1. Simulator Input'!$D$68*'1. Simulator Input'!$D$56*'Idaho Data'!TB133</f>
        <v>0</v>
      </c>
      <c r="UU133" s="200">
        <f>'1. Simulator Input'!$D$69*'1. Simulator Input'!$D$56*'Idaho Data'!TC133</f>
        <v>0</v>
      </c>
      <c r="UV133" s="200">
        <f>'1. Simulator Input'!$D$70*'1. Simulator Input'!$D$56*TD133</f>
        <v>0</v>
      </c>
      <c r="UW133" s="200">
        <f>'1. Simulator Input'!$D$80*'1. Simulator Input'!$D$56*TW133</f>
        <v>0</v>
      </c>
      <c r="UX133" s="200">
        <f>'1. Simulator Input'!$D$79*'1. Simulator Input'!$D$56*UB133</f>
        <v>0</v>
      </c>
      <c r="UY133" s="200">
        <f>'1. Simulator Input'!$D$87*'1. Simulator Input'!$D$56*TF133</f>
        <v>132624</v>
      </c>
      <c r="UZ133" s="200">
        <f>'1. Simulator Input'!$D$73*'1. Simulator Input'!$D$56*'Idaho Data'!TG133</f>
        <v>0</v>
      </c>
      <c r="VA133" s="200">
        <f>'1. Simulator Input'!$D$56*'1. Simulator Input'!$D$74*'Idaho Data'!TH133</f>
        <v>0</v>
      </c>
      <c r="VB133" s="200">
        <f>'1. Simulator Input'!$D$56*'1. Simulator Input'!$D$75*'Idaho Data'!TI128</f>
        <v>0</v>
      </c>
      <c r="VC133" s="200">
        <f>'1. Simulator Input'!$D$76*'1. Simulator Input'!$D$56*'Idaho Data'!TJ133</f>
        <v>0</v>
      </c>
      <c r="VD133" s="200">
        <f t="shared" si="188"/>
        <v>2547486</v>
      </c>
      <c r="VE133" s="200"/>
      <c r="VF133" s="182"/>
      <c r="VG133" s="200"/>
      <c r="VH133" s="200">
        <f t="shared" si="189"/>
        <v>0</v>
      </c>
      <c r="VI133" s="200">
        <f t="shared" si="190"/>
        <v>0</v>
      </c>
      <c r="VJ133" s="200">
        <f t="shared" si="214"/>
        <v>2547486</v>
      </c>
      <c r="VK133" s="200">
        <f t="shared" si="215"/>
        <v>2547486</v>
      </c>
      <c r="VL133" s="200"/>
      <c r="VM133" s="182"/>
      <c r="VN133" s="200"/>
      <c r="VO133" s="200">
        <f t="shared" si="191"/>
        <v>125200</v>
      </c>
      <c r="VP133" s="200">
        <f t="shared" si="192"/>
        <v>2327813</v>
      </c>
      <c r="VQ133" s="200">
        <f t="shared" si="193"/>
        <v>49313</v>
      </c>
      <c r="VR133" s="200">
        <f t="shared" si="194"/>
        <v>125200</v>
      </c>
      <c r="VS133" s="200">
        <f t="shared" si="216"/>
        <v>2547486</v>
      </c>
      <c r="VT133" s="200">
        <f t="shared" si="217"/>
        <v>49313</v>
      </c>
      <c r="VU133" s="200">
        <f t="shared" si="218"/>
        <v>0</v>
      </c>
      <c r="VV133" s="200"/>
      <c r="VW133" s="182"/>
      <c r="VX133" s="200"/>
      <c r="VZ133" s="199">
        <f t="shared" si="195"/>
        <v>219673</v>
      </c>
      <c r="WA133" s="199">
        <f t="shared" si="196"/>
        <v>502.68421052631578</v>
      </c>
      <c r="WB133" s="131">
        <f t="shared" si="197"/>
        <v>9.4368834609996594E-2</v>
      </c>
      <c r="WC133" s="131"/>
      <c r="WD133" s="461"/>
      <c r="WE133" s="893"/>
      <c r="WF133" s="893">
        <f t="shared" si="198"/>
        <v>5726.1464530892445</v>
      </c>
      <c r="WG133" s="893">
        <f t="shared" si="199"/>
        <v>6228.8306636155603</v>
      </c>
      <c r="WH133" s="893"/>
      <c r="WI133" s="893">
        <f t="shared" si="200"/>
        <v>2327813</v>
      </c>
      <c r="WJ133" s="893">
        <f t="shared" si="219"/>
        <v>2547486</v>
      </c>
      <c r="WK133" s="39" t="str">
        <f t="shared" si="220"/>
        <v/>
      </c>
      <c r="WL133" s="39" t="str">
        <f t="shared" si="221"/>
        <v/>
      </c>
      <c r="WM133" s="200" t="str">
        <f t="shared" si="222"/>
        <v/>
      </c>
      <c r="WN133" s="39" t="str">
        <f t="shared" si="223"/>
        <v/>
      </c>
      <c r="WO133" s="39"/>
      <c r="WP133" s="182"/>
      <c r="WQ133" s="39"/>
      <c r="WR133" s="305"/>
      <c r="WT133" s="200">
        <f t="shared" si="225"/>
        <v>5326.8032036613276</v>
      </c>
      <c r="WU133" s="131">
        <f t="shared" si="201"/>
        <v>0.05</v>
      </c>
      <c r="WW133" s="199">
        <f t="shared" si="226"/>
        <v>125200</v>
      </c>
      <c r="WX133" s="199">
        <f t="shared" si="227"/>
        <v>2547486</v>
      </c>
      <c r="WY133" s="199">
        <f t="shared" si="228"/>
        <v>0</v>
      </c>
      <c r="WZ133" s="199">
        <f t="shared" si="202"/>
        <v>2547486</v>
      </c>
      <c r="XA133" s="199">
        <f t="shared" si="229"/>
        <v>0</v>
      </c>
      <c r="XB133" s="199">
        <f t="shared" si="230"/>
        <v>49313</v>
      </c>
      <c r="XC133" s="199">
        <f t="shared" si="231"/>
        <v>49313</v>
      </c>
      <c r="XD133" s="199" t="str">
        <f t="shared" si="232"/>
        <v/>
      </c>
      <c r="XE133" s="199"/>
      <c r="XF133" s="199"/>
      <c r="XG133" s="199"/>
      <c r="XH133" s="199"/>
      <c r="XI133" s="199"/>
      <c r="XJ133" s="199">
        <f t="shared" si="203"/>
        <v>2547486</v>
      </c>
      <c r="XP133" s="199">
        <f t="shared" si="233"/>
        <v>2547486</v>
      </c>
      <c r="XQ133" s="199">
        <f t="shared" si="234"/>
        <v>5829.4874141876426</v>
      </c>
      <c r="XR133" s="199">
        <f t="shared" si="235"/>
        <v>2547486</v>
      </c>
      <c r="XS133" s="199">
        <f t="shared" si="236"/>
        <v>2547486</v>
      </c>
      <c r="XT133" s="199">
        <f t="shared" si="237"/>
        <v>5829.4874141876426</v>
      </c>
      <c r="XU133" s="199">
        <f t="shared" si="238"/>
        <v>2327813</v>
      </c>
      <c r="XV133" s="199">
        <f t="shared" si="239"/>
        <v>5326.8032036613276</v>
      </c>
      <c r="XW133" s="199">
        <f t="shared" si="240"/>
        <v>2327813</v>
      </c>
      <c r="XX133" s="199">
        <f t="shared" si="241"/>
        <v>5326.8032036613276</v>
      </c>
      <c r="XY133" s="199">
        <f t="shared" si="204"/>
        <v>219673</v>
      </c>
      <c r="XZ133" s="199">
        <f t="shared" si="205"/>
        <v>502.68421052631493</v>
      </c>
      <c r="YA133" s="131">
        <f t="shared" si="263"/>
        <v>9.4368834609996427E-2</v>
      </c>
      <c r="YB133" s="199"/>
      <c r="YC133" s="221"/>
      <c r="YD133" s="199"/>
      <c r="YE133" s="199">
        <f t="shared" si="242"/>
        <v>125200</v>
      </c>
      <c r="YF133" s="200">
        <f t="shared" si="243"/>
        <v>0</v>
      </c>
      <c r="YG133" s="199">
        <f t="shared" si="244"/>
        <v>49313</v>
      </c>
      <c r="YH133" s="199">
        <f t="shared" si="245"/>
        <v>0</v>
      </c>
    </row>
    <row r="134" spans="1:658">
      <c r="A134" s="3">
        <v>461</v>
      </c>
      <c r="B134" s="2" t="s">
        <v>231</v>
      </c>
      <c r="C134" s="24">
        <v>0</v>
      </c>
      <c r="D134" s="24">
        <v>0</v>
      </c>
      <c r="E134" s="24">
        <v>0</v>
      </c>
      <c r="F134" s="24">
        <v>0</v>
      </c>
      <c r="G134" s="24">
        <v>0</v>
      </c>
      <c r="H134" s="24">
        <v>0</v>
      </c>
      <c r="I134" s="24">
        <v>0</v>
      </c>
      <c r="J134" s="24">
        <v>0</v>
      </c>
      <c r="K134" s="24">
        <v>0</v>
      </c>
      <c r="L134" s="24">
        <v>0</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881</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c r="BE134" s="24">
        <v>0</v>
      </c>
      <c r="BF134" s="24">
        <v>0</v>
      </c>
      <c r="BG134" s="24">
        <v>0</v>
      </c>
      <c r="BH134" s="24">
        <v>0</v>
      </c>
      <c r="BI134" s="24">
        <v>0</v>
      </c>
      <c r="BJ134" s="24">
        <v>0</v>
      </c>
      <c r="BK134" s="24">
        <v>0</v>
      </c>
      <c r="BL134" s="24">
        <v>0</v>
      </c>
      <c r="BM134" s="24">
        <v>0</v>
      </c>
      <c r="BN134" s="24">
        <v>0</v>
      </c>
      <c r="BO134" s="24">
        <v>0</v>
      </c>
      <c r="BP134" s="24">
        <v>0</v>
      </c>
      <c r="BQ134" s="24">
        <v>0</v>
      </c>
      <c r="BR134" s="24">
        <v>0</v>
      </c>
      <c r="BS134" s="24">
        <v>0</v>
      </c>
      <c r="BT134" s="24">
        <v>0</v>
      </c>
      <c r="BU134" s="24">
        <v>0</v>
      </c>
      <c r="BV134" s="24">
        <v>0</v>
      </c>
      <c r="BW134" s="24">
        <v>0</v>
      </c>
      <c r="BX134" s="24">
        <v>0</v>
      </c>
      <c r="BY134" s="24">
        <v>0</v>
      </c>
      <c r="BZ134" s="24">
        <v>0</v>
      </c>
      <c r="CA134" s="24">
        <v>0</v>
      </c>
      <c r="CB134" s="24">
        <v>0</v>
      </c>
      <c r="CC134" s="24">
        <v>0</v>
      </c>
      <c r="CD134" s="24">
        <v>35956</v>
      </c>
      <c r="CE134" s="24">
        <v>0</v>
      </c>
      <c r="CF134" s="24">
        <v>0</v>
      </c>
      <c r="CG134" s="24">
        <v>1094</v>
      </c>
      <c r="CH134" s="24">
        <v>0</v>
      </c>
      <c r="CI134" s="24">
        <v>0</v>
      </c>
      <c r="CJ134" s="24">
        <v>0</v>
      </c>
      <c r="CK134" s="24">
        <v>0</v>
      </c>
      <c r="CL134" s="24">
        <v>0</v>
      </c>
      <c r="CM134" s="24">
        <v>0</v>
      </c>
      <c r="CN134" s="24">
        <v>0</v>
      </c>
      <c r="CO134" s="24">
        <v>0</v>
      </c>
      <c r="CP134" s="24">
        <v>0</v>
      </c>
      <c r="CQ134" s="24">
        <v>0</v>
      </c>
      <c r="CR134" s="24">
        <v>0</v>
      </c>
      <c r="CS134" s="24">
        <v>0</v>
      </c>
      <c r="CT134" s="24">
        <v>0</v>
      </c>
      <c r="CU134" s="24">
        <v>0</v>
      </c>
      <c r="CV134" s="24">
        <v>0</v>
      </c>
      <c r="CW134" s="24">
        <v>0</v>
      </c>
      <c r="CX134" s="24">
        <v>0</v>
      </c>
      <c r="CY134" s="24">
        <v>0</v>
      </c>
      <c r="CZ134" s="24">
        <v>0</v>
      </c>
      <c r="DA134" s="24">
        <v>0</v>
      </c>
      <c r="DB134" s="24">
        <v>0</v>
      </c>
      <c r="DC134" s="24">
        <v>0</v>
      </c>
      <c r="DD134" s="24">
        <v>0</v>
      </c>
      <c r="DE134" s="24">
        <v>0</v>
      </c>
      <c r="DF134" s="24">
        <v>0</v>
      </c>
      <c r="DG134" s="24">
        <v>0</v>
      </c>
      <c r="DH134" s="24">
        <v>0</v>
      </c>
      <c r="DI134" s="24">
        <v>0</v>
      </c>
      <c r="DJ134" s="24">
        <v>0</v>
      </c>
      <c r="DK134" s="24">
        <v>0</v>
      </c>
      <c r="DL134" s="24">
        <v>0</v>
      </c>
      <c r="DM134" s="24">
        <v>0</v>
      </c>
      <c r="DN134" s="24">
        <v>0</v>
      </c>
      <c r="DO134" s="24">
        <v>0</v>
      </c>
      <c r="DP134" s="24">
        <v>0</v>
      </c>
      <c r="DQ134" s="24">
        <v>0</v>
      </c>
      <c r="DR134" s="24">
        <v>0</v>
      </c>
      <c r="DS134" s="24">
        <v>0</v>
      </c>
      <c r="DT134" s="24">
        <v>0</v>
      </c>
      <c r="DU134" s="24">
        <v>0</v>
      </c>
      <c r="DV134" s="24">
        <v>0</v>
      </c>
      <c r="DW134" s="24">
        <v>0</v>
      </c>
      <c r="DX134" s="24">
        <v>0</v>
      </c>
      <c r="DY134" s="24">
        <v>0</v>
      </c>
      <c r="DZ134" s="24">
        <v>0</v>
      </c>
      <c r="EA134" s="24">
        <v>0</v>
      </c>
      <c r="EB134" s="24">
        <v>0</v>
      </c>
      <c r="EC134" s="24">
        <v>0</v>
      </c>
      <c r="ED134" s="24">
        <v>0</v>
      </c>
      <c r="EE134" s="24">
        <v>0</v>
      </c>
      <c r="EF134" s="24">
        <v>0</v>
      </c>
      <c r="EG134" s="24">
        <v>20231</v>
      </c>
      <c r="EH134" s="24">
        <v>0</v>
      </c>
      <c r="EI134" s="24">
        <v>0</v>
      </c>
      <c r="EJ134" s="24">
        <v>0</v>
      </c>
      <c r="EK134" s="24">
        <v>0</v>
      </c>
      <c r="EL134" s="24">
        <v>0</v>
      </c>
      <c r="EM134" s="24">
        <v>0</v>
      </c>
      <c r="EN134" s="24">
        <v>0</v>
      </c>
      <c r="EO134" s="24">
        <v>0</v>
      </c>
      <c r="EP134" s="24">
        <v>0</v>
      </c>
      <c r="EQ134" s="24">
        <v>0</v>
      </c>
      <c r="ER134" s="24">
        <v>0</v>
      </c>
      <c r="ES134" s="24">
        <v>0</v>
      </c>
      <c r="ET134" s="24">
        <v>0</v>
      </c>
      <c r="EU134" s="24">
        <v>0</v>
      </c>
      <c r="EV134" s="24">
        <v>0</v>
      </c>
      <c r="EW134" s="24">
        <v>0</v>
      </c>
      <c r="EX134" s="24">
        <v>0</v>
      </c>
      <c r="EY134" s="24">
        <v>0</v>
      </c>
      <c r="EZ134" s="24">
        <v>0</v>
      </c>
      <c r="FA134" s="24">
        <v>0</v>
      </c>
      <c r="FB134" s="24">
        <v>0</v>
      </c>
      <c r="FC134" s="24">
        <v>0</v>
      </c>
      <c r="FD134" s="24">
        <v>0</v>
      </c>
      <c r="FE134" s="24">
        <v>0</v>
      </c>
      <c r="FF134" s="24">
        <v>0</v>
      </c>
      <c r="FG134" s="24">
        <v>0</v>
      </c>
      <c r="FH134" s="24">
        <v>0</v>
      </c>
      <c r="FI134" s="24">
        <v>0</v>
      </c>
      <c r="FJ134" s="24">
        <v>0</v>
      </c>
      <c r="FK134" s="24">
        <v>0</v>
      </c>
      <c r="FL134" s="24">
        <v>0</v>
      </c>
      <c r="FM134" s="24">
        <v>0</v>
      </c>
      <c r="FN134" s="24">
        <v>0</v>
      </c>
      <c r="FO134" s="24">
        <v>0</v>
      </c>
      <c r="FP134" s="24">
        <v>0</v>
      </c>
      <c r="FQ134" s="24">
        <v>0</v>
      </c>
      <c r="FR134" s="24">
        <v>0</v>
      </c>
      <c r="FS134" s="24">
        <v>47558</v>
      </c>
      <c r="FT134" s="24">
        <v>0</v>
      </c>
      <c r="FU134" s="24">
        <v>0</v>
      </c>
      <c r="FV134" s="24">
        <v>0</v>
      </c>
      <c r="FW134" s="24">
        <v>0</v>
      </c>
      <c r="FX134" s="24">
        <v>0</v>
      </c>
      <c r="FY134" s="24">
        <v>0</v>
      </c>
      <c r="FZ134" s="24">
        <v>0</v>
      </c>
      <c r="GA134" s="24">
        <v>0</v>
      </c>
      <c r="GB134" s="24">
        <v>0</v>
      </c>
      <c r="GC134" s="24">
        <v>0</v>
      </c>
      <c r="GD134" s="24">
        <v>0</v>
      </c>
      <c r="GE134" s="24">
        <v>0</v>
      </c>
      <c r="GF134" s="24">
        <v>0</v>
      </c>
      <c r="GG134" s="24">
        <v>0</v>
      </c>
      <c r="GH134" s="24">
        <v>0</v>
      </c>
      <c r="GI134" s="24">
        <v>0</v>
      </c>
      <c r="GJ134" s="24">
        <v>0</v>
      </c>
      <c r="GK134" s="24">
        <v>0</v>
      </c>
      <c r="GL134" s="24">
        <v>0</v>
      </c>
      <c r="GM134" s="24">
        <v>0</v>
      </c>
      <c r="GN134" s="24">
        <v>0</v>
      </c>
      <c r="GO134" s="24">
        <v>0</v>
      </c>
      <c r="GP134" s="24">
        <v>0</v>
      </c>
      <c r="GQ134" s="24">
        <v>0</v>
      </c>
      <c r="GR134" s="24">
        <v>0</v>
      </c>
      <c r="GS134" s="24">
        <v>0</v>
      </c>
      <c r="GT134" s="24">
        <v>0</v>
      </c>
      <c r="GU134" s="24">
        <v>0</v>
      </c>
      <c r="GV134" s="24">
        <v>0</v>
      </c>
      <c r="GW134" s="24">
        <v>0</v>
      </c>
      <c r="GX134" s="24">
        <v>0</v>
      </c>
      <c r="GY134" s="24">
        <v>0</v>
      </c>
      <c r="GZ134" s="24">
        <v>0</v>
      </c>
      <c r="HA134" s="24">
        <v>0</v>
      </c>
      <c r="HB134" s="24">
        <v>0</v>
      </c>
      <c r="HC134" s="24">
        <v>0</v>
      </c>
      <c r="HD134" s="24">
        <v>2066319</v>
      </c>
      <c r="HE134" s="24">
        <v>0</v>
      </c>
      <c r="HF134" s="24">
        <v>0</v>
      </c>
      <c r="HG134" s="24">
        <v>0</v>
      </c>
      <c r="HH134" s="24">
        <v>0</v>
      </c>
      <c r="HI134" s="24">
        <v>101143</v>
      </c>
      <c r="HJ134" s="24">
        <v>0</v>
      </c>
      <c r="HK134" s="24">
        <v>0</v>
      </c>
      <c r="HL134" s="24">
        <v>0</v>
      </c>
      <c r="HM134" s="24">
        <v>0</v>
      </c>
      <c r="HN134" s="24">
        <v>0</v>
      </c>
      <c r="HO134" s="24">
        <v>228954</v>
      </c>
      <c r="HP134" s="24">
        <v>172029</v>
      </c>
      <c r="HQ134" s="24">
        <v>0</v>
      </c>
      <c r="HR134" s="24">
        <v>0</v>
      </c>
      <c r="HS134" s="24">
        <v>0</v>
      </c>
      <c r="HT134" s="24">
        <v>0</v>
      </c>
      <c r="HU134" s="24">
        <v>0</v>
      </c>
      <c r="HV134" s="24">
        <v>0</v>
      </c>
      <c r="HW134" s="24">
        <v>0</v>
      </c>
      <c r="HX134" s="24">
        <v>0</v>
      </c>
      <c r="HY134" s="24">
        <v>0</v>
      </c>
      <c r="HZ134" s="24">
        <v>0</v>
      </c>
      <c r="IA134" s="24">
        <v>28570</v>
      </c>
      <c r="IB134" s="24">
        <v>7412</v>
      </c>
      <c r="IC134" s="24">
        <v>0</v>
      </c>
      <c r="ID134" s="24">
        <v>0</v>
      </c>
      <c r="IE134" s="24">
        <v>0</v>
      </c>
      <c r="IF134" s="24">
        <v>0</v>
      </c>
      <c r="IG134" s="24">
        <v>0</v>
      </c>
      <c r="IH134" s="24">
        <v>0</v>
      </c>
      <c r="II134" s="24">
        <v>0</v>
      </c>
      <c r="IJ134" s="24">
        <v>0</v>
      </c>
      <c r="IK134" s="24">
        <v>0</v>
      </c>
      <c r="IL134" s="24">
        <v>0</v>
      </c>
      <c r="IM134" s="24">
        <v>0</v>
      </c>
      <c r="IN134" s="24">
        <v>0</v>
      </c>
      <c r="IO134" s="24">
        <v>0</v>
      </c>
      <c r="IP134" s="24">
        <v>0</v>
      </c>
      <c r="IQ134" s="24">
        <v>0</v>
      </c>
      <c r="IR134" s="24">
        <v>0</v>
      </c>
      <c r="IS134" s="24">
        <v>0</v>
      </c>
      <c r="IT134" s="24">
        <v>0</v>
      </c>
      <c r="IU134" s="24">
        <v>0</v>
      </c>
      <c r="IV134" s="24">
        <v>0</v>
      </c>
      <c r="IW134" s="24">
        <v>25104</v>
      </c>
      <c r="IX134" s="24">
        <v>0</v>
      </c>
      <c r="IY134" s="24">
        <v>0</v>
      </c>
      <c r="IZ134" s="24">
        <v>0</v>
      </c>
      <c r="JA134" s="24">
        <v>0</v>
      </c>
      <c r="JB134" s="24">
        <v>0</v>
      </c>
      <c r="JC134" s="24">
        <v>0</v>
      </c>
      <c r="JD134" s="24">
        <v>0</v>
      </c>
      <c r="JE134" s="24">
        <v>0</v>
      </c>
      <c r="JF134" s="24">
        <v>0</v>
      </c>
      <c r="JG134" s="24">
        <v>0</v>
      </c>
      <c r="JH134" s="24">
        <v>0</v>
      </c>
      <c r="JI134" s="24">
        <v>0</v>
      </c>
      <c r="JJ134" s="24">
        <v>0</v>
      </c>
      <c r="JK134" s="24">
        <v>0</v>
      </c>
      <c r="JL134" s="24">
        <v>0</v>
      </c>
      <c r="JM134" s="24">
        <v>0</v>
      </c>
      <c r="JN134" s="24">
        <v>0</v>
      </c>
      <c r="JO134" s="24">
        <v>0</v>
      </c>
      <c r="JP134" s="24">
        <v>0</v>
      </c>
      <c r="JQ134" s="24">
        <v>0</v>
      </c>
      <c r="JR134" s="24">
        <v>0</v>
      </c>
      <c r="JS134" s="24">
        <v>0</v>
      </c>
      <c r="JT134" s="24">
        <v>0</v>
      </c>
      <c r="JU134" s="24">
        <v>0</v>
      </c>
      <c r="JV134" s="24">
        <v>0</v>
      </c>
      <c r="JW134" s="24">
        <v>0</v>
      </c>
      <c r="JX134" s="24">
        <v>0</v>
      </c>
      <c r="JY134" s="24">
        <v>0</v>
      </c>
      <c r="JZ134" s="24">
        <v>0</v>
      </c>
      <c r="KA134" s="24">
        <v>0</v>
      </c>
      <c r="KB134" s="24">
        <v>0</v>
      </c>
      <c r="KC134" s="24">
        <v>0</v>
      </c>
      <c r="KD134" s="24">
        <v>0</v>
      </c>
      <c r="KE134" s="24">
        <v>0</v>
      </c>
      <c r="KF134" s="24">
        <v>0</v>
      </c>
      <c r="KG134" s="24">
        <v>0</v>
      </c>
      <c r="KH134" s="24">
        <v>0</v>
      </c>
      <c r="KI134" s="24">
        <v>0</v>
      </c>
      <c r="KJ134" s="24">
        <v>0</v>
      </c>
      <c r="KK134" s="24">
        <v>0</v>
      </c>
      <c r="KL134" s="24">
        <v>0</v>
      </c>
      <c r="KM134" s="24">
        <v>0</v>
      </c>
      <c r="KN134" s="24">
        <v>0</v>
      </c>
      <c r="KO134" s="24">
        <v>0</v>
      </c>
      <c r="KP134" s="24">
        <v>0</v>
      </c>
      <c r="KQ134" s="24">
        <v>0</v>
      </c>
      <c r="KR134" s="24">
        <v>0</v>
      </c>
      <c r="KS134" s="24">
        <v>0</v>
      </c>
      <c r="KT134" s="24">
        <v>0</v>
      </c>
      <c r="KU134" s="24">
        <v>0</v>
      </c>
      <c r="KV134" s="24">
        <v>0</v>
      </c>
      <c r="KW134" s="24">
        <v>0</v>
      </c>
      <c r="KX134" s="24">
        <v>0</v>
      </c>
      <c r="KY134" s="24">
        <v>0</v>
      </c>
      <c r="KZ134" s="24">
        <v>0</v>
      </c>
      <c r="LA134" s="24">
        <v>0</v>
      </c>
      <c r="LB134" s="24">
        <v>0</v>
      </c>
      <c r="LC134" s="24">
        <v>0</v>
      </c>
      <c r="LD134" s="24">
        <v>0</v>
      </c>
      <c r="LE134" s="24">
        <v>0</v>
      </c>
      <c r="LF134" s="24">
        <v>0</v>
      </c>
      <c r="LG134" s="24">
        <v>0</v>
      </c>
      <c r="LH134" s="24">
        <v>0</v>
      </c>
      <c r="LI134" s="24">
        <v>0</v>
      </c>
      <c r="LJ134" s="24">
        <v>0</v>
      </c>
      <c r="LK134" s="24">
        <v>0</v>
      </c>
      <c r="LL134" s="24">
        <v>0</v>
      </c>
      <c r="LM134" s="24">
        <v>0</v>
      </c>
      <c r="LN134" s="24">
        <v>0</v>
      </c>
      <c r="LO134" s="24">
        <v>0</v>
      </c>
      <c r="LP134" s="24">
        <v>0</v>
      </c>
      <c r="LQ134" s="24">
        <v>71422</v>
      </c>
      <c r="LR134" s="24">
        <v>0</v>
      </c>
      <c r="LS134" s="24">
        <v>0</v>
      </c>
      <c r="LT134" s="24">
        <v>0</v>
      </c>
      <c r="LU134" s="24">
        <v>0</v>
      </c>
      <c r="LV134" s="24">
        <v>0</v>
      </c>
      <c r="LW134" s="24">
        <v>0</v>
      </c>
      <c r="LX134" s="24">
        <v>0</v>
      </c>
      <c r="LY134" s="24">
        <v>0</v>
      </c>
      <c r="LZ134" s="24">
        <v>0</v>
      </c>
      <c r="MA134" s="24">
        <v>0</v>
      </c>
      <c r="MB134" s="24">
        <v>0</v>
      </c>
      <c r="MC134" s="24">
        <v>0</v>
      </c>
      <c r="MD134" s="24">
        <v>0</v>
      </c>
      <c r="ME134" s="24">
        <v>0</v>
      </c>
      <c r="MF134" s="24">
        <v>0</v>
      </c>
      <c r="MG134" s="24">
        <v>0</v>
      </c>
      <c r="MH134" s="24">
        <v>0</v>
      </c>
      <c r="MI134" s="24">
        <v>0</v>
      </c>
      <c r="MJ134" s="24">
        <v>0</v>
      </c>
      <c r="MK134" s="24">
        <v>0</v>
      </c>
      <c r="ML134" s="24">
        <v>0</v>
      </c>
      <c r="MM134" s="24">
        <v>0</v>
      </c>
      <c r="MN134" s="24">
        <v>0</v>
      </c>
      <c r="MO134" s="24">
        <v>0</v>
      </c>
      <c r="MP134" s="24">
        <v>0</v>
      </c>
      <c r="MQ134" s="24">
        <v>0</v>
      </c>
      <c r="MR134" s="24">
        <v>109062</v>
      </c>
      <c r="MS134" s="24">
        <v>0</v>
      </c>
      <c r="MT134" s="24">
        <v>0</v>
      </c>
      <c r="MU134" s="24">
        <v>0</v>
      </c>
      <c r="MV134" s="24">
        <v>0</v>
      </c>
      <c r="MW134" s="24">
        <v>66179</v>
      </c>
      <c r="MX134" s="24">
        <v>0</v>
      </c>
      <c r="MY134" s="24">
        <v>0</v>
      </c>
      <c r="MZ134" s="24">
        <v>0</v>
      </c>
      <c r="NA134" s="24">
        <v>0</v>
      </c>
      <c r="NB134" s="24">
        <v>0</v>
      </c>
      <c r="NC134" s="24">
        <v>0</v>
      </c>
      <c r="ND134" s="24">
        <v>0</v>
      </c>
      <c r="NE134" s="24">
        <v>0</v>
      </c>
      <c r="NF134" s="24">
        <v>0</v>
      </c>
      <c r="NG134" s="24">
        <v>0</v>
      </c>
      <c r="NH134" s="24">
        <v>0</v>
      </c>
      <c r="NI134" s="24">
        <v>0</v>
      </c>
      <c r="NJ134" s="24">
        <v>0</v>
      </c>
      <c r="NK134" s="24">
        <v>0</v>
      </c>
      <c r="NL134" s="24">
        <v>0</v>
      </c>
      <c r="NM134" s="24">
        <v>0</v>
      </c>
      <c r="NN134" s="24">
        <v>0</v>
      </c>
      <c r="NO134" s="24">
        <v>0</v>
      </c>
      <c r="NP134" s="24">
        <v>0</v>
      </c>
      <c r="NQ134" s="24">
        <v>22113</v>
      </c>
      <c r="NR134" s="24">
        <v>0</v>
      </c>
      <c r="NS134" s="24">
        <v>0</v>
      </c>
      <c r="NT134" s="24">
        <v>0</v>
      </c>
      <c r="NU134" s="24">
        <v>0</v>
      </c>
      <c r="NV134" s="24">
        <v>8379</v>
      </c>
      <c r="NW134" s="24">
        <v>0</v>
      </c>
      <c r="NX134" s="24">
        <v>0</v>
      </c>
      <c r="NY134" s="24">
        <v>0</v>
      </c>
      <c r="NZ134" s="24">
        <v>0</v>
      </c>
      <c r="OA134" s="24">
        <v>0</v>
      </c>
      <c r="OB134" s="24">
        <v>0</v>
      </c>
      <c r="OC134" s="24">
        <v>0</v>
      </c>
      <c r="OD134" s="24">
        <v>0</v>
      </c>
      <c r="OE134" s="24">
        <v>0</v>
      </c>
      <c r="OF134" s="24">
        <v>0</v>
      </c>
      <c r="OG134" s="24">
        <v>0</v>
      </c>
      <c r="OH134" s="24">
        <v>0</v>
      </c>
      <c r="OI134" s="24">
        <v>0</v>
      </c>
      <c r="OJ134" s="24">
        <v>0</v>
      </c>
      <c r="OK134" s="24">
        <v>10796</v>
      </c>
      <c r="OL134" s="24">
        <v>0</v>
      </c>
      <c r="OM134" s="24">
        <v>0</v>
      </c>
      <c r="ON134" s="24">
        <v>0</v>
      </c>
      <c r="OO134" s="24">
        <v>0</v>
      </c>
      <c r="OP134" s="24">
        <v>0</v>
      </c>
      <c r="OQ134" s="24">
        <v>0</v>
      </c>
      <c r="OR134" s="24">
        <v>0</v>
      </c>
      <c r="OS134" s="24">
        <v>0</v>
      </c>
      <c r="OT134" s="24">
        <v>0</v>
      </c>
      <c r="OU134" s="24">
        <v>0</v>
      </c>
      <c r="OV134" s="24">
        <v>0</v>
      </c>
      <c r="OW134" s="24">
        <v>0</v>
      </c>
      <c r="OX134" s="24">
        <v>0</v>
      </c>
      <c r="OY134" s="24">
        <v>0</v>
      </c>
      <c r="OZ134" s="24">
        <v>0</v>
      </c>
      <c r="PA134" s="24">
        <v>0</v>
      </c>
      <c r="PB134" s="24">
        <v>0</v>
      </c>
      <c r="PC134" s="24">
        <v>0</v>
      </c>
      <c r="PD134" s="24">
        <v>0</v>
      </c>
      <c r="PE134" s="24">
        <v>0</v>
      </c>
      <c r="PF134" s="24">
        <v>0</v>
      </c>
      <c r="PG134" s="24">
        <v>0</v>
      </c>
      <c r="PH134" s="24">
        <v>10730</v>
      </c>
      <c r="PI134" s="24">
        <v>0</v>
      </c>
      <c r="PJ134" s="24">
        <v>0</v>
      </c>
      <c r="PK134" s="24">
        <v>0</v>
      </c>
      <c r="PL134" s="24">
        <v>0</v>
      </c>
      <c r="PM134" s="24">
        <v>0</v>
      </c>
      <c r="PN134" s="24">
        <v>0</v>
      </c>
      <c r="PO134" s="24">
        <v>0</v>
      </c>
      <c r="PP134" s="24">
        <v>0</v>
      </c>
      <c r="PQ134" s="24">
        <v>0</v>
      </c>
      <c r="PR134" s="24">
        <v>0</v>
      </c>
      <c r="PS134" s="24">
        <v>0</v>
      </c>
      <c r="PT134" s="24">
        <v>0</v>
      </c>
      <c r="PU134" s="24">
        <v>0</v>
      </c>
      <c r="PV134" s="24">
        <v>0</v>
      </c>
      <c r="PW134" s="24">
        <v>0</v>
      </c>
      <c r="PX134" s="24">
        <v>0</v>
      </c>
      <c r="PY134" s="24">
        <v>0</v>
      </c>
      <c r="PZ134" s="24">
        <v>0</v>
      </c>
      <c r="QA134" s="24">
        <v>0</v>
      </c>
      <c r="QB134" s="24">
        <v>0</v>
      </c>
      <c r="QC134" s="24">
        <v>0</v>
      </c>
      <c r="QD134" s="24">
        <v>0</v>
      </c>
      <c r="QE134" s="24">
        <v>0</v>
      </c>
      <c r="QF134" s="24">
        <v>0</v>
      </c>
      <c r="QG134" s="24">
        <v>0</v>
      </c>
      <c r="QH134" s="24">
        <v>0</v>
      </c>
      <c r="QI134" s="24">
        <v>0</v>
      </c>
      <c r="QJ134" s="24">
        <v>0</v>
      </c>
      <c r="QK134" s="24">
        <v>0</v>
      </c>
      <c r="QL134" s="24">
        <v>0</v>
      </c>
      <c r="QM134" s="24">
        <v>0</v>
      </c>
      <c r="QN134" s="24">
        <v>0</v>
      </c>
      <c r="QO134" s="24">
        <v>0</v>
      </c>
      <c r="QP134" s="24">
        <v>0</v>
      </c>
      <c r="QQ134" s="24">
        <v>0</v>
      </c>
      <c r="QR134" s="24">
        <v>0</v>
      </c>
      <c r="QS134" s="24">
        <v>0</v>
      </c>
      <c r="QT134" s="24">
        <v>0</v>
      </c>
      <c r="QU134" s="24">
        <v>0</v>
      </c>
      <c r="QV134" s="24">
        <v>0</v>
      </c>
      <c r="QW134" s="24">
        <v>0</v>
      </c>
      <c r="QX134" s="24">
        <v>43000</v>
      </c>
      <c r="QY134" s="24">
        <v>0</v>
      </c>
      <c r="QZ134" s="24">
        <v>0</v>
      </c>
      <c r="RA134" s="24">
        <v>0</v>
      </c>
      <c r="RB134" s="24">
        <v>0</v>
      </c>
      <c r="RC134" s="913">
        <v>2</v>
      </c>
      <c r="RG134" s="39">
        <f t="shared" si="248"/>
        <v>2066319</v>
      </c>
      <c r="RH134" s="39">
        <f t="shared" si="249"/>
        <v>101143</v>
      </c>
      <c r="RI134" s="39">
        <f t="shared" si="249"/>
        <v>0</v>
      </c>
      <c r="RJ134" s="39">
        <f t="shared" si="249"/>
        <v>0</v>
      </c>
      <c r="RK134" s="39">
        <f t="shared" si="249"/>
        <v>0</v>
      </c>
      <c r="RL134" s="39">
        <f t="shared" si="249"/>
        <v>228954</v>
      </c>
      <c r="RM134" s="39">
        <f t="shared" si="249"/>
        <v>208011</v>
      </c>
      <c r="RN134" s="39">
        <f t="shared" si="249"/>
        <v>0</v>
      </c>
      <c r="RO134" s="39">
        <f t="shared" si="249"/>
        <v>0</v>
      </c>
      <c r="RP134" s="39">
        <f t="shared" si="249"/>
        <v>25104</v>
      </c>
      <c r="RQ134" s="39">
        <f t="shared" si="249"/>
        <v>0</v>
      </c>
      <c r="RR134" s="39">
        <f t="shared" si="249"/>
        <v>0</v>
      </c>
      <c r="RS134" s="39"/>
      <c r="RT134" s="182"/>
      <c r="RU134" s="39"/>
      <c r="RV134" s="39">
        <f t="shared" si="246"/>
        <v>287951</v>
      </c>
      <c r="RW134" s="39">
        <f t="shared" si="246"/>
        <v>2629531</v>
      </c>
      <c r="RX134" s="39">
        <f t="shared" si="246"/>
        <v>105720</v>
      </c>
      <c r="RY134" s="39">
        <f t="shared" si="246"/>
        <v>53730</v>
      </c>
      <c r="RZ134" s="39"/>
      <c r="SA134" s="182"/>
      <c r="SB134" s="39"/>
      <c r="SC134" s="25">
        <f t="shared" si="183"/>
        <v>275.3125</v>
      </c>
      <c r="SD134" s="39">
        <f>IFERROR(VLOOKUP(A134, 'Levy Data 15-16'!$B:$O, 3, FALSE), 0)</f>
        <v>0</v>
      </c>
      <c r="SE134" s="39">
        <f t="shared" si="208"/>
        <v>0</v>
      </c>
      <c r="SF134" s="631">
        <f>IFERROR(VLOOKUP(A134, 'Levy Data 15-16'!$B:$O, 14, FALSE), 0)*1000</f>
        <v>0</v>
      </c>
      <c r="SG134" s="39">
        <f t="shared" si="209"/>
        <v>0</v>
      </c>
      <c r="SH134" s="39">
        <f t="shared" si="210"/>
        <v>0</v>
      </c>
      <c r="SI134" s="39">
        <f t="shared" si="211"/>
        <v>105720</v>
      </c>
      <c r="SM134" s="39">
        <f t="shared" si="212"/>
        <v>2629531</v>
      </c>
      <c r="SN134" s="39">
        <f t="shared" si="213"/>
        <v>0</v>
      </c>
      <c r="SO134" s="39">
        <f t="shared" si="184"/>
        <v>2629531</v>
      </c>
      <c r="SP134" s="50">
        <f t="shared" si="250"/>
        <v>1</v>
      </c>
      <c r="ST134" s="124">
        <f>IFERROR(VLOOKUP(A134,'Grade Enroll 15-16'!B:AC,27,FALSE),"")</f>
        <v>384</v>
      </c>
      <c r="SU134" s="124">
        <f t="shared" si="264"/>
        <v>168</v>
      </c>
      <c r="SV134" s="131">
        <f>IFERROR(VLOOKUP($A134, 'Title I Enroll 16-17'!S:V, 4, FALSE), 0)</f>
        <v>0.4375</v>
      </c>
      <c r="SW134" s="729">
        <f>IFERROR(VLOOKUP(A134, 'ELL Enroll 15-16'!$N:$S, 6, FALSE), 0)</f>
        <v>5</v>
      </c>
      <c r="SX134" s="131">
        <f t="shared" si="251"/>
        <v>1.3020833333333334E-2</v>
      </c>
      <c r="SY134" s="124">
        <f>IFERROR(VLOOKUP(A134, 'SPED enroll 2015-16'!$M:$O, 3, FALSE), 0)</f>
        <v>29</v>
      </c>
      <c r="SZ134" s="131">
        <f t="shared" si="252"/>
        <v>7.5520833333333329E-2</v>
      </c>
      <c r="TA134" s="142">
        <f t="shared" si="253"/>
        <v>20.299999999999997</v>
      </c>
      <c r="TB134" s="142">
        <f t="shared" si="253"/>
        <v>5.8000000000000007</v>
      </c>
      <c r="TC134" s="142">
        <f t="shared" si="253"/>
        <v>2.0300000000000002</v>
      </c>
      <c r="TD134" s="142">
        <f t="shared" si="253"/>
        <v>0.87</v>
      </c>
      <c r="TE134" s="124">
        <f>VLOOKUP($A134, 'Grade Enroll 15-16'!$B:$AB, 20, FALSE)</f>
        <v>0</v>
      </c>
      <c r="TF134" s="124">
        <f>VLOOKUP($A134, 'Grade Enroll 15-16'!$B:$AB, 21, FALSE)</f>
        <v>30</v>
      </c>
      <c r="TG134" s="124">
        <f>VLOOKUP($A134, 'Grade Enroll 15-16'!$B:$AB, 22, FALSE)</f>
        <v>90</v>
      </c>
      <c r="TH134" s="124">
        <f>VLOOKUP($A134, 'Grade Enroll 15-16'!$B:$AB, 23, FALSE)</f>
        <v>102</v>
      </c>
      <c r="TI134" s="124">
        <f>VLOOKUP($A134, 'Grade Enroll 15-16'!$B:$AB, 24, FALSE)</f>
        <v>70</v>
      </c>
      <c r="TJ134" s="124">
        <f>VLOOKUP($A134, 'Grade Enroll 15-16'!$B:$AB, 25, FALSE)</f>
        <v>122</v>
      </c>
      <c r="TK134" s="124">
        <f>VLOOKUP($A134, 'Grade Enroll 15-16'!$B:$AB, 26, FALSE)</f>
        <v>265</v>
      </c>
      <c r="TL134" s="131">
        <f>SUMIFS('Student Achievement 15-16'!N:N, 'Student Achievement 15-16'!B:B, 'Idaho Data'!A134, 'Student Achievement 15-16'!D:D, "math")/100</f>
        <v>0.111</v>
      </c>
      <c r="TM134" s="134">
        <f t="shared" si="186"/>
        <v>42.624000000000002</v>
      </c>
      <c r="TN134" s="131">
        <f>SUMIFS('Student Achievement 15-16'!N:N, 'Student Achievement 15-16'!B:B, 'Idaho Data'!A134, 'Student Achievement 15-16'!D:D, "ela")/100</f>
        <v>0.107</v>
      </c>
      <c r="TO134" s="134">
        <f t="shared" si="254"/>
        <v>41.088000000000001</v>
      </c>
      <c r="TP134" s="688">
        <f>IFERROR(VLOOKUP(A134, 'G&amp;T 15-16'!B:G, 6, FALSE), 0)*1</f>
        <v>0</v>
      </c>
      <c r="TQ134" s="168">
        <f t="shared" si="255"/>
        <v>23.04</v>
      </c>
      <c r="TU134" s="168">
        <f t="shared" si="256"/>
        <v>41.088000000000001</v>
      </c>
      <c r="TV134" s="168">
        <f t="shared" si="257"/>
        <v>42.624000000000002</v>
      </c>
      <c r="TW134" s="205">
        <f t="shared" si="258"/>
        <v>42.624000000000002</v>
      </c>
      <c r="TX134" s="144"/>
      <c r="TY134" s="129"/>
      <c r="TZ134" s="127">
        <f t="shared" si="259"/>
        <v>0</v>
      </c>
      <c r="UA134" s="127">
        <f t="shared" si="260"/>
        <v>23.04</v>
      </c>
      <c r="UB134" s="205">
        <f t="shared" si="261"/>
        <v>23.04</v>
      </c>
      <c r="UE134" s="853" t="str">
        <f>IF(ST134&lt;='1. Simulator Input'!$E$104, "yes", "")</f>
        <v/>
      </c>
      <c r="UI134" s="199">
        <f t="shared" si="187"/>
        <v>0</v>
      </c>
      <c r="UJ134" s="200">
        <f>IF('Idaho Data'!SI134&gt;=0, ((1-'1. Simulator Input'!$E$39)*'Idaho Data'!SI134), 0)</f>
        <v>0</v>
      </c>
      <c r="UK134" s="200">
        <f t="shared" si="262"/>
        <v>2629531</v>
      </c>
      <c r="UL134" s="39"/>
      <c r="UM134" s="182"/>
      <c r="UN134" s="39"/>
      <c r="UO134" s="39" t="str">
        <f>IF(AND('1. Simulator Input'!$E$96="yes", '1. Simulator Input'!$E$98="yes", '1. Simulator Input'!$E$100="hold harmless"), 'Idaho Data'!WN134, IF(AND('1. Simulator Input'!$E$96="yes", '1. Simulator Input'!$E$98="no", '1. Simulator Input'!$E$100="hold harmless"), 'Idaho Data'!WM134, IF(AND('1. Simulator Input'!$E$96="yes", '1. Simulator Input'!$E$98="yes", '1. Simulator Input'!$E$100="small district grant"), WL134,IF(AND('1. Simulator Input'!$E$96="yes", '1. Simulator Input'!$E$98="no", '1. Simulator Input'!$E$100="small district grant"), WK134, ""))))</f>
        <v/>
      </c>
      <c r="UP134" s="200">
        <f>'1. Simulator Input'!$D$56*('Idaho Data'!ST134)</f>
        <v>2121984</v>
      </c>
      <c r="UQ134" s="204">
        <f>'1. Simulator Input'!$D$65*'1. Simulator Input'!$D$56*'Idaho Data'!SU134</f>
        <v>0</v>
      </c>
      <c r="UR134" s="204">
        <f>'1. Simulator Input'!$D$66*'1. Simulator Input'!$D$56*'Idaho Data'!SW134</f>
        <v>0</v>
      </c>
      <c r="US134" s="200">
        <f>'1. Simulator Input'!$D$67*'1. Simulator Input'!$D$56*'Idaho Data'!TA134</f>
        <v>0</v>
      </c>
      <c r="UT134" s="200">
        <f>'1. Simulator Input'!$D$68*'1. Simulator Input'!$D$56*'Idaho Data'!TB134</f>
        <v>0</v>
      </c>
      <c r="UU134" s="200">
        <f>'1. Simulator Input'!$D$69*'1. Simulator Input'!$D$56*'Idaho Data'!TC134</f>
        <v>0</v>
      </c>
      <c r="UV134" s="200">
        <f>'1. Simulator Input'!$D$70*'1. Simulator Input'!$D$56*TD134</f>
        <v>0</v>
      </c>
      <c r="UW134" s="200">
        <f>'1. Simulator Input'!$D$80*'1. Simulator Input'!$D$56*TW134</f>
        <v>0</v>
      </c>
      <c r="UX134" s="200">
        <f>'1. Simulator Input'!$D$79*'1. Simulator Input'!$D$56*UB134</f>
        <v>0</v>
      </c>
      <c r="UY134" s="200">
        <f>'1. Simulator Input'!$D$87*'1. Simulator Input'!$D$56*TF134</f>
        <v>82890</v>
      </c>
      <c r="UZ134" s="200">
        <f>'1. Simulator Input'!$D$73*'1. Simulator Input'!$D$56*'Idaho Data'!TG134</f>
        <v>0</v>
      </c>
      <c r="VA134" s="200">
        <f>'1. Simulator Input'!$D$56*'1. Simulator Input'!$D$74*'Idaho Data'!TH134</f>
        <v>0</v>
      </c>
      <c r="VB134" s="200">
        <f>'1. Simulator Input'!$D$56*'1. Simulator Input'!$D$75*'Idaho Data'!TI129</f>
        <v>0</v>
      </c>
      <c r="VC134" s="200">
        <f>'1. Simulator Input'!$D$76*'1. Simulator Input'!$D$56*'Idaho Data'!TJ134</f>
        <v>0</v>
      </c>
      <c r="VD134" s="200">
        <f t="shared" si="188"/>
        <v>2204874</v>
      </c>
      <c r="VE134" s="200"/>
      <c r="VF134" s="182"/>
      <c r="VG134" s="200"/>
      <c r="VH134" s="200">
        <f t="shared" si="189"/>
        <v>0</v>
      </c>
      <c r="VI134" s="200">
        <f t="shared" si="190"/>
        <v>0</v>
      </c>
      <c r="VJ134" s="200">
        <f t="shared" si="214"/>
        <v>2204874</v>
      </c>
      <c r="VK134" s="200">
        <f t="shared" si="215"/>
        <v>2204874</v>
      </c>
      <c r="VL134" s="200"/>
      <c r="VM134" s="182"/>
      <c r="VN134" s="200"/>
      <c r="VO134" s="200">
        <f t="shared" si="191"/>
        <v>287951</v>
      </c>
      <c r="VP134" s="200">
        <f t="shared" si="192"/>
        <v>2629531</v>
      </c>
      <c r="VQ134" s="200">
        <f t="shared" si="193"/>
        <v>105720</v>
      </c>
      <c r="VR134" s="200">
        <f t="shared" si="194"/>
        <v>287951</v>
      </c>
      <c r="VS134" s="200">
        <f t="shared" si="216"/>
        <v>2204874</v>
      </c>
      <c r="VT134" s="200">
        <f t="shared" si="217"/>
        <v>105720</v>
      </c>
      <c r="VU134" s="200">
        <f t="shared" si="218"/>
        <v>0</v>
      </c>
      <c r="VV134" s="200"/>
      <c r="VW134" s="182"/>
      <c r="VX134" s="200"/>
      <c r="VZ134" s="199">
        <f t="shared" si="195"/>
        <v>-424657</v>
      </c>
      <c r="WA134" s="199">
        <f t="shared" si="196"/>
        <v>-1105.8776041666667</v>
      </c>
      <c r="WB134" s="131">
        <f t="shared" si="197"/>
        <v>-0.16149533890264081</v>
      </c>
      <c r="WC134" s="131"/>
      <c r="WD134" s="461"/>
      <c r="WE134" s="893"/>
      <c r="WF134" s="893">
        <f t="shared" si="198"/>
        <v>7872.921875</v>
      </c>
      <c r="WG134" s="893">
        <f t="shared" si="199"/>
        <v>6767.044270833333</v>
      </c>
      <c r="WH134" s="893"/>
      <c r="WI134" s="893">
        <f t="shared" si="200"/>
        <v>2629531</v>
      </c>
      <c r="WJ134" s="893">
        <f t="shared" si="219"/>
        <v>2204874</v>
      </c>
      <c r="WK134" s="39" t="str">
        <f t="shared" si="220"/>
        <v/>
      </c>
      <c r="WL134" s="39" t="str">
        <f t="shared" si="221"/>
        <v/>
      </c>
      <c r="WM134" s="200" t="str">
        <f t="shared" si="222"/>
        <v/>
      </c>
      <c r="WN134" s="39" t="str">
        <f t="shared" si="223"/>
        <v/>
      </c>
      <c r="WO134" s="39"/>
      <c r="WP134" s="182"/>
      <c r="WQ134" s="39"/>
      <c r="WR134" s="305"/>
      <c r="WT134" s="200">
        <f t="shared" si="225"/>
        <v>6847.736979166667</v>
      </c>
      <c r="WU134" s="131">
        <f t="shared" si="201"/>
        <v>0.56000000000000005</v>
      </c>
      <c r="WW134" s="199">
        <f t="shared" si="226"/>
        <v>287951</v>
      </c>
      <c r="WX134" s="199">
        <f t="shared" si="227"/>
        <v>2204874</v>
      </c>
      <c r="WY134" s="199">
        <f t="shared" si="228"/>
        <v>0</v>
      </c>
      <c r="WZ134" s="199">
        <f t="shared" si="202"/>
        <v>2204874</v>
      </c>
      <c r="XA134" s="199">
        <f t="shared" si="229"/>
        <v>0</v>
      </c>
      <c r="XB134" s="199">
        <f t="shared" si="230"/>
        <v>105720</v>
      </c>
      <c r="XC134" s="199">
        <f t="shared" si="231"/>
        <v>105720</v>
      </c>
      <c r="XD134" s="199" t="str">
        <f t="shared" si="232"/>
        <v/>
      </c>
      <c r="XE134" s="199"/>
      <c r="XF134" s="199"/>
      <c r="XG134" s="199"/>
      <c r="XH134" s="199"/>
      <c r="XI134" s="199"/>
      <c r="XJ134" s="199">
        <f t="shared" si="203"/>
        <v>2204874</v>
      </c>
      <c r="XP134" s="199">
        <f t="shared" si="233"/>
        <v>2204874</v>
      </c>
      <c r="XQ134" s="199">
        <f t="shared" si="234"/>
        <v>5741.859375</v>
      </c>
      <c r="XR134" s="199">
        <f t="shared" si="235"/>
        <v>2204874</v>
      </c>
      <c r="XS134" s="199">
        <f t="shared" si="236"/>
        <v>2204874</v>
      </c>
      <c r="XT134" s="199">
        <f t="shared" si="237"/>
        <v>5741.859375</v>
      </c>
      <c r="XU134" s="199">
        <f t="shared" si="238"/>
        <v>2629531</v>
      </c>
      <c r="XV134" s="199">
        <f t="shared" si="239"/>
        <v>6847.736979166667</v>
      </c>
      <c r="XW134" s="199">
        <f t="shared" si="240"/>
        <v>2629531</v>
      </c>
      <c r="XX134" s="199">
        <f t="shared" si="241"/>
        <v>6847.736979166667</v>
      </c>
      <c r="XY134" s="199">
        <f t="shared" si="204"/>
        <v>-424657</v>
      </c>
      <c r="XZ134" s="199">
        <f t="shared" si="205"/>
        <v>-1105.877604166667</v>
      </c>
      <c r="YA134" s="131">
        <f t="shared" si="263"/>
        <v>-0.16149533890264084</v>
      </c>
      <c r="YB134" s="199"/>
      <c r="YC134" s="221"/>
      <c r="YD134" s="199"/>
      <c r="YE134" s="199">
        <f t="shared" si="242"/>
        <v>287951</v>
      </c>
      <c r="YF134" s="200">
        <f t="shared" si="243"/>
        <v>0</v>
      </c>
      <c r="YG134" s="199">
        <f t="shared" si="244"/>
        <v>105720</v>
      </c>
      <c r="YH134" s="199">
        <f t="shared" si="245"/>
        <v>53730</v>
      </c>
    </row>
    <row r="135" spans="1:658">
      <c r="A135" s="3">
        <v>462</v>
      </c>
      <c r="B135" s="2" t="s">
        <v>232</v>
      </c>
      <c r="C135" s="24">
        <v>0</v>
      </c>
      <c r="D135" s="24">
        <v>0</v>
      </c>
      <c r="E135" s="24">
        <v>0</v>
      </c>
      <c r="F135" s="24">
        <v>0</v>
      </c>
      <c r="G135" s="24">
        <v>0</v>
      </c>
      <c r="H135" s="24">
        <v>0</v>
      </c>
      <c r="I135" s="24">
        <v>0</v>
      </c>
      <c r="J135" s="24">
        <v>0</v>
      </c>
      <c r="K135" s="24">
        <v>0</v>
      </c>
      <c r="L135" s="24">
        <v>0</v>
      </c>
      <c r="M135" s="24">
        <v>0</v>
      </c>
      <c r="N135" s="24">
        <v>0</v>
      </c>
      <c r="O135" s="24">
        <v>0</v>
      </c>
      <c r="P135" s="24">
        <v>0</v>
      </c>
      <c r="Q135" s="24">
        <v>0</v>
      </c>
      <c r="R135" s="24">
        <v>0</v>
      </c>
      <c r="S135" s="24">
        <v>0</v>
      </c>
      <c r="T135" s="24">
        <v>0</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AL135" s="24">
        <v>5728</v>
      </c>
      <c r="AM135" s="24">
        <v>0</v>
      </c>
      <c r="AN135" s="24">
        <v>0</v>
      </c>
      <c r="AO135" s="24">
        <v>0</v>
      </c>
      <c r="AP135" s="24">
        <v>0</v>
      </c>
      <c r="AQ135" s="24">
        <v>0</v>
      </c>
      <c r="AR135" s="24">
        <v>0</v>
      </c>
      <c r="AS135" s="24">
        <v>0</v>
      </c>
      <c r="AT135" s="24">
        <v>0</v>
      </c>
      <c r="AU135" s="24">
        <v>0</v>
      </c>
      <c r="AV135" s="24">
        <v>0</v>
      </c>
      <c r="AW135" s="24">
        <v>0</v>
      </c>
      <c r="AX135" s="24">
        <v>0</v>
      </c>
      <c r="AY135" s="24">
        <v>0</v>
      </c>
      <c r="AZ135" s="24">
        <v>0</v>
      </c>
      <c r="BA135" s="24">
        <v>0</v>
      </c>
      <c r="BB135" s="24">
        <v>0</v>
      </c>
      <c r="BC135" s="24">
        <v>0</v>
      </c>
      <c r="BD135" s="24">
        <v>0</v>
      </c>
      <c r="BE135" s="24">
        <v>0</v>
      </c>
      <c r="BF135" s="24">
        <v>0</v>
      </c>
      <c r="BG135" s="24">
        <v>0</v>
      </c>
      <c r="BH135" s="24">
        <v>0</v>
      </c>
      <c r="BI135" s="24">
        <v>0</v>
      </c>
      <c r="BJ135" s="24">
        <v>0</v>
      </c>
      <c r="BK135" s="24">
        <v>0</v>
      </c>
      <c r="BL135" s="24">
        <v>0</v>
      </c>
      <c r="BM135" s="24">
        <v>0</v>
      </c>
      <c r="BN135" s="24">
        <v>0</v>
      </c>
      <c r="BO135" s="24">
        <v>0</v>
      </c>
      <c r="BP135" s="24">
        <v>0</v>
      </c>
      <c r="BQ135" s="24">
        <v>0</v>
      </c>
      <c r="BR135" s="24">
        <v>0</v>
      </c>
      <c r="BS135" s="24">
        <v>0</v>
      </c>
      <c r="BT135" s="24">
        <v>0</v>
      </c>
      <c r="BU135" s="24">
        <v>0</v>
      </c>
      <c r="BV135" s="24">
        <v>0</v>
      </c>
      <c r="BW135" s="24">
        <v>0</v>
      </c>
      <c r="BX135" s="24">
        <v>0</v>
      </c>
      <c r="BY135" s="24">
        <v>0</v>
      </c>
      <c r="BZ135" s="24">
        <v>0</v>
      </c>
      <c r="CA135" s="24">
        <v>0</v>
      </c>
      <c r="CB135" s="24">
        <v>0</v>
      </c>
      <c r="CC135" s="24">
        <v>0</v>
      </c>
      <c r="CD135" s="24">
        <v>0</v>
      </c>
      <c r="CE135" s="24">
        <v>0</v>
      </c>
      <c r="CF135" s="24">
        <v>0</v>
      </c>
      <c r="CG135" s="24">
        <v>0</v>
      </c>
      <c r="CH135" s="24">
        <v>0</v>
      </c>
      <c r="CI135" s="24">
        <v>0</v>
      </c>
      <c r="CJ135" s="24">
        <v>0</v>
      </c>
      <c r="CK135" s="24">
        <v>0</v>
      </c>
      <c r="CL135" s="24">
        <v>0</v>
      </c>
      <c r="CM135" s="24">
        <v>0</v>
      </c>
      <c r="CN135" s="24">
        <v>0</v>
      </c>
      <c r="CO135" s="24">
        <v>0</v>
      </c>
      <c r="CP135" s="24">
        <v>0</v>
      </c>
      <c r="CQ135" s="24">
        <v>0</v>
      </c>
      <c r="CR135" s="24">
        <v>0</v>
      </c>
      <c r="CS135" s="24">
        <v>0</v>
      </c>
      <c r="CT135" s="24">
        <v>0</v>
      </c>
      <c r="CU135" s="24">
        <v>0</v>
      </c>
      <c r="CV135" s="24">
        <v>0</v>
      </c>
      <c r="CW135" s="24">
        <v>0</v>
      </c>
      <c r="CX135" s="24">
        <v>0</v>
      </c>
      <c r="CY135" s="24">
        <v>0</v>
      </c>
      <c r="CZ135" s="24">
        <v>0</v>
      </c>
      <c r="DA135" s="24">
        <v>0</v>
      </c>
      <c r="DB135" s="24">
        <v>0</v>
      </c>
      <c r="DC135" s="24">
        <v>0</v>
      </c>
      <c r="DD135" s="24">
        <v>0</v>
      </c>
      <c r="DE135" s="24">
        <v>0</v>
      </c>
      <c r="DF135" s="24">
        <v>0</v>
      </c>
      <c r="DG135" s="24">
        <v>0</v>
      </c>
      <c r="DH135" s="24">
        <v>0</v>
      </c>
      <c r="DI135" s="24">
        <v>0</v>
      </c>
      <c r="DJ135" s="24">
        <v>0</v>
      </c>
      <c r="DK135" s="24">
        <v>0</v>
      </c>
      <c r="DL135" s="24">
        <v>0</v>
      </c>
      <c r="DM135" s="24">
        <v>0</v>
      </c>
      <c r="DN135" s="24">
        <v>0</v>
      </c>
      <c r="DO135" s="24">
        <v>0</v>
      </c>
      <c r="DP135" s="24">
        <v>0</v>
      </c>
      <c r="DQ135" s="24">
        <v>0</v>
      </c>
      <c r="DR135" s="24">
        <v>0</v>
      </c>
      <c r="DS135" s="24">
        <v>0</v>
      </c>
      <c r="DT135" s="24">
        <v>0</v>
      </c>
      <c r="DU135" s="24">
        <v>0</v>
      </c>
      <c r="DV135" s="24">
        <v>0</v>
      </c>
      <c r="DW135" s="24">
        <v>0</v>
      </c>
      <c r="DX135" s="24">
        <v>0</v>
      </c>
      <c r="DY135" s="24">
        <v>0</v>
      </c>
      <c r="DZ135" s="24">
        <v>0</v>
      </c>
      <c r="EA135" s="24">
        <v>0</v>
      </c>
      <c r="EB135" s="24">
        <v>0</v>
      </c>
      <c r="EC135" s="24">
        <v>0</v>
      </c>
      <c r="ED135" s="24">
        <v>0</v>
      </c>
      <c r="EE135" s="24">
        <v>0</v>
      </c>
      <c r="EF135" s="24">
        <v>0</v>
      </c>
      <c r="EG135" s="24">
        <v>0</v>
      </c>
      <c r="EH135" s="24">
        <v>0</v>
      </c>
      <c r="EI135" s="24">
        <v>0</v>
      </c>
      <c r="EJ135" s="24">
        <v>0</v>
      </c>
      <c r="EK135" s="24">
        <v>0</v>
      </c>
      <c r="EL135" s="24">
        <v>0</v>
      </c>
      <c r="EM135" s="24">
        <v>0</v>
      </c>
      <c r="EN135" s="24">
        <v>0</v>
      </c>
      <c r="EO135" s="24">
        <v>0</v>
      </c>
      <c r="EP135" s="24">
        <v>0</v>
      </c>
      <c r="EQ135" s="24">
        <v>0</v>
      </c>
      <c r="ER135" s="24">
        <v>0</v>
      </c>
      <c r="ES135" s="24">
        <v>0</v>
      </c>
      <c r="ET135" s="24">
        <v>0</v>
      </c>
      <c r="EU135" s="24">
        <v>0</v>
      </c>
      <c r="EV135" s="24">
        <v>0</v>
      </c>
      <c r="EW135" s="24">
        <v>0</v>
      </c>
      <c r="EX135" s="24">
        <v>0</v>
      </c>
      <c r="EY135" s="24">
        <v>0</v>
      </c>
      <c r="EZ135" s="24">
        <v>0</v>
      </c>
      <c r="FA135" s="24">
        <v>0</v>
      </c>
      <c r="FB135" s="24">
        <v>0</v>
      </c>
      <c r="FC135" s="24">
        <v>0</v>
      </c>
      <c r="FD135" s="24">
        <v>0</v>
      </c>
      <c r="FE135" s="24">
        <v>0</v>
      </c>
      <c r="FF135" s="24">
        <v>0</v>
      </c>
      <c r="FG135" s="24">
        <v>0</v>
      </c>
      <c r="FH135" s="24">
        <v>0</v>
      </c>
      <c r="FI135" s="24">
        <v>0</v>
      </c>
      <c r="FJ135" s="24">
        <v>0</v>
      </c>
      <c r="FK135" s="24">
        <v>0</v>
      </c>
      <c r="FL135" s="24">
        <v>0</v>
      </c>
      <c r="FM135" s="24">
        <v>0</v>
      </c>
      <c r="FN135" s="24">
        <v>0</v>
      </c>
      <c r="FO135" s="24">
        <v>0</v>
      </c>
      <c r="FP135" s="24">
        <v>0</v>
      </c>
      <c r="FQ135" s="24">
        <v>0</v>
      </c>
      <c r="FR135" s="24">
        <v>0</v>
      </c>
      <c r="FS135" s="24">
        <v>17741</v>
      </c>
      <c r="FT135" s="24">
        <v>0</v>
      </c>
      <c r="FU135" s="24">
        <v>0</v>
      </c>
      <c r="FV135" s="24">
        <v>0</v>
      </c>
      <c r="FW135" s="24">
        <v>0</v>
      </c>
      <c r="FX135" s="24">
        <v>0</v>
      </c>
      <c r="FY135" s="24">
        <v>0</v>
      </c>
      <c r="FZ135" s="24">
        <v>0</v>
      </c>
      <c r="GA135" s="24">
        <v>0</v>
      </c>
      <c r="GB135" s="24">
        <v>0</v>
      </c>
      <c r="GC135" s="24">
        <v>0</v>
      </c>
      <c r="GD135" s="24">
        <v>0</v>
      </c>
      <c r="GE135" s="24">
        <v>0</v>
      </c>
      <c r="GF135" s="24">
        <v>0</v>
      </c>
      <c r="GG135" s="24">
        <v>0</v>
      </c>
      <c r="GH135" s="24">
        <v>0</v>
      </c>
      <c r="GI135" s="24">
        <v>0</v>
      </c>
      <c r="GJ135" s="24">
        <v>0</v>
      </c>
      <c r="GK135" s="24">
        <v>0</v>
      </c>
      <c r="GL135" s="24">
        <v>0</v>
      </c>
      <c r="GM135" s="24">
        <v>0</v>
      </c>
      <c r="GN135" s="24">
        <v>0</v>
      </c>
      <c r="GO135" s="24">
        <v>0</v>
      </c>
      <c r="GP135" s="24">
        <v>0</v>
      </c>
      <c r="GQ135" s="24">
        <v>0</v>
      </c>
      <c r="GR135" s="24">
        <v>0</v>
      </c>
      <c r="GS135" s="24">
        <v>0</v>
      </c>
      <c r="GT135" s="24">
        <v>0</v>
      </c>
      <c r="GU135" s="24">
        <v>0</v>
      </c>
      <c r="GV135" s="24">
        <v>0</v>
      </c>
      <c r="GW135" s="24">
        <v>0</v>
      </c>
      <c r="GX135" s="24">
        <v>0</v>
      </c>
      <c r="GY135" s="24">
        <v>0</v>
      </c>
      <c r="GZ135" s="24">
        <v>0</v>
      </c>
      <c r="HA135" s="24">
        <v>0</v>
      </c>
      <c r="HB135" s="24">
        <v>0</v>
      </c>
      <c r="HC135" s="24">
        <v>0</v>
      </c>
      <c r="HD135" s="24">
        <v>2915890</v>
      </c>
      <c r="HE135" s="24">
        <v>0</v>
      </c>
      <c r="HF135" s="24">
        <v>0</v>
      </c>
      <c r="HG135" s="24">
        <v>0</v>
      </c>
      <c r="HH135" s="24">
        <v>0</v>
      </c>
      <c r="HI135" s="24">
        <v>115275</v>
      </c>
      <c r="HJ135" s="24">
        <v>0</v>
      </c>
      <c r="HK135" s="24">
        <v>0</v>
      </c>
      <c r="HL135" s="24">
        <v>0</v>
      </c>
      <c r="HM135" s="24">
        <v>0</v>
      </c>
      <c r="HN135" s="24">
        <v>0</v>
      </c>
      <c r="HO135" s="24">
        <v>282087</v>
      </c>
      <c r="HP135" s="24">
        <v>330681</v>
      </c>
      <c r="HQ135" s="24">
        <v>0</v>
      </c>
      <c r="HR135" s="24">
        <v>0</v>
      </c>
      <c r="HS135" s="24">
        <v>0</v>
      </c>
      <c r="HT135" s="24">
        <v>0</v>
      </c>
      <c r="HU135" s="24">
        <v>0</v>
      </c>
      <c r="HV135" s="24">
        <v>0</v>
      </c>
      <c r="HW135" s="24">
        <v>0</v>
      </c>
      <c r="HX135" s="24">
        <v>0</v>
      </c>
      <c r="HY135" s="24">
        <v>0</v>
      </c>
      <c r="HZ135" s="24">
        <v>0</v>
      </c>
      <c r="IA135" s="24">
        <v>0</v>
      </c>
      <c r="IB135" s="24">
        <v>0</v>
      </c>
      <c r="IC135" s="24">
        <v>0</v>
      </c>
      <c r="ID135" s="24">
        <v>0</v>
      </c>
      <c r="IE135" s="24">
        <v>0</v>
      </c>
      <c r="IF135" s="24">
        <v>0</v>
      </c>
      <c r="IG135" s="24">
        <v>0</v>
      </c>
      <c r="IH135" s="24">
        <v>0</v>
      </c>
      <c r="II135" s="24">
        <v>0</v>
      </c>
      <c r="IJ135" s="24">
        <v>0</v>
      </c>
      <c r="IK135" s="24">
        <v>0</v>
      </c>
      <c r="IL135" s="24">
        <v>0</v>
      </c>
      <c r="IM135" s="24">
        <v>0</v>
      </c>
      <c r="IN135" s="24">
        <v>0</v>
      </c>
      <c r="IO135" s="24">
        <v>0</v>
      </c>
      <c r="IP135" s="24">
        <v>0</v>
      </c>
      <c r="IQ135" s="24">
        <v>0</v>
      </c>
      <c r="IR135" s="24">
        <v>0</v>
      </c>
      <c r="IS135" s="24">
        <v>0</v>
      </c>
      <c r="IT135" s="24">
        <v>0</v>
      </c>
      <c r="IU135" s="24">
        <v>0</v>
      </c>
      <c r="IV135" s="24">
        <v>0</v>
      </c>
      <c r="IW135" s="24">
        <v>40941</v>
      </c>
      <c r="IX135" s="24">
        <v>0</v>
      </c>
      <c r="IY135" s="24">
        <v>0</v>
      </c>
      <c r="IZ135" s="24">
        <v>0</v>
      </c>
      <c r="JA135" s="24">
        <v>0</v>
      </c>
      <c r="JB135" s="24">
        <v>0</v>
      </c>
      <c r="JC135" s="24">
        <v>0</v>
      </c>
      <c r="JD135" s="24">
        <v>0</v>
      </c>
      <c r="JE135" s="24">
        <v>93025</v>
      </c>
      <c r="JF135" s="24">
        <v>0</v>
      </c>
      <c r="JG135" s="24">
        <v>0</v>
      </c>
      <c r="JH135" s="24">
        <v>0</v>
      </c>
      <c r="JI135" s="24">
        <v>0</v>
      </c>
      <c r="JJ135" s="24">
        <v>0</v>
      </c>
      <c r="JK135" s="24">
        <v>0</v>
      </c>
      <c r="JL135" s="24">
        <v>0</v>
      </c>
      <c r="JM135" s="24">
        <v>0</v>
      </c>
      <c r="JN135" s="24">
        <v>0</v>
      </c>
      <c r="JO135" s="24">
        <v>0</v>
      </c>
      <c r="JP135" s="24">
        <v>0</v>
      </c>
      <c r="JQ135" s="24">
        <v>0</v>
      </c>
      <c r="JR135" s="24">
        <v>0</v>
      </c>
      <c r="JS135" s="24">
        <v>0</v>
      </c>
      <c r="JT135" s="24">
        <v>0</v>
      </c>
      <c r="JU135" s="24">
        <v>0</v>
      </c>
      <c r="JV135" s="24">
        <v>0</v>
      </c>
      <c r="JW135" s="24">
        <v>0</v>
      </c>
      <c r="JX135" s="24">
        <v>0</v>
      </c>
      <c r="JY135" s="24">
        <v>0</v>
      </c>
      <c r="JZ135" s="24">
        <v>0</v>
      </c>
      <c r="KA135" s="24">
        <v>0</v>
      </c>
      <c r="KB135" s="24">
        <v>0</v>
      </c>
      <c r="KC135" s="24">
        <v>0</v>
      </c>
      <c r="KD135" s="24">
        <v>0</v>
      </c>
      <c r="KE135" s="24">
        <v>0</v>
      </c>
      <c r="KF135" s="24">
        <v>0</v>
      </c>
      <c r="KG135" s="24">
        <v>0</v>
      </c>
      <c r="KH135" s="24">
        <v>0</v>
      </c>
      <c r="KI135" s="24">
        <v>0</v>
      </c>
      <c r="KJ135" s="24">
        <v>0</v>
      </c>
      <c r="KK135" s="24">
        <v>0</v>
      </c>
      <c r="KL135" s="24">
        <v>0</v>
      </c>
      <c r="KM135" s="24">
        <v>0</v>
      </c>
      <c r="KN135" s="24">
        <v>0</v>
      </c>
      <c r="KO135" s="24">
        <v>0</v>
      </c>
      <c r="KP135" s="24">
        <v>0</v>
      </c>
      <c r="KQ135" s="24">
        <v>0</v>
      </c>
      <c r="KR135" s="24">
        <v>0</v>
      </c>
      <c r="KS135" s="24">
        <v>0</v>
      </c>
      <c r="KT135" s="24">
        <v>0</v>
      </c>
      <c r="KU135" s="24">
        <v>0</v>
      </c>
      <c r="KV135" s="24">
        <v>0</v>
      </c>
      <c r="KW135" s="24">
        <v>0</v>
      </c>
      <c r="KX135" s="24">
        <v>0</v>
      </c>
      <c r="KY135" s="24">
        <v>0</v>
      </c>
      <c r="KZ135" s="24">
        <v>0</v>
      </c>
      <c r="LA135" s="24">
        <v>12832</v>
      </c>
      <c r="LB135" s="24">
        <v>0</v>
      </c>
      <c r="LC135" s="24">
        <v>0</v>
      </c>
      <c r="LD135" s="24">
        <v>0</v>
      </c>
      <c r="LE135" s="24">
        <v>0</v>
      </c>
      <c r="LF135" s="24">
        <v>0</v>
      </c>
      <c r="LG135" s="24">
        <v>0</v>
      </c>
      <c r="LH135" s="24">
        <v>0</v>
      </c>
      <c r="LI135" s="24">
        <v>0</v>
      </c>
      <c r="LJ135" s="24">
        <v>0</v>
      </c>
      <c r="LK135" s="24">
        <v>0</v>
      </c>
      <c r="LL135" s="24">
        <v>0</v>
      </c>
      <c r="LM135" s="24">
        <v>0</v>
      </c>
      <c r="LN135" s="24">
        <v>0</v>
      </c>
      <c r="LO135" s="24">
        <v>0</v>
      </c>
      <c r="LP135" s="24">
        <v>0</v>
      </c>
      <c r="LQ135" s="24">
        <v>75378</v>
      </c>
      <c r="LR135" s="24">
        <v>0</v>
      </c>
      <c r="LS135" s="24">
        <v>0</v>
      </c>
      <c r="LT135" s="24">
        <v>0</v>
      </c>
      <c r="LU135" s="24">
        <v>0</v>
      </c>
      <c r="LV135" s="24">
        <v>0</v>
      </c>
      <c r="LW135" s="24">
        <v>0</v>
      </c>
      <c r="LX135" s="24">
        <v>0</v>
      </c>
      <c r="LY135" s="24">
        <v>0</v>
      </c>
      <c r="LZ135" s="24">
        <v>0</v>
      </c>
      <c r="MA135" s="24">
        <v>0</v>
      </c>
      <c r="MB135" s="24">
        <v>0</v>
      </c>
      <c r="MC135" s="24">
        <v>0</v>
      </c>
      <c r="MD135" s="24">
        <v>0</v>
      </c>
      <c r="ME135" s="24">
        <v>0</v>
      </c>
      <c r="MF135" s="24">
        <v>0</v>
      </c>
      <c r="MG135" s="24">
        <v>0</v>
      </c>
      <c r="MH135" s="24">
        <v>0</v>
      </c>
      <c r="MI135" s="24">
        <v>0</v>
      </c>
      <c r="MJ135" s="24">
        <v>0</v>
      </c>
      <c r="MK135" s="24">
        <v>0</v>
      </c>
      <c r="ML135" s="24">
        <v>0</v>
      </c>
      <c r="MM135" s="24">
        <v>0</v>
      </c>
      <c r="MN135" s="24">
        <v>0</v>
      </c>
      <c r="MO135" s="24">
        <v>0</v>
      </c>
      <c r="MP135" s="24">
        <v>0</v>
      </c>
      <c r="MQ135" s="24">
        <v>0</v>
      </c>
      <c r="MR135" s="24">
        <v>0</v>
      </c>
      <c r="MS135" s="24">
        <v>0</v>
      </c>
      <c r="MT135" s="24">
        <v>0</v>
      </c>
      <c r="MU135" s="24">
        <v>0</v>
      </c>
      <c r="MV135" s="24">
        <v>0</v>
      </c>
      <c r="MW135" s="24">
        <v>81264</v>
      </c>
      <c r="MX135" s="24">
        <v>0</v>
      </c>
      <c r="MY135" s="24">
        <v>0</v>
      </c>
      <c r="MZ135" s="24">
        <v>0</v>
      </c>
      <c r="NA135" s="24">
        <v>0</v>
      </c>
      <c r="NB135" s="24">
        <v>0</v>
      </c>
      <c r="NC135" s="24">
        <v>0</v>
      </c>
      <c r="ND135" s="24">
        <v>0</v>
      </c>
      <c r="NE135" s="24">
        <v>0</v>
      </c>
      <c r="NF135" s="24">
        <v>0</v>
      </c>
      <c r="NG135" s="24">
        <v>0</v>
      </c>
      <c r="NH135" s="24">
        <v>0</v>
      </c>
      <c r="NI135" s="24">
        <v>0</v>
      </c>
      <c r="NJ135" s="24">
        <v>0</v>
      </c>
      <c r="NK135" s="24">
        <v>0</v>
      </c>
      <c r="NL135" s="24">
        <v>0</v>
      </c>
      <c r="NM135" s="24">
        <v>0</v>
      </c>
      <c r="NN135" s="24">
        <v>0</v>
      </c>
      <c r="NO135" s="24">
        <v>0</v>
      </c>
      <c r="NP135" s="24">
        <v>0</v>
      </c>
      <c r="NQ135" s="24">
        <v>0</v>
      </c>
      <c r="NR135" s="24">
        <v>0</v>
      </c>
      <c r="NS135" s="24">
        <v>0</v>
      </c>
      <c r="NT135" s="24">
        <v>0</v>
      </c>
      <c r="NU135" s="24">
        <v>0</v>
      </c>
      <c r="NV135" s="24">
        <v>0</v>
      </c>
      <c r="NW135" s="24">
        <v>0</v>
      </c>
      <c r="NX135" s="24">
        <v>0</v>
      </c>
      <c r="NY135" s="24">
        <v>0</v>
      </c>
      <c r="NZ135" s="24">
        <v>0</v>
      </c>
      <c r="OA135" s="24">
        <v>0</v>
      </c>
      <c r="OB135" s="24">
        <v>0</v>
      </c>
      <c r="OC135" s="24">
        <v>0</v>
      </c>
      <c r="OD135" s="24">
        <v>0</v>
      </c>
      <c r="OE135" s="24">
        <v>0</v>
      </c>
      <c r="OF135" s="24">
        <v>0</v>
      </c>
      <c r="OG135" s="24">
        <v>0</v>
      </c>
      <c r="OH135" s="24">
        <v>0</v>
      </c>
      <c r="OI135" s="24">
        <v>0</v>
      </c>
      <c r="OJ135" s="24">
        <v>0</v>
      </c>
      <c r="OK135" s="24">
        <v>0</v>
      </c>
      <c r="OL135" s="24">
        <v>0</v>
      </c>
      <c r="OM135" s="24">
        <v>0</v>
      </c>
      <c r="ON135" s="24">
        <v>0</v>
      </c>
      <c r="OO135" s="24">
        <v>0</v>
      </c>
      <c r="OP135" s="24">
        <v>0</v>
      </c>
      <c r="OQ135" s="24">
        <v>0</v>
      </c>
      <c r="OR135" s="24">
        <v>0</v>
      </c>
      <c r="OS135" s="24">
        <v>0</v>
      </c>
      <c r="OT135" s="24">
        <v>0</v>
      </c>
      <c r="OU135" s="24">
        <v>0</v>
      </c>
      <c r="OV135" s="24">
        <v>0</v>
      </c>
      <c r="OW135" s="24">
        <v>0</v>
      </c>
      <c r="OX135" s="24">
        <v>0</v>
      </c>
      <c r="OY135" s="24">
        <v>0</v>
      </c>
      <c r="OZ135" s="24">
        <v>0</v>
      </c>
      <c r="PA135" s="24">
        <v>0</v>
      </c>
      <c r="PB135" s="24">
        <v>0</v>
      </c>
      <c r="PC135" s="24">
        <v>0</v>
      </c>
      <c r="PD135" s="24">
        <v>0</v>
      </c>
      <c r="PE135" s="24">
        <v>0</v>
      </c>
      <c r="PF135" s="24">
        <v>0</v>
      </c>
      <c r="PG135" s="24">
        <v>0</v>
      </c>
      <c r="PH135" s="24">
        <v>0</v>
      </c>
      <c r="PI135" s="24">
        <v>0</v>
      </c>
      <c r="PJ135" s="24">
        <v>0</v>
      </c>
      <c r="PK135" s="24">
        <v>0</v>
      </c>
      <c r="PL135" s="24">
        <v>0</v>
      </c>
      <c r="PM135" s="24">
        <v>0</v>
      </c>
      <c r="PN135" s="24">
        <v>0</v>
      </c>
      <c r="PO135" s="24">
        <v>0</v>
      </c>
      <c r="PP135" s="24">
        <v>0</v>
      </c>
      <c r="PQ135" s="24">
        <v>0</v>
      </c>
      <c r="PR135" s="24">
        <v>0</v>
      </c>
      <c r="PS135" s="24">
        <v>0</v>
      </c>
      <c r="PT135" s="24">
        <v>0</v>
      </c>
      <c r="PU135" s="24">
        <v>0</v>
      </c>
      <c r="PV135" s="24">
        <v>0</v>
      </c>
      <c r="PW135" s="24">
        <v>0</v>
      </c>
      <c r="PX135" s="24">
        <v>0</v>
      </c>
      <c r="PY135" s="24">
        <v>0</v>
      </c>
      <c r="PZ135" s="24">
        <v>0</v>
      </c>
      <c r="QA135" s="24">
        <v>0</v>
      </c>
      <c r="QB135" s="24">
        <v>17314</v>
      </c>
      <c r="QC135" s="24">
        <v>0</v>
      </c>
      <c r="QD135" s="24">
        <v>8909</v>
      </c>
      <c r="QE135" s="24">
        <v>0</v>
      </c>
      <c r="QF135" s="24">
        <v>0</v>
      </c>
      <c r="QG135" s="24">
        <v>0</v>
      </c>
      <c r="QH135" s="24">
        <v>0</v>
      </c>
      <c r="QI135" s="24">
        <v>0</v>
      </c>
      <c r="QJ135" s="24">
        <v>0</v>
      </c>
      <c r="QK135" s="24">
        <v>0</v>
      </c>
      <c r="QL135" s="24">
        <v>0</v>
      </c>
      <c r="QM135" s="24">
        <v>0</v>
      </c>
      <c r="QN135" s="24">
        <v>0</v>
      </c>
      <c r="QO135" s="24">
        <v>0</v>
      </c>
      <c r="QP135" s="24">
        <v>0</v>
      </c>
      <c r="QQ135" s="24">
        <v>0</v>
      </c>
      <c r="QR135" s="24">
        <v>0</v>
      </c>
      <c r="QS135" s="24">
        <v>0</v>
      </c>
      <c r="QT135" s="24">
        <v>0</v>
      </c>
      <c r="QU135" s="24">
        <v>0</v>
      </c>
      <c r="QV135" s="24">
        <v>281143</v>
      </c>
      <c r="QW135" s="24">
        <v>0</v>
      </c>
      <c r="QX135" s="24">
        <v>0</v>
      </c>
      <c r="QY135" s="24">
        <v>0</v>
      </c>
      <c r="QZ135" s="24">
        <v>0</v>
      </c>
      <c r="RA135" s="24">
        <v>0</v>
      </c>
      <c r="RB135" s="24">
        <v>0</v>
      </c>
      <c r="RC135" s="913">
        <v>2</v>
      </c>
      <c r="RG135" s="39">
        <f t="shared" si="248"/>
        <v>2915890</v>
      </c>
      <c r="RH135" s="39">
        <f t="shared" si="249"/>
        <v>115275</v>
      </c>
      <c r="RI135" s="39">
        <f t="shared" si="249"/>
        <v>0</v>
      </c>
      <c r="RJ135" s="39">
        <f t="shared" si="249"/>
        <v>0</v>
      </c>
      <c r="RK135" s="39">
        <f t="shared" si="249"/>
        <v>0</v>
      </c>
      <c r="RL135" s="39">
        <f t="shared" si="249"/>
        <v>282087</v>
      </c>
      <c r="RM135" s="39">
        <f t="shared" si="249"/>
        <v>330681</v>
      </c>
      <c r="RN135" s="39">
        <f t="shared" si="249"/>
        <v>0</v>
      </c>
      <c r="RO135" s="39">
        <f t="shared" si="249"/>
        <v>0</v>
      </c>
      <c r="RP135" s="39">
        <f t="shared" si="249"/>
        <v>40941</v>
      </c>
      <c r="RQ135" s="39">
        <f t="shared" si="249"/>
        <v>0</v>
      </c>
      <c r="RR135" s="39">
        <f t="shared" si="249"/>
        <v>93025</v>
      </c>
      <c r="RS135" s="39"/>
      <c r="RT135" s="182"/>
      <c r="RU135" s="39"/>
      <c r="RV135" s="39">
        <f t="shared" si="246"/>
        <v>169474</v>
      </c>
      <c r="RW135" s="39">
        <f t="shared" si="246"/>
        <v>3777899</v>
      </c>
      <c r="RX135" s="39">
        <f t="shared" si="246"/>
        <v>23469</v>
      </c>
      <c r="RY135" s="39">
        <f t="shared" si="246"/>
        <v>307366</v>
      </c>
      <c r="RZ135" s="39"/>
      <c r="SA135" s="182"/>
      <c r="SB135" s="39"/>
      <c r="SC135" s="25">
        <f t="shared" si="183"/>
        <v>36.727699530516432</v>
      </c>
      <c r="SD135" s="39">
        <f>IFERROR(VLOOKUP(A135, 'Levy Data 15-16'!$B:$O, 3, FALSE), 0)</f>
        <v>0</v>
      </c>
      <c r="SE135" s="39">
        <f t="shared" si="208"/>
        <v>0</v>
      </c>
      <c r="SF135" s="631">
        <f>IFERROR(VLOOKUP(A135, 'Levy Data 15-16'!$B:$O, 14, FALSE), 0)*1000</f>
        <v>0</v>
      </c>
      <c r="SG135" s="39">
        <f t="shared" si="209"/>
        <v>0</v>
      </c>
      <c r="SH135" s="39">
        <f t="shared" si="210"/>
        <v>0</v>
      </c>
      <c r="SI135" s="39">
        <f t="shared" si="211"/>
        <v>23469</v>
      </c>
      <c r="SM135" s="39">
        <f t="shared" si="212"/>
        <v>3777899</v>
      </c>
      <c r="SN135" s="39">
        <f t="shared" si="213"/>
        <v>0</v>
      </c>
      <c r="SO135" s="39">
        <f t="shared" si="184"/>
        <v>3777899</v>
      </c>
      <c r="SP135" s="50">
        <f t="shared" si="250"/>
        <v>1</v>
      </c>
      <c r="ST135" s="124">
        <f>IFERROR(VLOOKUP(A135,'Grade Enroll 15-16'!B:AC,27,FALSE),"")</f>
        <v>639</v>
      </c>
      <c r="SU135" s="124">
        <f t="shared" si="264"/>
        <v>180.42352941176469</v>
      </c>
      <c r="SV135" s="131">
        <f>IFERROR(VLOOKUP($A135, 'Title I Enroll 16-17'!S:V, 4, FALSE), 0)</f>
        <v>0.28235294117647058</v>
      </c>
      <c r="SW135" s="729">
        <f>IFERROR(VLOOKUP(A135, 'ELL Enroll 15-16'!$N:$S, 6, FALSE), 0)</f>
        <v>5</v>
      </c>
      <c r="SX135" s="131">
        <f t="shared" si="251"/>
        <v>7.8247261345852897E-3</v>
      </c>
      <c r="SY135" s="124">
        <f>IFERROR(VLOOKUP(A135, 'SPED enroll 2015-16'!$M:$O, 3, FALSE), 0)</f>
        <v>34</v>
      </c>
      <c r="SZ135" s="131">
        <f t="shared" si="252"/>
        <v>5.3208137715179966E-2</v>
      </c>
      <c r="TA135" s="142">
        <f t="shared" si="253"/>
        <v>23.799999999999997</v>
      </c>
      <c r="TB135" s="142">
        <f t="shared" si="253"/>
        <v>6.8000000000000007</v>
      </c>
      <c r="TC135" s="142">
        <f t="shared" si="253"/>
        <v>2.3800000000000003</v>
      </c>
      <c r="TD135" s="142">
        <f t="shared" si="253"/>
        <v>1.02</v>
      </c>
      <c r="TE135" s="124">
        <f>VLOOKUP($A135, 'Grade Enroll 15-16'!$B:$AB, 20, FALSE)</f>
        <v>0</v>
      </c>
      <c r="TF135" s="124">
        <f>VLOOKUP($A135, 'Grade Enroll 15-16'!$B:$AB, 21, FALSE)</f>
        <v>47</v>
      </c>
      <c r="TG135" s="124">
        <f>VLOOKUP($A135, 'Grade Enroll 15-16'!$B:$AB, 22, FALSE)</f>
        <v>168</v>
      </c>
      <c r="TH135" s="124">
        <f>VLOOKUP($A135, 'Grade Enroll 15-16'!$B:$AB, 23, FALSE)</f>
        <v>198</v>
      </c>
      <c r="TI135" s="124">
        <f>VLOOKUP($A135, 'Grade Enroll 15-16'!$B:$AB, 24, FALSE)</f>
        <v>131</v>
      </c>
      <c r="TJ135" s="124">
        <f>VLOOKUP($A135, 'Grade Enroll 15-16'!$B:$AB, 25, FALSE)</f>
        <v>142</v>
      </c>
      <c r="TK135" s="124">
        <f>VLOOKUP($A135, 'Grade Enroll 15-16'!$B:$AB, 26, FALSE)</f>
        <v>475</v>
      </c>
      <c r="TL135" s="131">
        <f>SUMIFS('Student Achievement 15-16'!N:N, 'Student Achievement 15-16'!B:B, 'Idaho Data'!A135, 'Student Achievement 15-16'!D:D, "math")/100</f>
        <v>0.154</v>
      </c>
      <c r="TM135" s="134">
        <f t="shared" si="186"/>
        <v>98.405999999999992</v>
      </c>
      <c r="TN135" s="131">
        <f>SUMIFS('Student Achievement 15-16'!N:N, 'Student Achievement 15-16'!B:B, 'Idaho Data'!A135, 'Student Achievement 15-16'!D:D, "ela")/100</f>
        <v>8.8000000000000009E-2</v>
      </c>
      <c r="TO135" s="134">
        <f t="shared" si="254"/>
        <v>56.232000000000006</v>
      </c>
      <c r="TP135" s="688">
        <f>IFERROR(VLOOKUP(A135, 'G&amp;T 15-16'!B:G, 6, FALSE), 0)*1</f>
        <v>0</v>
      </c>
      <c r="TQ135" s="168">
        <f t="shared" si="255"/>
        <v>38.339999999999996</v>
      </c>
      <c r="TU135" s="168">
        <f t="shared" si="256"/>
        <v>56.232000000000006</v>
      </c>
      <c r="TV135" s="168">
        <f t="shared" si="257"/>
        <v>98.405999999999992</v>
      </c>
      <c r="TW135" s="205">
        <f t="shared" si="258"/>
        <v>98.405999999999992</v>
      </c>
      <c r="TX135" s="144"/>
      <c r="TY135" s="129"/>
      <c r="TZ135" s="127">
        <f t="shared" si="259"/>
        <v>0</v>
      </c>
      <c r="UA135" s="127">
        <f t="shared" si="260"/>
        <v>38.339999999999996</v>
      </c>
      <c r="UB135" s="205">
        <f t="shared" si="261"/>
        <v>38.339999999999996</v>
      </c>
      <c r="UE135" s="853" t="str">
        <f>IF(ST135&lt;='1. Simulator Input'!$E$104, "yes", "")</f>
        <v/>
      </c>
      <c r="UI135" s="199">
        <f t="shared" si="187"/>
        <v>0</v>
      </c>
      <c r="UJ135" s="200">
        <f>IF('Idaho Data'!SI135&gt;=0, ((1-'1. Simulator Input'!$E$39)*'Idaho Data'!SI135), 0)</f>
        <v>0</v>
      </c>
      <c r="UK135" s="200">
        <f t="shared" si="262"/>
        <v>3777899</v>
      </c>
      <c r="UL135" s="39"/>
      <c r="UM135" s="182"/>
      <c r="UN135" s="39"/>
      <c r="UO135" s="39" t="str">
        <f>IF(AND('1. Simulator Input'!$E$96="yes", '1. Simulator Input'!$E$98="yes", '1. Simulator Input'!$E$100="hold harmless"), 'Idaho Data'!WN135, IF(AND('1. Simulator Input'!$E$96="yes", '1. Simulator Input'!$E$98="no", '1. Simulator Input'!$E$100="hold harmless"), 'Idaho Data'!WM135, IF(AND('1. Simulator Input'!$E$96="yes", '1. Simulator Input'!$E$98="yes", '1. Simulator Input'!$E$100="small district grant"), WL135,IF(AND('1. Simulator Input'!$E$96="yes", '1. Simulator Input'!$E$98="no", '1. Simulator Input'!$E$100="small district grant"), WK135, ""))))</f>
        <v/>
      </c>
      <c r="UP135" s="200">
        <f>'1. Simulator Input'!$D$56*('Idaho Data'!ST135)</f>
        <v>3531114</v>
      </c>
      <c r="UQ135" s="204">
        <f>'1. Simulator Input'!$D$65*'1. Simulator Input'!$D$56*'Idaho Data'!SU135</f>
        <v>0</v>
      </c>
      <c r="UR135" s="204">
        <f>'1. Simulator Input'!$D$66*'1. Simulator Input'!$D$56*'Idaho Data'!SW135</f>
        <v>0</v>
      </c>
      <c r="US135" s="200">
        <f>'1. Simulator Input'!$D$67*'1. Simulator Input'!$D$56*'Idaho Data'!TA135</f>
        <v>0</v>
      </c>
      <c r="UT135" s="200">
        <f>'1. Simulator Input'!$D$68*'1. Simulator Input'!$D$56*'Idaho Data'!TB135</f>
        <v>0</v>
      </c>
      <c r="UU135" s="200">
        <f>'1. Simulator Input'!$D$69*'1. Simulator Input'!$D$56*'Idaho Data'!TC135</f>
        <v>0</v>
      </c>
      <c r="UV135" s="200">
        <f>'1. Simulator Input'!$D$70*'1. Simulator Input'!$D$56*TD135</f>
        <v>0</v>
      </c>
      <c r="UW135" s="200">
        <f>'1. Simulator Input'!$D$80*'1. Simulator Input'!$D$56*TW135</f>
        <v>0</v>
      </c>
      <c r="UX135" s="200">
        <f>'1. Simulator Input'!$D$79*'1. Simulator Input'!$D$56*UB135</f>
        <v>0</v>
      </c>
      <c r="UY135" s="200">
        <f>'1. Simulator Input'!$D$87*'1. Simulator Input'!$D$56*TF135</f>
        <v>129861</v>
      </c>
      <c r="UZ135" s="200">
        <f>'1. Simulator Input'!$D$73*'1. Simulator Input'!$D$56*'Idaho Data'!TG135</f>
        <v>0</v>
      </c>
      <c r="VA135" s="200">
        <f>'1. Simulator Input'!$D$56*'1. Simulator Input'!$D$74*'Idaho Data'!TH135</f>
        <v>0</v>
      </c>
      <c r="VB135" s="200">
        <f>'1. Simulator Input'!$D$56*'1. Simulator Input'!$D$75*'Idaho Data'!TI130</f>
        <v>0</v>
      </c>
      <c r="VC135" s="200">
        <f>'1. Simulator Input'!$D$76*'1. Simulator Input'!$D$56*'Idaho Data'!TJ135</f>
        <v>0</v>
      </c>
      <c r="VD135" s="200">
        <f t="shared" si="188"/>
        <v>3660975</v>
      </c>
      <c r="VE135" s="200"/>
      <c r="VF135" s="182"/>
      <c r="VG135" s="200"/>
      <c r="VH135" s="200">
        <f t="shared" si="189"/>
        <v>0</v>
      </c>
      <c r="VI135" s="200">
        <f t="shared" si="190"/>
        <v>0</v>
      </c>
      <c r="VJ135" s="200">
        <f t="shared" si="214"/>
        <v>3660975</v>
      </c>
      <c r="VK135" s="200">
        <f t="shared" si="215"/>
        <v>3660975</v>
      </c>
      <c r="VL135" s="200"/>
      <c r="VM135" s="182"/>
      <c r="VN135" s="200"/>
      <c r="VO135" s="200">
        <f t="shared" si="191"/>
        <v>169474</v>
      </c>
      <c r="VP135" s="200">
        <f t="shared" si="192"/>
        <v>3777899</v>
      </c>
      <c r="VQ135" s="200">
        <f t="shared" si="193"/>
        <v>23469</v>
      </c>
      <c r="VR135" s="200">
        <f t="shared" si="194"/>
        <v>169474</v>
      </c>
      <c r="VS135" s="200">
        <f t="shared" si="216"/>
        <v>3660975</v>
      </c>
      <c r="VT135" s="200">
        <f t="shared" si="217"/>
        <v>23469</v>
      </c>
      <c r="VU135" s="200">
        <f t="shared" si="218"/>
        <v>0</v>
      </c>
      <c r="VV135" s="200"/>
      <c r="VW135" s="182"/>
      <c r="VX135" s="200"/>
      <c r="VZ135" s="199">
        <f t="shared" si="195"/>
        <v>-116924</v>
      </c>
      <c r="WA135" s="199">
        <f t="shared" si="196"/>
        <v>-182.97965571205009</v>
      </c>
      <c r="WB135" s="131">
        <f t="shared" si="197"/>
        <v>-3.0949477474119875E-2</v>
      </c>
      <c r="WC135" s="131"/>
      <c r="WD135" s="461"/>
      <c r="WE135" s="893"/>
      <c r="WF135" s="893">
        <f t="shared" si="198"/>
        <v>6214.1502347417836</v>
      </c>
      <c r="WG135" s="893">
        <f t="shared" si="199"/>
        <v>6031.1705790297337</v>
      </c>
      <c r="WH135" s="893"/>
      <c r="WI135" s="893">
        <f t="shared" si="200"/>
        <v>3777899</v>
      </c>
      <c r="WJ135" s="893">
        <f t="shared" si="219"/>
        <v>3660975</v>
      </c>
      <c r="WK135" s="39" t="str">
        <f t="shared" si="220"/>
        <v/>
      </c>
      <c r="WL135" s="39" t="str">
        <f t="shared" si="221"/>
        <v/>
      </c>
      <c r="WM135" s="200" t="str">
        <f t="shared" si="222"/>
        <v/>
      </c>
      <c r="WN135" s="39" t="str">
        <f t="shared" si="223"/>
        <v/>
      </c>
      <c r="WO135" s="39"/>
      <c r="WP135" s="182"/>
      <c r="WQ135" s="39"/>
      <c r="WR135" s="305"/>
      <c r="WT135" s="200">
        <f t="shared" si="225"/>
        <v>5912.2050078247257</v>
      </c>
      <c r="WU135" s="131">
        <f t="shared" si="201"/>
        <v>0.3</v>
      </c>
      <c r="WW135" s="199">
        <f t="shared" si="226"/>
        <v>169474</v>
      </c>
      <c r="WX135" s="199">
        <f t="shared" si="227"/>
        <v>3660975</v>
      </c>
      <c r="WY135" s="199">
        <f t="shared" si="228"/>
        <v>0</v>
      </c>
      <c r="WZ135" s="199">
        <f t="shared" si="202"/>
        <v>3660975</v>
      </c>
      <c r="XA135" s="199">
        <f t="shared" si="229"/>
        <v>0</v>
      </c>
      <c r="XB135" s="199">
        <f t="shared" si="230"/>
        <v>23469</v>
      </c>
      <c r="XC135" s="199">
        <f t="shared" si="231"/>
        <v>23469</v>
      </c>
      <c r="XD135" s="199" t="str">
        <f t="shared" si="232"/>
        <v/>
      </c>
      <c r="XE135" s="199"/>
      <c r="XF135" s="199"/>
      <c r="XG135" s="199"/>
      <c r="XH135" s="199"/>
      <c r="XI135" s="199"/>
      <c r="XJ135" s="199">
        <f t="shared" si="203"/>
        <v>3660975</v>
      </c>
      <c r="XP135" s="199">
        <f t="shared" si="233"/>
        <v>3660975</v>
      </c>
      <c r="XQ135" s="199">
        <f t="shared" si="234"/>
        <v>5729.2253521126759</v>
      </c>
      <c r="XR135" s="199">
        <f t="shared" si="235"/>
        <v>3660975</v>
      </c>
      <c r="XS135" s="199">
        <f t="shared" si="236"/>
        <v>3660975</v>
      </c>
      <c r="XT135" s="199">
        <f t="shared" si="237"/>
        <v>5729.2253521126759</v>
      </c>
      <c r="XU135" s="199">
        <f t="shared" si="238"/>
        <v>3777899</v>
      </c>
      <c r="XV135" s="199">
        <f t="shared" si="239"/>
        <v>5912.2050078247257</v>
      </c>
      <c r="XW135" s="199">
        <f t="shared" si="240"/>
        <v>3777899</v>
      </c>
      <c r="XX135" s="199">
        <f t="shared" si="241"/>
        <v>5912.2050078247257</v>
      </c>
      <c r="XY135" s="199">
        <f t="shared" si="204"/>
        <v>-116924</v>
      </c>
      <c r="XZ135" s="199">
        <f t="shared" si="205"/>
        <v>-182.97965571204986</v>
      </c>
      <c r="YA135" s="131">
        <f t="shared" si="263"/>
        <v>-3.094947747411984E-2</v>
      </c>
      <c r="YB135" s="199"/>
      <c r="YC135" s="221"/>
      <c r="YD135" s="199"/>
      <c r="YE135" s="199">
        <f t="shared" si="242"/>
        <v>169474</v>
      </c>
      <c r="YF135" s="200">
        <f t="shared" si="243"/>
        <v>0</v>
      </c>
      <c r="YG135" s="199">
        <f t="shared" si="244"/>
        <v>23469</v>
      </c>
      <c r="YH135" s="199">
        <f t="shared" si="245"/>
        <v>307366</v>
      </c>
    </row>
    <row r="136" spans="1:658">
      <c r="A136" s="3">
        <v>463</v>
      </c>
      <c r="B136" s="2" t="s">
        <v>233</v>
      </c>
      <c r="C136" s="24">
        <v>0</v>
      </c>
      <c r="D136" s="24">
        <v>0</v>
      </c>
      <c r="E136" s="24">
        <v>0</v>
      </c>
      <c r="F136" s="24">
        <v>0</v>
      </c>
      <c r="G136" s="24">
        <v>0</v>
      </c>
      <c r="H136" s="24">
        <v>0</v>
      </c>
      <c r="I136" s="24">
        <v>0</v>
      </c>
      <c r="J136" s="24">
        <v>0</v>
      </c>
      <c r="K136" s="24">
        <v>0</v>
      </c>
      <c r="L136" s="24">
        <v>0</v>
      </c>
      <c r="M136" s="24">
        <v>0</v>
      </c>
      <c r="N136" s="24">
        <v>0</v>
      </c>
      <c r="O136" s="24">
        <v>0</v>
      </c>
      <c r="P136" s="24">
        <v>0</v>
      </c>
      <c r="Q136" s="24">
        <v>0</v>
      </c>
      <c r="R136" s="24">
        <v>0</v>
      </c>
      <c r="S136" s="24">
        <v>0</v>
      </c>
      <c r="T136" s="24">
        <v>0</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AL136" s="24">
        <v>2493</v>
      </c>
      <c r="AM136" s="24">
        <v>0</v>
      </c>
      <c r="AN136" s="24">
        <v>0</v>
      </c>
      <c r="AO136" s="24">
        <v>0</v>
      </c>
      <c r="AP136" s="24">
        <v>0</v>
      </c>
      <c r="AQ136" s="24">
        <v>0</v>
      </c>
      <c r="AR136" s="24">
        <v>0</v>
      </c>
      <c r="AS136" s="24">
        <v>0</v>
      </c>
      <c r="AT136" s="24">
        <v>0</v>
      </c>
      <c r="AU136" s="24">
        <v>0</v>
      </c>
      <c r="AV136" s="24">
        <v>0</v>
      </c>
      <c r="AW136" s="24">
        <v>0</v>
      </c>
      <c r="AX136" s="24">
        <v>0</v>
      </c>
      <c r="AY136" s="24">
        <v>0</v>
      </c>
      <c r="AZ136" s="24">
        <v>0</v>
      </c>
      <c r="BA136" s="24">
        <v>0</v>
      </c>
      <c r="BB136" s="24">
        <v>0</v>
      </c>
      <c r="BC136" s="24">
        <v>0</v>
      </c>
      <c r="BD136" s="24">
        <v>0</v>
      </c>
      <c r="BE136" s="24">
        <v>0</v>
      </c>
      <c r="BF136" s="24">
        <v>0</v>
      </c>
      <c r="BG136" s="24">
        <v>0</v>
      </c>
      <c r="BH136" s="24">
        <v>0</v>
      </c>
      <c r="BI136" s="24">
        <v>0</v>
      </c>
      <c r="BJ136" s="24">
        <v>0</v>
      </c>
      <c r="BK136" s="24">
        <v>0</v>
      </c>
      <c r="BL136" s="24">
        <v>0</v>
      </c>
      <c r="BM136" s="24">
        <v>0</v>
      </c>
      <c r="BN136" s="24">
        <v>0</v>
      </c>
      <c r="BO136" s="24">
        <v>0</v>
      </c>
      <c r="BP136" s="24">
        <v>0</v>
      </c>
      <c r="BQ136" s="24">
        <v>0</v>
      </c>
      <c r="BR136" s="24">
        <v>0</v>
      </c>
      <c r="BS136" s="24">
        <v>0</v>
      </c>
      <c r="BT136" s="24">
        <v>0</v>
      </c>
      <c r="BU136" s="24">
        <v>0</v>
      </c>
      <c r="BV136" s="24">
        <v>0</v>
      </c>
      <c r="BW136" s="24">
        <v>0</v>
      </c>
      <c r="BX136" s="24">
        <v>0</v>
      </c>
      <c r="BY136" s="24">
        <v>0</v>
      </c>
      <c r="BZ136" s="24">
        <v>0</v>
      </c>
      <c r="CA136" s="24">
        <v>0</v>
      </c>
      <c r="CB136" s="24">
        <v>0</v>
      </c>
      <c r="CC136" s="24">
        <v>0</v>
      </c>
      <c r="CD136" s="24">
        <v>13895</v>
      </c>
      <c r="CE136" s="24">
        <v>0</v>
      </c>
      <c r="CF136" s="24">
        <v>0</v>
      </c>
      <c r="CG136" s="24">
        <v>0</v>
      </c>
      <c r="CH136" s="24">
        <v>0</v>
      </c>
      <c r="CI136" s="24">
        <v>0</v>
      </c>
      <c r="CJ136" s="24">
        <v>0</v>
      </c>
      <c r="CK136" s="24">
        <v>0</v>
      </c>
      <c r="CL136" s="24">
        <v>0</v>
      </c>
      <c r="CM136" s="24">
        <v>0</v>
      </c>
      <c r="CN136" s="24">
        <v>0</v>
      </c>
      <c r="CO136" s="24">
        <v>0</v>
      </c>
      <c r="CP136" s="24">
        <v>0</v>
      </c>
      <c r="CQ136" s="24">
        <v>0</v>
      </c>
      <c r="CR136" s="24">
        <v>0</v>
      </c>
      <c r="CS136" s="24">
        <v>0</v>
      </c>
      <c r="CT136" s="24">
        <v>0</v>
      </c>
      <c r="CU136" s="24">
        <v>0</v>
      </c>
      <c r="CV136" s="24">
        <v>0</v>
      </c>
      <c r="CW136" s="24">
        <v>0</v>
      </c>
      <c r="CX136" s="24">
        <v>0</v>
      </c>
      <c r="CY136" s="24">
        <v>0</v>
      </c>
      <c r="CZ136" s="24">
        <v>0</v>
      </c>
      <c r="DA136" s="24">
        <v>0</v>
      </c>
      <c r="DB136" s="24">
        <v>0</v>
      </c>
      <c r="DC136" s="24">
        <v>0</v>
      </c>
      <c r="DD136" s="24">
        <v>0</v>
      </c>
      <c r="DE136" s="24">
        <v>0</v>
      </c>
      <c r="DF136" s="24">
        <v>0</v>
      </c>
      <c r="DG136" s="24">
        <v>0</v>
      </c>
      <c r="DH136" s="24">
        <v>0</v>
      </c>
      <c r="DI136" s="24">
        <v>0</v>
      </c>
      <c r="DJ136" s="24">
        <v>0</v>
      </c>
      <c r="DK136" s="24">
        <v>0</v>
      </c>
      <c r="DL136" s="24">
        <v>0</v>
      </c>
      <c r="DM136" s="24">
        <v>0</v>
      </c>
      <c r="DN136" s="24">
        <v>0</v>
      </c>
      <c r="DO136" s="24">
        <v>0</v>
      </c>
      <c r="DP136" s="24">
        <v>0</v>
      </c>
      <c r="DQ136" s="24">
        <v>0</v>
      </c>
      <c r="DR136" s="24">
        <v>0</v>
      </c>
      <c r="DS136" s="24">
        <v>0</v>
      </c>
      <c r="DT136" s="24">
        <v>0</v>
      </c>
      <c r="DU136" s="24">
        <v>0</v>
      </c>
      <c r="DV136" s="24">
        <v>0</v>
      </c>
      <c r="DW136" s="24">
        <v>0</v>
      </c>
      <c r="DX136" s="24">
        <v>0</v>
      </c>
      <c r="DY136" s="24">
        <v>0</v>
      </c>
      <c r="DZ136" s="24">
        <v>0</v>
      </c>
      <c r="EA136" s="24">
        <v>0</v>
      </c>
      <c r="EB136" s="24">
        <v>0</v>
      </c>
      <c r="EC136" s="24">
        <v>0</v>
      </c>
      <c r="ED136" s="24">
        <v>0</v>
      </c>
      <c r="EE136" s="24">
        <v>0</v>
      </c>
      <c r="EF136" s="24">
        <v>0</v>
      </c>
      <c r="EG136" s="24">
        <v>85278</v>
      </c>
      <c r="EH136" s="24">
        <v>0</v>
      </c>
      <c r="EI136" s="24">
        <v>0</v>
      </c>
      <c r="EJ136" s="24">
        <v>0</v>
      </c>
      <c r="EK136" s="24">
        <v>0</v>
      </c>
      <c r="EL136" s="24">
        <v>0</v>
      </c>
      <c r="EM136" s="24">
        <v>0</v>
      </c>
      <c r="EN136" s="24">
        <v>0</v>
      </c>
      <c r="EO136" s="24">
        <v>0</v>
      </c>
      <c r="EP136" s="24">
        <v>0</v>
      </c>
      <c r="EQ136" s="24">
        <v>0</v>
      </c>
      <c r="ER136" s="24">
        <v>0</v>
      </c>
      <c r="ES136" s="24">
        <v>0</v>
      </c>
      <c r="ET136" s="24">
        <v>0</v>
      </c>
      <c r="EU136" s="24">
        <v>0</v>
      </c>
      <c r="EV136" s="24">
        <v>0</v>
      </c>
      <c r="EW136" s="24">
        <v>0</v>
      </c>
      <c r="EX136" s="24">
        <v>0</v>
      </c>
      <c r="EY136" s="24">
        <v>0</v>
      </c>
      <c r="EZ136" s="24">
        <v>0</v>
      </c>
      <c r="FA136" s="24">
        <v>0</v>
      </c>
      <c r="FB136" s="24">
        <v>0</v>
      </c>
      <c r="FC136" s="24">
        <v>0</v>
      </c>
      <c r="FD136" s="24">
        <v>0</v>
      </c>
      <c r="FE136" s="24">
        <v>0</v>
      </c>
      <c r="FF136" s="24">
        <v>0</v>
      </c>
      <c r="FG136" s="24">
        <v>0</v>
      </c>
      <c r="FH136" s="24">
        <v>0</v>
      </c>
      <c r="FI136" s="24">
        <v>0</v>
      </c>
      <c r="FJ136" s="24">
        <v>0</v>
      </c>
      <c r="FK136" s="24">
        <v>0</v>
      </c>
      <c r="FL136" s="24">
        <v>0</v>
      </c>
      <c r="FM136" s="24">
        <v>0</v>
      </c>
      <c r="FN136" s="24">
        <v>0</v>
      </c>
      <c r="FO136" s="24">
        <v>0</v>
      </c>
      <c r="FP136" s="24">
        <v>0</v>
      </c>
      <c r="FQ136" s="24">
        <v>0</v>
      </c>
      <c r="FR136" s="24">
        <v>0</v>
      </c>
      <c r="FS136" s="24">
        <v>3510</v>
      </c>
      <c r="FT136" s="24">
        <v>0</v>
      </c>
      <c r="FU136" s="24">
        <v>0</v>
      </c>
      <c r="FV136" s="24">
        <v>0</v>
      </c>
      <c r="FW136" s="24">
        <v>0</v>
      </c>
      <c r="FX136" s="24">
        <v>0</v>
      </c>
      <c r="FY136" s="24">
        <v>0</v>
      </c>
      <c r="FZ136" s="24">
        <v>0</v>
      </c>
      <c r="GA136" s="24">
        <v>0</v>
      </c>
      <c r="GB136" s="24">
        <v>0</v>
      </c>
      <c r="GC136" s="24">
        <v>0</v>
      </c>
      <c r="GD136" s="24">
        <v>0</v>
      </c>
      <c r="GE136" s="24">
        <v>0</v>
      </c>
      <c r="GF136" s="24">
        <v>0</v>
      </c>
      <c r="GG136" s="24">
        <v>0</v>
      </c>
      <c r="GH136" s="24">
        <v>0</v>
      </c>
      <c r="GI136" s="24">
        <v>0</v>
      </c>
      <c r="GJ136" s="24">
        <v>0</v>
      </c>
      <c r="GK136" s="24">
        <v>0</v>
      </c>
      <c r="GL136" s="24">
        <v>0</v>
      </c>
      <c r="GM136" s="24">
        <v>0</v>
      </c>
      <c r="GN136" s="24">
        <v>0</v>
      </c>
      <c r="GO136" s="24">
        <v>0</v>
      </c>
      <c r="GP136" s="24">
        <v>0</v>
      </c>
      <c r="GQ136" s="24">
        <v>0</v>
      </c>
      <c r="GR136" s="24">
        <v>0</v>
      </c>
      <c r="GS136" s="24">
        <v>0</v>
      </c>
      <c r="GT136" s="24">
        <v>0</v>
      </c>
      <c r="GU136" s="24">
        <v>0</v>
      </c>
      <c r="GV136" s="24">
        <v>0</v>
      </c>
      <c r="GW136" s="24">
        <v>0</v>
      </c>
      <c r="GX136" s="24">
        <v>0</v>
      </c>
      <c r="GY136" s="24">
        <v>0</v>
      </c>
      <c r="GZ136" s="24">
        <v>0</v>
      </c>
      <c r="HA136" s="24">
        <v>0</v>
      </c>
      <c r="HB136" s="24">
        <v>0</v>
      </c>
      <c r="HC136" s="24">
        <v>0</v>
      </c>
      <c r="HD136" s="24">
        <v>3018864</v>
      </c>
      <c r="HE136" s="24">
        <v>0</v>
      </c>
      <c r="HF136" s="24">
        <v>0</v>
      </c>
      <c r="HG136" s="24">
        <v>0</v>
      </c>
      <c r="HH136" s="24">
        <v>0</v>
      </c>
      <c r="HI136" s="24">
        <v>181500</v>
      </c>
      <c r="HJ136" s="24">
        <v>0</v>
      </c>
      <c r="HK136" s="24">
        <v>0</v>
      </c>
      <c r="HL136" s="24">
        <v>0</v>
      </c>
      <c r="HM136" s="24">
        <v>0</v>
      </c>
      <c r="HN136" s="24">
        <v>0</v>
      </c>
      <c r="HO136" s="24">
        <v>346309</v>
      </c>
      <c r="HP136" s="24">
        <v>305644</v>
      </c>
      <c r="HQ136" s="24">
        <v>0</v>
      </c>
      <c r="HR136" s="24">
        <v>0</v>
      </c>
      <c r="HS136" s="24">
        <v>0</v>
      </c>
      <c r="HT136" s="24">
        <v>0</v>
      </c>
      <c r="HU136" s="24">
        <v>0</v>
      </c>
      <c r="HV136" s="24">
        <v>0</v>
      </c>
      <c r="HW136" s="24">
        <v>0</v>
      </c>
      <c r="HX136" s="24">
        <v>0</v>
      </c>
      <c r="HY136" s="24">
        <v>0</v>
      </c>
      <c r="HZ136" s="24">
        <v>0</v>
      </c>
      <c r="IA136" s="24">
        <v>40500</v>
      </c>
      <c r="IB136" s="24">
        <v>10815</v>
      </c>
      <c r="IC136" s="24">
        <v>0</v>
      </c>
      <c r="ID136" s="24">
        <v>0</v>
      </c>
      <c r="IE136" s="24">
        <v>0</v>
      </c>
      <c r="IF136" s="24">
        <v>0</v>
      </c>
      <c r="IG136" s="24">
        <v>0</v>
      </c>
      <c r="IH136" s="24">
        <v>0</v>
      </c>
      <c r="II136" s="24">
        <v>0</v>
      </c>
      <c r="IJ136" s="24">
        <v>0</v>
      </c>
      <c r="IK136" s="24">
        <v>0</v>
      </c>
      <c r="IL136" s="24">
        <v>0</v>
      </c>
      <c r="IM136" s="24">
        <v>0</v>
      </c>
      <c r="IN136" s="24">
        <v>0</v>
      </c>
      <c r="IO136" s="24">
        <v>0</v>
      </c>
      <c r="IP136" s="24">
        <v>0</v>
      </c>
      <c r="IQ136" s="24">
        <v>0</v>
      </c>
      <c r="IR136" s="24">
        <v>0</v>
      </c>
      <c r="IS136" s="24">
        <v>0</v>
      </c>
      <c r="IT136" s="24">
        <v>0</v>
      </c>
      <c r="IU136" s="24">
        <v>0</v>
      </c>
      <c r="IV136" s="24">
        <v>0</v>
      </c>
      <c r="IW136" s="24">
        <v>40905</v>
      </c>
      <c r="IX136" s="24">
        <v>0</v>
      </c>
      <c r="IY136" s="24">
        <v>0</v>
      </c>
      <c r="IZ136" s="24">
        <v>0</v>
      </c>
      <c r="JA136" s="24">
        <v>0</v>
      </c>
      <c r="JB136" s="24">
        <v>0</v>
      </c>
      <c r="JC136" s="24">
        <v>0</v>
      </c>
      <c r="JD136" s="24">
        <v>0</v>
      </c>
      <c r="JE136" s="24">
        <v>0</v>
      </c>
      <c r="JF136" s="24">
        <v>0</v>
      </c>
      <c r="JG136" s="24">
        <v>0</v>
      </c>
      <c r="JH136" s="24">
        <v>0</v>
      </c>
      <c r="JI136" s="24">
        <v>0</v>
      </c>
      <c r="JJ136" s="24">
        <v>0</v>
      </c>
      <c r="JK136" s="24">
        <v>0</v>
      </c>
      <c r="JL136" s="24">
        <v>0</v>
      </c>
      <c r="JM136" s="24">
        <v>0</v>
      </c>
      <c r="JN136" s="24">
        <v>0</v>
      </c>
      <c r="JO136" s="24">
        <v>0</v>
      </c>
      <c r="JP136" s="24">
        <v>0</v>
      </c>
      <c r="JQ136" s="24">
        <v>0</v>
      </c>
      <c r="JR136" s="24">
        <v>0</v>
      </c>
      <c r="JS136" s="24">
        <v>0</v>
      </c>
      <c r="JT136" s="24">
        <v>0</v>
      </c>
      <c r="JU136" s="24">
        <v>0</v>
      </c>
      <c r="JV136" s="24">
        <v>0</v>
      </c>
      <c r="JW136" s="24">
        <v>0</v>
      </c>
      <c r="JX136" s="24">
        <v>0</v>
      </c>
      <c r="JY136" s="24">
        <v>0</v>
      </c>
      <c r="JZ136" s="24">
        <v>0</v>
      </c>
      <c r="KA136" s="24">
        <v>0</v>
      </c>
      <c r="KB136" s="24">
        <v>0</v>
      </c>
      <c r="KC136" s="24">
        <v>0</v>
      </c>
      <c r="KD136" s="24">
        <v>0</v>
      </c>
      <c r="KE136" s="24">
        <v>0</v>
      </c>
      <c r="KF136" s="24">
        <v>0</v>
      </c>
      <c r="KG136" s="24">
        <v>0</v>
      </c>
      <c r="KH136" s="24">
        <v>0</v>
      </c>
      <c r="KI136" s="24">
        <v>0</v>
      </c>
      <c r="KJ136" s="24">
        <v>0</v>
      </c>
      <c r="KK136" s="24">
        <v>0</v>
      </c>
      <c r="KL136" s="24">
        <v>0</v>
      </c>
      <c r="KM136" s="24">
        <v>0</v>
      </c>
      <c r="KN136" s="24">
        <v>0</v>
      </c>
      <c r="KO136" s="24">
        <v>0</v>
      </c>
      <c r="KP136" s="24">
        <v>0</v>
      </c>
      <c r="KQ136" s="24">
        <v>0</v>
      </c>
      <c r="KR136" s="24">
        <v>0</v>
      </c>
      <c r="KS136" s="24">
        <v>0</v>
      </c>
      <c r="KT136" s="24">
        <v>0</v>
      </c>
      <c r="KU136" s="24">
        <v>0</v>
      </c>
      <c r="KV136" s="24">
        <v>0</v>
      </c>
      <c r="KW136" s="24">
        <v>0</v>
      </c>
      <c r="KX136" s="24">
        <v>0</v>
      </c>
      <c r="KY136" s="24">
        <v>0</v>
      </c>
      <c r="KZ136" s="24">
        <v>0</v>
      </c>
      <c r="LA136" s="24">
        <v>0</v>
      </c>
      <c r="LB136" s="24">
        <v>0</v>
      </c>
      <c r="LC136" s="24">
        <v>0</v>
      </c>
      <c r="LD136" s="24">
        <v>0</v>
      </c>
      <c r="LE136" s="24">
        <v>0</v>
      </c>
      <c r="LF136" s="24">
        <v>0</v>
      </c>
      <c r="LG136" s="24">
        <v>0</v>
      </c>
      <c r="LH136" s="24">
        <v>0</v>
      </c>
      <c r="LI136" s="24">
        <v>0</v>
      </c>
      <c r="LJ136" s="24">
        <v>0</v>
      </c>
      <c r="LK136" s="24">
        <v>0</v>
      </c>
      <c r="LL136" s="24">
        <v>0</v>
      </c>
      <c r="LM136" s="24">
        <v>0</v>
      </c>
      <c r="LN136" s="24">
        <v>0</v>
      </c>
      <c r="LO136" s="24">
        <v>0</v>
      </c>
      <c r="LP136" s="24">
        <v>0</v>
      </c>
      <c r="LQ136" s="24">
        <v>79196</v>
      </c>
      <c r="LR136" s="24">
        <v>0</v>
      </c>
      <c r="LS136" s="24">
        <v>0</v>
      </c>
      <c r="LT136" s="24">
        <v>0</v>
      </c>
      <c r="LU136" s="24">
        <v>0</v>
      </c>
      <c r="LV136" s="24">
        <v>0</v>
      </c>
      <c r="LW136" s="24">
        <v>0</v>
      </c>
      <c r="LX136" s="24">
        <v>0</v>
      </c>
      <c r="LY136" s="24">
        <v>0</v>
      </c>
      <c r="LZ136" s="24">
        <v>0</v>
      </c>
      <c r="MA136" s="24">
        <v>0</v>
      </c>
      <c r="MB136" s="24">
        <v>0</v>
      </c>
      <c r="MC136" s="24">
        <v>0</v>
      </c>
      <c r="MD136" s="24">
        <v>0</v>
      </c>
      <c r="ME136" s="24">
        <v>0</v>
      </c>
      <c r="MF136" s="24">
        <v>0</v>
      </c>
      <c r="MG136" s="24">
        <v>0</v>
      </c>
      <c r="MH136" s="24">
        <v>0</v>
      </c>
      <c r="MI136" s="24">
        <v>0</v>
      </c>
      <c r="MJ136" s="24">
        <v>0</v>
      </c>
      <c r="MK136" s="24">
        <v>0</v>
      </c>
      <c r="ML136" s="24">
        <v>0</v>
      </c>
      <c r="MM136" s="24">
        <v>0</v>
      </c>
      <c r="MN136" s="24">
        <v>0</v>
      </c>
      <c r="MO136" s="24">
        <v>0</v>
      </c>
      <c r="MP136" s="24">
        <v>0</v>
      </c>
      <c r="MQ136" s="24">
        <v>0</v>
      </c>
      <c r="MR136" s="24">
        <v>86152</v>
      </c>
      <c r="MS136" s="24">
        <v>0</v>
      </c>
      <c r="MT136" s="24">
        <v>0</v>
      </c>
      <c r="MU136" s="24">
        <v>0</v>
      </c>
      <c r="MV136" s="24">
        <v>0</v>
      </c>
      <c r="MW136" s="24">
        <v>87348</v>
      </c>
      <c r="MX136" s="24">
        <v>0</v>
      </c>
      <c r="MY136" s="24">
        <v>0</v>
      </c>
      <c r="MZ136" s="24">
        <v>0</v>
      </c>
      <c r="NA136" s="24">
        <v>0</v>
      </c>
      <c r="NB136" s="24">
        <v>0</v>
      </c>
      <c r="NC136" s="24">
        <v>0</v>
      </c>
      <c r="ND136" s="24">
        <v>0</v>
      </c>
      <c r="NE136" s="24">
        <v>0</v>
      </c>
      <c r="NF136" s="24">
        <v>0</v>
      </c>
      <c r="NG136" s="24">
        <v>0</v>
      </c>
      <c r="NH136" s="24">
        <v>0</v>
      </c>
      <c r="NI136" s="24">
        <v>0</v>
      </c>
      <c r="NJ136" s="24">
        <v>0</v>
      </c>
      <c r="NK136" s="24">
        <v>0</v>
      </c>
      <c r="NL136" s="24">
        <v>0</v>
      </c>
      <c r="NM136" s="24">
        <v>0</v>
      </c>
      <c r="NN136" s="24">
        <v>0</v>
      </c>
      <c r="NO136" s="24">
        <v>0</v>
      </c>
      <c r="NP136" s="24">
        <v>0</v>
      </c>
      <c r="NQ136" s="24">
        <v>0</v>
      </c>
      <c r="NR136" s="24">
        <v>0</v>
      </c>
      <c r="NS136" s="24">
        <v>0</v>
      </c>
      <c r="NT136" s="24">
        <v>0</v>
      </c>
      <c r="NU136" s="24">
        <v>0</v>
      </c>
      <c r="NV136" s="24">
        <v>17523</v>
      </c>
      <c r="NW136" s="24">
        <v>0</v>
      </c>
      <c r="NX136" s="24">
        <v>0</v>
      </c>
      <c r="NY136" s="24">
        <v>0</v>
      </c>
      <c r="NZ136" s="24">
        <v>0</v>
      </c>
      <c r="OA136" s="24">
        <v>0</v>
      </c>
      <c r="OB136" s="24">
        <v>0</v>
      </c>
      <c r="OC136" s="24">
        <v>0</v>
      </c>
      <c r="OD136" s="24">
        <v>0</v>
      </c>
      <c r="OE136" s="24">
        <v>0</v>
      </c>
      <c r="OF136" s="24">
        <v>0</v>
      </c>
      <c r="OG136" s="24">
        <v>0</v>
      </c>
      <c r="OH136" s="24">
        <v>0</v>
      </c>
      <c r="OI136" s="24">
        <v>0</v>
      </c>
      <c r="OJ136" s="24">
        <v>0</v>
      </c>
      <c r="OK136" s="24">
        <v>0</v>
      </c>
      <c r="OL136" s="24">
        <v>0</v>
      </c>
      <c r="OM136" s="24">
        <v>0</v>
      </c>
      <c r="ON136" s="24">
        <v>0</v>
      </c>
      <c r="OO136" s="24">
        <v>0</v>
      </c>
      <c r="OP136" s="24">
        <v>0</v>
      </c>
      <c r="OQ136" s="24">
        <v>0</v>
      </c>
      <c r="OR136" s="24">
        <v>0</v>
      </c>
      <c r="OS136" s="24">
        <v>0</v>
      </c>
      <c r="OT136" s="24">
        <v>0</v>
      </c>
      <c r="OU136" s="24">
        <v>0</v>
      </c>
      <c r="OV136" s="24">
        <v>0</v>
      </c>
      <c r="OW136" s="24">
        <v>0</v>
      </c>
      <c r="OX136" s="24">
        <v>0</v>
      </c>
      <c r="OY136" s="24">
        <v>0</v>
      </c>
      <c r="OZ136" s="24">
        <v>0</v>
      </c>
      <c r="PA136" s="24">
        <v>0</v>
      </c>
      <c r="PB136" s="24">
        <v>0</v>
      </c>
      <c r="PC136" s="24">
        <v>0</v>
      </c>
      <c r="PD136" s="24">
        <v>0</v>
      </c>
      <c r="PE136" s="24">
        <v>0</v>
      </c>
      <c r="PF136" s="24">
        <v>0</v>
      </c>
      <c r="PG136" s="24">
        <v>0</v>
      </c>
      <c r="PH136" s="24">
        <v>0</v>
      </c>
      <c r="PI136" s="24">
        <v>0</v>
      </c>
      <c r="PJ136" s="24">
        <v>0</v>
      </c>
      <c r="PK136" s="24">
        <v>0</v>
      </c>
      <c r="PL136" s="24">
        <v>0</v>
      </c>
      <c r="PM136" s="24">
        <v>0</v>
      </c>
      <c r="PN136" s="24">
        <v>0</v>
      </c>
      <c r="PO136" s="24">
        <v>0</v>
      </c>
      <c r="PP136" s="24">
        <v>0</v>
      </c>
      <c r="PQ136" s="24">
        <v>0</v>
      </c>
      <c r="PR136" s="24">
        <v>0</v>
      </c>
      <c r="PS136" s="24">
        <v>0</v>
      </c>
      <c r="PT136" s="24">
        <v>0</v>
      </c>
      <c r="PU136" s="24">
        <v>0</v>
      </c>
      <c r="PV136" s="24">
        <v>0</v>
      </c>
      <c r="PW136" s="24">
        <v>0</v>
      </c>
      <c r="PX136" s="24">
        <v>0</v>
      </c>
      <c r="PY136" s="24">
        <v>0</v>
      </c>
      <c r="PZ136" s="24">
        <v>0</v>
      </c>
      <c r="QA136" s="24">
        <v>0</v>
      </c>
      <c r="QB136" s="24">
        <v>0</v>
      </c>
      <c r="QC136" s="24">
        <v>0</v>
      </c>
      <c r="QD136" s="24">
        <v>0</v>
      </c>
      <c r="QE136" s="24">
        <v>0</v>
      </c>
      <c r="QF136" s="24">
        <v>0</v>
      </c>
      <c r="QG136" s="24">
        <v>0</v>
      </c>
      <c r="QH136" s="24">
        <v>0</v>
      </c>
      <c r="QI136" s="24">
        <v>0</v>
      </c>
      <c r="QJ136" s="24">
        <v>0</v>
      </c>
      <c r="QK136" s="24">
        <v>0</v>
      </c>
      <c r="QL136" s="24">
        <v>0</v>
      </c>
      <c r="QM136" s="24">
        <v>0</v>
      </c>
      <c r="QN136" s="24">
        <v>0</v>
      </c>
      <c r="QO136" s="24">
        <v>0</v>
      </c>
      <c r="QP136" s="24">
        <v>0</v>
      </c>
      <c r="QQ136" s="24">
        <v>0</v>
      </c>
      <c r="QR136" s="24">
        <v>0</v>
      </c>
      <c r="QS136" s="24">
        <v>0</v>
      </c>
      <c r="QT136" s="24">
        <v>0</v>
      </c>
      <c r="QU136" s="24">
        <v>0</v>
      </c>
      <c r="QV136" s="24">
        <v>0</v>
      </c>
      <c r="QW136" s="24">
        <v>0</v>
      </c>
      <c r="QX136" s="24">
        <v>0</v>
      </c>
      <c r="QY136" s="24">
        <v>0</v>
      </c>
      <c r="QZ136" s="24">
        <v>0</v>
      </c>
      <c r="RA136" s="24">
        <v>0</v>
      </c>
      <c r="RB136" s="24">
        <v>0</v>
      </c>
      <c r="RC136" s="913">
        <v>2</v>
      </c>
      <c r="RG136" s="39">
        <f t="shared" si="248"/>
        <v>3018864</v>
      </c>
      <c r="RH136" s="39">
        <f t="shared" si="249"/>
        <v>181500</v>
      </c>
      <c r="RI136" s="39">
        <f t="shared" si="249"/>
        <v>0</v>
      </c>
      <c r="RJ136" s="39">
        <f t="shared" si="249"/>
        <v>0</v>
      </c>
      <c r="RK136" s="39">
        <f t="shared" si="249"/>
        <v>0</v>
      </c>
      <c r="RL136" s="39">
        <f t="shared" si="249"/>
        <v>346309</v>
      </c>
      <c r="RM136" s="39">
        <f t="shared" si="249"/>
        <v>356959</v>
      </c>
      <c r="RN136" s="39">
        <f t="shared" si="249"/>
        <v>0</v>
      </c>
      <c r="RO136" s="39">
        <f t="shared" si="249"/>
        <v>0</v>
      </c>
      <c r="RP136" s="39">
        <f t="shared" si="249"/>
        <v>40905</v>
      </c>
      <c r="RQ136" s="39">
        <f t="shared" si="249"/>
        <v>0</v>
      </c>
      <c r="RR136" s="39">
        <f t="shared" si="249"/>
        <v>0</v>
      </c>
      <c r="RS136" s="39"/>
      <c r="RT136" s="182"/>
      <c r="RU136" s="39"/>
      <c r="RV136" s="39">
        <f t="shared" si="246"/>
        <v>270219</v>
      </c>
      <c r="RW136" s="39">
        <f t="shared" si="246"/>
        <v>3944537</v>
      </c>
      <c r="RX136" s="39">
        <f t="shared" si="246"/>
        <v>105176</v>
      </c>
      <c r="RY136" s="39">
        <f t="shared" si="246"/>
        <v>0</v>
      </c>
      <c r="RZ136" s="39"/>
      <c r="SA136" s="182"/>
      <c r="SB136" s="39"/>
      <c r="SC136" s="25">
        <f t="shared" si="183"/>
        <v>167.74481658692184</v>
      </c>
      <c r="SD136" s="39">
        <f>IFERROR(VLOOKUP(A136, 'Levy Data 15-16'!$B:$O, 3, FALSE), 0)</f>
        <v>0</v>
      </c>
      <c r="SE136" s="39">
        <f t="shared" si="208"/>
        <v>0</v>
      </c>
      <c r="SF136" s="631">
        <f>IFERROR(VLOOKUP(A136, 'Levy Data 15-16'!$B:$O, 14, FALSE), 0)*1000</f>
        <v>0</v>
      </c>
      <c r="SG136" s="39">
        <f t="shared" si="209"/>
        <v>0</v>
      </c>
      <c r="SH136" s="39">
        <f t="shared" si="210"/>
        <v>0</v>
      </c>
      <c r="SI136" s="39">
        <f t="shared" si="211"/>
        <v>105176</v>
      </c>
      <c r="SM136" s="39">
        <f t="shared" si="212"/>
        <v>3944537</v>
      </c>
      <c r="SN136" s="39">
        <f t="shared" si="213"/>
        <v>0</v>
      </c>
      <c r="SO136" s="39">
        <f t="shared" si="184"/>
        <v>3944537</v>
      </c>
      <c r="SP136" s="50">
        <f t="shared" si="250"/>
        <v>1</v>
      </c>
      <c r="ST136" s="124">
        <f>IFERROR(VLOOKUP(A136,'Grade Enroll 15-16'!B:AC,27,FALSE),"")</f>
        <v>627</v>
      </c>
      <c r="SU136" s="124">
        <f t="shared" si="264"/>
        <v>268.98206278026908</v>
      </c>
      <c r="SV136" s="131">
        <f>IFERROR(VLOOKUP($A136, 'Title I Enroll 16-17'!S:V, 4, FALSE), 0)</f>
        <v>0.42899850523168909</v>
      </c>
      <c r="SW136" s="729">
        <f>IFERROR(VLOOKUP(A136, 'ELL Enroll 15-16'!$N:$S, 6, FALSE), 0)</f>
        <v>5</v>
      </c>
      <c r="SX136" s="131">
        <f t="shared" si="251"/>
        <v>7.9744816586921844E-3</v>
      </c>
      <c r="SY136" s="124">
        <f>IFERROR(VLOOKUP(A136, 'SPED enroll 2015-16'!$M:$O, 3, FALSE), 0)</f>
        <v>45</v>
      </c>
      <c r="SZ136" s="131">
        <f t="shared" si="252"/>
        <v>7.1770334928229665E-2</v>
      </c>
      <c r="TA136" s="142">
        <f t="shared" si="253"/>
        <v>31.499999999999996</v>
      </c>
      <c r="TB136" s="142">
        <f t="shared" si="253"/>
        <v>9</v>
      </c>
      <c r="TC136" s="142">
        <f t="shared" si="253"/>
        <v>3.1500000000000004</v>
      </c>
      <c r="TD136" s="142">
        <f t="shared" si="253"/>
        <v>1.3499999999999999</v>
      </c>
      <c r="TE136" s="124">
        <f>VLOOKUP($A136, 'Grade Enroll 15-16'!$B:$AB, 20, FALSE)</f>
        <v>0</v>
      </c>
      <c r="TF136" s="124">
        <f>VLOOKUP($A136, 'Grade Enroll 15-16'!$B:$AB, 21, FALSE)</f>
        <v>43</v>
      </c>
      <c r="TG136" s="124">
        <f>VLOOKUP($A136, 'Grade Enroll 15-16'!$B:$AB, 22, FALSE)</f>
        <v>171</v>
      </c>
      <c r="TH136" s="124">
        <f>VLOOKUP($A136, 'Grade Enroll 15-16'!$B:$AB, 23, FALSE)</f>
        <v>185</v>
      </c>
      <c r="TI136" s="124">
        <f>VLOOKUP($A136, 'Grade Enroll 15-16'!$B:$AB, 24, FALSE)</f>
        <v>122</v>
      </c>
      <c r="TJ136" s="124">
        <f>VLOOKUP($A136, 'Grade Enroll 15-16'!$B:$AB, 25, FALSE)</f>
        <v>149</v>
      </c>
      <c r="TK136" s="124">
        <f>VLOOKUP($A136, 'Grade Enroll 15-16'!$B:$AB, 26, FALSE)</f>
        <v>448</v>
      </c>
      <c r="TL136" s="131">
        <f>SUMIFS('Student Achievement 15-16'!N:N, 'Student Achievement 15-16'!B:B, 'Idaho Data'!A136, 'Student Achievement 15-16'!D:D, "math")/100</f>
        <v>0.152</v>
      </c>
      <c r="TM136" s="134">
        <f t="shared" si="186"/>
        <v>95.304000000000002</v>
      </c>
      <c r="TN136" s="131">
        <f>SUMIFS('Student Achievement 15-16'!N:N, 'Student Achievement 15-16'!B:B, 'Idaho Data'!A136, 'Student Achievement 15-16'!D:D, "ela")/100</f>
        <v>0.125</v>
      </c>
      <c r="TO136" s="134">
        <f t="shared" si="254"/>
        <v>78.375</v>
      </c>
      <c r="TP136" s="688">
        <f>IFERROR(VLOOKUP(A136, 'G&amp;T 15-16'!B:G, 6, FALSE), 0)*1</f>
        <v>30</v>
      </c>
      <c r="TQ136" s="168">
        <f t="shared" si="255"/>
        <v>37.619999999999997</v>
      </c>
      <c r="TU136" s="168">
        <f t="shared" si="256"/>
        <v>78.375</v>
      </c>
      <c r="TV136" s="168">
        <f t="shared" si="257"/>
        <v>95.304000000000002</v>
      </c>
      <c r="TW136" s="205">
        <f t="shared" si="258"/>
        <v>95.304000000000002</v>
      </c>
      <c r="TX136" s="144"/>
      <c r="TY136" s="129"/>
      <c r="TZ136" s="127">
        <f t="shared" si="259"/>
        <v>30</v>
      </c>
      <c r="UA136" s="127">
        <f t="shared" si="260"/>
        <v>37.619999999999997</v>
      </c>
      <c r="UB136" s="205">
        <f t="shared" si="261"/>
        <v>37.619999999999997</v>
      </c>
      <c r="UE136" s="853" t="str">
        <f>IF(ST136&lt;='1. Simulator Input'!$E$104, "yes", "")</f>
        <v/>
      </c>
      <c r="UI136" s="199">
        <f t="shared" si="187"/>
        <v>0</v>
      </c>
      <c r="UJ136" s="200">
        <f>IF('Idaho Data'!SI136&gt;=0, ((1-'1. Simulator Input'!$E$39)*'Idaho Data'!SI136), 0)</f>
        <v>0</v>
      </c>
      <c r="UK136" s="200">
        <f t="shared" si="262"/>
        <v>3944537</v>
      </c>
      <c r="UL136" s="39"/>
      <c r="UM136" s="182"/>
      <c r="UN136" s="39"/>
      <c r="UO136" s="39" t="str">
        <f>IF(AND('1. Simulator Input'!$E$96="yes", '1. Simulator Input'!$E$98="yes", '1. Simulator Input'!$E$100="hold harmless"), 'Idaho Data'!WN136, IF(AND('1. Simulator Input'!$E$96="yes", '1. Simulator Input'!$E$98="no", '1. Simulator Input'!$E$100="hold harmless"), 'Idaho Data'!WM136, IF(AND('1. Simulator Input'!$E$96="yes", '1. Simulator Input'!$E$98="yes", '1. Simulator Input'!$E$100="small district grant"), WL136,IF(AND('1. Simulator Input'!$E$96="yes", '1. Simulator Input'!$E$98="no", '1. Simulator Input'!$E$100="small district grant"), WK136, ""))))</f>
        <v/>
      </c>
      <c r="UP136" s="200">
        <f>'1. Simulator Input'!$D$56*('Idaho Data'!ST136)</f>
        <v>3464802</v>
      </c>
      <c r="UQ136" s="204">
        <f>'1. Simulator Input'!$D$65*'1. Simulator Input'!$D$56*'Idaho Data'!SU136</f>
        <v>0</v>
      </c>
      <c r="UR136" s="204">
        <f>'1. Simulator Input'!$D$66*'1. Simulator Input'!$D$56*'Idaho Data'!SW136</f>
        <v>0</v>
      </c>
      <c r="US136" s="200">
        <f>'1. Simulator Input'!$D$67*'1. Simulator Input'!$D$56*'Idaho Data'!TA136</f>
        <v>0</v>
      </c>
      <c r="UT136" s="200">
        <f>'1. Simulator Input'!$D$68*'1. Simulator Input'!$D$56*'Idaho Data'!TB136</f>
        <v>0</v>
      </c>
      <c r="UU136" s="200">
        <f>'1. Simulator Input'!$D$69*'1. Simulator Input'!$D$56*'Idaho Data'!TC136</f>
        <v>0</v>
      </c>
      <c r="UV136" s="200">
        <f>'1. Simulator Input'!$D$70*'1. Simulator Input'!$D$56*TD136</f>
        <v>0</v>
      </c>
      <c r="UW136" s="200">
        <f>'1. Simulator Input'!$D$80*'1. Simulator Input'!$D$56*TW136</f>
        <v>0</v>
      </c>
      <c r="UX136" s="200">
        <f>'1. Simulator Input'!$D$79*'1. Simulator Input'!$D$56*UB136</f>
        <v>0</v>
      </c>
      <c r="UY136" s="200">
        <f>'1. Simulator Input'!$D$87*'1. Simulator Input'!$D$56*TF136</f>
        <v>118809</v>
      </c>
      <c r="UZ136" s="200">
        <f>'1. Simulator Input'!$D$73*'1. Simulator Input'!$D$56*'Idaho Data'!TG136</f>
        <v>0</v>
      </c>
      <c r="VA136" s="200">
        <f>'1. Simulator Input'!$D$56*'1. Simulator Input'!$D$74*'Idaho Data'!TH136</f>
        <v>0</v>
      </c>
      <c r="VB136" s="200">
        <f>'1. Simulator Input'!$D$56*'1. Simulator Input'!$D$75*'Idaho Data'!TI131</f>
        <v>0</v>
      </c>
      <c r="VC136" s="200">
        <f>'1. Simulator Input'!$D$76*'1. Simulator Input'!$D$56*'Idaho Data'!TJ136</f>
        <v>0</v>
      </c>
      <c r="VD136" s="200">
        <f t="shared" si="188"/>
        <v>3583611</v>
      </c>
      <c r="VE136" s="200"/>
      <c r="VF136" s="182"/>
      <c r="VG136" s="200"/>
      <c r="VH136" s="200">
        <f t="shared" si="189"/>
        <v>0</v>
      </c>
      <c r="VI136" s="200">
        <f t="shared" si="190"/>
        <v>0</v>
      </c>
      <c r="VJ136" s="200">
        <f t="shared" si="214"/>
        <v>3583611</v>
      </c>
      <c r="VK136" s="200">
        <f t="shared" si="215"/>
        <v>3583611</v>
      </c>
      <c r="VL136" s="200"/>
      <c r="VM136" s="182"/>
      <c r="VN136" s="200"/>
      <c r="VO136" s="200">
        <f t="shared" si="191"/>
        <v>270219</v>
      </c>
      <c r="VP136" s="200">
        <f t="shared" si="192"/>
        <v>3944537</v>
      </c>
      <c r="VQ136" s="200">
        <f t="shared" si="193"/>
        <v>105176</v>
      </c>
      <c r="VR136" s="200">
        <f t="shared" si="194"/>
        <v>270219</v>
      </c>
      <c r="VS136" s="200">
        <f t="shared" si="216"/>
        <v>3583611</v>
      </c>
      <c r="VT136" s="200">
        <f t="shared" si="217"/>
        <v>105176</v>
      </c>
      <c r="VU136" s="200">
        <f t="shared" si="218"/>
        <v>0</v>
      </c>
      <c r="VV136" s="200"/>
      <c r="VW136" s="182"/>
      <c r="VX136" s="200"/>
      <c r="VZ136" s="199">
        <f t="shared" si="195"/>
        <v>-360926</v>
      </c>
      <c r="WA136" s="199">
        <f t="shared" si="196"/>
        <v>-575.63955342902716</v>
      </c>
      <c r="WB136" s="131">
        <f t="shared" si="197"/>
        <v>-9.1500219163871452E-2</v>
      </c>
      <c r="WC136" s="131"/>
      <c r="WD136" s="461"/>
      <c r="WE136" s="893"/>
      <c r="WF136" s="893">
        <f t="shared" si="198"/>
        <v>6889.8437001594893</v>
      </c>
      <c r="WG136" s="893">
        <f t="shared" si="199"/>
        <v>6314.2041467304625</v>
      </c>
      <c r="WH136" s="893"/>
      <c r="WI136" s="893">
        <f t="shared" si="200"/>
        <v>3944537</v>
      </c>
      <c r="WJ136" s="893">
        <f t="shared" si="219"/>
        <v>3583611</v>
      </c>
      <c r="WK136" s="39" t="str">
        <f t="shared" si="220"/>
        <v/>
      </c>
      <c r="WL136" s="39" t="str">
        <f t="shared" si="221"/>
        <v/>
      </c>
      <c r="WM136" s="200" t="str">
        <f t="shared" si="222"/>
        <v/>
      </c>
      <c r="WN136" s="39" t="str">
        <f t="shared" si="223"/>
        <v/>
      </c>
      <c r="WO136" s="39"/>
      <c r="WP136" s="182"/>
      <c r="WQ136" s="39"/>
      <c r="WR136" s="305"/>
      <c r="WT136" s="200">
        <f t="shared" si="225"/>
        <v>6291.1275917065386</v>
      </c>
      <c r="WU136" s="131">
        <f t="shared" si="201"/>
        <v>0.45</v>
      </c>
      <c r="WW136" s="199">
        <f t="shared" si="226"/>
        <v>270219</v>
      </c>
      <c r="WX136" s="199">
        <f t="shared" si="227"/>
        <v>3583611</v>
      </c>
      <c r="WY136" s="199">
        <f t="shared" si="228"/>
        <v>0</v>
      </c>
      <c r="WZ136" s="199">
        <f t="shared" si="202"/>
        <v>3583611</v>
      </c>
      <c r="XA136" s="199">
        <f t="shared" si="229"/>
        <v>0</v>
      </c>
      <c r="XB136" s="199">
        <f t="shared" si="230"/>
        <v>105176</v>
      </c>
      <c r="XC136" s="199">
        <f t="shared" si="231"/>
        <v>105176</v>
      </c>
      <c r="XD136" s="199" t="str">
        <f t="shared" si="232"/>
        <v/>
      </c>
      <c r="XE136" s="199"/>
      <c r="XF136" s="199"/>
      <c r="XG136" s="199"/>
      <c r="XH136" s="199"/>
      <c r="XI136" s="199"/>
      <c r="XJ136" s="199">
        <f t="shared" si="203"/>
        <v>3583611</v>
      </c>
      <c r="XP136" s="199">
        <f t="shared" si="233"/>
        <v>3583611</v>
      </c>
      <c r="XQ136" s="199">
        <f t="shared" si="234"/>
        <v>5715.4880382775118</v>
      </c>
      <c r="XR136" s="199">
        <f t="shared" si="235"/>
        <v>3583611</v>
      </c>
      <c r="XS136" s="199">
        <f t="shared" si="236"/>
        <v>3583611</v>
      </c>
      <c r="XT136" s="199">
        <f t="shared" si="237"/>
        <v>5715.4880382775118</v>
      </c>
      <c r="XU136" s="199">
        <f t="shared" si="238"/>
        <v>3944537</v>
      </c>
      <c r="XV136" s="199">
        <f t="shared" si="239"/>
        <v>6291.1275917065386</v>
      </c>
      <c r="XW136" s="199">
        <f t="shared" si="240"/>
        <v>3944537</v>
      </c>
      <c r="XX136" s="199">
        <f t="shared" si="241"/>
        <v>6291.1275917065386</v>
      </c>
      <c r="XY136" s="199">
        <f t="shared" si="204"/>
        <v>-360926</v>
      </c>
      <c r="XZ136" s="199">
        <f t="shared" si="205"/>
        <v>-575.63955342902682</v>
      </c>
      <c r="YA136" s="131">
        <f t="shared" si="263"/>
        <v>-9.150021916387141E-2</v>
      </c>
      <c r="YB136" s="199"/>
      <c r="YC136" s="221"/>
      <c r="YD136" s="199"/>
      <c r="YE136" s="199">
        <f t="shared" si="242"/>
        <v>270219</v>
      </c>
      <c r="YF136" s="200">
        <f t="shared" si="243"/>
        <v>0</v>
      </c>
      <c r="YG136" s="199">
        <f t="shared" si="244"/>
        <v>105176</v>
      </c>
      <c r="YH136" s="199">
        <f t="shared" si="245"/>
        <v>0</v>
      </c>
    </row>
    <row r="137" spans="1:658">
      <c r="A137" s="3">
        <v>464</v>
      </c>
      <c r="B137" s="2" t="s">
        <v>1484</v>
      </c>
      <c r="C137" s="24">
        <v>0</v>
      </c>
      <c r="D137" s="24">
        <v>0</v>
      </c>
      <c r="E137" s="24">
        <v>0</v>
      </c>
      <c r="F137" s="24">
        <v>0</v>
      </c>
      <c r="G137" s="24">
        <v>0</v>
      </c>
      <c r="H137" s="24">
        <v>0</v>
      </c>
      <c r="I137" s="24">
        <v>0</v>
      </c>
      <c r="J137" s="24">
        <v>0</v>
      </c>
      <c r="K137" s="24">
        <v>0</v>
      </c>
      <c r="L137" s="24">
        <v>0</v>
      </c>
      <c r="M137" s="24">
        <v>0</v>
      </c>
      <c r="N137" s="24">
        <v>0</v>
      </c>
      <c r="O137" s="24">
        <v>0</v>
      </c>
      <c r="P137" s="24">
        <v>0</v>
      </c>
      <c r="Q137" s="24">
        <v>0</v>
      </c>
      <c r="R137" s="24">
        <v>0</v>
      </c>
      <c r="S137" s="24">
        <v>0</v>
      </c>
      <c r="T137" s="24">
        <v>0</v>
      </c>
      <c r="U137" s="24">
        <v>0</v>
      </c>
      <c r="V137" s="24">
        <v>0</v>
      </c>
      <c r="W137" s="24">
        <v>0</v>
      </c>
      <c r="X137" s="24">
        <v>0</v>
      </c>
      <c r="Y137" s="24">
        <v>0</v>
      </c>
      <c r="Z137" s="24">
        <v>0</v>
      </c>
      <c r="AA137" s="24">
        <v>0</v>
      </c>
      <c r="AB137" s="24">
        <v>0</v>
      </c>
      <c r="AC137" s="24">
        <v>0</v>
      </c>
      <c r="AD137" s="24">
        <v>28320</v>
      </c>
      <c r="AE137" s="24">
        <v>0</v>
      </c>
      <c r="AF137" s="24">
        <v>0</v>
      </c>
      <c r="AG137" s="24">
        <v>0</v>
      </c>
      <c r="AH137" s="24">
        <v>0</v>
      </c>
      <c r="AI137" s="24">
        <v>0</v>
      </c>
      <c r="AJ137" s="24">
        <v>0</v>
      </c>
      <c r="AK137" s="24">
        <v>0</v>
      </c>
      <c r="AL137" s="24">
        <v>2384</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c r="BE137" s="24">
        <v>0</v>
      </c>
      <c r="BF137" s="24">
        <v>0</v>
      </c>
      <c r="BG137" s="24">
        <v>0</v>
      </c>
      <c r="BH137" s="24">
        <v>0</v>
      </c>
      <c r="BI137" s="24">
        <v>0</v>
      </c>
      <c r="BJ137" s="24">
        <v>0</v>
      </c>
      <c r="BK137" s="24">
        <v>0</v>
      </c>
      <c r="BL137" s="24">
        <v>0</v>
      </c>
      <c r="BM137" s="24">
        <v>0</v>
      </c>
      <c r="BN137" s="24">
        <v>0</v>
      </c>
      <c r="BO137" s="24">
        <v>0</v>
      </c>
      <c r="BP137" s="24">
        <v>0</v>
      </c>
      <c r="BQ137" s="24">
        <v>0</v>
      </c>
      <c r="BR137" s="24">
        <v>0</v>
      </c>
      <c r="BS137" s="24">
        <v>0</v>
      </c>
      <c r="BT137" s="24">
        <v>0</v>
      </c>
      <c r="BU137" s="24">
        <v>0</v>
      </c>
      <c r="BV137" s="24">
        <v>0</v>
      </c>
      <c r="BW137" s="24">
        <v>0</v>
      </c>
      <c r="BX137" s="24">
        <v>0</v>
      </c>
      <c r="BY137" s="24">
        <v>0</v>
      </c>
      <c r="BZ137" s="24">
        <v>0</v>
      </c>
      <c r="CA137" s="24">
        <v>0</v>
      </c>
      <c r="CB137" s="24">
        <v>654</v>
      </c>
      <c r="CC137" s="24">
        <v>0</v>
      </c>
      <c r="CD137" s="24">
        <v>31954</v>
      </c>
      <c r="CE137" s="24">
        <v>0</v>
      </c>
      <c r="CF137" s="24">
        <v>0</v>
      </c>
      <c r="CG137" s="24">
        <v>0</v>
      </c>
      <c r="CH137" s="24">
        <v>0</v>
      </c>
      <c r="CI137" s="24">
        <v>0</v>
      </c>
      <c r="CJ137" s="24">
        <v>0</v>
      </c>
      <c r="CK137" s="24">
        <v>0</v>
      </c>
      <c r="CL137" s="24">
        <v>0</v>
      </c>
      <c r="CM137" s="24">
        <v>0</v>
      </c>
      <c r="CN137" s="24">
        <v>0</v>
      </c>
      <c r="CO137" s="24">
        <v>0</v>
      </c>
      <c r="CP137" s="24">
        <v>0</v>
      </c>
      <c r="CQ137" s="24">
        <v>0</v>
      </c>
      <c r="CR137" s="24">
        <v>0</v>
      </c>
      <c r="CS137" s="24">
        <v>0</v>
      </c>
      <c r="CT137" s="24">
        <v>0</v>
      </c>
      <c r="CU137" s="24">
        <v>0</v>
      </c>
      <c r="CV137" s="24">
        <v>0</v>
      </c>
      <c r="CW137" s="24">
        <v>0</v>
      </c>
      <c r="CX137" s="24">
        <v>0</v>
      </c>
      <c r="CY137" s="24">
        <v>0</v>
      </c>
      <c r="CZ137" s="24">
        <v>0</v>
      </c>
      <c r="DA137" s="24">
        <v>0</v>
      </c>
      <c r="DB137" s="24">
        <v>0</v>
      </c>
      <c r="DC137" s="24">
        <v>0</v>
      </c>
      <c r="DD137" s="24">
        <v>0</v>
      </c>
      <c r="DE137" s="24">
        <v>0</v>
      </c>
      <c r="DF137" s="24">
        <v>0</v>
      </c>
      <c r="DG137" s="24">
        <v>0</v>
      </c>
      <c r="DH137" s="24">
        <v>0</v>
      </c>
      <c r="DI137" s="24">
        <v>0</v>
      </c>
      <c r="DJ137" s="24">
        <v>0</v>
      </c>
      <c r="DK137" s="24">
        <v>0</v>
      </c>
      <c r="DL137" s="24">
        <v>0</v>
      </c>
      <c r="DM137" s="24">
        <v>0</v>
      </c>
      <c r="DN137" s="24">
        <v>0</v>
      </c>
      <c r="DO137" s="24">
        <v>0</v>
      </c>
      <c r="DP137" s="24">
        <v>0</v>
      </c>
      <c r="DQ137" s="24">
        <v>0</v>
      </c>
      <c r="DR137" s="24">
        <v>0</v>
      </c>
      <c r="DS137" s="24">
        <v>0</v>
      </c>
      <c r="DT137" s="24">
        <v>0</v>
      </c>
      <c r="DU137" s="24">
        <v>0</v>
      </c>
      <c r="DV137" s="24">
        <v>0</v>
      </c>
      <c r="DW137" s="24">
        <v>0</v>
      </c>
      <c r="DX137" s="24">
        <v>0</v>
      </c>
      <c r="DY137" s="24">
        <v>0</v>
      </c>
      <c r="DZ137" s="24">
        <v>0</v>
      </c>
      <c r="EA137" s="24">
        <v>0</v>
      </c>
      <c r="EB137" s="24">
        <v>0</v>
      </c>
      <c r="EC137" s="24">
        <v>0</v>
      </c>
      <c r="ED137" s="24">
        <v>0</v>
      </c>
      <c r="EE137" s="24">
        <v>0</v>
      </c>
      <c r="EF137" s="24">
        <v>0</v>
      </c>
      <c r="EG137" s="24">
        <v>146</v>
      </c>
      <c r="EH137" s="24">
        <v>0</v>
      </c>
      <c r="EI137" s="24">
        <v>0</v>
      </c>
      <c r="EJ137" s="24">
        <v>0</v>
      </c>
      <c r="EK137" s="24">
        <v>0</v>
      </c>
      <c r="EL137" s="24">
        <v>0</v>
      </c>
      <c r="EM137" s="24">
        <v>0</v>
      </c>
      <c r="EN137" s="24">
        <v>0</v>
      </c>
      <c r="EO137" s="24">
        <v>0</v>
      </c>
      <c r="EP137" s="24">
        <v>0</v>
      </c>
      <c r="EQ137" s="24">
        <v>0</v>
      </c>
      <c r="ER137" s="24">
        <v>0</v>
      </c>
      <c r="ES137" s="24">
        <v>0</v>
      </c>
      <c r="ET137" s="24">
        <v>0</v>
      </c>
      <c r="EU137" s="24">
        <v>0</v>
      </c>
      <c r="EV137" s="24">
        <v>0</v>
      </c>
      <c r="EW137" s="24">
        <v>0</v>
      </c>
      <c r="EX137" s="24">
        <v>0</v>
      </c>
      <c r="EY137" s="24">
        <v>0</v>
      </c>
      <c r="EZ137" s="24">
        <v>0</v>
      </c>
      <c r="FA137" s="24">
        <v>0</v>
      </c>
      <c r="FB137" s="24">
        <v>0</v>
      </c>
      <c r="FC137" s="24">
        <v>0</v>
      </c>
      <c r="FD137" s="24">
        <v>0</v>
      </c>
      <c r="FE137" s="24">
        <v>0</v>
      </c>
      <c r="FF137" s="24">
        <v>0</v>
      </c>
      <c r="FG137" s="24">
        <v>0</v>
      </c>
      <c r="FH137" s="24">
        <v>0</v>
      </c>
      <c r="FI137" s="24">
        <v>0</v>
      </c>
      <c r="FJ137" s="24">
        <v>0</v>
      </c>
      <c r="FK137" s="24">
        <v>0</v>
      </c>
      <c r="FL137" s="24">
        <v>0</v>
      </c>
      <c r="FM137" s="24">
        <v>0</v>
      </c>
      <c r="FN137" s="24">
        <v>0</v>
      </c>
      <c r="FO137" s="24">
        <v>0</v>
      </c>
      <c r="FP137" s="24">
        <v>0</v>
      </c>
      <c r="FQ137" s="24">
        <v>0</v>
      </c>
      <c r="FR137" s="24">
        <v>0</v>
      </c>
      <c r="FS137" s="24">
        <v>75033</v>
      </c>
      <c r="FT137" s="24">
        <v>0</v>
      </c>
      <c r="FU137" s="24">
        <v>0</v>
      </c>
      <c r="FV137" s="24">
        <v>0</v>
      </c>
      <c r="FW137" s="24">
        <v>0</v>
      </c>
      <c r="FX137" s="24">
        <v>0</v>
      </c>
      <c r="FY137" s="24">
        <v>0</v>
      </c>
      <c r="FZ137" s="24">
        <v>0</v>
      </c>
      <c r="GA137" s="24">
        <v>0</v>
      </c>
      <c r="GB137" s="24">
        <v>0</v>
      </c>
      <c r="GC137" s="24">
        <v>0</v>
      </c>
      <c r="GD137" s="24">
        <v>0</v>
      </c>
      <c r="GE137" s="24">
        <v>0</v>
      </c>
      <c r="GF137" s="24">
        <v>0</v>
      </c>
      <c r="GG137" s="24">
        <v>0</v>
      </c>
      <c r="GH137" s="24">
        <v>0</v>
      </c>
      <c r="GI137" s="24">
        <v>0</v>
      </c>
      <c r="GJ137" s="24">
        <v>0</v>
      </c>
      <c r="GK137" s="24">
        <v>0</v>
      </c>
      <c r="GL137" s="24">
        <v>0</v>
      </c>
      <c r="GM137" s="24">
        <v>0</v>
      </c>
      <c r="GN137" s="24">
        <v>0</v>
      </c>
      <c r="GO137" s="24">
        <v>0</v>
      </c>
      <c r="GP137" s="24">
        <v>0</v>
      </c>
      <c r="GQ137" s="24">
        <v>0</v>
      </c>
      <c r="GR137" s="24">
        <v>0</v>
      </c>
      <c r="GS137" s="24">
        <v>0</v>
      </c>
      <c r="GT137" s="24">
        <v>0</v>
      </c>
      <c r="GU137" s="24">
        <v>0</v>
      </c>
      <c r="GV137" s="24">
        <v>0</v>
      </c>
      <c r="GW137" s="24">
        <v>0</v>
      </c>
      <c r="GX137" s="24">
        <v>0</v>
      </c>
      <c r="GY137" s="24">
        <v>0</v>
      </c>
      <c r="GZ137" s="24">
        <v>0</v>
      </c>
      <c r="HA137" s="24">
        <v>0</v>
      </c>
      <c r="HB137" s="24">
        <v>0</v>
      </c>
      <c r="HC137" s="24">
        <v>0</v>
      </c>
      <c r="HD137" s="24">
        <v>1676420</v>
      </c>
      <c r="HE137" s="24">
        <v>0</v>
      </c>
      <c r="HF137" s="24">
        <v>0</v>
      </c>
      <c r="HG137" s="24">
        <v>0</v>
      </c>
      <c r="HH137" s="24">
        <v>0</v>
      </c>
      <c r="HI137" s="24">
        <v>69490</v>
      </c>
      <c r="HJ137" s="24">
        <v>0</v>
      </c>
      <c r="HK137" s="24">
        <v>0</v>
      </c>
      <c r="HL137" s="24">
        <v>0</v>
      </c>
      <c r="HM137" s="24">
        <v>0</v>
      </c>
      <c r="HN137" s="24">
        <v>0</v>
      </c>
      <c r="HO137" s="24">
        <v>219272</v>
      </c>
      <c r="HP137" s="24">
        <v>191781</v>
      </c>
      <c r="HQ137" s="24">
        <v>0</v>
      </c>
      <c r="HR137" s="24">
        <v>0</v>
      </c>
      <c r="HS137" s="24">
        <v>0</v>
      </c>
      <c r="HT137" s="24">
        <v>0</v>
      </c>
      <c r="HU137" s="24">
        <v>0</v>
      </c>
      <c r="HV137" s="24">
        <v>0</v>
      </c>
      <c r="HW137" s="24">
        <v>0</v>
      </c>
      <c r="HX137" s="24">
        <v>0</v>
      </c>
      <c r="HY137" s="24">
        <v>0</v>
      </c>
      <c r="HZ137" s="24">
        <v>0</v>
      </c>
      <c r="IA137" s="24">
        <v>24506</v>
      </c>
      <c r="IB137" s="24">
        <v>7908</v>
      </c>
      <c r="IC137" s="24">
        <v>0</v>
      </c>
      <c r="ID137" s="24">
        <v>0</v>
      </c>
      <c r="IE137" s="24">
        <v>0</v>
      </c>
      <c r="IF137" s="24">
        <v>0</v>
      </c>
      <c r="IG137" s="24">
        <v>0</v>
      </c>
      <c r="IH137" s="24">
        <v>0</v>
      </c>
      <c r="II137" s="24">
        <v>0</v>
      </c>
      <c r="IJ137" s="24">
        <v>0</v>
      </c>
      <c r="IK137" s="24">
        <v>0</v>
      </c>
      <c r="IL137" s="24">
        <v>0</v>
      </c>
      <c r="IM137" s="24">
        <v>0</v>
      </c>
      <c r="IN137" s="24">
        <v>0</v>
      </c>
      <c r="IO137" s="24">
        <v>0</v>
      </c>
      <c r="IP137" s="24">
        <v>0</v>
      </c>
      <c r="IQ137" s="24">
        <v>0</v>
      </c>
      <c r="IR137" s="24">
        <v>0</v>
      </c>
      <c r="IS137" s="24">
        <v>0</v>
      </c>
      <c r="IT137" s="24">
        <v>0</v>
      </c>
      <c r="IU137" s="24">
        <v>0</v>
      </c>
      <c r="IV137" s="24">
        <v>0</v>
      </c>
      <c r="IW137" s="24">
        <v>27423</v>
      </c>
      <c r="IX137" s="24">
        <v>0</v>
      </c>
      <c r="IY137" s="24">
        <v>0</v>
      </c>
      <c r="IZ137" s="24">
        <v>0</v>
      </c>
      <c r="JA137" s="24">
        <v>0</v>
      </c>
      <c r="JB137" s="24">
        <v>0</v>
      </c>
      <c r="JC137" s="24">
        <v>0</v>
      </c>
      <c r="JD137" s="24">
        <v>0</v>
      </c>
      <c r="JE137" s="24">
        <v>0</v>
      </c>
      <c r="JF137" s="24">
        <v>0</v>
      </c>
      <c r="JG137" s="24">
        <v>0</v>
      </c>
      <c r="JH137" s="24">
        <v>0</v>
      </c>
      <c r="JI137" s="24">
        <v>0</v>
      </c>
      <c r="JJ137" s="24">
        <v>0</v>
      </c>
      <c r="JK137" s="24">
        <v>0</v>
      </c>
      <c r="JL137" s="24">
        <v>0</v>
      </c>
      <c r="JM137" s="24">
        <v>0</v>
      </c>
      <c r="JN137" s="24">
        <v>0</v>
      </c>
      <c r="JO137" s="24">
        <v>0</v>
      </c>
      <c r="JP137" s="24">
        <v>0</v>
      </c>
      <c r="JQ137" s="24">
        <v>0</v>
      </c>
      <c r="JR137" s="24">
        <v>0</v>
      </c>
      <c r="JS137" s="24">
        <v>0</v>
      </c>
      <c r="JT137" s="24">
        <v>0</v>
      </c>
      <c r="JU137" s="24">
        <v>0</v>
      </c>
      <c r="JV137" s="24">
        <v>0</v>
      </c>
      <c r="JW137" s="24">
        <v>0</v>
      </c>
      <c r="JX137" s="24">
        <v>0</v>
      </c>
      <c r="JY137" s="24">
        <v>0</v>
      </c>
      <c r="JZ137" s="24">
        <v>0</v>
      </c>
      <c r="KA137" s="24">
        <v>0</v>
      </c>
      <c r="KB137" s="24">
        <v>0</v>
      </c>
      <c r="KC137" s="24">
        <v>0</v>
      </c>
      <c r="KD137" s="24">
        <v>0</v>
      </c>
      <c r="KE137" s="24">
        <v>0</v>
      </c>
      <c r="KF137" s="24">
        <v>0</v>
      </c>
      <c r="KG137" s="24">
        <v>0</v>
      </c>
      <c r="KH137" s="24">
        <v>0</v>
      </c>
      <c r="KI137" s="24">
        <v>0</v>
      </c>
      <c r="KJ137" s="24">
        <v>0</v>
      </c>
      <c r="KK137" s="24">
        <v>0</v>
      </c>
      <c r="KL137" s="24">
        <v>0</v>
      </c>
      <c r="KM137" s="24">
        <v>0</v>
      </c>
      <c r="KN137" s="24">
        <v>0</v>
      </c>
      <c r="KO137" s="24">
        <v>0</v>
      </c>
      <c r="KP137" s="24">
        <v>0</v>
      </c>
      <c r="KQ137" s="24">
        <v>0</v>
      </c>
      <c r="KR137" s="24">
        <v>0</v>
      </c>
      <c r="KS137" s="24">
        <v>0</v>
      </c>
      <c r="KT137" s="24">
        <v>0</v>
      </c>
      <c r="KU137" s="24">
        <v>0</v>
      </c>
      <c r="KV137" s="24">
        <v>0</v>
      </c>
      <c r="KW137" s="24">
        <v>0</v>
      </c>
      <c r="KX137" s="24">
        <v>0</v>
      </c>
      <c r="KY137" s="24">
        <v>0</v>
      </c>
      <c r="KZ137" s="24">
        <v>0</v>
      </c>
      <c r="LA137" s="24">
        <v>0</v>
      </c>
      <c r="LB137" s="24">
        <v>0</v>
      </c>
      <c r="LC137" s="24">
        <v>0</v>
      </c>
      <c r="LD137" s="24">
        <v>0</v>
      </c>
      <c r="LE137" s="24">
        <v>0</v>
      </c>
      <c r="LF137" s="24">
        <v>0</v>
      </c>
      <c r="LG137" s="24">
        <v>0</v>
      </c>
      <c r="LH137" s="24">
        <v>0</v>
      </c>
      <c r="LI137" s="24">
        <v>0</v>
      </c>
      <c r="LJ137" s="24">
        <v>0</v>
      </c>
      <c r="LK137" s="24">
        <v>0</v>
      </c>
      <c r="LL137" s="24">
        <v>0</v>
      </c>
      <c r="LM137" s="24">
        <v>0</v>
      </c>
      <c r="LN137" s="24">
        <v>0</v>
      </c>
      <c r="LO137" s="24">
        <v>0</v>
      </c>
      <c r="LP137" s="24">
        <v>0</v>
      </c>
      <c r="LQ137" s="24">
        <v>41900</v>
      </c>
      <c r="LR137" s="24">
        <v>0</v>
      </c>
      <c r="LS137" s="24">
        <v>0</v>
      </c>
      <c r="LT137" s="24">
        <v>0</v>
      </c>
      <c r="LU137" s="24">
        <v>0</v>
      </c>
      <c r="LV137" s="24">
        <v>0</v>
      </c>
      <c r="LW137" s="24">
        <v>0</v>
      </c>
      <c r="LX137" s="24">
        <v>0</v>
      </c>
      <c r="LY137" s="24">
        <v>0</v>
      </c>
      <c r="LZ137" s="24">
        <v>0</v>
      </c>
      <c r="MA137" s="24">
        <v>0</v>
      </c>
      <c r="MB137" s="24">
        <v>0</v>
      </c>
      <c r="MC137" s="24">
        <v>0</v>
      </c>
      <c r="MD137" s="24">
        <v>0</v>
      </c>
      <c r="ME137" s="24">
        <v>0</v>
      </c>
      <c r="MF137" s="24">
        <v>0</v>
      </c>
      <c r="MG137" s="24">
        <v>0</v>
      </c>
      <c r="MH137" s="24">
        <v>0</v>
      </c>
      <c r="MI137" s="24">
        <v>0</v>
      </c>
      <c r="MJ137" s="24">
        <v>0</v>
      </c>
      <c r="MK137" s="24">
        <v>0</v>
      </c>
      <c r="ML137" s="24">
        <v>0</v>
      </c>
      <c r="MM137" s="24">
        <v>0</v>
      </c>
      <c r="MN137" s="24">
        <v>0</v>
      </c>
      <c r="MO137" s="24">
        <v>0</v>
      </c>
      <c r="MP137" s="24">
        <v>0</v>
      </c>
      <c r="MQ137" s="24">
        <v>0</v>
      </c>
      <c r="MR137" s="24">
        <v>0</v>
      </c>
      <c r="MS137" s="24">
        <v>0</v>
      </c>
      <c r="MT137" s="24">
        <v>0</v>
      </c>
      <c r="MU137" s="24">
        <v>0</v>
      </c>
      <c r="MV137" s="24">
        <v>0</v>
      </c>
      <c r="MW137" s="24">
        <v>67064</v>
      </c>
      <c r="MX137" s="24">
        <v>0</v>
      </c>
      <c r="MY137" s="24">
        <v>0</v>
      </c>
      <c r="MZ137" s="24">
        <v>0</v>
      </c>
      <c r="NA137" s="24">
        <v>0</v>
      </c>
      <c r="NB137" s="24">
        <v>0</v>
      </c>
      <c r="NC137" s="24">
        <v>0</v>
      </c>
      <c r="ND137" s="24">
        <v>0</v>
      </c>
      <c r="NE137" s="24">
        <v>0</v>
      </c>
      <c r="NF137" s="24">
        <v>0</v>
      </c>
      <c r="NG137" s="24">
        <v>0</v>
      </c>
      <c r="NH137" s="24">
        <v>0</v>
      </c>
      <c r="NI137" s="24">
        <v>0</v>
      </c>
      <c r="NJ137" s="24">
        <v>0</v>
      </c>
      <c r="NK137" s="24">
        <v>0</v>
      </c>
      <c r="NL137" s="24">
        <v>0</v>
      </c>
      <c r="NM137" s="24">
        <v>0</v>
      </c>
      <c r="NN137" s="24">
        <v>0</v>
      </c>
      <c r="NO137" s="24">
        <v>0</v>
      </c>
      <c r="NP137" s="24">
        <v>0</v>
      </c>
      <c r="NQ137" s="24">
        <v>0</v>
      </c>
      <c r="NR137" s="24">
        <v>0</v>
      </c>
      <c r="NS137" s="24">
        <v>0</v>
      </c>
      <c r="NT137" s="24">
        <v>0</v>
      </c>
      <c r="NU137" s="24">
        <v>0</v>
      </c>
      <c r="NV137" s="24">
        <v>9114</v>
      </c>
      <c r="NW137" s="24">
        <v>0</v>
      </c>
      <c r="NX137" s="24">
        <v>0</v>
      </c>
      <c r="NY137" s="24">
        <v>0</v>
      </c>
      <c r="NZ137" s="24">
        <v>0</v>
      </c>
      <c r="OA137" s="24">
        <v>0</v>
      </c>
      <c r="OB137" s="24">
        <v>0</v>
      </c>
      <c r="OC137" s="24">
        <v>0</v>
      </c>
      <c r="OD137" s="24">
        <v>0</v>
      </c>
      <c r="OE137" s="24">
        <v>0</v>
      </c>
      <c r="OF137" s="24">
        <v>0</v>
      </c>
      <c r="OG137" s="24">
        <v>0</v>
      </c>
      <c r="OH137" s="24">
        <v>0</v>
      </c>
      <c r="OI137" s="24">
        <v>0</v>
      </c>
      <c r="OJ137" s="24">
        <v>0</v>
      </c>
      <c r="OK137" s="24">
        <v>0</v>
      </c>
      <c r="OL137" s="24">
        <v>0</v>
      </c>
      <c r="OM137" s="24">
        <v>0</v>
      </c>
      <c r="ON137" s="24">
        <v>0</v>
      </c>
      <c r="OO137" s="24">
        <v>0</v>
      </c>
      <c r="OP137" s="24">
        <v>0</v>
      </c>
      <c r="OQ137" s="24">
        <v>0</v>
      </c>
      <c r="OR137" s="24">
        <v>0</v>
      </c>
      <c r="OS137" s="24">
        <v>0</v>
      </c>
      <c r="OT137" s="24">
        <v>0</v>
      </c>
      <c r="OU137" s="24">
        <v>0</v>
      </c>
      <c r="OV137" s="24">
        <v>0</v>
      </c>
      <c r="OW137" s="24">
        <v>0</v>
      </c>
      <c r="OX137" s="24">
        <v>0</v>
      </c>
      <c r="OY137" s="24">
        <v>0</v>
      </c>
      <c r="OZ137" s="24">
        <v>0</v>
      </c>
      <c r="PA137" s="24">
        <v>0</v>
      </c>
      <c r="PB137" s="24">
        <v>0</v>
      </c>
      <c r="PC137" s="24">
        <v>0</v>
      </c>
      <c r="PD137" s="24">
        <v>0</v>
      </c>
      <c r="PE137" s="24">
        <v>0</v>
      </c>
      <c r="PF137" s="24">
        <v>0</v>
      </c>
      <c r="PG137" s="24">
        <v>0</v>
      </c>
      <c r="PH137" s="24">
        <v>0</v>
      </c>
      <c r="PI137" s="24">
        <v>0</v>
      </c>
      <c r="PJ137" s="24">
        <v>0</v>
      </c>
      <c r="PK137" s="24">
        <v>0</v>
      </c>
      <c r="PL137" s="24">
        <v>0</v>
      </c>
      <c r="PM137" s="24">
        <v>0</v>
      </c>
      <c r="PN137" s="24">
        <v>0</v>
      </c>
      <c r="PO137" s="24">
        <v>0</v>
      </c>
      <c r="PP137" s="24">
        <v>0</v>
      </c>
      <c r="PQ137" s="24">
        <v>0</v>
      </c>
      <c r="PR137" s="24">
        <v>0</v>
      </c>
      <c r="PS137" s="24">
        <v>0</v>
      </c>
      <c r="PT137" s="24">
        <v>0</v>
      </c>
      <c r="PU137" s="24">
        <v>0</v>
      </c>
      <c r="PV137" s="24">
        <v>0</v>
      </c>
      <c r="PW137" s="24">
        <v>0</v>
      </c>
      <c r="PX137" s="24">
        <v>0</v>
      </c>
      <c r="PY137" s="24">
        <v>0</v>
      </c>
      <c r="PZ137" s="24">
        <v>0</v>
      </c>
      <c r="QA137" s="24">
        <v>0</v>
      </c>
      <c r="QB137" s="24">
        <v>0</v>
      </c>
      <c r="QC137" s="24">
        <v>0</v>
      </c>
      <c r="QD137" s="24">
        <v>0</v>
      </c>
      <c r="QE137" s="24">
        <v>0</v>
      </c>
      <c r="QF137" s="24">
        <v>0</v>
      </c>
      <c r="QG137" s="24">
        <v>0</v>
      </c>
      <c r="QH137" s="24">
        <v>0</v>
      </c>
      <c r="QI137" s="24">
        <v>0</v>
      </c>
      <c r="QJ137" s="24">
        <v>0</v>
      </c>
      <c r="QK137" s="24">
        <v>0</v>
      </c>
      <c r="QL137" s="24">
        <v>0</v>
      </c>
      <c r="QM137" s="24">
        <v>0</v>
      </c>
      <c r="QN137" s="24">
        <v>0</v>
      </c>
      <c r="QO137" s="24">
        <v>0</v>
      </c>
      <c r="QP137" s="24">
        <v>0</v>
      </c>
      <c r="QQ137" s="24">
        <v>0</v>
      </c>
      <c r="QR137" s="24">
        <v>0</v>
      </c>
      <c r="QS137" s="24">
        <v>0</v>
      </c>
      <c r="QT137" s="24">
        <v>28730</v>
      </c>
      <c r="QU137" s="24">
        <v>0</v>
      </c>
      <c r="QV137" s="24">
        <v>0</v>
      </c>
      <c r="QW137" s="24">
        <v>0</v>
      </c>
      <c r="QX137" s="24">
        <v>0</v>
      </c>
      <c r="QY137" s="24">
        <v>0</v>
      </c>
      <c r="QZ137" s="24">
        <v>0</v>
      </c>
      <c r="RA137" s="24">
        <v>0</v>
      </c>
      <c r="RB137" s="24">
        <v>0</v>
      </c>
      <c r="RC137" s="913">
        <v>2</v>
      </c>
      <c r="RG137" s="39">
        <f t="shared" si="248"/>
        <v>1676420</v>
      </c>
      <c r="RH137" s="39">
        <f t="shared" si="249"/>
        <v>69490</v>
      </c>
      <c r="RI137" s="39">
        <f t="shared" si="249"/>
        <v>0</v>
      </c>
      <c r="RJ137" s="39">
        <f t="shared" si="249"/>
        <v>0</v>
      </c>
      <c r="RK137" s="39">
        <f t="shared" si="249"/>
        <v>0</v>
      </c>
      <c r="RL137" s="39">
        <f t="shared" si="249"/>
        <v>219272</v>
      </c>
      <c r="RM137" s="39">
        <f t="shared" si="249"/>
        <v>224195</v>
      </c>
      <c r="RN137" s="39">
        <f t="shared" si="249"/>
        <v>0</v>
      </c>
      <c r="RO137" s="39">
        <f t="shared" si="249"/>
        <v>0</v>
      </c>
      <c r="RP137" s="39">
        <f t="shared" si="249"/>
        <v>27423</v>
      </c>
      <c r="RQ137" s="39">
        <f t="shared" si="249"/>
        <v>0</v>
      </c>
      <c r="RR137" s="39">
        <f t="shared" si="249"/>
        <v>0</v>
      </c>
      <c r="RS137" s="39"/>
      <c r="RT137" s="182"/>
      <c r="RU137" s="39"/>
      <c r="RV137" s="39">
        <f t="shared" si="246"/>
        <v>118078</v>
      </c>
      <c r="RW137" s="39">
        <f t="shared" si="246"/>
        <v>2216800</v>
      </c>
      <c r="RX137" s="39">
        <f t="shared" si="246"/>
        <v>138491</v>
      </c>
      <c r="RY137" s="39">
        <f t="shared" si="246"/>
        <v>28730</v>
      </c>
      <c r="RZ137" s="39"/>
      <c r="SA137" s="182"/>
      <c r="SB137" s="39"/>
      <c r="SC137" s="25">
        <f t="shared" si="183"/>
        <v>377.35967302452315</v>
      </c>
      <c r="SD137" s="39">
        <f>IFERROR(VLOOKUP(A137, 'Levy Data 15-16'!$B:$O, 3, FALSE), 0)</f>
        <v>0</v>
      </c>
      <c r="SE137" s="39">
        <f t="shared" si="208"/>
        <v>0</v>
      </c>
      <c r="SF137" s="631">
        <f>IFERROR(VLOOKUP(A137, 'Levy Data 15-16'!$B:$O, 14, FALSE), 0)*1000</f>
        <v>0</v>
      </c>
      <c r="SG137" s="39">
        <f t="shared" si="209"/>
        <v>0</v>
      </c>
      <c r="SH137" s="39">
        <f t="shared" si="210"/>
        <v>0</v>
      </c>
      <c r="SI137" s="39">
        <f t="shared" si="211"/>
        <v>138491</v>
      </c>
      <c r="SM137" s="39">
        <f t="shared" si="212"/>
        <v>2216800</v>
      </c>
      <c r="SN137" s="39">
        <f t="shared" si="213"/>
        <v>0</v>
      </c>
      <c r="SO137" s="39">
        <f t="shared" si="184"/>
        <v>2216800</v>
      </c>
      <c r="SP137" s="50">
        <f t="shared" si="250"/>
        <v>1</v>
      </c>
      <c r="ST137" s="124">
        <f>IFERROR(VLOOKUP(A137,'Grade Enroll 15-16'!B:AC,27,FALSE),"")</f>
        <v>367</v>
      </c>
      <c r="SU137" s="124">
        <f t="shared" si="264"/>
        <v>113.0528735632184</v>
      </c>
      <c r="SV137" s="131">
        <f>IFERROR(VLOOKUP($A137, 'Title I Enroll 16-17'!S:V, 4, FALSE), 0)</f>
        <v>0.30804597701149428</v>
      </c>
      <c r="SW137" s="729">
        <f>IFERROR(VLOOKUP(A137, 'ELL Enroll 15-16'!$N:$S, 6, FALSE), 0)</f>
        <v>5</v>
      </c>
      <c r="SX137" s="131">
        <f t="shared" si="251"/>
        <v>1.3623978201634877E-2</v>
      </c>
      <c r="SY137" s="124">
        <f>IFERROR(VLOOKUP(A137, 'SPED enroll 2015-16'!$M:$O, 3, FALSE), 0)</f>
        <v>50</v>
      </c>
      <c r="SZ137" s="131">
        <f t="shared" si="252"/>
        <v>0.13623978201634879</v>
      </c>
      <c r="TA137" s="142">
        <f t="shared" si="253"/>
        <v>35</v>
      </c>
      <c r="TB137" s="142">
        <f t="shared" si="253"/>
        <v>10</v>
      </c>
      <c r="TC137" s="142">
        <f t="shared" si="253"/>
        <v>3.5000000000000004</v>
      </c>
      <c r="TD137" s="142">
        <f t="shared" si="253"/>
        <v>1.5</v>
      </c>
      <c r="TE137" s="124">
        <f>VLOOKUP($A137, 'Grade Enroll 15-16'!$B:$AB, 20, FALSE)</f>
        <v>0</v>
      </c>
      <c r="TF137" s="124">
        <f>VLOOKUP($A137, 'Grade Enroll 15-16'!$B:$AB, 21, FALSE)</f>
        <v>69</v>
      </c>
      <c r="TG137" s="124">
        <f>VLOOKUP($A137, 'Grade Enroll 15-16'!$B:$AB, 22, FALSE)</f>
        <v>144</v>
      </c>
      <c r="TH137" s="124">
        <f>VLOOKUP($A137, 'Grade Enroll 15-16'!$B:$AB, 23, FALSE)</f>
        <v>157</v>
      </c>
      <c r="TI137" s="124">
        <f>VLOOKUP($A137, 'Grade Enroll 15-16'!$B:$AB, 24, FALSE)</f>
        <v>66</v>
      </c>
      <c r="TJ137" s="124">
        <f>VLOOKUP($A137, 'Grade Enroll 15-16'!$B:$AB, 25, FALSE)</f>
        <v>0</v>
      </c>
      <c r="TK137" s="124">
        <f>VLOOKUP($A137, 'Grade Enroll 15-16'!$B:$AB, 26, FALSE)</f>
        <v>273</v>
      </c>
      <c r="TL137" s="131">
        <f>SUMIFS('Student Achievement 15-16'!N:N, 'Student Achievement 15-16'!B:B, 'Idaho Data'!A137, 'Student Achievement 15-16'!D:D, "math")/100</f>
        <v>0.18</v>
      </c>
      <c r="TM137" s="134">
        <f t="shared" si="186"/>
        <v>66.06</v>
      </c>
      <c r="TN137" s="131">
        <f>SUMIFS('Student Achievement 15-16'!N:N, 'Student Achievement 15-16'!B:B, 'Idaho Data'!A137, 'Student Achievement 15-16'!D:D, "ela")/100</f>
        <v>0.16399999999999998</v>
      </c>
      <c r="TO137" s="134">
        <f t="shared" si="254"/>
        <v>60.187999999999995</v>
      </c>
      <c r="TP137" s="688">
        <f>IFERROR(VLOOKUP(A137, 'G&amp;T 15-16'!B:G, 6, FALSE), 0)*1</f>
        <v>0</v>
      </c>
      <c r="TQ137" s="168">
        <f t="shared" si="255"/>
        <v>22.02</v>
      </c>
      <c r="TU137" s="168">
        <f t="shared" si="256"/>
        <v>60.187999999999995</v>
      </c>
      <c r="TV137" s="168">
        <f t="shared" si="257"/>
        <v>66.06</v>
      </c>
      <c r="TW137" s="205">
        <f t="shared" si="258"/>
        <v>66.06</v>
      </c>
      <c r="TX137" s="144"/>
      <c r="TY137" s="129"/>
      <c r="TZ137" s="127">
        <f t="shared" si="259"/>
        <v>0</v>
      </c>
      <c r="UA137" s="127">
        <f t="shared" si="260"/>
        <v>22.02</v>
      </c>
      <c r="UB137" s="205">
        <f t="shared" si="261"/>
        <v>22.02</v>
      </c>
      <c r="UE137" s="853" t="str">
        <f>IF(ST137&lt;='1. Simulator Input'!$E$104, "yes", "")</f>
        <v/>
      </c>
      <c r="UI137" s="199">
        <f t="shared" si="187"/>
        <v>0</v>
      </c>
      <c r="UJ137" s="200">
        <f>IF('Idaho Data'!SI137&gt;=0, ((1-'1. Simulator Input'!$E$39)*'Idaho Data'!SI137), 0)</f>
        <v>0</v>
      </c>
      <c r="UK137" s="200">
        <f t="shared" si="262"/>
        <v>2216800</v>
      </c>
      <c r="UL137" s="39"/>
      <c r="UM137" s="182"/>
      <c r="UN137" s="39"/>
      <c r="UO137" s="39" t="str">
        <f>IF(AND('1. Simulator Input'!$E$96="yes", '1. Simulator Input'!$E$98="yes", '1. Simulator Input'!$E$100="hold harmless"), 'Idaho Data'!WN137, IF(AND('1. Simulator Input'!$E$96="yes", '1. Simulator Input'!$E$98="no", '1. Simulator Input'!$E$100="hold harmless"), 'Idaho Data'!WM137, IF(AND('1. Simulator Input'!$E$96="yes", '1. Simulator Input'!$E$98="yes", '1. Simulator Input'!$E$100="small district grant"), WL137,IF(AND('1. Simulator Input'!$E$96="yes", '1. Simulator Input'!$E$98="no", '1. Simulator Input'!$E$100="small district grant"), WK137, ""))))</f>
        <v/>
      </c>
      <c r="UP137" s="200">
        <f>'1. Simulator Input'!$D$56*('Idaho Data'!ST137)</f>
        <v>2028042</v>
      </c>
      <c r="UQ137" s="204">
        <f>'1. Simulator Input'!$D$65*'1. Simulator Input'!$D$56*'Idaho Data'!SU137</f>
        <v>0</v>
      </c>
      <c r="UR137" s="204">
        <f>'1. Simulator Input'!$D$66*'1. Simulator Input'!$D$56*'Idaho Data'!SW137</f>
        <v>0</v>
      </c>
      <c r="US137" s="200">
        <f>'1. Simulator Input'!$D$67*'1. Simulator Input'!$D$56*'Idaho Data'!TA137</f>
        <v>0</v>
      </c>
      <c r="UT137" s="200">
        <f>'1. Simulator Input'!$D$68*'1. Simulator Input'!$D$56*'Idaho Data'!TB137</f>
        <v>0</v>
      </c>
      <c r="UU137" s="200">
        <f>'1. Simulator Input'!$D$69*'1. Simulator Input'!$D$56*'Idaho Data'!TC137</f>
        <v>0</v>
      </c>
      <c r="UV137" s="200">
        <f>'1. Simulator Input'!$D$70*'1. Simulator Input'!$D$56*TD137</f>
        <v>0</v>
      </c>
      <c r="UW137" s="200">
        <f>'1. Simulator Input'!$D$80*'1. Simulator Input'!$D$56*TW137</f>
        <v>0</v>
      </c>
      <c r="UX137" s="200">
        <f>'1. Simulator Input'!$D$79*'1. Simulator Input'!$D$56*UB137</f>
        <v>0</v>
      </c>
      <c r="UY137" s="200">
        <f>'1. Simulator Input'!$D$87*'1. Simulator Input'!$D$56*TF137</f>
        <v>190647</v>
      </c>
      <c r="UZ137" s="200">
        <f>'1. Simulator Input'!$D$73*'1. Simulator Input'!$D$56*'Idaho Data'!TG137</f>
        <v>0</v>
      </c>
      <c r="VA137" s="200">
        <f>'1. Simulator Input'!$D$56*'1. Simulator Input'!$D$74*'Idaho Data'!TH137</f>
        <v>0</v>
      </c>
      <c r="VB137" s="200">
        <f>'1. Simulator Input'!$D$56*'1. Simulator Input'!$D$75*'Idaho Data'!TI132</f>
        <v>0</v>
      </c>
      <c r="VC137" s="200">
        <f>'1. Simulator Input'!$D$76*'1. Simulator Input'!$D$56*'Idaho Data'!TJ137</f>
        <v>0</v>
      </c>
      <c r="VD137" s="200">
        <f t="shared" si="188"/>
        <v>2218689</v>
      </c>
      <c r="VE137" s="200"/>
      <c r="VF137" s="182"/>
      <c r="VG137" s="200"/>
      <c r="VH137" s="200">
        <f t="shared" si="189"/>
        <v>0</v>
      </c>
      <c r="VI137" s="200">
        <f t="shared" si="190"/>
        <v>0</v>
      </c>
      <c r="VJ137" s="200">
        <f t="shared" si="214"/>
        <v>2218689</v>
      </c>
      <c r="VK137" s="200">
        <f t="shared" si="215"/>
        <v>2218689</v>
      </c>
      <c r="VL137" s="200"/>
      <c r="VM137" s="182"/>
      <c r="VN137" s="200"/>
      <c r="VO137" s="200">
        <f t="shared" si="191"/>
        <v>118078</v>
      </c>
      <c r="VP137" s="200">
        <f t="shared" si="192"/>
        <v>2216800</v>
      </c>
      <c r="VQ137" s="200">
        <f t="shared" si="193"/>
        <v>138491</v>
      </c>
      <c r="VR137" s="200">
        <f t="shared" si="194"/>
        <v>118078</v>
      </c>
      <c r="VS137" s="200">
        <f t="shared" si="216"/>
        <v>2218689</v>
      </c>
      <c r="VT137" s="200">
        <f t="shared" si="217"/>
        <v>138491</v>
      </c>
      <c r="VU137" s="200">
        <f t="shared" si="218"/>
        <v>0</v>
      </c>
      <c r="VV137" s="200"/>
      <c r="VW137" s="182"/>
      <c r="VX137" s="200"/>
      <c r="VZ137" s="199">
        <f t="shared" si="195"/>
        <v>1889</v>
      </c>
      <c r="WA137" s="199">
        <f t="shared" si="196"/>
        <v>5.1471389645776568</v>
      </c>
      <c r="WB137" s="131">
        <f t="shared" si="197"/>
        <v>8.5212919523637673E-4</v>
      </c>
      <c r="WC137" s="131"/>
      <c r="WD137" s="461"/>
      <c r="WE137" s="893"/>
      <c r="WF137" s="893">
        <f t="shared" si="198"/>
        <v>6739.425068119891</v>
      </c>
      <c r="WG137" s="893">
        <f t="shared" si="199"/>
        <v>6744.5722070844686</v>
      </c>
      <c r="WH137" s="893"/>
      <c r="WI137" s="893">
        <f t="shared" si="200"/>
        <v>2216800</v>
      </c>
      <c r="WJ137" s="893">
        <f t="shared" si="219"/>
        <v>2218689</v>
      </c>
      <c r="WK137" s="39" t="str">
        <f t="shared" si="220"/>
        <v/>
      </c>
      <c r="WL137" s="39" t="str">
        <f t="shared" si="221"/>
        <v/>
      </c>
      <c r="WM137" s="200" t="str">
        <f t="shared" si="222"/>
        <v/>
      </c>
      <c r="WN137" s="39" t="str">
        <f t="shared" si="223"/>
        <v/>
      </c>
      <c r="WO137" s="39"/>
      <c r="WP137" s="182"/>
      <c r="WQ137" s="39"/>
      <c r="WR137" s="305"/>
      <c r="WT137" s="200">
        <f t="shared" si="225"/>
        <v>6040.3269754768389</v>
      </c>
      <c r="WU137" s="131">
        <f t="shared" si="201"/>
        <v>0.37</v>
      </c>
      <c r="WW137" s="199">
        <f t="shared" si="226"/>
        <v>118078</v>
      </c>
      <c r="WX137" s="199">
        <f t="shared" si="227"/>
        <v>2218689</v>
      </c>
      <c r="WY137" s="199">
        <f t="shared" si="228"/>
        <v>0</v>
      </c>
      <c r="WZ137" s="199">
        <f t="shared" si="202"/>
        <v>2218689</v>
      </c>
      <c r="XA137" s="199">
        <f t="shared" si="229"/>
        <v>0</v>
      </c>
      <c r="XB137" s="199">
        <f t="shared" si="230"/>
        <v>138491</v>
      </c>
      <c r="XC137" s="199">
        <f t="shared" si="231"/>
        <v>138491</v>
      </c>
      <c r="XD137" s="199" t="str">
        <f t="shared" si="232"/>
        <v/>
      </c>
      <c r="XE137" s="199"/>
      <c r="XF137" s="199"/>
      <c r="XG137" s="199"/>
      <c r="XH137" s="199"/>
      <c r="XI137" s="199"/>
      <c r="XJ137" s="199">
        <f t="shared" si="203"/>
        <v>2218689</v>
      </c>
      <c r="XP137" s="199">
        <f t="shared" si="233"/>
        <v>2218689</v>
      </c>
      <c r="XQ137" s="199">
        <f t="shared" si="234"/>
        <v>6045.4741144414165</v>
      </c>
      <c r="XR137" s="199">
        <f t="shared" si="235"/>
        <v>2218689</v>
      </c>
      <c r="XS137" s="199">
        <f t="shared" si="236"/>
        <v>2218689</v>
      </c>
      <c r="XT137" s="199">
        <f t="shared" si="237"/>
        <v>6045.4741144414165</v>
      </c>
      <c r="XU137" s="199">
        <f t="shared" si="238"/>
        <v>2216800</v>
      </c>
      <c r="XV137" s="199">
        <f t="shared" si="239"/>
        <v>6040.3269754768389</v>
      </c>
      <c r="XW137" s="199">
        <f t="shared" si="240"/>
        <v>2216800</v>
      </c>
      <c r="XX137" s="199">
        <f t="shared" si="241"/>
        <v>6040.3269754768389</v>
      </c>
      <c r="XY137" s="199">
        <f t="shared" si="204"/>
        <v>1889</v>
      </c>
      <c r="XZ137" s="199">
        <f t="shared" si="205"/>
        <v>5.1471389645776071</v>
      </c>
      <c r="YA137" s="131">
        <f t="shared" si="263"/>
        <v>8.521291952363686E-4</v>
      </c>
      <c r="YB137" s="199"/>
      <c r="YC137" s="221"/>
      <c r="YD137" s="199"/>
      <c r="YE137" s="199">
        <f t="shared" si="242"/>
        <v>118078</v>
      </c>
      <c r="YF137" s="200">
        <f t="shared" si="243"/>
        <v>0</v>
      </c>
      <c r="YG137" s="199">
        <f t="shared" si="244"/>
        <v>138491</v>
      </c>
      <c r="YH137" s="199">
        <f t="shared" si="245"/>
        <v>28730</v>
      </c>
    </row>
    <row r="138" spans="1:658">
      <c r="A138" s="3">
        <v>465</v>
      </c>
      <c r="B138" s="2" t="s">
        <v>235</v>
      </c>
      <c r="C138" s="24">
        <v>0</v>
      </c>
      <c r="D138" s="24">
        <v>0</v>
      </c>
      <c r="E138" s="24">
        <v>0</v>
      </c>
      <c r="F138" s="24">
        <v>0</v>
      </c>
      <c r="G138" s="24">
        <v>0</v>
      </c>
      <c r="H138" s="24">
        <v>0</v>
      </c>
      <c r="I138" s="24">
        <v>0</v>
      </c>
      <c r="J138" s="24">
        <v>0</v>
      </c>
      <c r="K138" s="24">
        <v>0</v>
      </c>
      <c r="L138" s="24">
        <v>0</v>
      </c>
      <c r="M138" s="24">
        <v>0</v>
      </c>
      <c r="N138" s="24">
        <v>0</v>
      </c>
      <c r="O138" s="24">
        <v>0</v>
      </c>
      <c r="P138" s="24">
        <v>0</v>
      </c>
      <c r="Q138" s="24">
        <v>0</v>
      </c>
      <c r="R138" s="24">
        <v>0</v>
      </c>
      <c r="S138" s="24">
        <v>0</v>
      </c>
      <c r="T138" s="24">
        <v>0</v>
      </c>
      <c r="U138" s="24">
        <v>0</v>
      </c>
      <c r="V138" s="24">
        <v>0</v>
      </c>
      <c r="W138" s="24">
        <v>0</v>
      </c>
      <c r="X138" s="24">
        <v>0</v>
      </c>
      <c r="Y138" s="24">
        <v>0</v>
      </c>
      <c r="Z138" s="24">
        <v>0</v>
      </c>
      <c r="AA138" s="24">
        <v>0</v>
      </c>
      <c r="AB138" s="24">
        <v>0</v>
      </c>
      <c r="AC138" s="24">
        <v>0</v>
      </c>
      <c r="AD138" s="24">
        <v>0</v>
      </c>
      <c r="AE138" s="24">
        <v>0</v>
      </c>
      <c r="AF138" s="24">
        <v>0</v>
      </c>
      <c r="AG138" s="24">
        <v>0</v>
      </c>
      <c r="AH138" s="24">
        <v>0</v>
      </c>
      <c r="AI138" s="24">
        <v>0</v>
      </c>
      <c r="AJ138" s="24">
        <v>0</v>
      </c>
      <c r="AK138" s="24">
        <v>0</v>
      </c>
      <c r="AL138" s="24">
        <v>54</v>
      </c>
      <c r="AM138" s="24">
        <v>0</v>
      </c>
      <c r="AN138" s="24">
        <v>0</v>
      </c>
      <c r="AO138" s="24">
        <v>0</v>
      </c>
      <c r="AP138" s="24">
        <v>0</v>
      </c>
      <c r="AQ138" s="24">
        <v>0</v>
      </c>
      <c r="AR138" s="24">
        <v>0</v>
      </c>
      <c r="AS138" s="24">
        <v>0</v>
      </c>
      <c r="AT138" s="24">
        <v>0</v>
      </c>
      <c r="AU138" s="24">
        <v>0</v>
      </c>
      <c r="AV138" s="24">
        <v>0</v>
      </c>
      <c r="AW138" s="24">
        <v>0</v>
      </c>
      <c r="AX138" s="24">
        <v>0</v>
      </c>
      <c r="AY138" s="24">
        <v>0</v>
      </c>
      <c r="AZ138" s="24">
        <v>0</v>
      </c>
      <c r="BA138" s="24">
        <v>0</v>
      </c>
      <c r="BB138" s="24">
        <v>0</v>
      </c>
      <c r="BC138" s="24">
        <v>0</v>
      </c>
      <c r="BD138" s="24">
        <v>0</v>
      </c>
      <c r="BE138" s="24">
        <v>0</v>
      </c>
      <c r="BF138" s="24">
        <v>0</v>
      </c>
      <c r="BG138" s="24">
        <v>0</v>
      </c>
      <c r="BH138" s="24">
        <v>0</v>
      </c>
      <c r="BI138" s="24">
        <v>0</v>
      </c>
      <c r="BJ138" s="24">
        <v>0</v>
      </c>
      <c r="BK138" s="24">
        <v>0</v>
      </c>
      <c r="BL138" s="24">
        <v>0</v>
      </c>
      <c r="BM138" s="24">
        <v>0</v>
      </c>
      <c r="BN138" s="24">
        <v>0</v>
      </c>
      <c r="BO138" s="24">
        <v>0</v>
      </c>
      <c r="BP138" s="24">
        <v>0</v>
      </c>
      <c r="BQ138" s="24">
        <v>0</v>
      </c>
      <c r="BR138" s="24">
        <v>0</v>
      </c>
      <c r="BS138" s="24">
        <v>0</v>
      </c>
      <c r="BT138" s="24">
        <v>0</v>
      </c>
      <c r="BU138" s="24">
        <v>0</v>
      </c>
      <c r="BV138" s="24">
        <v>0</v>
      </c>
      <c r="BW138" s="24">
        <v>0</v>
      </c>
      <c r="BX138" s="24">
        <v>0</v>
      </c>
      <c r="BY138" s="24">
        <v>0</v>
      </c>
      <c r="BZ138" s="24">
        <v>0</v>
      </c>
      <c r="CA138" s="24">
        <v>0</v>
      </c>
      <c r="CB138" s="24">
        <v>0</v>
      </c>
      <c r="CC138" s="24">
        <v>0</v>
      </c>
      <c r="CD138" s="24">
        <v>26865</v>
      </c>
      <c r="CE138" s="24">
        <v>2459</v>
      </c>
      <c r="CF138" s="24">
        <v>0</v>
      </c>
      <c r="CG138" s="24">
        <v>133</v>
      </c>
      <c r="CH138" s="24">
        <v>0</v>
      </c>
      <c r="CI138" s="24">
        <v>0</v>
      </c>
      <c r="CJ138" s="24">
        <v>0</v>
      </c>
      <c r="CK138" s="24">
        <v>0</v>
      </c>
      <c r="CL138" s="24">
        <v>0</v>
      </c>
      <c r="CM138" s="24">
        <v>0</v>
      </c>
      <c r="CN138" s="24">
        <v>0</v>
      </c>
      <c r="CO138" s="24">
        <v>0</v>
      </c>
      <c r="CP138" s="24">
        <v>0</v>
      </c>
      <c r="CQ138" s="24">
        <v>0</v>
      </c>
      <c r="CR138" s="24">
        <v>0</v>
      </c>
      <c r="CS138" s="24">
        <v>0</v>
      </c>
      <c r="CT138" s="24">
        <v>0</v>
      </c>
      <c r="CU138" s="24">
        <v>0</v>
      </c>
      <c r="CV138" s="24">
        <v>0</v>
      </c>
      <c r="CW138" s="24">
        <v>0</v>
      </c>
      <c r="CX138" s="24">
        <v>0</v>
      </c>
      <c r="CY138" s="24">
        <v>0</v>
      </c>
      <c r="CZ138" s="24">
        <v>0</v>
      </c>
      <c r="DA138" s="24">
        <v>0</v>
      </c>
      <c r="DB138" s="24">
        <v>0</v>
      </c>
      <c r="DC138" s="24">
        <v>0</v>
      </c>
      <c r="DD138" s="24">
        <v>0</v>
      </c>
      <c r="DE138" s="24">
        <v>0</v>
      </c>
      <c r="DF138" s="24">
        <v>0</v>
      </c>
      <c r="DG138" s="24">
        <v>0</v>
      </c>
      <c r="DH138" s="24">
        <v>0</v>
      </c>
      <c r="DI138" s="24">
        <v>0</v>
      </c>
      <c r="DJ138" s="24">
        <v>0</v>
      </c>
      <c r="DK138" s="24">
        <v>0</v>
      </c>
      <c r="DL138" s="24">
        <v>0</v>
      </c>
      <c r="DM138" s="24">
        <v>0</v>
      </c>
      <c r="DN138" s="24">
        <v>0</v>
      </c>
      <c r="DO138" s="24">
        <v>0</v>
      </c>
      <c r="DP138" s="24">
        <v>0</v>
      </c>
      <c r="DQ138" s="24">
        <v>0</v>
      </c>
      <c r="DR138" s="24">
        <v>0</v>
      </c>
      <c r="DS138" s="24">
        <v>0</v>
      </c>
      <c r="DT138" s="24">
        <v>0</v>
      </c>
      <c r="DU138" s="24">
        <v>0</v>
      </c>
      <c r="DV138" s="24">
        <v>0</v>
      </c>
      <c r="DW138" s="24">
        <v>0</v>
      </c>
      <c r="DX138" s="24">
        <v>0</v>
      </c>
      <c r="DY138" s="24">
        <v>0</v>
      </c>
      <c r="DZ138" s="24">
        <v>0</v>
      </c>
      <c r="EA138" s="24">
        <v>0</v>
      </c>
      <c r="EB138" s="24">
        <v>0</v>
      </c>
      <c r="EC138" s="24">
        <v>0</v>
      </c>
      <c r="ED138" s="24">
        <v>0</v>
      </c>
      <c r="EE138" s="24">
        <v>0</v>
      </c>
      <c r="EF138" s="24">
        <v>0</v>
      </c>
      <c r="EG138" s="24">
        <v>31984</v>
      </c>
      <c r="EH138" s="24">
        <v>0</v>
      </c>
      <c r="EI138" s="24">
        <v>0</v>
      </c>
      <c r="EJ138" s="24">
        <v>0</v>
      </c>
      <c r="EK138" s="24">
        <v>0</v>
      </c>
      <c r="EL138" s="24">
        <v>0</v>
      </c>
      <c r="EM138" s="24">
        <v>0</v>
      </c>
      <c r="EN138" s="24">
        <v>0</v>
      </c>
      <c r="EO138" s="24">
        <v>0</v>
      </c>
      <c r="EP138" s="24">
        <v>0</v>
      </c>
      <c r="EQ138" s="24">
        <v>0</v>
      </c>
      <c r="ER138" s="24">
        <v>0</v>
      </c>
      <c r="ES138" s="24">
        <v>0</v>
      </c>
      <c r="ET138" s="24">
        <v>0</v>
      </c>
      <c r="EU138" s="24">
        <v>0</v>
      </c>
      <c r="EV138" s="24">
        <v>0</v>
      </c>
      <c r="EW138" s="24">
        <v>0</v>
      </c>
      <c r="EX138" s="24">
        <v>0</v>
      </c>
      <c r="EY138" s="24">
        <v>0</v>
      </c>
      <c r="EZ138" s="24">
        <v>0</v>
      </c>
      <c r="FA138" s="24">
        <v>0</v>
      </c>
      <c r="FB138" s="24">
        <v>0</v>
      </c>
      <c r="FC138" s="24">
        <v>0</v>
      </c>
      <c r="FD138" s="24">
        <v>0</v>
      </c>
      <c r="FE138" s="24">
        <v>0</v>
      </c>
      <c r="FF138" s="24">
        <v>0</v>
      </c>
      <c r="FG138" s="24">
        <v>0</v>
      </c>
      <c r="FH138" s="24">
        <v>0</v>
      </c>
      <c r="FI138" s="24">
        <v>0</v>
      </c>
      <c r="FJ138" s="24">
        <v>0</v>
      </c>
      <c r="FK138" s="24">
        <v>0</v>
      </c>
      <c r="FL138" s="24">
        <v>0</v>
      </c>
      <c r="FM138" s="24">
        <v>0</v>
      </c>
      <c r="FN138" s="24">
        <v>0</v>
      </c>
      <c r="FO138" s="24">
        <v>0</v>
      </c>
      <c r="FP138" s="24">
        <v>0</v>
      </c>
      <c r="FQ138" s="24">
        <v>0</v>
      </c>
      <c r="FR138" s="24">
        <v>0</v>
      </c>
      <c r="FS138" s="24">
        <v>77705</v>
      </c>
      <c r="FT138" s="24">
        <v>0</v>
      </c>
      <c r="FU138" s="24">
        <v>0</v>
      </c>
      <c r="FV138" s="24">
        <v>0</v>
      </c>
      <c r="FW138" s="24">
        <v>0</v>
      </c>
      <c r="FX138" s="24">
        <v>0</v>
      </c>
      <c r="FY138" s="24">
        <v>0</v>
      </c>
      <c r="FZ138" s="24">
        <v>0</v>
      </c>
      <c r="GA138" s="24">
        <v>0</v>
      </c>
      <c r="GB138" s="24">
        <v>0</v>
      </c>
      <c r="GC138" s="24">
        <v>0</v>
      </c>
      <c r="GD138" s="24">
        <v>0</v>
      </c>
      <c r="GE138" s="24">
        <v>0</v>
      </c>
      <c r="GF138" s="24">
        <v>0</v>
      </c>
      <c r="GG138" s="24">
        <v>0</v>
      </c>
      <c r="GH138" s="24">
        <v>0</v>
      </c>
      <c r="GI138" s="24">
        <v>0</v>
      </c>
      <c r="GJ138" s="24">
        <v>0</v>
      </c>
      <c r="GK138" s="24">
        <v>0</v>
      </c>
      <c r="GL138" s="24">
        <v>0</v>
      </c>
      <c r="GM138" s="24">
        <v>0</v>
      </c>
      <c r="GN138" s="24">
        <v>0</v>
      </c>
      <c r="GO138" s="24">
        <v>0</v>
      </c>
      <c r="GP138" s="24">
        <v>0</v>
      </c>
      <c r="GQ138" s="24">
        <v>0</v>
      </c>
      <c r="GR138" s="24">
        <v>0</v>
      </c>
      <c r="GS138" s="24">
        <v>0</v>
      </c>
      <c r="GT138" s="24">
        <v>0</v>
      </c>
      <c r="GU138" s="24">
        <v>0</v>
      </c>
      <c r="GV138" s="24">
        <v>0</v>
      </c>
      <c r="GW138" s="24">
        <v>0</v>
      </c>
      <c r="GX138" s="24">
        <v>0</v>
      </c>
      <c r="GY138" s="24">
        <v>0</v>
      </c>
      <c r="GZ138" s="24">
        <v>0</v>
      </c>
      <c r="HA138" s="24">
        <v>0</v>
      </c>
      <c r="HB138" s="24">
        <v>0</v>
      </c>
      <c r="HC138" s="24">
        <v>0</v>
      </c>
      <c r="HD138" s="24">
        <v>1171883</v>
      </c>
      <c r="HE138" s="24">
        <v>0</v>
      </c>
      <c r="HF138" s="24">
        <v>0</v>
      </c>
      <c r="HG138" s="24">
        <v>0</v>
      </c>
      <c r="HH138" s="24">
        <v>0</v>
      </c>
      <c r="HI138" s="24">
        <v>82522</v>
      </c>
      <c r="HJ138" s="24">
        <v>0</v>
      </c>
      <c r="HK138" s="24">
        <v>0</v>
      </c>
      <c r="HL138" s="24">
        <v>0</v>
      </c>
      <c r="HM138" s="24">
        <v>0</v>
      </c>
      <c r="HN138" s="24">
        <v>0</v>
      </c>
      <c r="HO138" s="24">
        <v>145156</v>
      </c>
      <c r="HP138" s="24">
        <v>152345</v>
      </c>
      <c r="HQ138" s="24">
        <v>0</v>
      </c>
      <c r="HR138" s="24">
        <v>0</v>
      </c>
      <c r="HS138" s="24">
        <v>0</v>
      </c>
      <c r="HT138" s="24">
        <v>0</v>
      </c>
      <c r="HU138" s="24">
        <v>0</v>
      </c>
      <c r="HV138" s="24">
        <v>0</v>
      </c>
      <c r="HW138" s="24">
        <v>0</v>
      </c>
      <c r="HX138" s="24">
        <v>0</v>
      </c>
      <c r="HY138" s="24">
        <v>0</v>
      </c>
      <c r="HZ138" s="24">
        <v>0</v>
      </c>
      <c r="IA138" s="24">
        <v>21420</v>
      </c>
      <c r="IB138" s="24">
        <v>0</v>
      </c>
      <c r="IC138" s="24">
        <v>0</v>
      </c>
      <c r="ID138" s="24">
        <v>0</v>
      </c>
      <c r="IE138" s="24">
        <v>0</v>
      </c>
      <c r="IF138" s="24">
        <v>0</v>
      </c>
      <c r="IG138" s="24">
        <v>0</v>
      </c>
      <c r="IH138" s="24">
        <v>0</v>
      </c>
      <c r="II138" s="24">
        <v>0</v>
      </c>
      <c r="IJ138" s="24">
        <v>0</v>
      </c>
      <c r="IK138" s="24">
        <v>0</v>
      </c>
      <c r="IL138" s="24">
        <v>0</v>
      </c>
      <c r="IM138" s="24">
        <v>0</v>
      </c>
      <c r="IN138" s="24">
        <v>0</v>
      </c>
      <c r="IO138" s="24">
        <v>0</v>
      </c>
      <c r="IP138" s="24">
        <v>0</v>
      </c>
      <c r="IQ138" s="24">
        <v>0</v>
      </c>
      <c r="IR138" s="24">
        <v>3950</v>
      </c>
      <c r="IS138" s="24">
        <v>0</v>
      </c>
      <c r="IT138" s="24">
        <v>0</v>
      </c>
      <c r="IU138" s="24">
        <v>0</v>
      </c>
      <c r="IV138" s="24">
        <v>0</v>
      </c>
      <c r="IW138" s="24">
        <v>15678</v>
      </c>
      <c r="IX138" s="24">
        <v>0</v>
      </c>
      <c r="IY138" s="24">
        <v>0</v>
      </c>
      <c r="IZ138" s="24">
        <v>0</v>
      </c>
      <c r="JA138" s="24">
        <v>0</v>
      </c>
      <c r="JB138" s="24">
        <v>0</v>
      </c>
      <c r="JC138" s="24">
        <v>0</v>
      </c>
      <c r="JD138" s="24">
        <v>0</v>
      </c>
      <c r="JE138" s="24">
        <v>0</v>
      </c>
      <c r="JF138" s="24">
        <v>0</v>
      </c>
      <c r="JG138" s="24">
        <v>0</v>
      </c>
      <c r="JH138" s="24">
        <v>0</v>
      </c>
      <c r="JI138" s="24">
        <v>0</v>
      </c>
      <c r="JJ138" s="24">
        <v>0</v>
      </c>
      <c r="JK138" s="24">
        <v>0</v>
      </c>
      <c r="JL138" s="24">
        <v>0</v>
      </c>
      <c r="JM138" s="24">
        <v>0</v>
      </c>
      <c r="JN138" s="24">
        <v>0</v>
      </c>
      <c r="JO138" s="24">
        <v>0</v>
      </c>
      <c r="JP138" s="24">
        <v>0</v>
      </c>
      <c r="JQ138" s="24">
        <v>0</v>
      </c>
      <c r="JR138" s="24">
        <v>0</v>
      </c>
      <c r="JS138" s="24">
        <v>0</v>
      </c>
      <c r="JT138" s="24">
        <v>0</v>
      </c>
      <c r="JU138" s="24">
        <v>5331</v>
      </c>
      <c r="JV138" s="24">
        <v>0</v>
      </c>
      <c r="JW138" s="24">
        <v>0</v>
      </c>
      <c r="JX138" s="24">
        <v>0</v>
      </c>
      <c r="JY138" s="24">
        <v>0</v>
      </c>
      <c r="JZ138" s="24">
        <v>0</v>
      </c>
      <c r="KA138" s="24">
        <v>0</v>
      </c>
      <c r="KB138" s="24">
        <v>0</v>
      </c>
      <c r="KC138" s="24">
        <v>0</v>
      </c>
      <c r="KD138" s="24">
        <v>0</v>
      </c>
      <c r="KE138" s="24">
        <v>0</v>
      </c>
      <c r="KF138" s="24">
        <v>0</v>
      </c>
      <c r="KG138" s="24">
        <v>0</v>
      </c>
      <c r="KH138" s="24">
        <v>0</v>
      </c>
      <c r="KI138" s="24">
        <v>0</v>
      </c>
      <c r="KJ138" s="24">
        <v>0</v>
      </c>
      <c r="KK138" s="24">
        <v>0</v>
      </c>
      <c r="KL138" s="24">
        <v>0</v>
      </c>
      <c r="KM138" s="24">
        <v>0</v>
      </c>
      <c r="KN138" s="24">
        <v>0</v>
      </c>
      <c r="KO138" s="24">
        <v>0</v>
      </c>
      <c r="KP138" s="24">
        <v>0</v>
      </c>
      <c r="KQ138" s="24">
        <v>0</v>
      </c>
      <c r="KR138" s="24">
        <v>0</v>
      </c>
      <c r="KS138" s="24">
        <v>0</v>
      </c>
      <c r="KT138" s="24">
        <v>0</v>
      </c>
      <c r="KU138" s="24">
        <v>0</v>
      </c>
      <c r="KV138" s="24">
        <v>0</v>
      </c>
      <c r="KW138" s="24">
        <v>0</v>
      </c>
      <c r="KX138" s="24">
        <v>0</v>
      </c>
      <c r="KY138" s="24">
        <v>0</v>
      </c>
      <c r="KZ138" s="24">
        <v>0</v>
      </c>
      <c r="LA138" s="24">
        <v>0</v>
      </c>
      <c r="LB138" s="24">
        <v>0</v>
      </c>
      <c r="LC138" s="24">
        <v>0</v>
      </c>
      <c r="LD138" s="24">
        <v>0</v>
      </c>
      <c r="LE138" s="24">
        <v>0</v>
      </c>
      <c r="LF138" s="24">
        <v>0</v>
      </c>
      <c r="LG138" s="24">
        <v>0</v>
      </c>
      <c r="LH138" s="24">
        <v>0</v>
      </c>
      <c r="LI138" s="24">
        <v>0</v>
      </c>
      <c r="LJ138" s="24">
        <v>0</v>
      </c>
      <c r="LK138" s="24">
        <v>0</v>
      </c>
      <c r="LL138" s="24">
        <v>0</v>
      </c>
      <c r="LM138" s="24">
        <v>0</v>
      </c>
      <c r="LN138" s="24">
        <v>0</v>
      </c>
      <c r="LO138" s="24">
        <v>0</v>
      </c>
      <c r="LP138" s="24">
        <v>0</v>
      </c>
      <c r="LQ138" s="24">
        <v>48731</v>
      </c>
      <c r="LR138" s="24">
        <v>0</v>
      </c>
      <c r="LS138" s="24">
        <v>0</v>
      </c>
      <c r="LT138" s="24">
        <v>0</v>
      </c>
      <c r="LU138" s="24">
        <v>0</v>
      </c>
      <c r="LV138" s="24">
        <v>0</v>
      </c>
      <c r="LW138" s="24">
        <v>0</v>
      </c>
      <c r="LX138" s="24">
        <v>0</v>
      </c>
      <c r="LY138" s="24">
        <v>0</v>
      </c>
      <c r="LZ138" s="24">
        <v>0</v>
      </c>
      <c r="MA138" s="24">
        <v>0</v>
      </c>
      <c r="MB138" s="24">
        <v>0</v>
      </c>
      <c r="MC138" s="24">
        <v>0</v>
      </c>
      <c r="MD138" s="24">
        <v>0</v>
      </c>
      <c r="ME138" s="24">
        <v>0</v>
      </c>
      <c r="MF138" s="24">
        <v>0</v>
      </c>
      <c r="MG138" s="24">
        <v>0</v>
      </c>
      <c r="MH138" s="24">
        <v>0</v>
      </c>
      <c r="MI138" s="24">
        <v>0</v>
      </c>
      <c r="MJ138" s="24">
        <v>0</v>
      </c>
      <c r="MK138" s="24">
        <v>0</v>
      </c>
      <c r="ML138" s="24">
        <v>0</v>
      </c>
      <c r="MM138" s="24">
        <v>0</v>
      </c>
      <c r="MN138" s="24">
        <v>0</v>
      </c>
      <c r="MO138" s="24">
        <v>0</v>
      </c>
      <c r="MP138" s="24">
        <v>0</v>
      </c>
      <c r="MQ138" s="24">
        <v>0</v>
      </c>
      <c r="MR138" s="24">
        <v>90260</v>
      </c>
      <c r="MS138" s="24">
        <v>0</v>
      </c>
      <c r="MT138" s="24">
        <v>0</v>
      </c>
      <c r="MU138" s="24">
        <v>0</v>
      </c>
      <c r="MV138" s="24">
        <v>0</v>
      </c>
      <c r="MW138" s="24">
        <v>58882</v>
      </c>
      <c r="MX138" s="24">
        <v>0</v>
      </c>
      <c r="MY138" s="24">
        <v>0</v>
      </c>
      <c r="MZ138" s="24">
        <v>0</v>
      </c>
      <c r="NA138" s="24">
        <v>0</v>
      </c>
      <c r="NB138" s="24">
        <v>0</v>
      </c>
      <c r="NC138" s="24">
        <v>0</v>
      </c>
      <c r="ND138" s="24">
        <v>0</v>
      </c>
      <c r="NE138" s="24">
        <v>0</v>
      </c>
      <c r="NF138" s="24">
        <v>0</v>
      </c>
      <c r="NG138" s="24">
        <v>0</v>
      </c>
      <c r="NH138" s="24">
        <v>0</v>
      </c>
      <c r="NI138" s="24">
        <v>0</v>
      </c>
      <c r="NJ138" s="24">
        <v>0</v>
      </c>
      <c r="NK138" s="24">
        <v>0</v>
      </c>
      <c r="NL138" s="24">
        <v>0</v>
      </c>
      <c r="NM138" s="24">
        <v>0</v>
      </c>
      <c r="NN138" s="24">
        <v>0</v>
      </c>
      <c r="NO138" s="24">
        <v>0</v>
      </c>
      <c r="NP138" s="24">
        <v>0</v>
      </c>
      <c r="NQ138" s="24">
        <v>30518</v>
      </c>
      <c r="NR138" s="24">
        <v>0</v>
      </c>
      <c r="NS138" s="24">
        <v>0</v>
      </c>
      <c r="NT138" s="24">
        <v>0</v>
      </c>
      <c r="NU138" s="24">
        <v>0</v>
      </c>
      <c r="NV138" s="24">
        <v>730</v>
      </c>
      <c r="NW138" s="24">
        <v>0</v>
      </c>
      <c r="NX138" s="24">
        <v>0</v>
      </c>
      <c r="NY138" s="24">
        <v>0</v>
      </c>
      <c r="NZ138" s="24">
        <v>0</v>
      </c>
      <c r="OA138" s="24">
        <v>0</v>
      </c>
      <c r="OB138" s="24">
        <v>0</v>
      </c>
      <c r="OC138" s="24">
        <v>0</v>
      </c>
      <c r="OD138" s="24">
        <v>0</v>
      </c>
      <c r="OE138" s="24">
        <v>0</v>
      </c>
      <c r="OF138" s="24">
        <v>0</v>
      </c>
      <c r="OG138" s="24">
        <v>0</v>
      </c>
      <c r="OH138" s="24">
        <v>0</v>
      </c>
      <c r="OI138" s="24">
        <v>0</v>
      </c>
      <c r="OJ138" s="24">
        <v>0</v>
      </c>
      <c r="OK138" s="24">
        <v>2431</v>
      </c>
      <c r="OL138" s="24">
        <v>0</v>
      </c>
      <c r="OM138" s="24">
        <v>0</v>
      </c>
      <c r="ON138" s="24">
        <v>0</v>
      </c>
      <c r="OO138" s="24">
        <v>0</v>
      </c>
      <c r="OP138" s="24">
        <v>0</v>
      </c>
      <c r="OQ138" s="24">
        <v>0</v>
      </c>
      <c r="OR138" s="24">
        <v>0</v>
      </c>
      <c r="OS138" s="24">
        <v>0</v>
      </c>
      <c r="OT138" s="24">
        <v>0</v>
      </c>
      <c r="OU138" s="24">
        <v>0</v>
      </c>
      <c r="OV138" s="24">
        <v>0</v>
      </c>
      <c r="OW138" s="24">
        <v>0</v>
      </c>
      <c r="OX138" s="24">
        <v>0</v>
      </c>
      <c r="OY138" s="24">
        <v>0</v>
      </c>
      <c r="OZ138" s="24">
        <v>0</v>
      </c>
      <c r="PA138" s="24">
        <v>0</v>
      </c>
      <c r="PB138" s="24">
        <v>0</v>
      </c>
      <c r="PC138" s="24">
        <v>0</v>
      </c>
      <c r="PD138" s="24">
        <v>0</v>
      </c>
      <c r="PE138" s="24">
        <v>0</v>
      </c>
      <c r="PF138" s="24">
        <v>0</v>
      </c>
      <c r="PG138" s="24">
        <v>0</v>
      </c>
      <c r="PH138" s="24">
        <v>0</v>
      </c>
      <c r="PI138" s="24">
        <v>0</v>
      </c>
      <c r="PJ138" s="24">
        <v>0</v>
      </c>
      <c r="PK138" s="24">
        <v>0</v>
      </c>
      <c r="PL138" s="24">
        <v>0</v>
      </c>
      <c r="PM138" s="24">
        <v>0</v>
      </c>
      <c r="PN138" s="24">
        <v>0</v>
      </c>
      <c r="PO138" s="24">
        <v>0</v>
      </c>
      <c r="PP138" s="24">
        <v>0</v>
      </c>
      <c r="PQ138" s="24">
        <v>0</v>
      </c>
      <c r="PR138" s="24">
        <v>0</v>
      </c>
      <c r="PS138" s="24">
        <v>0</v>
      </c>
      <c r="PT138" s="24">
        <v>5450</v>
      </c>
      <c r="PU138" s="24">
        <v>0</v>
      </c>
      <c r="PV138" s="24">
        <v>0</v>
      </c>
      <c r="PW138" s="24">
        <v>0</v>
      </c>
      <c r="PX138" s="24">
        <v>0</v>
      </c>
      <c r="PY138" s="24">
        <v>0</v>
      </c>
      <c r="PZ138" s="24">
        <v>0</v>
      </c>
      <c r="QA138" s="24">
        <v>0</v>
      </c>
      <c r="QB138" s="24">
        <v>0</v>
      </c>
      <c r="QC138" s="24">
        <v>0</v>
      </c>
      <c r="QD138" s="24">
        <v>0</v>
      </c>
      <c r="QE138" s="24">
        <v>0</v>
      </c>
      <c r="QF138" s="24">
        <v>0</v>
      </c>
      <c r="QG138" s="24">
        <v>0</v>
      </c>
      <c r="QH138" s="24">
        <v>0</v>
      </c>
      <c r="QI138" s="24">
        <v>0</v>
      </c>
      <c r="QJ138" s="24">
        <v>0</v>
      </c>
      <c r="QK138" s="24">
        <v>0</v>
      </c>
      <c r="QL138" s="24">
        <v>0</v>
      </c>
      <c r="QM138" s="24">
        <v>0</v>
      </c>
      <c r="QN138" s="24">
        <v>0</v>
      </c>
      <c r="QO138" s="24">
        <v>0</v>
      </c>
      <c r="QP138" s="24">
        <v>0</v>
      </c>
      <c r="QQ138" s="24">
        <v>0</v>
      </c>
      <c r="QR138" s="24">
        <v>0</v>
      </c>
      <c r="QS138" s="24">
        <v>0</v>
      </c>
      <c r="QT138" s="24">
        <v>0</v>
      </c>
      <c r="QU138" s="24">
        <v>0</v>
      </c>
      <c r="QV138" s="24">
        <v>0</v>
      </c>
      <c r="QW138" s="24">
        <v>0</v>
      </c>
      <c r="QX138" s="24">
        <v>0</v>
      </c>
      <c r="QY138" s="24">
        <v>0</v>
      </c>
      <c r="QZ138" s="24">
        <v>0</v>
      </c>
      <c r="RA138" s="24">
        <v>0</v>
      </c>
      <c r="RB138" s="24">
        <v>0</v>
      </c>
      <c r="RC138" s="913">
        <v>2</v>
      </c>
      <c r="RG138" s="39">
        <f t="shared" si="248"/>
        <v>1171883</v>
      </c>
      <c r="RH138" s="39">
        <f t="shared" si="249"/>
        <v>82522</v>
      </c>
      <c r="RI138" s="39">
        <f t="shared" si="249"/>
        <v>0</v>
      </c>
      <c r="RJ138" s="39">
        <f t="shared" si="249"/>
        <v>0</v>
      </c>
      <c r="RK138" s="39">
        <f t="shared" si="249"/>
        <v>0</v>
      </c>
      <c r="RL138" s="39">
        <f t="shared" si="249"/>
        <v>145156</v>
      </c>
      <c r="RM138" s="39">
        <f t="shared" si="249"/>
        <v>173765</v>
      </c>
      <c r="RN138" s="39">
        <f t="shared" si="249"/>
        <v>0</v>
      </c>
      <c r="RO138" s="39">
        <f t="shared" si="249"/>
        <v>3950</v>
      </c>
      <c r="RP138" s="39">
        <f t="shared" si="249"/>
        <v>15678</v>
      </c>
      <c r="RQ138" s="39">
        <f t="shared" si="249"/>
        <v>0</v>
      </c>
      <c r="RR138" s="39">
        <f t="shared" si="249"/>
        <v>5331</v>
      </c>
      <c r="RS138" s="39"/>
      <c r="RT138" s="182"/>
      <c r="RU138" s="39"/>
      <c r="RV138" s="39">
        <f t="shared" si="246"/>
        <v>231552</v>
      </c>
      <c r="RW138" s="39">
        <f t="shared" si="246"/>
        <v>1598285</v>
      </c>
      <c r="RX138" s="39">
        <f t="shared" si="246"/>
        <v>139200</v>
      </c>
      <c r="RY138" s="39">
        <f t="shared" si="246"/>
        <v>5450</v>
      </c>
      <c r="RZ138" s="39"/>
      <c r="SA138" s="182"/>
      <c r="SB138" s="39"/>
      <c r="SC138" s="25">
        <f t="shared" si="183"/>
        <v>624.21524663677133</v>
      </c>
      <c r="SD138" s="39">
        <f>IFERROR(VLOOKUP(A138, 'Levy Data 15-16'!$B:$O, 3, FALSE), 0)</f>
        <v>0</v>
      </c>
      <c r="SE138" s="39">
        <f t="shared" ref="SE138:SE163" si="265">SD138/ST138</f>
        <v>0</v>
      </c>
      <c r="SF138" s="631">
        <f>IFERROR(VLOOKUP(A138, 'Levy Data 15-16'!$B:$O, 14, FALSE), 0)*1000</f>
        <v>0</v>
      </c>
      <c r="SG138" s="39">
        <f t="shared" ref="SG138:SG163" si="266">$SG$6*SD138/1000</f>
        <v>0</v>
      </c>
      <c r="SH138" s="39">
        <f t="shared" ref="SH138:SH163" si="267">MIN(RX138,SG138)</f>
        <v>0</v>
      </c>
      <c r="SI138" s="39">
        <f t="shared" ref="SI138:SI163" si="268">(RX138-SH138)*1</f>
        <v>139200</v>
      </c>
      <c r="SM138" s="39">
        <f t="shared" ref="SM138:SM163" si="269">SUM(RG138:RR138)</f>
        <v>1598285</v>
      </c>
      <c r="SN138" s="39">
        <f t="shared" ref="SN138:SN163" si="270">SM138-SUMIFS(RG138:RR138,RG$4:RR$4,"X")</f>
        <v>0</v>
      </c>
      <c r="SO138" s="39">
        <f t="shared" si="184"/>
        <v>1598285</v>
      </c>
      <c r="SP138" s="50">
        <f t="shared" si="250"/>
        <v>1</v>
      </c>
      <c r="ST138" s="124">
        <f>IFERROR(VLOOKUP(A138,'Grade Enroll 15-16'!B:AC,27,FALSE),"")</f>
        <v>223</v>
      </c>
      <c r="SU138" s="124">
        <f t="shared" si="264"/>
        <v>128.47736625514403</v>
      </c>
      <c r="SV138" s="131">
        <f>IFERROR(VLOOKUP($A138, 'Title I Enroll 16-17'!S:V, 4, FALSE), 0)</f>
        <v>0.5761316872427984</v>
      </c>
      <c r="SW138" s="729">
        <f>IFERROR(VLOOKUP(A138, 'ELL Enroll 15-16'!$N:$S, 6, FALSE), 0)</f>
        <v>36</v>
      </c>
      <c r="SX138" s="131">
        <f t="shared" si="251"/>
        <v>0.16143497757847533</v>
      </c>
      <c r="SY138" s="124">
        <f>IFERROR(VLOOKUP(A138, 'SPED enroll 2015-16'!$M:$O, 3, FALSE), 0)</f>
        <v>21</v>
      </c>
      <c r="SZ138" s="131">
        <f t="shared" si="252"/>
        <v>9.417040358744394E-2</v>
      </c>
      <c r="TA138" s="142">
        <f t="shared" si="253"/>
        <v>14.7</v>
      </c>
      <c r="TB138" s="142">
        <f t="shared" si="253"/>
        <v>4.2</v>
      </c>
      <c r="TC138" s="142">
        <f t="shared" si="253"/>
        <v>1.4700000000000002</v>
      </c>
      <c r="TD138" s="142">
        <f t="shared" si="253"/>
        <v>0.63</v>
      </c>
      <c r="TE138" s="124">
        <f>VLOOKUP($A138, 'Grade Enroll 15-16'!$B:$AB, 20, FALSE)</f>
        <v>0</v>
      </c>
      <c r="TF138" s="124">
        <f>VLOOKUP($A138, 'Grade Enroll 15-16'!$B:$AB, 21, FALSE)</f>
        <v>24</v>
      </c>
      <c r="TG138" s="124">
        <f>VLOOKUP($A138, 'Grade Enroll 15-16'!$B:$AB, 22, FALSE)</f>
        <v>70</v>
      </c>
      <c r="TH138" s="124">
        <f>VLOOKUP($A138, 'Grade Enroll 15-16'!$B:$AB, 23, FALSE)</f>
        <v>66</v>
      </c>
      <c r="TI138" s="124">
        <f>VLOOKUP($A138, 'Grade Enroll 15-16'!$B:$AB, 24, FALSE)</f>
        <v>34</v>
      </c>
      <c r="TJ138" s="124">
        <f>VLOOKUP($A138, 'Grade Enroll 15-16'!$B:$AB, 25, FALSE)</f>
        <v>53</v>
      </c>
      <c r="TK138" s="124">
        <f>VLOOKUP($A138, 'Grade Enroll 15-16'!$B:$AB, 26, FALSE)</f>
        <v>155</v>
      </c>
      <c r="TL138" s="131">
        <f>SUMIFS('Student Achievement 15-16'!N:N, 'Student Achievement 15-16'!B:B, 'Idaho Data'!A138, 'Student Achievement 15-16'!D:D, "math")/100</f>
        <v>0.40200000000000002</v>
      </c>
      <c r="TM138" s="134">
        <f t="shared" si="186"/>
        <v>89.646000000000001</v>
      </c>
      <c r="TN138" s="131">
        <f>SUMIFS('Student Achievement 15-16'!N:N, 'Student Achievement 15-16'!B:B, 'Idaho Data'!A138, 'Student Achievement 15-16'!D:D, "ela")/100</f>
        <v>0.34799999999999998</v>
      </c>
      <c r="TO138" s="134">
        <f t="shared" si="254"/>
        <v>77.603999999999999</v>
      </c>
      <c r="TP138" s="688">
        <f>IFERROR(VLOOKUP(A138, 'G&amp;T 15-16'!B:G, 6, FALSE), 0)*1</f>
        <v>0</v>
      </c>
      <c r="TQ138" s="168">
        <f t="shared" si="255"/>
        <v>13.379999999999999</v>
      </c>
      <c r="TU138" s="168">
        <f t="shared" si="256"/>
        <v>77.603999999999999</v>
      </c>
      <c r="TV138" s="168">
        <f t="shared" si="257"/>
        <v>89.646000000000001</v>
      </c>
      <c r="TW138" s="205">
        <f t="shared" si="258"/>
        <v>89.646000000000001</v>
      </c>
      <c r="TX138" s="144"/>
      <c r="TY138" s="129"/>
      <c r="TZ138" s="127">
        <f t="shared" si="259"/>
        <v>0</v>
      </c>
      <c r="UA138" s="127">
        <f t="shared" si="260"/>
        <v>13.379999999999999</v>
      </c>
      <c r="UB138" s="205">
        <f t="shared" si="261"/>
        <v>13.379999999999999</v>
      </c>
      <c r="UE138" s="853" t="str">
        <f>IF(ST138&lt;='1. Simulator Input'!$E$104, "yes", "")</f>
        <v>yes</v>
      </c>
      <c r="UI138" s="199">
        <f t="shared" si="187"/>
        <v>0</v>
      </c>
      <c r="UJ138" s="200">
        <f>IF('Idaho Data'!SI138&gt;=0, ((1-'1. Simulator Input'!$E$39)*'Idaho Data'!SI138), 0)</f>
        <v>0</v>
      </c>
      <c r="UK138" s="200">
        <f t="shared" si="262"/>
        <v>1598285</v>
      </c>
      <c r="UL138" s="39"/>
      <c r="UM138" s="182"/>
      <c r="UN138" s="39"/>
      <c r="UO138" s="39">
        <f>IF(AND('1. Simulator Input'!$E$96="yes", '1. Simulator Input'!$E$98="yes", '1. Simulator Input'!$E$100="hold harmless"), 'Idaho Data'!WN138, IF(AND('1. Simulator Input'!$E$96="yes", '1. Simulator Input'!$E$98="no", '1. Simulator Input'!$E$100="hold harmless"), 'Idaho Data'!WM138, IF(AND('1. Simulator Input'!$E$96="yes", '1. Simulator Input'!$E$98="yes", '1. Simulator Input'!$E$100="small district grant"), WL138,IF(AND('1. Simulator Input'!$E$96="yes", '1. Simulator Input'!$E$98="no", '1. Simulator Input'!$E$100="small district grant"), WK138, ""))))</f>
        <v>0</v>
      </c>
      <c r="UP138" s="200">
        <f>'1. Simulator Input'!$D$56*('Idaho Data'!ST138)</f>
        <v>1232298</v>
      </c>
      <c r="UQ138" s="204">
        <f>'1. Simulator Input'!$D$65*'1. Simulator Input'!$D$56*'Idaho Data'!SU138</f>
        <v>0</v>
      </c>
      <c r="UR138" s="204">
        <f>'1. Simulator Input'!$D$66*'1. Simulator Input'!$D$56*'Idaho Data'!SW138</f>
        <v>0</v>
      </c>
      <c r="US138" s="200">
        <f>'1. Simulator Input'!$D$67*'1. Simulator Input'!$D$56*'Idaho Data'!TA138</f>
        <v>0</v>
      </c>
      <c r="UT138" s="200">
        <f>'1. Simulator Input'!$D$68*'1. Simulator Input'!$D$56*'Idaho Data'!TB138</f>
        <v>0</v>
      </c>
      <c r="UU138" s="200">
        <f>'1. Simulator Input'!$D$69*'1. Simulator Input'!$D$56*'Idaho Data'!TC138</f>
        <v>0</v>
      </c>
      <c r="UV138" s="200">
        <f>'1. Simulator Input'!$D$70*'1. Simulator Input'!$D$56*TD138</f>
        <v>0</v>
      </c>
      <c r="UW138" s="200">
        <f>'1. Simulator Input'!$D$80*'1. Simulator Input'!$D$56*TW138</f>
        <v>0</v>
      </c>
      <c r="UX138" s="200">
        <f>'1. Simulator Input'!$D$79*'1. Simulator Input'!$D$56*UB138</f>
        <v>0</v>
      </c>
      <c r="UY138" s="200">
        <f>'1. Simulator Input'!$D$87*'1. Simulator Input'!$D$56*TF138</f>
        <v>66312</v>
      </c>
      <c r="UZ138" s="200">
        <f>'1. Simulator Input'!$D$73*'1. Simulator Input'!$D$56*'Idaho Data'!TG138</f>
        <v>0</v>
      </c>
      <c r="VA138" s="200">
        <f>'1. Simulator Input'!$D$56*'1. Simulator Input'!$D$74*'Idaho Data'!TH138</f>
        <v>0</v>
      </c>
      <c r="VB138" s="200">
        <f>'1. Simulator Input'!$D$56*'1. Simulator Input'!$D$75*'Idaho Data'!TI133</f>
        <v>0</v>
      </c>
      <c r="VC138" s="200">
        <f>'1. Simulator Input'!$D$76*'1. Simulator Input'!$D$56*'Idaho Data'!TJ138</f>
        <v>0</v>
      </c>
      <c r="VD138" s="200">
        <f t="shared" si="188"/>
        <v>1298610</v>
      </c>
      <c r="VE138" s="200"/>
      <c r="VF138" s="182"/>
      <c r="VG138" s="200"/>
      <c r="VH138" s="200">
        <f t="shared" si="189"/>
        <v>0</v>
      </c>
      <c r="VI138" s="200">
        <f t="shared" si="190"/>
        <v>0</v>
      </c>
      <c r="VJ138" s="200">
        <f t="shared" ref="VJ138:VJ163" si="271">SUM($UO138:$VC138)-VH138</f>
        <v>1298610</v>
      </c>
      <c r="VK138" s="200">
        <f t="shared" ref="VK138:VK163" si="272">IF(AND($UE$5&gt;0, UE138="yes"), VJ138, IF(VJ138&lt;0, 0, VJ138-($VK$2*ST138)))</f>
        <v>1298610</v>
      </c>
      <c r="VL138" s="200"/>
      <c r="VM138" s="182"/>
      <c r="VN138" s="200"/>
      <c r="VO138" s="200">
        <f t="shared" si="191"/>
        <v>231552</v>
      </c>
      <c r="VP138" s="200">
        <f t="shared" si="192"/>
        <v>1598285</v>
      </c>
      <c r="VQ138" s="200">
        <f t="shared" si="193"/>
        <v>139200</v>
      </c>
      <c r="VR138" s="200">
        <f t="shared" si="194"/>
        <v>231552</v>
      </c>
      <c r="VS138" s="200">
        <f t="shared" ref="VS138:VS163" si="273">VK138+SN138</f>
        <v>1298610</v>
      </c>
      <c r="VT138" s="200">
        <f t="shared" ref="VT138:VT163" si="274">VI138+SI138</f>
        <v>139200</v>
      </c>
      <c r="VU138" s="200">
        <f t="shared" ref="VU138:VU163" si="275">IF(SH138&gt;SG138,0, SG138-SH138)</f>
        <v>0</v>
      </c>
      <c r="VV138" s="200"/>
      <c r="VW138" s="182"/>
      <c r="VX138" s="200"/>
      <c r="VZ138" s="199">
        <f t="shared" si="195"/>
        <v>-299675</v>
      </c>
      <c r="WA138" s="199">
        <f t="shared" si="196"/>
        <v>-1343.8340807174889</v>
      </c>
      <c r="WB138" s="131">
        <f t="shared" si="197"/>
        <v>-0.18749784925717253</v>
      </c>
      <c r="WC138" s="131"/>
      <c r="WD138" s="461"/>
      <c r="WE138" s="893"/>
      <c r="WF138" s="893">
        <f t="shared" si="198"/>
        <v>8829.7623318385649</v>
      </c>
      <c r="WG138" s="893">
        <f t="shared" si="199"/>
        <v>7485.9282511210758</v>
      </c>
      <c r="WH138" s="893"/>
      <c r="WI138" s="893">
        <f t="shared" si="200"/>
        <v>1598285</v>
      </c>
      <c r="WJ138" s="893">
        <f t="shared" ref="WJ138:WJ163" si="276">SUM(UP138:VC138)-UI138</f>
        <v>1298610</v>
      </c>
      <c r="WK138" s="39">
        <f t="shared" ref="WK138:WK163" si="277">IF(UE138="","",IF($UE$5="","",IF(AND(UE138="yes", WJ138&gt;WI138),0,IF((WI138-WJ138)&gt;$UE$5,$UE$5,WI138-WJ138))))</f>
        <v>0</v>
      </c>
      <c r="WL138" s="39">
        <f t="shared" ref="WL138:WL163" si="278">IF(WK138="", "", IF((WJ138+(SG138-SH138)-WI138)&gt;0, 0, IF((WI138-WJ138+(SG138-SH138))&gt;=$UE$5, $UE$5, (WI138-WJ138-(SG138-SH138)))))</f>
        <v>0</v>
      </c>
      <c r="WM138" s="200">
        <f t="shared" ref="WM138:WM163" si="279">IF(UE138="","",IF(WJ138&gt;WI138,0,WI138-WJ138))</f>
        <v>299675</v>
      </c>
      <c r="WN138" s="39">
        <f t="shared" ref="WN138:WN163" si="280">IF(ISNUMBER(WM138), WM138-(SG138-SH138), "")</f>
        <v>299675</v>
      </c>
      <c r="WO138" s="39"/>
      <c r="WP138" s="182"/>
      <c r="WQ138" s="39"/>
      <c r="WR138" s="305"/>
      <c r="WT138" s="200">
        <f t="shared" ref="WT138:WT163" si="281">RW138/ST138</f>
        <v>7167.1973094170407</v>
      </c>
      <c r="WU138" s="131">
        <f t="shared" si="201"/>
        <v>0.64</v>
      </c>
      <c r="WW138" s="199">
        <f t="shared" ref="WW138:WW163" si="282">RV138</f>
        <v>231552</v>
      </c>
      <c r="WX138" s="199">
        <f t="shared" ref="WX138:WX163" si="283">IF((XP138-UI138)&lt;0, 0, (XP138-UI138))</f>
        <v>1298610</v>
      </c>
      <c r="WY138" s="199">
        <f t="shared" ref="WY138:WY163" si="284">YF138</f>
        <v>0</v>
      </c>
      <c r="WZ138" s="199">
        <f t="shared" si="202"/>
        <v>1298610</v>
      </c>
      <c r="XA138" s="199">
        <f t="shared" ref="XA138:XA163" si="285">SH138</f>
        <v>0</v>
      </c>
      <c r="XB138" s="199">
        <f t="shared" ref="XB138:XB163" si="286">SI138</f>
        <v>139200</v>
      </c>
      <c r="XC138" s="199">
        <f t="shared" ref="XC138:XC163" si="287">RX138</f>
        <v>139200</v>
      </c>
      <c r="XD138" s="199" t="str">
        <f t="shared" ref="XD138:XD163" si="288">IF(XP138-UI138&lt;0, -(XP138-UI138), "")</f>
        <v/>
      </c>
      <c r="XE138" s="199"/>
      <c r="XF138" s="199"/>
      <c r="XG138" s="199"/>
      <c r="XH138" s="199"/>
      <c r="XI138" s="199"/>
      <c r="XJ138" s="199">
        <f t="shared" si="203"/>
        <v>1298610</v>
      </c>
      <c r="XP138" s="199">
        <f t="shared" ref="XP138:XP163" si="289">SUM(UO138:VC138)</f>
        <v>1298610</v>
      </c>
      <c r="XQ138" s="199">
        <f t="shared" ref="XQ138:XQ163" si="290">XP138/ST138</f>
        <v>5823.3632286995517</v>
      </c>
      <c r="XR138" s="199">
        <f t="shared" ref="XR138:XR163" si="291">IF(UI138&gt;0,XP138-UI138+SH138,XP138)</f>
        <v>1298610</v>
      </c>
      <c r="XS138" s="199">
        <f t="shared" ref="XS138:XS163" si="292">IF(XR138&lt;0, 0, XR138-$XR$171*ST138)</f>
        <v>1298610</v>
      </c>
      <c r="XT138" s="199">
        <f t="shared" ref="XT138:XT163" si="293">XS138/ST138</f>
        <v>5823.3632286995517</v>
      </c>
      <c r="XU138" s="199">
        <f t="shared" ref="XU138:XU163" si="294">SUM(UI138:UK138)</f>
        <v>1598285</v>
      </c>
      <c r="XV138" s="199">
        <f t="shared" ref="XV138:XV163" si="295">XU138/ST138</f>
        <v>7167.1973094170407</v>
      </c>
      <c r="XW138" s="199">
        <f t="shared" ref="XW138:XW163" si="296">UK138+SH138</f>
        <v>1598285</v>
      </c>
      <c r="XX138" s="199">
        <f t="shared" ref="XX138:XX163" si="297">XW138/ST138</f>
        <v>7167.1973094170407</v>
      </c>
      <c r="XY138" s="199">
        <f t="shared" si="204"/>
        <v>-299675</v>
      </c>
      <c r="XZ138" s="199">
        <f t="shared" si="205"/>
        <v>-1343.8340807174891</v>
      </c>
      <c r="YA138" s="131">
        <f t="shared" si="263"/>
        <v>-0.18749784925717256</v>
      </c>
      <c r="YB138" s="199"/>
      <c r="YC138" s="221"/>
      <c r="YD138" s="199"/>
      <c r="YE138" s="199">
        <f t="shared" ref="YE138:YE163" si="298">RV138</f>
        <v>231552</v>
      </c>
      <c r="YF138" s="200">
        <f t="shared" ref="YF138:YF163" si="299">SUMIF($RG$4:$RR$4, "0", RG138:RR138)</f>
        <v>0</v>
      </c>
      <c r="YG138" s="199">
        <f t="shared" ref="YG138:YG163" si="300">SI138</f>
        <v>139200</v>
      </c>
      <c r="YH138" s="199">
        <f t="shared" ref="YH138:YH163" si="301">RY138</f>
        <v>5450</v>
      </c>
    </row>
    <row r="139" spans="1:658">
      <c r="A139" s="3">
        <v>466</v>
      </c>
      <c r="B139" s="2" t="s">
        <v>1485</v>
      </c>
      <c r="C139" s="24">
        <v>0</v>
      </c>
      <c r="D139" s="24">
        <v>0</v>
      </c>
      <c r="E139" s="24">
        <v>0</v>
      </c>
      <c r="F139" s="24">
        <v>0</v>
      </c>
      <c r="G139" s="24">
        <v>0</v>
      </c>
      <c r="H139" s="24">
        <v>0</v>
      </c>
      <c r="I139" s="24">
        <v>0</v>
      </c>
      <c r="J139" s="24">
        <v>0</v>
      </c>
      <c r="K139" s="24">
        <v>0</v>
      </c>
      <c r="L139" s="24">
        <v>0</v>
      </c>
      <c r="M139" s="24">
        <v>0</v>
      </c>
      <c r="N139" s="24">
        <v>0</v>
      </c>
      <c r="O139" s="24">
        <v>0</v>
      </c>
      <c r="P139" s="24">
        <v>0</v>
      </c>
      <c r="Q139" s="24">
        <v>0</v>
      </c>
      <c r="R139" s="24">
        <v>0</v>
      </c>
      <c r="S139" s="24">
        <v>0</v>
      </c>
      <c r="T139" s="24">
        <v>0</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368</v>
      </c>
      <c r="AM139" s="24">
        <v>0</v>
      </c>
      <c r="AN139" s="24">
        <v>0</v>
      </c>
      <c r="AO139" s="24">
        <v>0</v>
      </c>
      <c r="AP139" s="24">
        <v>0</v>
      </c>
      <c r="AQ139" s="24">
        <v>0</v>
      </c>
      <c r="AR139" s="24">
        <v>0</v>
      </c>
      <c r="AS139" s="24">
        <v>0</v>
      </c>
      <c r="AT139" s="24">
        <v>0</v>
      </c>
      <c r="AU139" s="24">
        <v>0</v>
      </c>
      <c r="AV139" s="24">
        <v>0</v>
      </c>
      <c r="AW139" s="24">
        <v>0</v>
      </c>
      <c r="AX139" s="24">
        <v>0</v>
      </c>
      <c r="AY139" s="24">
        <v>0</v>
      </c>
      <c r="AZ139" s="24">
        <v>0</v>
      </c>
      <c r="BA139" s="24">
        <v>0</v>
      </c>
      <c r="BB139" s="24">
        <v>0</v>
      </c>
      <c r="BC139" s="24">
        <v>0</v>
      </c>
      <c r="BD139" s="24">
        <v>0</v>
      </c>
      <c r="BE139" s="24">
        <v>0</v>
      </c>
      <c r="BF139" s="24">
        <v>0</v>
      </c>
      <c r="BG139" s="24">
        <v>0</v>
      </c>
      <c r="BH139" s="24">
        <v>0</v>
      </c>
      <c r="BI139" s="24">
        <v>0</v>
      </c>
      <c r="BJ139" s="24">
        <v>0</v>
      </c>
      <c r="BK139" s="24">
        <v>0</v>
      </c>
      <c r="BL139" s="24">
        <v>0</v>
      </c>
      <c r="BM139" s="24">
        <v>0</v>
      </c>
      <c r="BN139" s="24">
        <v>0</v>
      </c>
      <c r="BO139" s="24">
        <v>0</v>
      </c>
      <c r="BP139" s="24">
        <v>0</v>
      </c>
      <c r="BQ139" s="24">
        <v>0</v>
      </c>
      <c r="BR139" s="24">
        <v>0</v>
      </c>
      <c r="BS139" s="24">
        <v>0</v>
      </c>
      <c r="BT139" s="24">
        <v>0</v>
      </c>
      <c r="BU139" s="24">
        <v>0</v>
      </c>
      <c r="BV139" s="24">
        <v>0</v>
      </c>
      <c r="BW139" s="24">
        <v>0</v>
      </c>
      <c r="BX139" s="24">
        <v>0</v>
      </c>
      <c r="BY139" s="24">
        <v>0</v>
      </c>
      <c r="BZ139" s="24">
        <v>0</v>
      </c>
      <c r="CA139" s="24">
        <v>0</v>
      </c>
      <c r="CB139" s="24">
        <v>0</v>
      </c>
      <c r="CC139" s="24">
        <v>0</v>
      </c>
      <c r="CD139" s="24">
        <v>0</v>
      </c>
      <c r="CE139" s="24">
        <v>0</v>
      </c>
      <c r="CF139" s="24">
        <v>0</v>
      </c>
      <c r="CG139" s="24">
        <v>0</v>
      </c>
      <c r="CH139" s="24">
        <v>0</v>
      </c>
      <c r="CI139" s="24">
        <v>0</v>
      </c>
      <c r="CJ139" s="24">
        <v>0</v>
      </c>
      <c r="CK139" s="24">
        <v>0</v>
      </c>
      <c r="CL139" s="24">
        <v>0</v>
      </c>
      <c r="CM139" s="24">
        <v>0</v>
      </c>
      <c r="CN139" s="24">
        <v>0</v>
      </c>
      <c r="CO139" s="24">
        <v>0</v>
      </c>
      <c r="CP139" s="24">
        <v>0</v>
      </c>
      <c r="CQ139" s="24">
        <v>0</v>
      </c>
      <c r="CR139" s="24">
        <v>0</v>
      </c>
      <c r="CS139" s="24">
        <v>0</v>
      </c>
      <c r="CT139" s="24">
        <v>0</v>
      </c>
      <c r="CU139" s="24">
        <v>0</v>
      </c>
      <c r="CV139" s="24">
        <v>0</v>
      </c>
      <c r="CW139" s="24">
        <v>0</v>
      </c>
      <c r="CX139" s="24">
        <v>0</v>
      </c>
      <c r="CY139" s="24">
        <v>0</v>
      </c>
      <c r="CZ139" s="24">
        <v>0</v>
      </c>
      <c r="DA139" s="24">
        <v>0</v>
      </c>
      <c r="DB139" s="24">
        <v>0</v>
      </c>
      <c r="DC139" s="24">
        <v>0</v>
      </c>
      <c r="DD139" s="24">
        <v>30</v>
      </c>
      <c r="DE139" s="24">
        <v>0</v>
      </c>
      <c r="DF139" s="24">
        <v>0</v>
      </c>
      <c r="DG139" s="24">
        <v>0</v>
      </c>
      <c r="DH139" s="24">
        <v>0</v>
      </c>
      <c r="DI139" s="24">
        <v>0</v>
      </c>
      <c r="DJ139" s="24">
        <v>0</v>
      </c>
      <c r="DK139" s="24">
        <v>0</v>
      </c>
      <c r="DL139" s="24">
        <v>0</v>
      </c>
      <c r="DM139" s="24">
        <v>0</v>
      </c>
      <c r="DN139" s="24">
        <v>0</v>
      </c>
      <c r="DO139" s="24">
        <v>0</v>
      </c>
      <c r="DP139" s="24">
        <v>0</v>
      </c>
      <c r="DQ139" s="24">
        <v>0</v>
      </c>
      <c r="DR139" s="24">
        <v>0</v>
      </c>
      <c r="DS139" s="24">
        <v>0</v>
      </c>
      <c r="DT139" s="24">
        <v>0</v>
      </c>
      <c r="DU139" s="24">
        <v>0</v>
      </c>
      <c r="DV139" s="24">
        <v>0</v>
      </c>
      <c r="DW139" s="24">
        <v>0</v>
      </c>
      <c r="DX139" s="24">
        <v>0</v>
      </c>
      <c r="DY139" s="24">
        <v>0</v>
      </c>
      <c r="DZ139" s="24">
        <v>0</v>
      </c>
      <c r="EA139" s="24">
        <v>0</v>
      </c>
      <c r="EB139" s="24">
        <v>0</v>
      </c>
      <c r="EC139" s="24">
        <v>0</v>
      </c>
      <c r="ED139" s="24">
        <v>0</v>
      </c>
      <c r="EE139" s="24">
        <v>0</v>
      </c>
      <c r="EF139" s="24">
        <v>0</v>
      </c>
      <c r="EG139" s="24">
        <v>377</v>
      </c>
      <c r="EH139" s="24">
        <v>0</v>
      </c>
      <c r="EI139" s="24">
        <v>0</v>
      </c>
      <c r="EJ139" s="24">
        <v>0</v>
      </c>
      <c r="EK139" s="24">
        <v>0</v>
      </c>
      <c r="EL139" s="24">
        <v>0</v>
      </c>
      <c r="EM139" s="24">
        <v>0</v>
      </c>
      <c r="EN139" s="24">
        <v>0</v>
      </c>
      <c r="EO139" s="24">
        <v>0</v>
      </c>
      <c r="EP139" s="24">
        <v>0</v>
      </c>
      <c r="EQ139" s="24">
        <v>0</v>
      </c>
      <c r="ER139" s="24">
        <v>0</v>
      </c>
      <c r="ES139" s="24">
        <v>0</v>
      </c>
      <c r="ET139" s="24">
        <v>0</v>
      </c>
      <c r="EU139" s="24">
        <v>0</v>
      </c>
      <c r="EV139" s="24">
        <v>0</v>
      </c>
      <c r="EW139" s="24">
        <v>0</v>
      </c>
      <c r="EX139" s="24">
        <v>0</v>
      </c>
      <c r="EY139" s="24">
        <v>0</v>
      </c>
      <c r="EZ139" s="24">
        <v>0</v>
      </c>
      <c r="FA139" s="24">
        <v>0</v>
      </c>
      <c r="FB139" s="24">
        <v>0</v>
      </c>
      <c r="FC139" s="24">
        <v>0</v>
      </c>
      <c r="FD139" s="24">
        <v>0</v>
      </c>
      <c r="FE139" s="24">
        <v>0</v>
      </c>
      <c r="FF139" s="24">
        <v>0</v>
      </c>
      <c r="FG139" s="24">
        <v>0</v>
      </c>
      <c r="FH139" s="24">
        <v>0</v>
      </c>
      <c r="FI139" s="24">
        <v>0</v>
      </c>
      <c r="FJ139" s="24">
        <v>0</v>
      </c>
      <c r="FK139" s="24">
        <v>0</v>
      </c>
      <c r="FL139" s="24">
        <v>0</v>
      </c>
      <c r="FM139" s="24">
        <v>0</v>
      </c>
      <c r="FN139" s="24">
        <v>0</v>
      </c>
      <c r="FO139" s="24">
        <v>0</v>
      </c>
      <c r="FP139" s="24">
        <v>0</v>
      </c>
      <c r="FQ139" s="24">
        <v>0</v>
      </c>
      <c r="FR139" s="24">
        <v>0</v>
      </c>
      <c r="FS139" s="24">
        <v>5851</v>
      </c>
      <c r="FT139" s="24">
        <v>0</v>
      </c>
      <c r="FU139" s="24">
        <v>0</v>
      </c>
      <c r="FV139" s="24">
        <v>69</v>
      </c>
      <c r="FW139" s="24">
        <v>0</v>
      </c>
      <c r="FX139" s="24">
        <v>0</v>
      </c>
      <c r="FY139" s="24">
        <v>0</v>
      </c>
      <c r="FZ139" s="24">
        <v>0</v>
      </c>
      <c r="GA139" s="24">
        <v>0</v>
      </c>
      <c r="GB139" s="24">
        <v>0</v>
      </c>
      <c r="GC139" s="24">
        <v>0</v>
      </c>
      <c r="GD139" s="24">
        <v>0</v>
      </c>
      <c r="GE139" s="24">
        <v>0</v>
      </c>
      <c r="GF139" s="24">
        <v>0</v>
      </c>
      <c r="GG139" s="24">
        <v>0</v>
      </c>
      <c r="GH139" s="24">
        <v>0</v>
      </c>
      <c r="GI139" s="24">
        <v>0</v>
      </c>
      <c r="GJ139" s="24">
        <v>0</v>
      </c>
      <c r="GK139" s="24">
        <v>0</v>
      </c>
      <c r="GL139" s="24">
        <v>0</v>
      </c>
      <c r="GM139" s="24">
        <v>0</v>
      </c>
      <c r="GN139" s="24">
        <v>0</v>
      </c>
      <c r="GO139" s="24">
        <v>0</v>
      </c>
      <c r="GP139" s="24">
        <v>0</v>
      </c>
      <c r="GQ139" s="24">
        <v>0</v>
      </c>
      <c r="GR139" s="24">
        <v>0</v>
      </c>
      <c r="GS139" s="24">
        <v>0</v>
      </c>
      <c r="GT139" s="24">
        <v>0</v>
      </c>
      <c r="GU139" s="24">
        <v>0</v>
      </c>
      <c r="GV139" s="24">
        <v>0</v>
      </c>
      <c r="GW139" s="24">
        <v>0</v>
      </c>
      <c r="GX139" s="24">
        <v>0</v>
      </c>
      <c r="GY139" s="24">
        <v>0</v>
      </c>
      <c r="GZ139" s="24">
        <v>0</v>
      </c>
      <c r="HA139" s="24">
        <v>0</v>
      </c>
      <c r="HB139" s="24">
        <v>0</v>
      </c>
      <c r="HC139" s="24">
        <v>0</v>
      </c>
      <c r="HD139" s="24">
        <v>1963107</v>
      </c>
      <c r="HE139" s="24">
        <v>0</v>
      </c>
      <c r="HF139" s="24">
        <v>0</v>
      </c>
      <c r="HG139" s="24">
        <v>0</v>
      </c>
      <c r="HH139" s="24">
        <v>0</v>
      </c>
      <c r="HI139" s="24">
        <v>0</v>
      </c>
      <c r="HJ139" s="24">
        <v>0</v>
      </c>
      <c r="HK139" s="24">
        <v>0</v>
      </c>
      <c r="HL139" s="24">
        <v>0</v>
      </c>
      <c r="HM139" s="24">
        <v>0</v>
      </c>
      <c r="HN139" s="24">
        <v>0</v>
      </c>
      <c r="HO139" s="24">
        <v>0</v>
      </c>
      <c r="HP139" s="24">
        <v>122564</v>
      </c>
      <c r="HQ139" s="24">
        <v>0</v>
      </c>
      <c r="HR139" s="24">
        <v>0</v>
      </c>
      <c r="HS139" s="24">
        <v>0</v>
      </c>
      <c r="HT139" s="24">
        <v>0</v>
      </c>
      <c r="HU139" s="24">
        <v>0</v>
      </c>
      <c r="HV139" s="24">
        <v>0</v>
      </c>
      <c r="HW139" s="24">
        <v>0</v>
      </c>
      <c r="HX139" s="24">
        <v>0</v>
      </c>
      <c r="HY139" s="24">
        <v>0</v>
      </c>
      <c r="HZ139" s="24">
        <v>0</v>
      </c>
      <c r="IA139" s="24">
        <v>30390</v>
      </c>
      <c r="IB139" s="24">
        <v>4754</v>
      </c>
      <c r="IC139" s="24">
        <v>0</v>
      </c>
      <c r="ID139" s="24">
        <v>0</v>
      </c>
      <c r="IE139" s="24">
        <v>0</v>
      </c>
      <c r="IF139" s="24">
        <v>0</v>
      </c>
      <c r="IG139" s="24">
        <v>0</v>
      </c>
      <c r="IH139" s="24">
        <v>0</v>
      </c>
      <c r="II139" s="24">
        <v>0</v>
      </c>
      <c r="IJ139" s="24">
        <v>0</v>
      </c>
      <c r="IK139" s="24">
        <v>0</v>
      </c>
      <c r="IL139" s="24">
        <v>0</v>
      </c>
      <c r="IM139" s="24">
        <v>0</v>
      </c>
      <c r="IN139" s="24">
        <v>0</v>
      </c>
      <c r="IO139" s="24">
        <v>0</v>
      </c>
      <c r="IP139" s="24">
        <v>0</v>
      </c>
      <c r="IQ139" s="24">
        <v>0</v>
      </c>
      <c r="IR139" s="24">
        <v>0</v>
      </c>
      <c r="IS139" s="24">
        <v>0</v>
      </c>
      <c r="IT139" s="24">
        <v>0</v>
      </c>
      <c r="IU139" s="24">
        <v>0</v>
      </c>
      <c r="IV139" s="24">
        <v>0</v>
      </c>
      <c r="IW139" s="24">
        <v>14625</v>
      </c>
      <c r="IX139" s="24">
        <v>0</v>
      </c>
      <c r="IY139" s="24">
        <v>0</v>
      </c>
      <c r="IZ139" s="24">
        <v>0</v>
      </c>
      <c r="JA139" s="24">
        <v>0</v>
      </c>
      <c r="JB139" s="24">
        <v>0</v>
      </c>
      <c r="JC139" s="24">
        <v>0</v>
      </c>
      <c r="JD139" s="24">
        <v>0</v>
      </c>
      <c r="JE139" s="24">
        <v>0</v>
      </c>
      <c r="JF139" s="24">
        <v>0</v>
      </c>
      <c r="JG139" s="24">
        <v>0</v>
      </c>
      <c r="JH139" s="24">
        <v>0</v>
      </c>
      <c r="JI139" s="24">
        <v>0</v>
      </c>
      <c r="JJ139" s="24">
        <v>0</v>
      </c>
      <c r="JK139" s="24">
        <v>0</v>
      </c>
      <c r="JL139" s="24">
        <v>0</v>
      </c>
      <c r="JM139" s="24">
        <v>0</v>
      </c>
      <c r="JN139" s="24">
        <v>0</v>
      </c>
      <c r="JO139" s="24">
        <v>0</v>
      </c>
      <c r="JP139" s="24">
        <v>0</v>
      </c>
      <c r="JQ139" s="24">
        <v>0</v>
      </c>
      <c r="JR139" s="24">
        <v>0</v>
      </c>
      <c r="JS139" s="24">
        <v>0</v>
      </c>
      <c r="JT139" s="24">
        <v>0</v>
      </c>
      <c r="JU139" s="24">
        <v>0</v>
      </c>
      <c r="JV139" s="24">
        <v>0</v>
      </c>
      <c r="JW139" s="24">
        <v>0</v>
      </c>
      <c r="JX139" s="24">
        <v>0</v>
      </c>
      <c r="JY139" s="24">
        <v>0</v>
      </c>
      <c r="JZ139" s="24">
        <v>0</v>
      </c>
      <c r="KA139" s="24">
        <v>0</v>
      </c>
      <c r="KB139" s="24">
        <v>0</v>
      </c>
      <c r="KC139" s="24">
        <v>0</v>
      </c>
      <c r="KD139" s="24">
        <v>0</v>
      </c>
      <c r="KE139" s="24">
        <v>0</v>
      </c>
      <c r="KF139" s="24">
        <v>0</v>
      </c>
      <c r="KG139" s="24">
        <v>0</v>
      </c>
      <c r="KH139" s="24">
        <v>0</v>
      </c>
      <c r="KI139" s="24">
        <v>0</v>
      </c>
      <c r="KJ139" s="24">
        <v>0</v>
      </c>
      <c r="KK139" s="24">
        <v>0</v>
      </c>
      <c r="KL139" s="24">
        <v>0</v>
      </c>
      <c r="KM139" s="24">
        <v>0</v>
      </c>
      <c r="KN139" s="24">
        <v>0</v>
      </c>
      <c r="KO139" s="24">
        <v>0</v>
      </c>
      <c r="KP139" s="24">
        <v>0</v>
      </c>
      <c r="KQ139" s="24">
        <v>0</v>
      </c>
      <c r="KR139" s="24">
        <v>0</v>
      </c>
      <c r="KS139" s="24">
        <v>0</v>
      </c>
      <c r="KT139" s="24">
        <v>0</v>
      </c>
      <c r="KU139" s="24">
        <v>0</v>
      </c>
      <c r="KV139" s="24">
        <v>0</v>
      </c>
      <c r="KW139" s="24">
        <v>0</v>
      </c>
      <c r="KX139" s="24">
        <v>0</v>
      </c>
      <c r="KY139" s="24">
        <v>0</v>
      </c>
      <c r="KZ139" s="24">
        <v>0</v>
      </c>
      <c r="LA139" s="24">
        <v>0</v>
      </c>
      <c r="LB139" s="24">
        <v>0</v>
      </c>
      <c r="LC139" s="24">
        <v>0</v>
      </c>
      <c r="LD139" s="24">
        <v>0</v>
      </c>
      <c r="LE139" s="24">
        <v>0</v>
      </c>
      <c r="LF139" s="24">
        <v>0</v>
      </c>
      <c r="LG139" s="24">
        <v>0</v>
      </c>
      <c r="LH139" s="24">
        <v>0</v>
      </c>
      <c r="LI139" s="24">
        <v>0</v>
      </c>
      <c r="LJ139" s="24">
        <v>0</v>
      </c>
      <c r="LK139" s="24">
        <v>0</v>
      </c>
      <c r="LL139" s="24">
        <v>0</v>
      </c>
      <c r="LM139" s="24">
        <v>0</v>
      </c>
      <c r="LN139" s="24">
        <v>0</v>
      </c>
      <c r="LO139" s="24">
        <v>0</v>
      </c>
      <c r="LP139" s="24">
        <v>0</v>
      </c>
      <c r="LQ139" s="24">
        <v>41864</v>
      </c>
      <c r="LR139" s="24">
        <v>0</v>
      </c>
      <c r="LS139" s="24">
        <v>0</v>
      </c>
      <c r="LT139" s="24">
        <v>0</v>
      </c>
      <c r="LU139" s="24">
        <v>0</v>
      </c>
      <c r="LV139" s="24">
        <v>0</v>
      </c>
      <c r="LW139" s="24">
        <v>0</v>
      </c>
      <c r="LX139" s="24">
        <v>0</v>
      </c>
      <c r="LY139" s="24">
        <v>0</v>
      </c>
      <c r="LZ139" s="24">
        <v>0</v>
      </c>
      <c r="MA139" s="24">
        <v>0</v>
      </c>
      <c r="MB139" s="24">
        <v>0</v>
      </c>
      <c r="MC139" s="24">
        <v>0</v>
      </c>
      <c r="MD139" s="24">
        <v>0</v>
      </c>
      <c r="ME139" s="24">
        <v>0</v>
      </c>
      <c r="MF139" s="24">
        <v>0</v>
      </c>
      <c r="MG139" s="24">
        <v>0</v>
      </c>
      <c r="MH139" s="24">
        <v>0</v>
      </c>
      <c r="MI139" s="24">
        <v>0</v>
      </c>
      <c r="MJ139" s="24">
        <v>0</v>
      </c>
      <c r="MK139" s="24">
        <v>0</v>
      </c>
      <c r="ML139" s="24">
        <v>0</v>
      </c>
      <c r="MM139" s="24">
        <v>0</v>
      </c>
      <c r="MN139" s="24">
        <v>0</v>
      </c>
      <c r="MO139" s="24">
        <v>0</v>
      </c>
      <c r="MP139" s="24">
        <v>0</v>
      </c>
      <c r="MQ139" s="24">
        <v>0</v>
      </c>
      <c r="MR139" s="24">
        <v>0</v>
      </c>
      <c r="MS139" s="24">
        <v>0</v>
      </c>
      <c r="MT139" s="24">
        <v>0</v>
      </c>
      <c r="MU139" s="24">
        <v>0</v>
      </c>
      <c r="MV139" s="24">
        <v>0</v>
      </c>
      <c r="MW139" s="24">
        <v>44230</v>
      </c>
      <c r="MX139" s="24">
        <v>0</v>
      </c>
      <c r="MY139" s="24">
        <v>0</v>
      </c>
      <c r="MZ139" s="24">
        <v>0</v>
      </c>
      <c r="NA139" s="24">
        <v>0</v>
      </c>
      <c r="NB139" s="24">
        <v>0</v>
      </c>
      <c r="NC139" s="24">
        <v>0</v>
      </c>
      <c r="ND139" s="24">
        <v>0</v>
      </c>
      <c r="NE139" s="24">
        <v>0</v>
      </c>
      <c r="NF139" s="24">
        <v>0</v>
      </c>
      <c r="NG139" s="24">
        <v>0</v>
      </c>
      <c r="NH139" s="24">
        <v>0</v>
      </c>
      <c r="NI139" s="24">
        <v>0</v>
      </c>
      <c r="NJ139" s="24">
        <v>0</v>
      </c>
      <c r="NK139" s="24">
        <v>0</v>
      </c>
      <c r="NL139" s="24">
        <v>0</v>
      </c>
      <c r="NM139" s="24">
        <v>0</v>
      </c>
      <c r="NN139" s="24">
        <v>0</v>
      </c>
      <c r="NO139" s="24">
        <v>0</v>
      </c>
      <c r="NP139" s="24">
        <v>0</v>
      </c>
      <c r="NQ139" s="24">
        <v>0</v>
      </c>
      <c r="NR139" s="24">
        <v>0</v>
      </c>
      <c r="NS139" s="24">
        <v>0</v>
      </c>
      <c r="NT139" s="24">
        <v>0</v>
      </c>
      <c r="NU139" s="24">
        <v>0</v>
      </c>
      <c r="NV139" s="24">
        <v>19321</v>
      </c>
      <c r="NW139" s="24">
        <v>0</v>
      </c>
      <c r="NX139" s="24">
        <v>0</v>
      </c>
      <c r="NY139" s="24">
        <v>0</v>
      </c>
      <c r="NZ139" s="24">
        <v>0</v>
      </c>
      <c r="OA139" s="24">
        <v>0</v>
      </c>
      <c r="OB139" s="24">
        <v>0</v>
      </c>
      <c r="OC139" s="24">
        <v>0</v>
      </c>
      <c r="OD139" s="24">
        <v>0</v>
      </c>
      <c r="OE139" s="24">
        <v>0</v>
      </c>
      <c r="OF139" s="24">
        <v>0</v>
      </c>
      <c r="OG139" s="24">
        <v>0</v>
      </c>
      <c r="OH139" s="24">
        <v>0</v>
      </c>
      <c r="OI139" s="24">
        <v>0</v>
      </c>
      <c r="OJ139" s="24">
        <v>0</v>
      </c>
      <c r="OK139" s="24">
        <v>0</v>
      </c>
      <c r="OL139" s="24">
        <v>0</v>
      </c>
      <c r="OM139" s="24">
        <v>0</v>
      </c>
      <c r="ON139" s="24">
        <v>0</v>
      </c>
      <c r="OO139" s="24">
        <v>0</v>
      </c>
      <c r="OP139" s="24">
        <v>0</v>
      </c>
      <c r="OQ139" s="24">
        <v>0</v>
      </c>
      <c r="OR139" s="24">
        <v>0</v>
      </c>
      <c r="OS139" s="24">
        <v>0</v>
      </c>
      <c r="OT139" s="24">
        <v>0</v>
      </c>
      <c r="OU139" s="24">
        <v>0</v>
      </c>
      <c r="OV139" s="24">
        <v>0</v>
      </c>
      <c r="OW139" s="24">
        <v>0</v>
      </c>
      <c r="OX139" s="24">
        <v>0</v>
      </c>
      <c r="OY139" s="24">
        <v>0</v>
      </c>
      <c r="OZ139" s="24">
        <v>0</v>
      </c>
      <c r="PA139" s="24">
        <v>0</v>
      </c>
      <c r="PB139" s="24">
        <v>0</v>
      </c>
      <c r="PC139" s="24">
        <v>0</v>
      </c>
      <c r="PD139" s="24">
        <v>0</v>
      </c>
      <c r="PE139" s="24">
        <v>0</v>
      </c>
      <c r="PF139" s="24">
        <v>0</v>
      </c>
      <c r="PG139" s="24">
        <v>0</v>
      </c>
      <c r="PH139" s="24">
        <v>35960</v>
      </c>
      <c r="PI139" s="24">
        <v>0</v>
      </c>
      <c r="PJ139" s="24">
        <v>0</v>
      </c>
      <c r="PK139" s="24">
        <v>0</v>
      </c>
      <c r="PL139" s="24">
        <v>0</v>
      </c>
      <c r="PM139" s="24">
        <v>0</v>
      </c>
      <c r="PN139" s="24">
        <v>0</v>
      </c>
      <c r="PO139" s="24">
        <v>0</v>
      </c>
      <c r="PP139" s="24">
        <v>0</v>
      </c>
      <c r="PQ139" s="24">
        <v>0</v>
      </c>
      <c r="PR139" s="24">
        <v>0</v>
      </c>
      <c r="PS139" s="24">
        <v>0</v>
      </c>
      <c r="PT139" s="24">
        <v>0</v>
      </c>
      <c r="PU139" s="24">
        <v>0</v>
      </c>
      <c r="PV139" s="24">
        <v>0</v>
      </c>
      <c r="PW139" s="24">
        <v>33394</v>
      </c>
      <c r="PX139" s="24">
        <v>0</v>
      </c>
      <c r="PY139" s="24">
        <v>0</v>
      </c>
      <c r="PZ139" s="24">
        <v>0</v>
      </c>
      <c r="QA139" s="24">
        <v>0</v>
      </c>
      <c r="QB139" s="24">
        <v>0</v>
      </c>
      <c r="QC139" s="24">
        <v>0</v>
      </c>
      <c r="QD139" s="24">
        <v>0</v>
      </c>
      <c r="QE139" s="24">
        <v>0</v>
      </c>
      <c r="QF139" s="24">
        <v>0</v>
      </c>
      <c r="QG139" s="24">
        <v>0</v>
      </c>
      <c r="QH139" s="24">
        <v>0</v>
      </c>
      <c r="QI139" s="24">
        <v>0</v>
      </c>
      <c r="QJ139" s="24">
        <v>0</v>
      </c>
      <c r="QK139" s="24">
        <v>0</v>
      </c>
      <c r="QL139" s="24">
        <v>0</v>
      </c>
      <c r="QM139" s="24">
        <v>0</v>
      </c>
      <c r="QN139" s="24">
        <v>0</v>
      </c>
      <c r="QO139" s="24">
        <v>0</v>
      </c>
      <c r="QP139" s="24">
        <v>0</v>
      </c>
      <c r="QQ139" s="24">
        <v>0</v>
      </c>
      <c r="QR139" s="24">
        <v>0</v>
      </c>
      <c r="QS139" s="24">
        <v>0</v>
      </c>
      <c r="QT139" s="24">
        <v>0</v>
      </c>
      <c r="QU139" s="24">
        <v>0</v>
      </c>
      <c r="QV139" s="24">
        <v>0</v>
      </c>
      <c r="QW139" s="24">
        <v>0</v>
      </c>
      <c r="QX139" s="24">
        <v>0</v>
      </c>
      <c r="QY139" s="24">
        <v>0</v>
      </c>
      <c r="QZ139" s="24">
        <v>0</v>
      </c>
      <c r="RA139" s="24">
        <v>0</v>
      </c>
      <c r="RB139" s="24">
        <v>0</v>
      </c>
      <c r="RC139" s="913">
        <v>2</v>
      </c>
      <c r="RG139" s="39">
        <f t="shared" si="248"/>
        <v>1963107</v>
      </c>
      <c r="RH139" s="39">
        <f t="shared" si="249"/>
        <v>0</v>
      </c>
      <c r="RI139" s="39">
        <f t="shared" si="249"/>
        <v>0</v>
      </c>
      <c r="RJ139" s="39">
        <f t="shared" si="249"/>
        <v>0</v>
      </c>
      <c r="RK139" s="39">
        <f t="shared" si="249"/>
        <v>0</v>
      </c>
      <c r="RL139" s="39">
        <f t="shared" si="249"/>
        <v>0</v>
      </c>
      <c r="RM139" s="39">
        <f t="shared" si="249"/>
        <v>157708</v>
      </c>
      <c r="RN139" s="39">
        <f t="shared" si="249"/>
        <v>0</v>
      </c>
      <c r="RO139" s="39">
        <f t="shared" si="249"/>
        <v>0</v>
      </c>
      <c r="RP139" s="39">
        <f t="shared" si="249"/>
        <v>14625</v>
      </c>
      <c r="RQ139" s="39">
        <f t="shared" si="249"/>
        <v>0</v>
      </c>
      <c r="RR139" s="39">
        <f t="shared" si="249"/>
        <v>0</v>
      </c>
      <c r="RS139" s="39"/>
      <c r="RT139" s="182"/>
      <c r="RU139" s="39"/>
      <c r="RV139" s="39">
        <f t="shared" ref="RV139:RY163" si="302">SUMIF($C$6:$RB$6, RV$4, $C139:$RB139)</f>
        <v>105415</v>
      </c>
      <c r="RW139" s="39">
        <f t="shared" si="302"/>
        <v>2135440</v>
      </c>
      <c r="RX139" s="39">
        <f t="shared" si="302"/>
        <v>6695</v>
      </c>
      <c r="RY139" s="39">
        <f t="shared" si="302"/>
        <v>69354</v>
      </c>
      <c r="RZ139" s="39"/>
      <c r="SA139" s="182"/>
      <c r="SB139" s="39"/>
      <c r="SC139" s="25">
        <f t="shared" ref="SC139:SC163" si="303">RX139/ST139</f>
        <v>14.910913140311804</v>
      </c>
      <c r="SD139" s="39">
        <f>IFERROR(VLOOKUP(A139, 'Levy Data 15-16'!$B:$O, 3, FALSE), 0)</f>
        <v>0</v>
      </c>
      <c r="SE139" s="39">
        <f t="shared" si="265"/>
        <v>0</v>
      </c>
      <c r="SF139" s="631">
        <f>IFERROR(VLOOKUP(A139, 'Levy Data 15-16'!$B:$O, 14, FALSE), 0)*1000</f>
        <v>0</v>
      </c>
      <c r="SG139" s="39">
        <f t="shared" si="266"/>
        <v>0</v>
      </c>
      <c r="SH139" s="39">
        <f t="shared" si="267"/>
        <v>0</v>
      </c>
      <c r="SI139" s="39">
        <f t="shared" si="268"/>
        <v>6695</v>
      </c>
      <c r="SM139" s="39">
        <f t="shared" si="269"/>
        <v>2135440</v>
      </c>
      <c r="SN139" s="39">
        <f t="shared" si="270"/>
        <v>0</v>
      </c>
      <c r="SO139" s="39">
        <f t="shared" ref="SO139:SO163" si="304">SM139-SN139</f>
        <v>2135440</v>
      </c>
      <c r="SP139" s="50">
        <f t="shared" si="250"/>
        <v>1</v>
      </c>
      <c r="ST139" s="124">
        <f>IFERROR(VLOOKUP(A139,'Grade Enroll 15-16'!B:AC,27,FALSE),"")</f>
        <v>449</v>
      </c>
      <c r="SU139" s="124">
        <f t="shared" si="264"/>
        <v>210.53588516746413</v>
      </c>
      <c r="SV139" s="131">
        <f>IFERROR(VLOOKUP($A139, 'Title I Enroll 16-17'!S:V, 4, FALSE), 0)</f>
        <v>0.46889952153110048</v>
      </c>
      <c r="SW139" s="729">
        <f>IFERROR(VLOOKUP(A139, 'ELL Enroll 15-16'!$N:$S, 6, FALSE), 0)</f>
        <v>5</v>
      </c>
      <c r="SX139" s="131">
        <f t="shared" si="251"/>
        <v>1.1135857461024499E-2</v>
      </c>
      <c r="SY139" s="124">
        <f>IFERROR(VLOOKUP(A139, 'SPED enroll 2015-16'!$M:$O, 3, FALSE), 0)</f>
        <v>20</v>
      </c>
      <c r="SZ139" s="131">
        <f t="shared" si="252"/>
        <v>4.4543429844097995E-2</v>
      </c>
      <c r="TA139" s="142">
        <f t="shared" si="253"/>
        <v>14</v>
      </c>
      <c r="TB139" s="142">
        <f t="shared" si="253"/>
        <v>4</v>
      </c>
      <c r="TC139" s="142">
        <f t="shared" si="253"/>
        <v>1.4000000000000001</v>
      </c>
      <c r="TD139" s="142">
        <f t="shared" si="253"/>
        <v>0.6</v>
      </c>
      <c r="TE139" s="124">
        <f>VLOOKUP($A139, 'Grade Enroll 15-16'!$B:$AB, 20, FALSE)</f>
        <v>0</v>
      </c>
      <c r="TF139" s="124">
        <f>VLOOKUP($A139, 'Grade Enroll 15-16'!$B:$AB, 21, FALSE)</f>
        <v>0</v>
      </c>
      <c r="TG139" s="124">
        <f>VLOOKUP($A139, 'Grade Enroll 15-16'!$B:$AB, 22, FALSE)</f>
        <v>0</v>
      </c>
      <c r="TH139" s="124">
        <f>VLOOKUP($A139, 'Grade Enroll 15-16'!$B:$AB, 23, FALSE)</f>
        <v>0</v>
      </c>
      <c r="TI139" s="124">
        <f>VLOOKUP($A139, 'Grade Enroll 15-16'!$B:$AB, 24, FALSE)</f>
        <v>0</v>
      </c>
      <c r="TJ139" s="124">
        <f>VLOOKUP($A139, 'Grade Enroll 15-16'!$B:$AB, 25, FALSE)</f>
        <v>449</v>
      </c>
      <c r="TK139" s="124">
        <f>VLOOKUP($A139, 'Grade Enroll 15-16'!$B:$AB, 26, FALSE)</f>
        <v>139</v>
      </c>
      <c r="TL139" s="131">
        <f>SUMIFS('Student Achievement 15-16'!N:N, 'Student Achievement 15-16'!B:B, 'Idaho Data'!A139, 'Student Achievement 15-16'!D:D, "math")/100</f>
        <v>0.60899999999999999</v>
      </c>
      <c r="TM139" s="134">
        <f t="shared" ref="TM139:TM163" si="305">TL139*$ST139</f>
        <v>273.44099999999997</v>
      </c>
      <c r="TN139" s="131">
        <f>SUMIFS('Student Achievement 15-16'!N:N, 'Student Achievement 15-16'!B:B, 'Idaho Data'!A139, 'Student Achievement 15-16'!D:D, "ela")/100</f>
        <v>0.05</v>
      </c>
      <c r="TO139" s="134">
        <f t="shared" si="254"/>
        <v>22.450000000000003</v>
      </c>
      <c r="TP139" s="688">
        <f>IFERROR(VLOOKUP(A139, 'G&amp;T 15-16'!B:G, 6, FALSE), 0)*1</f>
        <v>0</v>
      </c>
      <c r="TQ139" s="168">
        <f t="shared" si="255"/>
        <v>26.939999999999998</v>
      </c>
      <c r="TU139" s="168">
        <f t="shared" si="256"/>
        <v>22.450000000000003</v>
      </c>
      <c r="TV139" s="168">
        <f t="shared" si="257"/>
        <v>273.44099999999997</v>
      </c>
      <c r="TW139" s="205">
        <f t="shared" si="258"/>
        <v>273.44099999999997</v>
      </c>
      <c r="TX139" s="144"/>
      <c r="TY139" s="129"/>
      <c r="TZ139" s="127">
        <f t="shared" si="259"/>
        <v>0</v>
      </c>
      <c r="UA139" s="127">
        <f t="shared" si="260"/>
        <v>26.939999999999998</v>
      </c>
      <c r="UB139" s="205">
        <f t="shared" si="261"/>
        <v>26.939999999999998</v>
      </c>
      <c r="UE139" s="853" t="str">
        <f>IF(ST139&lt;='1. Simulator Input'!$E$104, "yes", "")</f>
        <v/>
      </c>
      <c r="UI139" s="199">
        <f t="shared" ref="UI139:UI163" si="306">SG139</f>
        <v>0</v>
      </c>
      <c r="UJ139" s="200">
        <f>IF('Idaho Data'!SI139&gt;=0, ((1-'1. Simulator Input'!$E$39)*'Idaho Data'!SI139), 0)</f>
        <v>0</v>
      </c>
      <c r="UK139" s="200">
        <f t="shared" si="262"/>
        <v>2135440</v>
      </c>
      <c r="UL139" s="39"/>
      <c r="UM139" s="182"/>
      <c r="UN139" s="39"/>
      <c r="UO139" s="39" t="str">
        <f>IF(AND('1. Simulator Input'!$E$96="yes", '1. Simulator Input'!$E$98="yes", '1. Simulator Input'!$E$100="hold harmless"), 'Idaho Data'!WN139, IF(AND('1. Simulator Input'!$E$96="yes", '1. Simulator Input'!$E$98="no", '1. Simulator Input'!$E$100="hold harmless"), 'Idaho Data'!WM139, IF(AND('1. Simulator Input'!$E$96="yes", '1. Simulator Input'!$E$98="yes", '1. Simulator Input'!$E$100="small district grant"), WL139,IF(AND('1. Simulator Input'!$E$96="yes", '1. Simulator Input'!$E$98="no", '1. Simulator Input'!$E$100="small district grant"), WK139, ""))))</f>
        <v/>
      </c>
      <c r="UP139" s="200">
        <f>'1. Simulator Input'!$D$56*('Idaho Data'!ST139)</f>
        <v>2481174</v>
      </c>
      <c r="UQ139" s="204">
        <f>'1. Simulator Input'!$D$65*'1. Simulator Input'!$D$56*'Idaho Data'!SU139</f>
        <v>0</v>
      </c>
      <c r="UR139" s="204">
        <f>'1. Simulator Input'!$D$66*'1. Simulator Input'!$D$56*'Idaho Data'!SW139</f>
        <v>0</v>
      </c>
      <c r="US139" s="200">
        <f>'1. Simulator Input'!$D$67*'1. Simulator Input'!$D$56*'Idaho Data'!TA139</f>
        <v>0</v>
      </c>
      <c r="UT139" s="200">
        <f>'1. Simulator Input'!$D$68*'1. Simulator Input'!$D$56*'Idaho Data'!TB139</f>
        <v>0</v>
      </c>
      <c r="UU139" s="200">
        <f>'1. Simulator Input'!$D$69*'1. Simulator Input'!$D$56*'Idaho Data'!TC139</f>
        <v>0</v>
      </c>
      <c r="UV139" s="200">
        <f>'1. Simulator Input'!$D$70*'1. Simulator Input'!$D$56*TD139</f>
        <v>0</v>
      </c>
      <c r="UW139" s="200">
        <f>'1. Simulator Input'!$D$80*'1. Simulator Input'!$D$56*TW139</f>
        <v>0</v>
      </c>
      <c r="UX139" s="200">
        <f>'1. Simulator Input'!$D$79*'1. Simulator Input'!$D$56*UB139</f>
        <v>0</v>
      </c>
      <c r="UY139" s="200">
        <f>'1. Simulator Input'!$D$87*'1. Simulator Input'!$D$56*TF139</f>
        <v>0</v>
      </c>
      <c r="UZ139" s="200">
        <f>'1. Simulator Input'!$D$73*'1. Simulator Input'!$D$56*'Idaho Data'!TG139</f>
        <v>0</v>
      </c>
      <c r="VA139" s="200">
        <f>'1. Simulator Input'!$D$56*'1. Simulator Input'!$D$74*'Idaho Data'!TH139</f>
        <v>0</v>
      </c>
      <c r="VB139" s="200">
        <f>'1. Simulator Input'!$D$56*'1. Simulator Input'!$D$75*'Idaho Data'!TI134</f>
        <v>0</v>
      </c>
      <c r="VC139" s="200">
        <f>'1. Simulator Input'!$D$76*'1. Simulator Input'!$D$56*'Idaho Data'!TJ139</f>
        <v>0</v>
      </c>
      <c r="VD139" s="200">
        <f t="shared" ref="VD139:VD163" si="307">SUM(UP139:VC139)</f>
        <v>2481174</v>
      </c>
      <c r="VE139" s="200"/>
      <c r="VF139" s="182"/>
      <c r="VG139" s="200"/>
      <c r="VH139" s="200">
        <f t="shared" ref="VH139:VH163" si="308">SG139</f>
        <v>0</v>
      </c>
      <c r="VI139" s="200">
        <f t="shared" ref="VI139:VI163" si="309">SH139</f>
        <v>0</v>
      </c>
      <c r="VJ139" s="200">
        <f t="shared" si="271"/>
        <v>2481174</v>
      </c>
      <c r="VK139" s="200">
        <f t="shared" si="272"/>
        <v>2481174</v>
      </c>
      <c r="VL139" s="200"/>
      <c r="VM139" s="182"/>
      <c r="VN139" s="200"/>
      <c r="VO139" s="200">
        <f t="shared" ref="VO139:VO163" si="310">RV139</f>
        <v>105415</v>
      </c>
      <c r="VP139" s="200">
        <f t="shared" ref="VP139:VP163" si="311">RW139</f>
        <v>2135440</v>
      </c>
      <c r="VQ139" s="200">
        <f t="shared" ref="VQ139:VQ163" si="312">RX139</f>
        <v>6695</v>
      </c>
      <c r="VR139" s="200">
        <f t="shared" ref="VR139:VR163" si="313">RV139</f>
        <v>105415</v>
      </c>
      <c r="VS139" s="200">
        <f t="shared" si="273"/>
        <v>2481174</v>
      </c>
      <c r="VT139" s="200">
        <f t="shared" si="274"/>
        <v>6695</v>
      </c>
      <c r="VU139" s="200">
        <f t="shared" si="275"/>
        <v>0</v>
      </c>
      <c r="VV139" s="200"/>
      <c r="VW139" s="182"/>
      <c r="VX139" s="200"/>
      <c r="VZ139" s="199">
        <f t="shared" ref="VZ139:VZ163" si="314">VS139-VP139</f>
        <v>345734</v>
      </c>
      <c r="WA139" s="199">
        <f t="shared" ref="WA139:WA163" si="315">VZ139/ST139</f>
        <v>770.00890868596878</v>
      </c>
      <c r="WB139" s="131">
        <f t="shared" ref="WB139:WB163" si="316">VZ139/VP139</f>
        <v>0.1619029333533136</v>
      </c>
      <c r="WC139" s="131"/>
      <c r="WD139" s="461"/>
      <c r="WE139" s="893"/>
      <c r="WF139" s="893">
        <f t="shared" ref="WF139:WF163" si="317">SUM(VO139:VQ139)/ST139</f>
        <v>5005.6792873051227</v>
      </c>
      <c r="WG139" s="893">
        <f t="shared" ref="WG139:WG163" si="318">SUM(VR139:VT139)/ST139</f>
        <v>5775.6881959910916</v>
      </c>
      <c r="WH139" s="893"/>
      <c r="WI139" s="893">
        <f t="shared" ref="WI139:WI163" si="319">SO139</f>
        <v>2135440</v>
      </c>
      <c r="WJ139" s="893">
        <f t="shared" si="276"/>
        <v>2481174</v>
      </c>
      <c r="WK139" s="39" t="str">
        <f t="shared" si="277"/>
        <v/>
      </c>
      <c r="WL139" s="39" t="str">
        <f t="shared" si="278"/>
        <v/>
      </c>
      <c r="WM139" s="200" t="str">
        <f t="shared" si="279"/>
        <v/>
      </c>
      <c r="WN139" s="39" t="str">
        <f t="shared" si="280"/>
        <v/>
      </c>
      <c r="WO139" s="39"/>
      <c r="WP139" s="182"/>
      <c r="WQ139" s="39"/>
      <c r="WR139" s="305"/>
      <c r="WT139" s="200">
        <f t="shared" si="281"/>
        <v>4755.9910913140311</v>
      </c>
      <c r="WU139" s="131">
        <f t="shared" ref="WU139:WU163" si="320">_xlfn.PERCENTRANK.EXC($WT$10:$WT$163, WT139, 2)</f>
        <v>0</v>
      </c>
      <c r="WW139" s="199">
        <f t="shared" si="282"/>
        <v>105415</v>
      </c>
      <c r="WX139" s="199">
        <f t="shared" si="283"/>
        <v>2481174</v>
      </c>
      <c r="WY139" s="199">
        <f t="shared" si="284"/>
        <v>0</v>
      </c>
      <c r="WZ139" s="199">
        <f t="shared" ref="WZ139:WZ163" si="321">SUM(WX139:WY139)</f>
        <v>2481174</v>
      </c>
      <c r="XA139" s="199">
        <f t="shared" si="285"/>
        <v>0</v>
      </c>
      <c r="XB139" s="199">
        <f t="shared" si="286"/>
        <v>6695</v>
      </c>
      <c r="XC139" s="199">
        <f t="shared" si="287"/>
        <v>6695</v>
      </c>
      <c r="XD139" s="199" t="str">
        <f t="shared" si="288"/>
        <v/>
      </c>
      <c r="XE139" s="199"/>
      <c r="XF139" s="199"/>
      <c r="XG139" s="199"/>
      <c r="XH139" s="199"/>
      <c r="XI139" s="199"/>
      <c r="XJ139" s="199">
        <f t="shared" ref="XJ139:XJ163" si="322">WX139+XA139</f>
        <v>2481174</v>
      </c>
      <c r="XP139" s="199">
        <f t="shared" si="289"/>
        <v>2481174</v>
      </c>
      <c r="XQ139" s="199">
        <f t="shared" si="290"/>
        <v>5526</v>
      </c>
      <c r="XR139" s="199">
        <f t="shared" si="291"/>
        <v>2481174</v>
      </c>
      <c r="XS139" s="199">
        <f t="shared" si="292"/>
        <v>2481174</v>
      </c>
      <c r="XT139" s="199">
        <f t="shared" si="293"/>
        <v>5526</v>
      </c>
      <c r="XU139" s="199">
        <f t="shared" si="294"/>
        <v>2135440</v>
      </c>
      <c r="XV139" s="199">
        <f t="shared" si="295"/>
        <v>4755.9910913140311</v>
      </c>
      <c r="XW139" s="199">
        <f t="shared" si="296"/>
        <v>2135440</v>
      </c>
      <c r="XX139" s="199">
        <f t="shared" si="297"/>
        <v>4755.9910913140311</v>
      </c>
      <c r="XY139" s="199">
        <f t="shared" ref="XY139:XY163" si="323">XS139-XW139</f>
        <v>345734</v>
      </c>
      <c r="XZ139" s="199">
        <f t="shared" ref="XZ139:XZ163" si="324">XT139-XX139</f>
        <v>770.00890868596889</v>
      </c>
      <c r="YA139" s="131">
        <f t="shared" si="263"/>
        <v>0.16190293335331363</v>
      </c>
      <c r="YB139" s="199"/>
      <c r="YC139" s="221"/>
      <c r="YD139" s="199"/>
      <c r="YE139" s="199">
        <f t="shared" si="298"/>
        <v>105415</v>
      </c>
      <c r="YF139" s="200">
        <f t="shared" si="299"/>
        <v>0</v>
      </c>
      <c r="YG139" s="199">
        <f t="shared" si="300"/>
        <v>6695</v>
      </c>
      <c r="YH139" s="199">
        <f t="shared" si="301"/>
        <v>69354</v>
      </c>
    </row>
    <row r="140" spans="1:658">
      <c r="A140" s="3">
        <v>468</v>
      </c>
      <c r="B140" s="2" t="s">
        <v>1486</v>
      </c>
      <c r="C140" s="24">
        <v>0</v>
      </c>
      <c r="D140" s="24">
        <v>0</v>
      </c>
      <c r="E140" s="24">
        <v>0</v>
      </c>
      <c r="F140" s="24">
        <v>0</v>
      </c>
      <c r="G140" s="24">
        <v>0</v>
      </c>
      <c r="H140" s="24">
        <v>0</v>
      </c>
      <c r="I140" s="24">
        <v>0</v>
      </c>
      <c r="J140" s="24">
        <v>0</v>
      </c>
      <c r="K140" s="24">
        <v>0</v>
      </c>
      <c r="L140" s="24">
        <v>0</v>
      </c>
      <c r="M140" s="24">
        <v>0</v>
      </c>
      <c r="N140" s="24">
        <v>0</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631</v>
      </c>
      <c r="AM140" s="24">
        <v>0</v>
      </c>
      <c r="AN140" s="24">
        <v>0</v>
      </c>
      <c r="AO140" s="24">
        <v>0</v>
      </c>
      <c r="AP140" s="24">
        <v>0</v>
      </c>
      <c r="AQ140" s="24">
        <v>0</v>
      </c>
      <c r="AR140" s="24">
        <v>0</v>
      </c>
      <c r="AS140" s="24">
        <v>0</v>
      </c>
      <c r="AT140" s="24">
        <v>0</v>
      </c>
      <c r="AU140" s="24">
        <v>0</v>
      </c>
      <c r="AV140" s="24">
        <v>0</v>
      </c>
      <c r="AW140" s="24">
        <v>0</v>
      </c>
      <c r="AX140" s="24">
        <v>0</v>
      </c>
      <c r="AY140" s="24">
        <v>0</v>
      </c>
      <c r="AZ140" s="24">
        <v>0</v>
      </c>
      <c r="BA140" s="24">
        <v>0</v>
      </c>
      <c r="BB140" s="24">
        <v>0</v>
      </c>
      <c r="BC140" s="24">
        <v>0</v>
      </c>
      <c r="BD140" s="24">
        <v>0</v>
      </c>
      <c r="BE140" s="24">
        <v>0</v>
      </c>
      <c r="BF140" s="24">
        <v>0</v>
      </c>
      <c r="BG140" s="24">
        <v>0</v>
      </c>
      <c r="BH140" s="24">
        <v>0</v>
      </c>
      <c r="BI140" s="24">
        <v>0</v>
      </c>
      <c r="BJ140" s="24">
        <v>0</v>
      </c>
      <c r="BK140" s="24">
        <v>0</v>
      </c>
      <c r="BL140" s="24">
        <v>0</v>
      </c>
      <c r="BM140" s="24">
        <v>0</v>
      </c>
      <c r="BN140" s="24">
        <v>0</v>
      </c>
      <c r="BO140" s="24">
        <v>0</v>
      </c>
      <c r="BP140" s="24">
        <v>0</v>
      </c>
      <c r="BQ140" s="24">
        <v>0</v>
      </c>
      <c r="BR140" s="24">
        <v>0</v>
      </c>
      <c r="BS140" s="24">
        <v>0</v>
      </c>
      <c r="BT140" s="24">
        <v>0</v>
      </c>
      <c r="BU140" s="24">
        <v>0</v>
      </c>
      <c r="BV140" s="24">
        <v>0</v>
      </c>
      <c r="BW140" s="24">
        <v>0</v>
      </c>
      <c r="BX140" s="24">
        <v>0</v>
      </c>
      <c r="BY140" s="24">
        <v>0</v>
      </c>
      <c r="BZ140" s="24">
        <v>0</v>
      </c>
      <c r="CA140" s="24">
        <v>0</v>
      </c>
      <c r="CB140" s="24">
        <v>0</v>
      </c>
      <c r="CC140" s="24">
        <v>0</v>
      </c>
      <c r="CD140" s="24">
        <v>0</v>
      </c>
      <c r="CE140" s="24">
        <v>36728</v>
      </c>
      <c r="CF140" s="24">
        <v>0</v>
      </c>
      <c r="CG140" s="24">
        <v>0</v>
      </c>
      <c r="CH140" s="24">
        <v>0</v>
      </c>
      <c r="CI140" s="24">
        <v>0</v>
      </c>
      <c r="CJ140" s="24">
        <v>0</v>
      </c>
      <c r="CK140" s="24">
        <v>0</v>
      </c>
      <c r="CL140" s="24">
        <v>0</v>
      </c>
      <c r="CM140" s="24">
        <v>0</v>
      </c>
      <c r="CN140" s="24">
        <v>0</v>
      </c>
      <c r="CO140" s="24">
        <v>0</v>
      </c>
      <c r="CP140" s="24">
        <v>0</v>
      </c>
      <c r="CQ140" s="24">
        <v>0</v>
      </c>
      <c r="CR140" s="24">
        <v>0</v>
      </c>
      <c r="CS140" s="24">
        <v>0</v>
      </c>
      <c r="CT140" s="24">
        <v>0</v>
      </c>
      <c r="CU140" s="24">
        <v>0</v>
      </c>
      <c r="CV140" s="24">
        <v>0</v>
      </c>
      <c r="CW140" s="24">
        <v>0</v>
      </c>
      <c r="CX140" s="24">
        <v>0</v>
      </c>
      <c r="CY140" s="24">
        <v>0</v>
      </c>
      <c r="CZ140" s="24">
        <v>0</v>
      </c>
      <c r="DA140" s="24">
        <v>0</v>
      </c>
      <c r="DB140" s="24">
        <v>0</v>
      </c>
      <c r="DC140" s="24">
        <v>0</v>
      </c>
      <c r="DD140" s="24">
        <v>0</v>
      </c>
      <c r="DE140" s="24">
        <v>0</v>
      </c>
      <c r="DF140" s="24">
        <v>0</v>
      </c>
      <c r="DG140" s="24">
        <v>0</v>
      </c>
      <c r="DH140" s="24">
        <v>0</v>
      </c>
      <c r="DI140" s="24">
        <v>0</v>
      </c>
      <c r="DJ140" s="24">
        <v>0</v>
      </c>
      <c r="DK140" s="24">
        <v>0</v>
      </c>
      <c r="DL140" s="24">
        <v>0</v>
      </c>
      <c r="DM140" s="24">
        <v>0</v>
      </c>
      <c r="DN140" s="24">
        <v>0</v>
      </c>
      <c r="DO140" s="24">
        <v>0</v>
      </c>
      <c r="DP140" s="24">
        <v>0</v>
      </c>
      <c r="DQ140" s="24">
        <v>0</v>
      </c>
      <c r="DR140" s="24">
        <v>0</v>
      </c>
      <c r="DS140" s="24">
        <v>0</v>
      </c>
      <c r="DT140" s="24">
        <v>0</v>
      </c>
      <c r="DU140" s="24">
        <v>0</v>
      </c>
      <c r="DV140" s="24">
        <v>0</v>
      </c>
      <c r="DW140" s="24">
        <v>0</v>
      </c>
      <c r="DX140" s="24">
        <v>0</v>
      </c>
      <c r="DY140" s="24">
        <v>0</v>
      </c>
      <c r="DZ140" s="24">
        <v>0</v>
      </c>
      <c r="EA140" s="24">
        <v>0</v>
      </c>
      <c r="EB140" s="24">
        <v>0</v>
      </c>
      <c r="EC140" s="24">
        <v>0</v>
      </c>
      <c r="ED140" s="24">
        <v>0</v>
      </c>
      <c r="EE140" s="24">
        <v>0</v>
      </c>
      <c r="EF140" s="24">
        <v>0</v>
      </c>
      <c r="EG140" s="24">
        <v>0</v>
      </c>
      <c r="EH140" s="24">
        <v>0</v>
      </c>
      <c r="EI140" s="24">
        <v>0</v>
      </c>
      <c r="EJ140" s="24">
        <v>0</v>
      </c>
      <c r="EK140" s="24">
        <v>0</v>
      </c>
      <c r="EL140" s="24">
        <v>0</v>
      </c>
      <c r="EM140" s="24">
        <v>0</v>
      </c>
      <c r="EN140" s="24">
        <v>0</v>
      </c>
      <c r="EO140" s="24">
        <v>0</v>
      </c>
      <c r="EP140" s="24">
        <v>0</v>
      </c>
      <c r="EQ140" s="24">
        <v>0</v>
      </c>
      <c r="ER140" s="24">
        <v>0</v>
      </c>
      <c r="ES140" s="24">
        <v>0</v>
      </c>
      <c r="ET140" s="24">
        <v>0</v>
      </c>
      <c r="EU140" s="24">
        <v>0</v>
      </c>
      <c r="EV140" s="24">
        <v>0</v>
      </c>
      <c r="EW140" s="24">
        <v>0</v>
      </c>
      <c r="EX140" s="24">
        <v>0</v>
      </c>
      <c r="EY140" s="24">
        <v>0</v>
      </c>
      <c r="EZ140" s="24">
        <v>0</v>
      </c>
      <c r="FA140" s="24">
        <v>0</v>
      </c>
      <c r="FB140" s="24">
        <v>0</v>
      </c>
      <c r="FC140" s="24">
        <v>0</v>
      </c>
      <c r="FD140" s="24">
        <v>0</v>
      </c>
      <c r="FE140" s="24">
        <v>0</v>
      </c>
      <c r="FF140" s="24">
        <v>0</v>
      </c>
      <c r="FG140" s="24">
        <v>0</v>
      </c>
      <c r="FH140" s="24">
        <v>0</v>
      </c>
      <c r="FI140" s="24">
        <v>0</v>
      </c>
      <c r="FJ140" s="24">
        <v>0</v>
      </c>
      <c r="FK140" s="24">
        <v>0</v>
      </c>
      <c r="FL140" s="24">
        <v>0</v>
      </c>
      <c r="FM140" s="24">
        <v>0</v>
      </c>
      <c r="FN140" s="24">
        <v>0</v>
      </c>
      <c r="FO140" s="24">
        <v>0</v>
      </c>
      <c r="FP140" s="24">
        <v>0</v>
      </c>
      <c r="FQ140" s="24">
        <v>0</v>
      </c>
      <c r="FR140" s="24">
        <v>0</v>
      </c>
      <c r="FS140" s="24">
        <v>0</v>
      </c>
      <c r="FT140" s="24">
        <v>0</v>
      </c>
      <c r="FU140" s="24">
        <v>0</v>
      </c>
      <c r="FV140" s="24">
        <v>0</v>
      </c>
      <c r="FW140" s="24">
        <v>0</v>
      </c>
      <c r="FX140" s="24">
        <v>0</v>
      </c>
      <c r="FY140" s="24">
        <v>0</v>
      </c>
      <c r="FZ140" s="24">
        <v>0</v>
      </c>
      <c r="GA140" s="24">
        <v>0</v>
      </c>
      <c r="GB140" s="24">
        <v>0</v>
      </c>
      <c r="GC140" s="24">
        <v>0</v>
      </c>
      <c r="GD140" s="24">
        <v>0</v>
      </c>
      <c r="GE140" s="24">
        <v>0</v>
      </c>
      <c r="GF140" s="24">
        <v>0</v>
      </c>
      <c r="GG140" s="24">
        <v>0</v>
      </c>
      <c r="GH140" s="24">
        <v>0</v>
      </c>
      <c r="GI140" s="24">
        <v>0</v>
      </c>
      <c r="GJ140" s="24">
        <v>0</v>
      </c>
      <c r="GK140" s="24">
        <v>0</v>
      </c>
      <c r="GL140" s="24">
        <v>0</v>
      </c>
      <c r="GM140" s="24">
        <v>0</v>
      </c>
      <c r="GN140" s="24">
        <v>0</v>
      </c>
      <c r="GO140" s="24">
        <v>0</v>
      </c>
      <c r="GP140" s="24">
        <v>0</v>
      </c>
      <c r="GQ140" s="24">
        <v>0</v>
      </c>
      <c r="GR140" s="24">
        <v>0</v>
      </c>
      <c r="GS140" s="24">
        <v>0</v>
      </c>
      <c r="GT140" s="24">
        <v>0</v>
      </c>
      <c r="GU140" s="24">
        <v>0</v>
      </c>
      <c r="GV140" s="24">
        <v>0</v>
      </c>
      <c r="GW140" s="24">
        <v>0</v>
      </c>
      <c r="GX140" s="24">
        <v>0</v>
      </c>
      <c r="GY140" s="24">
        <v>0</v>
      </c>
      <c r="GZ140" s="24">
        <v>0</v>
      </c>
      <c r="HA140" s="24">
        <v>0</v>
      </c>
      <c r="HB140" s="24">
        <v>0</v>
      </c>
      <c r="HC140" s="24">
        <v>0</v>
      </c>
      <c r="HD140" s="24">
        <v>1422504</v>
      </c>
      <c r="HE140" s="24">
        <v>0</v>
      </c>
      <c r="HF140" s="24">
        <v>0</v>
      </c>
      <c r="HG140" s="24">
        <v>0</v>
      </c>
      <c r="HH140" s="24">
        <v>0</v>
      </c>
      <c r="HI140" s="24">
        <v>102822</v>
      </c>
      <c r="HJ140" s="24">
        <v>0</v>
      </c>
      <c r="HK140" s="24">
        <v>0</v>
      </c>
      <c r="HL140" s="24">
        <v>0</v>
      </c>
      <c r="HM140" s="24">
        <v>0</v>
      </c>
      <c r="HN140" s="24">
        <v>0</v>
      </c>
      <c r="HO140" s="24">
        <v>177260</v>
      </c>
      <c r="HP140" s="24">
        <v>133181</v>
      </c>
      <c r="HQ140" s="24">
        <v>0</v>
      </c>
      <c r="HR140" s="24">
        <v>0</v>
      </c>
      <c r="HS140" s="24">
        <v>0</v>
      </c>
      <c r="HT140" s="24">
        <v>0</v>
      </c>
      <c r="HU140" s="24">
        <v>0</v>
      </c>
      <c r="HV140" s="24">
        <v>0</v>
      </c>
      <c r="HW140" s="24">
        <v>0</v>
      </c>
      <c r="HX140" s="24">
        <v>0</v>
      </c>
      <c r="HY140" s="24">
        <v>0</v>
      </c>
      <c r="HZ140" s="24">
        <v>0</v>
      </c>
      <c r="IA140" s="24">
        <v>0</v>
      </c>
      <c r="IB140" s="24">
        <v>0</v>
      </c>
      <c r="IC140" s="24">
        <v>0</v>
      </c>
      <c r="ID140" s="24">
        <v>0</v>
      </c>
      <c r="IE140" s="24">
        <v>0</v>
      </c>
      <c r="IF140" s="24">
        <v>0</v>
      </c>
      <c r="IG140" s="24">
        <v>0</v>
      </c>
      <c r="IH140" s="24">
        <v>0</v>
      </c>
      <c r="II140" s="24">
        <v>0</v>
      </c>
      <c r="IJ140" s="24">
        <v>0</v>
      </c>
      <c r="IK140" s="24">
        <v>0</v>
      </c>
      <c r="IL140" s="24">
        <v>0</v>
      </c>
      <c r="IM140" s="24">
        <v>0</v>
      </c>
      <c r="IN140" s="24">
        <v>0</v>
      </c>
      <c r="IO140" s="24">
        <v>0</v>
      </c>
      <c r="IP140" s="24">
        <v>0</v>
      </c>
      <c r="IQ140" s="24">
        <v>0</v>
      </c>
      <c r="IR140" s="24">
        <v>0</v>
      </c>
      <c r="IS140" s="24">
        <v>0</v>
      </c>
      <c r="IT140" s="24">
        <v>0</v>
      </c>
      <c r="IU140" s="24">
        <v>0</v>
      </c>
      <c r="IV140" s="24">
        <v>0</v>
      </c>
      <c r="IW140" s="24">
        <v>18394</v>
      </c>
      <c r="IX140" s="24">
        <v>0</v>
      </c>
      <c r="IY140" s="24">
        <v>0</v>
      </c>
      <c r="IZ140" s="24">
        <v>0</v>
      </c>
      <c r="JA140" s="24">
        <v>0</v>
      </c>
      <c r="JB140" s="24">
        <v>0</v>
      </c>
      <c r="JC140" s="24">
        <v>0</v>
      </c>
      <c r="JD140" s="24">
        <v>0</v>
      </c>
      <c r="JE140" s="24">
        <v>0</v>
      </c>
      <c r="JF140" s="24">
        <v>0</v>
      </c>
      <c r="JG140" s="24">
        <v>0</v>
      </c>
      <c r="JH140" s="24">
        <v>0</v>
      </c>
      <c r="JI140" s="24">
        <v>0</v>
      </c>
      <c r="JJ140" s="24">
        <v>0</v>
      </c>
      <c r="JK140" s="24">
        <v>0</v>
      </c>
      <c r="JL140" s="24">
        <v>0</v>
      </c>
      <c r="JM140" s="24">
        <v>0</v>
      </c>
      <c r="JN140" s="24">
        <v>0</v>
      </c>
      <c r="JO140" s="24">
        <v>0</v>
      </c>
      <c r="JP140" s="24">
        <v>0</v>
      </c>
      <c r="JQ140" s="24">
        <v>0</v>
      </c>
      <c r="JR140" s="24">
        <v>0</v>
      </c>
      <c r="JS140" s="24">
        <v>0</v>
      </c>
      <c r="JT140" s="24">
        <v>20023</v>
      </c>
      <c r="JU140" s="24">
        <v>0</v>
      </c>
      <c r="JV140" s="24">
        <v>0</v>
      </c>
      <c r="JW140" s="24">
        <v>0</v>
      </c>
      <c r="JX140" s="24">
        <v>0</v>
      </c>
      <c r="JY140" s="24">
        <v>0</v>
      </c>
      <c r="JZ140" s="24">
        <v>0</v>
      </c>
      <c r="KA140" s="24">
        <v>0</v>
      </c>
      <c r="KB140" s="24">
        <v>0</v>
      </c>
      <c r="KC140" s="24">
        <v>0</v>
      </c>
      <c r="KD140" s="24">
        <v>0</v>
      </c>
      <c r="KE140" s="24">
        <v>0</v>
      </c>
      <c r="KF140" s="24">
        <v>0</v>
      </c>
      <c r="KG140" s="24">
        <v>0</v>
      </c>
      <c r="KH140" s="24">
        <v>0</v>
      </c>
      <c r="KI140" s="24">
        <v>0</v>
      </c>
      <c r="KJ140" s="24">
        <v>0</v>
      </c>
      <c r="KK140" s="24">
        <v>0</v>
      </c>
      <c r="KL140" s="24">
        <v>0</v>
      </c>
      <c r="KM140" s="24">
        <v>0</v>
      </c>
      <c r="KN140" s="24">
        <v>0</v>
      </c>
      <c r="KO140" s="24">
        <v>0</v>
      </c>
      <c r="KP140" s="24">
        <v>0</v>
      </c>
      <c r="KQ140" s="24">
        <v>0</v>
      </c>
      <c r="KR140" s="24">
        <v>0</v>
      </c>
      <c r="KS140" s="24">
        <v>0</v>
      </c>
      <c r="KT140" s="24">
        <v>0</v>
      </c>
      <c r="KU140" s="24">
        <v>0</v>
      </c>
      <c r="KV140" s="24">
        <v>0</v>
      </c>
      <c r="KW140" s="24">
        <v>0</v>
      </c>
      <c r="KX140" s="24">
        <v>0</v>
      </c>
      <c r="KY140" s="24">
        <v>0</v>
      </c>
      <c r="KZ140" s="24">
        <v>0</v>
      </c>
      <c r="LA140" s="24">
        <v>0</v>
      </c>
      <c r="LB140" s="24">
        <v>0</v>
      </c>
      <c r="LC140" s="24">
        <v>0</v>
      </c>
      <c r="LD140" s="24">
        <v>0</v>
      </c>
      <c r="LE140" s="24">
        <v>0</v>
      </c>
      <c r="LF140" s="24">
        <v>0</v>
      </c>
      <c r="LG140" s="24">
        <v>0</v>
      </c>
      <c r="LH140" s="24">
        <v>0</v>
      </c>
      <c r="LI140" s="24">
        <v>0</v>
      </c>
      <c r="LJ140" s="24">
        <v>0</v>
      </c>
      <c r="LK140" s="24">
        <v>0</v>
      </c>
      <c r="LL140" s="24">
        <v>0</v>
      </c>
      <c r="LM140" s="24">
        <v>0</v>
      </c>
      <c r="LN140" s="24">
        <v>0</v>
      </c>
      <c r="LO140" s="24">
        <v>0</v>
      </c>
      <c r="LP140" s="24">
        <v>5933</v>
      </c>
      <c r="LQ140" s="24">
        <v>33063</v>
      </c>
      <c r="LR140" s="24">
        <v>0</v>
      </c>
      <c r="LS140" s="24">
        <v>0</v>
      </c>
      <c r="LT140" s="24">
        <v>0</v>
      </c>
      <c r="LU140" s="24">
        <v>0</v>
      </c>
      <c r="LV140" s="24">
        <v>0</v>
      </c>
      <c r="LW140" s="24">
        <v>17013</v>
      </c>
      <c r="LX140" s="24">
        <v>0</v>
      </c>
      <c r="LY140" s="24">
        <v>19542</v>
      </c>
      <c r="LZ140" s="24">
        <v>0</v>
      </c>
      <c r="MA140" s="24">
        <v>0</v>
      </c>
      <c r="MB140" s="24">
        <v>0</v>
      </c>
      <c r="MC140" s="24">
        <v>0</v>
      </c>
      <c r="MD140" s="24">
        <v>0</v>
      </c>
      <c r="ME140" s="24">
        <v>0</v>
      </c>
      <c r="MF140" s="24">
        <v>0</v>
      </c>
      <c r="MG140" s="24">
        <v>0</v>
      </c>
      <c r="MH140" s="24">
        <v>0</v>
      </c>
      <c r="MI140" s="24">
        <v>0</v>
      </c>
      <c r="MJ140" s="24">
        <v>0</v>
      </c>
      <c r="MK140" s="24">
        <v>0</v>
      </c>
      <c r="ML140" s="24">
        <v>0</v>
      </c>
      <c r="MM140" s="24">
        <v>0</v>
      </c>
      <c r="MN140" s="24">
        <v>0</v>
      </c>
      <c r="MO140" s="24">
        <v>0</v>
      </c>
      <c r="MP140" s="24">
        <v>0</v>
      </c>
      <c r="MQ140" s="24">
        <v>0</v>
      </c>
      <c r="MR140" s="24">
        <v>0</v>
      </c>
      <c r="MS140" s="24">
        <v>0</v>
      </c>
      <c r="MT140" s="24">
        <v>0</v>
      </c>
      <c r="MU140" s="24">
        <v>0</v>
      </c>
      <c r="MV140" s="24">
        <v>0</v>
      </c>
      <c r="MW140" s="24">
        <v>39513</v>
      </c>
      <c r="MX140" s="24">
        <v>0</v>
      </c>
      <c r="MY140" s="24">
        <v>0</v>
      </c>
      <c r="MZ140" s="24">
        <v>0</v>
      </c>
      <c r="NA140" s="24">
        <v>0</v>
      </c>
      <c r="NB140" s="24">
        <v>0</v>
      </c>
      <c r="NC140" s="24">
        <v>0</v>
      </c>
      <c r="ND140" s="24">
        <v>0</v>
      </c>
      <c r="NE140" s="24">
        <v>0</v>
      </c>
      <c r="NF140" s="24">
        <v>0</v>
      </c>
      <c r="NG140" s="24">
        <v>0</v>
      </c>
      <c r="NH140" s="24">
        <v>0</v>
      </c>
      <c r="NI140" s="24">
        <v>0</v>
      </c>
      <c r="NJ140" s="24">
        <v>0</v>
      </c>
      <c r="NK140" s="24">
        <v>0</v>
      </c>
      <c r="NL140" s="24">
        <v>0</v>
      </c>
      <c r="NM140" s="24">
        <v>0</v>
      </c>
      <c r="NN140" s="24">
        <v>0</v>
      </c>
      <c r="NO140" s="24">
        <v>0</v>
      </c>
      <c r="NP140" s="24">
        <v>0</v>
      </c>
      <c r="NQ140" s="24">
        <v>0</v>
      </c>
      <c r="NR140" s="24">
        <v>0</v>
      </c>
      <c r="NS140" s="24">
        <v>0</v>
      </c>
      <c r="NT140" s="24">
        <v>0</v>
      </c>
      <c r="NU140" s="24">
        <v>0</v>
      </c>
      <c r="NV140" s="24">
        <v>0</v>
      </c>
      <c r="NW140" s="24">
        <v>0</v>
      </c>
      <c r="NX140" s="24">
        <v>0</v>
      </c>
      <c r="NY140" s="24">
        <v>0</v>
      </c>
      <c r="NZ140" s="24">
        <v>0</v>
      </c>
      <c r="OA140" s="24">
        <v>0</v>
      </c>
      <c r="OB140" s="24">
        <v>0</v>
      </c>
      <c r="OC140" s="24">
        <v>0</v>
      </c>
      <c r="OD140" s="24">
        <v>0</v>
      </c>
      <c r="OE140" s="24">
        <v>0</v>
      </c>
      <c r="OF140" s="24">
        <v>0</v>
      </c>
      <c r="OG140" s="24">
        <v>0</v>
      </c>
      <c r="OH140" s="24">
        <v>0</v>
      </c>
      <c r="OI140" s="24">
        <v>0</v>
      </c>
      <c r="OJ140" s="24">
        <v>0</v>
      </c>
      <c r="OK140" s="24">
        <v>0</v>
      </c>
      <c r="OL140" s="24">
        <v>0</v>
      </c>
      <c r="OM140" s="24">
        <v>0</v>
      </c>
      <c r="ON140" s="24">
        <v>0</v>
      </c>
      <c r="OO140" s="24">
        <v>0</v>
      </c>
      <c r="OP140" s="24">
        <v>0</v>
      </c>
      <c r="OQ140" s="24">
        <v>0</v>
      </c>
      <c r="OR140" s="24">
        <v>0</v>
      </c>
      <c r="OS140" s="24">
        <v>0</v>
      </c>
      <c r="OT140" s="24">
        <v>0</v>
      </c>
      <c r="OU140" s="24">
        <v>0</v>
      </c>
      <c r="OV140" s="24">
        <v>0</v>
      </c>
      <c r="OW140" s="24">
        <v>0</v>
      </c>
      <c r="OX140" s="24">
        <v>0</v>
      </c>
      <c r="OY140" s="24">
        <v>0</v>
      </c>
      <c r="OZ140" s="24">
        <v>0</v>
      </c>
      <c r="PA140" s="24">
        <v>0</v>
      </c>
      <c r="PB140" s="24">
        <v>0</v>
      </c>
      <c r="PC140" s="24">
        <v>0</v>
      </c>
      <c r="PD140" s="24">
        <v>0</v>
      </c>
      <c r="PE140" s="24">
        <v>0</v>
      </c>
      <c r="PF140" s="24">
        <v>0</v>
      </c>
      <c r="PG140" s="24">
        <v>0</v>
      </c>
      <c r="PH140" s="24">
        <v>0</v>
      </c>
      <c r="PI140" s="24">
        <v>0</v>
      </c>
      <c r="PJ140" s="24">
        <v>0</v>
      </c>
      <c r="PK140" s="24">
        <v>0</v>
      </c>
      <c r="PL140" s="24">
        <v>0</v>
      </c>
      <c r="PM140" s="24">
        <v>0</v>
      </c>
      <c r="PN140" s="24">
        <v>0</v>
      </c>
      <c r="PO140" s="24">
        <v>0</v>
      </c>
      <c r="PP140" s="24">
        <v>0</v>
      </c>
      <c r="PQ140" s="24">
        <v>0</v>
      </c>
      <c r="PR140" s="24">
        <v>0</v>
      </c>
      <c r="PS140" s="24">
        <v>0</v>
      </c>
      <c r="PT140" s="24">
        <v>0</v>
      </c>
      <c r="PU140" s="24">
        <v>0</v>
      </c>
      <c r="PV140" s="24">
        <v>0</v>
      </c>
      <c r="PW140" s="24">
        <v>0</v>
      </c>
      <c r="PX140" s="24">
        <v>0</v>
      </c>
      <c r="PY140" s="24">
        <v>0</v>
      </c>
      <c r="PZ140" s="24">
        <v>0</v>
      </c>
      <c r="QA140" s="24">
        <v>0</v>
      </c>
      <c r="QB140" s="24">
        <v>0</v>
      </c>
      <c r="QC140" s="24">
        <v>0</v>
      </c>
      <c r="QD140" s="24">
        <v>0</v>
      </c>
      <c r="QE140" s="24">
        <v>0</v>
      </c>
      <c r="QF140" s="24">
        <v>0</v>
      </c>
      <c r="QG140" s="24">
        <v>0</v>
      </c>
      <c r="QH140" s="24">
        <v>0</v>
      </c>
      <c r="QI140" s="24">
        <v>0</v>
      </c>
      <c r="QJ140" s="24">
        <v>0</v>
      </c>
      <c r="QK140" s="24">
        <v>0</v>
      </c>
      <c r="QL140" s="24">
        <v>0</v>
      </c>
      <c r="QM140" s="24">
        <v>0</v>
      </c>
      <c r="QN140" s="24">
        <v>0</v>
      </c>
      <c r="QO140" s="24">
        <v>0</v>
      </c>
      <c r="QP140" s="24">
        <v>0</v>
      </c>
      <c r="QQ140" s="24">
        <v>0</v>
      </c>
      <c r="QR140" s="24">
        <v>0</v>
      </c>
      <c r="QS140" s="24">
        <v>0</v>
      </c>
      <c r="QT140" s="24">
        <v>0</v>
      </c>
      <c r="QU140" s="24">
        <v>0</v>
      </c>
      <c r="QV140" s="24">
        <v>0</v>
      </c>
      <c r="QW140" s="24">
        <v>0</v>
      </c>
      <c r="QX140" s="24">
        <v>0</v>
      </c>
      <c r="QY140" s="24">
        <v>0</v>
      </c>
      <c r="QZ140" s="24">
        <v>0</v>
      </c>
      <c r="RA140" s="24">
        <v>0</v>
      </c>
      <c r="RB140" s="24">
        <v>0</v>
      </c>
      <c r="RC140" s="913">
        <v>2</v>
      </c>
      <c r="RG140" s="39">
        <f t="shared" si="248"/>
        <v>1422504</v>
      </c>
      <c r="RH140" s="39">
        <f t="shared" si="249"/>
        <v>102822</v>
      </c>
      <c r="RI140" s="39">
        <f t="shared" si="249"/>
        <v>0</v>
      </c>
      <c r="RJ140" s="39">
        <f t="shared" si="249"/>
        <v>0</v>
      </c>
      <c r="RK140" s="39">
        <f t="shared" si="249"/>
        <v>0</v>
      </c>
      <c r="RL140" s="39">
        <f t="shared" si="249"/>
        <v>177260</v>
      </c>
      <c r="RM140" s="39">
        <f t="shared" si="249"/>
        <v>133181</v>
      </c>
      <c r="RN140" s="39">
        <f t="shared" si="249"/>
        <v>0</v>
      </c>
      <c r="RO140" s="39">
        <f t="shared" si="249"/>
        <v>0</v>
      </c>
      <c r="RP140" s="39">
        <f t="shared" si="249"/>
        <v>18394</v>
      </c>
      <c r="RQ140" s="39">
        <f t="shared" si="249"/>
        <v>0</v>
      </c>
      <c r="RR140" s="39">
        <f t="shared" si="249"/>
        <v>20023</v>
      </c>
      <c r="RS140" s="39"/>
      <c r="RT140" s="182"/>
      <c r="RU140" s="39"/>
      <c r="RV140" s="39">
        <f t="shared" si="302"/>
        <v>115064</v>
      </c>
      <c r="RW140" s="39">
        <f t="shared" si="302"/>
        <v>1874184</v>
      </c>
      <c r="RX140" s="39">
        <f t="shared" si="302"/>
        <v>37359</v>
      </c>
      <c r="RY140" s="39">
        <f t="shared" si="302"/>
        <v>0</v>
      </c>
      <c r="RZ140" s="39"/>
      <c r="SA140" s="182"/>
      <c r="SB140" s="39"/>
      <c r="SC140" s="25">
        <f t="shared" si="303"/>
        <v>142.59160305343511</v>
      </c>
      <c r="SD140" s="39">
        <f>IFERROR(VLOOKUP(A140, 'Levy Data 15-16'!$B:$O, 3, FALSE), 0)</f>
        <v>0</v>
      </c>
      <c r="SE140" s="39">
        <f t="shared" si="265"/>
        <v>0</v>
      </c>
      <c r="SF140" s="631">
        <f>IFERROR(VLOOKUP(A140, 'Levy Data 15-16'!$B:$O, 14, FALSE), 0)*1000</f>
        <v>0</v>
      </c>
      <c r="SG140" s="39">
        <f t="shared" si="266"/>
        <v>0</v>
      </c>
      <c r="SH140" s="39">
        <f t="shared" si="267"/>
        <v>0</v>
      </c>
      <c r="SI140" s="39">
        <f t="shared" si="268"/>
        <v>37359</v>
      </c>
      <c r="SM140" s="39">
        <f t="shared" si="269"/>
        <v>1874184</v>
      </c>
      <c r="SN140" s="39">
        <f t="shared" si="270"/>
        <v>0</v>
      </c>
      <c r="SO140" s="39">
        <f t="shared" si="304"/>
        <v>1874184</v>
      </c>
      <c r="SP140" s="50">
        <f t="shared" si="250"/>
        <v>1</v>
      </c>
      <c r="ST140" s="124">
        <f>IFERROR(VLOOKUP(A140,'Grade Enroll 15-16'!B:AC,27,FALSE),"")</f>
        <v>262</v>
      </c>
      <c r="SU140" s="124">
        <f t="shared" si="264"/>
        <v>101.38260869565217</v>
      </c>
      <c r="SV140" s="131">
        <f>IFERROR(VLOOKUP($A140, 'Title I Enroll 16-17'!S:V, 4, FALSE), 0)</f>
        <v>0.38695652173913042</v>
      </c>
      <c r="SW140" s="729">
        <f>IFERROR(VLOOKUP(A140, 'ELL Enroll 15-16'!$N:$S, 6, FALSE), 0)</f>
        <v>5</v>
      </c>
      <c r="SX140" s="131">
        <f t="shared" si="251"/>
        <v>1.9083969465648856E-2</v>
      </c>
      <c r="SY140" s="124">
        <f>IFERROR(VLOOKUP(A140, 'SPED enroll 2015-16'!$M:$O, 3, FALSE), 0)</f>
        <v>20</v>
      </c>
      <c r="SZ140" s="131">
        <f t="shared" si="252"/>
        <v>7.6335877862595422E-2</v>
      </c>
      <c r="TA140" s="142">
        <f t="shared" si="253"/>
        <v>14</v>
      </c>
      <c r="TB140" s="142">
        <f t="shared" si="253"/>
        <v>4</v>
      </c>
      <c r="TC140" s="142">
        <f t="shared" si="253"/>
        <v>1.4000000000000001</v>
      </c>
      <c r="TD140" s="142">
        <f t="shared" si="253"/>
        <v>0.6</v>
      </c>
      <c r="TE140" s="124">
        <f>VLOOKUP($A140, 'Grade Enroll 15-16'!$B:$AB, 20, FALSE)</f>
        <v>0</v>
      </c>
      <c r="TF140" s="124">
        <f>VLOOKUP($A140, 'Grade Enroll 15-16'!$B:$AB, 21, FALSE)</f>
        <v>0</v>
      </c>
      <c r="TG140" s="124">
        <f>VLOOKUP($A140, 'Grade Enroll 15-16'!$B:$AB, 22, FALSE)</f>
        <v>0</v>
      </c>
      <c r="TH140" s="124">
        <f>VLOOKUP($A140, 'Grade Enroll 15-16'!$B:$AB, 23, FALSE)</f>
        <v>106</v>
      </c>
      <c r="TI140" s="124">
        <f>VLOOKUP($A140, 'Grade Enroll 15-16'!$B:$AB, 24, FALSE)</f>
        <v>156</v>
      </c>
      <c r="TJ140" s="124">
        <f>VLOOKUP($A140, 'Grade Enroll 15-16'!$B:$AB, 25, FALSE)</f>
        <v>0</v>
      </c>
      <c r="TK140" s="124">
        <f>VLOOKUP($A140, 'Grade Enroll 15-16'!$B:$AB, 26, FALSE)</f>
        <v>262</v>
      </c>
      <c r="TL140" s="131">
        <f>SUMIFS('Student Achievement 15-16'!N:N, 'Student Achievement 15-16'!B:B, 'Idaho Data'!A140, 'Student Achievement 15-16'!D:D, "math")/100</f>
        <v>0.35200000000000004</v>
      </c>
      <c r="TM140" s="134">
        <f t="shared" si="305"/>
        <v>92.224000000000004</v>
      </c>
      <c r="TN140" s="131">
        <f>SUMIFS('Student Achievement 15-16'!N:N, 'Student Achievement 15-16'!B:B, 'Idaho Data'!A140, 'Student Achievement 15-16'!D:D, "ela")/100</f>
        <v>0.32700000000000001</v>
      </c>
      <c r="TO140" s="134">
        <f t="shared" si="254"/>
        <v>85.674000000000007</v>
      </c>
      <c r="TP140" s="688">
        <f>IFERROR(VLOOKUP(A140, 'G&amp;T 15-16'!B:G, 6, FALSE), 0)*1</f>
        <v>0</v>
      </c>
      <c r="TQ140" s="168">
        <f t="shared" si="255"/>
        <v>15.719999999999999</v>
      </c>
      <c r="TU140" s="168">
        <f t="shared" si="256"/>
        <v>85.674000000000007</v>
      </c>
      <c r="TV140" s="168">
        <f t="shared" si="257"/>
        <v>92.224000000000004</v>
      </c>
      <c r="TW140" s="205">
        <f t="shared" si="258"/>
        <v>92.224000000000004</v>
      </c>
      <c r="TX140" s="144"/>
      <c r="TY140" s="129"/>
      <c r="TZ140" s="127">
        <f t="shared" si="259"/>
        <v>0</v>
      </c>
      <c r="UA140" s="127">
        <f t="shared" si="260"/>
        <v>15.719999999999999</v>
      </c>
      <c r="UB140" s="205">
        <f t="shared" si="261"/>
        <v>15.719999999999999</v>
      </c>
      <c r="UE140" s="853" t="str">
        <f>IF(ST140&lt;='1. Simulator Input'!$E$104, "yes", "")</f>
        <v>yes</v>
      </c>
      <c r="UI140" s="199">
        <f t="shared" si="306"/>
        <v>0</v>
      </c>
      <c r="UJ140" s="200">
        <f>IF('Idaho Data'!SI140&gt;=0, ((1-'1. Simulator Input'!$E$39)*'Idaho Data'!SI140), 0)</f>
        <v>0</v>
      </c>
      <c r="UK140" s="200">
        <f t="shared" si="262"/>
        <v>1874184</v>
      </c>
      <c r="UL140" s="39"/>
      <c r="UM140" s="182"/>
      <c r="UN140" s="39"/>
      <c r="UO140" s="39">
        <f>IF(AND('1. Simulator Input'!$E$96="yes", '1. Simulator Input'!$E$98="yes", '1. Simulator Input'!$E$100="hold harmless"), 'Idaho Data'!WN140, IF(AND('1. Simulator Input'!$E$96="yes", '1. Simulator Input'!$E$98="no", '1. Simulator Input'!$E$100="hold harmless"), 'Idaho Data'!WM140, IF(AND('1. Simulator Input'!$E$96="yes", '1. Simulator Input'!$E$98="yes", '1. Simulator Input'!$E$100="small district grant"), WL140,IF(AND('1. Simulator Input'!$E$96="yes", '1. Simulator Input'!$E$98="no", '1. Simulator Input'!$E$100="small district grant"), WK140, ""))))</f>
        <v>0</v>
      </c>
      <c r="UP140" s="200">
        <f>'1. Simulator Input'!$D$56*('Idaho Data'!ST140)</f>
        <v>1447812</v>
      </c>
      <c r="UQ140" s="204">
        <f>'1. Simulator Input'!$D$65*'1. Simulator Input'!$D$56*'Idaho Data'!SU140</f>
        <v>0</v>
      </c>
      <c r="UR140" s="204">
        <f>'1. Simulator Input'!$D$66*'1. Simulator Input'!$D$56*'Idaho Data'!SW140</f>
        <v>0</v>
      </c>
      <c r="US140" s="200">
        <f>'1. Simulator Input'!$D$67*'1. Simulator Input'!$D$56*'Idaho Data'!TA140</f>
        <v>0</v>
      </c>
      <c r="UT140" s="200">
        <f>'1. Simulator Input'!$D$68*'1. Simulator Input'!$D$56*'Idaho Data'!TB140</f>
        <v>0</v>
      </c>
      <c r="UU140" s="200">
        <f>'1. Simulator Input'!$D$69*'1. Simulator Input'!$D$56*'Idaho Data'!TC140</f>
        <v>0</v>
      </c>
      <c r="UV140" s="200">
        <f>'1. Simulator Input'!$D$70*'1. Simulator Input'!$D$56*TD140</f>
        <v>0</v>
      </c>
      <c r="UW140" s="200">
        <f>'1. Simulator Input'!$D$80*'1. Simulator Input'!$D$56*TW140</f>
        <v>0</v>
      </c>
      <c r="UX140" s="200">
        <f>'1. Simulator Input'!$D$79*'1. Simulator Input'!$D$56*UB140</f>
        <v>0</v>
      </c>
      <c r="UY140" s="200">
        <f>'1. Simulator Input'!$D$87*'1. Simulator Input'!$D$56*TF140</f>
        <v>0</v>
      </c>
      <c r="UZ140" s="200">
        <f>'1. Simulator Input'!$D$73*'1. Simulator Input'!$D$56*'Idaho Data'!TG140</f>
        <v>0</v>
      </c>
      <c r="VA140" s="200">
        <f>'1. Simulator Input'!$D$56*'1. Simulator Input'!$D$74*'Idaho Data'!TH140</f>
        <v>0</v>
      </c>
      <c r="VB140" s="200">
        <f>'1. Simulator Input'!$D$56*'1. Simulator Input'!$D$75*'Idaho Data'!TI135</f>
        <v>0</v>
      </c>
      <c r="VC140" s="200">
        <f>'1. Simulator Input'!$D$76*'1. Simulator Input'!$D$56*'Idaho Data'!TJ140</f>
        <v>0</v>
      </c>
      <c r="VD140" s="200">
        <f t="shared" si="307"/>
        <v>1447812</v>
      </c>
      <c r="VE140" s="200"/>
      <c r="VF140" s="182"/>
      <c r="VG140" s="200"/>
      <c r="VH140" s="200">
        <f t="shared" si="308"/>
        <v>0</v>
      </c>
      <c r="VI140" s="200">
        <f t="shared" si="309"/>
        <v>0</v>
      </c>
      <c r="VJ140" s="200">
        <f t="shared" si="271"/>
        <v>1447812</v>
      </c>
      <c r="VK140" s="200">
        <f t="shared" si="272"/>
        <v>1447812</v>
      </c>
      <c r="VL140" s="200"/>
      <c r="VM140" s="182"/>
      <c r="VN140" s="200"/>
      <c r="VO140" s="200">
        <f t="shared" si="310"/>
        <v>115064</v>
      </c>
      <c r="VP140" s="200">
        <f t="shared" si="311"/>
        <v>1874184</v>
      </c>
      <c r="VQ140" s="200">
        <f t="shared" si="312"/>
        <v>37359</v>
      </c>
      <c r="VR140" s="200">
        <f t="shared" si="313"/>
        <v>115064</v>
      </c>
      <c r="VS140" s="200">
        <f t="shared" si="273"/>
        <v>1447812</v>
      </c>
      <c r="VT140" s="200">
        <f t="shared" si="274"/>
        <v>37359</v>
      </c>
      <c r="VU140" s="200">
        <f t="shared" si="275"/>
        <v>0</v>
      </c>
      <c r="VV140" s="200"/>
      <c r="VW140" s="182"/>
      <c r="VX140" s="200"/>
      <c r="VZ140" s="199">
        <f t="shared" si="314"/>
        <v>-426372</v>
      </c>
      <c r="WA140" s="466">
        <f t="shared" si="315"/>
        <v>-1627.3740458015268</v>
      </c>
      <c r="WB140" s="131">
        <f t="shared" si="316"/>
        <v>-0.22749740687147046</v>
      </c>
      <c r="WC140" s="131"/>
      <c r="WD140" s="461"/>
      <c r="WE140" s="893"/>
      <c r="WF140" s="893">
        <f t="shared" si="317"/>
        <v>7735.1412213740459</v>
      </c>
      <c r="WG140" s="893">
        <f t="shared" si="318"/>
        <v>6107.7671755725187</v>
      </c>
      <c r="WH140" s="893"/>
      <c r="WI140" s="893">
        <f t="shared" si="319"/>
        <v>1874184</v>
      </c>
      <c r="WJ140" s="893">
        <f t="shared" si="276"/>
        <v>1447812</v>
      </c>
      <c r="WK140" s="39">
        <f t="shared" si="277"/>
        <v>0</v>
      </c>
      <c r="WL140" s="39">
        <f t="shared" si="278"/>
        <v>0</v>
      </c>
      <c r="WM140" s="200">
        <f t="shared" si="279"/>
        <v>426372</v>
      </c>
      <c r="WN140" s="39">
        <f t="shared" si="280"/>
        <v>426372</v>
      </c>
      <c r="WO140" s="39"/>
      <c r="WP140" s="182"/>
      <c r="WQ140" s="39"/>
      <c r="WR140" s="305"/>
      <c r="WT140" s="200">
        <f t="shared" si="281"/>
        <v>7153.3740458015263</v>
      </c>
      <c r="WU140" s="131">
        <f t="shared" si="320"/>
        <v>0.63</v>
      </c>
      <c r="WW140" s="199">
        <f t="shared" si="282"/>
        <v>115064</v>
      </c>
      <c r="WX140" s="199">
        <f t="shared" si="283"/>
        <v>1447812</v>
      </c>
      <c r="WY140" s="199">
        <f t="shared" si="284"/>
        <v>0</v>
      </c>
      <c r="WZ140" s="199">
        <f t="shared" si="321"/>
        <v>1447812</v>
      </c>
      <c r="XA140" s="199">
        <f t="shared" si="285"/>
        <v>0</v>
      </c>
      <c r="XB140" s="199">
        <f t="shared" si="286"/>
        <v>37359</v>
      </c>
      <c r="XC140" s="199">
        <f t="shared" si="287"/>
        <v>37359</v>
      </c>
      <c r="XD140" s="199" t="str">
        <f t="shared" si="288"/>
        <v/>
      </c>
      <c r="XE140" s="199"/>
      <c r="XF140" s="199"/>
      <c r="XG140" s="199"/>
      <c r="XH140" s="199"/>
      <c r="XI140" s="199"/>
      <c r="XJ140" s="199">
        <f t="shared" si="322"/>
        <v>1447812</v>
      </c>
      <c r="XP140" s="199">
        <f t="shared" si="289"/>
        <v>1447812</v>
      </c>
      <c r="XQ140" s="199">
        <f t="shared" si="290"/>
        <v>5526</v>
      </c>
      <c r="XR140" s="199">
        <f t="shared" si="291"/>
        <v>1447812</v>
      </c>
      <c r="XS140" s="199">
        <f t="shared" si="292"/>
        <v>1447812</v>
      </c>
      <c r="XT140" s="199">
        <f t="shared" si="293"/>
        <v>5526</v>
      </c>
      <c r="XU140" s="199">
        <f t="shared" si="294"/>
        <v>1874184</v>
      </c>
      <c r="XV140" s="199">
        <f t="shared" si="295"/>
        <v>7153.3740458015263</v>
      </c>
      <c r="XW140" s="199">
        <f t="shared" si="296"/>
        <v>1874184</v>
      </c>
      <c r="XX140" s="199">
        <f t="shared" si="297"/>
        <v>7153.3740458015263</v>
      </c>
      <c r="XY140" s="199">
        <f t="shared" si="323"/>
        <v>-426372</v>
      </c>
      <c r="XZ140" s="199">
        <f t="shared" si="324"/>
        <v>-1627.3740458015263</v>
      </c>
      <c r="YA140" s="131">
        <f t="shared" si="263"/>
        <v>-0.22749740687147041</v>
      </c>
      <c r="YB140" s="199"/>
      <c r="YC140" s="221"/>
      <c r="YD140" s="199"/>
      <c r="YE140" s="199">
        <f t="shared" si="298"/>
        <v>115064</v>
      </c>
      <c r="YF140" s="200">
        <f t="shared" si="299"/>
        <v>0</v>
      </c>
      <c r="YG140" s="199">
        <f t="shared" si="300"/>
        <v>37359</v>
      </c>
      <c r="YH140" s="199">
        <f t="shared" si="301"/>
        <v>0</v>
      </c>
    </row>
    <row r="141" spans="1:658">
      <c r="A141" s="3">
        <v>469</v>
      </c>
      <c r="B141" s="2" t="s">
        <v>1487</v>
      </c>
      <c r="C141" s="24">
        <v>0</v>
      </c>
      <c r="D141" s="24">
        <v>0</v>
      </c>
      <c r="E141" s="24">
        <v>0</v>
      </c>
      <c r="F141" s="24">
        <v>0</v>
      </c>
      <c r="G141" s="24">
        <v>0</v>
      </c>
      <c r="H141" s="24">
        <v>0</v>
      </c>
      <c r="I141" s="24">
        <v>0</v>
      </c>
      <c r="J141" s="24">
        <v>0</v>
      </c>
      <c r="K141" s="24">
        <v>0</v>
      </c>
      <c r="L141" s="24">
        <v>0</v>
      </c>
      <c r="M141" s="24">
        <v>0</v>
      </c>
      <c r="N141" s="24">
        <v>0</v>
      </c>
      <c r="O141" s="24">
        <v>0</v>
      </c>
      <c r="P141" s="24">
        <v>0</v>
      </c>
      <c r="Q141" s="24">
        <v>0</v>
      </c>
      <c r="R141" s="24">
        <v>0</v>
      </c>
      <c r="S141" s="24">
        <v>0</v>
      </c>
      <c r="T141" s="24">
        <v>0</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14700</v>
      </c>
      <c r="AK141" s="24">
        <v>0</v>
      </c>
      <c r="AL141" s="24">
        <v>257</v>
      </c>
      <c r="AM141" s="24">
        <v>0</v>
      </c>
      <c r="AN141" s="24">
        <v>0</v>
      </c>
      <c r="AO141" s="24">
        <v>0</v>
      </c>
      <c r="AP141" s="24">
        <v>0</v>
      </c>
      <c r="AQ141" s="24">
        <v>0</v>
      </c>
      <c r="AR141" s="24">
        <v>0</v>
      </c>
      <c r="AS141" s="24">
        <v>0</v>
      </c>
      <c r="AT141" s="24">
        <v>0</v>
      </c>
      <c r="AU141" s="24">
        <v>0</v>
      </c>
      <c r="AV141" s="24">
        <v>0</v>
      </c>
      <c r="AW141" s="24">
        <v>0</v>
      </c>
      <c r="AX141" s="24">
        <v>0</v>
      </c>
      <c r="AY141" s="24">
        <v>0</v>
      </c>
      <c r="AZ141" s="24">
        <v>0</v>
      </c>
      <c r="BA141" s="24">
        <v>0</v>
      </c>
      <c r="BB141" s="24">
        <v>0</v>
      </c>
      <c r="BC141" s="24">
        <v>0</v>
      </c>
      <c r="BD141" s="24">
        <v>0</v>
      </c>
      <c r="BE141" s="24">
        <v>0</v>
      </c>
      <c r="BF141" s="24">
        <v>0</v>
      </c>
      <c r="BG141" s="24">
        <v>0</v>
      </c>
      <c r="BH141" s="24">
        <v>0</v>
      </c>
      <c r="BI141" s="24">
        <v>0</v>
      </c>
      <c r="BJ141" s="24">
        <v>0</v>
      </c>
      <c r="BK141" s="24">
        <v>0</v>
      </c>
      <c r="BL141" s="24">
        <v>0</v>
      </c>
      <c r="BM141" s="24">
        <v>0</v>
      </c>
      <c r="BN141" s="24">
        <v>0</v>
      </c>
      <c r="BO141" s="24">
        <v>0</v>
      </c>
      <c r="BP141" s="24">
        <v>0</v>
      </c>
      <c r="BQ141" s="24">
        <v>0</v>
      </c>
      <c r="BR141" s="24">
        <v>0</v>
      </c>
      <c r="BS141" s="24">
        <v>0</v>
      </c>
      <c r="BT141" s="24">
        <v>0</v>
      </c>
      <c r="BU141" s="24">
        <v>0</v>
      </c>
      <c r="BV141" s="24">
        <v>0</v>
      </c>
      <c r="BW141" s="24">
        <v>0</v>
      </c>
      <c r="BX141" s="24">
        <v>0</v>
      </c>
      <c r="BY141" s="24">
        <v>0</v>
      </c>
      <c r="BZ141" s="24">
        <v>0</v>
      </c>
      <c r="CA141" s="24">
        <v>0</v>
      </c>
      <c r="CB141" s="24">
        <v>0</v>
      </c>
      <c r="CC141" s="24">
        <v>0</v>
      </c>
      <c r="CD141" s="24">
        <v>0</v>
      </c>
      <c r="CE141" s="24">
        <v>0</v>
      </c>
      <c r="CF141" s="24">
        <v>0</v>
      </c>
      <c r="CG141" s="24">
        <v>0</v>
      </c>
      <c r="CH141" s="24">
        <v>0</v>
      </c>
      <c r="CI141" s="24">
        <v>0</v>
      </c>
      <c r="CJ141" s="24">
        <v>0</v>
      </c>
      <c r="CK141" s="24">
        <v>0</v>
      </c>
      <c r="CL141" s="24">
        <v>0</v>
      </c>
      <c r="CM141" s="24">
        <v>0</v>
      </c>
      <c r="CN141" s="24">
        <v>0</v>
      </c>
      <c r="CO141" s="24">
        <v>0</v>
      </c>
      <c r="CP141" s="24">
        <v>0</v>
      </c>
      <c r="CQ141" s="24">
        <v>0</v>
      </c>
      <c r="CR141" s="24">
        <v>0</v>
      </c>
      <c r="CS141" s="24">
        <v>0</v>
      </c>
      <c r="CT141" s="24">
        <v>0</v>
      </c>
      <c r="CU141" s="24">
        <v>0</v>
      </c>
      <c r="CV141" s="24">
        <v>0</v>
      </c>
      <c r="CW141" s="24">
        <v>0</v>
      </c>
      <c r="CX141" s="24">
        <v>0</v>
      </c>
      <c r="CY141" s="24">
        <v>0</v>
      </c>
      <c r="CZ141" s="24">
        <v>0</v>
      </c>
      <c r="DA141" s="24">
        <v>0</v>
      </c>
      <c r="DB141" s="24">
        <v>0</v>
      </c>
      <c r="DC141" s="24">
        <v>0</v>
      </c>
      <c r="DD141" s="24">
        <v>0</v>
      </c>
      <c r="DE141" s="24">
        <v>0</v>
      </c>
      <c r="DF141" s="24">
        <v>0</v>
      </c>
      <c r="DG141" s="24">
        <v>0</v>
      </c>
      <c r="DH141" s="24">
        <v>0</v>
      </c>
      <c r="DI141" s="24">
        <v>0</v>
      </c>
      <c r="DJ141" s="24">
        <v>0</v>
      </c>
      <c r="DK141" s="24">
        <v>0</v>
      </c>
      <c r="DL141" s="24">
        <v>0</v>
      </c>
      <c r="DM141" s="24">
        <v>0</v>
      </c>
      <c r="DN141" s="24">
        <v>0</v>
      </c>
      <c r="DO141" s="24">
        <v>0</v>
      </c>
      <c r="DP141" s="24">
        <v>0</v>
      </c>
      <c r="DQ141" s="24">
        <v>0</v>
      </c>
      <c r="DR141" s="24">
        <v>0</v>
      </c>
      <c r="DS141" s="24">
        <v>0</v>
      </c>
      <c r="DT141" s="24">
        <v>0</v>
      </c>
      <c r="DU141" s="24">
        <v>0</v>
      </c>
      <c r="DV141" s="24">
        <v>0</v>
      </c>
      <c r="DW141" s="24">
        <v>0</v>
      </c>
      <c r="DX141" s="24">
        <v>0</v>
      </c>
      <c r="DY141" s="24">
        <v>0</v>
      </c>
      <c r="DZ141" s="24">
        <v>0</v>
      </c>
      <c r="EA141" s="24">
        <v>0</v>
      </c>
      <c r="EB141" s="24">
        <v>0</v>
      </c>
      <c r="EC141" s="24">
        <v>0</v>
      </c>
      <c r="ED141" s="24">
        <v>0</v>
      </c>
      <c r="EE141" s="24">
        <v>0</v>
      </c>
      <c r="EF141" s="24">
        <v>0</v>
      </c>
      <c r="EG141" s="24">
        <v>0</v>
      </c>
      <c r="EH141" s="24">
        <v>0</v>
      </c>
      <c r="EI141" s="24">
        <v>0</v>
      </c>
      <c r="EJ141" s="24">
        <v>0</v>
      </c>
      <c r="EK141" s="24">
        <v>0</v>
      </c>
      <c r="EL141" s="24">
        <v>0</v>
      </c>
      <c r="EM141" s="24">
        <v>0</v>
      </c>
      <c r="EN141" s="24">
        <v>0</v>
      </c>
      <c r="EO141" s="24">
        <v>0</v>
      </c>
      <c r="EP141" s="24">
        <v>0</v>
      </c>
      <c r="EQ141" s="24">
        <v>0</v>
      </c>
      <c r="ER141" s="24">
        <v>0</v>
      </c>
      <c r="ES141" s="24">
        <v>0</v>
      </c>
      <c r="ET141" s="24">
        <v>0</v>
      </c>
      <c r="EU141" s="24">
        <v>0</v>
      </c>
      <c r="EV141" s="24">
        <v>0</v>
      </c>
      <c r="EW141" s="24">
        <v>0</v>
      </c>
      <c r="EX141" s="24">
        <v>0</v>
      </c>
      <c r="EY141" s="24">
        <v>0</v>
      </c>
      <c r="EZ141" s="24">
        <v>0</v>
      </c>
      <c r="FA141" s="24">
        <v>0</v>
      </c>
      <c r="FB141" s="24">
        <v>0</v>
      </c>
      <c r="FC141" s="24">
        <v>0</v>
      </c>
      <c r="FD141" s="24">
        <v>0</v>
      </c>
      <c r="FE141" s="24">
        <v>0</v>
      </c>
      <c r="FF141" s="24">
        <v>0</v>
      </c>
      <c r="FG141" s="24">
        <v>0</v>
      </c>
      <c r="FH141" s="24">
        <v>0</v>
      </c>
      <c r="FI141" s="24">
        <v>0</v>
      </c>
      <c r="FJ141" s="24">
        <v>0</v>
      </c>
      <c r="FK141" s="24">
        <v>0</v>
      </c>
      <c r="FL141" s="24">
        <v>0</v>
      </c>
      <c r="FM141" s="24">
        <v>0</v>
      </c>
      <c r="FN141" s="24">
        <v>0</v>
      </c>
      <c r="FO141" s="24">
        <v>0</v>
      </c>
      <c r="FP141" s="24">
        <v>0</v>
      </c>
      <c r="FQ141" s="24">
        <v>0</v>
      </c>
      <c r="FR141" s="24">
        <v>0</v>
      </c>
      <c r="FS141" s="24">
        <v>1469</v>
      </c>
      <c r="FT141" s="24">
        <v>0</v>
      </c>
      <c r="FU141" s="24">
        <v>0</v>
      </c>
      <c r="FV141" s="24">
        <v>0</v>
      </c>
      <c r="FW141" s="24">
        <v>0</v>
      </c>
      <c r="FX141" s="24">
        <v>0</v>
      </c>
      <c r="FY141" s="24">
        <v>0</v>
      </c>
      <c r="FZ141" s="24">
        <v>0</v>
      </c>
      <c r="GA141" s="24">
        <v>0</v>
      </c>
      <c r="GB141" s="24">
        <v>0</v>
      </c>
      <c r="GC141" s="24">
        <v>0</v>
      </c>
      <c r="GD141" s="24">
        <v>0</v>
      </c>
      <c r="GE141" s="24">
        <v>0</v>
      </c>
      <c r="GF141" s="24">
        <v>0</v>
      </c>
      <c r="GG141" s="24">
        <v>0</v>
      </c>
      <c r="GH141" s="24">
        <v>0</v>
      </c>
      <c r="GI141" s="24">
        <v>0</v>
      </c>
      <c r="GJ141" s="24">
        <v>0</v>
      </c>
      <c r="GK141" s="24">
        <v>0</v>
      </c>
      <c r="GL141" s="24">
        <v>0</v>
      </c>
      <c r="GM141" s="24">
        <v>0</v>
      </c>
      <c r="GN141" s="24">
        <v>0</v>
      </c>
      <c r="GO141" s="24">
        <v>0</v>
      </c>
      <c r="GP141" s="24">
        <v>0</v>
      </c>
      <c r="GQ141" s="24">
        <v>0</v>
      </c>
      <c r="GR141" s="24">
        <v>0</v>
      </c>
      <c r="GS141" s="24">
        <v>0</v>
      </c>
      <c r="GT141" s="24">
        <v>0</v>
      </c>
      <c r="GU141" s="24">
        <v>0</v>
      </c>
      <c r="GV141" s="24">
        <v>0</v>
      </c>
      <c r="GW141" s="24">
        <v>0</v>
      </c>
      <c r="GX141" s="24">
        <v>0</v>
      </c>
      <c r="GY141" s="24">
        <v>0</v>
      </c>
      <c r="GZ141" s="24">
        <v>0</v>
      </c>
      <c r="HA141" s="24">
        <v>0</v>
      </c>
      <c r="HB141" s="24">
        <v>0</v>
      </c>
      <c r="HC141" s="24">
        <v>0</v>
      </c>
      <c r="HD141" s="24">
        <v>1412768</v>
      </c>
      <c r="HE141" s="24">
        <v>0</v>
      </c>
      <c r="HF141" s="24">
        <v>0</v>
      </c>
      <c r="HG141" s="24">
        <v>0</v>
      </c>
      <c r="HH141" s="24">
        <v>0</v>
      </c>
      <c r="HI141" s="24">
        <v>0</v>
      </c>
      <c r="HJ141" s="24">
        <v>0</v>
      </c>
      <c r="HK141" s="24">
        <v>0</v>
      </c>
      <c r="HL141" s="24">
        <v>15101</v>
      </c>
      <c r="HM141" s="24">
        <v>0</v>
      </c>
      <c r="HN141" s="24">
        <v>25998</v>
      </c>
      <c r="HO141" s="24">
        <v>166576</v>
      </c>
      <c r="HP141" s="24">
        <v>87073</v>
      </c>
      <c r="HQ141" s="24">
        <v>0</v>
      </c>
      <c r="HR141" s="24">
        <v>0</v>
      </c>
      <c r="HS141" s="24">
        <v>0</v>
      </c>
      <c r="HT141" s="24">
        <v>0</v>
      </c>
      <c r="HU141" s="24">
        <v>0</v>
      </c>
      <c r="HV141" s="24">
        <v>0</v>
      </c>
      <c r="HW141" s="24">
        <v>0</v>
      </c>
      <c r="HX141" s="24">
        <v>0</v>
      </c>
      <c r="HY141" s="24">
        <v>0</v>
      </c>
      <c r="HZ141" s="24">
        <v>0</v>
      </c>
      <c r="IA141" s="24">
        <v>22376</v>
      </c>
      <c r="IB141" s="24">
        <v>5132</v>
      </c>
      <c r="IC141" s="24">
        <v>0</v>
      </c>
      <c r="ID141" s="24">
        <v>0</v>
      </c>
      <c r="IE141" s="24">
        <v>0</v>
      </c>
      <c r="IF141" s="24">
        <v>0</v>
      </c>
      <c r="IG141" s="24">
        <v>0</v>
      </c>
      <c r="IH141" s="24">
        <v>0</v>
      </c>
      <c r="II141" s="24">
        <v>0</v>
      </c>
      <c r="IJ141" s="24">
        <v>0</v>
      </c>
      <c r="IK141" s="24">
        <v>0</v>
      </c>
      <c r="IL141" s="24">
        <v>0</v>
      </c>
      <c r="IM141" s="24">
        <v>0</v>
      </c>
      <c r="IN141" s="24">
        <v>0</v>
      </c>
      <c r="IO141" s="24">
        <v>0</v>
      </c>
      <c r="IP141" s="24">
        <v>0</v>
      </c>
      <c r="IQ141" s="24">
        <v>0</v>
      </c>
      <c r="IR141" s="24">
        <v>0</v>
      </c>
      <c r="IS141" s="24">
        <v>0</v>
      </c>
      <c r="IT141" s="24">
        <v>0</v>
      </c>
      <c r="IU141" s="24">
        <v>0</v>
      </c>
      <c r="IV141" s="24">
        <v>0</v>
      </c>
      <c r="IW141" s="24">
        <v>15131</v>
      </c>
      <c r="IX141" s="24">
        <v>0</v>
      </c>
      <c r="IY141" s="24">
        <v>0</v>
      </c>
      <c r="IZ141" s="24">
        <v>0</v>
      </c>
      <c r="JA141" s="24">
        <v>0</v>
      </c>
      <c r="JB141" s="24">
        <v>0</v>
      </c>
      <c r="JC141" s="24">
        <v>0</v>
      </c>
      <c r="JD141" s="24">
        <v>0</v>
      </c>
      <c r="JE141" s="24">
        <v>0</v>
      </c>
      <c r="JF141" s="24">
        <v>0</v>
      </c>
      <c r="JG141" s="24">
        <v>0</v>
      </c>
      <c r="JH141" s="24">
        <v>0</v>
      </c>
      <c r="JI141" s="24">
        <v>0</v>
      </c>
      <c r="JJ141" s="24">
        <v>0</v>
      </c>
      <c r="JK141" s="24">
        <v>0</v>
      </c>
      <c r="JL141" s="24">
        <v>0</v>
      </c>
      <c r="JM141" s="24">
        <v>0</v>
      </c>
      <c r="JN141" s="24">
        <v>0</v>
      </c>
      <c r="JO141" s="24">
        <v>0</v>
      </c>
      <c r="JP141" s="24">
        <v>0</v>
      </c>
      <c r="JQ141" s="24">
        <v>0</v>
      </c>
      <c r="JR141" s="24">
        <v>0</v>
      </c>
      <c r="JS141" s="24">
        <v>0</v>
      </c>
      <c r="JT141" s="24">
        <v>0</v>
      </c>
      <c r="JU141" s="24">
        <v>0</v>
      </c>
      <c r="JV141" s="24">
        <v>0</v>
      </c>
      <c r="JW141" s="24">
        <v>0</v>
      </c>
      <c r="JX141" s="24">
        <v>0</v>
      </c>
      <c r="JY141" s="24">
        <v>0</v>
      </c>
      <c r="JZ141" s="24">
        <v>0</v>
      </c>
      <c r="KA141" s="24">
        <v>0</v>
      </c>
      <c r="KB141" s="24">
        <v>0</v>
      </c>
      <c r="KC141" s="24">
        <v>0</v>
      </c>
      <c r="KD141" s="24">
        <v>0</v>
      </c>
      <c r="KE141" s="24">
        <v>0</v>
      </c>
      <c r="KF141" s="24">
        <v>0</v>
      </c>
      <c r="KG141" s="24">
        <v>0</v>
      </c>
      <c r="KH141" s="24">
        <v>0</v>
      </c>
      <c r="KI141" s="24">
        <v>0</v>
      </c>
      <c r="KJ141" s="24">
        <v>0</v>
      </c>
      <c r="KK141" s="24">
        <v>0</v>
      </c>
      <c r="KL141" s="24">
        <v>0</v>
      </c>
      <c r="KM141" s="24">
        <v>0</v>
      </c>
      <c r="KN141" s="24">
        <v>0</v>
      </c>
      <c r="KO141" s="24">
        <v>0</v>
      </c>
      <c r="KP141" s="24">
        <v>0</v>
      </c>
      <c r="KQ141" s="24">
        <v>0</v>
      </c>
      <c r="KR141" s="24">
        <v>0</v>
      </c>
      <c r="KS141" s="24">
        <v>0</v>
      </c>
      <c r="KT141" s="24">
        <v>0</v>
      </c>
      <c r="KU141" s="24">
        <v>0</v>
      </c>
      <c r="KV141" s="24">
        <v>0</v>
      </c>
      <c r="KW141" s="24">
        <v>0</v>
      </c>
      <c r="KX141" s="24">
        <v>0</v>
      </c>
      <c r="KY141" s="24">
        <v>0</v>
      </c>
      <c r="KZ141" s="24">
        <v>0</v>
      </c>
      <c r="LA141" s="24">
        <v>0</v>
      </c>
      <c r="LB141" s="24">
        <v>0</v>
      </c>
      <c r="LC141" s="24">
        <v>0</v>
      </c>
      <c r="LD141" s="24">
        <v>0</v>
      </c>
      <c r="LE141" s="24">
        <v>0</v>
      </c>
      <c r="LF141" s="24">
        <v>0</v>
      </c>
      <c r="LG141" s="24">
        <v>0</v>
      </c>
      <c r="LH141" s="24">
        <v>0</v>
      </c>
      <c r="LI141" s="24">
        <v>0</v>
      </c>
      <c r="LJ141" s="24">
        <v>0</v>
      </c>
      <c r="LK141" s="24">
        <v>0</v>
      </c>
      <c r="LL141" s="24">
        <v>0</v>
      </c>
      <c r="LM141" s="24">
        <v>0</v>
      </c>
      <c r="LN141" s="24">
        <v>0</v>
      </c>
      <c r="LO141" s="24">
        <v>0</v>
      </c>
      <c r="LP141" s="24">
        <v>0</v>
      </c>
      <c r="LQ141" s="24">
        <v>0</v>
      </c>
      <c r="LR141" s="24">
        <v>0</v>
      </c>
      <c r="LS141" s="24">
        <v>0</v>
      </c>
      <c r="LT141" s="24">
        <v>0</v>
      </c>
      <c r="LU141" s="24">
        <v>0</v>
      </c>
      <c r="LV141" s="24">
        <v>0</v>
      </c>
      <c r="LW141" s="24">
        <v>0</v>
      </c>
      <c r="LX141" s="24">
        <v>0</v>
      </c>
      <c r="LY141" s="24">
        <v>0</v>
      </c>
      <c r="LZ141" s="24">
        <v>0</v>
      </c>
      <c r="MA141" s="24">
        <v>0</v>
      </c>
      <c r="MB141" s="24">
        <v>0</v>
      </c>
      <c r="MC141" s="24">
        <v>0</v>
      </c>
      <c r="MD141" s="24">
        <v>0</v>
      </c>
      <c r="ME141" s="24">
        <v>0</v>
      </c>
      <c r="MF141" s="24">
        <v>0</v>
      </c>
      <c r="MG141" s="24">
        <v>0</v>
      </c>
      <c r="MH141" s="24">
        <v>0</v>
      </c>
      <c r="MI141" s="24">
        <v>0</v>
      </c>
      <c r="MJ141" s="24">
        <v>0</v>
      </c>
      <c r="MK141" s="24">
        <v>0</v>
      </c>
      <c r="ML141" s="24">
        <v>0</v>
      </c>
      <c r="MM141" s="24">
        <v>0</v>
      </c>
      <c r="MN141" s="24">
        <v>0</v>
      </c>
      <c r="MO141" s="24">
        <v>0</v>
      </c>
      <c r="MP141" s="24">
        <v>0</v>
      </c>
      <c r="MQ141" s="24">
        <v>0</v>
      </c>
      <c r="MR141" s="24">
        <v>0</v>
      </c>
      <c r="MS141" s="24">
        <v>0</v>
      </c>
      <c r="MT141" s="24">
        <v>0</v>
      </c>
      <c r="MU141" s="24">
        <v>0</v>
      </c>
      <c r="MV141" s="24">
        <v>0</v>
      </c>
      <c r="MW141" s="24">
        <v>28240</v>
      </c>
      <c r="MX141" s="24">
        <v>0</v>
      </c>
      <c r="MY141" s="24">
        <v>0</v>
      </c>
      <c r="MZ141" s="24">
        <v>0</v>
      </c>
      <c r="NA141" s="24">
        <v>0</v>
      </c>
      <c r="NB141" s="24">
        <v>0</v>
      </c>
      <c r="NC141" s="24">
        <v>0</v>
      </c>
      <c r="ND141" s="24">
        <v>0</v>
      </c>
      <c r="NE141" s="24">
        <v>0</v>
      </c>
      <c r="NF141" s="24">
        <v>0</v>
      </c>
      <c r="NG141" s="24">
        <v>0</v>
      </c>
      <c r="NH141" s="24">
        <v>0</v>
      </c>
      <c r="NI141" s="24">
        <v>0</v>
      </c>
      <c r="NJ141" s="24">
        <v>0</v>
      </c>
      <c r="NK141" s="24">
        <v>0</v>
      </c>
      <c r="NL141" s="24">
        <v>0</v>
      </c>
      <c r="NM141" s="24">
        <v>0</v>
      </c>
      <c r="NN141" s="24">
        <v>0</v>
      </c>
      <c r="NO141" s="24">
        <v>0</v>
      </c>
      <c r="NP141" s="24">
        <v>0</v>
      </c>
      <c r="NQ141" s="24">
        <v>0</v>
      </c>
      <c r="NR141" s="24">
        <v>0</v>
      </c>
      <c r="NS141" s="24">
        <v>0</v>
      </c>
      <c r="NT141" s="24">
        <v>0</v>
      </c>
      <c r="NU141" s="24">
        <v>0</v>
      </c>
      <c r="NV141" s="24">
        <v>0</v>
      </c>
      <c r="NW141" s="24">
        <v>0</v>
      </c>
      <c r="NX141" s="24">
        <v>0</v>
      </c>
      <c r="NY141" s="24">
        <v>0</v>
      </c>
      <c r="NZ141" s="24">
        <v>0</v>
      </c>
      <c r="OA141" s="24">
        <v>0</v>
      </c>
      <c r="OB141" s="24">
        <v>0</v>
      </c>
      <c r="OC141" s="24">
        <v>0</v>
      </c>
      <c r="OD141" s="24">
        <v>0</v>
      </c>
      <c r="OE141" s="24">
        <v>0</v>
      </c>
      <c r="OF141" s="24">
        <v>0</v>
      </c>
      <c r="OG141" s="24">
        <v>0</v>
      </c>
      <c r="OH141" s="24">
        <v>0</v>
      </c>
      <c r="OI141" s="24">
        <v>0</v>
      </c>
      <c r="OJ141" s="24">
        <v>0</v>
      </c>
      <c r="OK141" s="24">
        <v>0</v>
      </c>
      <c r="OL141" s="24">
        <v>0</v>
      </c>
      <c r="OM141" s="24">
        <v>0</v>
      </c>
      <c r="ON141" s="24">
        <v>0</v>
      </c>
      <c r="OO141" s="24">
        <v>0</v>
      </c>
      <c r="OP141" s="24">
        <v>0</v>
      </c>
      <c r="OQ141" s="24">
        <v>0</v>
      </c>
      <c r="OR141" s="24">
        <v>0</v>
      </c>
      <c r="OS141" s="24">
        <v>0</v>
      </c>
      <c r="OT141" s="24">
        <v>0</v>
      </c>
      <c r="OU141" s="24">
        <v>0</v>
      </c>
      <c r="OV141" s="24">
        <v>0</v>
      </c>
      <c r="OW141" s="24">
        <v>0</v>
      </c>
      <c r="OX141" s="24">
        <v>0</v>
      </c>
      <c r="OY141" s="24">
        <v>0</v>
      </c>
      <c r="OZ141" s="24">
        <v>0</v>
      </c>
      <c r="PA141" s="24">
        <v>0</v>
      </c>
      <c r="PB141" s="24">
        <v>0</v>
      </c>
      <c r="PC141" s="24">
        <v>0</v>
      </c>
      <c r="PD141" s="24">
        <v>0</v>
      </c>
      <c r="PE141" s="24">
        <v>0</v>
      </c>
      <c r="PF141" s="24">
        <v>0</v>
      </c>
      <c r="PG141" s="24">
        <v>0</v>
      </c>
      <c r="PH141" s="24">
        <v>0</v>
      </c>
      <c r="PI141" s="24">
        <v>0</v>
      </c>
      <c r="PJ141" s="24">
        <v>0</v>
      </c>
      <c r="PK141" s="24">
        <v>0</v>
      </c>
      <c r="PL141" s="24">
        <v>0</v>
      </c>
      <c r="PM141" s="24">
        <v>0</v>
      </c>
      <c r="PN141" s="24">
        <v>0</v>
      </c>
      <c r="PO141" s="24">
        <v>0</v>
      </c>
      <c r="PP141" s="24">
        <v>0</v>
      </c>
      <c r="PQ141" s="24">
        <v>0</v>
      </c>
      <c r="PR141" s="24">
        <v>0</v>
      </c>
      <c r="PS141" s="24">
        <v>0</v>
      </c>
      <c r="PT141" s="24">
        <v>0</v>
      </c>
      <c r="PU141" s="24">
        <v>0</v>
      </c>
      <c r="PV141" s="24">
        <v>0</v>
      </c>
      <c r="PW141" s="24">
        <v>0</v>
      </c>
      <c r="PX141" s="24">
        <v>0</v>
      </c>
      <c r="PY141" s="24">
        <v>0</v>
      </c>
      <c r="PZ141" s="24">
        <v>0</v>
      </c>
      <c r="QA141" s="24">
        <v>0</v>
      </c>
      <c r="QB141" s="24">
        <v>0</v>
      </c>
      <c r="QC141" s="24">
        <v>0</v>
      </c>
      <c r="QD141" s="24">
        <v>0</v>
      </c>
      <c r="QE141" s="24">
        <v>0</v>
      </c>
      <c r="QF141" s="24">
        <v>0</v>
      </c>
      <c r="QG141" s="24">
        <v>0</v>
      </c>
      <c r="QH141" s="24">
        <v>0</v>
      </c>
      <c r="QI141" s="24">
        <v>0</v>
      </c>
      <c r="QJ141" s="24">
        <v>0</v>
      </c>
      <c r="QK141" s="24">
        <v>0</v>
      </c>
      <c r="QL141" s="24">
        <v>0</v>
      </c>
      <c r="QM141" s="24">
        <v>0</v>
      </c>
      <c r="QN141" s="24">
        <v>0</v>
      </c>
      <c r="QO141" s="24">
        <v>0</v>
      </c>
      <c r="QP141" s="24">
        <v>0</v>
      </c>
      <c r="QQ141" s="24">
        <v>0</v>
      </c>
      <c r="QR141" s="24">
        <v>0</v>
      </c>
      <c r="QS141" s="24">
        <v>0</v>
      </c>
      <c r="QT141" s="24">
        <v>0</v>
      </c>
      <c r="QU141" s="24">
        <v>0</v>
      </c>
      <c r="QV141" s="24">
        <v>0</v>
      </c>
      <c r="QW141" s="24">
        <v>0</v>
      </c>
      <c r="QX141" s="24">
        <v>0</v>
      </c>
      <c r="QY141" s="24">
        <v>0</v>
      </c>
      <c r="QZ141" s="24">
        <v>0</v>
      </c>
      <c r="RA141" s="24">
        <v>0</v>
      </c>
      <c r="RB141" s="24">
        <v>0</v>
      </c>
      <c r="RC141" s="913">
        <v>2</v>
      </c>
      <c r="RG141" s="39">
        <f t="shared" si="248"/>
        <v>1412768</v>
      </c>
      <c r="RH141" s="39">
        <f t="shared" si="249"/>
        <v>0</v>
      </c>
      <c r="RI141" s="39">
        <f t="shared" si="249"/>
        <v>15101</v>
      </c>
      <c r="RJ141" s="39">
        <f t="shared" si="249"/>
        <v>0</v>
      </c>
      <c r="RK141" s="39">
        <f t="shared" si="249"/>
        <v>25998</v>
      </c>
      <c r="RL141" s="39">
        <f t="shared" si="249"/>
        <v>166576</v>
      </c>
      <c r="RM141" s="39">
        <f t="shared" si="249"/>
        <v>114581</v>
      </c>
      <c r="RN141" s="39">
        <f t="shared" si="249"/>
        <v>0</v>
      </c>
      <c r="RO141" s="39">
        <f t="shared" si="249"/>
        <v>0</v>
      </c>
      <c r="RP141" s="39">
        <f t="shared" si="249"/>
        <v>15131</v>
      </c>
      <c r="RQ141" s="39">
        <f t="shared" si="249"/>
        <v>0</v>
      </c>
      <c r="RR141" s="39">
        <f t="shared" si="249"/>
        <v>0</v>
      </c>
      <c r="RS141" s="39"/>
      <c r="RT141" s="182"/>
      <c r="RU141" s="39"/>
      <c r="RV141" s="39">
        <f t="shared" si="302"/>
        <v>28240</v>
      </c>
      <c r="RW141" s="39">
        <f t="shared" si="302"/>
        <v>1750155</v>
      </c>
      <c r="RX141" s="39">
        <f t="shared" si="302"/>
        <v>16426</v>
      </c>
      <c r="RY141" s="39">
        <f t="shared" si="302"/>
        <v>0</v>
      </c>
      <c r="RZ141" s="39"/>
      <c r="SA141" s="182"/>
      <c r="SB141" s="39"/>
      <c r="SC141" s="25">
        <f t="shared" si="303"/>
        <v>68.441666666666663</v>
      </c>
      <c r="SD141" s="39">
        <f>IFERROR(VLOOKUP(A141, 'Levy Data 15-16'!$B:$O, 3, FALSE), 0)</f>
        <v>0</v>
      </c>
      <c r="SE141" s="39">
        <f t="shared" si="265"/>
        <v>0</v>
      </c>
      <c r="SF141" s="631">
        <f>IFERROR(VLOOKUP(A141, 'Levy Data 15-16'!$B:$O, 14, FALSE), 0)*1000</f>
        <v>0</v>
      </c>
      <c r="SG141" s="39">
        <f t="shared" si="266"/>
        <v>0</v>
      </c>
      <c r="SH141" s="39">
        <f t="shared" si="267"/>
        <v>0</v>
      </c>
      <c r="SI141" s="39">
        <f t="shared" si="268"/>
        <v>16426</v>
      </c>
      <c r="SM141" s="39">
        <f t="shared" si="269"/>
        <v>1750155</v>
      </c>
      <c r="SN141" s="39">
        <f t="shared" si="270"/>
        <v>0</v>
      </c>
      <c r="SO141" s="39">
        <f t="shared" si="304"/>
        <v>1750155</v>
      </c>
      <c r="SP141" s="50">
        <f t="shared" si="250"/>
        <v>1</v>
      </c>
      <c r="ST141" s="124">
        <f>IFERROR(VLOOKUP(A141,'Grade Enroll 15-16'!B:AC,27,FALSE),"")</f>
        <v>240</v>
      </c>
      <c r="SU141" s="124">
        <f t="shared" si="264"/>
        <v>0</v>
      </c>
      <c r="SV141" s="131">
        <f>IFERROR(VLOOKUP($A141, 'Title I Enroll 16-17'!S:V, 4, FALSE), 0)</f>
        <v>0</v>
      </c>
      <c r="SW141" s="729">
        <f>IFERROR(VLOOKUP(A141, 'ELL Enroll 15-16'!$N:$S, 6, FALSE), 0)</f>
        <v>5</v>
      </c>
      <c r="SX141" s="131">
        <f t="shared" si="251"/>
        <v>2.0833333333333332E-2</v>
      </c>
      <c r="SY141" s="124">
        <f>IFERROR(VLOOKUP(A141, 'SPED enroll 2015-16'!$M:$O, 3, FALSE), 0)</f>
        <v>18</v>
      </c>
      <c r="SZ141" s="131">
        <f t="shared" si="252"/>
        <v>7.4999999999999997E-2</v>
      </c>
      <c r="TA141" s="142">
        <f t="shared" si="253"/>
        <v>12.6</v>
      </c>
      <c r="TB141" s="142">
        <f t="shared" si="253"/>
        <v>3.6</v>
      </c>
      <c r="TC141" s="142">
        <f t="shared" si="253"/>
        <v>1.2600000000000002</v>
      </c>
      <c r="TD141" s="142">
        <f t="shared" si="253"/>
        <v>0.54</v>
      </c>
      <c r="TE141" s="124">
        <f>VLOOKUP($A141, 'Grade Enroll 15-16'!$B:$AB, 20, FALSE)</f>
        <v>0</v>
      </c>
      <c r="TF141" s="124">
        <f>VLOOKUP($A141, 'Grade Enroll 15-16'!$B:$AB, 21, FALSE)</f>
        <v>0</v>
      </c>
      <c r="TG141" s="124">
        <f>VLOOKUP($A141, 'Grade Enroll 15-16'!$B:$AB, 22, FALSE)</f>
        <v>0</v>
      </c>
      <c r="TH141" s="124">
        <f>VLOOKUP($A141, 'Grade Enroll 15-16'!$B:$AB, 23, FALSE)</f>
        <v>4</v>
      </c>
      <c r="TI141" s="124">
        <f>VLOOKUP($A141, 'Grade Enroll 15-16'!$B:$AB, 24, FALSE)</f>
        <v>53</v>
      </c>
      <c r="TJ141" s="124">
        <f>VLOOKUP($A141, 'Grade Enroll 15-16'!$B:$AB, 25, FALSE)</f>
        <v>183</v>
      </c>
      <c r="TK141" s="124">
        <f>VLOOKUP($A141, 'Grade Enroll 15-16'!$B:$AB, 26, FALSE)</f>
        <v>142</v>
      </c>
      <c r="TL141" s="131">
        <f>SUMIFS('Student Achievement 15-16'!N:N, 'Student Achievement 15-16'!B:B, 'Idaho Data'!A141, 'Student Achievement 15-16'!D:D, "math")/100</f>
        <v>0.55600000000000005</v>
      </c>
      <c r="TM141" s="134">
        <f t="shared" si="305"/>
        <v>133.44</v>
      </c>
      <c r="TN141" s="131">
        <f>SUMIFS('Student Achievement 15-16'!N:N, 'Student Achievement 15-16'!B:B, 'Idaho Data'!A141, 'Student Achievement 15-16'!D:D, "ela")/100</f>
        <v>0.36399999999999999</v>
      </c>
      <c r="TO141" s="134">
        <f t="shared" si="254"/>
        <v>87.36</v>
      </c>
      <c r="TP141" s="688">
        <f>IFERROR(VLOOKUP(A141, 'G&amp;T 15-16'!B:G, 6, FALSE), 0)*1</f>
        <v>0</v>
      </c>
      <c r="TQ141" s="168">
        <f t="shared" si="255"/>
        <v>14.399999999999999</v>
      </c>
      <c r="TU141" s="168">
        <f t="shared" si="256"/>
        <v>87.36</v>
      </c>
      <c r="TV141" s="168">
        <f t="shared" si="257"/>
        <v>133.44</v>
      </c>
      <c r="TW141" s="205">
        <f t="shared" si="258"/>
        <v>133.44</v>
      </c>
      <c r="TX141" s="144"/>
      <c r="TY141" s="129"/>
      <c r="TZ141" s="127">
        <f t="shared" si="259"/>
        <v>0</v>
      </c>
      <c r="UA141" s="127">
        <f t="shared" si="260"/>
        <v>14.399999999999999</v>
      </c>
      <c r="UB141" s="205">
        <f t="shared" si="261"/>
        <v>14.399999999999999</v>
      </c>
      <c r="UE141" s="853" t="str">
        <f>IF(ST141&lt;='1. Simulator Input'!$E$104, "yes", "")</f>
        <v>yes</v>
      </c>
      <c r="UI141" s="199">
        <f t="shared" si="306"/>
        <v>0</v>
      </c>
      <c r="UJ141" s="200">
        <f>IF('Idaho Data'!SI141&gt;=0, ((1-'1. Simulator Input'!$E$39)*'Idaho Data'!SI141), 0)</f>
        <v>0</v>
      </c>
      <c r="UK141" s="200">
        <f t="shared" si="262"/>
        <v>1750155</v>
      </c>
      <c r="UL141" s="39"/>
      <c r="UM141" s="182"/>
      <c r="UN141" s="39"/>
      <c r="UO141" s="39">
        <f>IF(AND('1. Simulator Input'!$E$96="yes", '1. Simulator Input'!$E$98="yes", '1. Simulator Input'!$E$100="hold harmless"), 'Idaho Data'!WN141, IF(AND('1. Simulator Input'!$E$96="yes", '1. Simulator Input'!$E$98="no", '1. Simulator Input'!$E$100="hold harmless"), 'Idaho Data'!WM141, IF(AND('1. Simulator Input'!$E$96="yes", '1. Simulator Input'!$E$98="yes", '1. Simulator Input'!$E$100="small district grant"), WL141,IF(AND('1. Simulator Input'!$E$96="yes", '1. Simulator Input'!$E$98="no", '1. Simulator Input'!$E$100="small district grant"), WK141, ""))))</f>
        <v>0</v>
      </c>
      <c r="UP141" s="200">
        <f>'1. Simulator Input'!$D$56*('Idaho Data'!ST141)</f>
        <v>1326240</v>
      </c>
      <c r="UQ141" s="204">
        <f>'1. Simulator Input'!$D$65*'1. Simulator Input'!$D$56*'Idaho Data'!SU141</f>
        <v>0</v>
      </c>
      <c r="UR141" s="204">
        <f>'1. Simulator Input'!$D$66*'1. Simulator Input'!$D$56*'Idaho Data'!SW141</f>
        <v>0</v>
      </c>
      <c r="US141" s="200">
        <f>'1. Simulator Input'!$D$67*'1. Simulator Input'!$D$56*'Idaho Data'!TA141</f>
        <v>0</v>
      </c>
      <c r="UT141" s="200">
        <f>'1. Simulator Input'!$D$68*'1. Simulator Input'!$D$56*'Idaho Data'!TB141</f>
        <v>0</v>
      </c>
      <c r="UU141" s="200">
        <f>'1. Simulator Input'!$D$69*'1. Simulator Input'!$D$56*'Idaho Data'!TC141</f>
        <v>0</v>
      </c>
      <c r="UV141" s="200">
        <f>'1. Simulator Input'!$D$70*'1. Simulator Input'!$D$56*TD141</f>
        <v>0</v>
      </c>
      <c r="UW141" s="200">
        <f>'1. Simulator Input'!$D$80*'1. Simulator Input'!$D$56*TW141</f>
        <v>0</v>
      </c>
      <c r="UX141" s="200">
        <f>'1. Simulator Input'!$D$79*'1. Simulator Input'!$D$56*UB141</f>
        <v>0</v>
      </c>
      <c r="UY141" s="200">
        <f>'1. Simulator Input'!$D$87*'1. Simulator Input'!$D$56*TF141</f>
        <v>0</v>
      </c>
      <c r="UZ141" s="200">
        <f>'1. Simulator Input'!$D$73*'1. Simulator Input'!$D$56*'Idaho Data'!TG141</f>
        <v>0</v>
      </c>
      <c r="VA141" s="200">
        <f>'1. Simulator Input'!$D$56*'1. Simulator Input'!$D$74*'Idaho Data'!TH141</f>
        <v>0</v>
      </c>
      <c r="VB141" s="200">
        <f>'1. Simulator Input'!$D$56*'1. Simulator Input'!$D$75*'Idaho Data'!TI136</f>
        <v>0</v>
      </c>
      <c r="VC141" s="200">
        <f>'1. Simulator Input'!$D$76*'1. Simulator Input'!$D$56*'Idaho Data'!TJ141</f>
        <v>0</v>
      </c>
      <c r="VD141" s="200">
        <f t="shared" si="307"/>
        <v>1326240</v>
      </c>
      <c r="VE141" s="200"/>
      <c r="VF141" s="182"/>
      <c r="VG141" s="200"/>
      <c r="VH141" s="200">
        <f t="shared" si="308"/>
        <v>0</v>
      </c>
      <c r="VI141" s="200">
        <f t="shared" si="309"/>
        <v>0</v>
      </c>
      <c r="VJ141" s="200">
        <f t="shared" si="271"/>
        <v>1326240</v>
      </c>
      <c r="VK141" s="200">
        <f t="shared" si="272"/>
        <v>1326240</v>
      </c>
      <c r="VL141" s="200"/>
      <c r="VM141" s="182"/>
      <c r="VN141" s="200"/>
      <c r="VO141" s="200">
        <f t="shared" si="310"/>
        <v>28240</v>
      </c>
      <c r="VP141" s="200">
        <f t="shared" si="311"/>
        <v>1750155</v>
      </c>
      <c r="VQ141" s="200">
        <f t="shared" si="312"/>
        <v>16426</v>
      </c>
      <c r="VR141" s="200">
        <f t="shared" si="313"/>
        <v>28240</v>
      </c>
      <c r="VS141" s="200">
        <f t="shared" si="273"/>
        <v>1326240</v>
      </c>
      <c r="VT141" s="200">
        <f t="shared" si="274"/>
        <v>16426</v>
      </c>
      <c r="VU141" s="200">
        <f t="shared" si="275"/>
        <v>0</v>
      </c>
      <c r="VV141" s="200"/>
      <c r="VW141" s="182"/>
      <c r="VX141" s="200"/>
      <c r="VZ141" s="199">
        <f t="shared" si="314"/>
        <v>-423915</v>
      </c>
      <c r="WA141" s="466">
        <f t="shared" si="315"/>
        <v>-1766.3125</v>
      </c>
      <c r="WB141" s="131">
        <f t="shared" si="316"/>
        <v>-0.2422156894675043</v>
      </c>
      <c r="WC141" s="131"/>
      <c r="WD141" s="461"/>
      <c r="WE141" s="893"/>
      <c r="WF141" s="893">
        <f t="shared" si="317"/>
        <v>7478.4208333333336</v>
      </c>
      <c r="WG141" s="893">
        <f t="shared" si="318"/>
        <v>5712.1083333333336</v>
      </c>
      <c r="WH141" s="893"/>
      <c r="WI141" s="893">
        <f t="shared" si="319"/>
        <v>1750155</v>
      </c>
      <c r="WJ141" s="893">
        <f t="shared" si="276"/>
        <v>1326240</v>
      </c>
      <c r="WK141" s="39">
        <f t="shared" si="277"/>
        <v>0</v>
      </c>
      <c r="WL141" s="39">
        <f t="shared" si="278"/>
        <v>0</v>
      </c>
      <c r="WM141" s="200">
        <f t="shared" si="279"/>
        <v>423915</v>
      </c>
      <c r="WN141" s="39">
        <f t="shared" si="280"/>
        <v>423915</v>
      </c>
      <c r="WO141" s="39"/>
      <c r="WP141" s="182"/>
      <c r="WQ141" s="39"/>
      <c r="WR141" s="305"/>
      <c r="WT141" s="200">
        <f t="shared" si="281"/>
        <v>7292.3125</v>
      </c>
      <c r="WU141" s="131">
        <f t="shared" si="320"/>
        <v>0.67</v>
      </c>
      <c r="WW141" s="199">
        <f t="shared" si="282"/>
        <v>28240</v>
      </c>
      <c r="WX141" s="199">
        <f t="shared" si="283"/>
        <v>1326240</v>
      </c>
      <c r="WY141" s="199">
        <f t="shared" si="284"/>
        <v>0</v>
      </c>
      <c r="WZ141" s="199">
        <f t="shared" si="321"/>
        <v>1326240</v>
      </c>
      <c r="XA141" s="199">
        <f t="shared" si="285"/>
        <v>0</v>
      </c>
      <c r="XB141" s="199">
        <f t="shared" si="286"/>
        <v>16426</v>
      </c>
      <c r="XC141" s="199">
        <f t="shared" si="287"/>
        <v>16426</v>
      </c>
      <c r="XD141" s="199" t="str">
        <f t="shared" si="288"/>
        <v/>
      </c>
      <c r="XE141" s="199"/>
      <c r="XF141" s="199"/>
      <c r="XG141" s="199"/>
      <c r="XH141" s="199"/>
      <c r="XI141" s="199"/>
      <c r="XJ141" s="199">
        <f t="shared" si="322"/>
        <v>1326240</v>
      </c>
      <c r="XP141" s="199">
        <f t="shared" si="289"/>
        <v>1326240</v>
      </c>
      <c r="XQ141" s="199">
        <f t="shared" si="290"/>
        <v>5526</v>
      </c>
      <c r="XR141" s="199">
        <f t="shared" si="291"/>
        <v>1326240</v>
      </c>
      <c r="XS141" s="199">
        <f t="shared" si="292"/>
        <v>1326240</v>
      </c>
      <c r="XT141" s="199">
        <f t="shared" si="293"/>
        <v>5526</v>
      </c>
      <c r="XU141" s="199">
        <f t="shared" si="294"/>
        <v>1750155</v>
      </c>
      <c r="XV141" s="199">
        <f t="shared" si="295"/>
        <v>7292.3125</v>
      </c>
      <c r="XW141" s="199">
        <f t="shared" si="296"/>
        <v>1750155</v>
      </c>
      <c r="XX141" s="199">
        <f t="shared" si="297"/>
        <v>7292.3125</v>
      </c>
      <c r="XY141" s="199">
        <f t="shared" si="323"/>
        <v>-423915</v>
      </c>
      <c r="XZ141" s="199">
        <f t="shared" si="324"/>
        <v>-1766.3125</v>
      </c>
      <c r="YA141" s="131">
        <f t="shared" si="263"/>
        <v>-0.2422156894675043</v>
      </c>
      <c r="YB141" s="199"/>
      <c r="YC141" s="221"/>
      <c r="YD141" s="199"/>
      <c r="YE141" s="199">
        <f t="shared" si="298"/>
        <v>28240</v>
      </c>
      <c r="YF141" s="200">
        <f t="shared" si="299"/>
        <v>0</v>
      </c>
      <c r="YG141" s="199">
        <f t="shared" si="300"/>
        <v>16426</v>
      </c>
      <c r="YH141" s="199">
        <f t="shared" si="301"/>
        <v>0</v>
      </c>
    </row>
    <row r="142" spans="1:658">
      <c r="A142" s="3">
        <v>470</v>
      </c>
      <c r="B142" s="2" t="s">
        <v>239</v>
      </c>
      <c r="C142" s="24">
        <v>0</v>
      </c>
      <c r="D142" s="24">
        <v>0</v>
      </c>
      <c r="E142" s="24">
        <v>0</v>
      </c>
      <c r="F142" s="24">
        <v>0</v>
      </c>
      <c r="G142" s="24">
        <v>0</v>
      </c>
      <c r="H142" s="24">
        <v>0</v>
      </c>
      <c r="I142" s="24">
        <v>0</v>
      </c>
      <c r="J142" s="24">
        <v>0</v>
      </c>
      <c r="K142" s="24">
        <v>0</v>
      </c>
      <c r="L142" s="24">
        <v>0</v>
      </c>
      <c r="M142" s="24">
        <v>0</v>
      </c>
      <c r="N142" s="24">
        <v>0</v>
      </c>
      <c r="O142" s="24">
        <v>0</v>
      </c>
      <c r="P142" s="24">
        <v>0</v>
      </c>
      <c r="Q142" s="24">
        <v>0</v>
      </c>
      <c r="R142" s="24">
        <v>0</v>
      </c>
      <c r="S142" s="24">
        <v>0</v>
      </c>
      <c r="T142" s="24">
        <v>0</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4025</v>
      </c>
      <c r="AM142" s="24">
        <v>0</v>
      </c>
      <c r="AN142" s="24">
        <v>0</v>
      </c>
      <c r="AO142" s="24">
        <v>450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c r="BE142" s="24">
        <v>0</v>
      </c>
      <c r="BF142" s="24">
        <v>0</v>
      </c>
      <c r="BG142" s="24">
        <v>0</v>
      </c>
      <c r="BH142" s="24">
        <v>0</v>
      </c>
      <c r="BI142" s="24">
        <v>0</v>
      </c>
      <c r="BJ142" s="24">
        <v>0</v>
      </c>
      <c r="BK142" s="24">
        <v>0</v>
      </c>
      <c r="BL142" s="24">
        <v>0</v>
      </c>
      <c r="BM142" s="24">
        <v>0</v>
      </c>
      <c r="BN142" s="24">
        <v>0</v>
      </c>
      <c r="BO142" s="24">
        <v>0</v>
      </c>
      <c r="BP142" s="24">
        <v>0</v>
      </c>
      <c r="BQ142" s="24">
        <v>0</v>
      </c>
      <c r="BR142" s="24">
        <v>0</v>
      </c>
      <c r="BS142" s="24">
        <v>0</v>
      </c>
      <c r="BT142" s="24">
        <v>0</v>
      </c>
      <c r="BU142" s="24">
        <v>0</v>
      </c>
      <c r="BV142" s="24">
        <v>0</v>
      </c>
      <c r="BW142" s="24">
        <v>0</v>
      </c>
      <c r="BX142" s="24">
        <v>0</v>
      </c>
      <c r="BY142" s="24">
        <v>0</v>
      </c>
      <c r="BZ142" s="24">
        <v>0</v>
      </c>
      <c r="CA142" s="24">
        <v>0</v>
      </c>
      <c r="CB142" s="24">
        <v>0</v>
      </c>
      <c r="CC142" s="24">
        <v>0</v>
      </c>
      <c r="CD142" s="24">
        <v>0</v>
      </c>
      <c r="CE142" s="24">
        <v>0</v>
      </c>
      <c r="CF142" s="24">
        <v>0</v>
      </c>
      <c r="CG142" s="24">
        <v>0</v>
      </c>
      <c r="CH142" s="24">
        <v>0</v>
      </c>
      <c r="CI142" s="24">
        <v>0</v>
      </c>
      <c r="CJ142" s="24">
        <v>0</v>
      </c>
      <c r="CK142" s="24">
        <v>0</v>
      </c>
      <c r="CL142" s="24">
        <v>0</v>
      </c>
      <c r="CM142" s="24">
        <v>0</v>
      </c>
      <c r="CN142" s="24">
        <v>0</v>
      </c>
      <c r="CO142" s="24">
        <v>0</v>
      </c>
      <c r="CP142" s="24">
        <v>0</v>
      </c>
      <c r="CQ142" s="24">
        <v>0</v>
      </c>
      <c r="CR142" s="24">
        <v>0</v>
      </c>
      <c r="CS142" s="24">
        <v>0</v>
      </c>
      <c r="CT142" s="24">
        <v>0</v>
      </c>
      <c r="CU142" s="24">
        <v>0</v>
      </c>
      <c r="CV142" s="24">
        <v>0</v>
      </c>
      <c r="CW142" s="24">
        <v>0</v>
      </c>
      <c r="CX142" s="24">
        <v>0</v>
      </c>
      <c r="CY142" s="24">
        <v>0</v>
      </c>
      <c r="CZ142" s="24">
        <v>0</v>
      </c>
      <c r="DA142" s="24">
        <v>0</v>
      </c>
      <c r="DB142" s="24">
        <v>0</v>
      </c>
      <c r="DC142" s="24">
        <v>0</v>
      </c>
      <c r="DD142" s="24">
        <v>0</v>
      </c>
      <c r="DE142" s="24">
        <v>0</v>
      </c>
      <c r="DF142" s="24">
        <v>0</v>
      </c>
      <c r="DG142" s="24">
        <v>0</v>
      </c>
      <c r="DH142" s="24">
        <v>0</v>
      </c>
      <c r="DI142" s="24">
        <v>0</v>
      </c>
      <c r="DJ142" s="24">
        <v>0</v>
      </c>
      <c r="DK142" s="24">
        <v>0</v>
      </c>
      <c r="DL142" s="24">
        <v>0</v>
      </c>
      <c r="DM142" s="24">
        <v>0</v>
      </c>
      <c r="DN142" s="24">
        <v>0</v>
      </c>
      <c r="DO142" s="24">
        <v>0</v>
      </c>
      <c r="DP142" s="24">
        <v>0</v>
      </c>
      <c r="DQ142" s="24">
        <v>0</v>
      </c>
      <c r="DR142" s="24">
        <v>0</v>
      </c>
      <c r="DS142" s="24">
        <v>0</v>
      </c>
      <c r="DT142" s="24">
        <v>0</v>
      </c>
      <c r="DU142" s="24">
        <v>0</v>
      </c>
      <c r="DV142" s="24">
        <v>0</v>
      </c>
      <c r="DW142" s="24">
        <v>0</v>
      </c>
      <c r="DX142" s="24">
        <v>0</v>
      </c>
      <c r="DY142" s="24">
        <v>0</v>
      </c>
      <c r="DZ142" s="24">
        <v>0</v>
      </c>
      <c r="EA142" s="24">
        <v>0</v>
      </c>
      <c r="EB142" s="24">
        <v>0</v>
      </c>
      <c r="EC142" s="24">
        <v>0</v>
      </c>
      <c r="ED142" s="24">
        <v>0</v>
      </c>
      <c r="EE142" s="24">
        <v>0</v>
      </c>
      <c r="EF142" s="24">
        <v>0</v>
      </c>
      <c r="EG142" s="24">
        <v>0</v>
      </c>
      <c r="EH142" s="24">
        <v>0</v>
      </c>
      <c r="EI142" s="24">
        <v>0</v>
      </c>
      <c r="EJ142" s="24">
        <v>0</v>
      </c>
      <c r="EK142" s="24">
        <v>0</v>
      </c>
      <c r="EL142" s="24">
        <v>0</v>
      </c>
      <c r="EM142" s="24">
        <v>0</v>
      </c>
      <c r="EN142" s="24">
        <v>0</v>
      </c>
      <c r="EO142" s="24">
        <v>0</v>
      </c>
      <c r="EP142" s="24">
        <v>0</v>
      </c>
      <c r="EQ142" s="24">
        <v>0</v>
      </c>
      <c r="ER142" s="24">
        <v>0</v>
      </c>
      <c r="ES142" s="24">
        <v>0</v>
      </c>
      <c r="ET142" s="24">
        <v>0</v>
      </c>
      <c r="EU142" s="24">
        <v>0</v>
      </c>
      <c r="EV142" s="24">
        <v>0</v>
      </c>
      <c r="EW142" s="24">
        <v>0</v>
      </c>
      <c r="EX142" s="24">
        <v>0</v>
      </c>
      <c r="EY142" s="24">
        <v>0</v>
      </c>
      <c r="EZ142" s="24">
        <v>0</v>
      </c>
      <c r="FA142" s="24">
        <v>0</v>
      </c>
      <c r="FB142" s="24">
        <v>0</v>
      </c>
      <c r="FC142" s="24">
        <v>0</v>
      </c>
      <c r="FD142" s="24">
        <v>0</v>
      </c>
      <c r="FE142" s="24">
        <v>0</v>
      </c>
      <c r="FF142" s="24">
        <v>0</v>
      </c>
      <c r="FG142" s="24">
        <v>0</v>
      </c>
      <c r="FH142" s="24">
        <v>0</v>
      </c>
      <c r="FI142" s="24">
        <v>0</v>
      </c>
      <c r="FJ142" s="24">
        <v>0</v>
      </c>
      <c r="FK142" s="24">
        <v>0</v>
      </c>
      <c r="FL142" s="24">
        <v>0</v>
      </c>
      <c r="FM142" s="24">
        <v>0</v>
      </c>
      <c r="FN142" s="24">
        <v>0</v>
      </c>
      <c r="FO142" s="24">
        <v>0</v>
      </c>
      <c r="FP142" s="24">
        <v>0</v>
      </c>
      <c r="FQ142" s="24">
        <v>0</v>
      </c>
      <c r="FR142" s="24">
        <v>0</v>
      </c>
      <c r="FS142" s="24">
        <v>366</v>
      </c>
      <c r="FT142" s="24">
        <v>0</v>
      </c>
      <c r="FU142" s="24">
        <v>0</v>
      </c>
      <c r="FV142" s="24">
        <v>0</v>
      </c>
      <c r="FW142" s="24">
        <v>0</v>
      </c>
      <c r="FX142" s="24">
        <v>0</v>
      </c>
      <c r="FY142" s="24">
        <v>0</v>
      </c>
      <c r="FZ142" s="24">
        <v>0</v>
      </c>
      <c r="GA142" s="24">
        <v>0</v>
      </c>
      <c r="GB142" s="24">
        <v>0</v>
      </c>
      <c r="GC142" s="24">
        <v>0</v>
      </c>
      <c r="GD142" s="24">
        <v>0</v>
      </c>
      <c r="GE142" s="24">
        <v>0</v>
      </c>
      <c r="GF142" s="24">
        <v>0</v>
      </c>
      <c r="GG142" s="24">
        <v>0</v>
      </c>
      <c r="GH142" s="24">
        <v>0</v>
      </c>
      <c r="GI142" s="24">
        <v>0</v>
      </c>
      <c r="GJ142" s="24">
        <v>0</v>
      </c>
      <c r="GK142" s="24">
        <v>0</v>
      </c>
      <c r="GL142" s="24">
        <v>0</v>
      </c>
      <c r="GM142" s="24">
        <v>0</v>
      </c>
      <c r="GN142" s="24">
        <v>0</v>
      </c>
      <c r="GO142" s="24">
        <v>0</v>
      </c>
      <c r="GP142" s="24">
        <v>0</v>
      </c>
      <c r="GQ142" s="24">
        <v>0</v>
      </c>
      <c r="GR142" s="24">
        <v>0</v>
      </c>
      <c r="GS142" s="24">
        <v>0</v>
      </c>
      <c r="GT142" s="24">
        <v>0</v>
      </c>
      <c r="GU142" s="24">
        <v>0</v>
      </c>
      <c r="GV142" s="24">
        <v>0</v>
      </c>
      <c r="GW142" s="24">
        <v>0</v>
      </c>
      <c r="GX142" s="24">
        <v>0</v>
      </c>
      <c r="GY142" s="24">
        <v>0</v>
      </c>
      <c r="GZ142" s="24">
        <v>0</v>
      </c>
      <c r="HA142" s="24">
        <v>0</v>
      </c>
      <c r="HB142" s="24">
        <v>0</v>
      </c>
      <c r="HC142" s="24">
        <v>0</v>
      </c>
      <c r="HD142" s="24">
        <v>1301095</v>
      </c>
      <c r="HE142" s="24">
        <v>0</v>
      </c>
      <c r="HF142" s="24">
        <v>0</v>
      </c>
      <c r="HG142" s="24">
        <v>0</v>
      </c>
      <c r="HH142" s="24">
        <v>0</v>
      </c>
      <c r="HI142" s="24">
        <v>0</v>
      </c>
      <c r="HJ142" s="24">
        <v>0</v>
      </c>
      <c r="HK142" s="24">
        <v>0</v>
      </c>
      <c r="HL142" s="24">
        <v>0</v>
      </c>
      <c r="HM142" s="24">
        <v>0</v>
      </c>
      <c r="HN142" s="24">
        <v>0</v>
      </c>
      <c r="HO142" s="24">
        <v>119390</v>
      </c>
      <c r="HP142" s="24">
        <v>105091</v>
      </c>
      <c r="HQ142" s="24">
        <v>0</v>
      </c>
      <c r="HR142" s="24">
        <v>0</v>
      </c>
      <c r="HS142" s="24">
        <v>0</v>
      </c>
      <c r="HT142" s="24">
        <v>0</v>
      </c>
      <c r="HU142" s="24">
        <v>0</v>
      </c>
      <c r="HV142" s="24">
        <v>0</v>
      </c>
      <c r="HW142" s="24">
        <v>0</v>
      </c>
      <c r="HX142" s="24">
        <v>0</v>
      </c>
      <c r="HY142" s="24">
        <v>0</v>
      </c>
      <c r="HZ142" s="24">
        <v>0</v>
      </c>
      <c r="IA142" s="24">
        <v>0</v>
      </c>
      <c r="IB142" s="24">
        <v>0</v>
      </c>
      <c r="IC142" s="24">
        <v>0</v>
      </c>
      <c r="ID142" s="24">
        <v>0</v>
      </c>
      <c r="IE142" s="24">
        <v>0</v>
      </c>
      <c r="IF142" s="24">
        <v>0</v>
      </c>
      <c r="IG142" s="24">
        <v>0</v>
      </c>
      <c r="IH142" s="24">
        <v>0</v>
      </c>
      <c r="II142" s="24">
        <v>0</v>
      </c>
      <c r="IJ142" s="24">
        <v>0</v>
      </c>
      <c r="IK142" s="24">
        <v>0</v>
      </c>
      <c r="IL142" s="24">
        <v>0</v>
      </c>
      <c r="IM142" s="24">
        <v>0</v>
      </c>
      <c r="IN142" s="24">
        <v>0</v>
      </c>
      <c r="IO142" s="24">
        <v>0</v>
      </c>
      <c r="IP142" s="24">
        <v>0</v>
      </c>
      <c r="IQ142" s="24">
        <v>0</v>
      </c>
      <c r="IR142" s="24">
        <v>0</v>
      </c>
      <c r="IS142" s="24">
        <v>0</v>
      </c>
      <c r="IT142" s="24">
        <v>0</v>
      </c>
      <c r="IU142" s="24">
        <v>0</v>
      </c>
      <c r="IV142" s="24">
        <v>0</v>
      </c>
      <c r="IW142" s="24">
        <v>12138</v>
      </c>
      <c r="IX142" s="24">
        <v>0</v>
      </c>
      <c r="IY142" s="24">
        <v>0</v>
      </c>
      <c r="IZ142" s="24">
        <v>0</v>
      </c>
      <c r="JA142" s="24">
        <v>0</v>
      </c>
      <c r="JB142" s="24">
        <v>0</v>
      </c>
      <c r="JC142" s="24">
        <v>0</v>
      </c>
      <c r="JD142" s="24">
        <v>0</v>
      </c>
      <c r="JE142" s="24">
        <v>0</v>
      </c>
      <c r="JF142" s="24">
        <v>0</v>
      </c>
      <c r="JG142" s="24">
        <v>0</v>
      </c>
      <c r="JH142" s="24">
        <v>0</v>
      </c>
      <c r="JI142" s="24">
        <v>0</v>
      </c>
      <c r="JJ142" s="24">
        <v>0</v>
      </c>
      <c r="JK142" s="24">
        <v>0</v>
      </c>
      <c r="JL142" s="24">
        <v>0</v>
      </c>
      <c r="JM142" s="24">
        <v>0</v>
      </c>
      <c r="JN142" s="24">
        <v>0</v>
      </c>
      <c r="JO142" s="24">
        <v>0</v>
      </c>
      <c r="JP142" s="24">
        <v>0</v>
      </c>
      <c r="JQ142" s="24">
        <v>0</v>
      </c>
      <c r="JR142" s="24">
        <v>0</v>
      </c>
      <c r="JS142" s="24">
        <v>0</v>
      </c>
      <c r="JT142" s="24">
        <v>0</v>
      </c>
      <c r="JU142" s="24">
        <v>0</v>
      </c>
      <c r="JV142" s="24">
        <v>0</v>
      </c>
      <c r="JW142" s="24">
        <v>0</v>
      </c>
      <c r="JX142" s="24">
        <v>0</v>
      </c>
      <c r="JY142" s="24">
        <v>0</v>
      </c>
      <c r="JZ142" s="24">
        <v>0</v>
      </c>
      <c r="KA142" s="24">
        <v>0</v>
      </c>
      <c r="KB142" s="24">
        <v>0</v>
      </c>
      <c r="KC142" s="24">
        <v>0</v>
      </c>
      <c r="KD142" s="24">
        <v>0</v>
      </c>
      <c r="KE142" s="24">
        <v>0</v>
      </c>
      <c r="KF142" s="24">
        <v>0</v>
      </c>
      <c r="KG142" s="24">
        <v>0</v>
      </c>
      <c r="KH142" s="24">
        <v>0</v>
      </c>
      <c r="KI142" s="24">
        <v>0</v>
      </c>
      <c r="KJ142" s="24">
        <v>0</v>
      </c>
      <c r="KK142" s="24">
        <v>0</v>
      </c>
      <c r="KL142" s="24">
        <v>0</v>
      </c>
      <c r="KM142" s="24">
        <v>0</v>
      </c>
      <c r="KN142" s="24">
        <v>0</v>
      </c>
      <c r="KO142" s="24">
        <v>0</v>
      </c>
      <c r="KP142" s="24">
        <v>0</v>
      </c>
      <c r="KQ142" s="24">
        <v>0</v>
      </c>
      <c r="KR142" s="24">
        <v>0</v>
      </c>
      <c r="KS142" s="24">
        <v>0</v>
      </c>
      <c r="KT142" s="24">
        <v>0</v>
      </c>
      <c r="KU142" s="24">
        <v>0</v>
      </c>
      <c r="KV142" s="24">
        <v>0</v>
      </c>
      <c r="KW142" s="24">
        <v>0</v>
      </c>
      <c r="KX142" s="24">
        <v>0</v>
      </c>
      <c r="KY142" s="24">
        <v>0</v>
      </c>
      <c r="KZ142" s="24">
        <v>0</v>
      </c>
      <c r="LA142" s="24">
        <v>0</v>
      </c>
      <c r="LB142" s="24">
        <v>0</v>
      </c>
      <c r="LC142" s="24">
        <v>0</v>
      </c>
      <c r="LD142" s="24">
        <v>0</v>
      </c>
      <c r="LE142" s="24">
        <v>0</v>
      </c>
      <c r="LF142" s="24">
        <v>0</v>
      </c>
      <c r="LG142" s="24">
        <v>0</v>
      </c>
      <c r="LH142" s="24">
        <v>0</v>
      </c>
      <c r="LI142" s="24">
        <v>0</v>
      </c>
      <c r="LJ142" s="24">
        <v>0</v>
      </c>
      <c r="LK142" s="24">
        <v>0</v>
      </c>
      <c r="LL142" s="24">
        <v>0</v>
      </c>
      <c r="LM142" s="24">
        <v>0</v>
      </c>
      <c r="LN142" s="24">
        <v>0</v>
      </c>
      <c r="LO142" s="24">
        <v>0</v>
      </c>
      <c r="LP142" s="24">
        <v>0</v>
      </c>
      <c r="LQ142" s="24">
        <v>0</v>
      </c>
      <c r="LR142" s="24">
        <v>0</v>
      </c>
      <c r="LS142" s="24">
        <v>0</v>
      </c>
      <c r="LT142" s="24">
        <v>0</v>
      </c>
      <c r="LU142" s="24">
        <v>0</v>
      </c>
      <c r="LV142" s="24">
        <v>0</v>
      </c>
      <c r="LW142" s="24">
        <v>0</v>
      </c>
      <c r="LX142" s="24">
        <v>0</v>
      </c>
      <c r="LY142" s="24">
        <v>0</v>
      </c>
      <c r="LZ142" s="24">
        <v>0</v>
      </c>
      <c r="MA142" s="24">
        <v>0</v>
      </c>
      <c r="MB142" s="24">
        <v>0</v>
      </c>
      <c r="MC142" s="24">
        <v>0</v>
      </c>
      <c r="MD142" s="24">
        <v>0</v>
      </c>
      <c r="ME142" s="24">
        <v>0</v>
      </c>
      <c r="MF142" s="24">
        <v>0</v>
      </c>
      <c r="MG142" s="24">
        <v>0</v>
      </c>
      <c r="MH142" s="24">
        <v>0</v>
      </c>
      <c r="MI142" s="24">
        <v>0</v>
      </c>
      <c r="MJ142" s="24">
        <v>0</v>
      </c>
      <c r="MK142" s="24">
        <v>0</v>
      </c>
      <c r="ML142" s="24">
        <v>0</v>
      </c>
      <c r="MM142" s="24">
        <v>0</v>
      </c>
      <c r="MN142" s="24">
        <v>0</v>
      </c>
      <c r="MO142" s="24">
        <v>0</v>
      </c>
      <c r="MP142" s="24">
        <v>0</v>
      </c>
      <c r="MQ142" s="24">
        <v>0</v>
      </c>
      <c r="MR142" s="24">
        <v>0</v>
      </c>
      <c r="MS142" s="24">
        <v>0</v>
      </c>
      <c r="MT142" s="24">
        <v>0</v>
      </c>
      <c r="MU142" s="24">
        <v>0</v>
      </c>
      <c r="MV142" s="24">
        <v>0</v>
      </c>
      <c r="MW142" s="24">
        <v>47787</v>
      </c>
      <c r="MX142" s="24">
        <v>0</v>
      </c>
      <c r="MY142" s="24">
        <v>0</v>
      </c>
      <c r="MZ142" s="24">
        <v>0</v>
      </c>
      <c r="NA142" s="24">
        <v>0</v>
      </c>
      <c r="NB142" s="24">
        <v>0</v>
      </c>
      <c r="NC142" s="24">
        <v>0</v>
      </c>
      <c r="ND142" s="24">
        <v>0</v>
      </c>
      <c r="NE142" s="24">
        <v>0</v>
      </c>
      <c r="NF142" s="24">
        <v>0</v>
      </c>
      <c r="NG142" s="24">
        <v>0</v>
      </c>
      <c r="NH142" s="24">
        <v>0</v>
      </c>
      <c r="NI142" s="24">
        <v>0</v>
      </c>
      <c r="NJ142" s="24">
        <v>0</v>
      </c>
      <c r="NK142" s="24">
        <v>0</v>
      </c>
      <c r="NL142" s="24">
        <v>0</v>
      </c>
      <c r="NM142" s="24">
        <v>0</v>
      </c>
      <c r="NN142" s="24">
        <v>0</v>
      </c>
      <c r="NO142" s="24">
        <v>0</v>
      </c>
      <c r="NP142" s="24">
        <v>0</v>
      </c>
      <c r="NQ142" s="24">
        <v>0</v>
      </c>
      <c r="NR142" s="24">
        <v>0</v>
      </c>
      <c r="NS142" s="24">
        <v>0</v>
      </c>
      <c r="NT142" s="24">
        <v>0</v>
      </c>
      <c r="NU142" s="24">
        <v>0</v>
      </c>
      <c r="NV142" s="24">
        <v>0</v>
      </c>
      <c r="NW142" s="24">
        <v>0</v>
      </c>
      <c r="NX142" s="24">
        <v>0</v>
      </c>
      <c r="NY142" s="24">
        <v>0</v>
      </c>
      <c r="NZ142" s="24">
        <v>0</v>
      </c>
      <c r="OA142" s="24">
        <v>0</v>
      </c>
      <c r="OB142" s="24">
        <v>0</v>
      </c>
      <c r="OC142" s="24">
        <v>0</v>
      </c>
      <c r="OD142" s="24">
        <v>0</v>
      </c>
      <c r="OE142" s="24">
        <v>0</v>
      </c>
      <c r="OF142" s="24">
        <v>0</v>
      </c>
      <c r="OG142" s="24">
        <v>0</v>
      </c>
      <c r="OH142" s="24">
        <v>0</v>
      </c>
      <c r="OI142" s="24">
        <v>0</v>
      </c>
      <c r="OJ142" s="24">
        <v>0</v>
      </c>
      <c r="OK142" s="24">
        <v>0</v>
      </c>
      <c r="OL142" s="24">
        <v>0</v>
      </c>
      <c r="OM142" s="24">
        <v>0</v>
      </c>
      <c r="ON142" s="24">
        <v>0</v>
      </c>
      <c r="OO142" s="24">
        <v>0</v>
      </c>
      <c r="OP142" s="24">
        <v>0</v>
      </c>
      <c r="OQ142" s="24">
        <v>0</v>
      </c>
      <c r="OR142" s="24">
        <v>0</v>
      </c>
      <c r="OS142" s="24">
        <v>0</v>
      </c>
      <c r="OT142" s="24">
        <v>0</v>
      </c>
      <c r="OU142" s="24">
        <v>0</v>
      </c>
      <c r="OV142" s="24">
        <v>0</v>
      </c>
      <c r="OW142" s="24">
        <v>0</v>
      </c>
      <c r="OX142" s="24">
        <v>0</v>
      </c>
      <c r="OY142" s="24">
        <v>0</v>
      </c>
      <c r="OZ142" s="24">
        <v>0</v>
      </c>
      <c r="PA142" s="24">
        <v>0</v>
      </c>
      <c r="PB142" s="24">
        <v>0</v>
      </c>
      <c r="PC142" s="24">
        <v>0</v>
      </c>
      <c r="PD142" s="24">
        <v>0</v>
      </c>
      <c r="PE142" s="24">
        <v>0</v>
      </c>
      <c r="PF142" s="24">
        <v>0</v>
      </c>
      <c r="PG142" s="24">
        <v>0</v>
      </c>
      <c r="PH142" s="24">
        <v>0</v>
      </c>
      <c r="PI142" s="24">
        <v>0</v>
      </c>
      <c r="PJ142" s="24">
        <v>0</v>
      </c>
      <c r="PK142" s="24">
        <v>0</v>
      </c>
      <c r="PL142" s="24">
        <v>0</v>
      </c>
      <c r="PM142" s="24">
        <v>0</v>
      </c>
      <c r="PN142" s="24">
        <v>0</v>
      </c>
      <c r="PO142" s="24">
        <v>0</v>
      </c>
      <c r="PP142" s="24">
        <v>0</v>
      </c>
      <c r="PQ142" s="24">
        <v>0</v>
      </c>
      <c r="PR142" s="24">
        <v>0</v>
      </c>
      <c r="PS142" s="24">
        <v>0</v>
      </c>
      <c r="PT142" s="24">
        <v>0</v>
      </c>
      <c r="PU142" s="24">
        <v>0</v>
      </c>
      <c r="PV142" s="24">
        <v>0</v>
      </c>
      <c r="PW142" s="24">
        <v>0</v>
      </c>
      <c r="PX142" s="24">
        <v>0</v>
      </c>
      <c r="PY142" s="24">
        <v>0</v>
      </c>
      <c r="PZ142" s="24">
        <v>0</v>
      </c>
      <c r="QA142" s="24">
        <v>0</v>
      </c>
      <c r="QB142" s="24">
        <v>0</v>
      </c>
      <c r="QC142" s="24">
        <v>0</v>
      </c>
      <c r="QD142" s="24">
        <v>2312</v>
      </c>
      <c r="QE142" s="24">
        <v>0</v>
      </c>
      <c r="QF142" s="24">
        <v>0</v>
      </c>
      <c r="QG142" s="24">
        <v>0</v>
      </c>
      <c r="QH142" s="24">
        <v>0</v>
      </c>
      <c r="QI142" s="24">
        <v>0</v>
      </c>
      <c r="QJ142" s="24">
        <v>0</v>
      </c>
      <c r="QK142" s="24">
        <v>0</v>
      </c>
      <c r="QL142" s="24">
        <v>0</v>
      </c>
      <c r="QM142" s="24">
        <v>0</v>
      </c>
      <c r="QN142" s="24">
        <v>0</v>
      </c>
      <c r="QO142" s="24">
        <v>0</v>
      </c>
      <c r="QP142" s="24">
        <v>0</v>
      </c>
      <c r="QQ142" s="24">
        <v>0</v>
      </c>
      <c r="QR142" s="24">
        <v>0</v>
      </c>
      <c r="QS142" s="24">
        <v>0</v>
      </c>
      <c r="QT142" s="24">
        <v>0</v>
      </c>
      <c r="QU142" s="24">
        <v>0</v>
      </c>
      <c r="QV142" s="24">
        <v>315410</v>
      </c>
      <c r="QW142" s="24">
        <v>0</v>
      </c>
      <c r="QX142" s="24">
        <v>0</v>
      </c>
      <c r="QY142" s="24">
        <v>0</v>
      </c>
      <c r="QZ142" s="24">
        <v>0</v>
      </c>
      <c r="RA142" s="24">
        <v>0</v>
      </c>
      <c r="RB142" s="24">
        <v>0</v>
      </c>
      <c r="RC142" s="913">
        <v>2</v>
      </c>
      <c r="RG142" s="39">
        <f t="shared" si="248"/>
        <v>1301095</v>
      </c>
      <c r="RH142" s="39">
        <f t="shared" si="249"/>
        <v>0</v>
      </c>
      <c r="RI142" s="39">
        <f t="shared" si="249"/>
        <v>0</v>
      </c>
      <c r="RJ142" s="39">
        <f t="shared" si="249"/>
        <v>0</v>
      </c>
      <c r="RK142" s="39">
        <f t="shared" si="249"/>
        <v>0</v>
      </c>
      <c r="RL142" s="39">
        <f t="shared" si="249"/>
        <v>119390</v>
      </c>
      <c r="RM142" s="39">
        <f t="shared" si="249"/>
        <v>105091</v>
      </c>
      <c r="RN142" s="39">
        <f t="shared" si="249"/>
        <v>0</v>
      </c>
      <c r="RO142" s="39">
        <f t="shared" si="249"/>
        <v>0</v>
      </c>
      <c r="RP142" s="39">
        <f t="shared" si="249"/>
        <v>12138</v>
      </c>
      <c r="RQ142" s="39">
        <f t="shared" si="249"/>
        <v>0</v>
      </c>
      <c r="RR142" s="39">
        <f t="shared" si="249"/>
        <v>0</v>
      </c>
      <c r="RS142" s="39"/>
      <c r="RT142" s="182"/>
      <c r="RU142" s="39"/>
      <c r="RV142" s="39">
        <f t="shared" si="302"/>
        <v>47787</v>
      </c>
      <c r="RW142" s="39">
        <f t="shared" si="302"/>
        <v>1537714</v>
      </c>
      <c r="RX142" s="39">
        <f t="shared" si="302"/>
        <v>4841</v>
      </c>
      <c r="RY142" s="39">
        <f t="shared" si="302"/>
        <v>317722</v>
      </c>
      <c r="RZ142" s="39"/>
      <c r="SA142" s="182"/>
      <c r="SB142" s="39"/>
      <c r="SC142" s="25">
        <f t="shared" si="303"/>
        <v>19.840163934426229</v>
      </c>
      <c r="SD142" s="39">
        <f>IFERROR(VLOOKUP(A142, 'Levy Data 15-16'!$B:$O, 3, FALSE), 0)</f>
        <v>0</v>
      </c>
      <c r="SE142" s="39">
        <f t="shared" si="265"/>
        <v>0</v>
      </c>
      <c r="SF142" s="631">
        <f>IFERROR(VLOOKUP(A142, 'Levy Data 15-16'!$B:$O, 14, FALSE), 0)*1000</f>
        <v>0</v>
      </c>
      <c r="SG142" s="39">
        <f t="shared" si="266"/>
        <v>0</v>
      </c>
      <c r="SH142" s="39">
        <f t="shared" si="267"/>
        <v>0</v>
      </c>
      <c r="SI142" s="39">
        <f t="shared" si="268"/>
        <v>4841</v>
      </c>
      <c r="SM142" s="39">
        <f t="shared" si="269"/>
        <v>1537714</v>
      </c>
      <c r="SN142" s="39">
        <f t="shared" si="270"/>
        <v>0</v>
      </c>
      <c r="SO142" s="39">
        <f t="shared" si="304"/>
        <v>1537714</v>
      </c>
      <c r="SP142" s="50">
        <f t="shared" si="250"/>
        <v>1</v>
      </c>
      <c r="ST142" s="124">
        <f>IFERROR(VLOOKUP(A142,'Grade Enroll 15-16'!B:AC,27,FALSE),"")</f>
        <v>244</v>
      </c>
      <c r="SU142" s="124">
        <f t="shared" si="264"/>
        <v>0</v>
      </c>
      <c r="SV142" s="131">
        <f>IFERROR(VLOOKUP($A142, 'Title I Enroll 16-17'!S:V, 4, FALSE), 0)</f>
        <v>0</v>
      </c>
      <c r="SW142" s="729">
        <f>IFERROR(VLOOKUP(A142, 'ELL Enroll 15-16'!$N:$S, 6, FALSE), 0)</f>
        <v>5</v>
      </c>
      <c r="SX142" s="131">
        <f t="shared" si="251"/>
        <v>2.0491803278688523E-2</v>
      </c>
      <c r="SY142" s="124">
        <f>IFERROR(VLOOKUP(A142, 'SPED enroll 2015-16'!$M:$O, 3, FALSE), 0)</f>
        <v>24</v>
      </c>
      <c r="SZ142" s="131">
        <f t="shared" si="252"/>
        <v>9.8360655737704916E-2</v>
      </c>
      <c r="TA142" s="142">
        <f t="shared" si="253"/>
        <v>16.799999999999997</v>
      </c>
      <c r="TB142" s="142">
        <f t="shared" si="253"/>
        <v>4.8000000000000007</v>
      </c>
      <c r="TC142" s="142">
        <f t="shared" si="253"/>
        <v>1.6800000000000002</v>
      </c>
      <c r="TD142" s="142">
        <f t="shared" si="253"/>
        <v>0.72</v>
      </c>
      <c r="TE142" s="124">
        <f>VLOOKUP($A142, 'Grade Enroll 15-16'!$B:$AB, 20, FALSE)</f>
        <v>0</v>
      </c>
      <c r="TF142" s="124">
        <f>VLOOKUP($A142, 'Grade Enroll 15-16'!$B:$AB, 21, FALSE)</f>
        <v>0</v>
      </c>
      <c r="TG142" s="124">
        <f>VLOOKUP($A142, 'Grade Enroll 15-16'!$B:$AB, 22, FALSE)</f>
        <v>0</v>
      </c>
      <c r="TH142" s="124">
        <f>VLOOKUP($A142, 'Grade Enroll 15-16'!$B:$AB, 23, FALSE)</f>
        <v>0</v>
      </c>
      <c r="TI142" s="124">
        <f>VLOOKUP($A142, 'Grade Enroll 15-16'!$B:$AB, 24, FALSE)</f>
        <v>0</v>
      </c>
      <c r="TJ142" s="124">
        <f>VLOOKUP($A142, 'Grade Enroll 15-16'!$B:$AB, 25, FALSE)</f>
        <v>244</v>
      </c>
      <c r="TK142" s="124">
        <f>VLOOKUP($A142, 'Grade Enroll 15-16'!$B:$AB, 26, FALSE)</f>
        <v>17</v>
      </c>
      <c r="TL142" s="131">
        <f>SUMIFS('Student Achievement 15-16'!N:N, 'Student Achievement 15-16'!B:B, 'Idaho Data'!A142, 'Student Achievement 15-16'!D:D, "math")/100</f>
        <v>0.05</v>
      </c>
      <c r="TM142" s="134">
        <f t="shared" si="305"/>
        <v>12.200000000000001</v>
      </c>
      <c r="TN142" s="131">
        <f>SUMIFS('Student Achievement 15-16'!N:N, 'Student Achievement 15-16'!B:B, 'Idaho Data'!A142, 'Student Achievement 15-16'!D:D, "ela")/100</f>
        <v>0.05</v>
      </c>
      <c r="TO142" s="134">
        <f t="shared" si="254"/>
        <v>12.200000000000001</v>
      </c>
      <c r="TP142" s="688">
        <f>IFERROR(VLOOKUP(A142, 'G&amp;T 15-16'!B:G, 6, FALSE), 0)*1</f>
        <v>0</v>
      </c>
      <c r="TQ142" s="168">
        <f t="shared" si="255"/>
        <v>14.639999999999999</v>
      </c>
      <c r="TU142" s="168">
        <f t="shared" si="256"/>
        <v>12.200000000000001</v>
      </c>
      <c r="TV142" s="168">
        <f t="shared" si="257"/>
        <v>12.200000000000001</v>
      </c>
      <c r="TW142" s="205">
        <f t="shared" si="258"/>
        <v>12.200000000000001</v>
      </c>
      <c r="TX142" s="144"/>
      <c r="TY142" s="129"/>
      <c r="TZ142" s="127">
        <f t="shared" si="259"/>
        <v>0</v>
      </c>
      <c r="UA142" s="127">
        <f t="shared" si="260"/>
        <v>14.639999999999999</v>
      </c>
      <c r="UB142" s="205">
        <f t="shared" si="261"/>
        <v>14.639999999999999</v>
      </c>
      <c r="UE142" s="853" t="str">
        <f>IF(ST142&lt;='1. Simulator Input'!$E$104, "yes", "")</f>
        <v>yes</v>
      </c>
      <c r="UI142" s="199">
        <f t="shared" si="306"/>
        <v>0</v>
      </c>
      <c r="UJ142" s="200">
        <f>IF('Idaho Data'!SI142&gt;=0, ((1-'1. Simulator Input'!$E$39)*'Idaho Data'!SI142), 0)</f>
        <v>0</v>
      </c>
      <c r="UK142" s="200">
        <f t="shared" si="262"/>
        <v>1537714</v>
      </c>
      <c r="UL142" s="39"/>
      <c r="UM142" s="182"/>
      <c r="UN142" s="39"/>
      <c r="UO142" s="39">
        <f>IF(AND('1. Simulator Input'!$E$96="yes", '1. Simulator Input'!$E$98="yes", '1. Simulator Input'!$E$100="hold harmless"), 'Idaho Data'!WN142, IF(AND('1. Simulator Input'!$E$96="yes", '1. Simulator Input'!$E$98="no", '1. Simulator Input'!$E$100="hold harmless"), 'Idaho Data'!WM142, IF(AND('1. Simulator Input'!$E$96="yes", '1. Simulator Input'!$E$98="yes", '1. Simulator Input'!$E$100="small district grant"), WL142,IF(AND('1. Simulator Input'!$E$96="yes", '1. Simulator Input'!$E$98="no", '1. Simulator Input'!$E$100="small district grant"), WK142, ""))))</f>
        <v>0</v>
      </c>
      <c r="UP142" s="200">
        <f>'1. Simulator Input'!$D$56*('Idaho Data'!ST142)</f>
        <v>1348344</v>
      </c>
      <c r="UQ142" s="204">
        <f>'1. Simulator Input'!$D$65*'1. Simulator Input'!$D$56*'Idaho Data'!SU142</f>
        <v>0</v>
      </c>
      <c r="UR142" s="204">
        <f>'1. Simulator Input'!$D$66*'1. Simulator Input'!$D$56*'Idaho Data'!SW142</f>
        <v>0</v>
      </c>
      <c r="US142" s="200">
        <f>'1. Simulator Input'!$D$67*'1. Simulator Input'!$D$56*'Idaho Data'!TA142</f>
        <v>0</v>
      </c>
      <c r="UT142" s="200">
        <f>'1. Simulator Input'!$D$68*'1. Simulator Input'!$D$56*'Idaho Data'!TB142</f>
        <v>0</v>
      </c>
      <c r="UU142" s="200">
        <f>'1. Simulator Input'!$D$69*'1. Simulator Input'!$D$56*'Idaho Data'!TC142</f>
        <v>0</v>
      </c>
      <c r="UV142" s="200">
        <f>'1. Simulator Input'!$D$70*'1. Simulator Input'!$D$56*TD142</f>
        <v>0</v>
      </c>
      <c r="UW142" s="200">
        <f>'1. Simulator Input'!$D$80*'1. Simulator Input'!$D$56*TW142</f>
        <v>0</v>
      </c>
      <c r="UX142" s="200">
        <f>'1. Simulator Input'!$D$79*'1. Simulator Input'!$D$56*UB142</f>
        <v>0</v>
      </c>
      <c r="UY142" s="200">
        <f>'1. Simulator Input'!$D$87*'1. Simulator Input'!$D$56*TF142</f>
        <v>0</v>
      </c>
      <c r="UZ142" s="200">
        <f>'1. Simulator Input'!$D$73*'1. Simulator Input'!$D$56*'Idaho Data'!TG142</f>
        <v>0</v>
      </c>
      <c r="VA142" s="200">
        <f>'1. Simulator Input'!$D$56*'1. Simulator Input'!$D$74*'Idaho Data'!TH142</f>
        <v>0</v>
      </c>
      <c r="VB142" s="200">
        <f>'1. Simulator Input'!$D$56*'1. Simulator Input'!$D$75*'Idaho Data'!TI137</f>
        <v>0</v>
      </c>
      <c r="VC142" s="200">
        <f>'1. Simulator Input'!$D$76*'1. Simulator Input'!$D$56*'Idaho Data'!TJ142</f>
        <v>0</v>
      </c>
      <c r="VD142" s="200">
        <f t="shared" si="307"/>
        <v>1348344</v>
      </c>
      <c r="VE142" s="200"/>
      <c r="VF142" s="182"/>
      <c r="VG142" s="200"/>
      <c r="VH142" s="200">
        <f t="shared" si="308"/>
        <v>0</v>
      </c>
      <c r="VI142" s="200">
        <f t="shared" si="309"/>
        <v>0</v>
      </c>
      <c r="VJ142" s="200">
        <f t="shared" si="271"/>
        <v>1348344</v>
      </c>
      <c r="VK142" s="200">
        <f t="shared" si="272"/>
        <v>1348344</v>
      </c>
      <c r="VL142" s="200"/>
      <c r="VM142" s="182"/>
      <c r="VN142" s="200"/>
      <c r="VO142" s="200">
        <f t="shared" si="310"/>
        <v>47787</v>
      </c>
      <c r="VP142" s="200">
        <f t="shared" si="311"/>
        <v>1537714</v>
      </c>
      <c r="VQ142" s="200">
        <f t="shared" si="312"/>
        <v>4841</v>
      </c>
      <c r="VR142" s="200">
        <f t="shared" si="313"/>
        <v>47787</v>
      </c>
      <c r="VS142" s="200">
        <f t="shared" si="273"/>
        <v>1348344</v>
      </c>
      <c r="VT142" s="200">
        <f t="shared" si="274"/>
        <v>4841</v>
      </c>
      <c r="VU142" s="200">
        <f t="shared" si="275"/>
        <v>0</v>
      </c>
      <c r="VV142" s="200"/>
      <c r="VW142" s="182"/>
      <c r="VX142" s="200"/>
      <c r="VZ142" s="199">
        <f t="shared" si="314"/>
        <v>-189370</v>
      </c>
      <c r="WA142" s="466">
        <f t="shared" si="315"/>
        <v>-776.10655737704917</v>
      </c>
      <c r="WB142" s="131">
        <f t="shared" si="316"/>
        <v>-0.12315033874959842</v>
      </c>
      <c r="WC142" s="131"/>
      <c r="WD142" s="461"/>
      <c r="WE142" s="893"/>
      <c r="WF142" s="893">
        <f t="shared" si="317"/>
        <v>6517.7950819672133</v>
      </c>
      <c r="WG142" s="893">
        <f t="shared" si="318"/>
        <v>5741.688524590164</v>
      </c>
      <c r="WH142" s="893"/>
      <c r="WI142" s="893">
        <f t="shared" si="319"/>
        <v>1537714</v>
      </c>
      <c r="WJ142" s="893">
        <f t="shared" si="276"/>
        <v>1348344</v>
      </c>
      <c r="WK142" s="39">
        <f t="shared" si="277"/>
        <v>0</v>
      </c>
      <c r="WL142" s="39">
        <f t="shared" si="278"/>
        <v>0</v>
      </c>
      <c r="WM142" s="200">
        <f t="shared" si="279"/>
        <v>189370</v>
      </c>
      <c r="WN142" s="39">
        <f t="shared" si="280"/>
        <v>189370</v>
      </c>
      <c r="WO142" s="39"/>
      <c r="WP142" s="182"/>
      <c r="WQ142" s="39"/>
      <c r="WR142" s="305"/>
      <c r="WT142" s="200">
        <f t="shared" si="281"/>
        <v>6302.1065573770493</v>
      </c>
      <c r="WU142" s="131">
        <f t="shared" si="320"/>
        <v>0.47</v>
      </c>
      <c r="WW142" s="199">
        <f t="shared" si="282"/>
        <v>47787</v>
      </c>
      <c r="WX142" s="199">
        <f t="shared" si="283"/>
        <v>1348344</v>
      </c>
      <c r="WY142" s="199">
        <f t="shared" si="284"/>
        <v>0</v>
      </c>
      <c r="WZ142" s="199">
        <f t="shared" si="321"/>
        <v>1348344</v>
      </c>
      <c r="XA142" s="199">
        <f t="shared" si="285"/>
        <v>0</v>
      </c>
      <c r="XB142" s="199">
        <f t="shared" si="286"/>
        <v>4841</v>
      </c>
      <c r="XC142" s="199">
        <f t="shared" si="287"/>
        <v>4841</v>
      </c>
      <c r="XD142" s="199" t="str">
        <f t="shared" si="288"/>
        <v/>
      </c>
      <c r="XE142" s="199"/>
      <c r="XF142" s="199"/>
      <c r="XG142" s="199"/>
      <c r="XH142" s="199"/>
      <c r="XI142" s="199"/>
      <c r="XJ142" s="199">
        <f t="shared" si="322"/>
        <v>1348344</v>
      </c>
      <c r="XP142" s="199">
        <f t="shared" si="289"/>
        <v>1348344</v>
      </c>
      <c r="XQ142" s="199">
        <f t="shared" si="290"/>
        <v>5526</v>
      </c>
      <c r="XR142" s="199">
        <f t="shared" si="291"/>
        <v>1348344</v>
      </c>
      <c r="XS142" s="199">
        <f t="shared" si="292"/>
        <v>1348344</v>
      </c>
      <c r="XT142" s="199">
        <f t="shared" si="293"/>
        <v>5526</v>
      </c>
      <c r="XU142" s="199">
        <f t="shared" si="294"/>
        <v>1537714</v>
      </c>
      <c r="XV142" s="199">
        <f t="shared" si="295"/>
        <v>6302.1065573770493</v>
      </c>
      <c r="XW142" s="199">
        <f t="shared" si="296"/>
        <v>1537714</v>
      </c>
      <c r="XX142" s="199">
        <f t="shared" si="297"/>
        <v>6302.1065573770493</v>
      </c>
      <c r="XY142" s="199">
        <f t="shared" si="323"/>
        <v>-189370</v>
      </c>
      <c r="XZ142" s="199">
        <f t="shared" si="324"/>
        <v>-776.10655737704928</v>
      </c>
      <c r="YA142" s="131">
        <f t="shared" si="263"/>
        <v>-0.12315033874959845</v>
      </c>
      <c r="YB142" s="199"/>
      <c r="YC142" s="221"/>
      <c r="YD142" s="199"/>
      <c r="YE142" s="199">
        <f t="shared" si="298"/>
        <v>47787</v>
      </c>
      <c r="YF142" s="200">
        <f t="shared" si="299"/>
        <v>0</v>
      </c>
      <c r="YG142" s="199">
        <f t="shared" si="300"/>
        <v>4841</v>
      </c>
      <c r="YH142" s="199">
        <f t="shared" si="301"/>
        <v>317722</v>
      </c>
    </row>
    <row r="143" spans="1:658">
      <c r="A143" s="3">
        <v>472</v>
      </c>
      <c r="B143" s="2" t="s">
        <v>1159</v>
      </c>
      <c r="C143" s="24">
        <v>0</v>
      </c>
      <c r="D143" s="24">
        <v>0</v>
      </c>
      <c r="E143" s="24">
        <v>0</v>
      </c>
      <c r="F143" s="24">
        <v>0</v>
      </c>
      <c r="G143" s="24">
        <v>0</v>
      </c>
      <c r="H143" s="24">
        <v>0</v>
      </c>
      <c r="I143" s="24">
        <v>0</v>
      </c>
      <c r="J143" s="24">
        <v>0</v>
      </c>
      <c r="K143" s="24">
        <v>0</v>
      </c>
      <c r="L143" s="24">
        <v>0</v>
      </c>
      <c r="M143" s="24">
        <v>0</v>
      </c>
      <c r="N143" s="24">
        <v>0</v>
      </c>
      <c r="O143" s="24">
        <v>0</v>
      </c>
      <c r="P143" s="24">
        <v>0</v>
      </c>
      <c r="Q143" s="24">
        <v>0</v>
      </c>
      <c r="R143" s="24">
        <v>0</v>
      </c>
      <c r="S143" s="24">
        <v>0</v>
      </c>
      <c r="T143" s="24">
        <v>0</v>
      </c>
      <c r="U143" s="24">
        <v>0</v>
      </c>
      <c r="V143" s="24">
        <v>0</v>
      </c>
      <c r="W143" s="24">
        <v>0</v>
      </c>
      <c r="X143" s="24">
        <v>0</v>
      </c>
      <c r="Y143" s="24">
        <v>0</v>
      </c>
      <c r="Z143" s="24">
        <v>0</v>
      </c>
      <c r="AA143" s="24">
        <v>0</v>
      </c>
      <c r="AB143" s="24">
        <v>0</v>
      </c>
      <c r="AC143" s="24">
        <v>0</v>
      </c>
      <c r="AD143" s="24">
        <v>0</v>
      </c>
      <c r="AE143" s="24">
        <v>0</v>
      </c>
      <c r="AF143" s="24">
        <v>0</v>
      </c>
      <c r="AG143" s="24">
        <v>0</v>
      </c>
      <c r="AH143" s="24">
        <v>0</v>
      </c>
      <c r="AI143" s="24">
        <v>0</v>
      </c>
      <c r="AJ143" s="24">
        <v>0</v>
      </c>
      <c r="AK143" s="24">
        <v>0</v>
      </c>
      <c r="AL143" s="24">
        <v>1169</v>
      </c>
      <c r="AM143" s="24">
        <v>0</v>
      </c>
      <c r="AN143" s="24">
        <v>0</v>
      </c>
      <c r="AO143" s="24">
        <v>0</v>
      </c>
      <c r="AP143" s="24">
        <v>0</v>
      </c>
      <c r="AQ143" s="24">
        <v>0</v>
      </c>
      <c r="AR143" s="24">
        <v>0</v>
      </c>
      <c r="AS143" s="24">
        <v>0</v>
      </c>
      <c r="AT143" s="24">
        <v>0</v>
      </c>
      <c r="AU143" s="24">
        <v>0</v>
      </c>
      <c r="AV143" s="24">
        <v>0</v>
      </c>
      <c r="AW143" s="24">
        <v>0</v>
      </c>
      <c r="AX143" s="24">
        <v>0</v>
      </c>
      <c r="AY143" s="24">
        <v>0</v>
      </c>
      <c r="AZ143" s="24">
        <v>0</v>
      </c>
      <c r="BA143" s="24">
        <v>0</v>
      </c>
      <c r="BB143" s="24">
        <v>0</v>
      </c>
      <c r="BC143" s="24">
        <v>0</v>
      </c>
      <c r="BD143" s="24">
        <v>0</v>
      </c>
      <c r="BE143" s="24">
        <v>0</v>
      </c>
      <c r="BF143" s="24">
        <v>0</v>
      </c>
      <c r="BG143" s="24">
        <v>0</v>
      </c>
      <c r="BH143" s="24">
        <v>0</v>
      </c>
      <c r="BI143" s="24">
        <v>0</v>
      </c>
      <c r="BJ143" s="24">
        <v>0</v>
      </c>
      <c r="BK143" s="24">
        <v>0</v>
      </c>
      <c r="BL143" s="24">
        <v>0</v>
      </c>
      <c r="BM143" s="24">
        <v>0</v>
      </c>
      <c r="BN143" s="24">
        <v>0</v>
      </c>
      <c r="BO143" s="24">
        <v>0</v>
      </c>
      <c r="BP143" s="24">
        <v>0</v>
      </c>
      <c r="BQ143" s="24">
        <v>0</v>
      </c>
      <c r="BR143" s="24">
        <v>0</v>
      </c>
      <c r="BS143" s="24">
        <v>0</v>
      </c>
      <c r="BT143" s="24">
        <v>0</v>
      </c>
      <c r="BU143" s="24">
        <v>0</v>
      </c>
      <c r="BV143" s="24">
        <v>0</v>
      </c>
      <c r="BW143" s="24">
        <v>0</v>
      </c>
      <c r="BX143" s="24">
        <v>0</v>
      </c>
      <c r="BY143" s="24">
        <v>0</v>
      </c>
      <c r="BZ143" s="24">
        <v>0</v>
      </c>
      <c r="CA143" s="24">
        <v>0</v>
      </c>
      <c r="CB143" s="24">
        <v>0</v>
      </c>
      <c r="CC143" s="24">
        <v>0</v>
      </c>
      <c r="CD143" s="24">
        <v>16382</v>
      </c>
      <c r="CE143" s="24">
        <v>0</v>
      </c>
      <c r="CF143" s="24">
        <v>0</v>
      </c>
      <c r="CG143" s="24">
        <v>0</v>
      </c>
      <c r="CH143" s="24">
        <v>0</v>
      </c>
      <c r="CI143" s="24">
        <v>0</v>
      </c>
      <c r="CJ143" s="24">
        <v>0</v>
      </c>
      <c r="CK143" s="24">
        <v>0</v>
      </c>
      <c r="CL143" s="24">
        <v>0</v>
      </c>
      <c r="CM143" s="24">
        <v>0</v>
      </c>
      <c r="CN143" s="24">
        <v>0</v>
      </c>
      <c r="CO143" s="24">
        <v>0</v>
      </c>
      <c r="CP143" s="24">
        <v>0</v>
      </c>
      <c r="CQ143" s="24">
        <v>0</v>
      </c>
      <c r="CR143" s="24">
        <v>0</v>
      </c>
      <c r="CS143" s="24">
        <v>33424</v>
      </c>
      <c r="CT143" s="24">
        <v>0</v>
      </c>
      <c r="CU143" s="24">
        <v>0</v>
      </c>
      <c r="CV143" s="24">
        <v>0</v>
      </c>
      <c r="CW143" s="24">
        <v>0</v>
      </c>
      <c r="CX143" s="24">
        <v>0</v>
      </c>
      <c r="CY143" s="24">
        <v>0</v>
      </c>
      <c r="CZ143" s="24">
        <v>0</v>
      </c>
      <c r="DA143" s="24">
        <v>0</v>
      </c>
      <c r="DB143" s="24">
        <v>0</v>
      </c>
      <c r="DC143" s="24">
        <v>0</v>
      </c>
      <c r="DD143" s="24">
        <v>0</v>
      </c>
      <c r="DE143" s="24">
        <v>0</v>
      </c>
      <c r="DF143" s="24">
        <v>0</v>
      </c>
      <c r="DG143" s="24">
        <v>0</v>
      </c>
      <c r="DH143" s="24">
        <v>0</v>
      </c>
      <c r="DI143" s="24">
        <v>0</v>
      </c>
      <c r="DJ143" s="24">
        <v>0</v>
      </c>
      <c r="DK143" s="24">
        <v>0</v>
      </c>
      <c r="DL143" s="24">
        <v>0</v>
      </c>
      <c r="DM143" s="24">
        <v>0</v>
      </c>
      <c r="DN143" s="24">
        <v>0</v>
      </c>
      <c r="DO143" s="24">
        <v>0</v>
      </c>
      <c r="DP143" s="24">
        <v>0</v>
      </c>
      <c r="DQ143" s="24">
        <v>0</v>
      </c>
      <c r="DR143" s="24">
        <v>0</v>
      </c>
      <c r="DS143" s="24">
        <v>0</v>
      </c>
      <c r="DT143" s="24">
        <v>0</v>
      </c>
      <c r="DU143" s="24">
        <v>0</v>
      </c>
      <c r="DV143" s="24">
        <v>0</v>
      </c>
      <c r="DW143" s="24">
        <v>0</v>
      </c>
      <c r="DX143" s="24">
        <v>0</v>
      </c>
      <c r="DY143" s="24">
        <v>0</v>
      </c>
      <c r="DZ143" s="24">
        <v>0</v>
      </c>
      <c r="EA143" s="24">
        <v>0</v>
      </c>
      <c r="EB143" s="24">
        <v>0</v>
      </c>
      <c r="EC143" s="24">
        <v>0</v>
      </c>
      <c r="ED143" s="24">
        <v>0</v>
      </c>
      <c r="EE143" s="24">
        <v>0</v>
      </c>
      <c r="EF143" s="24">
        <v>0</v>
      </c>
      <c r="EG143" s="24">
        <v>15662</v>
      </c>
      <c r="EH143" s="24">
        <v>0</v>
      </c>
      <c r="EI143" s="24">
        <v>0</v>
      </c>
      <c r="EJ143" s="24">
        <v>0</v>
      </c>
      <c r="EK143" s="24">
        <v>0</v>
      </c>
      <c r="EL143" s="24">
        <v>0</v>
      </c>
      <c r="EM143" s="24">
        <v>0</v>
      </c>
      <c r="EN143" s="24">
        <v>0</v>
      </c>
      <c r="EO143" s="24">
        <v>0</v>
      </c>
      <c r="EP143" s="24">
        <v>0</v>
      </c>
      <c r="EQ143" s="24">
        <v>0</v>
      </c>
      <c r="ER143" s="24">
        <v>0</v>
      </c>
      <c r="ES143" s="24">
        <v>0</v>
      </c>
      <c r="ET143" s="24">
        <v>0</v>
      </c>
      <c r="EU143" s="24">
        <v>0</v>
      </c>
      <c r="EV143" s="24">
        <v>0</v>
      </c>
      <c r="EW143" s="24">
        <v>0</v>
      </c>
      <c r="EX143" s="24">
        <v>0</v>
      </c>
      <c r="EY143" s="24">
        <v>0</v>
      </c>
      <c r="EZ143" s="24">
        <v>0</v>
      </c>
      <c r="FA143" s="24">
        <v>0</v>
      </c>
      <c r="FB143" s="24">
        <v>0</v>
      </c>
      <c r="FC143" s="24">
        <v>0</v>
      </c>
      <c r="FD143" s="24">
        <v>0</v>
      </c>
      <c r="FE143" s="24">
        <v>0</v>
      </c>
      <c r="FF143" s="24">
        <v>0</v>
      </c>
      <c r="FG143" s="24">
        <v>0</v>
      </c>
      <c r="FH143" s="24">
        <v>0</v>
      </c>
      <c r="FI143" s="24">
        <v>0</v>
      </c>
      <c r="FJ143" s="24">
        <v>0</v>
      </c>
      <c r="FK143" s="24">
        <v>0</v>
      </c>
      <c r="FL143" s="24">
        <v>0</v>
      </c>
      <c r="FM143" s="24">
        <v>0</v>
      </c>
      <c r="FN143" s="24">
        <v>0</v>
      </c>
      <c r="FO143" s="24">
        <v>0</v>
      </c>
      <c r="FP143" s="24">
        <v>0</v>
      </c>
      <c r="FQ143" s="24">
        <v>0</v>
      </c>
      <c r="FR143" s="24">
        <v>0</v>
      </c>
      <c r="FS143" s="24">
        <v>56844</v>
      </c>
      <c r="FT143" s="24">
        <v>0</v>
      </c>
      <c r="FU143" s="24">
        <v>0</v>
      </c>
      <c r="FV143" s="24">
        <v>0</v>
      </c>
      <c r="FW143" s="24">
        <v>0</v>
      </c>
      <c r="FX143" s="24">
        <v>0</v>
      </c>
      <c r="FY143" s="24">
        <v>0</v>
      </c>
      <c r="FZ143" s="24">
        <v>0</v>
      </c>
      <c r="GA143" s="24">
        <v>0</v>
      </c>
      <c r="GB143" s="24">
        <v>0</v>
      </c>
      <c r="GC143" s="24">
        <v>0</v>
      </c>
      <c r="GD143" s="24">
        <v>0</v>
      </c>
      <c r="GE143" s="24">
        <v>0</v>
      </c>
      <c r="GF143" s="24">
        <v>0</v>
      </c>
      <c r="GG143" s="24">
        <v>0</v>
      </c>
      <c r="GH143" s="24">
        <v>0</v>
      </c>
      <c r="GI143" s="24">
        <v>0</v>
      </c>
      <c r="GJ143" s="24">
        <v>0</v>
      </c>
      <c r="GK143" s="24">
        <v>0</v>
      </c>
      <c r="GL143" s="24">
        <v>0</v>
      </c>
      <c r="GM143" s="24">
        <v>0</v>
      </c>
      <c r="GN143" s="24">
        <v>0</v>
      </c>
      <c r="GO143" s="24">
        <v>0</v>
      </c>
      <c r="GP143" s="24">
        <v>0</v>
      </c>
      <c r="GQ143" s="24">
        <v>0</v>
      </c>
      <c r="GR143" s="24">
        <v>0</v>
      </c>
      <c r="GS143" s="24">
        <v>0</v>
      </c>
      <c r="GT143" s="24">
        <v>0</v>
      </c>
      <c r="GU143" s="24">
        <v>0</v>
      </c>
      <c r="GV143" s="24">
        <v>0</v>
      </c>
      <c r="GW143" s="24">
        <v>0</v>
      </c>
      <c r="GX143" s="24">
        <v>0</v>
      </c>
      <c r="GY143" s="24">
        <v>0</v>
      </c>
      <c r="GZ143" s="24">
        <v>0</v>
      </c>
      <c r="HA143" s="24">
        <v>0</v>
      </c>
      <c r="HB143" s="24">
        <v>0</v>
      </c>
      <c r="HC143" s="24">
        <v>0</v>
      </c>
      <c r="HD143" s="24">
        <v>755930</v>
      </c>
      <c r="HE143" s="24">
        <v>0</v>
      </c>
      <c r="HF143" s="24">
        <v>0</v>
      </c>
      <c r="HG143" s="24">
        <v>0</v>
      </c>
      <c r="HH143" s="24">
        <v>0</v>
      </c>
      <c r="HI143" s="24">
        <v>0</v>
      </c>
      <c r="HJ143" s="24">
        <v>0</v>
      </c>
      <c r="HK143" s="24">
        <v>0</v>
      </c>
      <c r="HL143" s="24">
        <v>0</v>
      </c>
      <c r="HM143" s="24">
        <v>0</v>
      </c>
      <c r="HN143" s="24">
        <v>0</v>
      </c>
      <c r="HO143" s="24">
        <v>97851</v>
      </c>
      <c r="HP143" s="24">
        <v>90132</v>
      </c>
      <c r="HQ143" s="24">
        <v>0</v>
      </c>
      <c r="HR143" s="24">
        <v>0</v>
      </c>
      <c r="HS143" s="24">
        <v>0</v>
      </c>
      <c r="HT143" s="24">
        <v>0</v>
      </c>
      <c r="HU143" s="24">
        <v>0</v>
      </c>
      <c r="HV143" s="24">
        <v>0</v>
      </c>
      <c r="HW143" s="24">
        <v>0</v>
      </c>
      <c r="HX143" s="24">
        <v>0</v>
      </c>
      <c r="HY143" s="24">
        <v>0</v>
      </c>
      <c r="HZ143" s="24">
        <v>0</v>
      </c>
      <c r="IA143" s="24">
        <v>0</v>
      </c>
      <c r="IB143" s="24">
        <v>0</v>
      </c>
      <c r="IC143" s="24">
        <v>0</v>
      </c>
      <c r="ID143" s="24">
        <v>0</v>
      </c>
      <c r="IE143" s="24">
        <v>0</v>
      </c>
      <c r="IF143" s="24">
        <v>0</v>
      </c>
      <c r="IG143" s="24">
        <v>0</v>
      </c>
      <c r="IH143" s="24">
        <v>0</v>
      </c>
      <c r="II143" s="24">
        <v>0</v>
      </c>
      <c r="IJ143" s="24">
        <v>0</v>
      </c>
      <c r="IK143" s="24">
        <v>0</v>
      </c>
      <c r="IL143" s="24">
        <v>0</v>
      </c>
      <c r="IM143" s="24">
        <v>0</v>
      </c>
      <c r="IN143" s="24">
        <v>0</v>
      </c>
      <c r="IO143" s="24">
        <v>0</v>
      </c>
      <c r="IP143" s="24">
        <v>0</v>
      </c>
      <c r="IQ143" s="24">
        <v>0</v>
      </c>
      <c r="IR143" s="24">
        <v>0</v>
      </c>
      <c r="IS143" s="24">
        <v>0</v>
      </c>
      <c r="IT143" s="24">
        <v>0</v>
      </c>
      <c r="IU143" s="24">
        <v>0</v>
      </c>
      <c r="IV143" s="24">
        <v>0</v>
      </c>
      <c r="IW143" s="24">
        <v>9908</v>
      </c>
      <c r="IX143" s="24">
        <v>0</v>
      </c>
      <c r="IY143" s="24">
        <v>0</v>
      </c>
      <c r="IZ143" s="24">
        <v>0</v>
      </c>
      <c r="JA143" s="24">
        <v>0</v>
      </c>
      <c r="JB143" s="24">
        <v>0</v>
      </c>
      <c r="JC143" s="24">
        <v>0</v>
      </c>
      <c r="JD143" s="24">
        <v>0</v>
      </c>
      <c r="JE143" s="24">
        <v>16458</v>
      </c>
      <c r="JF143" s="24">
        <v>0</v>
      </c>
      <c r="JG143" s="24">
        <v>0</v>
      </c>
      <c r="JH143" s="24">
        <v>0</v>
      </c>
      <c r="JI143" s="24">
        <v>0</v>
      </c>
      <c r="JJ143" s="24">
        <v>0</v>
      </c>
      <c r="JK143" s="24">
        <v>0</v>
      </c>
      <c r="JL143" s="24">
        <v>0</v>
      </c>
      <c r="JM143" s="24">
        <v>0</v>
      </c>
      <c r="JN143" s="24">
        <v>0</v>
      </c>
      <c r="JO143" s="24">
        <v>0</v>
      </c>
      <c r="JP143" s="24">
        <v>0</v>
      </c>
      <c r="JQ143" s="24">
        <v>0</v>
      </c>
      <c r="JR143" s="24">
        <v>0</v>
      </c>
      <c r="JS143" s="24">
        <v>0</v>
      </c>
      <c r="JT143" s="24">
        <v>0</v>
      </c>
      <c r="JU143" s="24">
        <v>0</v>
      </c>
      <c r="JV143" s="24">
        <v>0</v>
      </c>
      <c r="JW143" s="24">
        <v>0</v>
      </c>
      <c r="JX143" s="24">
        <v>0</v>
      </c>
      <c r="JY143" s="24">
        <v>0</v>
      </c>
      <c r="JZ143" s="24">
        <v>0</v>
      </c>
      <c r="KA143" s="24">
        <v>0</v>
      </c>
      <c r="KB143" s="24">
        <v>0</v>
      </c>
      <c r="KC143" s="24">
        <v>0</v>
      </c>
      <c r="KD143" s="24">
        <v>0</v>
      </c>
      <c r="KE143" s="24">
        <v>0</v>
      </c>
      <c r="KF143" s="24">
        <v>0</v>
      </c>
      <c r="KG143" s="24">
        <v>0</v>
      </c>
      <c r="KH143" s="24">
        <v>0</v>
      </c>
      <c r="KI143" s="24">
        <v>0</v>
      </c>
      <c r="KJ143" s="24">
        <v>0</v>
      </c>
      <c r="KK143" s="24">
        <v>0</v>
      </c>
      <c r="KL143" s="24">
        <v>0</v>
      </c>
      <c r="KM143" s="24">
        <v>0</v>
      </c>
      <c r="KN143" s="24">
        <v>0</v>
      </c>
      <c r="KO143" s="24">
        <v>0</v>
      </c>
      <c r="KP143" s="24">
        <v>0</v>
      </c>
      <c r="KQ143" s="24">
        <v>0</v>
      </c>
      <c r="KR143" s="24">
        <v>0</v>
      </c>
      <c r="KS143" s="24">
        <v>0</v>
      </c>
      <c r="KT143" s="24">
        <v>0</v>
      </c>
      <c r="KU143" s="24">
        <v>0</v>
      </c>
      <c r="KV143" s="24">
        <v>0</v>
      </c>
      <c r="KW143" s="24">
        <v>0</v>
      </c>
      <c r="KX143" s="24">
        <v>0</v>
      </c>
      <c r="KY143" s="24">
        <v>0</v>
      </c>
      <c r="KZ143" s="24">
        <v>0</v>
      </c>
      <c r="LA143" s="24">
        <v>0</v>
      </c>
      <c r="LB143" s="24">
        <v>0</v>
      </c>
      <c r="LC143" s="24">
        <v>0</v>
      </c>
      <c r="LD143" s="24">
        <v>0</v>
      </c>
      <c r="LE143" s="24">
        <v>0</v>
      </c>
      <c r="LF143" s="24">
        <v>0</v>
      </c>
      <c r="LG143" s="24">
        <v>0</v>
      </c>
      <c r="LH143" s="24">
        <v>0</v>
      </c>
      <c r="LI143" s="24">
        <v>0</v>
      </c>
      <c r="LJ143" s="24">
        <v>0</v>
      </c>
      <c r="LK143" s="24">
        <v>0</v>
      </c>
      <c r="LL143" s="24">
        <v>0</v>
      </c>
      <c r="LM143" s="24">
        <v>0</v>
      </c>
      <c r="LN143" s="24">
        <v>0</v>
      </c>
      <c r="LO143" s="24">
        <v>0</v>
      </c>
      <c r="LP143" s="24">
        <v>0</v>
      </c>
      <c r="LQ143" s="24">
        <v>31215</v>
      </c>
      <c r="LR143" s="24">
        <v>0</v>
      </c>
      <c r="LS143" s="24">
        <v>0</v>
      </c>
      <c r="LT143" s="24">
        <v>0</v>
      </c>
      <c r="LU143" s="24">
        <v>0</v>
      </c>
      <c r="LV143" s="24">
        <v>0</v>
      </c>
      <c r="LW143" s="24">
        <v>0</v>
      </c>
      <c r="LX143" s="24">
        <v>0</v>
      </c>
      <c r="LY143" s="24">
        <v>3683</v>
      </c>
      <c r="LZ143" s="24">
        <v>0</v>
      </c>
      <c r="MA143" s="24">
        <v>0</v>
      </c>
      <c r="MB143" s="24">
        <v>0</v>
      </c>
      <c r="MC143" s="24">
        <v>0</v>
      </c>
      <c r="MD143" s="24">
        <v>0</v>
      </c>
      <c r="ME143" s="24">
        <v>0</v>
      </c>
      <c r="MF143" s="24">
        <v>0</v>
      </c>
      <c r="MG143" s="24">
        <v>0</v>
      </c>
      <c r="MH143" s="24">
        <v>0</v>
      </c>
      <c r="MI143" s="24">
        <v>0</v>
      </c>
      <c r="MJ143" s="24">
        <v>0</v>
      </c>
      <c r="MK143" s="24">
        <v>0</v>
      </c>
      <c r="ML143" s="24">
        <v>0</v>
      </c>
      <c r="MM143" s="24">
        <v>0</v>
      </c>
      <c r="MN143" s="24">
        <v>0</v>
      </c>
      <c r="MO143" s="24">
        <v>0</v>
      </c>
      <c r="MP143" s="24">
        <v>0</v>
      </c>
      <c r="MQ143" s="24">
        <v>0</v>
      </c>
      <c r="MR143" s="24">
        <v>18571</v>
      </c>
      <c r="MS143" s="24">
        <v>0</v>
      </c>
      <c r="MT143" s="24">
        <v>0</v>
      </c>
      <c r="MU143" s="24">
        <v>0</v>
      </c>
      <c r="MV143" s="24">
        <v>0</v>
      </c>
      <c r="MW143" s="24">
        <v>20072</v>
      </c>
      <c r="MX143" s="24">
        <v>0</v>
      </c>
      <c r="MY143" s="24">
        <v>0</v>
      </c>
      <c r="MZ143" s="24">
        <v>0</v>
      </c>
      <c r="NA143" s="24">
        <v>0</v>
      </c>
      <c r="NB143" s="24">
        <v>0</v>
      </c>
      <c r="NC143" s="24">
        <v>0</v>
      </c>
      <c r="ND143" s="24">
        <v>0</v>
      </c>
      <c r="NE143" s="24">
        <v>0</v>
      </c>
      <c r="NF143" s="24">
        <v>0</v>
      </c>
      <c r="NG143" s="24">
        <v>0</v>
      </c>
      <c r="NH143" s="24">
        <v>0</v>
      </c>
      <c r="NI143" s="24">
        <v>0</v>
      </c>
      <c r="NJ143" s="24">
        <v>0</v>
      </c>
      <c r="NK143" s="24">
        <v>0</v>
      </c>
      <c r="NL143" s="24">
        <v>0</v>
      </c>
      <c r="NM143" s="24">
        <v>0</v>
      </c>
      <c r="NN143" s="24">
        <v>0</v>
      </c>
      <c r="NO143" s="24">
        <v>0</v>
      </c>
      <c r="NP143" s="24">
        <v>0</v>
      </c>
      <c r="NQ143" s="24">
        <v>17468</v>
      </c>
      <c r="NR143" s="24">
        <v>0</v>
      </c>
      <c r="NS143" s="24">
        <v>0</v>
      </c>
      <c r="NT143" s="24">
        <v>0</v>
      </c>
      <c r="NU143" s="24">
        <v>0</v>
      </c>
      <c r="NV143" s="24">
        <v>0</v>
      </c>
      <c r="NW143" s="24">
        <v>0</v>
      </c>
      <c r="NX143" s="24">
        <v>0</v>
      </c>
      <c r="NY143" s="24">
        <v>0</v>
      </c>
      <c r="NZ143" s="24">
        <v>0</v>
      </c>
      <c r="OA143" s="24">
        <v>0</v>
      </c>
      <c r="OB143" s="24">
        <v>0</v>
      </c>
      <c r="OC143" s="24">
        <v>0</v>
      </c>
      <c r="OD143" s="24">
        <v>0</v>
      </c>
      <c r="OE143" s="24">
        <v>0</v>
      </c>
      <c r="OF143" s="24">
        <v>0</v>
      </c>
      <c r="OG143" s="24">
        <v>0</v>
      </c>
      <c r="OH143" s="24">
        <v>0</v>
      </c>
      <c r="OI143" s="24">
        <v>0</v>
      </c>
      <c r="OJ143" s="24">
        <v>0</v>
      </c>
      <c r="OK143" s="24">
        <v>0</v>
      </c>
      <c r="OL143" s="24">
        <v>0</v>
      </c>
      <c r="OM143" s="24">
        <v>0</v>
      </c>
      <c r="ON143" s="24">
        <v>0</v>
      </c>
      <c r="OO143" s="24">
        <v>0</v>
      </c>
      <c r="OP143" s="24">
        <v>0</v>
      </c>
      <c r="OQ143" s="24">
        <v>0</v>
      </c>
      <c r="OR143" s="24">
        <v>0</v>
      </c>
      <c r="OS143" s="24">
        <v>0</v>
      </c>
      <c r="OT143" s="24">
        <v>0</v>
      </c>
      <c r="OU143" s="24">
        <v>0</v>
      </c>
      <c r="OV143" s="24">
        <v>0</v>
      </c>
      <c r="OW143" s="24">
        <v>0</v>
      </c>
      <c r="OX143" s="24">
        <v>0</v>
      </c>
      <c r="OY143" s="24">
        <v>0</v>
      </c>
      <c r="OZ143" s="24">
        <v>0</v>
      </c>
      <c r="PA143" s="24">
        <v>0</v>
      </c>
      <c r="PB143" s="24">
        <v>0</v>
      </c>
      <c r="PC143" s="24">
        <v>0</v>
      </c>
      <c r="PD143" s="24">
        <v>0</v>
      </c>
      <c r="PE143" s="24">
        <v>0</v>
      </c>
      <c r="PF143" s="24">
        <v>0</v>
      </c>
      <c r="PG143" s="24">
        <v>0</v>
      </c>
      <c r="PH143" s="24">
        <v>0</v>
      </c>
      <c r="PI143" s="24">
        <v>0</v>
      </c>
      <c r="PJ143" s="24">
        <v>0</v>
      </c>
      <c r="PK143" s="24">
        <v>0</v>
      </c>
      <c r="PL143" s="24">
        <v>0</v>
      </c>
      <c r="PM143" s="24">
        <v>0</v>
      </c>
      <c r="PN143" s="24">
        <v>0</v>
      </c>
      <c r="PO143" s="24">
        <v>0</v>
      </c>
      <c r="PP143" s="24">
        <v>0</v>
      </c>
      <c r="PQ143" s="24">
        <v>0</v>
      </c>
      <c r="PR143" s="24">
        <v>0</v>
      </c>
      <c r="PS143" s="24">
        <v>0</v>
      </c>
      <c r="PT143" s="24">
        <v>0</v>
      </c>
      <c r="PU143" s="24">
        <v>0</v>
      </c>
      <c r="PV143" s="24">
        <v>0</v>
      </c>
      <c r="PW143" s="24">
        <v>0</v>
      </c>
      <c r="PX143" s="24">
        <v>0</v>
      </c>
      <c r="PY143" s="24">
        <v>0</v>
      </c>
      <c r="PZ143" s="24">
        <v>0</v>
      </c>
      <c r="QA143" s="24">
        <v>0</v>
      </c>
      <c r="QB143" s="24">
        <v>0</v>
      </c>
      <c r="QC143" s="24">
        <v>0</v>
      </c>
      <c r="QD143" s="24">
        <v>0</v>
      </c>
      <c r="QE143" s="24">
        <v>0</v>
      </c>
      <c r="QF143" s="24">
        <v>0</v>
      </c>
      <c r="QG143" s="24">
        <v>0</v>
      </c>
      <c r="QH143" s="24">
        <v>0</v>
      </c>
      <c r="QI143" s="24">
        <v>0</v>
      </c>
      <c r="QJ143" s="24">
        <v>0</v>
      </c>
      <c r="QK143" s="24">
        <v>0</v>
      </c>
      <c r="QL143" s="24">
        <v>0</v>
      </c>
      <c r="QM143" s="24">
        <v>0</v>
      </c>
      <c r="QN143" s="24">
        <v>0</v>
      </c>
      <c r="QO143" s="24">
        <v>0</v>
      </c>
      <c r="QP143" s="24">
        <v>0</v>
      </c>
      <c r="QQ143" s="24">
        <v>0</v>
      </c>
      <c r="QR143" s="24">
        <v>0</v>
      </c>
      <c r="QS143" s="24">
        <v>10</v>
      </c>
      <c r="QT143" s="24">
        <v>0</v>
      </c>
      <c r="QU143" s="24">
        <v>0</v>
      </c>
      <c r="QV143" s="24">
        <v>0</v>
      </c>
      <c r="QW143" s="24">
        <v>0</v>
      </c>
      <c r="QX143" s="24">
        <v>0</v>
      </c>
      <c r="QY143" s="24">
        <v>0</v>
      </c>
      <c r="QZ143" s="24">
        <v>0</v>
      </c>
      <c r="RA143" s="24">
        <v>0</v>
      </c>
      <c r="RB143" s="24">
        <v>0</v>
      </c>
      <c r="RC143" s="913">
        <v>2</v>
      </c>
      <c r="RG143" s="39">
        <f t="shared" si="248"/>
        <v>755930</v>
      </c>
      <c r="RH143" s="39">
        <f t="shared" si="249"/>
        <v>0</v>
      </c>
      <c r="RI143" s="39">
        <f t="shared" si="249"/>
        <v>0</v>
      </c>
      <c r="RJ143" s="39">
        <f t="shared" si="249"/>
        <v>0</v>
      </c>
      <c r="RK143" s="39">
        <f t="shared" si="249"/>
        <v>0</v>
      </c>
      <c r="RL143" s="39">
        <f t="shared" si="249"/>
        <v>97851</v>
      </c>
      <c r="RM143" s="39">
        <f t="shared" si="249"/>
        <v>90132</v>
      </c>
      <c r="RN143" s="39">
        <f t="shared" si="249"/>
        <v>0</v>
      </c>
      <c r="RO143" s="39">
        <f t="shared" si="249"/>
        <v>0</v>
      </c>
      <c r="RP143" s="39">
        <f t="shared" si="249"/>
        <v>9908</v>
      </c>
      <c r="RQ143" s="39">
        <f t="shared" si="249"/>
        <v>0</v>
      </c>
      <c r="RR143" s="39">
        <f t="shared" si="249"/>
        <v>16458</v>
      </c>
      <c r="RS143" s="39"/>
      <c r="RT143" s="182"/>
      <c r="RU143" s="39"/>
      <c r="RV143" s="39">
        <f t="shared" si="302"/>
        <v>91009</v>
      </c>
      <c r="RW143" s="39">
        <f t="shared" si="302"/>
        <v>970279</v>
      </c>
      <c r="RX143" s="39">
        <f t="shared" si="302"/>
        <v>123481</v>
      </c>
      <c r="RY143" s="39">
        <f t="shared" si="302"/>
        <v>10</v>
      </c>
      <c r="RZ143" s="39"/>
      <c r="SA143" s="182"/>
      <c r="SB143" s="39"/>
      <c r="SC143" s="25">
        <f t="shared" si="303"/>
        <v>840.00680272108843</v>
      </c>
      <c r="SD143" s="39">
        <f>IFERROR(VLOOKUP(A143, 'Levy Data 15-16'!$B:$O, 3, FALSE), 0)</f>
        <v>0</v>
      </c>
      <c r="SE143" s="39">
        <f t="shared" si="265"/>
        <v>0</v>
      </c>
      <c r="SF143" s="631">
        <f>IFERROR(VLOOKUP(A143, 'Levy Data 15-16'!$B:$O, 14, FALSE), 0)*1000</f>
        <v>0</v>
      </c>
      <c r="SG143" s="39">
        <f t="shared" si="266"/>
        <v>0</v>
      </c>
      <c r="SH143" s="39">
        <f t="shared" si="267"/>
        <v>0</v>
      </c>
      <c r="SI143" s="39">
        <f t="shared" si="268"/>
        <v>123481</v>
      </c>
      <c r="SM143" s="39">
        <f t="shared" si="269"/>
        <v>970279</v>
      </c>
      <c r="SN143" s="39">
        <f t="shared" si="270"/>
        <v>0</v>
      </c>
      <c r="SO143" s="39">
        <f t="shared" si="304"/>
        <v>970279</v>
      </c>
      <c r="SP143" s="50">
        <f t="shared" si="250"/>
        <v>1</v>
      </c>
      <c r="ST143" s="124">
        <f>IFERROR(VLOOKUP(A143,'Grade Enroll 15-16'!B:AC,27,FALSE),"")</f>
        <v>147</v>
      </c>
      <c r="SU143" s="124">
        <f t="shared" si="264"/>
        <v>45.36</v>
      </c>
      <c r="SV143" s="131">
        <f>IFERROR(VLOOKUP($A143, 'Title I Enroll 16-17'!S:V, 4, FALSE), 0)</f>
        <v>0.30857142857142855</v>
      </c>
      <c r="SW143" s="729">
        <f>IFERROR(VLOOKUP(A143, 'ELL Enroll 15-16'!$N:$S, 6, FALSE), 0)</f>
        <v>5</v>
      </c>
      <c r="SX143" s="131">
        <f t="shared" si="251"/>
        <v>3.4013605442176874E-2</v>
      </c>
      <c r="SY143" s="124">
        <f>IFERROR(VLOOKUP(A143, 'SPED enroll 2015-16'!$M:$O, 3, FALSE), 0)</f>
        <v>16</v>
      </c>
      <c r="SZ143" s="131">
        <f t="shared" si="252"/>
        <v>0.10884353741496598</v>
      </c>
      <c r="TA143" s="142">
        <f t="shared" si="253"/>
        <v>11.2</v>
      </c>
      <c r="TB143" s="142">
        <f t="shared" si="253"/>
        <v>3.2</v>
      </c>
      <c r="TC143" s="142">
        <f t="shared" si="253"/>
        <v>1.1200000000000001</v>
      </c>
      <c r="TD143" s="142">
        <f t="shared" si="253"/>
        <v>0.48</v>
      </c>
      <c r="TE143" s="124">
        <f>VLOOKUP($A143, 'Grade Enroll 15-16'!$B:$AB, 20, FALSE)</f>
        <v>0</v>
      </c>
      <c r="TF143" s="124">
        <f>VLOOKUP($A143, 'Grade Enroll 15-16'!$B:$AB, 21, FALSE)</f>
        <v>21</v>
      </c>
      <c r="TG143" s="124">
        <f>VLOOKUP($A143, 'Grade Enroll 15-16'!$B:$AB, 22, FALSE)</f>
        <v>56</v>
      </c>
      <c r="TH143" s="124">
        <f>VLOOKUP($A143, 'Grade Enroll 15-16'!$B:$AB, 23, FALSE)</f>
        <v>63</v>
      </c>
      <c r="TI143" s="124">
        <f>VLOOKUP($A143, 'Grade Enroll 15-16'!$B:$AB, 24, FALSE)</f>
        <v>28</v>
      </c>
      <c r="TJ143" s="124">
        <f>VLOOKUP($A143, 'Grade Enroll 15-16'!$B:$AB, 25, FALSE)</f>
        <v>0</v>
      </c>
      <c r="TK143" s="124">
        <f>VLOOKUP($A143, 'Grade Enroll 15-16'!$B:$AB, 26, FALSE)</f>
        <v>105</v>
      </c>
      <c r="TL143" s="131">
        <f>SUMIFS('Student Achievement 15-16'!N:N, 'Student Achievement 15-16'!B:B, 'Idaho Data'!A143, 'Student Achievement 15-16'!D:D, "math")/100</f>
        <v>0.10199999999999999</v>
      </c>
      <c r="TM143" s="134">
        <f t="shared" si="305"/>
        <v>14.994</v>
      </c>
      <c r="TN143" s="131">
        <f>SUMIFS('Student Achievement 15-16'!N:N, 'Student Achievement 15-16'!B:B, 'Idaho Data'!A143, 'Student Achievement 15-16'!D:D, "ela")/100</f>
        <v>0.05</v>
      </c>
      <c r="TO143" s="134">
        <f t="shared" si="254"/>
        <v>7.3500000000000005</v>
      </c>
      <c r="TP143" s="688">
        <f>IFERROR(VLOOKUP(A143, 'G&amp;T 15-16'!B:G, 6, FALSE), 0)*1</f>
        <v>14</v>
      </c>
      <c r="TQ143" s="168">
        <f t="shared" si="255"/>
        <v>8.82</v>
      </c>
      <c r="TU143" s="168">
        <f t="shared" si="256"/>
        <v>7.3500000000000005</v>
      </c>
      <c r="TV143" s="168">
        <f t="shared" si="257"/>
        <v>14.994</v>
      </c>
      <c r="TW143" s="205">
        <f t="shared" si="258"/>
        <v>14.994</v>
      </c>
      <c r="TX143" s="144"/>
      <c r="TY143" s="129"/>
      <c r="TZ143" s="127">
        <f t="shared" si="259"/>
        <v>8.82</v>
      </c>
      <c r="UA143" s="127">
        <f t="shared" si="260"/>
        <v>14</v>
      </c>
      <c r="UB143" s="205">
        <f t="shared" si="261"/>
        <v>14</v>
      </c>
      <c r="UE143" s="853" t="str">
        <f>IF(ST143&lt;='1. Simulator Input'!$E$104, "yes", "")</f>
        <v>yes</v>
      </c>
      <c r="UI143" s="199">
        <f t="shared" si="306"/>
        <v>0</v>
      </c>
      <c r="UJ143" s="200">
        <f>IF('Idaho Data'!SI143&gt;=0, ((1-'1. Simulator Input'!$E$39)*'Idaho Data'!SI143), 0)</f>
        <v>0</v>
      </c>
      <c r="UK143" s="200">
        <f t="shared" si="262"/>
        <v>970279</v>
      </c>
      <c r="UL143" s="39"/>
      <c r="UM143" s="182"/>
      <c r="UN143" s="39"/>
      <c r="UO143" s="39">
        <f>IF(AND('1. Simulator Input'!$E$96="yes", '1. Simulator Input'!$E$98="yes", '1. Simulator Input'!$E$100="hold harmless"), 'Idaho Data'!WN143, IF(AND('1. Simulator Input'!$E$96="yes", '1. Simulator Input'!$E$98="no", '1. Simulator Input'!$E$100="hold harmless"), 'Idaho Data'!WM143, IF(AND('1. Simulator Input'!$E$96="yes", '1. Simulator Input'!$E$98="yes", '1. Simulator Input'!$E$100="small district grant"), WL143,IF(AND('1. Simulator Input'!$E$96="yes", '1. Simulator Input'!$E$98="no", '1. Simulator Input'!$E$100="small district grant"), WK143, ""))))</f>
        <v>0</v>
      </c>
      <c r="UP143" s="200">
        <f>'1. Simulator Input'!$D$56*('Idaho Data'!ST143)</f>
        <v>812322</v>
      </c>
      <c r="UQ143" s="204">
        <f>'1. Simulator Input'!$D$65*'1. Simulator Input'!$D$56*'Idaho Data'!SU143</f>
        <v>0</v>
      </c>
      <c r="UR143" s="204">
        <f>'1. Simulator Input'!$D$66*'1. Simulator Input'!$D$56*'Idaho Data'!SW143</f>
        <v>0</v>
      </c>
      <c r="US143" s="200">
        <f>'1. Simulator Input'!$D$67*'1. Simulator Input'!$D$56*'Idaho Data'!TA143</f>
        <v>0</v>
      </c>
      <c r="UT143" s="200">
        <f>'1. Simulator Input'!$D$68*'1. Simulator Input'!$D$56*'Idaho Data'!TB143</f>
        <v>0</v>
      </c>
      <c r="UU143" s="200">
        <f>'1. Simulator Input'!$D$69*'1. Simulator Input'!$D$56*'Idaho Data'!TC143</f>
        <v>0</v>
      </c>
      <c r="UV143" s="200">
        <f>'1. Simulator Input'!$D$70*'1. Simulator Input'!$D$56*TD143</f>
        <v>0</v>
      </c>
      <c r="UW143" s="200">
        <f>'1. Simulator Input'!$D$80*'1. Simulator Input'!$D$56*TW143</f>
        <v>0</v>
      </c>
      <c r="UX143" s="200">
        <f>'1. Simulator Input'!$D$79*'1. Simulator Input'!$D$56*UB143</f>
        <v>0</v>
      </c>
      <c r="UY143" s="200">
        <f>'1. Simulator Input'!$D$87*'1. Simulator Input'!$D$56*TF143</f>
        <v>58023</v>
      </c>
      <c r="UZ143" s="200">
        <f>'1. Simulator Input'!$D$73*'1. Simulator Input'!$D$56*'Idaho Data'!TG143</f>
        <v>0</v>
      </c>
      <c r="VA143" s="200">
        <f>'1. Simulator Input'!$D$56*'1. Simulator Input'!$D$74*'Idaho Data'!TH143</f>
        <v>0</v>
      </c>
      <c r="VB143" s="200">
        <f>'1. Simulator Input'!$D$56*'1. Simulator Input'!$D$75*'Idaho Data'!TI138</f>
        <v>0</v>
      </c>
      <c r="VC143" s="200">
        <f>'1. Simulator Input'!$D$76*'1. Simulator Input'!$D$56*'Idaho Data'!TJ143</f>
        <v>0</v>
      </c>
      <c r="VD143" s="200">
        <f t="shared" si="307"/>
        <v>870345</v>
      </c>
      <c r="VE143" s="200"/>
      <c r="VF143" s="182"/>
      <c r="VG143" s="200"/>
      <c r="VH143" s="200">
        <f t="shared" si="308"/>
        <v>0</v>
      </c>
      <c r="VI143" s="200">
        <f t="shared" si="309"/>
        <v>0</v>
      </c>
      <c r="VJ143" s="200">
        <f t="shared" si="271"/>
        <v>870345</v>
      </c>
      <c r="VK143" s="200">
        <f t="shared" si="272"/>
        <v>870345</v>
      </c>
      <c r="VL143" s="200"/>
      <c r="VM143" s="182"/>
      <c r="VN143" s="200"/>
      <c r="VO143" s="200">
        <f t="shared" si="310"/>
        <v>91009</v>
      </c>
      <c r="VP143" s="200">
        <f t="shared" si="311"/>
        <v>970279</v>
      </c>
      <c r="VQ143" s="200">
        <f t="shared" si="312"/>
        <v>123481</v>
      </c>
      <c r="VR143" s="200">
        <f t="shared" si="313"/>
        <v>91009</v>
      </c>
      <c r="VS143" s="200">
        <f t="shared" si="273"/>
        <v>870345</v>
      </c>
      <c r="VT143" s="200">
        <f t="shared" si="274"/>
        <v>123481</v>
      </c>
      <c r="VU143" s="200">
        <f t="shared" si="275"/>
        <v>0</v>
      </c>
      <c r="VV143" s="200"/>
      <c r="VW143" s="182"/>
      <c r="VX143" s="200"/>
      <c r="VZ143" s="199">
        <f t="shared" si="314"/>
        <v>-99934</v>
      </c>
      <c r="WA143" s="199">
        <f t="shared" si="315"/>
        <v>-679.82312925170072</v>
      </c>
      <c r="WB143" s="131">
        <f t="shared" si="316"/>
        <v>-0.10299511789907852</v>
      </c>
      <c r="WC143" s="131"/>
      <c r="WD143" s="461"/>
      <c r="WE143" s="893"/>
      <c r="WF143" s="893">
        <f t="shared" si="317"/>
        <v>8059.6530612244896</v>
      </c>
      <c r="WG143" s="893">
        <f t="shared" si="318"/>
        <v>7379.8299319727894</v>
      </c>
      <c r="WH143" s="893"/>
      <c r="WI143" s="893">
        <f t="shared" si="319"/>
        <v>970279</v>
      </c>
      <c r="WJ143" s="893">
        <f t="shared" si="276"/>
        <v>870345</v>
      </c>
      <c r="WK143" s="39">
        <f t="shared" si="277"/>
        <v>0</v>
      </c>
      <c r="WL143" s="39">
        <f t="shared" si="278"/>
        <v>0</v>
      </c>
      <c r="WM143" s="200">
        <f t="shared" si="279"/>
        <v>99934</v>
      </c>
      <c r="WN143" s="39">
        <f t="shared" si="280"/>
        <v>99934</v>
      </c>
      <c r="WO143" s="39"/>
      <c r="WP143" s="182"/>
      <c r="WQ143" s="39"/>
      <c r="WR143" s="305"/>
      <c r="WT143" s="200">
        <f t="shared" si="281"/>
        <v>6600.5374149659865</v>
      </c>
      <c r="WU143" s="131">
        <f t="shared" si="320"/>
        <v>0.52</v>
      </c>
      <c r="WW143" s="199">
        <f t="shared" si="282"/>
        <v>91009</v>
      </c>
      <c r="WX143" s="199">
        <f t="shared" si="283"/>
        <v>870345</v>
      </c>
      <c r="WY143" s="199">
        <f t="shared" si="284"/>
        <v>0</v>
      </c>
      <c r="WZ143" s="199">
        <f t="shared" si="321"/>
        <v>870345</v>
      </c>
      <c r="XA143" s="199">
        <f t="shared" si="285"/>
        <v>0</v>
      </c>
      <c r="XB143" s="199">
        <f t="shared" si="286"/>
        <v>123481</v>
      </c>
      <c r="XC143" s="199">
        <f t="shared" si="287"/>
        <v>123481</v>
      </c>
      <c r="XD143" s="199" t="str">
        <f t="shared" si="288"/>
        <v/>
      </c>
      <c r="XE143" s="199"/>
      <c r="XF143" s="199"/>
      <c r="XG143" s="199"/>
      <c r="XH143" s="199"/>
      <c r="XI143" s="199"/>
      <c r="XJ143" s="199">
        <f t="shared" si="322"/>
        <v>870345</v>
      </c>
      <c r="XP143" s="199">
        <f t="shared" si="289"/>
        <v>870345</v>
      </c>
      <c r="XQ143" s="199">
        <f t="shared" si="290"/>
        <v>5920.7142857142853</v>
      </c>
      <c r="XR143" s="199">
        <f t="shared" si="291"/>
        <v>870345</v>
      </c>
      <c r="XS143" s="199">
        <f t="shared" si="292"/>
        <v>870345</v>
      </c>
      <c r="XT143" s="199">
        <f t="shared" si="293"/>
        <v>5920.7142857142853</v>
      </c>
      <c r="XU143" s="199">
        <f t="shared" si="294"/>
        <v>970279</v>
      </c>
      <c r="XV143" s="199">
        <f t="shared" si="295"/>
        <v>6600.5374149659865</v>
      </c>
      <c r="XW143" s="199">
        <f t="shared" si="296"/>
        <v>970279</v>
      </c>
      <c r="XX143" s="199">
        <f t="shared" si="297"/>
        <v>6600.5374149659865</v>
      </c>
      <c r="XY143" s="199">
        <f t="shared" si="323"/>
        <v>-99934</v>
      </c>
      <c r="XZ143" s="199">
        <f t="shared" si="324"/>
        <v>-679.82312925170118</v>
      </c>
      <c r="YA143" s="131">
        <f t="shared" si="263"/>
        <v>-0.10299511789907859</v>
      </c>
      <c r="YB143" s="199"/>
      <c r="YC143" s="221"/>
      <c r="YD143" s="199"/>
      <c r="YE143" s="199">
        <f t="shared" si="298"/>
        <v>91009</v>
      </c>
      <c r="YF143" s="200">
        <f t="shared" si="299"/>
        <v>0</v>
      </c>
      <c r="YG143" s="199">
        <f t="shared" si="300"/>
        <v>123481</v>
      </c>
      <c r="YH143" s="199">
        <f t="shared" si="301"/>
        <v>10</v>
      </c>
    </row>
    <row r="144" spans="1:658">
      <c r="A144" s="3">
        <v>473</v>
      </c>
      <c r="B144" s="2" t="s">
        <v>241</v>
      </c>
      <c r="C144" s="24">
        <v>0</v>
      </c>
      <c r="D144" s="24">
        <v>0</v>
      </c>
      <c r="E144" s="24">
        <v>0</v>
      </c>
      <c r="F144" s="24">
        <v>0</v>
      </c>
      <c r="G144" s="24">
        <v>0</v>
      </c>
      <c r="H144" s="24">
        <v>0</v>
      </c>
      <c r="I144" s="24">
        <v>0</v>
      </c>
      <c r="J144" s="24">
        <v>0</v>
      </c>
      <c r="K144" s="24">
        <v>0</v>
      </c>
      <c r="L144" s="24">
        <v>0</v>
      </c>
      <c r="M144" s="24">
        <v>0</v>
      </c>
      <c r="N144" s="24">
        <v>0</v>
      </c>
      <c r="O144" s="24">
        <v>0</v>
      </c>
      <c r="P144" s="24">
        <v>0</v>
      </c>
      <c r="Q144" s="24">
        <v>0</v>
      </c>
      <c r="R144" s="24">
        <v>0</v>
      </c>
      <c r="S144" s="24">
        <v>0</v>
      </c>
      <c r="T144" s="24">
        <v>0</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7</v>
      </c>
      <c r="AM144" s="24">
        <v>0</v>
      </c>
      <c r="AN144" s="24">
        <v>0</v>
      </c>
      <c r="AO144" s="24">
        <v>0</v>
      </c>
      <c r="AP144" s="24">
        <v>0</v>
      </c>
      <c r="AQ144" s="24">
        <v>0</v>
      </c>
      <c r="AR144" s="24">
        <v>0</v>
      </c>
      <c r="AS144" s="24">
        <v>0</v>
      </c>
      <c r="AT144" s="24">
        <v>0</v>
      </c>
      <c r="AU144" s="24">
        <v>0</v>
      </c>
      <c r="AV144" s="24">
        <v>0</v>
      </c>
      <c r="AW144" s="24">
        <v>0</v>
      </c>
      <c r="AX144" s="24">
        <v>0</v>
      </c>
      <c r="AY144" s="24">
        <v>0</v>
      </c>
      <c r="AZ144" s="24">
        <v>0</v>
      </c>
      <c r="BA144" s="24">
        <v>0</v>
      </c>
      <c r="BB144" s="24">
        <v>0</v>
      </c>
      <c r="BC144" s="24">
        <v>0</v>
      </c>
      <c r="BD144" s="24">
        <v>0</v>
      </c>
      <c r="BE144" s="24">
        <v>0</v>
      </c>
      <c r="BF144" s="24">
        <v>0</v>
      </c>
      <c r="BG144" s="24">
        <v>0</v>
      </c>
      <c r="BH144" s="24">
        <v>0</v>
      </c>
      <c r="BI144" s="24">
        <v>0</v>
      </c>
      <c r="BJ144" s="24">
        <v>0</v>
      </c>
      <c r="BK144" s="24">
        <v>0</v>
      </c>
      <c r="BL144" s="24">
        <v>0</v>
      </c>
      <c r="BM144" s="24">
        <v>0</v>
      </c>
      <c r="BN144" s="24">
        <v>0</v>
      </c>
      <c r="BO144" s="24">
        <v>0</v>
      </c>
      <c r="BP144" s="24">
        <v>0</v>
      </c>
      <c r="BQ144" s="24">
        <v>0</v>
      </c>
      <c r="BR144" s="24">
        <v>0</v>
      </c>
      <c r="BS144" s="24">
        <v>0</v>
      </c>
      <c r="BT144" s="24">
        <v>0</v>
      </c>
      <c r="BU144" s="24">
        <v>0</v>
      </c>
      <c r="BV144" s="24">
        <v>0</v>
      </c>
      <c r="BW144" s="24">
        <v>0</v>
      </c>
      <c r="BX144" s="24">
        <v>0</v>
      </c>
      <c r="BY144" s="24">
        <v>0</v>
      </c>
      <c r="BZ144" s="24">
        <v>0</v>
      </c>
      <c r="CA144" s="24">
        <v>0</v>
      </c>
      <c r="CB144" s="24">
        <v>0</v>
      </c>
      <c r="CC144" s="24">
        <v>0</v>
      </c>
      <c r="CD144" s="24">
        <v>0</v>
      </c>
      <c r="CE144" s="24">
        <v>0</v>
      </c>
      <c r="CF144" s="24">
        <v>0</v>
      </c>
      <c r="CG144" s="24">
        <v>0</v>
      </c>
      <c r="CH144" s="24">
        <v>0</v>
      </c>
      <c r="CI144" s="24">
        <v>1833</v>
      </c>
      <c r="CJ144" s="24">
        <v>0</v>
      </c>
      <c r="CK144" s="24">
        <v>0</v>
      </c>
      <c r="CL144" s="24">
        <v>0</v>
      </c>
      <c r="CM144" s="24">
        <v>0</v>
      </c>
      <c r="CN144" s="24">
        <v>0</v>
      </c>
      <c r="CO144" s="24">
        <v>0</v>
      </c>
      <c r="CP144" s="24">
        <v>0</v>
      </c>
      <c r="CQ144" s="24">
        <v>0</v>
      </c>
      <c r="CR144" s="24">
        <v>0</v>
      </c>
      <c r="CS144" s="24">
        <v>10306</v>
      </c>
      <c r="CT144" s="24">
        <v>0</v>
      </c>
      <c r="CU144" s="24">
        <v>0</v>
      </c>
      <c r="CV144" s="24">
        <v>0</v>
      </c>
      <c r="CW144" s="24">
        <v>0</v>
      </c>
      <c r="CX144" s="24">
        <v>0</v>
      </c>
      <c r="CY144" s="24">
        <v>0</v>
      </c>
      <c r="CZ144" s="24">
        <v>0</v>
      </c>
      <c r="DA144" s="24">
        <v>0</v>
      </c>
      <c r="DB144" s="24">
        <v>0</v>
      </c>
      <c r="DC144" s="24">
        <v>0</v>
      </c>
      <c r="DD144" s="24">
        <v>0</v>
      </c>
      <c r="DE144" s="24">
        <v>0</v>
      </c>
      <c r="DF144" s="24">
        <v>0</v>
      </c>
      <c r="DG144" s="24">
        <v>0</v>
      </c>
      <c r="DH144" s="24">
        <v>0</v>
      </c>
      <c r="DI144" s="24">
        <v>0</v>
      </c>
      <c r="DJ144" s="24">
        <v>0</v>
      </c>
      <c r="DK144" s="24">
        <v>0</v>
      </c>
      <c r="DL144" s="24">
        <v>0</v>
      </c>
      <c r="DM144" s="24">
        <v>0</v>
      </c>
      <c r="DN144" s="24">
        <v>0</v>
      </c>
      <c r="DO144" s="24">
        <v>0</v>
      </c>
      <c r="DP144" s="24">
        <v>0</v>
      </c>
      <c r="DQ144" s="24">
        <v>0</v>
      </c>
      <c r="DR144" s="24">
        <v>0</v>
      </c>
      <c r="DS144" s="24">
        <v>0</v>
      </c>
      <c r="DT144" s="24">
        <v>0</v>
      </c>
      <c r="DU144" s="24">
        <v>0</v>
      </c>
      <c r="DV144" s="24">
        <v>0</v>
      </c>
      <c r="DW144" s="24">
        <v>0</v>
      </c>
      <c r="DX144" s="24">
        <v>0</v>
      </c>
      <c r="DY144" s="24">
        <v>0</v>
      </c>
      <c r="DZ144" s="24">
        <v>0</v>
      </c>
      <c r="EA144" s="24">
        <v>0</v>
      </c>
      <c r="EB144" s="24">
        <v>0</v>
      </c>
      <c r="EC144" s="24">
        <v>0</v>
      </c>
      <c r="ED144" s="24">
        <v>0</v>
      </c>
      <c r="EE144" s="24">
        <v>0</v>
      </c>
      <c r="EF144" s="24">
        <v>0</v>
      </c>
      <c r="EG144" s="24">
        <v>23476</v>
      </c>
      <c r="EH144" s="24">
        <v>0</v>
      </c>
      <c r="EI144" s="24">
        <v>0</v>
      </c>
      <c r="EJ144" s="24">
        <v>0</v>
      </c>
      <c r="EK144" s="24">
        <v>0</v>
      </c>
      <c r="EL144" s="24">
        <v>0</v>
      </c>
      <c r="EM144" s="24">
        <v>0</v>
      </c>
      <c r="EN144" s="24">
        <v>0</v>
      </c>
      <c r="EO144" s="24">
        <v>0</v>
      </c>
      <c r="EP144" s="24">
        <v>0</v>
      </c>
      <c r="EQ144" s="24">
        <v>0</v>
      </c>
      <c r="ER144" s="24">
        <v>0</v>
      </c>
      <c r="ES144" s="24">
        <v>0</v>
      </c>
      <c r="ET144" s="24">
        <v>0</v>
      </c>
      <c r="EU144" s="24">
        <v>0</v>
      </c>
      <c r="EV144" s="24">
        <v>0</v>
      </c>
      <c r="EW144" s="24">
        <v>0</v>
      </c>
      <c r="EX144" s="24">
        <v>0</v>
      </c>
      <c r="EY144" s="24">
        <v>0</v>
      </c>
      <c r="EZ144" s="24">
        <v>0</v>
      </c>
      <c r="FA144" s="24">
        <v>0</v>
      </c>
      <c r="FB144" s="24">
        <v>0</v>
      </c>
      <c r="FC144" s="24">
        <v>0</v>
      </c>
      <c r="FD144" s="24">
        <v>0</v>
      </c>
      <c r="FE144" s="24">
        <v>0</v>
      </c>
      <c r="FF144" s="24">
        <v>0</v>
      </c>
      <c r="FG144" s="24">
        <v>0</v>
      </c>
      <c r="FH144" s="24">
        <v>0</v>
      </c>
      <c r="FI144" s="24">
        <v>0</v>
      </c>
      <c r="FJ144" s="24">
        <v>0</v>
      </c>
      <c r="FK144" s="24">
        <v>0</v>
      </c>
      <c r="FL144" s="24">
        <v>0</v>
      </c>
      <c r="FM144" s="24">
        <v>0</v>
      </c>
      <c r="FN144" s="24">
        <v>0</v>
      </c>
      <c r="FO144" s="24">
        <v>0</v>
      </c>
      <c r="FP144" s="24">
        <v>0</v>
      </c>
      <c r="FQ144" s="24">
        <v>0</v>
      </c>
      <c r="FR144" s="24">
        <v>0</v>
      </c>
      <c r="FS144" s="24">
        <v>1846</v>
      </c>
      <c r="FT144" s="24">
        <v>0</v>
      </c>
      <c r="FU144" s="24">
        <v>0</v>
      </c>
      <c r="FV144" s="24">
        <v>0</v>
      </c>
      <c r="FW144" s="24">
        <v>0</v>
      </c>
      <c r="FX144" s="24">
        <v>0</v>
      </c>
      <c r="FY144" s="24">
        <v>0</v>
      </c>
      <c r="FZ144" s="24">
        <v>0</v>
      </c>
      <c r="GA144" s="24">
        <v>0</v>
      </c>
      <c r="GB144" s="24">
        <v>0</v>
      </c>
      <c r="GC144" s="24">
        <v>0</v>
      </c>
      <c r="GD144" s="24">
        <v>0</v>
      </c>
      <c r="GE144" s="24">
        <v>0</v>
      </c>
      <c r="GF144" s="24">
        <v>0</v>
      </c>
      <c r="GG144" s="24">
        <v>0</v>
      </c>
      <c r="GH144" s="24">
        <v>0</v>
      </c>
      <c r="GI144" s="24">
        <v>0</v>
      </c>
      <c r="GJ144" s="24">
        <v>0</v>
      </c>
      <c r="GK144" s="24">
        <v>0</v>
      </c>
      <c r="GL144" s="24">
        <v>0</v>
      </c>
      <c r="GM144" s="24">
        <v>0</v>
      </c>
      <c r="GN144" s="24">
        <v>0</v>
      </c>
      <c r="GO144" s="24">
        <v>0</v>
      </c>
      <c r="GP144" s="24">
        <v>0</v>
      </c>
      <c r="GQ144" s="24">
        <v>0</v>
      </c>
      <c r="GR144" s="24">
        <v>0</v>
      </c>
      <c r="GS144" s="24">
        <v>0</v>
      </c>
      <c r="GT144" s="24">
        <v>0</v>
      </c>
      <c r="GU144" s="24">
        <v>0</v>
      </c>
      <c r="GV144" s="24">
        <v>0</v>
      </c>
      <c r="GW144" s="24">
        <v>0</v>
      </c>
      <c r="GX144" s="24">
        <v>0</v>
      </c>
      <c r="GY144" s="24">
        <v>0</v>
      </c>
      <c r="GZ144" s="24">
        <v>0</v>
      </c>
      <c r="HA144" s="24">
        <v>0</v>
      </c>
      <c r="HB144" s="24">
        <v>0</v>
      </c>
      <c r="HC144" s="24">
        <v>0</v>
      </c>
      <c r="HD144" s="24">
        <v>1216081</v>
      </c>
      <c r="HE144" s="24">
        <v>0</v>
      </c>
      <c r="HF144" s="24">
        <v>0</v>
      </c>
      <c r="HG144" s="24">
        <v>0</v>
      </c>
      <c r="HH144" s="24">
        <v>0</v>
      </c>
      <c r="HI144" s="24">
        <v>0</v>
      </c>
      <c r="HJ144" s="24">
        <v>0</v>
      </c>
      <c r="HK144" s="24">
        <v>0</v>
      </c>
      <c r="HL144" s="24">
        <v>0</v>
      </c>
      <c r="HM144" s="24">
        <v>0</v>
      </c>
      <c r="HN144" s="24">
        <v>0</v>
      </c>
      <c r="HO144" s="24">
        <v>154805</v>
      </c>
      <c r="HP144" s="24">
        <v>159810</v>
      </c>
      <c r="HQ144" s="24">
        <v>0</v>
      </c>
      <c r="HR144" s="24">
        <v>0</v>
      </c>
      <c r="HS144" s="24">
        <v>0</v>
      </c>
      <c r="HT144" s="24">
        <v>0</v>
      </c>
      <c r="HU144" s="24">
        <v>0</v>
      </c>
      <c r="HV144" s="24">
        <v>0</v>
      </c>
      <c r="HW144" s="24">
        <v>0</v>
      </c>
      <c r="HX144" s="24">
        <v>0</v>
      </c>
      <c r="HY144" s="24">
        <v>0</v>
      </c>
      <c r="HZ144" s="24">
        <v>0</v>
      </c>
      <c r="IA144" s="24">
        <v>14488</v>
      </c>
      <c r="IB144" s="24">
        <v>5954</v>
      </c>
      <c r="IC144" s="24">
        <v>0</v>
      </c>
      <c r="ID144" s="24">
        <v>0</v>
      </c>
      <c r="IE144" s="24">
        <v>0</v>
      </c>
      <c r="IF144" s="24">
        <v>0</v>
      </c>
      <c r="IG144" s="24">
        <v>0</v>
      </c>
      <c r="IH144" s="24">
        <v>0</v>
      </c>
      <c r="II144" s="24">
        <v>0</v>
      </c>
      <c r="IJ144" s="24">
        <v>0</v>
      </c>
      <c r="IK144" s="24">
        <v>0</v>
      </c>
      <c r="IL144" s="24">
        <v>0</v>
      </c>
      <c r="IM144" s="24">
        <v>0</v>
      </c>
      <c r="IN144" s="24">
        <v>0</v>
      </c>
      <c r="IO144" s="24">
        <v>0</v>
      </c>
      <c r="IP144" s="24">
        <v>0</v>
      </c>
      <c r="IQ144" s="24">
        <v>0</v>
      </c>
      <c r="IR144" s="24">
        <v>0</v>
      </c>
      <c r="IS144" s="24">
        <v>0</v>
      </c>
      <c r="IT144" s="24">
        <v>0</v>
      </c>
      <c r="IU144" s="24">
        <v>0</v>
      </c>
      <c r="IV144" s="24">
        <v>0</v>
      </c>
      <c r="IW144" s="24">
        <v>0</v>
      </c>
      <c r="IX144" s="24">
        <v>0</v>
      </c>
      <c r="IY144" s="24">
        <v>0</v>
      </c>
      <c r="IZ144" s="24">
        <v>0</v>
      </c>
      <c r="JA144" s="24">
        <v>0</v>
      </c>
      <c r="JB144" s="24">
        <v>0</v>
      </c>
      <c r="JC144" s="24">
        <v>0</v>
      </c>
      <c r="JD144" s="24">
        <v>0</v>
      </c>
      <c r="JE144" s="24">
        <v>0</v>
      </c>
      <c r="JF144" s="24">
        <v>0</v>
      </c>
      <c r="JG144" s="24">
        <v>0</v>
      </c>
      <c r="JH144" s="24">
        <v>0</v>
      </c>
      <c r="JI144" s="24">
        <v>0</v>
      </c>
      <c r="JJ144" s="24">
        <v>0</v>
      </c>
      <c r="JK144" s="24">
        <v>0</v>
      </c>
      <c r="JL144" s="24">
        <v>0</v>
      </c>
      <c r="JM144" s="24">
        <v>0</v>
      </c>
      <c r="JN144" s="24">
        <v>0</v>
      </c>
      <c r="JO144" s="24">
        <v>0</v>
      </c>
      <c r="JP144" s="24">
        <v>0</v>
      </c>
      <c r="JQ144" s="24">
        <v>0</v>
      </c>
      <c r="JR144" s="24">
        <v>0</v>
      </c>
      <c r="JS144" s="24">
        <v>0</v>
      </c>
      <c r="JT144" s="24">
        <v>7896</v>
      </c>
      <c r="JU144" s="24">
        <v>0</v>
      </c>
      <c r="JV144" s="24">
        <v>0</v>
      </c>
      <c r="JW144" s="24">
        <v>0</v>
      </c>
      <c r="JX144" s="24">
        <v>0</v>
      </c>
      <c r="JY144" s="24">
        <v>0</v>
      </c>
      <c r="JZ144" s="24">
        <v>0</v>
      </c>
      <c r="KA144" s="24">
        <v>0</v>
      </c>
      <c r="KB144" s="24">
        <v>0</v>
      </c>
      <c r="KC144" s="24">
        <v>0</v>
      </c>
      <c r="KD144" s="24">
        <v>0</v>
      </c>
      <c r="KE144" s="24">
        <v>0</v>
      </c>
      <c r="KF144" s="24">
        <v>0</v>
      </c>
      <c r="KG144" s="24">
        <v>0</v>
      </c>
      <c r="KH144" s="24">
        <v>0</v>
      </c>
      <c r="KI144" s="24">
        <v>0</v>
      </c>
      <c r="KJ144" s="24">
        <v>0</v>
      </c>
      <c r="KK144" s="24">
        <v>0</v>
      </c>
      <c r="KL144" s="24">
        <v>0</v>
      </c>
      <c r="KM144" s="24">
        <v>0</v>
      </c>
      <c r="KN144" s="24">
        <v>0</v>
      </c>
      <c r="KO144" s="24">
        <v>0</v>
      </c>
      <c r="KP144" s="24">
        <v>0</v>
      </c>
      <c r="KQ144" s="24">
        <v>0</v>
      </c>
      <c r="KR144" s="24">
        <v>0</v>
      </c>
      <c r="KS144" s="24">
        <v>0</v>
      </c>
      <c r="KT144" s="24">
        <v>0</v>
      </c>
      <c r="KU144" s="24">
        <v>0</v>
      </c>
      <c r="KV144" s="24">
        <v>0</v>
      </c>
      <c r="KW144" s="24">
        <v>0</v>
      </c>
      <c r="KX144" s="24">
        <v>0</v>
      </c>
      <c r="KY144" s="24">
        <v>0</v>
      </c>
      <c r="KZ144" s="24">
        <v>0</v>
      </c>
      <c r="LA144" s="24">
        <v>0</v>
      </c>
      <c r="LB144" s="24">
        <v>0</v>
      </c>
      <c r="LC144" s="24">
        <v>0</v>
      </c>
      <c r="LD144" s="24">
        <v>0</v>
      </c>
      <c r="LE144" s="24">
        <v>0</v>
      </c>
      <c r="LF144" s="24">
        <v>0</v>
      </c>
      <c r="LG144" s="24">
        <v>0</v>
      </c>
      <c r="LH144" s="24">
        <v>0</v>
      </c>
      <c r="LI144" s="24">
        <v>0</v>
      </c>
      <c r="LJ144" s="24">
        <v>0</v>
      </c>
      <c r="LK144" s="24">
        <v>0</v>
      </c>
      <c r="LL144" s="24">
        <v>0</v>
      </c>
      <c r="LM144" s="24">
        <v>0</v>
      </c>
      <c r="LN144" s="24">
        <v>0</v>
      </c>
      <c r="LO144" s="24">
        <v>0</v>
      </c>
      <c r="LP144" s="24">
        <v>0</v>
      </c>
      <c r="LQ144" s="24">
        <v>37218</v>
      </c>
      <c r="LR144" s="24">
        <v>0</v>
      </c>
      <c r="LS144" s="24">
        <v>0</v>
      </c>
      <c r="LT144" s="24">
        <v>0</v>
      </c>
      <c r="LU144" s="24">
        <v>0</v>
      </c>
      <c r="LV144" s="24">
        <v>0</v>
      </c>
      <c r="LW144" s="24">
        <v>0</v>
      </c>
      <c r="LX144" s="24">
        <v>0</v>
      </c>
      <c r="LY144" s="24">
        <v>0</v>
      </c>
      <c r="LZ144" s="24">
        <v>0</v>
      </c>
      <c r="MA144" s="24">
        <v>0</v>
      </c>
      <c r="MB144" s="24">
        <v>0</v>
      </c>
      <c r="MC144" s="24">
        <v>0</v>
      </c>
      <c r="MD144" s="24">
        <v>0</v>
      </c>
      <c r="ME144" s="24">
        <v>0</v>
      </c>
      <c r="MF144" s="24">
        <v>0</v>
      </c>
      <c r="MG144" s="24">
        <v>0</v>
      </c>
      <c r="MH144" s="24">
        <v>0</v>
      </c>
      <c r="MI144" s="24">
        <v>0</v>
      </c>
      <c r="MJ144" s="24">
        <v>0</v>
      </c>
      <c r="MK144" s="24">
        <v>0</v>
      </c>
      <c r="ML144" s="24">
        <v>0</v>
      </c>
      <c r="MM144" s="24">
        <v>0</v>
      </c>
      <c r="MN144" s="24">
        <v>0</v>
      </c>
      <c r="MO144" s="24">
        <v>0</v>
      </c>
      <c r="MP144" s="24">
        <v>0</v>
      </c>
      <c r="MQ144" s="24">
        <v>0</v>
      </c>
      <c r="MR144" s="24">
        <v>0</v>
      </c>
      <c r="MS144" s="24">
        <v>0</v>
      </c>
      <c r="MT144" s="24">
        <v>0</v>
      </c>
      <c r="MU144" s="24">
        <v>0</v>
      </c>
      <c r="MV144" s="24">
        <v>0</v>
      </c>
      <c r="MW144" s="24">
        <v>42275</v>
      </c>
      <c r="MX144" s="24">
        <v>0</v>
      </c>
      <c r="MY144" s="24">
        <v>0</v>
      </c>
      <c r="MZ144" s="24">
        <v>0</v>
      </c>
      <c r="NA144" s="24">
        <v>164913</v>
      </c>
      <c r="NB144" s="24">
        <v>0</v>
      </c>
      <c r="NC144" s="24">
        <v>0</v>
      </c>
      <c r="ND144" s="24">
        <v>0</v>
      </c>
      <c r="NE144" s="24">
        <v>0</v>
      </c>
      <c r="NF144" s="24">
        <v>0</v>
      </c>
      <c r="NG144" s="24">
        <v>0</v>
      </c>
      <c r="NH144" s="24">
        <v>0</v>
      </c>
      <c r="NI144" s="24">
        <v>0</v>
      </c>
      <c r="NJ144" s="24">
        <v>0</v>
      </c>
      <c r="NK144" s="24">
        <v>0</v>
      </c>
      <c r="NL144" s="24">
        <v>0</v>
      </c>
      <c r="NM144" s="24">
        <v>0</v>
      </c>
      <c r="NN144" s="24">
        <v>0</v>
      </c>
      <c r="NO144" s="24">
        <v>0</v>
      </c>
      <c r="NP144" s="24">
        <v>0</v>
      </c>
      <c r="NQ144" s="24">
        <v>0</v>
      </c>
      <c r="NR144" s="24">
        <v>0</v>
      </c>
      <c r="NS144" s="24">
        <v>0</v>
      </c>
      <c r="NT144" s="24">
        <v>0</v>
      </c>
      <c r="NU144" s="24">
        <v>0</v>
      </c>
      <c r="NV144" s="24">
        <v>19753</v>
      </c>
      <c r="NW144" s="24">
        <v>0</v>
      </c>
      <c r="NX144" s="24">
        <v>0</v>
      </c>
      <c r="NY144" s="24">
        <v>0</v>
      </c>
      <c r="NZ144" s="24">
        <v>0</v>
      </c>
      <c r="OA144" s="24">
        <v>0</v>
      </c>
      <c r="OB144" s="24">
        <v>0</v>
      </c>
      <c r="OC144" s="24">
        <v>0</v>
      </c>
      <c r="OD144" s="24">
        <v>0</v>
      </c>
      <c r="OE144" s="24">
        <v>0</v>
      </c>
      <c r="OF144" s="24">
        <v>0</v>
      </c>
      <c r="OG144" s="24">
        <v>0</v>
      </c>
      <c r="OH144" s="24">
        <v>0</v>
      </c>
      <c r="OI144" s="24">
        <v>0</v>
      </c>
      <c r="OJ144" s="24">
        <v>0</v>
      </c>
      <c r="OK144" s="24">
        <v>0</v>
      </c>
      <c r="OL144" s="24">
        <v>0</v>
      </c>
      <c r="OM144" s="24">
        <v>0</v>
      </c>
      <c r="ON144" s="24">
        <v>0</v>
      </c>
      <c r="OO144" s="24">
        <v>0</v>
      </c>
      <c r="OP144" s="24">
        <v>0</v>
      </c>
      <c r="OQ144" s="24">
        <v>0</v>
      </c>
      <c r="OR144" s="24">
        <v>0</v>
      </c>
      <c r="OS144" s="24">
        <v>33593</v>
      </c>
      <c r="OT144" s="24">
        <v>0</v>
      </c>
      <c r="OU144" s="24">
        <v>0</v>
      </c>
      <c r="OV144" s="24">
        <v>0</v>
      </c>
      <c r="OW144" s="24">
        <v>0</v>
      </c>
      <c r="OX144" s="24">
        <v>0</v>
      </c>
      <c r="OY144" s="24">
        <v>0</v>
      </c>
      <c r="OZ144" s="24">
        <v>0</v>
      </c>
      <c r="PA144" s="24">
        <v>0</v>
      </c>
      <c r="PB144" s="24">
        <v>0</v>
      </c>
      <c r="PC144" s="24">
        <v>0</v>
      </c>
      <c r="PD144" s="24">
        <v>0</v>
      </c>
      <c r="PE144" s="24">
        <v>0</v>
      </c>
      <c r="PF144" s="24">
        <v>0</v>
      </c>
      <c r="PG144" s="24">
        <v>0</v>
      </c>
      <c r="PH144" s="24">
        <v>0</v>
      </c>
      <c r="PI144" s="24">
        <v>0</v>
      </c>
      <c r="PJ144" s="24">
        <v>0</v>
      </c>
      <c r="PK144" s="24">
        <v>0</v>
      </c>
      <c r="PL144" s="24">
        <v>0</v>
      </c>
      <c r="PM144" s="24">
        <v>0</v>
      </c>
      <c r="PN144" s="24">
        <v>0</v>
      </c>
      <c r="PO144" s="24">
        <v>0</v>
      </c>
      <c r="PP144" s="24">
        <v>0</v>
      </c>
      <c r="PQ144" s="24">
        <v>0</v>
      </c>
      <c r="PR144" s="24">
        <v>0</v>
      </c>
      <c r="PS144" s="24">
        <v>0</v>
      </c>
      <c r="PT144" s="24">
        <v>0</v>
      </c>
      <c r="PU144" s="24">
        <v>0</v>
      </c>
      <c r="PV144" s="24">
        <v>0</v>
      </c>
      <c r="PW144" s="24">
        <v>0</v>
      </c>
      <c r="PX144" s="24">
        <v>0</v>
      </c>
      <c r="PY144" s="24">
        <v>0</v>
      </c>
      <c r="PZ144" s="24">
        <v>0</v>
      </c>
      <c r="QA144" s="24">
        <v>0</v>
      </c>
      <c r="QB144" s="24">
        <v>0</v>
      </c>
      <c r="QC144" s="24">
        <v>0</v>
      </c>
      <c r="QD144" s="24">
        <v>0</v>
      </c>
      <c r="QE144" s="24">
        <v>0</v>
      </c>
      <c r="QF144" s="24">
        <v>0</v>
      </c>
      <c r="QG144" s="24">
        <v>0</v>
      </c>
      <c r="QH144" s="24">
        <v>0</v>
      </c>
      <c r="QI144" s="24">
        <v>0</v>
      </c>
      <c r="QJ144" s="24">
        <v>0</v>
      </c>
      <c r="QK144" s="24">
        <v>0</v>
      </c>
      <c r="QL144" s="24">
        <v>0</v>
      </c>
      <c r="QM144" s="24">
        <v>0</v>
      </c>
      <c r="QN144" s="24">
        <v>0</v>
      </c>
      <c r="QO144" s="24">
        <v>0</v>
      </c>
      <c r="QP144" s="24">
        <v>0</v>
      </c>
      <c r="QQ144" s="24">
        <v>0</v>
      </c>
      <c r="QR144" s="24">
        <v>0</v>
      </c>
      <c r="QS144" s="24">
        <v>0</v>
      </c>
      <c r="QT144" s="24">
        <v>0</v>
      </c>
      <c r="QU144" s="24">
        <v>0</v>
      </c>
      <c r="QV144" s="24">
        <v>0</v>
      </c>
      <c r="QW144" s="24">
        <v>0</v>
      </c>
      <c r="QX144" s="24">
        <v>0</v>
      </c>
      <c r="QY144" s="24">
        <v>0</v>
      </c>
      <c r="QZ144" s="24">
        <v>0</v>
      </c>
      <c r="RA144" s="24">
        <v>0</v>
      </c>
      <c r="RB144" s="24">
        <v>0</v>
      </c>
      <c r="RC144" s="913">
        <v>2</v>
      </c>
      <c r="RG144" s="39">
        <f t="shared" si="248"/>
        <v>1216081</v>
      </c>
      <c r="RH144" s="39">
        <f t="shared" si="249"/>
        <v>0</v>
      </c>
      <c r="RI144" s="39">
        <f t="shared" si="249"/>
        <v>0</v>
      </c>
      <c r="RJ144" s="39">
        <f t="shared" si="249"/>
        <v>0</v>
      </c>
      <c r="RK144" s="39">
        <f t="shared" si="249"/>
        <v>0</v>
      </c>
      <c r="RL144" s="39">
        <f t="shared" si="249"/>
        <v>154805</v>
      </c>
      <c r="RM144" s="39">
        <f t="shared" si="249"/>
        <v>180252</v>
      </c>
      <c r="RN144" s="39">
        <f t="shared" si="249"/>
        <v>0</v>
      </c>
      <c r="RO144" s="39">
        <f t="shared" si="249"/>
        <v>0</v>
      </c>
      <c r="RP144" s="39">
        <f t="shared" si="249"/>
        <v>0</v>
      </c>
      <c r="RQ144" s="39">
        <f t="shared" si="249"/>
        <v>0</v>
      </c>
      <c r="RR144" s="39">
        <f t="shared" si="249"/>
        <v>7896</v>
      </c>
      <c r="RS144" s="39"/>
      <c r="RT144" s="182"/>
      <c r="RU144" s="39"/>
      <c r="RV144" s="39">
        <f t="shared" si="302"/>
        <v>264159</v>
      </c>
      <c r="RW144" s="39">
        <f t="shared" si="302"/>
        <v>1559034</v>
      </c>
      <c r="RX144" s="39">
        <f t="shared" si="302"/>
        <v>37468</v>
      </c>
      <c r="RY144" s="39">
        <f t="shared" si="302"/>
        <v>33593</v>
      </c>
      <c r="RZ144" s="39"/>
      <c r="SA144" s="182"/>
      <c r="SB144" s="39"/>
      <c r="SC144" s="25">
        <f t="shared" si="303"/>
        <v>135.75362318840581</v>
      </c>
      <c r="SD144" s="39">
        <f>IFERROR(VLOOKUP(A144, 'Levy Data 15-16'!$B:$O, 3, FALSE), 0)</f>
        <v>0</v>
      </c>
      <c r="SE144" s="39">
        <f t="shared" si="265"/>
        <v>0</v>
      </c>
      <c r="SF144" s="631">
        <f>IFERROR(VLOOKUP(A144, 'Levy Data 15-16'!$B:$O, 14, FALSE), 0)*1000</f>
        <v>0</v>
      </c>
      <c r="SG144" s="39">
        <f t="shared" si="266"/>
        <v>0</v>
      </c>
      <c r="SH144" s="39">
        <f t="shared" si="267"/>
        <v>0</v>
      </c>
      <c r="SI144" s="39">
        <f t="shared" si="268"/>
        <v>37468</v>
      </c>
      <c r="SM144" s="39">
        <f t="shared" si="269"/>
        <v>1559034</v>
      </c>
      <c r="SN144" s="39">
        <f t="shared" si="270"/>
        <v>0</v>
      </c>
      <c r="SO144" s="39">
        <f t="shared" si="304"/>
        <v>1559034</v>
      </c>
      <c r="SP144" s="50">
        <f t="shared" si="250"/>
        <v>1</v>
      </c>
      <c r="ST144" s="124">
        <f>IFERROR(VLOOKUP(A144,'Grade Enroll 15-16'!B:AC,27,FALSE),"")</f>
        <v>276</v>
      </c>
      <c r="SU144" s="124">
        <f t="shared" si="264"/>
        <v>40.332378223495702</v>
      </c>
      <c r="SV144" s="131">
        <f>IFERROR(VLOOKUP($A144, 'Title I Enroll 16-17'!S:V, 4, FALSE), 0)</f>
        <v>0.14613180515759314</v>
      </c>
      <c r="SW144" s="729">
        <f>IFERROR(VLOOKUP(A144, 'ELL Enroll 15-16'!$N:$S, 6, FALSE), 0)</f>
        <v>5</v>
      </c>
      <c r="SX144" s="131">
        <f t="shared" si="251"/>
        <v>1.8115942028985508E-2</v>
      </c>
      <c r="SY144" s="124">
        <f>IFERROR(VLOOKUP(A144, 'SPED enroll 2015-16'!$M:$O, 3, FALSE), 0)</f>
        <v>39</v>
      </c>
      <c r="SZ144" s="131">
        <f t="shared" si="252"/>
        <v>0.14130434782608695</v>
      </c>
      <c r="TA144" s="142">
        <f t="shared" si="253"/>
        <v>27.299999999999997</v>
      </c>
      <c r="TB144" s="142">
        <f t="shared" si="253"/>
        <v>7.8000000000000007</v>
      </c>
      <c r="TC144" s="142">
        <f t="shared" si="253"/>
        <v>2.7300000000000004</v>
      </c>
      <c r="TD144" s="142">
        <f t="shared" si="253"/>
        <v>1.17</v>
      </c>
      <c r="TE144" s="124">
        <f>VLOOKUP($A144, 'Grade Enroll 15-16'!$B:$AB, 20, FALSE)</f>
        <v>0</v>
      </c>
      <c r="TF144" s="124">
        <f>VLOOKUP($A144, 'Grade Enroll 15-16'!$B:$AB, 21, FALSE)</f>
        <v>48</v>
      </c>
      <c r="TG144" s="124">
        <f>VLOOKUP($A144, 'Grade Enroll 15-16'!$B:$AB, 22, FALSE)</f>
        <v>132</v>
      </c>
      <c r="TH144" s="124">
        <f>VLOOKUP($A144, 'Grade Enroll 15-16'!$B:$AB, 23, FALSE)</f>
        <v>100</v>
      </c>
      <c r="TI144" s="124">
        <f>VLOOKUP($A144, 'Grade Enroll 15-16'!$B:$AB, 24, FALSE)</f>
        <v>44</v>
      </c>
      <c r="TJ144" s="124">
        <f>VLOOKUP($A144, 'Grade Enroll 15-16'!$B:$AB, 25, FALSE)</f>
        <v>0</v>
      </c>
      <c r="TK144" s="124">
        <f>VLOOKUP($A144, 'Grade Enroll 15-16'!$B:$AB, 26, FALSE)</f>
        <v>191</v>
      </c>
      <c r="TL144" s="131">
        <f>SUMIFS('Student Achievement 15-16'!N:N, 'Student Achievement 15-16'!B:B, 'Idaho Data'!A144, 'Student Achievement 15-16'!D:D, "math")/100</f>
        <v>0.35</v>
      </c>
      <c r="TM144" s="134">
        <f t="shared" si="305"/>
        <v>96.6</v>
      </c>
      <c r="TN144" s="131">
        <f>SUMIFS('Student Achievement 15-16'!N:N, 'Student Achievement 15-16'!B:B, 'Idaho Data'!A144, 'Student Achievement 15-16'!D:D, "ela")/100</f>
        <v>0.25900000000000001</v>
      </c>
      <c r="TO144" s="134">
        <f t="shared" si="254"/>
        <v>71.484000000000009</v>
      </c>
      <c r="TP144" s="688">
        <f>IFERROR(VLOOKUP(A144, 'G&amp;T 15-16'!B:G, 6, FALSE), 0)*1</f>
        <v>0</v>
      </c>
      <c r="TQ144" s="168">
        <f t="shared" si="255"/>
        <v>16.559999999999999</v>
      </c>
      <c r="TU144" s="168">
        <f t="shared" si="256"/>
        <v>71.484000000000009</v>
      </c>
      <c r="TV144" s="168">
        <f t="shared" si="257"/>
        <v>96.6</v>
      </c>
      <c r="TW144" s="205">
        <f t="shared" si="258"/>
        <v>96.6</v>
      </c>
      <c r="TX144" s="144"/>
      <c r="TY144" s="129"/>
      <c r="TZ144" s="127">
        <f t="shared" si="259"/>
        <v>0</v>
      </c>
      <c r="UA144" s="127">
        <f t="shared" si="260"/>
        <v>16.559999999999999</v>
      </c>
      <c r="UB144" s="205">
        <f t="shared" si="261"/>
        <v>16.559999999999999</v>
      </c>
      <c r="UE144" s="853" t="str">
        <f>IF(ST144&lt;='1. Simulator Input'!$E$104, "yes", "")</f>
        <v>yes</v>
      </c>
      <c r="UI144" s="199">
        <f t="shared" si="306"/>
        <v>0</v>
      </c>
      <c r="UJ144" s="200">
        <f>IF('Idaho Data'!SI144&gt;=0, ((1-'1. Simulator Input'!$E$39)*'Idaho Data'!SI144), 0)</f>
        <v>0</v>
      </c>
      <c r="UK144" s="200">
        <f t="shared" si="262"/>
        <v>1559034</v>
      </c>
      <c r="UL144" s="39"/>
      <c r="UM144" s="182"/>
      <c r="UN144" s="39"/>
      <c r="UO144" s="39">
        <f>IF(AND('1. Simulator Input'!$E$96="yes", '1. Simulator Input'!$E$98="yes", '1. Simulator Input'!$E$100="hold harmless"), 'Idaho Data'!WN144, IF(AND('1. Simulator Input'!$E$96="yes", '1. Simulator Input'!$E$98="no", '1. Simulator Input'!$E$100="hold harmless"), 'Idaho Data'!WM144, IF(AND('1. Simulator Input'!$E$96="yes", '1. Simulator Input'!$E$98="yes", '1. Simulator Input'!$E$100="small district grant"), WL144,IF(AND('1. Simulator Input'!$E$96="yes", '1. Simulator Input'!$E$98="no", '1. Simulator Input'!$E$100="small district grant"), WK144, ""))))</f>
        <v>0</v>
      </c>
      <c r="UP144" s="200">
        <f>'1. Simulator Input'!$D$56*('Idaho Data'!ST144)</f>
        <v>1525176</v>
      </c>
      <c r="UQ144" s="204">
        <f>'1. Simulator Input'!$D$65*'1. Simulator Input'!$D$56*'Idaho Data'!SU144</f>
        <v>0</v>
      </c>
      <c r="UR144" s="204">
        <f>'1. Simulator Input'!$D$66*'1. Simulator Input'!$D$56*'Idaho Data'!SW144</f>
        <v>0</v>
      </c>
      <c r="US144" s="200">
        <f>'1. Simulator Input'!$D$67*'1. Simulator Input'!$D$56*'Idaho Data'!TA144</f>
        <v>0</v>
      </c>
      <c r="UT144" s="200">
        <f>'1. Simulator Input'!$D$68*'1. Simulator Input'!$D$56*'Idaho Data'!TB144</f>
        <v>0</v>
      </c>
      <c r="UU144" s="200">
        <f>'1. Simulator Input'!$D$69*'1. Simulator Input'!$D$56*'Idaho Data'!TC144</f>
        <v>0</v>
      </c>
      <c r="UV144" s="200">
        <f>'1. Simulator Input'!$D$70*'1. Simulator Input'!$D$56*TD144</f>
        <v>0</v>
      </c>
      <c r="UW144" s="200">
        <f>'1. Simulator Input'!$D$80*'1. Simulator Input'!$D$56*TW144</f>
        <v>0</v>
      </c>
      <c r="UX144" s="200">
        <f>'1. Simulator Input'!$D$79*'1. Simulator Input'!$D$56*UB144</f>
        <v>0</v>
      </c>
      <c r="UY144" s="200">
        <f>'1. Simulator Input'!$D$87*'1. Simulator Input'!$D$56*TF144</f>
        <v>132624</v>
      </c>
      <c r="UZ144" s="200">
        <f>'1. Simulator Input'!$D$73*'1. Simulator Input'!$D$56*'Idaho Data'!TG144</f>
        <v>0</v>
      </c>
      <c r="VA144" s="200">
        <f>'1. Simulator Input'!$D$56*'1. Simulator Input'!$D$74*'Idaho Data'!TH144</f>
        <v>0</v>
      </c>
      <c r="VB144" s="200">
        <f>'1. Simulator Input'!$D$56*'1. Simulator Input'!$D$75*'Idaho Data'!TI139</f>
        <v>0</v>
      </c>
      <c r="VC144" s="200">
        <f>'1. Simulator Input'!$D$76*'1. Simulator Input'!$D$56*'Idaho Data'!TJ144</f>
        <v>0</v>
      </c>
      <c r="VD144" s="200">
        <f t="shared" si="307"/>
        <v>1657800</v>
      </c>
      <c r="VE144" s="200"/>
      <c r="VF144" s="182"/>
      <c r="VG144" s="200"/>
      <c r="VH144" s="200">
        <f t="shared" si="308"/>
        <v>0</v>
      </c>
      <c r="VI144" s="200">
        <f t="shared" si="309"/>
        <v>0</v>
      </c>
      <c r="VJ144" s="200">
        <f t="shared" si="271"/>
        <v>1657800</v>
      </c>
      <c r="VK144" s="200">
        <f t="shared" si="272"/>
        <v>1657800</v>
      </c>
      <c r="VL144" s="200"/>
      <c r="VM144" s="182"/>
      <c r="VN144" s="200"/>
      <c r="VO144" s="200">
        <f t="shared" si="310"/>
        <v>264159</v>
      </c>
      <c r="VP144" s="200">
        <f t="shared" si="311"/>
        <v>1559034</v>
      </c>
      <c r="VQ144" s="200">
        <f t="shared" si="312"/>
        <v>37468</v>
      </c>
      <c r="VR144" s="200">
        <f t="shared" si="313"/>
        <v>264159</v>
      </c>
      <c r="VS144" s="200">
        <f t="shared" si="273"/>
        <v>1657800</v>
      </c>
      <c r="VT144" s="200">
        <f t="shared" si="274"/>
        <v>37468</v>
      </c>
      <c r="VU144" s="200">
        <f t="shared" si="275"/>
        <v>0</v>
      </c>
      <c r="VV144" s="200"/>
      <c r="VW144" s="182"/>
      <c r="VX144" s="200"/>
      <c r="VZ144" s="199">
        <f t="shared" si="314"/>
        <v>98766</v>
      </c>
      <c r="WA144" s="199">
        <f t="shared" si="315"/>
        <v>357.8478260869565</v>
      </c>
      <c r="WB144" s="131">
        <f t="shared" si="316"/>
        <v>6.3350767205846703E-2</v>
      </c>
      <c r="WC144" s="131"/>
      <c r="WD144" s="461"/>
      <c r="WE144" s="893"/>
      <c r="WF144" s="893">
        <f t="shared" si="317"/>
        <v>6741.525362318841</v>
      </c>
      <c r="WG144" s="893">
        <f t="shared" si="318"/>
        <v>7099.373188405797</v>
      </c>
      <c r="WH144" s="893"/>
      <c r="WI144" s="893">
        <f t="shared" si="319"/>
        <v>1559034</v>
      </c>
      <c r="WJ144" s="893">
        <f t="shared" si="276"/>
        <v>1657800</v>
      </c>
      <c r="WK144" s="39">
        <f t="shared" si="277"/>
        <v>0</v>
      </c>
      <c r="WL144" s="39">
        <f t="shared" si="278"/>
        <v>0</v>
      </c>
      <c r="WM144" s="200">
        <f t="shared" si="279"/>
        <v>0</v>
      </c>
      <c r="WN144" s="39">
        <f t="shared" si="280"/>
        <v>0</v>
      </c>
      <c r="WO144" s="39"/>
      <c r="WP144" s="182"/>
      <c r="WQ144" s="39"/>
      <c r="WR144" s="305"/>
      <c r="WT144" s="200">
        <f t="shared" si="281"/>
        <v>5648.673913043478</v>
      </c>
      <c r="WU144" s="131">
        <f t="shared" si="320"/>
        <v>0.18</v>
      </c>
      <c r="WW144" s="199">
        <f t="shared" si="282"/>
        <v>264159</v>
      </c>
      <c r="WX144" s="199">
        <f t="shared" si="283"/>
        <v>1657800</v>
      </c>
      <c r="WY144" s="199">
        <f t="shared" si="284"/>
        <v>0</v>
      </c>
      <c r="WZ144" s="199">
        <f t="shared" si="321"/>
        <v>1657800</v>
      </c>
      <c r="XA144" s="199">
        <f t="shared" si="285"/>
        <v>0</v>
      </c>
      <c r="XB144" s="199">
        <f t="shared" si="286"/>
        <v>37468</v>
      </c>
      <c r="XC144" s="199">
        <f t="shared" si="287"/>
        <v>37468</v>
      </c>
      <c r="XD144" s="199" t="str">
        <f t="shared" si="288"/>
        <v/>
      </c>
      <c r="XE144" s="199"/>
      <c r="XF144" s="199"/>
      <c r="XG144" s="199"/>
      <c r="XH144" s="199"/>
      <c r="XI144" s="199"/>
      <c r="XJ144" s="199">
        <f t="shared" si="322"/>
        <v>1657800</v>
      </c>
      <c r="XP144" s="199">
        <f t="shared" si="289"/>
        <v>1657800</v>
      </c>
      <c r="XQ144" s="199">
        <f t="shared" si="290"/>
        <v>6006.521739130435</v>
      </c>
      <c r="XR144" s="199">
        <f t="shared" si="291"/>
        <v>1657800</v>
      </c>
      <c r="XS144" s="199">
        <f t="shared" si="292"/>
        <v>1657800</v>
      </c>
      <c r="XT144" s="199">
        <f t="shared" si="293"/>
        <v>6006.521739130435</v>
      </c>
      <c r="XU144" s="199">
        <f t="shared" si="294"/>
        <v>1559034</v>
      </c>
      <c r="XV144" s="199">
        <f t="shared" si="295"/>
        <v>5648.673913043478</v>
      </c>
      <c r="XW144" s="199">
        <f t="shared" si="296"/>
        <v>1559034</v>
      </c>
      <c r="XX144" s="199">
        <f t="shared" si="297"/>
        <v>5648.673913043478</v>
      </c>
      <c r="XY144" s="199">
        <f t="shared" si="323"/>
        <v>98766</v>
      </c>
      <c r="XZ144" s="199">
        <f t="shared" si="324"/>
        <v>357.84782608695696</v>
      </c>
      <c r="YA144" s="131">
        <f t="shared" si="263"/>
        <v>6.3350767205846772E-2</v>
      </c>
      <c r="YB144" s="199"/>
      <c r="YC144" s="221"/>
      <c r="YD144" s="199"/>
      <c r="YE144" s="199">
        <f t="shared" si="298"/>
        <v>264159</v>
      </c>
      <c r="YF144" s="200">
        <f t="shared" si="299"/>
        <v>0</v>
      </c>
      <c r="YG144" s="199">
        <f t="shared" si="300"/>
        <v>37468</v>
      </c>
      <c r="YH144" s="199">
        <f t="shared" si="301"/>
        <v>33593</v>
      </c>
    </row>
    <row r="145" spans="1:658">
      <c r="A145" s="3">
        <v>474</v>
      </c>
      <c r="B145" s="2" t="s">
        <v>1488</v>
      </c>
      <c r="C145" s="24">
        <v>0</v>
      </c>
      <c r="D145" s="24">
        <v>0</v>
      </c>
      <c r="E145" s="24">
        <v>0</v>
      </c>
      <c r="F145" s="24">
        <v>0</v>
      </c>
      <c r="G145" s="24">
        <v>0</v>
      </c>
      <c r="H145" s="24">
        <v>0</v>
      </c>
      <c r="I145" s="24">
        <v>0</v>
      </c>
      <c r="J145" s="24">
        <v>0</v>
      </c>
      <c r="K145" s="24">
        <v>0</v>
      </c>
      <c r="L145" s="24">
        <v>0</v>
      </c>
      <c r="M145" s="24">
        <v>0</v>
      </c>
      <c r="N145" s="24">
        <v>0</v>
      </c>
      <c r="O145" s="24">
        <v>0</v>
      </c>
      <c r="P145" s="24">
        <v>0</v>
      </c>
      <c r="Q145" s="24">
        <v>0</v>
      </c>
      <c r="R145" s="24">
        <v>0</v>
      </c>
      <c r="S145" s="24">
        <v>0</v>
      </c>
      <c r="T145" s="24">
        <v>0</v>
      </c>
      <c r="U145" s="24">
        <v>0</v>
      </c>
      <c r="V145" s="24">
        <v>0</v>
      </c>
      <c r="W145" s="24">
        <v>0</v>
      </c>
      <c r="X145" s="24">
        <v>0</v>
      </c>
      <c r="Y145" s="24">
        <v>0</v>
      </c>
      <c r="Z145" s="24">
        <v>0</v>
      </c>
      <c r="AA145" s="24">
        <v>0</v>
      </c>
      <c r="AB145" s="24">
        <v>0</v>
      </c>
      <c r="AC145" s="24">
        <v>0</v>
      </c>
      <c r="AD145" s="24">
        <v>0</v>
      </c>
      <c r="AE145" s="24">
        <v>0</v>
      </c>
      <c r="AF145" s="24">
        <v>0</v>
      </c>
      <c r="AG145" s="24">
        <v>0</v>
      </c>
      <c r="AH145" s="24">
        <v>0</v>
      </c>
      <c r="AI145" s="24">
        <v>0</v>
      </c>
      <c r="AJ145" s="24">
        <v>0</v>
      </c>
      <c r="AK145" s="24">
        <v>0</v>
      </c>
      <c r="AL145" s="24">
        <v>391</v>
      </c>
      <c r="AM145" s="24">
        <v>0</v>
      </c>
      <c r="AN145" s="24">
        <v>0</v>
      </c>
      <c r="AO145" s="24">
        <v>0</v>
      </c>
      <c r="AP145" s="24">
        <v>0</v>
      </c>
      <c r="AQ145" s="24">
        <v>0</v>
      </c>
      <c r="AR145" s="24">
        <v>0</v>
      </c>
      <c r="AS145" s="24">
        <v>0</v>
      </c>
      <c r="AT145" s="24">
        <v>0</v>
      </c>
      <c r="AU145" s="24">
        <v>0</v>
      </c>
      <c r="AV145" s="24">
        <v>0</v>
      </c>
      <c r="AW145" s="24">
        <v>0</v>
      </c>
      <c r="AX145" s="24">
        <v>0</v>
      </c>
      <c r="AY145" s="24">
        <v>0</v>
      </c>
      <c r="AZ145" s="24">
        <v>0</v>
      </c>
      <c r="BA145" s="24">
        <v>0</v>
      </c>
      <c r="BB145" s="24">
        <v>0</v>
      </c>
      <c r="BC145" s="24">
        <v>0</v>
      </c>
      <c r="BD145" s="24">
        <v>0</v>
      </c>
      <c r="BE145" s="24">
        <v>0</v>
      </c>
      <c r="BF145" s="24">
        <v>0</v>
      </c>
      <c r="BG145" s="24">
        <v>0</v>
      </c>
      <c r="BH145" s="24">
        <v>0</v>
      </c>
      <c r="BI145" s="24">
        <v>0</v>
      </c>
      <c r="BJ145" s="24">
        <v>0</v>
      </c>
      <c r="BK145" s="24">
        <v>0</v>
      </c>
      <c r="BL145" s="24">
        <v>0</v>
      </c>
      <c r="BM145" s="24">
        <v>0</v>
      </c>
      <c r="BN145" s="24">
        <v>0</v>
      </c>
      <c r="BO145" s="24">
        <v>0</v>
      </c>
      <c r="BP145" s="24">
        <v>0</v>
      </c>
      <c r="BQ145" s="24">
        <v>0</v>
      </c>
      <c r="BR145" s="24">
        <v>0</v>
      </c>
      <c r="BS145" s="24">
        <v>0</v>
      </c>
      <c r="BT145" s="24">
        <v>0</v>
      </c>
      <c r="BU145" s="24">
        <v>0</v>
      </c>
      <c r="BV145" s="24">
        <v>0</v>
      </c>
      <c r="BW145" s="24">
        <v>0</v>
      </c>
      <c r="BX145" s="24">
        <v>0</v>
      </c>
      <c r="BY145" s="24">
        <v>0</v>
      </c>
      <c r="BZ145" s="24">
        <v>0</v>
      </c>
      <c r="CA145" s="24">
        <v>0</v>
      </c>
      <c r="CB145" s="24">
        <v>0</v>
      </c>
      <c r="CC145" s="24">
        <v>0</v>
      </c>
      <c r="CD145" s="24">
        <v>2144</v>
      </c>
      <c r="CE145" s="24">
        <v>0</v>
      </c>
      <c r="CF145" s="24">
        <v>0</v>
      </c>
      <c r="CG145" s="24">
        <v>0</v>
      </c>
      <c r="CH145" s="24">
        <v>0</v>
      </c>
      <c r="CI145" s="24">
        <v>0</v>
      </c>
      <c r="CJ145" s="24">
        <v>0</v>
      </c>
      <c r="CK145" s="24">
        <v>0</v>
      </c>
      <c r="CL145" s="24">
        <v>0</v>
      </c>
      <c r="CM145" s="24">
        <v>0</v>
      </c>
      <c r="CN145" s="24">
        <v>0</v>
      </c>
      <c r="CO145" s="24">
        <v>0</v>
      </c>
      <c r="CP145" s="24">
        <v>0</v>
      </c>
      <c r="CQ145" s="24">
        <v>0</v>
      </c>
      <c r="CR145" s="24">
        <v>0</v>
      </c>
      <c r="CS145" s="24">
        <v>0</v>
      </c>
      <c r="CT145" s="24">
        <v>0</v>
      </c>
      <c r="CU145" s="24">
        <v>0</v>
      </c>
      <c r="CV145" s="24">
        <v>0</v>
      </c>
      <c r="CW145" s="24">
        <v>0</v>
      </c>
      <c r="CX145" s="24">
        <v>0</v>
      </c>
      <c r="CY145" s="24">
        <v>0</v>
      </c>
      <c r="CZ145" s="24">
        <v>0</v>
      </c>
      <c r="DA145" s="24">
        <v>0</v>
      </c>
      <c r="DB145" s="24">
        <v>0</v>
      </c>
      <c r="DC145" s="24">
        <v>0</v>
      </c>
      <c r="DD145" s="24">
        <v>0</v>
      </c>
      <c r="DE145" s="24">
        <v>0</v>
      </c>
      <c r="DF145" s="24">
        <v>0</v>
      </c>
      <c r="DG145" s="24">
        <v>0</v>
      </c>
      <c r="DH145" s="24">
        <v>0</v>
      </c>
      <c r="DI145" s="24">
        <v>0</v>
      </c>
      <c r="DJ145" s="24">
        <v>0</v>
      </c>
      <c r="DK145" s="24">
        <v>0</v>
      </c>
      <c r="DL145" s="24">
        <v>0</v>
      </c>
      <c r="DM145" s="24">
        <v>0</v>
      </c>
      <c r="DN145" s="24">
        <v>0</v>
      </c>
      <c r="DO145" s="24">
        <v>0</v>
      </c>
      <c r="DP145" s="24">
        <v>0</v>
      </c>
      <c r="DQ145" s="24">
        <v>0</v>
      </c>
      <c r="DR145" s="24">
        <v>0</v>
      </c>
      <c r="DS145" s="24">
        <v>0</v>
      </c>
      <c r="DT145" s="24">
        <v>0</v>
      </c>
      <c r="DU145" s="24">
        <v>0</v>
      </c>
      <c r="DV145" s="24">
        <v>0</v>
      </c>
      <c r="DW145" s="24">
        <v>0</v>
      </c>
      <c r="DX145" s="24">
        <v>0</v>
      </c>
      <c r="DY145" s="24">
        <v>0</v>
      </c>
      <c r="DZ145" s="24">
        <v>0</v>
      </c>
      <c r="EA145" s="24">
        <v>0</v>
      </c>
      <c r="EB145" s="24">
        <v>0</v>
      </c>
      <c r="EC145" s="24">
        <v>0</v>
      </c>
      <c r="ED145" s="24">
        <v>0</v>
      </c>
      <c r="EE145" s="24">
        <v>0</v>
      </c>
      <c r="EF145" s="24">
        <v>0</v>
      </c>
      <c r="EG145" s="24">
        <v>17005</v>
      </c>
      <c r="EH145" s="24">
        <v>0</v>
      </c>
      <c r="EI145" s="24">
        <v>0</v>
      </c>
      <c r="EJ145" s="24">
        <v>0</v>
      </c>
      <c r="EK145" s="24">
        <v>0</v>
      </c>
      <c r="EL145" s="24">
        <v>0</v>
      </c>
      <c r="EM145" s="24">
        <v>0</v>
      </c>
      <c r="EN145" s="24">
        <v>0</v>
      </c>
      <c r="EO145" s="24">
        <v>0</v>
      </c>
      <c r="EP145" s="24">
        <v>0</v>
      </c>
      <c r="EQ145" s="24">
        <v>0</v>
      </c>
      <c r="ER145" s="24">
        <v>0</v>
      </c>
      <c r="ES145" s="24">
        <v>0</v>
      </c>
      <c r="ET145" s="24">
        <v>0</v>
      </c>
      <c r="EU145" s="24">
        <v>0</v>
      </c>
      <c r="EV145" s="24">
        <v>0</v>
      </c>
      <c r="EW145" s="24">
        <v>0</v>
      </c>
      <c r="EX145" s="24">
        <v>0</v>
      </c>
      <c r="EY145" s="24">
        <v>0</v>
      </c>
      <c r="EZ145" s="24">
        <v>0</v>
      </c>
      <c r="FA145" s="24">
        <v>0</v>
      </c>
      <c r="FB145" s="24">
        <v>0</v>
      </c>
      <c r="FC145" s="24">
        <v>0</v>
      </c>
      <c r="FD145" s="24">
        <v>0</v>
      </c>
      <c r="FE145" s="24">
        <v>0</v>
      </c>
      <c r="FF145" s="24">
        <v>0</v>
      </c>
      <c r="FG145" s="24">
        <v>0</v>
      </c>
      <c r="FH145" s="24">
        <v>0</v>
      </c>
      <c r="FI145" s="24">
        <v>0</v>
      </c>
      <c r="FJ145" s="24">
        <v>0</v>
      </c>
      <c r="FK145" s="24">
        <v>0</v>
      </c>
      <c r="FL145" s="24">
        <v>0</v>
      </c>
      <c r="FM145" s="24">
        <v>0</v>
      </c>
      <c r="FN145" s="24">
        <v>0</v>
      </c>
      <c r="FO145" s="24">
        <v>0</v>
      </c>
      <c r="FP145" s="24">
        <v>0</v>
      </c>
      <c r="FQ145" s="24">
        <v>0</v>
      </c>
      <c r="FR145" s="24">
        <v>0</v>
      </c>
      <c r="FS145" s="24">
        <v>11462</v>
      </c>
      <c r="FT145" s="24">
        <v>0</v>
      </c>
      <c r="FU145" s="24">
        <v>0</v>
      </c>
      <c r="FV145" s="24">
        <v>0</v>
      </c>
      <c r="FW145" s="24">
        <v>0</v>
      </c>
      <c r="FX145" s="24">
        <v>0</v>
      </c>
      <c r="FY145" s="24">
        <v>0</v>
      </c>
      <c r="FZ145" s="24">
        <v>0</v>
      </c>
      <c r="GA145" s="24">
        <v>0</v>
      </c>
      <c r="GB145" s="24">
        <v>0</v>
      </c>
      <c r="GC145" s="24">
        <v>0</v>
      </c>
      <c r="GD145" s="24">
        <v>128290</v>
      </c>
      <c r="GE145" s="24">
        <v>0</v>
      </c>
      <c r="GF145" s="24">
        <v>0</v>
      </c>
      <c r="GG145" s="24">
        <v>0</v>
      </c>
      <c r="GH145" s="24">
        <v>0</v>
      </c>
      <c r="GI145" s="24">
        <v>0</v>
      </c>
      <c r="GJ145" s="24">
        <v>0</v>
      </c>
      <c r="GK145" s="24">
        <v>0</v>
      </c>
      <c r="GL145" s="24">
        <v>0</v>
      </c>
      <c r="GM145" s="24">
        <v>0</v>
      </c>
      <c r="GN145" s="24">
        <v>0</v>
      </c>
      <c r="GO145" s="24">
        <v>0</v>
      </c>
      <c r="GP145" s="24">
        <v>0</v>
      </c>
      <c r="GQ145" s="24">
        <v>0</v>
      </c>
      <c r="GR145" s="24">
        <v>0</v>
      </c>
      <c r="GS145" s="24">
        <v>0</v>
      </c>
      <c r="GT145" s="24">
        <v>0</v>
      </c>
      <c r="GU145" s="24">
        <v>0</v>
      </c>
      <c r="GV145" s="24">
        <v>0</v>
      </c>
      <c r="GW145" s="24">
        <v>0</v>
      </c>
      <c r="GX145" s="24">
        <v>0</v>
      </c>
      <c r="GY145" s="24">
        <v>0</v>
      </c>
      <c r="GZ145" s="24">
        <v>0</v>
      </c>
      <c r="HA145" s="24">
        <v>0</v>
      </c>
      <c r="HB145" s="24">
        <v>0</v>
      </c>
      <c r="HC145" s="24">
        <v>0</v>
      </c>
      <c r="HD145" s="24">
        <v>769638</v>
      </c>
      <c r="HE145" s="24">
        <v>0</v>
      </c>
      <c r="HF145" s="24">
        <v>0</v>
      </c>
      <c r="HG145" s="24">
        <v>0</v>
      </c>
      <c r="HH145" s="24">
        <v>0</v>
      </c>
      <c r="HI145" s="24">
        <v>48407</v>
      </c>
      <c r="HJ145" s="24">
        <v>0</v>
      </c>
      <c r="HK145" s="24">
        <v>0</v>
      </c>
      <c r="HL145" s="24">
        <v>0</v>
      </c>
      <c r="HM145" s="24">
        <v>0</v>
      </c>
      <c r="HN145" s="24">
        <v>0</v>
      </c>
      <c r="HO145" s="24">
        <v>98795</v>
      </c>
      <c r="HP145" s="24">
        <v>94827</v>
      </c>
      <c r="HQ145" s="24">
        <v>0</v>
      </c>
      <c r="HR145" s="24">
        <v>0</v>
      </c>
      <c r="HS145" s="24">
        <v>0</v>
      </c>
      <c r="HT145" s="24">
        <v>0</v>
      </c>
      <c r="HU145" s="24">
        <v>0</v>
      </c>
      <c r="HV145" s="24">
        <v>0</v>
      </c>
      <c r="HW145" s="24">
        <v>0</v>
      </c>
      <c r="HX145" s="24">
        <v>0</v>
      </c>
      <c r="HY145" s="24">
        <v>0</v>
      </c>
      <c r="HZ145" s="24">
        <v>0</v>
      </c>
      <c r="IA145" s="24">
        <v>16116</v>
      </c>
      <c r="IB145" s="24">
        <v>4767</v>
      </c>
      <c r="IC145" s="24">
        <v>0</v>
      </c>
      <c r="ID145" s="24">
        <v>0</v>
      </c>
      <c r="IE145" s="24">
        <v>0</v>
      </c>
      <c r="IF145" s="24">
        <v>0</v>
      </c>
      <c r="IG145" s="24">
        <v>0</v>
      </c>
      <c r="IH145" s="24">
        <v>0</v>
      </c>
      <c r="II145" s="24">
        <v>0</v>
      </c>
      <c r="IJ145" s="24">
        <v>0</v>
      </c>
      <c r="IK145" s="24">
        <v>0</v>
      </c>
      <c r="IL145" s="24">
        <v>0</v>
      </c>
      <c r="IM145" s="24">
        <v>0</v>
      </c>
      <c r="IN145" s="24">
        <v>0</v>
      </c>
      <c r="IO145" s="24">
        <v>0</v>
      </c>
      <c r="IP145" s="24">
        <v>0</v>
      </c>
      <c r="IQ145" s="24">
        <v>0</v>
      </c>
      <c r="IR145" s="24">
        <v>0</v>
      </c>
      <c r="IS145" s="24">
        <v>0</v>
      </c>
      <c r="IT145" s="24">
        <v>0</v>
      </c>
      <c r="IU145" s="24">
        <v>0</v>
      </c>
      <c r="IV145" s="24">
        <v>0</v>
      </c>
      <c r="IW145" s="24">
        <v>12958</v>
      </c>
      <c r="IX145" s="24">
        <v>0</v>
      </c>
      <c r="IY145" s="24">
        <v>0</v>
      </c>
      <c r="IZ145" s="24">
        <v>0</v>
      </c>
      <c r="JA145" s="24">
        <v>0</v>
      </c>
      <c r="JB145" s="24">
        <v>0</v>
      </c>
      <c r="JC145" s="24">
        <v>0</v>
      </c>
      <c r="JD145" s="24">
        <v>0</v>
      </c>
      <c r="JE145" s="24">
        <v>0</v>
      </c>
      <c r="JF145" s="24">
        <v>0</v>
      </c>
      <c r="JG145" s="24">
        <v>0</v>
      </c>
      <c r="JH145" s="24">
        <v>0</v>
      </c>
      <c r="JI145" s="24">
        <v>0</v>
      </c>
      <c r="JJ145" s="24">
        <v>0</v>
      </c>
      <c r="JK145" s="24">
        <v>0</v>
      </c>
      <c r="JL145" s="24">
        <v>0</v>
      </c>
      <c r="JM145" s="24">
        <v>0</v>
      </c>
      <c r="JN145" s="24">
        <v>0</v>
      </c>
      <c r="JO145" s="24">
        <v>0</v>
      </c>
      <c r="JP145" s="24">
        <v>0</v>
      </c>
      <c r="JQ145" s="24">
        <v>0</v>
      </c>
      <c r="JR145" s="24">
        <v>0</v>
      </c>
      <c r="JS145" s="24">
        <v>0</v>
      </c>
      <c r="JT145" s="24">
        <v>0</v>
      </c>
      <c r="JU145" s="24">
        <v>0</v>
      </c>
      <c r="JV145" s="24">
        <v>0</v>
      </c>
      <c r="JW145" s="24">
        <v>0</v>
      </c>
      <c r="JX145" s="24">
        <v>0</v>
      </c>
      <c r="JY145" s="24">
        <v>0</v>
      </c>
      <c r="JZ145" s="24">
        <v>0</v>
      </c>
      <c r="KA145" s="24">
        <v>0</v>
      </c>
      <c r="KB145" s="24">
        <v>0</v>
      </c>
      <c r="KC145" s="24">
        <v>0</v>
      </c>
      <c r="KD145" s="24">
        <v>0</v>
      </c>
      <c r="KE145" s="24">
        <v>0</v>
      </c>
      <c r="KF145" s="24">
        <v>0</v>
      </c>
      <c r="KG145" s="24">
        <v>0</v>
      </c>
      <c r="KH145" s="24">
        <v>0</v>
      </c>
      <c r="KI145" s="24">
        <v>0</v>
      </c>
      <c r="KJ145" s="24">
        <v>0</v>
      </c>
      <c r="KK145" s="24">
        <v>0</v>
      </c>
      <c r="KL145" s="24">
        <v>0</v>
      </c>
      <c r="KM145" s="24">
        <v>0</v>
      </c>
      <c r="KN145" s="24">
        <v>0</v>
      </c>
      <c r="KO145" s="24">
        <v>0</v>
      </c>
      <c r="KP145" s="24">
        <v>0</v>
      </c>
      <c r="KQ145" s="24">
        <v>0</v>
      </c>
      <c r="KR145" s="24">
        <v>0</v>
      </c>
      <c r="KS145" s="24">
        <v>0</v>
      </c>
      <c r="KT145" s="24">
        <v>0</v>
      </c>
      <c r="KU145" s="24">
        <v>0</v>
      </c>
      <c r="KV145" s="24">
        <v>0</v>
      </c>
      <c r="KW145" s="24">
        <v>0</v>
      </c>
      <c r="KX145" s="24">
        <v>0</v>
      </c>
      <c r="KY145" s="24">
        <v>0</v>
      </c>
      <c r="KZ145" s="24">
        <v>0</v>
      </c>
      <c r="LA145" s="24">
        <v>0</v>
      </c>
      <c r="LB145" s="24">
        <v>0</v>
      </c>
      <c r="LC145" s="24">
        <v>0</v>
      </c>
      <c r="LD145" s="24">
        <v>0</v>
      </c>
      <c r="LE145" s="24">
        <v>0</v>
      </c>
      <c r="LF145" s="24">
        <v>0</v>
      </c>
      <c r="LG145" s="24">
        <v>0</v>
      </c>
      <c r="LH145" s="24">
        <v>0</v>
      </c>
      <c r="LI145" s="24">
        <v>0</v>
      </c>
      <c r="LJ145" s="24">
        <v>0</v>
      </c>
      <c r="LK145" s="24">
        <v>0</v>
      </c>
      <c r="LL145" s="24">
        <v>0</v>
      </c>
      <c r="LM145" s="24">
        <v>0</v>
      </c>
      <c r="LN145" s="24">
        <v>0</v>
      </c>
      <c r="LO145" s="24">
        <v>0</v>
      </c>
      <c r="LP145" s="24">
        <v>0</v>
      </c>
      <c r="LQ145" s="24">
        <v>56292</v>
      </c>
      <c r="LR145" s="24">
        <v>0</v>
      </c>
      <c r="LS145" s="24">
        <v>0</v>
      </c>
      <c r="LT145" s="24">
        <v>0</v>
      </c>
      <c r="LU145" s="24">
        <v>0</v>
      </c>
      <c r="LV145" s="24">
        <v>0</v>
      </c>
      <c r="LW145" s="24">
        <v>0</v>
      </c>
      <c r="LX145" s="24">
        <v>0</v>
      </c>
      <c r="LY145" s="24">
        <v>0</v>
      </c>
      <c r="LZ145" s="24">
        <v>0</v>
      </c>
      <c r="MA145" s="24">
        <v>0</v>
      </c>
      <c r="MB145" s="24">
        <v>0</v>
      </c>
      <c r="MC145" s="24">
        <v>0</v>
      </c>
      <c r="MD145" s="24">
        <v>0</v>
      </c>
      <c r="ME145" s="24">
        <v>0</v>
      </c>
      <c r="MF145" s="24">
        <v>0</v>
      </c>
      <c r="MG145" s="24">
        <v>0</v>
      </c>
      <c r="MH145" s="24">
        <v>0</v>
      </c>
      <c r="MI145" s="24">
        <v>0</v>
      </c>
      <c r="MJ145" s="24">
        <v>0</v>
      </c>
      <c r="MK145" s="24">
        <v>0</v>
      </c>
      <c r="ML145" s="24">
        <v>0</v>
      </c>
      <c r="MM145" s="24">
        <v>0</v>
      </c>
      <c r="MN145" s="24">
        <v>0</v>
      </c>
      <c r="MO145" s="24">
        <v>0</v>
      </c>
      <c r="MP145" s="24">
        <v>0</v>
      </c>
      <c r="MQ145" s="24">
        <v>0</v>
      </c>
      <c r="MR145" s="24">
        <v>0</v>
      </c>
      <c r="MS145" s="24">
        <v>0</v>
      </c>
      <c r="MT145" s="24">
        <v>0</v>
      </c>
      <c r="MU145" s="24">
        <v>0</v>
      </c>
      <c r="MV145" s="24">
        <v>0</v>
      </c>
      <c r="MW145" s="24">
        <v>34860</v>
      </c>
      <c r="MX145" s="24">
        <v>0</v>
      </c>
      <c r="MY145" s="24">
        <v>0</v>
      </c>
      <c r="MZ145" s="24">
        <v>0</v>
      </c>
      <c r="NA145" s="24">
        <v>0</v>
      </c>
      <c r="NB145" s="24">
        <v>0</v>
      </c>
      <c r="NC145" s="24">
        <v>0</v>
      </c>
      <c r="ND145" s="24">
        <v>0</v>
      </c>
      <c r="NE145" s="24">
        <v>0</v>
      </c>
      <c r="NF145" s="24">
        <v>0</v>
      </c>
      <c r="NG145" s="24">
        <v>0</v>
      </c>
      <c r="NH145" s="24">
        <v>0</v>
      </c>
      <c r="NI145" s="24">
        <v>0</v>
      </c>
      <c r="NJ145" s="24">
        <v>0</v>
      </c>
      <c r="NK145" s="24">
        <v>0</v>
      </c>
      <c r="NL145" s="24">
        <v>0</v>
      </c>
      <c r="NM145" s="24">
        <v>0</v>
      </c>
      <c r="NN145" s="24">
        <v>0</v>
      </c>
      <c r="NO145" s="24">
        <v>0</v>
      </c>
      <c r="NP145" s="24">
        <v>0</v>
      </c>
      <c r="NQ145" s="24">
        <v>0</v>
      </c>
      <c r="NR145" s="24">
        <v>0</v>
      </c>
      <c r="NS145" s="24">
        <v>0</v>
      </c>
      <c r="NT145" s="24">
        <v>0</v>
      </c>
      <c r="NU145" s="24">
        <v>0</v>
      </c>
      <c r="NV145" s="24">
        <v>19117</v>
      </c>
      <c r="NW145" s="24">
        <v>0</v>
      </c>
      <c r="NX145" s="24">
        <v>0</v>
      </c>
      <c r="NY145" s="24">
        <v>0</v>
      </c>
      <c r="NZ145" s="24">
        <v>0</v>
      </c>
      <c r="OA145" s="24">
        <v>0</v>
      </c>
      <c r="OB145" s="24">
        <v>0</v>
      </c>
      <c r="OC145" s="24">
        <v>0</v>
      </c>
      <c r="OD145" s="24">
        <v>0</v>
      </c>
      <c r="OE145" s="24">
        <v>0</v>
      </c>
      <c r="OF145" s="24">
        <v>0</v>
      </c>
      <c r="OG145" s="24">
        <v>0</v>
      </c>
      <c r="OH145" s="24">
        <v>0</v>
      </c>
      <c r="OI145" s="24">
        <v>0</v>
      </c>
      <c r="OJ145" s="24">
        <v>0</v>
      </c>
      <c r="OK145" s="24">
        <v>0</v>
      </c>
      <c r="OL145" s="24">
        <v>0</v>
      </c>
      <c r="OM145" s="24">
        <v>0</v>
      </c>
      <c r="ON145" s="24">
        <v>0</v>
      </c>
      <c r="OO145" s="24">
        <v>0</v>
      </c>
      <c r="OP145" s="24">
        <v>0</v>
      </c>
      <c r="OQ145" s="24">
        <v>0</v>
      </c>
      <c r="OR145" s="24">
        <v>0</v>
      </c>
      <c r="OS145" s="24">
        <v>0</v>
      </c>
      <c r="OT145" s="24">
        <v>0</v>
      </c>
      <c r="OU145" s="24">
        <v>0</v>
      </c>
      <c r="OV145" s="24">
        <v>0</v>
      </c>
      <c r="OW145" s="24">
        <v>0</v>
      </c>
      <c r="OX145" s="24">
        <v>0</v>
      </c>
      <c r="OY145" s="24">
        <v>0</v>
      </c>
      <c r="OZ145" s="24">
        <v>0</v>
      </c>
      <c r="PA145" s="24">
        <v>0</v>
      </c>
      <c r="PB145" s="24">
        <v>0</v>
      </c>
      <c r="PC145" s="24">
        <v>0</v>
      </c>
      <c r="PD145" s="24">
        <v>0</v>
      </c>
      <c r="PE145" s="24">
        <v>0</v>
      </c>
      <c r="PF145" s="24">
        <v>0</v>
      </c>
      <c r="PG145" s="24">
        <v>0</v>
      </c>
      <c r="PH145" s="24">
        <v>0</v>
      </c>
      <c r="PI145" s="24">
        <v>0</v>
      </c>
      <c r="PJ145" s="24">
        <v>0</v>
      </c>
      <c r="PK145" s="24">
        <v>0</v>
      </c>
      <c r="PL145" s="24">
        <v>0</v>
      </c>
      <c r="PM145" s="24">
        <v>0</v>
      </c>
      <c r="PN145" s="24">
        <v>0</v>
      </c>
      <c r="PO145" s="24">
        <v>0</v>
      </c>
      <c r="PP145" s="24">
        <v>0</v>
      </c>
      <c r="PQ145" s="24">
        <v>0</v>
      </c>
      <c r="PR145" s="24">
        <v>0</v>
      </c>
      <c r="PS145" s="24">
        <v>0</v>
      </c>
      <c r="PT145" s="24">
        <v>0</v>
      </c>
      <c r="PU145" s="24">
        <v>0</v>
      </c>
      <c r="PV145" s="24">
        <v>0</v>
      </c>
      <c r="PW145" s="24">
        <v>0</v>
      </c>
      <c r="PX145" s="24">
        <v>0</v>
      </c>
      <c r="PY145" s="24">
        <v>0</v>
      </c>
      <c r="PZ145" s="24">
        <v>0</v>
      </c>
      <c r="QA145" s="24">
        <v>0</v>
      </c>
      <c r="QB145" s="24">
        <v>0</v>
      </c>
      <c r="QC145" s="24">
        <v>0</v>
      </c>
      <c r="QD145" s="24">
        <v>0</v>
      </c>
      <c r="QE145" s="24">
        <v>0</v>
      </c>
      <c r="QF145" s="24">
        <v>0</v>
      </c>
      <c r="QG145" s="24">
        <v>0</v>
      </c>
      <c r="QH145" s="24">
        <v>0</v>
      </c>
      <c r="QI145" s="24">
        <v>0</v>
      </c>
      <c r="QJ145" s="24">
        <v>0</v>
      </c>
      <c r="QK145" s="24">
        <v>0</v>
      </c>
      <c r="QL145" s="24">
        <v>0</v>
      </c>
      <c r="QM145" s="24">
        <v>0</v>
      </c>
      <c r="QN145" s="24">
        <v>0</v>
      </c>
      <c r="QO145" s="24">
        <v>0</v>
      </c>
      <c r="QP145" s="24">
        <v>0</v>
      </c>
      <c r="QQ145" s="24">
        <v>0</v>
      </c>
      <c r="QR145" s="24">
        <v>0</v>
      </c>
      <c r="QS145" s="24">
        <v>4775</v>
      </c>
      <c r="QT145" s="24">
        <v>0</v>
      </c>
      <c r="QU145" s="24">
        <v>0</v>
      </c>
      <c r="QV145" s="24">
        <v>0</v>
      </c>
      <c r="QW145" s="24">
        <v>0</v>
      </c>
      <c r="QX145" s="24">
        <v>0</v>
      </c>
      <c r="QY145" s="24">
        <v>0</v>
      </c>
      <c r="QZ145" s="24">
        <v>0</v>
      </c>
      <c r="RA145" s="24">
        <v>0</v>
      </c>
      <c r="RB145" s="24">
        <v>0</v>
      </c>
      <c r="RC145" s="913">
        <v>2</v>
      </c>
      <c r="RG145" s="39">
        <f t="shared" si="248"/>
        <v>769638</v>
      </c>
      <c r="RH145" s="39">
        <f t="shared" si="249"/>
        <v>48407</v>
      </c>
      <c r="RI145" s="39">
        <f t="shared" si="249"/>
        <v>0</v>
      </c>
      <c r="RJ145" s="39">
        <f t="shared" si="249"/>
        <v>0</v>
      </c>
      <c r="RK145" s="39">
        <f t="shared" si="249"/>
        <v>0</v>
      </c>
      <c r="RL145" s="39">
        <f t="shared" si="249"/>
        <v>98795</v>
      </c>
      <c r="RM145" s="39">
        <f t="shared" si="249"/>
        <v>115710</v>
      </c>
      <c r="RN145" s="39">
        <f t="shared" si="249"/>
        <v>0</v>
      </c>
      <c r="RO145" s="39">
        <f t="shared" si="249"/>
        <v>0</v>
      </c>
      <c r="RP145" s="39">
        <f t="shared" si="249"/>
        <v>12958</v>
      </c>
      <c r="RQ145" s="39">
        <f t="shared" si="249"/>
        <v>0</v>
      </c>
      <c r="RR145" s="39">
        <f t="shared" si="249"/>
        <v>0</v>
      </c>
      <c r="RS145" s="39"/>
      <c r="RT145" s="182"/>
      <c r="RU145" s="39"/>
      <c r="RV145" s="39">
        <f t="shared" si="302"/>
        <v>110269</v>
      </c>
      <c r="RW145" s="39">
        <f t="shared" si="302"/>
        <v>1045508</v>
      </c>
      <c r="RX145" s="39">
        <f t="shared" si="302"/>
        <v>159292</v>
      </c>
      <c r="RY145" s="39">
        <f t="shared" si="302"/>
        <v>4775</v>
      </c>
      <c r="RZ145" s="39"/>
      <c r="SA145" s="182"/>
      <c r="SB145" s="39"/>
      <c r="SC145" s="25">
        <f t="shared" si="303"/>
        <v>899.95480225988706</v>
      </c>
      <c r="SD145" s="39">
        <f>IFERROR(VLOOKUP(A145, 'Levy Data 15-16'!$B:$O, 3, FALSE), 0)</f>
        <v>0</v>
      </c>
      <c r="SE145" s="39">
        <f t="shared" si="265"/>
        <v>0</v>
      </c>
      <c r="SF145" s="631">
        <f>IFERROR(VLOOKUP(A145, 'Levy Data 15-16'!$B:$O, 14, FALSE), 0)*1000</f>
        <v>0</v>
      </c>
      <c r="SG145" s="39">
        <f t="shared" si="266"/>
        <v>0</v>
      </c>
      <c r="SH145" s="39">
        <f t="shared" si="267"/>
        <v>0</v>
      </c>
      <c r="SI145" s="39">
        <f t="shared" si="268"/>
        <v>159292</v>
      </c>
      <c r="SM145" s="39">
        <f t="shared" si="269"/>
        <v>1045508</v>
      </c>
      <c r="SN145" s="39">
        <f t="shared" si="270"/>
        <v>0</v>
      </c>
      <c r="SO145" s="39">
        <f t="shared" si="304"/>
        <v>1045508</v>
      </c>
      <c r="SP145" s="50">
        <f t="shared" si="250"/>
        <v>1</v>
      </c>
      <c r="ST145" s="124">
        <f>IFERROR(VLOOKUP(A145,'Grade Enroll 15-16'!B:AC,27,FALSE),"")</f>
        <v>177</v>
      </c>
      <c r="SU145" s="124">
        <f t="shared" si="264"/>
        <v>96.376963350785346</v>
      </c>
      <c r="SV145" s="131">
        <f>IFERROR(VLOOKUP($A145, 'Title I Enroll 16-17'!S:V, 4, FALSE), 0)</f>
        <v>0.54450261780104714</v>
      </c>
      <c r="SW145" s="729">
        <f>IFERROR(VLOOKUP(A145, 'ELL Enroll 15-16'!$N:$S, 6, FALSE), 0)</f>
        <v>5</v>
      </c>
      <c r="SX145" s="131">
        <f t="shared" si="251"/>
        <v>2.8248587570621469E-2</v>
      </c>
      <c r="SY145" s="124">
        <f>IFERROR(VLOOKUP(A145, 'SPED enroll 2015-16'!$M:$O, 3, FALSE), 0)</f>
        <v>28</v>
      </c>
      <c r="SZ145" s="131">
        <f t="shared" si="252"/>
        <v>0.15819209039548024</v>
      </c>
      <c r="TA145" s="142">
        <f t="shared" si="253"/>
        <v>19.599999999999998</v>
      </c>
      <c r="TB145" s="142">
        <f t="shared" si="253"/>
        <v>5.6000000000000005</v>
      </c>
      <c r="TC145" s="142">
        <f t="shared" si="253"/>
        <v>1.9600000000000002</v>
      </c>
      <c r="TD145" s="142">
        <f t="shared" si="253"/>
        <v>0.84</v>
      </c>
      <c r="TE145" s="124">
        <f>VLOOKUP($A145, 'Grade Enroll 15-16'!$B:$AB, 20, FALSE)</f>
        <v>0</v>
      </c>
      <c r="TF145" s="124">
        <f>VLOOKUP($A145, 'Grade Enroll 15-16'!$B:$AB, 21, FALSE)</f>
        <v>28</v>
      </c>
      <c r="TG145" s="124">
        <f>VLOOKUP($A145, 'Grade Enroll 15-16'!$B:$AB, 22, FALSE)</f>
        <v>99</v>
      </c>
      <c r="TH145" s="124">
        <f>VLOOKUP($A145, 'Grade Enroll 15-16'!$B:$AB, 23, FALSE)</f>
        <v>78</v>
      </c>
      <c r="TI145" s="124">
        <f>VLOOKUP($A145, 'Grade Enroll 15-16'!$B:$AB, 24, FALSE)</f>
        <v>0</v>
      </c>
      <c r="TJ145" s="124">
        <f>VLOOKUP($A145, 'Grade Enroll 15-16'!$B:$AB, 25, FALSE)</f>
        <v>0</v>
      </c>
      <c r="TK145" s="124">
        <f>VLOOKUP($A145, 'Grade Enroll 15-16'!$B:$AB, 26, FALSE)</f>
        <v>104</v>
      </c>
      <c r="TL145" s="131">
        <f>SUMIFS('Student Achievement 15-16'!N:N, 'Student Achievement 15-16'!B:B, 'Idaho Data'!A145, 'Student Achievement 15-16'!D:D, "math")/100</f>
        <v>0.31900000000000001</v>
      </c>
      <c r="TM145" s="134">
        <f t="shared" si="305"/>
        <v>56.463000000000001</v>
      </c>
      <c r="TN145" s="131">
        <f>SUMIFS('Student Achievement 15-16'!N:N, 'Student Achievement 15-16'!B:B, 'Idaho Data'!A145, 'Student Achievement 15-16'!D:D, "ela")/100</f>
        <v>0.23100000000000001</v>
      </c>
      <c r="TO145" s="134">
        <f t="shared" si="254"/>
        <v>40.887</v>
      </c>
      <c r="TP145" s="688">
        <f>IFERROR(VLOOKUP(A145, 'G&amp;T 15-16'!B:G, 6, FALSE), 0)*1</f>
        <v>0</v>
      </c>
      <c r="TQ145" s="168">
        <f t="shared" si="255"/>
        <v>10.62</v>
      </c>
      <c r="TU145" s="168">
        <f t="shared" si="256"/>
        <v>40.887</v>
      </c>
      <c r="TV145" s="168">
        <f t="shared" si="257"/>
        <v>56.463000000000001</v>
      </c>
      <c r="TW145" s="205">
        <f t="shared" si="258"/>
        <v>56.463000000000001</v>
      </c>
      <c r="TX145" s="144"/>
      <c r="TY145" s="129"/>
      <c r="TZ145" s="127">
        <f t="shared" si="259"/>
        <v>0</v>
      </c>
      <c r="UA145" s="127">
        <f t="shared" si="260"/>
        <v>10.62</v>
      </c>
      <c r="UB145" s="205">
        <f t="shared" si="261"/>
        <v>10.62</v>
      </c>
      <c r="UE145" s="853" t="str">
        <f>IF(ST145&lt;='1. Simulator Input'!$E$104, "yes", "")</f>
        <v>yes</v>
      </c>
      <c r="UI145" s="199">
        <f t="shared" si="306"/>
        <v>0</v>
      </c>
      <c r="UJ145" s="200">
        <f>IF('Idaho Data'!SI145&gt;=0, ((1-'1. Simulator Input'!$E$39)*'Idaho Data'!SI145), 0)</f>
        <v>0</v>
      </c>
      <c r="UK145" s="200">
        <f t="shared" si="262"/>
        <v>1045508</v>
      </c>
      <c r="UL145" s="39"/>
      <c r="UM145" s="182"/>
      <c r="UN145" s="39"/>
      <c r="UO145" s="39">
        <f>IF(AND('1. Simulator Input'!$E$96="yes", '1. Simulator Input'!$E$98="yes", '1. Simulator Input'!$E$100="hold harmless"), 'Idaho Data'!WN145, IF(AND('1. Simulator Input'!$E$96="yes", '1. Simulator Input'!$E$98="no", '1. Simulator Input'!$E$100="hold harmless"), 'Idaho Data'!WM145, IF(AND('1. Simulator Input'!$E$96="yes", '1. Simulator Input'!$E$98="yes", '1. Simulator Input'!$E$100="small district grant"), WL145,IF(AND('1. Simulator Input'!$E$96="yes", '1. Simulator Input'!$E$98="no", '1. Simulator Input'!$E$100="small district grant"), WK145, ""))))</f>
        <v>0</v>
      </c>
      <c r="UP145" s="200">
        <f>'1. Simulator Input'!$D$56*('Idaho Data'!ST145)</f>
        <v>978102</v>
      </c>
      <c r="UQ145" s="204">
        <f>'1. Simulator Input'!$D$65*'1. Simulator Input'!$D$56*'Idaho Data'!SU145</f>
        <v>0</v>
      </c>
      <c r="UR145" s="204">
        <f>'1. Simulator Input'!$D$66*'1. Simulator Input'!$D$56*'Idaho Data'!SW145</f>
        <v>0</v>
      </c>
      <c r="US145" s="200">
        <f>'1. Simulator Input'!$D$67*'1. Simulator Input'!$D$56*'Idaho Data'!TA145</f>
        <v>0</v>
      </c>
      <c r="UT145" s="200">
        <f>'1. Simulator Input'!$D$68*'1. Simulator Input'!$D$56*'Idaho Data'!TB145</f>
        <v>0</v>
      </c>
      <c r="UU145" s="200">
        <f>'1. Simulator Input'!$D$69*'1. Simulator Input'!$D$56*'Idaho Data'!TC145</f>
        <v>0</v>
      </c>
      <c r="UV145" s="200">
        <f>'1. Simulator Input'!$D$70*'1. Simulator Input'!$D$56*TD145</f>
        <v>0</v>
      </c>
      <c r="UW145" s="200">
        <f>'1. Simulator Input'!$D$80*'1. Simulator Input'!$D$56*TW145</f>
        <v>0</v>
      </c>
      <c r="UX145" s="200">
        <f>'1. Simulator Input'!$D$79*'1. Simulator Input'!$D$56*UB145</f>
        <v>0</v>
      </c>
      <c r="UY145" s="200">
        <f>'1. Simulator Input'!$D$87*'1. Simulator Input'!$D$56*TF145</f>
        <v>77364</v>
      </c>
      <c r="UZ145" s="200">
        <f>'1. Simulator Input'!$D$73*'1. Simulator Input'!$D$56*'Idaho Data'!TG145</f>
        <v>0</v>
      </c>
      <c r="VA145" s="200">
        <f>'1. Simulator Input'!$D$56*'1. Simulator Input'!$D$74*'Idaho Data'!TH145</f>
        <v>0</v>
      </c>
      <c r="VB145" s="200">
        <f>'1. Simulator Input'!$D$56*'1. Simulator Input'!$D$75*'Idaho Data'!TI140</f>
        <v>0</v>
      </c>
      <c r="VC145" s="200">
        <f>'1. Simulator Input'!$D$76*'1. Simulator Input'!$D$56*'Idaho Data'!TJ145</f>
        <v>0</v>
      </c>
      <c r="VD145" s="200">
        <f t="shared" si="307"/>
        <v>1055466</v>
      </c>
      <c r="VE145" s="200"/>
      <c r="VF145" s="182"/>
      <c r="VG145" s="200"/>
      <c r="VH145" s="200">
        <f t="shared" si="308"/>
        <v>0</v>
      </c>
      <c r="VI145" s="200">
        <f t="shared" si="309"/>
        <v>0</v>
      </c>
      <c r="VJ145" s="200">
        <f t="shared" si="271"/>
        <v>1055466</v>
      </c>
      <c r="VK145" s="200">
        <f t="shared" si="272"/>
        <v>1055466</v>
      </c>
      <c r="VL145" s="200"/>
      <c r="VM145" s="182"/>
      <c r="VN145" s="200"/>
      <c r="VO145" s="200">
        <f t="shared" si="310"/>
        <v>110269</v>
      </c>
      <c r="VP145" s="200">
        <f t="shared" si="311"/>
        <v>1045508</v>
      </c>
      <c r="VQ145" s="200">
        <f t="shared" si="312"/>
        <v>159292</v>
      </c>
      <c r="VR145" s="200">
        <f t="shared" si="313"/>
        <v>110269</v>
      </c>
      <c r="VS145" s="200">
        <f t="shared" si="273"/>
        <v>1055466</v>
      </c>
      <c r="VT145" s="200">
        <f t="shared" si="274"/>
        <v>159292</v>
      </c>
      <c r="VU145" s="200">
        <f t="shared" si="275"/>
        <v>0</v>
      </c>
      <c r="VV145" s="200"/>
      <c r="VW145" s="182"/>
      <c r="VX145" s="200"/>
      <c r="VZ145" s="199">
        <f t="shared" si="314"/>
        <v>9958</v>
      </c>
      <c r="WA145" s="199">
        <f t="shared" si="315"/>
        <v>56.259887005649716</v>
      </c>
      <c r="WB145" s="131">
        <f t="shared" si="316"/>
        <v>9.5245564835467547E-3</v>
      </c>
      <c r="WC145" s="131"/>
      <c r="WD145" s="461"/>
      <c r="WE145" s="893"/>
      <c r="WF145" s="893">
        <f t="shared" si="317"/>
        <v>7429.7683615819205</v>
      </c>
      <c r="WG145" s="893">
        <f t="shared" si="318"/>
        <v>7486.0282485875705</v>
      </c>
      <c r="WH145" s="893"/>
      <c r="WI145" s="893">
        <f t="shared" si="319"/>
        <v>1045508</v>
      </c>
      <c r="WJ145" s="893">
        <f t="shared" si="276"/>
        <v>1055466</v>
      </c>
      <c r="WK145" s="39">
        <f t="shared" si="277"/>
        <v>0</v>
      </c>
      <c r="WL145" s="39">
        <f t="shared" si="278"/>
        <v>0</v>
      </c>
      <c r="WM145" s="200">
        <f t="shared" si="279"/>
        <v>0</v>
      </c>
      <c r="WN145" s="39">
        <f t="shared" si="280"/>
        <v>0</v>
      </c>
      <c r="WO145" s="39"/>
      <c r="WP145" s="182"/>
      <c r="WQ145" s="39"/>
      <c r="WR145" s="305"/>
      <c r="WT145" s="200">
        <f t="shared" si="281"/>
        <v>5906.8248587570624</v>
      </c>
      <c r="WU145" s="131">
        <f t="shared" si="320"/>
        <v>0.3</v>
      </c>
      <c r="WW145" s="199">
        <f t="shared" si="282"/>
        <v>110269</v>
      </c>
      <c r="WX145" s="199">
        <f t="shared" si="283"/>
        <v>1055466</v>
      </c>
      <c r="WY145" s="199">
        <f t="shared" si="284"/>
        <v>0</v>
      </c>
      <c r="WZ145" s="199">
        <f t="shared" si="321"/>
        <v>1055466</v>
      </c>
      <c r="XA145" s="199">
        <f t="shared" si="285"/>
        <v>0</v>
      </c>
      <c r="XB145" s="199">
        <f t="shared" si="286"/>
        <v>159292</v>
      </c>
      <c r="XC145" s="199">
        <f t="shared" si="287"/>
        <v>159292</v>
      </c>
      <c r="XD145" s="199" t="str">
        <f t="shared" si="288"/>
        <v/>
      </c>
      <c r="XE145" s="199"/>
      <c r="XF145" s="199"/>
      <c r="XG145" s="199"/>
      <c r="XH145" s="199"/>
      <c r="XI145" s="199"/>
      <c r="XJ145" s="199">
        <f t="shared" si="322"/>
        <v>1055466</v>
      </c>
      <c r="XP145" s="199">
        <f t="shared" si="289"/>
        <v>1055466</v>
      </c>
      <c r="XQ145" s="199">
        <f t="shared" si="290"/>
        <v>5963.0847457627115</v>
      </c>
      <c r="XR145" s="199">
        <f t="shared" si="291"/>
        <v>1055466</v>
      </c>
      <c r="XS145" s="199">
        <f t="shared" si="292"/>
        <v>1055466</v>
      </c>
      <c r="XT145" s="199">
        <f t="shared" si="293"/>
        <v>5963.0847457627115</v>
      </c>
      <c r="XU145" s="199">
        <f t="shared" si="294"/>
        <v>1045508</v>
      </c>
      <c r="XV145" s="199">
        <f t="shared" si="295"/>
        <v>5906.8248587570624</v>
      </c>
      <c r="XW145" s="199">
        <f t="shared" si="296"/>
        <v>1045508</v>
      </c>
      <c r="XX145" s="199">
        <f t="shared" si="297"/>
        <v>5906.8248587570624</v>
      </c>
      <c r="XY145" s="199">
        <f t="shared" si="323"/>
        <v>9958</v>
      </c>
      <c r="XZ145" s="199">
        <f t="shared" si="324"/>
        <v>56.259887005649034</v>
      </c>
      <c r="YA145" s="131">
        <f t="shared" si="263"/>
        <v>9.5245564835466385E-3</v>
      </c>
      <c r="YB145" s="199"/>
      <c r="YC145" s="221"/>
      <c r="YD145" s="199"/>
      <c r="YE145" s="199">
        <f t="shared" si="298"/>
        <v>110269</v>
      </c>
      <c r="YF145" s="200">
        <f t="shared" si="299"/>
        <v>0</v>
      </c>
      <c r="YG145" s="199">
        <f t="shared" si="300"/>
        <v>159292</v>
      </c>
      <c r="YH145" s="199">
        <f t="shared" si="301"/>
        <v>4775</v>
      </c>
    </row>
    <row r="146" spans="1:658">
      <c r="A146" s="3">
        <v>475</v>
      </c>
      <c r="B146" s="2" t="s">
        <v>1489</v>
      </c>
      <c r="C146" s="24">
        <v>0</v>
      </c>
      <c r="D146" s="24">
        <v>0</v>
      </c>
      <c r="E146" s="24">
        <v>0</v>
      </c>
      <c r="F146" s="24">
        <v>0</v>
      </c>
      <c r="G146" s="24">
        <v>0</v>
      </c>
      <c r="H146" s="24">
        <v>0</v>
      </c>
      <c r="I146" s="24">
        <v>0</v>
      </c>
      <c r="J146" s="24">
        <v>0</v>
      </c>
      <c r="K146" s="24">
        <v>0</v>
      </c>
      <c r="L146" s="24">
        <v>0</v>
      </c>
      <c r="M146" s="24">
        <v>0</v>
      </c>
      <c r="N146" s="24">
        <v>0</v>
      </c>
      <c r="O146" s="24">
        <v>0</v>
      </c>
      <c r="P146" s="24">
        <v>0</v>
      </c>
      <c r="Q146" s="24">
        <v>0</v>
      </c>
      <c r="R146" s="24">
        <v>0</v>
      </c>
      <c r="S146" s="24">
        <v>0</v>
      </c>
      <c r="T146" s="24">
        <v>0</v>
      </c>
      <c r="U146" s="24">
        <v>0</v>
      </c>
      <c r="V146" s="24">
        <v>0</v>
      </c>
      <c r="W146" s="24">
        <v>0</v>
      </c>
      <c r="X146" s="24">
        <v>0</v>
      </c>
      <c r="Y146" s="24">
        <v>0</v>
      </c>
      <c r="Z146" s="24">
        <v>0</v>
      </c>
      <c r="AA146" s="24">
        <v>0</v>
      </c>
      <c r="AB146" s="24">
        <v>0</v>
      </c>
      <c r="AC146" s="24">
        <v>0</v>
      </c>
      <c r="AD146" s="24">
        <v>112240</v>
      </c>
      <c r="AE146" s="24">
        <v>0</v>
      </c>
      <c r="AF146" s="24">
        <v>0</v>
      </c>
      <c r="AG146" s="24">
        <v>0</v>
      </c>
      <c r="AH146" s="24">
        <v>0</v>
      </c>
      <c r="AI146" s="24">
        <v>0</v>
      </c>
      <c r="AJ146" s="24">
        <v>0</v>
      </c>
      <c r="AK146" s="24">
        <v>0</v>
      </c>
      <c r="AL146" s="24">
        <v>0</v>
      </c>
      <c r="AM146" s="24">
        <v>0</v>
      </c>
      <c r="AN146" s="24">
        <v>0</v>
      </c>
      <c r="AO146" s="24">
        <v>0</v>
      </c>
      <c r="AP146" s="24">
        <v>0</v>
      </c>
      <c r="AQ146" s="24">
        <v>0</v>
      </c>
      <c r="AR146" s="24">
        <v>0</v>
      </c>
      <c r="AS146" s="24">
        <v>0</v>
      </c>
      <c r="AT146" s="24">
        <v>0</v>
      </c>
      <c r="AU146" s="24">
        <v>0</v>
      </c>
      <c r="AV146" s="24">
        <v>0</v>
      </c>
      <c r="AW146" s="24">
        <v>0</v>
      </c>
      <c r="AX146" s="24">
        <v>0</v>
      </c>
      <c r="AY146" s="24">
        <v>0</v>
      </c>
      <c r="AZ146" s="24">
        <v>0</v>
      </c>
      <c r="BA146" s="24">
        <v>0</v>
      </c>
      <c r="BB146" s="24">
        <v>0</v>
      </c>
      <c r="BC146" s="24">
        <v>0</v>
      </c>
      <c r="BD146" s="24">
        <v>0</v>
      </c>
      <c r="BE146" s="24">
        <v>0</v>
      </c>
      <c r="BF146" s="24">
        <v>0</v>
      </c>
      <c r="BG146" s="24">
        <v>0</v>
      </c>
      <c r="BH146" s="24">
        <v>0</v>
      </c>
      <c r="BI146" s="24">
        <v>0</v>
      </c>
      <c r="BJ146" s="24">
        <v>0</v>
      </c>
      <c r="BK146" s="24">
        <v>0</v>
      </c>
      <c r="BL146" s="24">
        <v>0</v>
      </c>
      <c r="BM146" s="24">
        <v>0</v>
      </c>
      <c r="BN146" s="24">
        <v>0</v>
      </c>
      <c r="BO146" s="24">
        <v>0</v>
      </c>
      <c r="BP146" s="24">
        <v>0</v>
      </c>
      <c r="BQ146" s="24">
        <v>0</v>
      </c>
      <c r="BR146" s="24">
        <v>0</v>
      </c>
      <c r="BS146" s="24">
        <v>0</v>
      </c>
      <c r="BT146" s="24">
        <v>0</v>
      </c>
      <c r="BU146" s="24">
        <v>0</v>
      </c>
      <c r="BV146" s="24">
        <v>0</v>
      </c>
      <c r="BW146" s="24">
        <v>0</v>
      </c>
      <c r="BX146" s="24">
        <v>0</v>
      </c>
      <c r="BY146" s="24">
        <v>0</v>
      </c>
      <c r="BZ146" s="24">
        <v>0</v>
      </c>
      <c r="CA146" s="24">
        <v>0</v>
      </c>
      <c r="CB146" s="24">
        <v>0</v>
      </c>
      <c r="CC146" s="24">
        <v>0</v>
      </c>
      <c r="CD146" s="24">
        <v>0</v>
      </c>
      <c r="CE146" s="24">
        <v>0</v>
      </c>
      <c r="CF146" s="24">
        <v>0</v>
      </c>
      <c r="CG146" s="24">
        <v>0</v>
      </c>
      <c r="CH146" s="24">
        <v>0</v>
      </c>
      <c r="CI146" s="24">
        <v>5198</v>
      </c>
      <c r="CJ146" s="24">
        <v>0</v>
      </c>
      <c r="CK146" s="24">
        <v>0</v>
      </c>
      <c r="CL146" s="24">
        <v>0</v>
      </c>
      <c r="CM146" s="24">
        <v>0</v>
      </c>
      <c r="CN146" s="24">
        <v>0</v>
      </c>
      <c r="CO146" s="24">
        <v>0</v>
      </c>
      <c r="CP146" s="24">
        <v>0</v>
      </c>
      <c r="CQ146" s="24">
        <v>9100</v>
      </c>
      <c r="CR146" s="24">
        <v>0</v>
      </c>
      <c r="CS146" s="24">
        <v>60050</v>
      </c>
      <c r="CT146" s="24">
        <v>0</v>
      </c>
      <c r="CU146" s="24">
        <v>0</v>
      </c>
      <c r="CV146" s="24">
        <v>0</v>
      </c>
      <c r="CW146" s="24">
        <v>0</v>
      </c>
      <c r="CX146" s="24">
        <v>0</v>
      </c>
      <c r="CY146" s="24">
        <v>0</v>
      </c>
      <c r="CZ146" s="24">
        <v>0</v>
      </c>
      <c r="DA146" s="24">
        <v>0</v>
      </c>
      <c r="DB146" s="24">
        <v>0</v>
      </c>
      <c r="DC146" s="24">
        <v>0</v>
      </c>
      <c r="DD146" s="24">
        <v>203150</v>
      </c>
      <c r="DE146" s="24">
        <v>0</v>
      </c>
      <c r="DF146" s="24">
        <v>0</v>
      </c>
      <c r="DG146" s="24">
        <v>0</v>
      </c>
      <c r="DH146" s="24">
        <v>0</v>
      </c>
      <c r="DI146" s="24">
        <v>0</v>
      </c>
      <c r="DJ146" s="24">
        <v>0</v>
      </c>
      <c r="DK146" s="24">
        <v>0</v>
      </c>
      <c r="DL146" s="24">
        <v>0</v>
      </c>
      <c r="DM146" s="24">
        <v>0</v>
      </c>
      <c r="DN146" s="24">
        <v>0</v>
      </c>
      <c r="DO146" s="24">
        <v>0</v>
      </c>
      <c r="DP146" s="24">
        <v>0</v>
      </c>
      <c r="DQ146" s="24">
        <v>0</v>
      </c>
      <c r="DR146" s="24">
        <v>0</v>
      </c>
      <c r="DS146" s="24">
        <v>0</v>
      </c>
      <c r="DT146" s="24">
        <v>0</v>
      </c>
      <c r="DU146" s="24">
        <v>21073</v>
      </c>
      <c r="DV146" s="24">
        <v>0</v>
      </c>
      <c r="DW146" s="24">
        <v>0</v>
      </c>
      <c r="DX146" s="24">
        <v>0</v>
      </c>
      <c r="DY146" s="24">
        <v>0</v>
      </c>
      <c r="DZ146" s="24">
        <v>0</v>
      </c>
      <c r="EA146" s="24">
        <v>0</v>
      </c>
      <c r="EB146" s="24">
        <v>0</v>
      </c>
      <c r="EC146" s="24">
        <v>0</v>
      </c>
      <c r="ED146" s="24">
        <v>0</v>
      </c>
      <c r="EE146" s="24">
        <v>0</v>
      </c>
      <c r="EF146" s="24">
        <v>0</v>
      </c>
      <c r="EG146" s="24">
        <v>112767</v>
      </c>
      <c r="EH146" s="24">
        <v>413000</v>
      </c>
      <c r="EI146" s="24">
        <v>0</v>
      </c>
      <c r="EJ146" s="24">
        <v>0</v>
      </c>
      <c r="EK146" s="24">
        <v>0</v>
      </c>
      <c r="EL146" s="24">
        <v>0</v>
      </c>
      <c r="EM146" s="24">
        <v>0</v>
      </c>
      <c r="EN146" s="24">
        <v>0</v>
      </c>
      <c r="EO146" s="24">
        <v>0</v>
      </c>
      <c r="EP146" s="24">
        <v>0</v>
      </c>
      <c r="EQ146" s="24">
        <v>0</v>
      </c>
      <c r="ER146" s="24">
        <v>0</v>
      </c>
      <c r="ES146" s="24">
        <v>0</v>
      </c>
      <c r="ET146" s="24">
        <v>0</v>
      </c>
      <c r="EU146" s="24">
        <v>0</v>
      </c>
      <c r="EV146" s="24">
        <v>0</v>
      </c>
      <c r="EW146" s="24">
        <v>0</v>
      </c>
      <c r="EX146" s="24">
        <v>0</v>
      </c>
      <c r="EY146" s="24">
        <v>0</v>
      </c>
      <c r="EZ146" s="24">
        <v>0</v>
      </c>
      <c r="FA146" s="24">
        <v>0</v>
      </c>
      <c r="FB146" s="24">
        <v>0</v>
      </c>
      <c r="FC146" s="24">
        <v>0</v>
      </c>
      <c r="FD146" s="24">
        <v>0</v>
      </c>
      <c r="FE146" s="24">
        <v>0</v>
      </c>
      <c r="FF146" s="24">
        <v>0</v>
      </c>
      <c r="FG146" s="24">
        <v>0</v>
      </c>
      <c r="FH146" s="24">
        <v>0</v>
      </c>
      <c r="FI146" s="24">
        <v>0</v>
      </c>
      <c r="FJ146" s="24">
        <v>0</v>
      </c>
      <c r="FK146" s="24">
        <v>0</v>
      </c>
      <c r="FL146" s="24">
        <v>0</v>
      </c>
      <c r="FM146" s="24">
        <v>0</v>
      </c>
      <c r="FN146" s="24">
        <v>0</v>
      </c>
      <c r="FO146" s="24">
        <v>0</v>
      </c>
      <c r="FP146" s="24">
        <v>0</v>
      </c>
      <c r="FQ146" s="24">
        <v>0</v>
      </c>
      <c r="FR146" s="24">
        <v>0</v>
      </c>
      <c r="FS146" s="24">
        <v>0</v>
      </c>
      <c r="FT146" s="24">
        <v>0</v>
      </c>
      <c r="FU146" s="24">
        <v>0</v>
      </c>
      <c r="FV146" s="24">
        <v>0</v>
      </c>
      <c r="FW146" s="24">
        <v>0</v>
      </c>
      <c r="FX146" s="24">
        <v>0</v>
      </c>
      <c r="FY146" s="24">
        <v>0</v>
      </c>
      <c r="FZ146" s="24">
        <v>0</v>
      </c>
      <c r="GA146" s="24">
        <v>0</v>
      </c>
      <c r="GB146" s="24">
        <v>0</v>
      </c>
      <c r="GC146" s="24">
        <v>0</v>
      </c>
      <c r="GD146" s="24">
        <v>0</v>
      </c>
      <c r="GE146" s="24">
        <v>0</v>
      </c>
      <c r="GF146" s="24">
        <v>0</v>
      </c>
      <c r="GG146" s="24">
        <v>0</v>
      </c>
      <c r="GH146" s="24">
        <v>0</v>
      </c>
      <c r="GI146" s="24">
        <v>0</v>
      </c>
      <c r="GJ146" s="24">
        <v>0</v>
      </c>
      <c r="GK146" s="24">
        <v>0</v>
      </c>
      <c r="GL146" s="24">
        <v>0</v>
      </c>
      <c r="GM146" s="24">
        <v>0</v>
      </c>
      <c r="GN146" s="24">
        <v>0</v>
      </c>
      <c r="GO146" s="24">
        <v>0</v>
      </c>
      <c r="GP146" s="24">
        <v>0</v>
      </c>
      <c r="GQ146" s="24">
        <v>0</v>
      </c>
      <c r="GR146" s="24">
        <v>0</v>
      </c>
      <c r="GS146" s="24">
        <v>0</v>
      </c>
      <c r="GT146" s="24">
        <v>0</v>
      </c>
      <c r="GU146" s="24">
        <v>0</v>
      </c>
      <c r="GV146" s="24">
        <v>0</v>
      </c>
      <c r="GW146" s="24">
        <v>0</v>
      </c>
      <c r="GX146" s="24">
        <v>0</v>
      </c>
      <c r="GY146" s="24">
        <v>0</v>
      </c>
      <c r="GZ146" s="24">
        <v>0</v>
      </c>
      <c r="HA146" s="24">
        <v>0</v>
      </c>
      <c r="HB146" s="24">
        <v>0</v>
      </c>
      <c r="HC146" s="24">
        <v>0</v>
      </c>
      <c r="HD146" s="24">
        <v>3781753</v>
      </c>
      <c r="HE146" s="24">
        <v>0</v>
      </c>
      <c r="HF146" s="24">
        <v>0</v>
      </c>
      <c r="HG146" s="24">
        <v>0</v>
      </c>
      <c r="HH146" s="24">
        <v>0</v>
      </c>
      <c r="HI146" s="24">
        <v>103944</v>
      </c>
      <c r="HJ146" s="24">
        <v>0</v>
      </c>
      <c r="HK146" s="24">
        <v>0</v>
      </c>
      <c r="HL146" s="24">
        <v>0</v>
      </c>
      <c r="HM146" s="24">
        <v>0</v>
      </c>
      <c r="HN146" s="24">
        <v>0</v>
      </c>
      <c r="HO146" s="24">
        <v>496852</v>
      </c>
      <c r="HP146" s="24">
        <v>391026</v>
      </c>
      <c r="HQ146" s="24">
        <v>0</v>
      </c>
      <c r="HR146" s="24">
        <v>0</v>
      </c>
      <c r="HS146" s="24">
        <v>0</v>
      </c>
      <c r="HT146" s="24">
        <v>0</v>
      </c>
      <c r="HU146" s="24">
        <v>0</v>
      </c>
      <c r="HV146" s="24">
        <v>0</v>
      </c>
      <c r="HW146" s="24">
        <v>0</v>
      </c>
      <c r="HX146" s="24">
        <v>0</v>
      </c>
      <c r="HY146" s="24">
        <v>0</v>
      </c>
      <c r="HZ146" s="24">
        <v>0</v>
      </c>
      <c r="IA146" s="24">
        <v>60490</v>
      </c>
      <c r="IB146" s="24">
        <v>12900</v>
      </c>
      <c r="IC146" s="24">
        <v>0</v>
      </c>
      <c r="ID146" s="24">
        <v>0</v>
      </c>
      <c r="IE146" s="24">
        <v>0</v>
      </c>
      <c r="IF146" s="24">
        <v>0</v>
      </c>
      <c r="IG146" s="24">
        <v>0</v>
      </c>
      <c r="IH146" s="24">
        <v>0</v>
      </c>
      <c r="II146" s="24">
        <v>0</v>
      </c>
      <c r="IJ146" s="24">
        <v>0</v>
      </c>
      <c r="IK146" s="24">
        <v>0</v>
      </c>
      <c r="IL146" s="24">
        <v>0</v>
      </c>
      <c r="IM146" s="24">
        <v>0</v>
      </c>
      <c r="IN146" s="24">
        <v>0</v>
      </c>
      <c r="IO146" s="24">
        <v>0</v>
      </c>
      <c r="IP146" s="24">
        <v>0</v>
      </c>
      <c r="IQ146" s="24">
        <v>0</v>
      </c>
      <c r="IR146" s="24">
        <v>0</v>
      </c>
      <c r="IS146" s="24">
        <v>0</v>
      </c>
      <c r="IT146" s="24">
        <v>0</v>
      </c>
      <c r="IU146" s="24">
        <v>0</v>
      </c>
      <c r="IV146" s="24">
        <v>0</v>
      </c>
      <c r="IW146" s="24">
        <v>50700</v>
      </c>
      <c r="IX146" s="24">
        <v>0</v>
      </c>
      <c r="IY146" s="24">
        <v>0</v>
      </c>
      <c r="IZ146" s="24">
        <v>0</v>
      </c>
      <c r="JA146" s="24">
        <v>0</v>
      </c>
      <c r="JB146" s="24">
        <v>0</v>
      </c>
      <c r="JC146" s="24">
        <v>0</v>
      </c>
      <c r="JD146" s="24">
        <v>0</v>
      </c>
      <c r="JE146" s="24">
        <v>70</v>
      </c>
      <c r="JF146" s="24">
        <v>0</v>
      </c>
      <c r="JG146" s="24">
        <v>0</v>
      </c>
      <c r="JH146" s="24">
        <v>0</v>
      </c>
      <c r="JI146" s="24">
        <v>0</v>
      </c>
      <c r="JJ146" s="24">
        <v>0</v>
      </c>
      <c r="JK146" s="24">
        <v>0</v>
      </c>
      <c r="JL146" s="24">
        <v>0</v>
      </c>
      <c r="JM146" s="24">
        <v>0</v>
      </c>
      <c r="JN146" s="24">
        <v>0</v>
      </c>
      <c r="JO146" s="24">
        <v>0</v>
      </c>
      <c r="JP146" s="24">
        <v>0</v>
      </c>
      <c r="JQ146" s="24">
        <v>0</v>
      </c>
      <c r="JR146" s="24">
        <v>0</v>
      </c>
      <c r="JS146" s="24">
        <v>0</v>
      </c>
      <c r="JT146" s="24">
        <v>0</v>
      </c>
      <c r="JU146" s="24">
        <v>0</v>
      </c>
      <c r="JV146" s="24">
        <v>0</v>
      </c>
      <c r="JW146" s="24">
        <v>0</v>
      </c>
      <c r="JX146" s="24">
        <v>0</v>
      </c>
      <c r="JY146" s="24">
        <v>0</v>
      </c>
      <c r="JZ146" s="24">
        <v>0</v>
      </c>
      <c r="KA146" s="24">
        <v>0</v>
      </c>
      <c r="KB146" s="24">
        <v>0</v>
      </c>
      <c r="KC146" s="24">
        <v>0</v>
      </c>
      <c r="KD146" s="24">
        <v>0</v>
      </c>
      <c r="KE146" s="24">
        <v>0</v>
      </c>
      <c r="KF146" s="24">
        <v>0</v>
      </c>
      <c r="KG146" s="24">
        <v>0</v>
      </c>
      <c r="KH146" s="24">
        <v>0</v>
      </c>
      <c r="KI146" s="24">
        <v>0</v>
      </c>
      <c r="KJ146" s="24">
        <v>0</v>
      </c>
      <c r="KK146" s="24">
        <v>0</v>
      </c>
      <c r="KL146" s="24">
        <v>0</v>
      </c>
      <c r="KM146" s="24">
        <v>0</v>
      </c>
      <c r="KN146" s="24">
        <v>0</v>
      </c>
      <c r="KO146" s="24">
        <v>0</v>
      </c>
      <c r="KP146" s="24">
        <v>0</v>
      </c>
      <c r="KQ146" s="24">
        <v>0</v>
      </c>
      <c r="KR146" s="24">
        <v>0</v>
      </c>
      <c r="KS146" s="24">
        <v>0</v>
      </c>
      <c r="KT146" s="24">
        <v>0</v>
      </c>
      <c r="KU146" s="24">
        <v>0</v>
      </c>
      <c r="KV146" s="24">
        <v>0</v>
      </c>
      <c r="KW146" s="24">
        <v>0</v>
      </c>
      <c r="KX146" s="24">
        <v>0</v>
      </c>
      <c r="KY146" s="24">
        <v>0</v>
      </c>
      <c r="KZ146" s="24">
        <v>0</v>
      </c>
      <c r="LA146" s="24">
        <v>0</v>
      </c>
      <c r="LB146" s="24">
        <v>0</v>
      </c>
      <c r="LC146" s="24">
        <v>0</v>
      </c>
      <c r="LD146" s="24">
        <v>0</v>
      </c>
      <c r="LE146" s="24">
        <v>0</v>
      </c>
      <c r="LF146" s="24">
        <v>0</v>
      </c>
      <c r="LG146" s="24">
        <v>0</v>
      </c>
      <c r="LH146" s="24">
        <v>0</v>
      </c>
      <c r="LI146" s="24">
        <v>0</v>
      </c>
      <c r="LJ146" s="24">
        <v>0</v>
      </c>
      <c r="LK146" s="24">
        <v>0</v>
      </c>
      <c r="LL146" s="24">
        <v>0</v>
      </c>
      <c r="LM146" s="24">
        <v>0</v>
      </c>
      <c r="LN146" s="24">
        <v>0</v>
      </c>
      <c r="LO146" s="24">
        <v>0</v>
      </c>
      <c r="LP146" s="24">
        <v>0</v>
      </c>
      <c r="LQ146" s="24">
        <v>60549</v>
      </c>
      <c r="LR146" s="24">
        <v>0</v>
      </c>
      <c r="LS146" s="24">
        <v>0</v>
      </c>
      <c r="LT146" s="24">
        <v>0</v>
      </c>
      <c r="LU146" s="24">
        <v>0</v>
      </c>
      <c r="LV146" s="24">
        <v>0</v>
      </c>
      <c r="LW146" s="24">
        <v>0</v>
      </c>
      <c r="LX146" s="24">
        <v>0</v>
      </c>
      <c r="LY146" s="24">
        <v>0</v>
      </c>
      <c r="LZ146" s="24">
        <v>0</v>
      </c>
      <c r="MA146" s="24">
        <v>0</v>
      </c>
      <c r="MB146" s="24">
        <v>0</v>
      </c>
      <c r="MC146" s="24">
        <v>0</v>
      </c>
      <c r="MD146" s="24">
        <v>0</v>
      </c>
      <c r="ME146" s="24">
        <v>0</v>
      </c>
      <c r="MF146" s="24">
        <v>0</v>
      </c>
      <c r="MG146" s="24">
        <v>0</v>
      </c>
      <c r="MH146" s="24">
        <v>0</v>
      </c>
      <c r="MI146" s="24">
        <v>0</v>
      </c>
      <c r="MJ146" s="24">
        <v>0</v>
      </c>
      <c r="MK146" s="24">
        <v>0</v>
      </c>
      <c r="ML146" s="24">
        <v>0</v>
      </c>
      <c r="MM146" s="24">
        <v>0</v>
      </c>
      <c r="MN146" s="24">
        <v>0</v>
      </c>
      <c r="MO146" s="24">
        <v>0</v>
      </c>
      <c r="MP146" s="24">
        <v>0</v>
      </c>
      <c r="MQ146" s="24">
        <v>0</v>
      </c>
      <c r="MR146" s="24">
        <v>0</v>
      </c>
      <c r="MS146" s="24">
        <v>0</v>
      </c>
      <c r="MT146" s="24">
        <v>0</v>
      </c>
      <c r="MU146" s="24">
        <v>0</v>
      </c>
      <c r="MV146" s="24">
        <v>0</v>
      </c>
      <c r="MW146" s="24">
        <v>97290</v>
      </c>
      <c r="MX146" s="24">
        <v>0</v>
      </c>
      <c r="MY146" s="24">
        <v>0</v>
      </c>
      <c r="MZ146" s="24">
        <v>0</v>
      </c>
      <c r="NA146" s="24">
        <v>0</v>
      </c>
      <c r="NB146" s="24">
        <v>0</v>
      </c>
      <c r="NC146" s="24">
        <v>0</v>
      </c>
      <c r="ND146" s="24">
        <v>0</v>
      </c>
      <c r="NE146" s="24">
        <v>0</v>
      </c>
      <c r="NF146" s="24">
        <v>0</v>
      </c>
      <c r="NG146" s="24">
        <v>0</v>
      </c>
      <c r="NH146" s="24">
        <v>0</v>
      </c>
      <c r="NI146" s="24">
        <v>0</v>
      </c>
      <c r="NJ146" s="24">
        <v>0</v>
      </c>
      <c r="NK146" s="24">
        <v>0</v>
      </c>
      <c r="NL146" s="24">
        <v>0</v>
      </c>
      <c r="NM146" s="24">
        <v>0</v>
      </c>
      <c r="NN146" s="24">
        <v>0</v>
      </c>
      <c r="NO146" s="24">
        <v>0</v>
      </c>
      <c r="NP146" s="24">
        <v>0</v>
      </c>
      <c r="NQ146" s="24">
        <v>0</v>
      </c>
      <c r="NR146" s="24">
        <v>0</v>
      </c>
      <c r="NS146" s="24">
        <v>0</v>
      </c>
      <c r="NT146" s="24">
        <v>0</v>
      </c>
      <c r="NU146" s="24">
        <v>0</v>
      </c>
      <c r="NV146" s="24">
        <v>20431</v>
      </c>
      <c r="NW146" s="24">
        <v>0</v>
      </c>
      <c r="NX146" s="24">
        <v>0</v>
      </c>
      <c r="NY146" s="24">
        <v>0</v>
      </c>
      <c r="NZ146" s="24">
        <v>0</v>
      </c>
      <c r="OA146" s="24">
        <v>0</v>
      </c>
      <c r="OB146" s="24">
        <v>0</v>
      </c>
      <c r="OC146" s="24">
        <v>0</v>
      </c>
      <c r="OD146" s="24">
        <v>0</v>
      </c>
      <c r="OE146" s="24">
        <v>0</v>
      </c>
      <c r="OF146" s="24">
        <v>0</v>
      </c>
      <c r="OG146" s="24">
        <v>0</v>
      </c>
      <c r="OH146" s="24">
        <v>0</v>
      </c>
      <c r="OI146" s="24">
        <v>0</v>
      </c>
      <c r="OJ146" s="24">
        <v>0</v>
      </c>
      <c r="OK146" s="24">
        <v>0</v>
      </c>
      <c r="OL146" s="24">
        <v>0</v>
      </c>
      <c r="OM146" s="24">
        <v>0</v>
      </c>
      <c r="ON146" s="24">
        <v>0</v>
      </c>
      <c r="OO146" s="24">
        <v>0</v>
      </c>
      <c r="OP146" s="24">
        <v>0</v>
      </c>
      <c r="OQ146" s="24">
        <v>0</v>
      </c>
      <c r="OR146" s="24">
        <v>284675</v>
      </c>
      <c r="OS146" s="24">
        <v>0</v>
      </c>
      <c r="OT146" s="24">
        <v>0</v>
      </c>
      <c r="OU146" s="24">
        <v>10835454</v>
      </c>
      <c r="OV146" s="24">
        <v>0</v>
      </c>
      <c r="OW146" s="24">
        <v>0</v>
      </c>
      <c r="OX146" s="24">
        <v>0</v>
      </c>
      <c r="OY146" s="24">
        <v>0</v>
      </c>
      <c r="OZ146" s="24">
        <v>0</v>
      </c>
      <c r="PA146" s="24">
        <v>0</v>
      </c>
      <c r="PB146" s="24">
        <v>0</v>
      </c>
      <c r="PC146" s="24">
        <v>0</v>
      </c>
      <c r="PD146" s="24">
        <v>0</v>
      </c>
      <c r="PE146" s="24">
        <v>0</v>
      </c>
      <c r="PF146" s="24">
        <v>0</v>
      </c>
      <c r="PG146" s="24">
        <v>0</v>
      </c>
      <c r="PH146" s="24">
        <v>83450</v>
      </c>
      <c r="PI146" s="24">
        <v>0</v>
      </c>
      <c r="PJ146" s="24">
        <v>0</v>
      </c>
      <c r="PK146" s="24">
        <v>0</v>
      </c>
      <c r="PL146" s="24">
        <v>0</v>
      </c>
      <c r="PM146" s="24">
        <v>0</v>
      </c>
      <c r="PN146" s="24">
        <v>0</v>
      </c>
      <c r="PO146" s="24">
        <v>0</v>
      </c>
      <c r="PP146" s="24">
        <v>0</v>
      </c>
      <c r="PQ146" s="24">
        <v>0</v>
      </c>
      <c r="PR146" s="24">
        <v>0</v>
      </c>
      <c r="PS146" s="24">
        <v>0</v>
      </c>
      <c r="PT146" s="24">
        <v>0</v>
      </c>
      <c r="PU146" s="24">
        <v>0</v>
      </c>
      <c r="PV146" s="24">
        <v>0</v>
      </c>
      <c r="PW146" s="24">
        <v>0</v>
      </c>
      <c r="PX146" s="24">
        <v>0</v>
      </c>
      <c r="PY146" s="24">
        <v>0</v>
      </c>
      <c r="PZ146" s="24">
        <v>0</v>
      </c>
      <c r="QA146" s="24">
        <v>0</v>
      </c>
      <c r="QB146" s="24">
        <v>0</v>
      </c>
      <c r="QC146" s="24">
        <v>0</v>
      </c>
      <c r="QD146" s="24">
        <v>0</v>
      </c>
      <c r="QE146" s="24">
        <v>0</v>
      </c>
      <c r="QF146" s="24">
        <v>0</v>
      </c>
      <c r="QG146" s="24">
        <v>0</v>
      </c>
      <c r="QH146" s="24">
        <v>0</v>
      </c>
      <c r="QI146" s="24">
        <v>0</v>
      </c>
      <c r="QJ146" s="24">
        <v>0</v>
      </c>
      <c r="QK146" s="24">
        <v>0</v>
      </c>
      <c r="QL146" s="24">
        <v>0</v>
      </c>
      <c r="QM146" s="24">
        <v>0</v>
      </c>
      <c r="QN146" s="24">
        <v>0</v>
      </c>
      <c r="QO146" s="24">
        <v>0</v>
      </c>
      <c r="QP146" s="24">
        <v>0</v>
      </c>
      <c r="QQ146" s="24">
        <v>0</v>
      </c>
      <c r="QR146" s="24">
        <v>0</v>
      </c>
      <c r="QS146" s="24">
        <v>0</v>
      </c>
      <c r="QT146" s="24">
        <v>143982</v>
      </c>
      <c r="QU146" s="24">
        <v>0</v>
      </c>
      <c r="QV146" s="24">
        <v>0</v>
      </c>
      <c r="QW146" s="24">
        <v>0</v>
      </c>
      <c r="QX146" s="24">
        <v>0</v>
      </c>
      <c r="QY146" s="24">
        <v>0</v>
      </c>
      <c r="QZ146" s="24">
        <v>0</v>
      </c>
      <c r="RA146" s="24">
        <v>0</v>
      </c>
      <c r="RB146" s="24">
        <v>0</v>
      </c>
      <c r="RC146" s="913">
        <v>2</v>
      </c>
      <c r="RG146" s="39">
        <f t="shared" si="248"/>
        <v>3781753</v>
      </c>
      <c r="RH146" s="39">
        <f t="shared" si="249"/>
        <v>103944</v>
      </c>
      <c r="RI146" s="39">
        <f t="shared" si="249"/>
        <v>0</v>
      </c>
      <c r="RJ146" s="39">
        <f t="shared" si="249"/>
        <v>0</v>
      </c>
      <c r="RK146" s="39">
        <f t="shared" si="249"/>
        <v>0</v>
      </c>
      <c r="RL146" s="39">
        <f t="shared" si="249"/>
        <v>496852</v>
      </c>
      <c r="RM146" s="39">
        <f t="shared" si="249"/>
        <v>464416</v>
      </c>
      <c r="RN146" s="39">
        <f t="shared" si="249"/>
        <v>0</v>
      </c>
      <c r="RO146" s="39">
        <f t="shared" si="249"/>
        <v>0</v>
      </c>
      <c r="RP146" s="39">
        <f t="shared" si="249"/>
        <v>50700</v>
      </c>
      <c r="RQ146" s="39">
        <f t="shared" si="249"/>
        <v>0</v>
      </c>
      <c r="RR146" s="39">
        <f t="shared" si="249"/>
        <v>70</v>
      </c>
      <c r="RS146" s="39"/>
      <c r="RT146" s="182"/>
      <c r="RU146" s="39"/>
      <c r="RV146" s="39">
        <f t="shared" si="302"/>
        <v>178270</v>
      </c>
      <c r="RW146" s="39">
        <f t="shared" si="302"/>
        <v>4897735</v>
      </c>
      <c r="RX146" s="39">
        <f t="shared" si="302"/>
        <v>936578</v>
      </c>
      <c r="RY146" s="39">
        <f t="shared" si="302"/>
        <v>11347561</v>
      </c>
      <c r="RZ146" s="39"/>
      <c r="SA146" s="182"/>
      <c r="SB146" s="39"/>
      <c r="SC146" s="25">
        <f t="shared" si="303"/>
        <v>1096.6955503512881</v>
      </c>
      <c r="SD146" s="39">
        <f>IFERROR(VLOOKUP(A146, 'Levy Data 15-16'!$B:$O, 3, FALSE), 0)</f>
        <v>0</v>
      </c>
      <c r="SE146" s="39">
        <f t="shared" si="265"/>
        <v>0</v>
      </c>
      <c r="SF146" s="631">
        <f>IFERROR(VLOOKUP(A146, 'Levy Data 15-16'!$B:$O, 14, FALSE), 0)*1000</f>
        <v>0</v>
      </c>
      <c r="SG146" s="39">
        <f t="shared" si="266"/>
        <v>0</v>
      </c>
      <c r="SH146" s="39">
        <f t="shared" si="267"/>
        <v>0</v>
      </c>
      <c r="SI146" s="39">
        <f t="shared" si="268"/>
        <v>936578</v>
      </c>
      <c r="SM146" s="39">
        <f t="shared" si="269"/>
        <v>4897735</v>
      </c>
      <c r="SN146" s="39">
        <f t="shared" si="270"/>
        <v>0</v>
      </c>
      <c r="SO146" s="39">
        <f t="shared" si="304"/>
        <v>4897735</v>
      </c>
      <c r="SP146" s="50">
        <f t="shared" si="250"/>
        <v>1</v>
      </c>
      <c r="ST146" s="124">
        <f>IFERROR(VLOOKUP(A146,'Grade Enroll 15-16'!B:AC,27,FALSE),"")</f>
        <v>854</v>
      </c>
      <c r="SU146" s="124">
        <f t="shared" si="264"/>
        <v>150.70588235294119</v>
      </c>
      <c r="SV146" s="131">
        <f>IFERROR(VLOOKUP($A146, 'Title I Enroll 16-17'!S:V, 4, FALSE), 0)</f>
        <v>0.17647058823529413</v>
      </c>
      <c r="SW146" s="729">
        <f>IFERROR(VLOOKUP(A146, 'ELL Enroll 15-16'!$N:$S, 6, FALSE), 0)</f>
        <v>5</v>
      </c>
      <c r="SX146" s="131">
        <f t="shared" si="251"/>
        <v>5.8548009367681503E-3</v>
      </c>
      <c r="SY146" s="124">
        <f>IFERROR(VLOOKUP(A146, 'SPED enroll 2015-16'!$M:$O, 3, FALSE), 0)</f>
        <v>46</v>
      </c>
      <c r="SZ146" s="131">
        <f t="shared" si="252"/>
        <v>5.3864168618266976E-2</v>
      </c>
      <c r="TA146" s="142">
        <f t="shared" si="253"/>
        <v>32.199999999999996</v>
      </c>
      <c r="TB146" s="142">
        <f t="shared" si="253"/>
        <v>9.2000000000000011</v>
      </c>
      <c r="TC146" s="142">
        <f t="shared" si="253"/>
        <v>3.22</v>
      </c>
      <c r="TD146" s="142">
        <f t="shared" si="253"/>
        <v>1.38</v>
      </c>
      <c r="TE146" s="124">
        <f>VLOOKUP($A146, 'Grade Enroll 15-16'!$B:$AB, 20, FALSE)</f>
        <v>0</v>
      </c>
      <c r="TF146" s="124">
        <f>VLOOKUP($A146, 'Grade Enroll 15-16'!$B:$AB, 21, FALSE)</f>
        <v>66</v>
      </c>
      <c r="TG146" s="124">
        <f>VLOOKUP($A146, 'Grade Enroll 15-16'!$B:$AB, 22, FALSE)</f>
        <v>216</v>
      </c>
      <c r="TH146" s="124">
        <f>VLOOKUP($A146, 'Grade Enroll 15-16'!$B:$AB, 23, FALSE)</f>
        <v>251</v>
      </c>
      <c r="TI146" s="124">
        <f>VLOOKUP($A146, 'Grade Enroll 15-16'!$B:$AB, 24, FALSE)</f>
        <v>175</v>
      </c>
      <c r="TJ146" s="124">
        <f>VLOOKUP($A146, 'Grade Enroll 15-16'!$B:$AB, 25, FALSE)</f>
        <v>212</v>
      </c>
      <c r="TK146" s="124">
        <f>VLOOKUP($A146, 'Grade Enroll 15-16'!$B:$AB, 26, FALSE)</f>
        <v>667</v>
      </c>
      <c r="TL146" s="131">
        <f>SUMIFS('Student Achievement 15-16'!N:N, 'Student Achievement 15-16'!B:B, 'Idaho Data'!A146, 'Student Achievement 15-16'!D:D, "math")/100</f>
        <v>0.127</v>
      </c>
      <c r="TM146" s="134">
        <f t="shared" si="305"/>
        <v>108.458</v>
      </c>
      <c r="TN146" s="131">
        <f>SUMIFS('Student Achievement 15-16'!N:N, 'Student Achievement 15-16'!B:B, 'Idaho Data'!A146, 'Student Achievement 15-16'!D:D, "ela")/100</f>
        <v>7.0999999999999994E-2</v>
      </c>
      <c r="TO146" s="134">
        <f t="shared" si="254"/>
        <v>60.633999999999993</v>
      </c>
      <c r="TP146" s="688">
        <f>IFERROR(VLOOKUP(A146, 'G&amp;T 15-16'!B:G, 6, FALSE), 0)*1</f>
        <v>0</v>
      </c>
      <c r="TQ146" s="168">
        <f t="shared" si="255"/>
        <v>51.239999999999995</v>
      </c>
      <c r="TU146" s="168">
        <f t="shared" si="256"/>
        <v>60.633999999999993</v>
      </c>
      <c r="TV146" s="168">
        <f t="shared" si="257"/>
        <v>108.458</v>
      </c>
      <c r="TW146" s="205">
        <f t="shared" si="258"/>
        <v>108.458</v>
      </c>
      <c r="TX146" s="144"/>
      <c r="TY146" s="129"/>
      <c r="TZ146" s="127">
        <f t="shared" si="259"/>
        <v>0</v>
      </c>
      <c r="UA146" s="127">
        <f t="shared" si="260"/>
        <v>51.239999999999995</v>
      </c>
      <c r="UB146" s="205">
        <f t="shared" si="261"/>
        <v>51.239999999999995</v>
      </c>
      <c r="UE146" s="853" t="str">
        <f>IF(ST146&lt;='1. Simulator Input'!$E$104, "yes", "")</f>
        <v/>
      </c>
      <c r="UI146" s="199">
        <f t="shared" si="306"/>
        <v>0</v>
      </c>
      <c r="UJ146" s="200">
        <f>IF('Idaho Data'!SI146&gt;=0, ((1-'1. Simulator Input'!$E$39)*'Idaho Data'!SI146), 0)</f>
        <v>0</v>
      </c>
      <c r="UK146" s="200">
        <f t="shared" si="262"/>
        <v>4897735</v>
      </c>
      <c r="UL146" s="39"/>
      <c r="UM146" s="182"/>
      <c r="UN146" s="39"/>
      <c r="UO146" s="39" t="str">
        <f>IF(AND('1. Simulator Input'!$E$96="yes", '1. Simulator Input'!$E$98="yes", '1. Simulator Input'!$E$100="hold harmless"), 'Idaho Data'!WN146, IF(AND('1. Simulator Input'!$E$96="yes", '1. Simulator Input'!$E$98="no", '1. Simulator Input'!$E$100="hold harmless"), 'Idaho Data'!WM146, IF(AND('1. Simulator Input'!$E$96="yes", '1. Simulator Input'!$E$98="yes", '1. Simulator Input'!$E$100="small district grant"), WL146,IF(AND('1. Simulator Input'!$E$96="yes", '1. Simulator Input'!$E$98="no", '1. Simulator Input'!$E$100="small district grant"), WK146, ""))))</f>
        <v/>
      </c>
      <c r="UP146" s="200">
        <f>'1. Simulator Input'!$D$56*('Idaho Data'!ST146)</f>
        <v>4719204</v>
      </c>
      <c r="UQ146" s="204">
        <f>'1. Simulator Input'!$D$65*'1. Simulator Input'!$D$56*'Idaho Data'!SU146</f>
        <v>0</v>
      </c>
      <c r="UR146" s="204">
        <f>'1. Simulator Input'!$D$66*'1. Simulator Input'!$D$56*'Idaho Data'!SW146</f>
        <v>0</v>
      </c>
      <c r="US146" s="200">
        <f>'1. Simulator Input'!$D$67*'1. Simulator Input'!$D$56*'Idaho Data'!TA146</f>
        <v>0</v>
      </c>
      <c r="UT146" s="200">
        <f>'1. Simulator Input'!$D$68*'1. Simulator Input'!$D$56*'Idaho Data'!TB146</f>
        <v>0</v>
      </c>
      <c r="UU146" s="200">
        <f>'1. Simulator Input'!$D$69*'1. Simulator Input'!$D$56*'Idaho Data'!TC146</f>
        <v>0</v>
      </c>
      <c r="UV146" s="200">
        <f>'1. Simulator Input'!$D$70*'1. Simulator Input'!$D$56*TD146</f>
        <v>0</v>
      </c>
      <c r="UW146" s="200">
        <f>'1. Simulator Input'!$D$80*'1. Simulator Input'!$D$56*TW146</f>
        <v>0</v>
      </c>
      <c r="UX146" s="200">
        <f>'1. Simulator Input'!$D$79*'1. Simulator Input'!$D$56*UB146</f>
        <v>0</v>
      </c>
      <c r="UY146" s="200">
        <f>'1. Simulator Input'!$D$87*'1. Simulator Input'!$D$56*TF146</f>
        <v>182358</v>
      </c>
      <c r="UZ146" s="200">
        <f>'1. Simulator Input'!$D$73*'1. Simulator Input'!$D$56*'Idaho Data'!TG146</f>
        <v>0</v>
      </c>
      <c r="VA146" s="200">
        <f>'1. Simulator Input'!$D$56*'1. Simulator Input'!$D$74*'Idaho Data'!TH146</f>
        <v>0</v>
      </c>
      <c r="VB146" s="200">
        <f>'1. Simulator Input'!$D$56*'1. Simulator Input'!$D$75*'Idaho Data'!TI141</f>
        <v>0</v>
      </c>
      <c r="VC146" s="200">
        <f>'1. Simulator Input'!$D$76*'1. Simulator Input'!$D$56*'Idaho Data'!TJ146</f>
        <v>0</v>
      </c>
      <c r="VD146" s="200">
        <f t="shared" si="307"/>
        <v>4901562</v>
      </c>
      <c r="VE146" s="200"/>
      <c r="VF146" s="182"/>
      <c r="VG146" s="200"/>
      <c r="VH146" s="200">
        <f t="shared" si="308"/>
        <v>0</v>
      </c>
      <c r="VI146" s="200">
        <f t="shared" si="309"/>
        <v>0</v>
      </c>
      <c r="VJ146" s="200">
        <f t="shared" si="271"/>
        <v>4901562</v>
      </c>
      <c r="VK146" s="200">
        <f t="shared" si="272"/>
        <v>4901562</v>
      </c>
      <c r="VL146" s="200"/>
      <c r="VM146" s="182"/>
      <c r="VN146" s="200"/>
      <c r="VO146" s="200">
        <f t="shared" si="310"/>
        <v>178270</v>
      </c>
      <c r="VP146" s="200">
        <f t="shared" si="311"/>
        <v>4897735</v>
      </c>
      <c r="VQ146" s="200">
        <f t="shared" si="312"/>
        <v>936578</v>
      </c>
      <c r="VR146" s="200">
        <f t="shared" si="313"/>
        <v>178270</v>
      </c>
      <c r="VS146" s="200">
        <f t="shared" si="273"/>
        <v>4901562</v>
      </c>
      <c r="VT146" s="200">
        <f t="shared" si="274"/>
        <v>936578</v>
      </c>
      <c r="VU146" s="200">
        <f t="shared" si="275"/>
        <v>0</v>
      </c>
      <c r="VV146" s="200"/>
      <c r="VW146" s="182"/>
      <c r="VX146" s="200"/>
      <c r="VZ146" s="199">
        <f t="shared" si="314"/>
        <v>3827</v>
      </c>
      <c r="WA146" s="199">
        <f t="shared" si="315"/>
        <v>4.4812646370023419</v>
      </c>
      <c r="WB146" s="131">
        <f t="shared" si="316"/>
        <v>7.8138159782021688E-4</v>
      </c>
      <c r="WC146" s="131"/>
      <c r="WD146" s="461"/>
      <c r="WE146" s="893"/>
      <c r="WF146" s="893">
        <f t="shared" si="317"/>
        <v>7040.4953161592503</v>
      </c>
      <c r="WG146" s="893">
        <f t="shared" si="318"/>
        <v>7044.9765807962531</v>
      </c>
      <c r="WH146" s="893"/>
      <c r="WI146" s="893">
        <f t="shared" si="319"/>
        <v>4897735</v>
      </c>
      <c r="WJ146" s="893">
        <f t="shared" si="276"/>
        <v>4901562</v>
      </c>
      <c r="WK146" s="39" t="str">
        <f t="shared" si="277"/>
        <v/>
      </c>
      <c r="WL146" s="39" t="str">
        <f t="shared" si="278"/>
        <v/>
      </c>
      <c r="WM146" s="200" t="str">
        <f t="shared" si="279"/>
        <v/>
      </c>
      <c r="WN146" s="39" t="str">
        <f t="shared" si="280"/>
        <v/>
      </c>
      <c r="WO146" s="39"/>
      <c r="WP146" s="182"/>
      <c r="WQ146" s="39"/>
      <c r="WR146" s="305"/>
      <c r="WT146" s="200">
        <f t="shared" si="281"/>
        <v>5735.0526932084313</v>
      </c>
      <c r="WU146" s="131">
        <f t="shared" si="320"/>
        <v>0.22</v>
      </c>
      <c r="WW146" s="199">
        <f t="shared" si="282"/>
        <v>178270</v>
      </c>
      <c r="WX146" s="199">
        <f t="shared" si="283"/>
        <v>4901562</v>
      </c>
      <c r="WY146" s="199">
        <f t="shared" si="284"/>
        <v>0</v>
      </c>
      <c r="WZ146" s="199">
        <f t="shared" si="321"/>
        <v>4901562</v>
      </c>
      <c r="XA146" s="199">
        <f t="shared" si="285"/>
        <v>0</v>
      </c>
      <c r="XB146" s="199">
        <f t="shared" si="286"/>
        <v>936578</v>
      </c>
      <c r="XC146" s="199">
        <f t="shared" si="287"/>
        <v>936578</v>
      </c>
      <c r="XD146" s="199" t="str">
        <f t="shared" si="288"/>
        <v/>
      </c>
      <c r="XE146" s="199"/>
      <c r="XF146" s="199"/>
      <c r="XG146" s="199"/>
      <c r="XH146" s="199"/>
      <c r="XI146" s="199"/>
      <c r="XJ146" s="199">
        <f t="shared" si="322"/>
        <v>4901562</v>
      </c>
      <c r="XP146" s="199">
        <f t="shared" si="289"/>
        <v>4901562</v>
      </c>
      <c r="XQ146" s="199">
        <f t="shared" si="290"/>
        <v>5739.5339578454332</v>
      </c>
      <c r="XR146" s="199">
        <f t="shared" si="291"/>
        <v>4901562</v>
      </c>
      <c r="XS146" s="199">
        <f t="shared" si="292"/>
        <v>4901562</v>
      </c>
      <c r="XT146" s="199">
        <f t="shared" si="293"/>
        <v>5739.5339578454332</v>
      </c>
      <c r="XU146" s="199">
        <f t="shared" si="294"/>
        <v>4897735</v>
      </c>
      <c r="XV146" s="199">
        <f t="shared" si="295"/>
        <v>5735.0526932084313</v>
      </c>
      <c r="XW146" s="199">
        <f t="shared" si="296"/>
        <v>4897735</v>
      </c>
      <c r="XX146" s="199">
        <f t="shared" si="297"/>
        <v>5735.0526932084313</v>
      </c>
      <c r="XY146" s="199">
        <f t="shared" si="323"/>
        <v>3827</v>
      </c>
      <c r="XZ146" s="199">
        <f t="shared" si="324"/>
        <v>4.4812646370019138</v>
      </c>
      <c r="YA146" s="131">
        <f t="shared" si="263"/>
        <v>7.8138159782014218E-4</v>
      </c>
      <c r="YB146" s="199"/>
      <c r="YC146" s="221"/>
      <c r="YD146" s="199"/>
      <c r="YE146" s="199">
        <f t="shared" si="298"/>
        <v>178270</v>
      </c>
      <c r="YF146" s="200">
        <f t="shared" si="299"/>
        <v>0</v>
      </c>
      <c r="YG146" s="199">
        <f t="shared" si="300"/>
        <v>936578</v>
      </c>
      <c r="YH146" s="199">
        <f t="shared" si="301"/>
        <v>11347561</v>
      </c>
    </row>
    <row r="147" spans="1:658">
      <c r="A147" s="3">
        <v>476</v>
      </c>
      <c r="B147" s="2" t="s">
        <v>1490</v>
      </c>
      <c r="C147" s="24">
        <v>0</v>
      </c>
      <c r="D147" s="24">
        <v>0</v>
      </c>
      <c r="E147" s="24">
        <v>0</v>
      </c>
      <c r="F147" s="24">
        <v>0</v>
      </c>
      <c r="G147" s="24">
        <v>0</v>
      </c>
      <c r="H147" s="24">
        <v>0</v>
      </c>
      <c r="I147" s="24">
        <v>0</v>
      </c>
      <c r="J147" s="24">
        <v>0</v>
      </c>
      <c r="K147" s="24">
        <v>0</v>
      </c>
      <c r="L147" s="24">
        <v>0</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c r="BE147" s="24">
        <v>0</v>
      </c>
      <c r="BF147" s="24">
        <v>0</v>
      </c>
      <c r="BG147" s="24">
        <v>0</v>
      </c>
      <c r="BH147" s="24">
        <v>0</v>
      </c>
      <c r="BI147" s="24">
        <v>0</v>
      </c>
      <c r="BJ147" s="24">
        <v>0</v>
      </c>
      <c r="BK147" s="24">
        <v>0</v>
      </c>
      <c r="BL147" s="24">
        <v>0</v>
      </c>
      <c r="BM147" s="24">
        <v>0</v>
      </c>
      <c r="BN147" s="24">
        <v>0</v>
      </c>
      <c r="BO147" s="24">
        <v>0</v>
      </c>
      <c r="BP147" s="24">
        <v>0</v>
      </c>
      <c r="BQ147" s="24">
        <v>0</v>
      </c>
      <c r="BR147" s="24">
        <v>0</v>
      </c>
      <c r="BS147" s="24">
        <v>0</v>
      </c>
      <c r="BT147" s="24">
        <v>0</v>
      </c>
      <c r="BU147" s="24">
        <v>0</v>
      </c>
      <c r="BV147" s="24">
        <v>0</v>
      </c>
      <c r="BW147" s="24">
        <v>0</v>
      </c>
      <c r="BX147" s="24">
        <v>0</v>
      </c>
      <c r="BY147" s="24">
        <v>0</v>
      </c>
      <c r="BZ147" s="24">
        <v>0</v>
      </c>
      <c r="CA147" s="24">
        <v>0</v>
      </c>
      <c r="CB147" s="24">
        <v>0</v>
      </c>
      <c r="CC147" s="24">
        <v>0</v>
      </c>
      <c r="CD147" s="24">
        <v>0</v>
      </c>
      <c r="CE147" s="24">
        <v>0</v>
      </c>
      <c r="CF147" s="24">
        <v>0</v>
      </c>
      <c r="CG147" s="24">
        <v>0</v>
      </c>
      <c r="CH147" s="24">
        <v>0</v>
      </c>
      <c r="CI147" s="24">
        <v>0</v>
      </c>
      <c r="CJ147" s="24">
        <v>0</v>
      </c>
      <c r="CK147" s="24">
        <v>0</v>
      </c>
      <c r="CL147" s="24">
        <v>0</v>
      </c>
      <c r="CM147" s="24">
        <v>0</v>
      </c>
      <c r="CN147" s="24">
        <v>0</v>
      </c>
      <c r="CO147" s="24">
        <v>0</v>
      </c>
      <c r="CP147" s="24">
        <v>0</v>
      </c>
      <c r="CQ147" s="24">
        <v>0</v>
      </c>
      <c r="CR147" s="24">
        <v>0</v>
      </c>
      <c r="CS147" s="24">
        <v>0</v>
      </c>
      <c r="CT147" s="24">
        <v>0</v>
      </c>
      <c r="CU147" s="24">
        <v>0</v>
      </c>
      <c r="CV147" s="24">
        <v>0</v>
      </c>
      <c r="CW147" s="24">
        <v>0</v>
      </c>
      <c r="CX147" s="24">
        <v>0</v>
      </c>
      <c r="CY147" s="24">
        <v>0</v>
      </c>
      <c r="CZ147" s="24">
        <v>0</v>
      </c>
      <c r="DA147" s="24">
        <v>0</v>
      </c>
      <c r="DB147" s="24">
        <v>0</v>
      </c>
      <c r="DC147" s="24">
        <v>0</v>
      </c>
      <c r="DD147" s="24">
        <v>400</v>
      </c>
      <c r="DE147" s="24">
        <v>0</v>
      </c>
      <c r="DF147" s="24">
        <v>0</v>
      </c>
      <c r="DG147" s="24">
        <v>0</v>
      </c>
      <c r="DH147" s="24">
        <v>0</v>
      </c>
      <c r="DI147" s="24">
        <v>0</v>
      </c>
      <c r="DJ147" s="24">
        <v>0</v>
      </c>
      <c r="DK147" s="24">
        <v>0</v>
      </c>
      <c r="DL147" s="24">
        <v>0</v>
      </c>
      <c r="DM147" s="24">
        <v>0</v>
      </c>
      <c r="DN147" s="24">
        <v>0</v>
      </c>
      <c r="DO147" s="24">
        <v>0</v>
      </c>
      <c r="DP147" s="24">
        <v>0</v>
      </c>
      <c r="DQ147" s="24">
        <v>0</v>
      </c>
      <c r="DR147" s="24">
        <v>0</v>
      </c>
      <c r="DS147" s="24">
        <v>0</v>
      </c>
      <c r="DT147" s="24">
        <v>0</v>
      </c>
      <c r="DU147" s="24">
        <v>0</v>
      </c>
      <c r="DV147" s="24">
        <v>0</v>
      </c>
      <c r="DW147" s="24">
        <v>0</v>
      </c>
      <c r="DX147" s="24">
        <v>0</v>
      </c>
      <c r="DY147" s="24">
        <v>0</v>
      </c>
      <c r="DZ147" s="24">
        <v>0</v>
      </c>
      <c r="EA147" s="24">
        <v>0</v>
      </c>
      <c r="EB147" s="24">
        <v>0</v>
      </c>
      <c r="EC147" s="24">
        <v>0</v>
      </c>
      <c r="ED147" s="24">
        <v>0</v>
      </c>
      <c r="EE147" s="24">
        <v>0</v>
      </c>
      <c r="EF147" s="24">
        <v>0</v>
      </c>
      <c r="EG147" s="24">
        <v>0</v>
      </c>
      <c r="EH147" s="24">
        <v>0</v>
      </c>
      <c r="EI147" s="24">
        <v>0</v>
      </c>
      <c r="EJ147" s="24">
        <v>0</v>
      </c>
      <c r="EK147" s="24">
        <v>0</v>
      </c>
      <c r="EL147" s="24">
        <v>0</v>
      </c>
      <c r="EM147" s="24">
        <v>0</v>
      </c>
      <c r="EN147" s="24">
        <v>0</v>
      </c>
      <c r="EO147" s="24">
        <v>0</v>
      </c>
      <c r="EP147" s="24">
        <v>0</v>
      </c>
      <c r="EQ147" s="24">
        <v>0</v>
      </c>
      <c r="ER147" s="24">
        <v>0</v>
      </c>
      <c r="ES147" s="24">
        <v>0</v>
      </c>
      <c r="ET147" s="24">
        <v>0</v>
      </c>
      <c r="EU147" s="24">
        <v>0</v>
      </c>
      <c r="EV147" s="24">
        <v>0</v>
      </c>
      <c r="EW147" s="24">
        <v>0</v>
      </c>
      <c r="EX147" s="24">
        <v>0</v>
      </c>
      <c r="EY147" s="24">
        <v>0</v>
      </c>
      <c r="EZ147" s="24">
        <v>0</v>
      </c>
      <c r="FA147" s="24">
        <v>0</v>
      </c>
      <c r="FB147" s="24">
        <v>0</v>
      </c>
      <c r="FC147" s="24">
        <v>0</v>
      </c>
      <c r="FD147" s="24">
        <v>0</v>
      </c>
      <c r="FE147" s="24">
        <v>0</v>
      </c>
      <c r="FF147" s="24">
        <v>0</v>
      </c>
      <c r="FG147" s="24">
        <v>0</v>
      </c>
      <c r="FH147" s="24">
        <v>0</v>
      </c>
      <c r="FI147" s="24">
        <v>0</v>
      </c>
      <c r="FJ147" s="24">
        <v>0</v>
      </c>
      <c r="FK147" s="24">
        <v>0</v>
      </c>
      <c r="FL147" s="24">
        <v>0</v>
      </c>
      <c r="FM147" s="24">
        <v>0</v>
      </c>
      <c r="FN147" s="24">
        <v>0</v>
      </c>
      <c r="FO147" s="24">
        <v>0</v>
      </c>
      <c r="FP147" s="24">
        <v>0</v>
      </c>
      <c r="FQ147" s="24">
        <v>0</v>
      </c>
      <c r="FR147" s="24">
        <v>0</v>
      </c>
      <c r="FS147" s="24">
        <v>607340</v>
      </c>
      <c r="FT147" s="24">
        <v>0</v>
      </c>
      <c r="FU147" s="24">
        <v>0</v>
      </c>
      <c r="FV147" s="24">
        <v>0</v>
      </c>
      <c r="FW147" s="24">
        <v>0</v>
      </c>
      <c r="FX147" s="24">
        <v>0</v>
      </c>
      <c r="FY147" s="24">
        <v>0</v>
      </c>
      <c r="FZ147" s="24">
        <v>0</v>
      </c>
      <c r="GA147" s="24">
        <v>0</v>
      </c>
      <c r="GB147" s="24">
        <v>0</v>
      </c>
      <c r="GC147" s="24">
        <v>0</v>
      </c>
      <c r="GD147" s="24">
        <v>0</v>
      </c>
      <c r="GE147" s="24">
        <v>0</v>
      </c>
      <c r="GF147" s="24">
        <v>0</v>
      </c>
      <c r="GG147" s="24">
        <v>0</v>
      </c>
      <c r="GH147" s="24">
        <v>0</v>
      </c>
      <c r="GI147" s="24">
        <v>0</v>
      </c>
      <c r="GJ147" s="24">
        <v>0</v>
      </c>
      <c r="GK147" s="24">
        <v>0</v>
      </c>
      <c r="GL147" s="24">
        <v>0</v>
      </c>
      <c r="GM147" s="24">
        <v>0</v>
      </c>
      <c r="GN147" s="24">
        <v>0</v>
      </c>
      <c r="GO147" s="24">
        <v>0</v>
      </c>
      <c r="GP147" s="24">
        <v>0</v>
      </c>
      <c r="GQ147" s="24">
        <v>0</v>
      </c>
      <c r="GR147" s="24">
        <v>0</v>
      </c>
      <c r="GS147" s="24">
        <v>0</v>
      </c>
      <c r="GT147" s="24">
        <v>0</v>
      </c>
      <c r="GU147" s="24">
        <v>0</v>
      </c>
      <c r="GV147" s="24">
        <v>0</v>
      </c>
      <c r="GW147" s="24">
        <v>0</v>
      </c>
      <c r="GX147" s="24">
        <v>0</v>
      </c>
      <c r="GY147" s="24">
        <v>0</v>
      </c>
      <c r="GZ147" s="24">
        <v>0</v>
      </c>
      <c r="HA147" s="24">
        <v>0</v>
      </c>
      <c r="HB147" s="24">
        <v>0</v>
      </c>
      <c r="HC147" s="24">
        <v>0</v>
      </c>
      <c r="HD147" s="24">
        <v>2286462</v>
      </c>
      <c r="HE147" s="24">
        <v>0</v>
      </c>
      <c r="HF147" s="24">
        <v>0</v>
      </c>
      <c r="HG147" s="24">
        <v>0</v>
      </c>
      <c r="HH147" s="24">
        <v>0</v>
      </c>
      <c r="HI147" s="24">
        <v>0</v>
      </c>
      <c r="HJ147" s="24">
        <v>0</v>
      </c>
      <c r="HK147" s="24">
        <v>0</v>
      </c>
      <c r="HL147" s="24">
        <v>0</v>
      </c>
      <c r="HM147" s="24">
        <v>0</v>
      </c>
      <c r="HN147" s="24">
        <v>0</v>
      </c>
      <c r="HO147" s="24">
        <v>268420</v>
      </c>
      <c r="HP147" s="24">
        <v>0</v>
      </c>
      <c r="HQ147" s="24">
        <v>0</v>
      </c>
      <c r="HR147" s="24">
        <v>0</v>
      </c>
      <c r="HS147" s="24">
        <v>0</v>
      </c>
      <c r="HT147" s="24">
        <v>0</v>
      </c>
      <c r="HU147" s="24">
        <v>0</v>
      </c>
      <c r="HV147" s="24">
        <v>0</v>
      </c>
      <c r="HW147" s="24">
        <v>0</v>
      </c>
      <c r="HX147" s="24">
        <v>0</v>
      </c>
      <c r="HY147" s="24">
        <v>0</v>
      </c>
      <c r="HZ147" s="24">
        <v>0</v>
      </c>
      <c r="IA147" s="24">
        <v>0</v>
      </c>
      <c r="IB147" s="24">
        <v>6819</v>
      </c>
      <c r="IC147" s="24">
        <v>0</v>
      </c>
      <c r="ID147" s="24">
        <v>0</v>
      </c>
      <c r="IE147" s="24">
        <v>0</v>
      </c>
      <c r="IF147" s="24">
        <v>0</v>
      </c>
      <c r="IG147" s="24">
        <v>0</v>
      </c>
      <c r="IH147" s="24">
        <v>0</v>
      </c>
      <c r="II147" s="24">
        <v>0</v>
      </c>
      <c r="IJ147" s="24">
        <v>0</v>
      </c>
      <c r="IK147" s="24">
        <v>0</v>
      </c>
      <c r="IL147" s="24">
        <v>0</v>
      </c>
      <c r="IM147" s="24">
        <v>0</v>
      </c>
      <c r="IN147" s="24">
        <v>0</v>
      </c>
      <c r="IO147" s="24">
        <v>0</v>
      </c>
      <c r="IP147" s="24">
        <v>0</v>
      </c>
      <c r="IQ147" s="24">
        <v>0</v>
      </c>
      <c r="IR147" s="24">
        <v>0</v>
      </c>
      <c r="IS147" s="24">
        <v>0</v>
      </c>
      <c r="IT147" s="24">
        <v>0</v>
      </c>
      <c r="IU147" s="24">
        <v>0</v>
      </c>
      <c r="IV147" s="24">
        <v>0</v>
      </c>
      <c r="IW147" s="24">
        <v>22749</v>
      </c>
      <c r="IX147" s="24">
        <v>0</v>
      </c>
      <c r="IY147" s="24">
        <v>0</v>
      </c>
      <c r="IZ147" s="24">
        <v>0</v>
      </c>
      <c r="JA147" s="24">
        <v>0</v>
      </c>
      <c r="JB147" s="24">
        <v>0</v>
      </c>
      <c r="JC147" s="24">
        <v>0</v>
      </c>
      <c r="JD147" s="24">
        <v>0</v>
      </c>
      <c r="JE147" s="24">
        <v>171980</v>
      </c>
      <c r="JF147" s="24">
        <v>0</v>
      </c>
      <c r="JG147" s="24">
        <v>0</v>
      </c>
      <c r="JH147" s="24">
        <v>0</v>
      </c>
      <c r="JI147" s="24">
        <v>0</v>
      </c>
      <c r="JJ147" s="24">
        <v>0</v>
      </c>
      <c r="JK147" s="24">
        <v>0</v>
      </c>
      <c r="JL147" s="24">
        <v>0</v>
      </c>
      <c r="JM147" s="24">
        <v>0</v>
      </c>
      <c r="JN147" s="24">
        <v>0</v>
      </c>
      <c r="JO147" s="24">
        <v>0</v>
      </c>
      <c r="JP147" s="24">
        <v>0</v>
      </c>
      <c r="JQ147" s="24">
        <v>0</v>
      </c>
      <c r="JR147" s="24">
        <v>0</v>
      </c>
      <c r="JS147" s="24">
        <v>0</v>
      </c>
      <c r="JT147" s="24">
        <v>0</v>
      </c>
      <c r="JU147" s="24">
        <v>0</v>
      </c>
      <c r="JV147" s="24">
        <v>0</v>
      </c>
      <c r="JW147" s="24">
        <v>0</v>
      </c>
      <c r="JX147" s="24">
        <v>0</v>
      </c>
      <c r="JY147" s="24">
        <v>0</v>
      </c>
      <c r="JZ147" s="24">
        <v>0</v>
      </c>
      <c r="KA147" s="24">
        <v>0</v>
      </c>
      <c r="KB147" s="24">
        <v>0</v>
      </c>
      <c r="KC147" s="24">
        <v>0</v>
      </c>
      <c r="KD147" s="24">
        <v>0</v>
      </c>
      <c r="KE147" s="24">
        <v>0</v>
      </c>
      <c r="KF147" s="24">
        <v>0</v>
      </c>
      <c r="KG147" s="24">
        <v>0</v>
      </c>
      <c r="KH147" s="24">
        <v>0</v>
      </c>
      <c r="KI147" s="24">
        <v>0</v>
      </c>
      <c r="KJ147" s="24">
        <v>0</v>
      </c>
      <c r="KK147" s="24">
        <v>0</v>
      </c>
      <c r="KL147" s="24">
        <v>0</v>
      </c>
      <c r="KM147" s="24">
        <v>0</v>
      </c>
      <c r="KN147" s="24">
        <v>0</v>
      </c>
      <c r="KO147" s="24">
        <v>0</v>
      </c>
      <c r="KP147" s="24">
        <v>0</v>
      </c>
      <c r="KQ147" s="24">
        <v>0</v>
      </c>
      <c r="KR147" s="24">
        <v>0</v>
      </c>
      <c r="KS147" s="24">
        <v>0</v>
      </c>
      <c r="KT147" s="24">
        <v>0</v>
      </c>
      <c r="KU147" s="24">
        <v>0</v>
      </c>
      <c r="KV147" s="24">
        <v>0</v>
      </c>
      <c r="KW147" s="24">
        <v>0</v>
      </c>
      <c r="KX147" s="24">
        <v>0</v>
      </c>
      <c r="KY147" s="24">
        <v>0</v>
      </c>
      <c r="KZ147" s="24">
        <v>0</v>
      </c>
      <c r="LA147" s="24">
        <v>0</v>
      </c>
      <c r="LB147" s="24">
        <v>0</v>
      </c>
      <c r="LC147" s="24">
        <v>0</v>
      </c>
      <c r="LD147" s="24">
        <v>0</v>
      </c>
      <c r="LE147" s="24">
        <v>0</v>
      </c>
      <c r="LF147" s="24">
        <v>0</v>
      </c>
      <c r="LG147" s="24">
        <v>0</v>
      </c>
      <c r="LH147" s="24">
        <v>0</v>
      </c>
      <c r="LI147" s="24">
        <v>0</v>
      </c>
      <c r="LJ147" s="24">
        <v>0</v>
      </c>
      <c r="LK147" s="24">
        <v>0</v>
      </c>
      <c r="LL147" s="24">
        <v>0</v>
      </c>
      <c r="LM147" s="24">
        <v>0</v>
      </c>
      <c r="LN147" s="24">
        <v>0</v>
      </c>
      <c r="LO147" s="24">
        <v>0</v>
      </c>
      <c r="LP147" s="24">
        <v>0</v>
      </c>
      <c r="LQ147" s="24">
        <v>104202</v>
      </c>
      <c r="LR147" s="24">
        <v>0</v>
      </c>
      <c r="LS147" s="24">
        <v>0</v>
      </c>
      <c r="LT147" s="24">
        <v>0</v>
      </c>
      <c r="LU147" s="24">
        <v>0</v>
      </c>
      <c r="LV147" s="24">
        <v>0</v>
      </c>
      <c r="LW147" s="24">
        <v>0</v>
      </c>
      <c r="LX147" s="24">
        <v>0</v>
      </c>
      <c r="LY147" s="24">
        <v>28345</v>
      </c>
      <c r="LZ147" s="24">
        <v>0</v>
      </c>
      <c r="MA147" s="24">
        <v>0</v>
      </c>
      <c r="MB147" s="24">
        <v>0</v>
      </c>
      <c r="MC147" s="24">
        <v>0</v>
      </c>
      <c r="MD147" s="24">
        <v>0</v>
      </c>
      <c r="ME147" s="24">
        <v>0</v>
      </c>
      <c r="MF147" s="24">
        <v>0</v>
      </c>
      <c r="MG147" s="24">
        <v>0</v>
      </c>
      <c r="MH147" s="24">
        <v>0</v>
      </c>
      <c r="MI147" s="24">
        <v>0</v>
      </c>
      <c r="MJ147" s="24">
        <v>0</v>
      </c>
      <c r="MK147" s="24">
        <v>0</v>
      </c>
      <c r="ML147" s="24">
        <v>0</v>
      </c>
      <c r="MM147" s="24">
        <v>0</v>
      </c>
      <c r="MN147" s="24">
        <v>0</v>
      </c>
      <c r="MO147" s="24">
        <v>0</v>
      </c>
      <c r="MP147" s="24">
        <v>0</v>
      </c>
      <c r="MQ147" s="24">
        <v>0</v>
      </c>
      <c r="MR147" s="24">
        <v>0</v>
      </c>
      <c r="MS147" s="24">
        <v>0</v>
      </c>
      <c r="MT147" s="24">
        <v>0</v>
      </c>
      <c r="MU147" s="24">
        <v>0</v>
      </c>
      <c r="MV147" s="24">
        <v>0</v>
      </c>
      <c r="MW147" s="24">
        <v>76927</v>
      </c>
      <c r="MX147" s="24">
        <v>0</v>
      </c>
      <c r="MY147" s="24">
        <v>0</v>
      </c>
      <c r="MZ147" s="24">
        <v>0</v>
      </c>
      <c r="NA147" s="24">
        <v>0</v>
      </c>
      <c r="NB147" s="24">
        <v>0</v>
      </c>
      <c r="NC147" s="24">
        <v>0</v>
      </c>
      <c r="ND147" s="24">
        <v>0</v>
      </c>
      <c r="NE147" s="24">
        <v>0</v>
      </c>
      <c r="NF147" s="24">
        <v>0</v>
      </c>
      <c r="NG147" s="24">
        <v>0</v>
      </c>
      <c r="NH147" s="24">
        <v>0</v>
      </c>
      <c r="NI147" s="24">
        <v>0</v>
      </c>
      <c r="NJ147" s="24">
        <v>0</v>
      </c>
      <c r="NK147" s="24">
        <v>0</v>
      </c>
      <c r="NL147" s="24">
        <v>0</v>
      </c>
      <c r="NM147" s="24">
        <v>0</v>
      </c>
      <c r="NN147" s="24">
        <v>0</v>
      </c>
      <c r="NO147" s="24">
        <v>0</v>
      </c>
      <c r="NP147" s="24">
        <v>0</v>
      </c>
      <c r="NQ147" s="24">
        <v>0</v>
      </c>
      <c r="NR147" s="24">
        <v>0</v>
      </c>
      <c r="NS147" s="24">
        <v>0</v>
      </c>
      <c r="NT147" s="24">
        <v>0</v>
      </c>
      <c r="NU147" s="24">
        <v>0</v>
      </c>
      <c r="NV147" s="24">
        <v>0</v>
      </c>
      <c r="NW147" s="24">
        <v>0</v>
      </c>
      <c r="NX147" s="24">
        <v>0</v>
      </c>
      <c r="NY147" s="24">
        <v>0</v>
      </c>
      <c r="NZ147" s="24">
        <v>0</v>
      </c>
      <c r="OA147" s="24">
        <v>0</v>
      </c>
      <c r="OB147" s="24">
        <v>0</v>
      </c>
      <c r="OC147" s="24">
        <v>0</v>
      </c>
      <c r="OD147" s="24">
        <v>0</v>
      </c>
      <c r="OE147" s="24">
        <v>0</v>
      </c>
      <c r="OF147" s="24">
        <v>0</v>
      </c>
      <c r="OG147" s="24">
        <v>0</v>
      </c>
      <c r="OH147" s="24">
        <v>0</v>
      </c>
      <c r="OI147" s="24">
        <v>0</v>
      </c>
      <c r="OJ147" s="24">
        <v>0</v>
      </c>
      <c r="OK147" s="24">
        <v>0</v>
      </c>
      <c r="OL147" s="24">
        <v>0</v>
      </c>
      <c r="OM147" s="24">
        <v>0</v>
      </c>
      <c r="ON147" s="24">
        <v>0</v>
      </c>
      <c r="OO147" s="24">
        <v>0</v>
      </c>
      <c r="OP147" s="24">
        <v>0</v>
      </c>
      <c r="OQ147" s="24">
        <v>0</v>
      </c>
      <c r="OR147" s="24">
        <v>0</v>
      </c>
      <c r="OS147" s="24">
        <v>0</v>
      </c>
      <c r="OT147" s="24">
        <v>0</v>
      </c>
      <c r="OU147" s="24">
        <v>0</v>
      </c>
      <c r="OV147" s="24">
        <v>0</v>
      </c>
      <c r="OW147" s="24">
        <v>0</v>
      </c>
      <c r="OX147" s="24">
        <v>0</v>
      </c>
      <c r="OY147" s="24">
        <v>0</v>
      </c>
      <c r="OZ147" s="24">
        <v>0</v>
      </c>
      <c r="PA147" s="24">
        <v>0</v>
      </c>
      <c r="PB147" s="24">
        <v>0</v>
      </c>
      <c r="PC147" s="24">
        <v>0</v>
      </c>
      <c r="PD147" s="24">
        <v>0</v>
      </c>
      <c r="PE147" s="24">
        <v>0</v>
      </c>
      <c r="PF147" s="24">
        <v>0</v>
      </c>
      <c r="PG147" s="24">
        <v>0</v>
      </c>
      <c r="PH147" s="24">
        <v>0</v>
      </c>
      <c r="PI147" s="24">
        <v>0</v>
      </c>
      <c r="PJ147" s="24">
        <v>0</v>
      </c>
      <c r="PK147" s="24">
        <v>0</v>
      </c>
      <c r="PL147" s="24">
        <v>0</v>
      </c>
      <c r="PM147" s="24">
        <v>0</v>
      </c>
      <c r="PN147" s="24">
        <v>0</v>
      </c>
      <c r="PO147" s="24">
        <v>0</v>
      </c>
      <c r="PP147" s="24">
        <v>0</v>
      </c>
      <c r="PQ147" s="24">
        <v>0</v>
      </c>
      <c r="PR147" s="24">
        <v>0</v>
      </c>
      <c r="PS147" s="24">
        <v>0</v>
      </c>
      <c r="PT147" s="24">
        <v>0</v>
      </c>
      <c r="PU147" s="24">
        <v>0</v>
      </c>
      <c r="PV147" s="24">
        <v>0</v>
      </c>
      <c r="PW147" s="24">
        <v>0</v>
      </c>
      <c r="PX147" s="24">
        <v>0</v>
      </c>
      <c r="PY147" s="24">
        <v>0</v>
      </c>
      <c r="PZ147" s="24">
        <v>0</v>
      </c>
      <c r="QA147" s="24">
        <v>0</v>
      </c>
      <c r="QB147" s="24">
        <v>0</v>
      </c>
      <c r="QC147" s="24">
        <v>0</v>
      </c>
      <c r="QD147" s="24">
        <v>0</v>
      </c>
      <c r="QE147" s="24">
        <v>0</v>
      </c>
      <c r="QF147" s="24">
        <v>0</v>
      </c>
      <c r="QG147" s="24">
        <v>0</v>
      </c>
      <c r="QH147" s="24">
        <v>0</v>
      </c>
      <c r="QI147" s="24">
        <v>0</v>
      </c>
      <c r="QJ147" s="24">
        <v>0</v>
      </c>
      <c r="QK147" s="24">
        <v>0</v>
      </c>
      <c r="QL147" s="24">
        <v>0</v>
      </c>
      <c r="QM147" s="24">
        <v>0</v>
      </c>
      <c r="QN147" s="24">
        <v>0</v>
      </c>
      <c r="QO147" s="24">
        <v>0</v>
      </c>
      <c r="QP147" s="24">
        <v>0</v>
      </c>
      <c r="QQ147" s="24">
        <v>0</v>
      </c>
      <c r="QR147" s="24">
        <v>0</v>
      </c>
      <c r="QS147" s="24">
        <v>0</v>
      </c>
      <c r="QT147" s="24">
        <v>0</v>
      </c>
      <c r="QU147" s="24">
        <v>0</v>
      </c>
      <c r="QV147" s="24">
        <v>0</v>
      </c>
      <c r="QW147" s="24">
        <v>0</v>
      </c>
      <c r="QX147" s="24">
        <v>0</v>
      </c>
      <c r="QY147" s="24">
        <v>0</v>
      </c>
      <c r="QZ147" s="24">
        <v>0</v>
      </c>
      <c r="RA147" s="24">
        <v>0</v>
      </c>
      <c r="RB147" s="24">
        <v>0</v>
      </c>
      <c r="RC147" s="913">
        <v>2</v>
      </c>
      <c r="RG147" s="39">
        <f t="shared" si="248"/>
        <v>2286462</v>
      </c>
      <c r="RH147" s="39">
        <f t="shared" si="249"/>
        <v>0</v>
      </c>
      <c r="RI147" s="39">
        <f t="shared" si="249"/>
        <v>0</v>
      </c>
      <c r="RJ147" s="39">
        <f t="shared" si="249"/>
        <v>0</v>
      </c>
      <c r="RK147" s="39">
        <f t="shared" si="249"/>
        <v>0</v>
      </c>
      <c r="RL147" s="39">
        <f t="shared" si="249"/>
        <v>268420</v>
      </c>
      <c r="RM147" s="39">
        <f t="shared" si="249"/>
        <v>6819</v>
      </c>
      <c r="RN147" s="39">
        <f t="shared" si="249"/>
        <v>0</v>
      </c>
      <c r="RO147" s="39">
        <f t="shared" si="249"/>
        <v>0</v>
      </c>
      <c r="RP147" s="39">
        <f t="shared" si="249"/>
        <v>22749</v>
      </c>
      <c r="RQ147" s="39">
        <f t="shared" si="249"/>
        <v>0</v>
      </c>
      <c r="RR147" s="39">
        <f t="shared" ref="RR147:RR163" si="325">SUMIFS($C147:$RB147,$C$7:$RB$7,RR$3)</f>
        <v>171980</v>
      </c>
      <c r="RS147" s="39"/>
      <c r="RT147" s="182"/>
      <c r="RU147" s="39"/>
      <c r="RV147" s="39">
        <f t="shared" si="302"/>
        <v>209474</v>
      </c>
      <c r="RW147" s="39">
        <f t="shared" si="302"/>
        <v>2756430</v>
      </c>
      <c r="RX147" s="39">
        <f t="shared" si="302"/>
        <v>607740</v>
      </c>
      <c r="RY147" s="39">
        <f t="shared" si="302"/>
        <v>0</v>
      </c>
      <c r="RZ147" s="39"/>
      <c r="SA147" s="182"/>
      <c r="SB147" s="39"/>
      <c r="SC147" s="25">
        <f t="shared" si="303"/>
        <v>1508.0397022332506</v>
      </c>
      <c r="SD147" s="39">
        <f>IFERROR(VLOOKUP(A147, 'Levy Data 15-16'!$B:$O, 3, FALSE), 0)</f>
        <v>0</v>
      </c>
      <c r="SE147" s="39">
        <f t="shared" si="265"/>
        <v>0</v>
      </c>
      <c r="SF147" s="631">
        <f>IFERROR(VLOOKUP(A147, 'Levy Data 15-16'!$B:$O, 14, FALSE), 0)*1000</f>
        <v>0</v>
      </c>
      <c r="SG147" s="39">
        <f t="shared" si="266"/>
        <v>0</v>
      </c>
      <c r="SH147" s="39">
        <f t="shared" si="267"/>
        <v>0</v>
      </c>
      <c r="SI147" s="39">
        <f t="shared" si="268"/>
        <v>607740</v>
      </c>
      <c r="SM147" s="39">
        <f t="shared" si="269"/>
        <v>2756430</v>
      </c>
      <c r="SN147" s="39">
        <f t="shared" si="270"/>
        <v>0</v>
      </c>
      <c r="SO147" s="39">
        <f t="shared" si="304"/>
        <v>2756430</v>
      </c>
      <c r="SP147" s="50">
        <f t="shared" si="250"/>
        <v>1</v>
      </c>
      <c r="ST147" s="124">
        <f>IFERROR(VLOOKUP(A147,'Grade Enroll 15-16'!B:AC,27,FALSE),"")</f>
        <v>403</v>
      </c>
      <c r="SU147" s="124">
        <f t="shared" si="264"/>
        <v>227.29199999999997</v>
      </c>
      <c r="SV147" s="131">
        <f>IFERROR(VLOOKUP($A147, 'Title I Enroll 16-17'!S:V, 4, FALSE), 0)</f>
        <v>0.56399999999999995</v>
      </c>
      <c r="SW147" s="729">
        <f>IFERROR(VLOOKUP(A147, 'ELL Enroll 15-16'!$N:$S, 6, FALSE), 0)</f>
        <v>14</v>
      </c>
      <c r="SX147" s="131">
        <f t="shared" si="251"/>
        <v>3.4739454094292806E-2</v>
      </c>
      <c r="SY147" s="124">
        <f>IFERROR(VLOOKUP(A147, 'SPED enroll 2015-16'!$M:$O, 3, FALSE), 0)</f>
        <v>124</v>
      </c>
      <c r="SZ147" s="131">
        <f t="shared" si="252"/>
        <v>0.30769230769230771</v>
      </c>
      <c r="TA147" s="142">
        <f t="shared" si="253"/>
        <v>86.8</v>
      </c>
      <c r="TB147" s="142">
        <f t="shared" si="253"/>
        <v>24.8</v>
      </c>
      <c r="TC147" s="142">
        <f t="shared" si="253"/>
        <v>8.6800000000000015</v>
      </c>
      <c r="TD147" s="142">
        <f t="shared" si="253"/>
        <v>3.7199999999999998</v>
      </c>
      <c r="TE147" s="124">
        <f>VLOOKUP($A147, 'Grade Enroll 15-16'!$B:$AB, 20, FALSE)</f>
        <v>0</v>
      </c>
      <c r="TF147" s="124">
        <f>VLOOKUP($A147, 'Grade Enroll 15-16'!$B:$AB, 21, FALSE)</f>
        <v>4</v>
      </c>
      <c r="TG147" s="124">
        <f>VLOOKUP($A147, 'Grade Enroll 15-16'!$B:$AB, 22, FALSE)</f>
        <v>27</v>
      </c>
      <c r="TH147" s="124">
        <f>VLOOKUP($A147, 'Grade Enroll 15-16'!$B:$AB, 23, FALSE)</f>
        <v>50</v>
      </c>
      <c r="TI147" s="124">
        <f>VLOOKUP($A147, 'Grade Enroll 15-16'!$B:$AB, 24, FALSE)</f>
        <v>86</v>
      </c>
      <c r="TJ147" s="124">
        <f>VLOOKUP($A147, 'Grade Enroll 15-16'!$B:$AB, 25, FALSE)</f>
        <v>240</v>
      </c>
      <c r="TK147" s="124">
        <f>VLOOKUP($A147, 'Grade Enroll 15-16'!$B:$AB, 26, FALSE)</f>
        <v>282</v>
      </c>
      <c r="TL147" s="131">
        <f>SUMIFS('Student Achievement 15-16'!N:N, 'Student Achievement 15-16'!B:B, 'Idaho Data'!A147, 'Student Achievement 15-16'!D:D, "math")/100</f>
        <v>0.64700000000000002</v>
      </c>
      <c r="TM147" s="134">
        <f t="shared" si="305"/>
        <v>260.74099999999999</v>
      </c>
      <c r="TN147" s="131">
        <f>SUMIFS('Student Achievement 15-16'!N:N, 'Student Achievement 15-16'!B:B, 'Idaho Data'!A147, 'Student Achievement 15-16'!D:D, "ela")/100</f>
        <v>0.442</v>
      </c>
      <c r="TO147" s="134">
        <f t="shared" si="254"/>
        <v>178.126</v>
      </c>
      <c r="TP147" s="688">
        <f>IFERROR(VLOOKUP(A147, 'G&amp;T 15-16'!B:G, 6, FALSE), 0)*1</f>
        <v>0</v>
      </c>
      <c r="TQ147" s="168">
        <f t="shared" si="255"/>
        <v>24.18</v>
      </c>
      <c r="TU147" s="168">
        <f t="shared" si="256"/>
        <v>178.126</v>
      </c>
      <c r="TV147" s="168">
        <f t="shared" si="257"/>
        <v>260.74099999999999</v>
      </c>
      <c r="TW147" s="205">
        <f t="shared" si="258"/>
        <v>260.74099999999999</v>
      </c>
      <c r="TX147" s="144"/>
      <c r="TY147" s="129"/>
      <c r="TZ147" s="127">
        <f t="shared" si="259"/>
        <v>0</v>
      </c>
      <c r="UA147" s="127">
        <f t="shared" si="260"/>
        <v>24.18</v>
      </c>
      <c r="UB147" s="205">
        <f t="shared" si="261"/>
        <v>24.18</v>
      </c>
      <c r="UE147" s="853" t="str">
        <f>IF(ST147&lt;='1. Simulator Input'!$E$104, "yes", "")</f>
        <v/>
      </c>
      <c r="UI147" s="199">
        <f t="shared" si="306"/>
        <v>0</v>
      </c>
      <c r="UJ147" s="200">
        <f>IF('Idaho Data'!SI147&gt;=0, ((1-'1. Simulator Input'!$E$39)*'Idaho Data'!SI147), 0)</f>
        <v>0</v>
      </c>
      <c r="UK147" s="200">
        <f t="shared" si="262"/>
        <v>2756430</v>
      </c>
      <c r="UL147" s="39"/>
      <c r="UM147" s="182"/>
      <c r="UN147" s="39"/>
      <c r="UO147" s="39" t="str">
        <f>IF(AND('1. Simulator Input'!$E$96="yes", '1. Simulator Input'!$E$98="yes", '1. Simulator Input'!$E$100="hold harmless"), 'Idaho Data'!WN147, IF(AND('1. Simulator Input'!$E$96="yes", '1. Simulator Input'!$E$98="no", '1. Simulator Input'!$E$100="hold harmless"), 'Idaho Data'!WM147, IF(AND('1. Simulator Input'!$E$96="yes", '1. Simulator Input'!$E$98="yes", '1. Simulator Input'!$E$100="small district grant"), WL147,IF(AND('1. Simulator Input'!$E$96="yes", '1. Simulator Input'!$E$98="no", '1. Simulator Input'!$E$100="small district grant"), WK147, ""))))</f>
        <v/>
      </c>
      <c r="UP147" s="200">
        <f>'1. Simulator Input'!$D$56*('Idaho Data'!ST147)</f>
        <v>2226978</v>
      </c>
      <c r="UQ147" s="204">
        <f>'1. Simulator Input'!$D$65*'1. Simulator Input'!$D$56*'Idaho Data'!SU147</f>
        <v>0</v>
      </c>
      <c r="UR147" s="204">
        <f>'1. Simulator Input'!$D$66*'1. Simulator Input'!$D$56*'Idaho Data'!SW147</f>
        <v>0</v>
      </c>
      <c r="US147" s="200">
        <f>'1. Simulator Input'!$D$67*'1. Simulator Input'!$D$56*'Idaho Data'!TA147</f>
        <v>0</v>
      </c>
      <c r="UT147" s="200">
        <f>'1. Simulator Input'!$D$68*'1. Simulator Input'!$D$56*'Idaho Data'!TB147</f>
        <v>0</v>
      </c>
      <c r="UU147" s="200">
        <f>'1. Simulator Input'!$D$69*'1. Simulator Input'!$D$56*'Idaho Data'!TC147</f>
        <v>0</v>
      </c>
      <c r="UV147" s="200">
        <f>'1. Simulator Input'!$D$70*'1. Simulator Input'!$D$56*TD147</f>
        <v>0</v>
      </c>
      <c r="UW147" s="200">
        <f>'1. Simulator Input'!$D$80*'1. Simulator Input'!$D$56*TW147</f>
        <v>0</v>
      </c>
      <c r="UX147" s="200">
        <f>'1. Simulator Input'!$D$79*'1. Simulator Input'!$D$56*UB147</f>
        <v>0</v>
      </c>
      <c r="UY147" s="200">
        <f>'1. Simulator Input'!$D$87*'1. Simulator Input'!$D$56*TF147</f>
        <v>11052</v>
      </c>
      <c r="UZ147" s="200">
        <f>'1. Simulator Input'!$D$73*'1. Simulator Input'!$D$56*'Idaho Data'!TG147</f>
        <v>0</v>
      </c>
      <c r="VA147" s="200">
        <f>'1. Simulator Input'!$D$56*'1. Simulator Input'!$D$74*'Idaho Data'!TH147</f>
        <v>0</v>
      </c>
      <c r="VB147" s="200">
        <f>'1. Simulator Input'!$D$56*'1. Simulator Input'!$D$75*'Idaho Data'!TI142</f>
        <v>0</v>
      </c>
      <c r="VC147" s="200">
        <f>'1. Simulator Input'!$D$76*'1. Simulator Input'!$D$56*'Idaho Data'!TJ147</f>
        <v>0</v>
      </c>
      <c r="VD147" s="200">
        <f t="shared" si="307"/>
        <v>2238030</v>
      </c>
      <c r="VE147" s="200"/>
      <c r="VF147" s="182"/>
      <c r="VG147" s="200"/>
      <c r="VH147" s="200">
        <f t="shared" si="308"/>
        <v>0</v>
      </c>
      <c r="VI147" s="200">
        <f t="shared" si="309"/>
        <v>0</v>
      </c>
      <c r="VJ147" s="200">
        <f t="shared" si="271"/>
        <v>2238030</v>
      </c>
      <c r="VK147" s="200">
        <f t="shared" si="272"/>
        <v>2238030</v>
      </c>
      <c r="VL147" s="200"/>
      <c r="VM147" s="182"/>
      <c r="VN147" s="200"/>
      <c r="VO147" s="200">
        <f t="shared" si="310"/>
        <v>209474</v>
      </c>
      <c r="VP147" s="200">
        <f t="shared" si="311"/>
        <v>2756430</v>
      </c>
      <c r="VQ147" s="200">
        <f t="shared" si="312"/>
        <v>607740</v>
      </c>
      <c r="VR147" s="200">
        <f t="shared" si="313"/>
        <v>209474</v>
      </c>
      <c r="VS147" s="200">
        <f t="shared" si="273"/>
        <v>2238030</v>
      </c>
      <c r="VT147" s="200">
        <f t="shared" si="274"/>
        <v>607740</v>
      </c>
      <c r="VU147" s="200">
        <f t="shared" si="275"/>
        <v>0</v>
      </c>
      <c r="VV147" s="200"/>
      <c r="VW147" s="182"/>
      <c r="VX147" s="200"/>
      <c r="VZ147" s="199">
        <f t="shared" si="314"/>
        <v>-518400</v>
      </c>
      <c r="WA147" s="199">
        <f t="shared" si="315"/>
        <v>-1286.3523573200991</v>
      </c>
      <c r="WB147" s="131">
        <f t="shared" si="316"/>
        <v>-0.18806935057302379</v>
      </c>
      <c r="WC147" s="131"/>
      <c r="WD147" s="461"/>
      <c r="WE147" s="893"/>
      <c r="WF147" s="893">
        <f t="shared" si="317"/>
        <v>8867.6029776674932</v>
      </c>
      <c r="WG147" s="893">
        <f t="shared" si="318"/>
        <v>7581.2506203473949</v>
      </c>
      <c r="WH147" s="893"/>
      <c r="WI147" s="893">
        <f t="shared" si="319"/>
        <v>2756430</v>
      </c>
      <c r="WJ147" s="893">
        <f t="shared" si="276"/>
        <v>2238030</v>
      </c>
      <c r="WK147" s="39" t="str">
        <f t="shared" si="277"/>
        <v/>
      </c>
      <c r="WL147" s="39" t="str">
        <f t="shared" si="278"/>
        <v/>
      </c>
      <c r="WM147" s="200" t="str">
        <f t="shared" si="279"/>
        <v/>
      </c>
      <c r="WN147" s="39" t="str">
        <f t="shared" si="280"/>
        <v/>
      </c>
      <c r="WO147" s="39"/>
      <c r="WP147" s="182"/>
      <c r="WQ147" s="39"/>
      <c r="WR147" s="305"/>
      <c r="WT147" s="200">
        <f t="shared" si="281"/>
        <v>6839.7766749379653</v>
      </c>
      <c r="WU147" s="131">
        <f t="shared" si="320"/>
        <v>0.55000000000000004</v>
      </c>
      <c r="WW147" s="199">
        <f t="shared" si="282"/>
        <v>209474</v>
      </c>
      <c r="WX147" s="199">
        <f t="shared" si="283"/>
        <v>2238030</v>
      </c>
      <c r="WY147" s="199">
        <f t="shared" si="284"/>
        <v>0</v>
      </c>
      <c r="WZ147" s="199">
        <f t="shared" si="321"/>
        <v>2238030</v>
      </c>
      <c r="XA147" s="199">
        <f t="shared" si="285"/>
        <v>0</v>
      </c>
      <c r="XB147" s="199">
        <f t="shared" si="286"/>
        <v>607740</v>
      </c>
      <c r="XC147" s="199">
        <f t="shared" si="287"/>
        <v>607740</v>
      </c>
      <c r="XD147" s="199" t="str">
        <f t="shared" si="288"/>
        <v/>
      </c>
      <c r="XE147" s="199"/>
      <c r="XF147" s="199"/>
      <c r="XG147" s="199"/>
      <c r="XH147" s="199"/>
      <c r="XI147" s="199"/>
      <c r="XJ147" s="199">
        <f t="shared" si="322"/>
        <v>2238030</v>
      </c>
      <c r="XP147" s="199">
        <f t="shared" si="289"/>
        <v>2238030</v>
      </c>
      <c r="XQ147" s="199">
        <f t="shared" si="290"/>
        <v>5553.4243176178661</v>
      </c>
      <c r="XR147" s="199">
        <f t="shared" si="291"/>
        <v>2238030</v>
      </c>
      <c r="XS147" s="199">
        <f t="shared" si="292"/>
        <v>2238030</v>
      </c>
      <c r="XT147" s="199">
        <f t="shared" si="293"/>
        <v>5553.4243176178661</v>
      </c>
      <c r="XU147" s="199">
        <f t="shared" si="294"/>
        <v>2756430</v>
      </c>
      <c r="XV147" s="199">
        <f t="shared" si="295"/>
        <v>6839.7766749379653</v>
      </c>
      <c r="XW147" s="199">
        <f t="shared" si="296"/>
        <v>2756430</v>
      </c>
      <c r="XX147" s="199">
        <f t="shared" si="297"/>
        <v>6839.7766749379653</v>
      </c>
      <c r="XY147" s="199">
        <f t="shared" si="323"/>
        <v>-518400</v>
      </c>
      <c r="XZ147" s="199">
        <f t="shared" si="324"/>
        <v>-1286.3523573200991</v>
      </c>
      <c r="YA147" s="131">
        <f t="shared" si="263"/>
        <v>-0.18806935057302379</v>
      </c>
      <c r="YB147" s="199"/>
      <c r="YC147" s="221"/>
      <c r="YD147" s="199"/>
      <c r="YE147" s="199">
        <f t="shared" si="298"/>
        <v>209474</v>
      </c>
      <c r="YF147" s="200">
        <f t="shared" si="299"/>
        <v>0</v>
      </c>
      <c r="YG147" s="199">
        <f t="shared" si="300"/>
        <v>607740</v>
      </c>
      <c r="YH147" s="199">
        <f t="shared" si="301"/>
        <v>0</v>
      </c>
    </row>
    <row r="148" spans="1:658">
      <c r="A148" s="3">
        <v>477</v>
      </c>
      <c r="B148" s="2" t="s">
        <v>1491</v>
      </c>
      <c r="C148" s="24">
        <v>0</v>
      </c>
      <c r="D148" s="24">
        <v>0</v>
      </c>
      <c r="E148" s="24">
        <v>0</v>
      </c>
      <c r="F148" s="24">
        <v>0</v>
      </c>
      <c r="G148" s="24">
        <v>0</v>
      </c>
      <c r="H148" s="24">
        <v>0</v>
      </c>
      <c r="I148" s="24">
        <v>0</v>
      </c>
      <c r="J148" s="24">
        <v>0</v>
      </c>
      <c r="K148" s="24">
        <v>0</v>
      </c>
      <c r="L148" s="24">
        <v>0</v>
      </c>
      <c r="M148" s="24">
        <v>0</v>
      </c>
      <c r="N148" s="24">
        <v>0</v>
      </c>
      <c r="O148" s="24">
        <v>0</v>
      </c>
      <c r="P148" s="24">
        <v>0</v>
      </c>
      <c r="Q148" s="24">
        <v>0</v>
      </c>
      <c r="R148" s="24">
        <v>0</v>
      </c>
      <c r="S148" s="24">
        <v>0</v>
      </c>
      <c r="T148" s="24">
        <v>0</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AL148" s="24">
        <v>177</v>
      </c>
      <c r="AM148" s="24">
        <v>0</v>
      </c>
      <c r="AN148" s="24">
        <v>0</v>
      </c>
      <c r="AO148" s="24">
        <v>0</v>
      </c>
      <c r="AP148" s="24">
        <v>0</v>
      </c>
      <c r="AQ148" s="24">
        <v>0</v>
      </c>
      <c r="AR148" s="24">
        <v>0</v>
      </c>
      <c r="AS148" s="24">
        <v>0</v>
      </c>
      <c r="AT148" s="24">
        <v>0</v>
      </c>
      <c r="AU148" s="24">
        <v>0</v>
      </c>
      <c r="AV148" s="24">
        <v>0</v>
      </c>
      <c r="AW148" s="24">
        <v>0</v>
      </c>
      <c r="AX148" s="24">
        <v>0</v>
      </c>
      <c r="AY148" s="24">
        <v>0</v>
      </c>
      <c r="AZ148" s="24">
        <v>0</v>
      </c>
      <c r="BA148" s="24">
        <v>0</v>
      </c>
      <c r="BB148" s="24">
        <v>0</v>
      </c>
      <c r="BC148" s="24">
        <v>0</v>
      </c>
      <c r="BD148" s="24">
        <v>0</v>
      </c>
      <c r="BE148" s="24">
        <v>0</v>
      </c>
      <c r="BF148" s="24">
        <v>0</v>
      </c>
      <c r="BG148" s="24">
        <v>0</v>
      </c>
      <c r="BH148" s="24">
        <v>0</v>
      </c>
      <c r="BI148" s="24">
        <v>0</v>
      </c>
      <c r="BJ148" s="24">
        <v>0</v>
      </c>
      <c r="BK148" s="24">
        <v>0</v>
      </c>
      <c r="BL148" s="24">
        <v>0</v>
      </c>
      <c r="BM148" s="24">
        <v>0</v>
      </c>
      <c r="BN148" s="24">
        <v>0</v>
      </c>
      <c r="BO148" s="24">
        <v>0</v>
      </c>
      <c r="BP148" s="24">
        <v>0</v>
      </c>
      <c r="BQ148" s="24">
        <v>0</v>
      </c>
      <c r="BR148" s="24">
        <v>0</v>
      </c>
      <c r="BS148" s="24">
        <v>0</v>
      </c>
      <c r="BT148" s="24">
        <v>0</v>
      </c>
      <c r="BU148" s="24">
        <v>0</v>
      </c>
      <c r="BV148" s="24">
        <v>0</v>
      </c>
      <c r="BW148" s="24">
        <v>0</v>
      </c>
      <c r="BX148" s="24">
        <v>0</v>
      </c>
      <c r="BY148" s="24">
        <v>0</v>
      </c>
      <c r="BZ148" s="24">
        <v>0</v>
      </c>
      <c r="CA148" s="24">
        <v>0</v>
      </c>
      <c r="CB148" s="24">
        <v>0</v>
      </c>
      <c r="CC148" s="24">
        <v>0</v>
      </c>
      <c r="CD148" s="24">
        <v>0</v>
      </c>
      <c r="CE148" s="24">
        <v>0</v>
      </c>
      <c r="CF148" s="24">
        <v>0</v>
      </c>
      <c r="CG148" s="24">
        <v>0</v>
      </c>
      <c r="CH148" s="24">
        <v>0</v>
      </c>
      <c r="CI148" s="24">
        <v>0</v>
      </c>
      <c r="CJ148" s="24">
        <v>0</v>
      </c>
      <c r="CK148" s="24">
        <v>0</v>
      </c>
      <c r="CL148" s="24">
        <v>0</v>
      </c>
      <c r="CM148" s="24">
        <v>0</v>
      </c>
      <c r="CN148" s="24">
        <v>0</v>
      </c>
      <c r="CO148" s="24">
        <v>0</v>
      </c>
      <c r="CP148" s="24">
        <v>0</v>
      </c>
      <c r="CQ148" s="24">
        <v>0</v>
      </c>
      <c r="CR148" s="24">
        <v>0</v>
      </c>
      <c r="CS148" s="24">
        <v>0</v>
      </c>
      <c r="CT148" s="24">
        <v>0</v>
      </c>
      <c r="CU148" s="24">
        <v>0</v>
      </c>
      <c r="CV148" s="24">
        <v>0</v>
      </c>
      <c r="CW148" s="24">
        <v>0</v>
      </c>
      <c r="CX148" s="24">
        <v>0</v>
      </c>
      <c r="CY148" s="24">
        <v>0</v>
      </c>
      <c r="CZ148" s="24">
        <v>0</v>
      </c>
      <c r="DA148" s="24">
        <v>0</v>
      </c>
      <c r="DB148" s="24">
        <v>0</v>
      </c>
      <c r="DC148" s="24">
        <v>0</v>
      </c>
      <c r="DD148" s="24">
        <v>0</v>
      </c>
      <c r="DE148" s="24">
        <v>0</v>
      </c>
      <c r="DF148" s="24">
        <v>0</v>
      </c>
      <c r="DG148" s="24">
        <v>0</v>
      </c>
      <c r="DH148" s="24">
        <v>0</v>
      </c>
      <c r="DI148" s="24">
        <v>0</v>
      </c>
      <c r="DJ148" s="24">
        <v>0</v>
      </c>
      <c r="DK148" s="24">
        <v>0</v>
      </c>
      <c r="DL148" s="24">
        <v>0</v>
      </c>
      <c r="DM148" s="24">
        <v>0</v>
      </c>
      <c r="DN148" s="24">
        <v>0</v>
      </c>
      <c r="DO148" s="24">
        <v>0</v>
      </c>
      <c r="DP148" s="24">
        <v>0</v>
      </c>
      <c r="DQ148" s="24">
        <v>0</v>
      </c>
      <c r="DR148" s="24">
        <v>0</v>
      </c>
      <c r="DS148" s="24">
        <v>0</v>
      </c>
      <c r="DT148" s="24">
        <v>0</v>
      </c>
      <c r="DU148" s="24">
        <v>0</v>
      </c>
      <c r="DV148" s="24">
        <v>0</v>
      </c>
      <c r="DW148" s="24">
        <v>0</v>
      </c>
      <c r="DX148" s="24">
        <v>0</v>
      </c>
      <c r="DY148" s="24">
        <v>0</v>
      </c>
      <c r="DZ148" s="24">
        <v>0</v>
      </c>
      <c r="EA148" s="24">
        <v>0</v>
      </c>
      <c r="EB148" s="24">
        <v>0</v>
      </c>
      <c r="EC148" s="24">
        <v>0</v>
      </c>
      <c r="ED148" s="24">
        <v>0</v>
      </c>
      <c r="EE148" s="24">
        <v>0</v>
      </c>
      <c r="EF148" s="24">
        <v>0</v>
      </c>
      <c r="EG148" s="24">
        <v>3625</v>
      </c>
      <c r="EH148" s="24">
        <v>0</v>
      </c>
      <c r="EI148" s="24">
        <v>0</v>
      </c>
      <c r="EJ148" s="24">
        <v>0</v>
      </c>
      <c r="EK148" s="24">
        <v>0</v>
      </c>
      <c r="EL148" s="24">
        <v>0</v>
      </c>
      <c r="EM148" s="24">
        <v>0</v>
      </c>
      <c r="EN148" s="24">
        <v>0</v>
      </c>
      <c r="EO148" s="24">
        <v>0</v>
      </c>
      <c r="EP148" s="24">
        <v>0</v>
      </c>
      <c r="EQ148" s="24">
        <v>0</v>
      </c>
      <c r="ER148" s="24">
        <v>0</v>
      </c>
      <c r="ES148" s="24">
        <v>0</v>
      </c>
      <c r="ET148" s="24">
        <v>0</v>
      </c>
      <c r="EU148" s="24">
        <v>0</v>
      </c>
      <c r="EV148" s="24">
        <v>0</v>
      </c>
      <c r="EW148" s="24">
        <v>0</v>
      </c>
      <c r="EX148" s="24">
        <v>0</v>
      </c>
      <c r="EY148" s="24">
        <v>0</v>
      </c>
      <c r="EZ148" s="24">
        <v>0</v>
      </c>
      <c r="FA148" s="24">
        <v>0</v>
      </c>
      <c r="FB148" s="24">
        <v>0</v>
      </c>
      <c r="FC148" s="24">
        <v>0</v>
      </c>
      <c r="FD148" s="24">
        <v>0</v>
      </c>
      <c r="FE148" s="24">
        <v>0</v>
      </c>
      <c r="FF148" s="24">
        <v>0</v>
      </c>
      <c r="FG148" s="24">
        <v>0</v>
      </c>
      <c r="FH148" s="24">
        <v>0</v>
      </c>
      <c r="FI148" s="24">
        <v>0</v>
      </c>
      <c r="FJ148" s="24">
        <v>0</v>
      </c>
      <c r="FK148" s="24">
        <v>0</v>
      </c>
      <c r="FL148" s="24">
        <v>0</v>
      </c>
      <c r="FM148" s="24">
        <v>0</v>
      </c>
      <c r="FN148" s="24">
        <v>0</v>
      </c>
      <c r="FO148" s="24">
        <v>0</v>
      </c>
      <c r="FP148" s="24">
        <v>0</v>
      </c>
      <c r="FQ148" s="24">
        <v>0</v>
      </c>
      <c r="FR148" s="24">
        <v>0</v>
      </c>
      <c r="FS148" s="24">
        <v>40660</v>
      </c>
      <c r="FT148" s="24">
        <v>0</v>
      </c>
      <c r="FU148" s="24">
        <v>0</v>
      </c>
      <c r="FV148" s="24">
        <v>0</v>
      </c>
      <c r="FW148" s="24">
        <v>0</v>
      </c>
      <c r="FX148" s="24">
        <v>0</v>
      </c>
      <c r="FY148" s="24">
        <v>0</v>
      </c>
      <c r="FZ148" s="24">
        <v>0</v>
      </c>
      <c r="GA148" s="24">
        <v>0</v>
      </c>
      <c r="GB148" s="24">
        <v>0</v>
      </c>
      <c r="GC148" s="24">
        <v>0</v>
      </c>
      <c r="GD148" s="24">
        <v>0</v>
      </c>
      <c r="GE148" s="24">
        <v>0</v>
      </c>
      <c r="GF148" s="24">
        <v>0</v>
      </c>
      <c r="GG148" s="24">
        <v>0</v>
      </c>
      <c r="GH148" s="24">
        <v>0</v>
      </c>
      <c r="GI148" s="24">
        <v>0</v>
      </c>
      <c r="GJ148" s="24">
        <v>0</v>
      </c>
      <c r="GK148" s="24">
        <v>0</v>
      </c>
      <c r="GL148" s="24">
        <v>0</v>
      </c>
      <c r="GM148" s="24">
        <v>0</v>
      </c>
      <c r="GN148" s="24">
        <v>0</v>
      </c>
      <c r="GO148" s="24">
        <v>0</v>
      </c>
      <c r="GP148" s="24">
        <v>0</v>
      </c>
      <c r="GQ148" s="24">
        <v>0</v>
      </c>
      <c r="GR148" s="24">
        <v>0</v>
      </c>
      <c r="GS148" s="24">
        <v>0</v>
      </c>
      <c r="GT148" s="24">
        <v>0</v>
      </c>
      <c r="GU148" s="24">
        <v>0</v>
      </c>
      <c r="GV148" s="24">
        <v>0</v>
      </c>
      <c r="GW148" s="24">
        <v>0</v>
      </c>
      <c r="GX148" s="24">
        <v>0</v>
      </c>
      <c r="GY148" s="24">
        <v>0</v>
      </c>
      <c r="GZ148" s="24">
        <v>0</v>
      </c>
      <c r="HA148" s="24">
        <v>0</v>
      </c>
      <c r="HB148" s="24">
        <v>0</v>
      </c>
      <c r="HC148" s="24">
        <v>0</v>
      </c>
      <c r="HD148" s="24">
        <v>1654507</v>
      </c>
      <c r="HE148" s="24">
        <v>0</v>
      </c>
      <c r="HF148" s="24">
        <v>0</v>
      </c>
      <c r="HG148" s="24">
        <v>0</v>
      </c>
      <c r="HH148" s="24">
        <v>0</v>
      </c>
      <c r="HI148" s="24">
        <v>0</v>
      </c>
      <c r="HJ148" s="24">
        <v>0</v>
      </c>
      <c r="HK148" s="24">
        <v>0</v>
      </c>
      <c r="HL148" s="24">
        <v>0</v>
      </c>
      <c r="HM148" s="24">
        <v>0</v>
      </c>
      <c r="HN148" s="24">
        <v>0</v>
      </c>
      <c r="HO148" s="24">
        <v>209410</v>
      </c>
      <c r="HP148" s="24">
        <v>210475</v>
      </c>
      <c r="HQ148" s="24">
        <v>0</v>
      </c>
      <c r="HR148" s="24">
        <v>0</v>
      </c>
      <c r="HS148" s="24">
        <v>0</v>
      </c>
      <c r="HT148" s="24">
        <v>0</v>
      </c>
      <c r="HU148" s="24">
        <v>0</v>
      </c>
      <c r="HV148" s="24">
        <v>0</v>
      </c>
      <c r="HW148" s="24">
        <v>0</v>
      </c>
      <c r="HX148" s="24">
        <v>0</v>
      </c>
      <c r="HY148" s="24">
        <v>0</v>
      </c>
      <c r="HZ148" s="24">
        <v>0</v>
      </c>
      <c r="IA148" s="24">
        <v>0</v>
      </c>
      <c r="IB148" s="24">
        <v>0</v>
      </c>
      <c r="IC148" s="24">
        <v>0</v>
      </c>
      <c r="ID148" s="24">
        <v>0</v>
      </c>
      <c r="IE148" s="24">
        <v>0</v>
      </c>
      <c r="IF148" s="24">
        <v>0</v>
      </c>
      <c r="IG148" s="24">
        <v>0</v>
      </c>
      <c r="IH148" s="24">
        <v>0</v>
      </c>
      <c r="II148" s="24">
        <v>0</v>
      </c>
      <c r="IJ148" s="24">
        <v>0</v>
      </c>
      <c r="IK148" s="24">
        <v>0</v>
      </c>
      <c r="IL148" s="24">
        <v>0</v>
      </c>
      <c r="IM148" s="24">
        <v>0</v>
      </c>
      <c r="IN148" s="24">
        <v>0</v>
      </c>
      <c r="IO148" s="24">
        <v>0</v>
      </c>
      <c r="IP148" s="24">
        <v>0</v>
      </c>
      <c r="IQ148" s="24">
        <v>0</v>
      </c>
      <c r="IR148" s="24">
        <v>0</v>
      </c>
      <c r="IS148" s="24">
        <v>0</v>
      </c>
      <c r="IT148" s="24">
        <v>0</v>
      </c>
      <c r="IU148" s="24">
        <v>0</v>
      </c>
      <c r="IV148" s="24">
        <v>0</v>
      </c>
      <c r="IW148" s="24">
        <v>20916</v>
      </c>
      <c r="IX148" s="24">
        <v>0</v>
      </c>
      <c r="IY148" s="24">
        <v>0</v>
      </c>
      <c r="IZ148" s="24">
        <v>0</v>
      </c>
      <c r="JA148" s="24">
        <v>0</v>
      </c>
      <c r="JB148" s="24">
        <v>0</v>
      </c>
      <c r="JC148" s="24">
        <v>0</v>
      </c>
      <c r="JD148" s="24">
        <v>0</v>
      </c>
      <c r="JE148" s="24">
        <v>0</v>
      </c>
      <c r="JF148" s="24">
        <v>0</v>
      </c>
      <c r="JG148" s="24">
        <v>0</v>
      </c>
      <c r="JH148" s="24">
        <v>0</v>
      </c>
      <c r="JI148" s="24">
        <v>0</v>
      </c>
      <c r="JJ148" s="24">
        <v>0</v>
      </c>
      <c r="JK148" s="24">
        <v>0</v>
      </c>
      <c r="JL148" s="24">
        <v>0</v>
      </c>
      <c r="JM148" s="24">
        <v>0</v>
      </c>
      <c r="JN148" s="24">
        <v>0</v>
      </c>
      <c r="JO148" s="24">
        <v>0</v>
      </c>
      <c r="JP148" s="24">
        <v>0</v>
      </c>
      <c r="JQ148" s="24">
        <v>0</v>
      </c>
      <c r="JR148" s="24">
        <v>0</v>
      </c>
      <c r="JS148" s="24">
        <v>0</v>
      </c>
      <c r="JT148" s="24">
        <v>21918</v>
      </c>
      <c r="JU148" s="24">
        <v>6509</v>
      </c>
      <c r="JV148" s="24">
        <v>0</v>
      </c>
      <c r="JW148" s="24">
        <v>0</v>
      </c>
      <c r="JX148" s="24">
        <v>0</v>
      </c>
      <c r="JY148" s="24">
        <v>0</v>
      </c>
      <c r="JZ148" s="24">
        <v>0</v>
      </c>
      <c r="KA148" s="24">
        <v>0</v>
      </c>
      <c r="KB148" s="24">
        <v>0</v>
      </c>
      <c r="KC148" s="24">
        <v>0</v>
      </c>
      <c r="KD148" s="24">
        <v>0</v>
      </c>
      <c r="KE148" s="24">
        <v>0</v>
      </c>
      <c r="KF148" s="24">
        <v>0</v>
      </c>
      <c r="KG148" s="24">
        <v>0</v>
      </c>
      <c r="KH148" s="24">
        <v>0</v>
      </c>
      <c r="KI148" s="24">
        <v>0</v>
      </c>
      <c r="KJ148" s="24">
        <v>0</v>
      </c>
      <c r="KK148" s="24">
        <v>0</v>
      </c>
      <c r="KL148" s="24">
        <v>0</v>
      </c>
      <c r="KM148" s="24">
        <v>0</v>
      </c>
      <c r="KN148" s="24">
        <v>0</v>
      </c>
      <c r="KO148" s="24">
        <v>0</v>
      </c>
      <c r="KP148" s="24">
        <v>0</v>
      </c>
      <c r="KQ148" s="24">
        <v>0</v>
      </c>
      <c r="KR148" s="24">
        <v>0</v>
      </c>
      <c r="KS148" s="24">
        <v>0</v>
      </c>
      <c r="KT148" s="24">
        <v>0</v>
      </c>
      <c r="KU148" s="24">
        <v>0</v>
      </c>
      <c r="KV148" s="24">
        <v>0</v>
      </c>
      <c r="KW148" s="24">
        <v>0</v>
      </c>
      <c r="KX148" s="24">
        <v>0</v>
      </c>
      <c r="KY148" s="24">
        <v>0</v>
      </c>
      <c r="KZ148" s="24">
        <v>0</v>
      </c>
      <c r="LA148" s="24">
        <v>0</v>
      </c>
      <c r="LB148" s="24">
        <v>0</v>
      </c>
      <c r="LC148" s="24">
        <v>0</v>
      </c>
      <c r="LD148" s="24">
        <v>0</v>
      </c>
      <c r="LE148" s="24">
        <v>0</v>
      </c>
      <c r="LF148" s="24">
        <v>0</v>
      </c>
      <c r="LG148" s="24">
        <v>0</v>
      </c>
      <c r="LH148" s="24">
        <v>0</v>
      </c>
      <c r="LI148" s="24">
        <v>0</v>
      </c>
      <c r="LJ148" s="24">
        <v>0</v>
      </c>
      <c r="LK148" s="24">
        <v>0</v>
      </c>
      <c r="LL148" s="24">
        <v>0</v>
      </c>
      <c r="LM148" s="24">
        <v>0</v>
      </c>
      <c r="LN148" s="24">
        <v>0</v>
      </c>
      <c r="LO148" s="24">
        <v>0</v>
      </c>
      <c r="LP148" s="24">
        <v>0</v>
      </c>
      <c r="LQ148" s="24">
        <v>45344</v>
      </c>
      <c r="LR148" s="24">
        <v>0</v>
      </c>
      <c r="LS148" s="24">
        <v>0</v>
      </c>
      <c r="LT148" s="24">
        <v>0</v>
      </c>
      <c r="LU148" s="24">
        <v>0</v>
      </c>
      <c r="LV148" s="24">
        <v>0</v>
      </c>
      <c r="LW148" s="24">
        <v>0</v>
      </c>
      <c r="LX148" s="24">
        <v>0</v>
      </c>
      <c r="LY148" s="24">
        <v>6620</v>
      </c>
      <c r="LZ148" s="24">
        <v>0</v>
      </c>
      <c r="MA148" s="24">
        <v>0</v>
      </c>
      <c r="MB148" s="24">
        <v>0</v>
      </c>
      <c r="MC148" s="24">
        <v>0</v>
      </c>
      <c r="MD148" s="24">
        <v>0</v>
      </c>
      <c r="ME148" s="24">
        <v>0</v>
      </c>
      <c r="MF148" s="24">
        <v>0</v>
      </c>
      <c r="MG148" s="24">
        <v>0</v>
      </c>
      <c r="MH148" s="24">
        <v>0</v>
      </c>
      <c r="MI148" s="24">
        <v>0</v>
      </c>
      <c r="MJ148" s="24">
        <v>0</v>
      </c>
      <c r="MK148" s="24">
        <v>0</v>
      </c>
      <c r="ML148" s="24">
        <v>0</v>
      </c>
      <c r="MM148" s="24">
        <v>0</v>
      </c>
      <c r="MN148" s="24">
        <v>0</v>
      </c>
      <c r="MO148" s="24">
        <v>0</v>
      </c>
      <c r="MP148" s="24">
        <v>0</v>
      </c>
      <c r="MQ148" s="24">
        <v>0</v>
      </c>
      <c r="MR148" s="24">
        <v>0</v>
      </c>
      <c r="MS148" s="24">
        <v>0</v>
      </c>
      <c r="MT148" s="24">
        <v>0</v>
      </c>
      <c r="MU148" s="24">
        <v>0</v>
      </c>
      <c r="MV148" s="24">
        <v>0</v>
      </c>
      <c r="MW148" s="24">
        <v>51674</v>
      </c>
      <c r="MX148" s="24">
        <v>0</v>
      </c>
      <c r="MY148" s="24">
        <v>0</v>
      </c>
      <c r="MZ148" s="24">
        <v>0</v>
      </c>
      <c r="NA148" s="24">
        <v>0</v>
      </c>
      <c r="NB148" s="24">
        <v>0</v>
      </c>
      <c r="NC148" s="24">
        <v>0</v>
      </c>
      <c r="ND148" s="24">
        <v>0</v>
      </c>
      <c r="NE148" s="24">
        <v>0</v>
      </c>
      <c r="NF148" s="24">
        <v>0</v>
      </c>
      <c r="NG148" s="24">
        <v>0</v>
      </c>
      <c r="NH148" s="24">
        <v>0</v>
      </c>
      <c r="NI148" s="24">
        <v>0</v>
      </c>
      <c r="NJ148" s="24">
        <v>0</v>
      </c>
      <c r="NK148" s="24">
        <v>0</v>
      </c>
      <c r="NL148" s="24">
        <v>0</v>
      </c>
      <c r="NM148" s="24">
        <v>0</v>
      </c>
      <c r="NN148" s="24">
        <v>0</v>
      </c>
      <c r="NO148" s="24">
        <v>0</v>
      </c>
      <c r="NP148" s="24">
        <v>0</v>
      </c>
      <c r="NQ148" s="24">
        <v>21963</v>
      </c>
      <c r="NR148" s="24">
        <v>0</v>
      </c>
      <c r="NS148" s="24">
        <v>0</v>
      </c>
      <c r="NT148" s="24">
        <v>0</v>
      </c>
      <c r="NU148" s="24">
        <v>0</v>
      </c>
      <c r="NV148" s="24">
        <v>0</v>
      </c>
      <c r="NW148" s="24">
        <v>0</v>
      </c>
      <c r="NX148" s="24">
        <v>0</v>
      </c>
      <c r="NY148" s="24">
        <v>0</v>
      </c>
      <c r="NZ148" s="24">
        <v>0</v>
      </c>
      <c r="OA148" s="24">
        <v>0</v>
      </c>
      <c r="OB148" s="24">
        <v>0</v>
      </c>
      <c r="OC148" s="24">
        <v>0</v>
      </c>
      <c r="OD148" s="24">
        <v>0</v>
      </c>
      <c r="OE148" s="24">
        <v>0</v>
      </c>
      <c r="OF148" s="24">
        <v>0</v>
      </c>
      <c r="OG148" s="24">
        <v>0</v>
      </c>
      <c r="OH148" s="24">
        <v>0</v>
      </c>
      <c r="OI148" s="24">
        <v>0</v>
      </c>
      <c r="OJ148" s="24">
        <v>0</v>
      </c>
      <c r="OK148" s="24">
        <v>0</v>
      </c>
      <c r="OL148" s="24">
        <v>0</v>
      </c>
      <c r="OM148" s="24">
        <v>0</v>
      </c>
      <c r="ON148" s="24">
        <v>0</v>
      </c>
      <c r="OO148" s="24">
        <v>0</v>
      </c>
      <c r="OP148" s="24">
        <v>0</v>
      </c>
      <c r="OQ148" s="24">
        <v>0</v>
      </c>
      <c r="OR148" s="24">
        <v>160000</v>
      </c>
      <c r="OS148" s="24">
        <v>0</v>
      </c>
      <c r="OT148" s="24">
        <v>0</v>
      </c>
      <c r="OU148" s="24">
        <v>0</v>
      </c>
      <c r="OV148" s="24">
        <v>0</v>
      </c>
      <c r="OW148" s="24">
        <v>0</v>
      </c>
      <c r="OX148" s="24">
        <v>0</v>
      </c>
      <c r="OY148" s="24">
        <v>0</v>
      </c>
      <c r="OZ148" s="24">
        <v>0</v>
      </c>
      <c r="PA148" s="24">
        <v>0</v>
      </c>
      <c r="PB148" s="24">
        <v>0</v>
      </c>
      <c r="PC148" s="24">
        <v>0</v>
      </c>
      <c r="PD148" s="24">
        <v>0</v>
      </c>
      <c r="PE148" s="24">
        <v>0</v>
      </c>
      <c r="PF148" s="24">
        <v>0</v>
      </c>
      <c r="PG148" s="24">
        <v>0</v>
      </c>
      <c r="PH148" s="24">
        <v>0</v>
      </c>
      <c r="PI148" s="24">
        <v>0</v>
      </c>
      <c r="PJ148" s="24">
        <v>0</v>
      </c>
      <c r="PK148" s="24">
        <v>0</v>
      </c>
      <c r="PL148" s="24">
        <v>0</v>
      </c>
      <c r="PM148" s="24">
        <v>0</v>
      </c>
      <c r="PN148" s="24">
        <v>0</v>
      </c>
      <c r="PO148" s="24">
        <v>0</v>
      </c>
      <c r="PP148" s="24">
        <v>0</v>
      </c>
      <c r="PQ148" s="24">
        <v>0</v>
      </c>
      <c r="PR148" s="24">
        <v>0</v>
      </c>
      <c r="PS148" s="24">
        <v>0</v>
      </c>
      <c r="PT148" s="24">
        <v>0</v>
      </c>
      <c r="PU148" s="24">
        <v>0</v>
      </c>
      <c r="PV148" s="24">
        <v>0</v>
      </c>
      <c r="PW148" s="24">
        <v>0</v>
      </c>
      <c r="PX148" s="24">
        <v>0</v>
      </c>
      <c r="PY148" s="24">
        <v>0</v>
      </c>
      <c r="PZ148" s="24">
        <v>0</v>
      </c>
      <c r="QA148" s="24">
        <v>0</v>
      </c>
      <c r="QB148" s="24">
        <v>0</v>
      </c>
      <c r="QC148" s="24">
        <v>0</v>
      </c>
      <c r="QD148" s="24">
        <v>0</v>
      </c>
      <c r="QE148" s="24">
        <v>0</v>
      </c>
      <c r="QF148" s="24">
        <v>0</v>
      </c>
      <c r="QG148" s="24">
        <v>0</v>
      </c>
      <c r="QH148" s="24">
        <v>0</v>
      </c>
      <c r="QI148" s="24">
        <v>0</v>
      </c>
      <c r="QJ148" s="24">
        <v>0</v>
      </c>
      <c r="QK148" s="24">
        <v>0</v>
      </c>
      <c r="QL148" s="24">
        <v>0</v>
      </c>
      <c r="QM148" s="24">
        <v>0</v>
      </c>
      <c r="QN148" s="24">
        <v>0</v>
      </c>
      <c r="QO148" s="24">
        <v>0</v>
      </c>
      <c r="QP148" s="24">
        <v>0</v>
      </c>
      <c r="QQ148" s="24">
        <v>0</v>
      </c>
      <c r="QR148" s="24">
        <v>0</v>
      </c>
      <c r="QS148" s="24">
        <v>0</v>
      </c>
      <c r="QT148" s="24">
        <v>0</v>
      </c>
      <c r="QU148" s="24">
        <v>0</v>
      </c>
      <c r="QV148" s="24">
        <v>0</v>
      </c>
      <c r="QW148" s="24">
        <v>0</v>
      </c>
      <c r="QX148" s="24">
        <v>0</v>
      </c>
      <c r="QY148" s="24">
        <v>0</v>
      </c>
      <c r="QZ148" s="24">
        <v>0</v>
      </c>
      <c r="RA148" s="24">
        <v>0</v>
      </c>
      <c r="RB148" s="24">
        <v>0</v>
      </c>
      <c r="RC148" s="913">
        <v>2</v>
      </c>
      <c r="RG148" s="39">
        <f t="shared" si="248"/>
        <v>1654507</v>
      </c>
      <c r="RH148" s="39">
        <f t="shared" si="248"/>
        <v>0</v>
      </c>
      <c r="RI148" s="39">
        <f t="shared" si="248"/>
        <v>0</v>
      </c>
      <c r="RJ148" s="39">
        <f t="shared" si="248"/>
        <v>0</v>
      </c>
      <c r="RK148" s="39">
        <f t="shared" si="248"/>
        <v>0</v>
      </c>
      <c r="RL148" s="39">
        <f t="shared" si="248"/>
        <v>209410</v>
      </c>
      <c r="RM148" s="39">
        <f t="shared" si="248"/>
        <v>210475</v>
      </c>
      <c r="RN148" s="39">
        <f t="shared" si="248"/>
        <v>0</v>
      </c>
      <c r="RO148" s="39">
        <f t="shared" si="248"/>
        <v>0</v>
      </c>
      <c r="RP148" s="39">
        <f t="shared" si="248"/>
        <v>20916</v>
      </c>
      <c r="RQ148" s="39">
        <f t="shared" si="248"/>
        <v>0</v>
      </c>
      <c r="RR148" s="39">
        <f t="shared" si="325"/>
        <v>28427</v>
      </c>
      <c r="RS148" s="39"/>
      <c r="RT148" s="182"/>
      <c r="RU148" s="39"/>
      <c r="RV148" s="39">
        <f t="shared" si="302"/>
        <v>125601</v>
      </c>
      <c r="RW148" s="39">
        <f t="shared" si="302"/>
        <v>2123735</v>
      </c>
      <c r="RX148" s="39">
        <f t="shared" si="302"/>
        <v>44462</v>
      </c>
      <c r="RY148" s="39">
        <f t="shared" si="302"/>
        <v>160000</v>
      </c>
      <c r="RZ148" s="39"/>
      <c r="SA148" s="182"/>
      <c r="SB148" s="39"/>
      <c r="SC148" s="25">
        <f t="shared" si="303"/>
        <v>106.87980769230769</v>
      </c>
      <c r="SD148" s="39">
        <f>IFERROR(VLOOKUP(A148, 'Levy Data 15-16'!$B:$O, 3, FALSE), 0)</f>
        <v>0</v>
      </c>
      <c r="SE148" s="39">
        <f t="shared" si="265"/>
        <v>0</v>
      </c>
      <c r="SF148" s="631">
        <f>IFERROR(VLOOKUP(A148, 'Levy Data 15-16'!$B:$O, 14, FALSE), 0)*1000</f>
        <v>0</v>
      </c>
      <c r="SG148" s="39">
        <f t="shared" si="266"/>
        <v>0</v>
      </c>
      <c r="SH148" s="39">
        <f t="shared" si="267"/>
        <v>0</v>
      </c>
      <c r="SI148" s="39">
        <f t="shared" si="268"/>
        <v>44462</v>
      </c>
      <c r="SM148" s="39">
        <f t="shared" si="269"/>
        <v>2123735</v>
      </c>
      <c r="SN148" s="39">
        <f t="shared" si="270"/>
        <v>0</v>
      </c>
      <c r="SO148" s="39">
        <f t="shared" si="304"/>
        <v>2123735</v>
      </c>
      <c r="SP148" s="50">
        <f t="shared" si="250"/>
        <v>1</v>
      </c>
      <c r="ST148" s="124">
        <f>IFERROR(VLOOKUP(A148,'Grade Enroll 15-16'!B:AC,27,FALSE),"")</f>
        <v>416</v>
      </c>
      <c r="SU148" s="124">
        <f t="shared" si="264"/>
        <v>199.94366197183101</v>
      </c>
      <c r="SV148" s="131">
        <f>IFERROR(VLOOKUP($A148, 'Title I Enroll 16-17'!S:V, 4, FALSE), 0)</f>
        <v>0.48063380281690143</v>
      </c>
      <c r="SW148" s="729">
        <f>IFERROR(VLOOKUP(A148, 'ELL Enroll 15-16'!$N:$S, 6, FALSE), 0)</f>
        <v>10</v>
      </c>
      <c r="SX148" s="131">
        <f t="shared" si="251"/>
        <v>2.403846153846154E-2</v>
      </c>
      <c r="SY148" s="124">
        <f>IFERROR(VLOOKUP(A148, 'SPED enroll 2015-16'!$M:$O, 3, FALSE), 0)</f>
        <v>40</v>
      </c>
      <c r="SZ148" s="131">
        <f t="shared" si="252"/>
        <v>9.6153846153846159E-2</v>
      </c>
      <c r="TA148" s="142">
        <f t="shared" si="253"/>
        <v>28</v>
      </c>
      <c r="TB148" s="142">
        <f t="shared" si="253"/>
        <v>8</v>
      </c>
      <c r="TC148" s="142">
        <f t="shared" si="253"/>
        <v>2.8000000000000003</v>
      </c>
      <c r="TD148" s="142">
        <f t="shared" si="253"/>
        <v>1.2</v>
      </c>
      <c r="TE148" s="124">
        <f>VLOOKUP($A148, 'Grade Enroll 15-16'!$B:$AB, 20, FALSE)</f>
        <v>0</v>
      </c>
      <c r="TF148" s="124">
        <f>VLOOKUP($A148, 'Grade Enroll 15-16'!$B:$AB, 21, FALSE)</f>
        <v>85</v>
      </c>
      <c r="TG148" s="124">
        <f>VLOOKUP($A148, 'Grade Enroll 15-16'!$B:$AB, 22, FALSE)</f>
        <v>228</v>
      </c>
      <c r="TH148" s="124">
        <f>VLOOKUP($A148, 'Grade Enroll 15-16'!$B:$AB, 23, FALSE)</f>
        <v>157</v>
      </c>
      <c r="TI148" s="124">
        <f>VLOOKUP($A148, 'Grade Enroll 15-16'!$B:$AB, 24, FALSE)</f>
        <v>31</v>
      </c>
      <c r="TJ148" s="124">
        <f>VLOOKUP($A148, 'Grade Enroll 15-16'!$B:$AB, 25, FALSE)</f>
        <v>0</v>
      </c>
      <c r="TK148" s="124">
        <f>VLOOKUP($A148, 'Grade Enroll 15-16'!$B:$AB, 26, FALSE)</f>
        <v>255</v>
      </c>
      <c r="TL148" s="131">
        <f>SUMIFS('Student Achievement 15-16'!N:N, 'Student Achievement 15-16'!B:B, 'Idaho Data'!A148, 'Student Achievement 15-16'!D:D, "math")/100</f>
        <v>0.251</v>
      </c>
      <c r="TM148" s="134">
        <f t="shared" si="305"/>
        <v>104.416</v>
      </c>
      <c r="TN148" s="131">
        <f>SUMIFS('Student Achievement 15-16'!N:N, 'Student Achievement 15-16'!B:B, 'Idaho Data'!A148, 'Student Achievement 15-16'!D:D, "ela")/100</f>
        <v>0.28699999999999998</v>
      </c>
      <c r="TO148" s="134">
        <f t="shared" si="254"/>
        <v>119.392</v>
      </c>
      <c r="TP148" s="688">
        <f>IFERROR(VLOOKUP(A148, 'G&amp;T 15-16'!B:G, 6, FALSE), 0)*1</f>
        <v>0</v>
      </c>
      <c r="TQ148" s="168">
        <f t="shared" si="255"/>
        <v>24.96</v>
      </c>
      <c r="TU148" s="168">
        <f t="shared" si="256"/>
        <v>104.416</v>
      </c>
      <c r="TV148" s="168">
        <f t="shared" si="257"/>
        <v>119.392</v>
      </c>
      <c r="TW148" s="205">
        <f t="shared" si="258"/>
        <v>119.392</v>
      </c>
      <c r="TX148" s="144"/>
      <c r="TY148" s="129"/>
      <c r="TZ148" s="127">
        <f t="shared" si="259"/>
        <v>0</v>
      </c>
      <c r="UA148" s="127">
        <f t="shared" si="260"/>
        <v>24.96</v>
      </c>
      <c r="UB148" s="205">
        <f t="shared" si="261"/>
        <v>24.96</v>
      </c>
      <c r="UE148" s="853" t="str">
        <f>IF(ST148&lt;='1. Simulator Input'!$E$104, "yes", "")</f>
        <v/>
      </c>
      <c r="UI148" s="199">
        <f t="shared" si="306"/>
        <v>0</v>
      </c>
      <c r="UJ148" s="200">
        <f>IF('Idaho Data'!SI148&gt;=0, ((1-'1. Simulator Input'!$E$39)*'Idaho Data'!SI148), 0)</f>
        <v>0</v>
      </c>
      <c r="UK148" s="200">
        <f t="shared" si="262"/>
        <v>2123735</v>
      </c>
      <c r="UL148" s="39"/>
      <c r="UM148" s="182"/>
      <c r="UN148" s="39"/>
      <c r="UO148" s="39" t="str">
        <f>IF(AND('1. Simulator Input'!$E$96="yes", '1. Simulator Input'!$E$98="yes", '1. Simulator Input'!$E$100="hold harmless"), 'Idaho Data'!WN148, IF(AND('1. Simulator Input'!$E$96="yes", '1. Simulator Input'!$E$98="no", '1. Simulator Input'!$E$100="hold harmless"), 'Idaho Data'!WM148, IF(AND('1. Simulator Input'!$E$96="yes", '1. Simulator Input'!$E$98="yes", '1. Simulator Input'!$E$100="small district grant"), WL148,IF(AND('1. Simulator Input'!$E$96="yes", '1. Simulator Input'!$E$98="no", '1. Simulator Input'!$E$100="small district grant"), WK148, ""))))</f>
        <v/>
      </c>
      <c r="UP148" s="200">
        <f>'1. Simulator Input'!$D$56*('Idaho Data'!ST148)</f>
        <v>2298816</v>
      </c>
      <c r="UQ148" s="204">
        <f>'1. Simulator Input'!$D$65*'1. Simulator Input'!$D$56*'Idaho Data'!SU148</f>
        <v>0</v>
      </c>
      <c r="UR148" s="204">
        <f>'1. Simulator Input'!$D$66*'1. Simulator Input'!$D$56*'Idaho Data'!SW148</f>
        <v>0</v>
      </c>
      <c r="US148" s="200">
        <f>'1. Simulator Input'!$D$67*'1. Simulator Input'!$D$56*'Idaho Data'!TA148</f>
        <v>0</v>
      </c>
      <c r="UT148" s="200">
        <f>'1. Simulator Input'!$D$68*'1. Simulator Input'!$D$56*'Idaho Data'!TB148</f>
        <v>0</v>
      </c>
      <c r="UU148" s="200">
        <f>'1. Simulator Input'!$D$69*'1. Simulator Input'!$D$56*'Idaho Data'!TC148</f>
        <v>0</v>
      </c>
      <c r="UV148" s="200">
        <f>'1. Simulator Input'!$D$70*'1. Simulator Input'!$D$56*TD148</f>
        <v>0</v>
      </c>
      <c r="UW148" s="200">
        <f>'1. Simulator Input'!$D$80*'1. Simulator Input'!$D$56*TW148</f>
        <v>0</v>
      </c>
      <c r="UX148" s="200">
        <f>'1. Simulator Input'!$D$79*'1. Simulator Input'!$D$56*UB148</f>
        <v>0</v>
      </c>
      <c r="UY148" s="200">
        <f>'1. Simulator Input'!$D$87*'1. Simulator Input'!$D$56*TF148</f>
        <v>234855</v>
      </c>
      <c r="UZ148" s="200">
        <f>'1. Simulator Input'!$D$73*'1. Simulator Input'!$D$56*'Idaho Data'!TG148</f>
        <v>0</v>
      </c>
      <c r="VA148" s="200">
        <f>'1. Simulator Input'!$D$56*'1. Simulator Input'!$D$74*'Idaho Data'!TH148</f>
        <v>0</v>
      </c>
      <c r="VB148" s="200">
        <f>'1. Simulator Input'!$D$56*'1. Simulator Input'!$D$75*'Idaho Data'!TI143</f>
        <v>0</v>
      </c>
      <c r="VC148" s="200">
        <f>'1. Simulator Input'!$D$76*'1. Simulator Input'!$D$56*'Idaho Data'!TJ148</f>
        <v>0</v>
      </c>
      <c r="VD148" s="200">
        <f t="shared" si="307"/>
        <v>2533671</v>
      </c>
      <c r="VE148" s="200"/>
      <c r="VF148" s="182"/>
      <c r="VG148" s="200"/>
      <c r="VH148" s="200">
        <f t="shared" si="308"/>
        <v>0</v>
      </c>
      <c r="VI148" s="200">
        <f t="shared" si="309"/>
        <v>0</v>
      </c>
      <c r="VJ148" s="200">
        <f t="shared" si="271"/>
        <v>2533671</v>
      </c>
      <c r="VK148" s="200">
        <f t="shared" si="272"/>
        <v>2533671</v>
      </c>
      <c r="VL148" s="200"/>
      <c r="VM148" s="182"/>
      <c r="VN148" s="200"/>
      <c r="VO148" s="200">
        <f t="shared" si="310"/>
        <v>125601</v>
      </c>
      <c r="VP148" s="200">
        <f t="shared" si="311"/>
        <v>2123735</v>
      </c>
      <c r="VQ148" s="200">
        <f t="shared" si="312"/>
        <v>44462</v>
      </c>
      <c r="VR148" s="200">
        <f t="shared" si="313"/>
        <v>125601</v>
      </c>
      <c r="VS148" s="200">
        <f t="shared" si="273"/>
        <v>2533671</v>
      </c>
      <c r="VT148" s="200">
        <f t="shared" si="274"/>
        <v>44462</v>
      </c>
      <c r="VU148" s="200">
        <f t="shared" si="275"/>
        <v>0</v>
      </c>
      <c r="VV148" s="200"/>
      <c r="VW148" s="182"/>
      <c r="VX148" s="200"/>
      <c r="VZ148" s="199">
        <f t="shared" si="314"/>
        <v>409936</v>
      </c>
      <c r="WA148" s="199">
        <f t="shared" si="315"/>
        <v>985.42307692307691</v>
      </c>
      <c r="WB148" s="131">
        <f t="shared" si="316"/>
        <v>0.19302596604566954</v>
      </c>
      <c r="WC148" s="131"/>
      <c r="WD148" s="461"/>
      <c r="WE148" s="893"/>
      <c r="WF148" s="893">
        <f t="shared" si="317"/>
        <v>5513.9375</v>
      </c>
      <c r="WG148" s="893">
        <f t="shared" si="318"/>
        <v>6499.3605769230771</v>
      </c>
      <c r="WH148" s="893"/>
      <c r="WI148" s="893">
        <f t="shared" si="319"/>
        <v>2123735</v>
      </c>
      <c r="WJ148" s="893">
        <f t="shared" si="276"/>
        <v>2533671</v>
      </c>
      <c r="WK148" s="39" t="str">
        <f t="shared" si="277"/>
        <v/>
      </c>
      <c r="WL148" s="39" t="str">
        <f t="shared" si="278"/>
        <v/>
      </c>
      <c r="WM148" s="200" t="str">
        <f t="shared" si="279"/>
        <v/>
      </c>
      <c r="WN148" s="39" t="str">
        <f t="shared" si="280"/>
        <v/>
      </c>
      <c r="WO148" s="39"/>
      <c r="WP148" s="182"/>
      <c r="WQ148" s="39"/>
      <c r="WR148" s="305"/>
      <c r="WT148" s="200">
        <f t="shared" si="281"/>
        <v>5105.1322115384619</v>
      </c>
      <c r="WU148" s="131">
        <f t="shared" si="320"/>
        <v>0.01</v>
      </c>
      <c r="WW148" s="199">
        <f t="shared" si="282"/>
        <v>125601</v>
      </c>
      <c r="WX148" s="199">
        <f t="shared" si="283"/>
        <v>2533671</v>
      </c>
      <c r="WY148" s="199">
        <f t="shared" si="284"/>
        <v>0</v>
      </c>
      <c r="WZ148" s="199">
        <f t="shared" si="321"/>
        <v>2533671</v>
      </c>
      <c r="XA148" s="199">
        <f t="shared" si="285"/>
        <v>0</v>
      </c>
      <c r="XB148" s="199">
        <f t="shared" si="286"/>
        <v>44462</v>
      </c>
      <c r="XC148" s="199">
        <f t="shared" si="287"/>
        <v>44462</v>
      </c>
      <c r="XD148" s="199" t="str">
        <f t="shared" si="288"/>
        <v/>
      </c>
      <c r="XE148" s="199"/>
      <c r="XF148" s="199"/>
      <c r="XG148" s="199"/>
      <c r="XH148" s="199"/>
      <c r="XI148" s="199"/>
      <c r="XJ148" s="199">
        <f t="shared" si="322"/>
        <v>2533671</v>
      </c>
      <c r="XP148" s="199">
        <f t="shared" si="289"/>
        <v>2533671</v>
      </c>
      <c r="XQ148" s="199">
        <f t="shared" si="290"/>
        <v>6090.5552884615381</v>
      </c>
      <c r="XR148" s="199">
        <f t="shared" si="291"/>
        <v>2533671</v>
      </c>
      <c r="XS148" s="199">
        <f t="shared" si="292"/>
        <v>2533671</v>
      </c>
      <c r="XT148" s="199">
        <f t="shared" si="293"/>
        <v>6090.5552884615381</v>
      </c>
      <c r="XU148" s="199">
        <f t="shared" si="294"/>
        <v>2123735</v>
      </c>
      <c r="XV148" s="199">
        <f t="shared" si="295"/>
        <v>5105.1322115384619</v>
      </c>
      <c r="XW148" s="199">
        <f t="shared" si="296"/>
        <v>2123735</v>
      </c>
      <c r="XX148" s="199">
        <f t="shared" si="297"/>
        <v>5105.1322115384619</v>
      </c>
      <c r="XY148" s="199">
        <f t="shared" si="323"/>
        <v>409936</v>
      </c>
      <c r="XZ148" s="199">
        <f t="shared" si="324"/>
        <v>985.42307692307622</v>
      </c>
      <c r="YA148" s="131">
        <f t="shared" si="263"/>
        <v>0.19302596604566938</v>
      </c>
      <c r="YB148" s="199"/>
      <c r="YC148" s="221"/>
      <c r="YD148" s="199"/>
      <c r="YE148" s="199">
        <f t="shared" si="298"/>
        <v>125601</v>
      </c>
      <c r="YF148" s="200">
        <f t="shared" si="299"/>
        <v>0</v>
      </c>
      <c r="YG148" s="199">
        <f t="shared" si="300"/>
        <v>44462</v>
      </c>
      <c r="YH148" s="199">
        <f t="shared" si="301"/>
        <v>160000</v>
      </c>
    </row>
    <row r="149" spans="1:658">
      <c r="A149" s="3">
        <v>478</v>
      </c>
      <c r="B149" s="2" t="s">
        <v>246</v>
      </c>
      <c r="C149" s="24">
        <v>0</v>
      </c>
      <c r="D149" s="24">
        <v>0</v>
      </c>
      <c r="E149" s="24">
        <v>0</v>
      </c>
      <c r="F149" s="24">
        <v>0</v>
      </c>
      <c r="G149" s="24">
        <v>0</v>
      </c>
      <c r="H149" s="24">
        <v>0</v>
      </c>
      <c r="I149" s="24">
        <v>0</v>
      </c>
      <c r="J149" s="24">
        <v>0</v>
      </c>
      <c r="K149" s="24">
        <v>0</v>
      </c>
      <c r="L149" s="24">
        <v>0</v>
      </c>
      <c r="M149" s="24">
        <v>0</v>
      </c>
      <c r="N149" s="24">
        <v>0</v>
      </c>
      <c r="O149" s="24">
        <v>0</v>
      </c>
      <c r="P149" s="24">
        <v>0</v>
      </c>
      <c r="Q149" s="24">
        <v>0</v>
      </c>
      <c r="R149" s="24">
        <v>0</v>
      </c>
      <c r="S149" s="24">
        <v>0</v>
      </c>
      <c r="T149" s="24">
        <v>0</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1948</v>
      </c>
      <c r="AM149" s="24">
        <v>0</v>
      </c>
      <c r="AN149" s="24">
        <v>0</v>
      </c>
      <c r="AO149" s="24">
        <v>0</v>
      </c>
      <c r="AP149" s="24">
        <v>0</v>
      </c>
      <c r="AQ149" s="24">
        <v>0</v>
      </c>
      <c r="AR149" s="24">
        <v>0</v>
      </c>
      <c r="AS149" s="24">
        <v>0</v>
      </c>
      <c r="AT149" s="24">
        <v>0</v>
      </c>
      <c r="AU149" s="24">
        <v>0</v>
      </c>
      <c r="AV149" s="24">
        <v>0</v>
      </c>
      <c r="AW149" s="24">
        <v>0</v>
      </c>
      <c r="AX149" s="24">
        <v>0</v>
      </c>
      <c r="AY149" s="24">
        <v>0</v>
      </c>
      <c r="AZ149" s="24">
        <v>0</v>
      </c>
      <c r="BA149" s="24">
        <v>0</v>
      </c>
      <c r="BB149" s="24">
        <v>0</v>
      </c>
      <c r="BC149" s="24">
        <v>0</v>
      </c>
      <c r="BD149" s="24">
        <v>178</v>
      </c>
      <c r="BE149" s="24">
        <v>0</v>
      </c>
      <c r="BF149" s="24">
        <v>0</v>
      </c>
      <c r="BG149" s="24">
        <v>0</v>
      </c>
      <c r="BH149" s="24">
        <v>0</v>
      </c>
      <c r="BI149" s="24">
        <v>0</v>
      </c>
      <c r="BJ149" s="24">
        <v>0</v>
      </c>
      <c r="BK149" s="24">
        <v>0</v>
      </c>
      <c r="BL149" s="24">
        <v>0</v>
      </c>
      <c r="BM149" s="24">
        <v>0</v>
      </c>
      <c r="BN149" s="24">
        <v>0</v>
      </c>
      <c r="BO149" s="24">
        <v>0</v>
      </c>
      <c r="BP149" s="24">
        <v>0</v>
      </c>
      <c r="BQ149" s="24">
        <v>0</v>
      </c>
      <c r="BR149" s="24">
        <v>0</v>
      </c>
      <c r="BS149" s="24">
        <v>0</v>
      </c>
      <c r="BT149" s="24">
        <v>0</v>
      </c>
      <c r="BU149" s="24">
        <v>0</v>
      </c>
      <c r="BV149" s="24">
        <v>0</v>
      </c>
      <c r="BW149" s="24">
        <v>0</v>
      </c>
      <c r="BX149" s="24">
        <v>0</v>
      </c>
      <c r="BY149" s="24">
        <v>0</v>
      </c>
      <c r="BZ149" s="24">
        <v>0</v>
      </c>
      <c r="CA149" s="24">
        <v>0</v>
      </c>
      <c r="CB149" s="24">
        <v>0</v>
      </c>
      <c r="CC149" s="24">
        <v>0</v>
      </c>
      <c r="CD149" s="24">
        <v>0</v>
      </c>
      <c r="CE149" s="24">
        <v>0</v>
      </c>
      <c r="CF149" s="24">
        <v>0</v>
      </c>
      <c r="CG149" s="24">
        <v>0</v>
      </c>
      <c r="CH149" s="24">
        <v>0</v>
      </c>
      <c r="CI149" s="24">
        <v>0</v>
      </c>
      <c r="CJ149" s="24">
        <v>0</v>
      </c>
      <c r="CK149" s="24">
        <v>0</v>
      </c>
      <c r="CL149" s="24">
        <v>0</v>
      </c>
      <c r="CM149" s="24">
        <v>0</v>
      </c>
      <c r="CN149" s="24">
        <v>0</v>
      </c>
      <c r="CO149" s="24">
        <v>0</v>
      </c>
      <c r="CP149" s="24">
        <v>0</v>
      </c>
      <c r="CQ149" s="24">
        <v>0</v>
      </c>
      <c r="CR149" s="24">
        <v>0</v>
      </c>
      <c r="CS149" s="24">
        <v>0</v>
      </c>
      <c r="CT149" s="24">
        <v>0</v>
      </c>
      <c r="CU149" s="24">
        <v>0</v>
      </c>
      <c r="CV149" s="24">
        <v>0</v>
      </c>
      <c r="CW149" s="24">
        <v>0</v>
      </c>
      <c r="CX149" s="24">
        <v>0</v>
      </c>
      <c r="CY149" s="24">
        <v>0</v>
      </c>
      <c r="CZ149" s="24">
        <v>0</v>
      </c>
      <c r="DA149" s="24">
        <v>0</v>
      </c>
      <c r="DB149" s="24">
        <v>0</v>
      </c>
      <c r="DC149" s="24">
        <v>0</v>
      </c>
      <c r="DD149" s="24">
        <v>0</v>
      </c>
      <c r="DE149" s="24">
        <v>0</v>
      </c>
      <c r="DF149" s="24">
        <v>0</v>
      </c>
      <c r="DG149" s="24">
        <v>0</v>
      </c>
      <c r="DH149" s="24">
        <v>0</v>
      </c>
      <c r="DI149" s="24">
        <v>0</v>
      </c>
      <c r="DJ149" s="24">
        <v>0</v>
      </c>
      <c r="DK149" s="24">
        <v>0</v>
      </c>
      <c r="DL149" s="24">
        <v>0</v>
      </c>
      <c r="DM149" s="24">
        <v>0</v>
      </c>
      <c r="DN149" s="24">
        <v>0</v>
      </c>
      <c r="DO149" s="24">
        <v>0</v>
      </c>
      <c r="DP149" s="24">
        <v>0</v>
      </c>
      <c r="DQ149" s="24">
        <v>0</v>
      </c>
      <c r="DR149" s="24">
        <v>0</v>
      </c>
      <c r="DS149" s="24">
        <v>0</v>
      </c>
      <c r="DT149" s="24">
        <v>0</v>
      </c>
      <c r="DU149" s="24">
        <v>0</v>
      </c>
      <c r="DV149" s="24">
        <v>0</v>
      </c>
      <c r="DW149" s="24">
        <v>0</v>
      </c>
      <c r="DX149" s="24">
        <v>0</v>
      </c>
      <c r="DY149" s="24">
        <v>0</v>
      </c>
      <c r="DZ149" s="24">
        <v>0</v>
      </c>
      <c r="EA149" s="24">
        <v>0</v>
      </c>
      <c r="EB149" s="24">
        <v>0</v>
      </c>
      <c r="EC149" s="24">
        <v>0</v>
      </c>
      <c r="ED149" s="24">
        <v>0</v>
      </c>
      <c r="EE149" s="24">
        <v>0</v>
      </c>
      <c r="EF149" s="24">
        <v>0</v>
      </c>
      <c r="EG149" s="24">
        <v>0</v>
      </c>
      <c r="EH149" s="24">
        <v>0</v>
      </c>
      <c r="EI149" s="24">
        <v>0</v>
      </c>
      <c r="EJ149" s="24">
        <v>0</v>
      </c>
      <c r="EK149" s="24">
        <v>0</v>
      </c>
      <c r="EL149" s="24">
        <v>0</v>
      </c>
      <c r="EM149" s="24">
        <v>0</v>
      </c>
      <c r="EN149" s="24">
        <v>0</v>
      </c>
      <c r="EO149" s="24">
        <v>0</v>
      </c>
      <c r="EP149" s="24">
        <v>0</v>
      </c>
      <c r="EQ149" s="24">
        <v>0</v>
      </c>
      <c r="ER149" s="24">
        <v>0</v>
      </c>
      <c r="ES149" s="24">
        <v>0</v>
      </c>
      <c r="ET149" s="24">
        <v>0</v>
      </c>
      <c r="EU149" s="24">
        <v>0</v>
      </c>
      <c r="EV149" s="24">
        <v>0</v>
      </c>
      <c r="EW149" s="24">
        <v>0</v>
      </c>
      <c r="EX149" s="24">
        <v>0</v>
      </c>
      <c r="EY149" s="24">
        <v>0</v>
      </c>
      <c r="EZ149" s="24">
        <v>0</v>
      </c>
      <c r="FA149" s="24">
        <v>0</v>
      </c>
      <c r="FB149" s="24">
        <v>0</v>
      </c>
      <c r="FC149" s="24">
        <v>0</v>
      </c>
      <c r="FD149" s="24">
        <v>0</v>
      </c>
      <c r="FE149" s="24">
        <v>0</v>
      </c>
      <c r="FF149" s="24">
        <v>0</v>
      </c>
      <c r="FG149" s="24">
        <v>0</v>
      </c>
      <c r="FH149" s="24">
        <v>0</v>
      </c>
      <c r="FI149" s="24">
        <v>0</v>
      </c>
      <c r="FJ149" s="24">
        <v>0</v>
      </c>
      <c r="FK149" s="24">
        <v>0</v>
      </c>
      <c r="FL149" s="24">
        <v>0</v>
      </c>
      <c r="FM149" s="24">
        <v>0</v>
      </c>
      <c r="FN149" s="24">
        <v>0</v>
      </c>
      <c r="FO149" s="24">
        <v>0</v>
      </c>
      <c r="FP149" s="24">
        <v>0</v>
      </c>
      <c r="FQ149" s="24">
        <v>0</v>
      </c>
      <c r="FR149" s="24">
        <v>0</v>
      </c>
      <c r="FS149" s="24">
        <v>16926</v>
      </c>
      <c r="FT149" s="24">
        <v>0</v>
      </c>
      <c r="FU149" s="24">
        <v>0</v>
      </c>
      <c r="FV149" s="24">
        <v>0</v>
      </c>
      <c r="FW149" s="24">
        <v>0</v>
      </c>
      <c r="FX149" s="24">
        <v>0</v>
      </c>
      <c r="FY149" s="24">
        <v>0</v>
      </c>
      <c r="FZ149" s="24">
        <v>0</v>
      </c>
      <c r="GA149" s="24">
        <v>0</v>
      </c>
      <c r="GB149" s="24">
        <v>0</v>
      </c>
      <c r="GC149" s="24">
        <v>0</v>
      </c>
      <c r="GD149" s="24">
        <v>0</v>
      </c>
      <c r="GE149" s="24">
        <v>0</v>
      </c>
      <c r="GF149" s="24">
        <v>0</v>
      </c>
      <c r="GG149" s="24">
        <v>0</v>
      </c>
      <c r="GH149" s="24">
        <v>0</v>
      </c>
      <c r="GI149" s="24">
        <v>0</v>
      </c>
      <c r="GJ149" s="24">
        <v>0</v>
      </c>
      <c r="GK149" s="24">
        <v>0</v>
      </c>
      <c r="GL149" s="24">
        <v>0</v>
      </c>
      <c r="GM149" s="24">
        <v>0</v>
      </c>
      <c r="GN149" s="24">
        <v>0</v>
      </c>
      <c r="GO149" s="24">
        <v>0</v>
      </c>
      <c r="GP149" s="24">
        <v>0</v>
      </c>
      <c r="GQ149" s="24">
        <v>0</v>
      </c>
      <c r="GR149" s="24">
        <v>0</v>
      </c>
      <c r="GS149" s="24">
        <v>0</v>
      </c>
      <c r="GT149" s="24">
        <v>0</v>
      </c>
      <c r="GU149" s="24">
        <v>0</v>
      </c>
      <c r="GV149" s="24">
        <v>0</v>
      </c>
      <c r="GW149" s="24">
        <v>0</v>
      </c>
      <c r="GX149" s="24">
        <v>0</v>
      </c>
      <c r="GY149" s="24">
        <v>0</v>
      </c>
      <c r="GZ149" s="24">
        <v>0</v>
      </c>
      <c r="HA149" s="24">
        <v>0</v>
      </c>
      <c r="HB149" s="24">
        <v>0</v>
      </c>
      <c r="HC149" s="24">
        <v>0</v>
      </c>
      <c r="HD149" s="24">
        <v>1282322</v>
      </c>
      <c r="HE149" s="24">
        <v>0</v>
      </c>
      <c r="HF149" s="24">
        <v>0</v>
      </c>
      <c r="HG149" s="24">
        <v>0</v>
      </c>
      <c r="HH149" s="24">
        <v>0</v>
      </c>
      <c r="HI149" s="24">
        <v>70994</v>
      </c>
      <c r="HJ149" s="24">
        <v>0</v>
      </c>
      <c r="HK149" s="24">
        <v>0</v>
      </c>
      <c r="HL149" s="24">
        <v>0</v>
      </c>
      <c r="HM149" s="24">
        <v>0</v>
      </c>
      <c r="HN149" s="24">
        <v>0</v>
      </c>
      <c r="HO149" s="24">
        <v>130592</v>
      </c>
      <c r="HP149" s="24">
        <v>138395</v>
      </c>
      <c r="HQ149" s="24">
        <v>0</v>
      </c>
      <c r="HR149" s="24">
        <v>0</v>
      </c>
      <c r="HS149" s="24">
        <v>0</v>
      </c>
      <c r="HT149" s="24">
        <v>0</v>
      </c>
      <c r="HU149" s="24">
        <v>0</v>
      </c>
      <c r="HV149" s="24">
        <v>0</v>
      </c>
      <c r="HW149" s="24">
        <v>0</v>
      </c>
      <c r="HX149" s="24">
        <v>0</v>
      </c>
      <c r="HY149" s="24">
        <v>0</v>
      </c>
      <c r="HZ149" s="24">
        <v>0</v>
      </c>
      <c r="IA149" s="24">
        <v>0</v>
      </c>
      <c r="IB149" s="24">
        <v>5915</v>
      </c>
      <c r="IC149" s="24">
        <v>0</v>
      </c>
      <c r="ID149" s="24">
        <v>0</v>
      </c>
      <c r="IE149" s="24">
        <v>0</v>
      </c>
      <c r="IF149" s="24">
        <v>0</v>
      </c>
      <c r="IG149" s="24">
        <v>0</v>
      </c>
      <c r="IH149" s="24">
        <v>0</v>
      </c>
      <c r="II149" s="24">
        <v>0</v>
      </c>
      <c r="IJ149" s="24">
        <v>0</v>
      </c>
      <c r="IK149" s="24">
        <v>0</v>
      </c>
      <c r="IL149" s="24">
        <v>0</v>
      </c>
      <c r="IM149" s="24">
        <v>0</v>
      </c>
      <c r="IN149" s="24">
        <v>0</v>
      </c>
      <c r="IO149" s="24">
        <v>0</v>
      </c>
      <c r="IP149" s="24">
        <v>0</v>
      </c>
      <c r="IQ149" s="24">
        <v>0</v>
      </c>
      <c r="IR149" s="24">
        <v>0</v>
      </c>
      <c r="IS149" s="24">
        <v>0</v>
      </c>
      <c r="IT149" s="24">
        <v>0</v>
      </c>
      <c r="IU149" s="24">
        <v>0</v>
      </c>
      <c r="IV149" s="24">
        <v>0</v>
      </c>
      <c r="IW149" s="24">
        <v>18258</v>
      </c>
      <c r="IX149" s="24">
        <v>0</v>
      </c>
      <c r="IY149" s="24">
        <v>0</v>
      </c>
      <c r="IZ149" s="24">
        <v>0</v>
      </c>
      <c r="JA149" s="24">
        <v>0</v>
      </c>
      <c r="JB149" s="24">
        <v>0</v>
      </c>
      <c r="JC149" s="24">
        <v>0</v>
      </c>
      <c r="JD149" s="24">
        <v>0</v>
      </c>
      <c r="JE149" s="24">
        <v>0</v>
      </c>
      <c r="JF149" s="24">
        <v>0</v>
      </c>
      <c r="JG149" s="24">
        <v>0</v>
      </c>
      <c r="JH149" s="24">
        <v>0</v>
      </c>
      <c r="JI149" s="24">
        <v>0</v>
      </c>
      <c r="JJ149" s="24">
        <v>0</v>
      </c>
      <c r="JK149" s="24">
        <v>0</v>
      </c>
      <c r="JL149" s="24">
        <v>0</v>
      </c>
      <c r="JM149" s="24">
        <v>0</v>
      </c>
      <c r="JN149" s="24">
        <v>0</v>
      </c>
      <c r="JO149" s="24">
        <v>0</v>
      </c>
      <c r="JP149" s="24">
        <v>0</v>
      </c>
      <c r="JQ149" s="24">
        <v>0</v>
      </c>
      <c r="JR149" s="24">
        <v>0</v>
      </c>
      <c r="JS149" s="24">
        <v>0</v>
      </c>
      <c r="JT149" s="24">
        <v>0</v>
      </c>
      <c r="JU149" s="24">
        <v>0</v>
      </c>
      <c r="JV149" s="24">
        <v>0</v>
      </c>
      <c r="JW149" s="24">
        <v>0</v>
      </c>
      <c r="JX149" s="24">
        <v>0</v>
      </c>
      <c r="JY149" s="24">
        <v>0</v>
      </c>
      <c r="JZ149" s="24">
        <v>0</v>
      </c>
      <c r="KA149" s="24">
        <v>0</v>
      </c>
      <c r="KB149" s="24">
        <v>0</v>
      </c>
      <c r="KC149" s="24">
        <v>0</v>
      </c>
      <c r="KD149" s="24">
        <v>0</v>
      </c>
      <c r="KE149" s="24">
        <v>0</v>
      </c>
      <c r="KF149" s="24">
        <v>0</v>
      </c>
      <c r="KG149" s="24">
        <v>0</v>
      </c>
      <c r="KH149" s="24">
        <v>0</v>
      </c>
      <c r="KI149" s="24">
        <v>0</v>
      </c>
      <c r="KJ149" s="24">
        <v>0</v>
      </c>
      <c r="KK149" s="24">
        <v>0</v>
      </c>
      <c r="KL149" s="24">
        <v>0</v>
      </c>
      <c r="KM149" s="24">
        <v>0</v>
      </c>
      <c r="KN149" s="24">
        <v>0</v>
      </c>
      <c r="KO149" s="24">
        <v>0</v>
      </c>
      <c r="KP149" s="24">
        <v>0</v>
      </c>
      <c r="KQ149" s="24">
        <v>0</v>
      </c>
      <c r="KR149" s="24">
        <v>0</v>
      </c>
      <c r="KS149" s="24">
        <v>0</v>
      </c>
      <c r="KT149" s="24">
        <v>0</v>
      </c>
      <c r="KU149" s="24">
        <v>0</v>
      </c>
      <c r="KV149" s="24">
        <v>0</v>
      </c>
      <c r="KW149" s="24">
        <v>0</v>
      </c>
      <c r="KX149" s="24">
        <v>0</v>
      </c>
      <c r="KY149" s="24">
        <v>0</v>
      </c>
      <c r="KZ149" s="24">
        <v>0</v>
      </c>
      <c r="LA149" s="24">
        <v>0</v>
      </c>
      <c r="LB149" s="24">
        <v>0</v>
      </c>
      <c r="LC149" s="24">
        <v>0</v>
      </c>
      <c r="LD149" s="24">
        <v>0</v>
      </c>
      <c r="LE149" s="24">
        <v>0</v>
      </c>
      <c r="LF149" s="24">
        <v>0</v>
      </c>
      <c r="LG149" s="24">
        <v>0</v>
      </c>
      <c r="LH149" s="24">
        <v>0</v>
      </c>
      <c r="LI149" s="24">
        <v>0</v>
      </c>
      <c r="LJ149" s="24">
        <v>0</v>
      </c>
      <c r="LK149" s="24">
        <v>0</v>
      </c>
      <c r="LL149" s="24">
        <v>0</v>
      </c>
      <c r="LM149" s="24">
        <v>0</v>
      </c>
      <c r="LN149" s="24">
        <v>0</v>
      </c>
      <c r="LO149" s="24">
        <v>0</v>
      </c>
      <c r="LP149" s="24">
        <v>0</v>
      </c>
      <c r="LQ149" s="24">
        <v>52468</v>
      </c>
      <c r="LR149" s="24">
        <v>0</v>
      </c>
      <c r="LS149" s="24">
        <v>0</v>
      </c>
      <c r="LT149" s="24">
        <v>0</v>
      </c>
      <c r="LU149" s="24">
        <v>0</v>
      </c>
      <c r="LV149" s="24">
        <v>0</v>
      </c>
      <c r="LW149" s="24">
        <v>0</v>
      </c>
      <c r="LX149" s="24">
        <v>0</v>
      </c>
      <c r="LY149" s="24">
        <v>0</v>
      </c>
      <c r="LZ149" s="24">
        <v>0</v>
      </c>
      <c r="MA149" s="24">
        <v>0</v>
      </c>
      <c r="MB149" s="24">
        <v>0</v>
      </c>
      <c r="MC149" s="24">
        <v>0</v>
      </c>
      <c r="MD149" s="24">
        <v>0</v>
      </c>
      <c r="ME149" s="24">
        <v>0</v>
      </c>
      <c r="MF149" s="24">
        <v>0</v>
      </c>
      <c r="MG149" s="24">
        <v>0</v>
      </c>
      <c r="MH149" s="24">
        <v>0</v>
      </c>
      <c r="MI149" s="24">
        <v>0</v>
      </c>
      <c r="MJ149" s="24">
        <v>0</v>
      </c>
      <c r="MK149" s="24">
        <v>0</v>
      </c>
      <c r="ML149" s="24">
        <v>0</v>
      </c>
      <c r="MM149" s="24">
        <v>0</v>
      </c>
      <c r="MN149" s="24">
        <v>0</v>
      </c>
      <c r="MO149" s="24">
        <v>0</v>
      </c>
      <c r="MP149" s="24">
        <v>0</v>
      </c>
      <c r="MQ149" s="24">
        <v>0</v>
      </c>
      <c r="MR149" s="24">
        <v>0</v>
      </c>
      <c r="MS149" s="24">
        <v>0</v>
      </c>
      <c r="MT149" s="24">
        <v>0</v>
      </c>
      <c r="MU149" s="24">
        <v>0</v>
      </c>
      <c r="MV149" s="24">
        <v>0</v>
      </c>
      <c r="MW149" s="24">
        <v>44568</v>
      </c>
      <c r="MX149" s="24">
        <v>0</v>
      </c>
      <c r="MY149" s="24">
        <v>0</v>
      </c>
      <c r="MZ149" s="24">
        <v>0</v>
      </c>
      <c r="NA149" s="24">
        <v>0</v>
      </c>
      <c r="NB149" s="24">
        <v>0</v>
      </c>
      <c r="NC149" s="24">
        <v>0</v>
      </c>
      <c r="ND149" s="24">
        <v>0</v>
      </c>
      <c r="NE149" s="24">
        <v>0</v>
      </c>
      <c r="NF149" s="24">
        <v>0</v>
      </c>
      <c r="NG149" s="24">
        <v>0</v>
      </c>
      <c r="NH149" s="24">
        <v>0</v>
      </c>
      <c r="NI149" s="24">
        <v>0</v>
      </c>
      <c r="NJ149" s="24">
        <v>0</v>
      </c>
      <c r="NK149" s="24">
        <v>0</v>
      </c>
      <c r="NL149" s="24">
        <v>0</v>
      </c>
      <c r="NM149" s="24">
        <v>0</v>
      </c>
      <c r="NN149" s="24">
        <v>0</v>
      </c>
      <c r="NO149" s="24">
        <v>0</v>
      </c>
      <c r="NP149" s="24">
        <v>0</v>
      </c>
      <c r="NQ149" s="24">
        <v>0</v>
      </c>
      <c r="NR149" s="24">
        <v>0</v>
      </c>
      <c r="NS149" s="24">
        <v>0</v>
      </c>
      <c r="NT149" s="24">
        <v>0</v>
      </c>
      <c r="NU149" s="24">
        <v>0</v>
      </c>
      <c r="NV149" s="24">
        <v>19595</v>
      </c>
      <c r="NW149" s="24">
        <v>0</v>
      </c>
      <c r="NX149" s="24">
        <v>0</v>
      </c>
      <c r="NY149" s="24">
        <v>0</v>
      </c>
      <c r="NZ149" s="24">
        <v>0</v>
      </c>
      <c r="OA149" s="24">
        <v>0</v>
      </c>
      <c r="OB149" s="24">
        <v>0</v>
      </c>
      <c r="OC149" s="24">
        <v>0</v>
      </c>
      <c r="OD149" s="24">
        <v>0</v>
      </c>
      <c r="OE149" s="24">
        <v>0</v>
      </c>
      <c r="OF149" s="24">
        <v>0</v>
      </c>
      <c r="OG149" s="24">
        <v>0</v>
      </c>
      <c r="OH149" s="24">
        <v>0</v>
      </c>
      <c r="OI149" s="24">
        <v>0</v>
      </c>
      <c r="OJ149" s="24">
        <v>0</v>
      </c>
      <c r="OK149" s="24">
        <v>0</v>
      </c>
      <c r="OL149" s="24">
        <v>0</v>
      </c>
      <c r="OM149" s="24">
        <v>0</v>
      </c>
      <c r="ON149" s="24">
        <v>0</v>
      </c>
      <c r="OO149" s="24">
        <v>0</v>
      </c>
      <c r="OP149" s="24">
        <v>0</v>
      </c>
      <c r="OQ149" s="24">
        <v>0</v>
      </c>
      <c r="OR149" s="24">
        <v>0</v>
      </c>
      <c r="OS149" s="24">
        <v>0</v>
      </c>
      <c r="OT149" s="24">
        <v>0</v>
      </c>
      <c r="OU149" s="24">
        <v>0</v>
      </c>
      <c r="OV149" s="24">
        <v>0</v>
      </c>
      <c r="OW149" s="24">
        <v>0</v>
      </c>
      <c r="OX149" s="24">
        <v>0</v>
      </c>
      <c r="OY149" s="24">
        <v>0</v>
      </c>
      <c r="OZ149" s="24">
        <v>0</v>
      </c>
      <c r="PA149" s="24">
        <v>0</v>
      </c>
      <c r="PB149" s="24">
        <v>0</v>
      </c>
      <c r="PC149" s="24">
        <v>0</v>
      </c>
      <c r="PD149" s="24">
        <v>0</v>
      </c>
      <c r="PE149" s="24">
        <v>0</v>
      </c>
      <c r="PF149" s="24">
        <v>0</v>
      </c>
      <c r="PG149" s="24">
        <v>0</v>
      </c>
      <c r="PH149" s="24">
        <v>0</v>
      </c>
      <c r="PI149" s="24">
        <v>0</v>
      </c>
      <c r="PJ149" s="24">
        <v>0</v>
      </c>
      <c r="PK149" s="24">
        <v>0</v>
      </c>
      <c r="PL149" s="24">
        <v>0</v>
      </c>
      <c r="PM149" s="24">
        <v>0</v>
      </c>
      <c r="PN149" s="24">
        <v>0</v>
      </c>
      <c r="PO149" s="24">
        <v>0</v>
      </c>
      <c r="PP149" s="24">
        <v>0</v>
      </c>
      <c r="PQ149" s="24">
        <v>0</v>
      </c>
      <c r="PR149" s="24">
        <v>0</v>
      </c>
      <c r="PS149" s="24">
        <v>0</v>
      </c>
      <c r="PT149" s="24">
        <v>0</v>
      </c>
      <c r="PU149" s="24">
        <v>0</v>
      </c>
      <c r="PV149" s="24">
        <v>0</v>
      </c>
      <c r="PW149" s="24">
        <v>0</v>
      </c>
      <c r="PX149" s="24">
        <v>0</v>
      </c>
      <c r="PY149" s="24">
        <v>0</v>
      </c>
      <c r="PZ149" s="24">
        <v>0</v>
      </c>
      <c r="QA149" s="24">
        <v>0</v>
      </c>
      <c r="QB149" s="24">
        <v>0</v>
      </c>
      <c r="QC149" s="24">
        <v>0</v>
      </c>
      <c r="QD149" s="24">
        <v>0</v>
      </c>
      <c r="QE149" s="24">
        <v>0</v>
      </c>
      <c r="QF149" s="24">
        <v>0</v>
      </c>
      <c r="QG149" s="24">
        <v>0</v>
      </c>
      <c r="QH149" s="24">
        <v>0</v>
      </c>
      <c r="QI149" s="24">
        <v>0</v>
      </c>
      <c r="QJ149" s="24">
        <v>0</v>
      </c>
      <c r="QK149" s="24">
        <v>0</v>
      </c>
      <c r="QL149" s="24">
        <v>0</v>
      </c>
      <c r="QM149" s="24">
        <v>0</v>
      </c>
      <c r="QN149" s="24">
        <v>0</v>
      </c>
      <c r="QO149" s="24">
        <v>0</v>
      </c>
      <c r="QP149" s="24">
        <v>0</v>
      </c>
      <c r="QQ149" s="24">
        <v>0</v>
      </c>
      <c r="QR149" s="24">
        <v>0</v>
      </c>
      <c r="QS149" s="24">
        <v>0</v>
      </c>
      <c r="QT149" s="24">
        <v>231629</v>
      </c>
      <c r="QU149" s="24">
        <v>0</v>
      </c>
      <c r="QV149" s="24">
        <v>0</v>
      </c>
      <c r="QW149" s="24">
        <v>0</v>
      </c>
      <c r="QX149" s="24">
        <v>0</v>
      </c>
      <c r="QY149" s="24">
        <v>0</v>
      </c>
      <c r="QZ149" s="24">
        <v>0</v>
      </c>
      <c r="RA149" s="24">
        <v>0</v>
      </c>
      <c r="RB149" s="24">
        <v>0</v>
      </c>
      <c r="RC149" s="913">
        <v>2</v>
      </c>
      <c r="RG149" s="39">
        <f t="shared" si="248"/>
        <v>1282322</v>
      </c>
      <c r="RH149" s="39">
        <f t="shared" si="248"/>
        <v>70994</v>
      </c>
      <c r="RI149" s="39">
        <f t="shared" si="248"/>
        <v>0</v>
      </c>
      <c r="RJ149" s="39">
        <f t="shared" si="248"/>
        <v>0</v>
      </c>
      <c r="RK149" s="39">
        <f t="shared" si="248"/>
        <v>0</v>
      </c>
      <c r="RL149" s="39">
        <f t="shared" si="248"/>
        <v>130592</v>
      </c>
      <c r="RM149" s="39">
        <f t="shared" si="248"/>
        <v>144310</v>
      </c>
      <c r="RN149" s="39">
        <f t="shared" si="248"/>
        <v>0</v>
      </c>
      <c r="RO149" s="39">
        <f t="shared" si="248"/>
        <v>0</v>
      </c>
      <c r="RP149" s="39">
        <f t="shared" si="248"/>
        <v>18258</v>
      </c>
      <c r="RQ149" s="39">
        <f t="shared" si="248"/>
        <v>0</v>
      </c>
      <c r="RR149" s="39">
        <f t="shared" si="325"/>
        <v>0</v>
      </c>
      <c r="RS149" s="39"/>
      <c r="RT149" s="182"/>
      <c r="RU149" s="39"/>
      <c r="RV149" s="39">
        <f t="shared" si="302"/>
        <v>116631</v>
      </c>
      <c r="RW149" s="39">
        <f t="shared" si="302"/>
        <v>1646476</v>
      </c>
      <c r="RX149" s="39">
        <f t="shared" si="302"/>
        <v>19052</v>
      </c>
      <c r="RY149" s="39">
        <f t="shared" si="302"/>
        <v>231629</v>
      </c>
      <c r="RZ149" s="39"/>
      <c r="SA149" s="182"/>
      <c r="SB149" s="39"/>
      <c r="SC149" s="25">
        <f t="shared" si="303"/>
        <v>69.028985507246375</v>
      </c>
      <c r="SD149" s="39">
        <f>IFERROR(VLOOKUP(A149, 'Levy Data 15-16'!$B:$O, 3, FALSE), 0)</f>
        <v>0</v>
      </c>
      <c r="SE149" s="39">
        <f t="shared" si="265"/>
        <v>0</v>
      </c>
      <c r="SF149" s="631">
        <f>IFERROR(VLOOKUP(A149, 'Levy Data 15-16'!$B:$O, 14, FALSE), 0)*1000</f>
        <v>0</v>
      </c>
      <c r="SG149" s="39">
        <f t="shared" si="266"/>
        <v>0</v>
      </c>
      <c r="SH149" s="39">
        <f t="shared" si="267"/>
        <v>0</v>
      </c>
      <c r="SI149" s="39">
        <f t="shared" si="268"/>
        <v>19052</v>
      </c>
      <c r="SM149" s="39">
        <f t="shared" si="269"/>
        <v>1646476</v>
      </c>
      <c r="SN149" s="39">
        <f t="shared" si="270"/>
        <v>0</v>
      </c>
      <c r="SO149" s="39">
        <f t="shared" si="304"/>
        <v>1646476</v>
      </c>
      <c r="SP149" s="50">
        <f t="shared" si="250"/>
        <v>1</v>
      </c>
      <c r="ST149" s="124">
        <f>IFERROR(VLOOKUP(A149,'Grade Enroll 15-16'!B:AC,27,FALSE),"")</f>
        <v>276</v>
      </c>
      <c r="SU149" s="124">
        <f t="shared" si="264"/>
        <v>105.72203389830509</v>
      </c>
      <c r="SV149" s="131">
        <f>IFERROR(VLOOKUP($A149, 'Title I Enroll 16-17'!S:V, 4, FALSE), 0)</f>
        <v>0.38305084745762713</v>
      </c>
      <c r="SW149" s="729">
        <f>IFERROR(VLOOKUP(A149, 'ELL Enroll 15-16'!$N:$S, 6, FALSE), 0)</f>
        <v>5</v>
      </c>
      <c r="SX149" s="131">
        <f t="shared" si="251"/>
        <v>1.8115942028985508E-2</v>
      </c>
      <c r="SY149" s="124">
        <f>IFERROR(VLOOKUP(A149, 'SPED enroll 2015-16'!$M:$O, 3, FALSE), 0)</f>
        <v>18</v>
      </c>
      <c r="SZ149" s="131">
        <f t="shared" si="252"/>
        <v>6.5217391304347824E-2</v>
      </c>
      <c r="TA149" s="142">
        <f t="shared" si="253"/>
        <v>12.6</v>
      </c>
      <c r="TB149" s="142">
        <f t="shared" si="253"/>
        <v>3.6</v>
      </c>
      <c r="TC149" s="142">
        <f t="shared" si="253"/>
        <v>1.2600000000000002</v>
      </c>
      <c r="TD149" s="142">
        <f t="shared" si="253"/>
        <v>0.54</v>
      </c>
      <c r="TE149" s="124">
        <f>VLOOKUP($A149, 'Grade Enroll 15-16'!$B:$AB, 20, FALSE)</f>
        <v>0</v>
      </c>
      <c r="TF149" s="124">
        <f>VLOOKUP($A149, 'Grade Enroll 15-16'!$B:$AB, 21, FALSE)</f>
        <v>24</v>
      </c>
      <c r="TG149" s="124">
        <f>VLOOKUP($A149, 'Grade Enroll 15-16'!$B:$AB, 22, FALSE)</f>
        <v>88</v>
      </c>
      <c r="TH149" s="124">
        <f>VLOOKUP($A149, 'Grade Enroll 15-16'!$B:$AB, 23, FALSE)</f>
        <v>116</v>
      </c>
      <c r="TI149" s="124">
        <f>VLOOKUP($A149, 'Grade Enroll 15-16'!$B:$AB, 24, FALSE)</f>
        <v>72</v>
      </c>
      <c r="TJ149" s="124">
        <f>VLOOKUP($A149, 'Grade Enroll 15-16'!$B:$AB, 25, FALSE)</f>
        <v>0</v>
      </c>
      <c r="TK149" s="124">
        <f>VLOOKUP($A149, 'Grade Enroll 15-16'!$B:$AB, 26, FALSE)</f>
        <v>218</v>
      </c>
      <c r="TL149" s="131">
        <f>SUMIFS('Student Achievement 15-16'!N:N, 'Student Achievement 15-16'!B:B, 'Idaho Data'!A149, 'Student Achievement 15-16'!D:D, "math")/100</f>
        <v>0.12300000000000001</v>
      </c>
      <c r="TM149" s="134">
        <f t="shared" si="305"/>
        <v>33.948</v>
      </c>
      <c r="TN149" s="131">
        <f>SUMIFS('Student Achievement 15-16'!N:N, 'Student Achievement 15-16'!B:B, 'Idaho Data'!A149, 'Student Achievement 15-16'!D:D, "ela")/100</f>
        <v>0.114</v>
      </c>
      <c r="TO149" s="134">
        <f t="shared" si="254"/>
        <v>31.464000000000002</v>
      </c>
      <c r="TP149" s="688">
        <f>IFERROR(VLOOKUP(A149, 'G&amp;T 15-16'!B:G, 6, FALSE), 0)*1</f>
        <v>0</v>
      </c>
      <c r="TQ149" s="168">
        <f t="shared" si="255"/>
        <v>16.559999999999999</v>
      </c>
      <c r="TU149" s="168">
        <f t="shared" si="256"/>
        <v>31.464000000000002</v>
      </c>
      <c r="TV149" s="168">
        <f t="shared" si="257"/>
        <v>33.948</v>
      </c>
      <c r="TW149" s="205">
        <f t="shared" si="258"/>
        <v>33.948</v>
      </c>
      <c r="TX149" s="144"/>
      <c r="TY149" s="129"/>
      <c r="TZ149" s="127">
        <f t="shared" si="259"/>
        <v>0</v>
      </c>
      <c r="UA149" s="127">
        <f t="shared" si="260"/>
        <v>16.559999999999999</v>
      </c>
      <c r="UB149" s="205">
        <f t="shared" si="261"/>
        <v>16.559999999999999</v>
      </c>
      <c r="UE149" s="853" t="str">
        <f>IF(ST149&lt;='1. Simulator Input'!$E$104, "yes", "")</f>
        <v>yes</v>
      </c>
      <c r="UI149" s="199">
        <f t="shared" si="306"/>
        <v>0</v>
      </c>
      <c r="UJ149" s="200">
        <f>IF('Idaho Data'!SI149&gt;=0, ((1-'1. Simulator Input'!$E$39)*'Idaho Data'!SI149), 0)</f>
        <v>0</v>
      </c>
      <c r="UK149" s="200">
        <f t="shared" si="262"/>
        <v>1646476</v>
      </c>
      <c r="UL149" s="39"/>
      <c r="UM149" s="182"/>
      <c r="UN149" s="39"/>
      <c r="UO149" s="39">
        <f>IF(AND('1. Simulator Input'!$E$96="yes", '1. Simulator Input'!$E$98="yes", '1. Simulator Input'!$E$100="hold harmless"), 'Idaho Data'!WN149, IF(AND('1. Simulator Input'!$E$96="yes", '1. Simulator Input'!$E$98="no", '1. Simulator Input'!$E$100="hold harmless"), 'Idaho Data'!WM149, IF(AND('1. Simulator Input'!$E$96="yes", '1. Simulator Input'!$E$98="yes", '1. Simulator Input'!$E$100="small district grant"), WL149,IF(AND('1. Simulator Input'!$E$96="yes", '1. Simulator Input'!$E$98="no", '1. Simulator Input'!$E$100="small district grant"), WK149, ""))))</f>
        <v>0</v>
      </c>
      <c r="UP149" s="200">
        <f>'1. Simulator Input'!$D$56*('Idaho Data'!ST149)</f>
        <v>1525176</v>
      </c>
      <c r="UQ149" s="204">
        <f>'1. Simulator Input'!$D$65*'1. Simulator Input'!$D$56*'Idaho Data'!SU149</f>
        <v>0</v>
      </c>
      <c r="UR149" s="204">
        <f>'1. Simulator Input'!$D$66*'1. Simulator Input'!$D$56*'Idaho Data'!SW149</f>
        <v>0</v>
      </c>
      <c r="US149" s="200">
        <f>'1. Simulator Input'!$D$67*'1. Simulator Input'!$D$56*'Idaho Data'!TA149</f>
        <v>0</v>
      </c>
      <c r="UT149" s="200">
        <f>'1. Simulator Input'!$D$68*'1. Simulator Input'!$D$56*'Idaho Data'!TB149</f>
        <v>0</v>
      </c>
      <c r="UU149" s="200">
        <f>'1. Simulator Input'!$D$69*'1. Simulator Input'!$D$56*'Idaho Data'!TC149</f>
        <v>0</v>
      </c>
      <c r="UV149" s="200">
        <f>'1. Simulator Input'!$D$70*'1. Simulator Input'!$D$56*TD149</f>
        <v>0</v>
      </c>
      <c r="UW149" s="200">
        <f>'1. Simulator Input'!$D$80*'1. Simulator Input'!$D$56*TW149</f>
        <v>0</v>
      </c>
      <c r="UX149" s="200">
        <f>'1. Simulator Input'!$D$79*'1. Simulator Input'!$D$56*UB149</f>
        <v>0</v>
      </c>
      <c r="UY149" s="200">
        <f>'1. Simulator Input'!$D$87*'1. Simulator Input'!$D$56*TF149</f>
        <v>66312</v>
      </c>
      <c r="UZ149" s="200">
        <f>'1. Simulator Input'!$D$73*'1. Simulator Input'!$D$56*'Idaho Data'!TG149</f>
        <v>0</v>
      </c>
      <c r="VA149" s="200">
        <f>'1. Simulator Input'!$D$56*'1. Simulator Input'!$D$74*'Idaho Data'!TH149</f>
        <v>0</v>
      </c>
      <c r="VB149" s="200">
        <f>'1. Simulator Input'!$D$56*'1. Simulator Input'!$D$75*'Idaho Data'!TI144</f>
        <v>0</v>
      </c>
      <c r="VC149" s="200">
        <f>'1. Simulator Input'!$D$76*'1. Simulator Input'!$D$56*'Idaho Data'!TJ149</f>
        <v>0</v>
      </c>
      <c r="VD149" s="200">
        <f t="shared" si="307"/>
        <v>1591488</v>
      </c>
      <c r="VE149" s="200"/>
      <c r="VF149" s="182"/>
      <c r="VG149" s="200"/>
      <c r="VH149" s="200">
        <f t="shared" si="308"/>
        <v>0</v>
      </c>
      <c r="VI149" s="200">
        <f t="shared" si="309"/>
        <v>0</v>
      </c>
      <c r="VJ149" s="200">
        <f t="shared" si="271"/>
        <v>1591488</v>
      </c>
      <c r="VK149" s="200">
        <f t="shared" si="272"/>
        <v>1591488</v>
      </c>
      <c r="VL149" s="200"/>
      <c r="VM149" s="182"/>
      <c r="VN149" s="200"/>
      <c r="VO149" s="200">
        <f t="shared" si="310"/>
        <v>116631</v>
      </c>
      <c r="VP149" s="200">
        <f t="shared" si="311"/>
        <v>1646476</v>
      </c>
      <c r="VQ149" s="200">
        <f t="shared" si="312"/>
        <v>19052</v>
      </c>
      <c r="VR149" s="200">
        <f t="shared" si="313"/>
        <v>116631</v>
      </c>
      <c r="VS149" s="200">
        <f t="shared" si="273"/>
        <v>1591488</v>
      </c>
      <c r="VT149" s="200">
        <f t="shared" si="274"/>
        <v>19052</v>
      </c>
      <c r="VU149" s="200">
        <f t="shared" si="275"/>
        <v>0</v>
      </c>
      <c r="VV149" s="200"/>
      <c r="VW149" s="182"/>
      <c r="VX149" s="200"/>
      <c r="VZ149" s="199">
        <f t="shared" si="314"/>
        <v>-54988</v>
      </c>
      <c r="WA149" s="199">
        <f t="shared" si="315"/>
        <v>-199.231884057971</v>
      </c>
      <c r="WB149" s="131">
        <f t="shared" si="316"/>
        <v>-3.3397389333339814E-2</v>
      </c>
      <c r="WC149" s="131"/>
      <c r="WD149" s="461"/>
      <c r="WE149" s="893"/>
      <c r="WF149" s="893">
        <f t="shared" si="317"/>
        <v>6457.097826086957</v>
      </c>
      <c r="WG149" s="893">
        <f t="shared" si="318"/>
        <v>6257.865942028986</v>
      </c>
      <c r="WH149" s="893"/>
      <c r="WI149" s="893">
        <f t="shared" si="319"/>
        <v>1646476</v>
      </c>
      <c r="WJ149" s="893">
        <f t="shared" si="276"/>
        <v>1591488</v>
      </c>
      <c r="WK149" s="39">
        <f t="shared" si="277"/>
        <v>0</v>
      </c>
      <c r="WL149" s="39">
        <f t="shared" si="278"/>
        <v>0</v>
      </c>
      <c r="WM149" s="200">
        <f t="shared" si="279"/>
        <v>54988</v>
      </c>
      <c r="WN149" s="39">
        <f t="shared" si="280"/>
        <v>54988</v>
      </c>
      <c r="WO149" s="39"/>
      <c r="WP149" s="182"/>
      <c r="WQ149" s="39"/>
      <c r="WR149" s="305"/>
      <c r="WT149" s="200">
        <f t="shared" si="281"/>
        <v>5965.492753623188</v>
      </c>
      <c r="WU149" s="131">
        <f t="shared" si="320"/>
        <v>0.33</v>
      </c>
      <c r="WW149" s="199">
        <f t="shared" si="282"/>
        <v>116631</v>
      </c>
      <c r="WX149" s="199">
        <f t="shared" si="283"/>
        <v>1591488</v>
      </c>
      <c r="WY149" s="199">
        <f t="shared" si="284"/>
        <v>0</v>
      </c>
      <c r="WZ149" s="199">
        <f t="shared" si="321"/>
        <v>1591488</v>
      </c>
      <c r="XA149" s="199">
        <f t="shared" si="285"/>
        <v>0</v>
      </c>
      <c r="XB149" s="199">
        <f t="shared" si="286"/>
        <v>19052</v>
      </c>
      <c r="XC149" s="199">
        <f t="shared" si="287"/>
        <v>19052</v>
      </c>
      <c r="XD149" s="199" t="str">
        <f t="shared" si="288"/>
        <v/>
      </c>
      <c r="XE149" s="199"/>
      <c r="XF149" s="199"/>
      <c r="XG149" s="199"/>
      <c r="XH149" s="199"/>
      <c r="XI149" s="199"/>
      <c r="XJ149" s="199">
        <f t="shared" si="322"/>
        <v>1591488</v>
      </c>
      <c r="XP149" s="199">
        <f t="shared" si="289"/>
        <v>1591488</v>
      </c>
      <c r="XQ149" s="199">
        <f t="shared" si="290"/>
        <v>5766.260869565217</v>
      </c>
      <c r="XR149" s="199">
        <f t="shared" si="291"/>
        <v>1591488</v>
      </c>
      <c r="XS149" s="199">
        <f t="shared" si="292"/>
        <v>1591488</v>
      </c>
      <c r="XT149" s="199">
        <f t="shared" si="293"/>
        <v>5766.260869565217</v>
      </c>
      <c r="XU149" s="199">
        <f t="shared" si="294"/>
        <v>1646476</v>
      </c>
      <c r="XV149" s="199">
        <f t="shared" si="295"/>
        <v>5965.492753623188</v>
      </c>
      <c r="XW149" s="199">
        <f t="shared" si="296"/>
        <v>1646476</v>
      </c>
      <c r="XX149" s="199">
        <f t="shared" si="297"/>
        <v>5965.492753623188</v>
      </c>
      <c r="XY149" s="199">
        <f t="shared" si="323"/>
        <v>-54988</v>
      </c>
      <c r="XZ149" s="199">
        <f t="shared" si="324"/>
        <v>-199.231884057971</v>
      </c>
      <c r="YA149" s="131">
        <f t="shared" si="263"/>
        <v>-3.3397389333339814E-2</v>
      </c>
      <c r="YB149" s="199"/>
      <c r="YC149" s="221"/>
      <c r="YD149" s="199"/>
      <c r="YE149" s="199">
        <f t="shared" si="298"/>
        <v>116631</v>
      </c>
      <c r="YF149" s="200">
        <f t="shared" si="299"/>
        <v>0</v>
      </c>
      <c r="YG149" s="199">
        <f t="shared" si="300"/>
        <v>19052</v>
      </c>
      <c r="YH149" s="199">
        <f t="shared" si="301"/>
        <v>231629</v>
      </c>
    </row>
    <row r="150" spans="1:658">
      <c r="A150" s="3">
        <v>479</v>
      </c>
      <c r="B150" s="2" t="s">
        <v>247</v>
      </c>
      <c r="C150" s="24">
        <v>0</v>
      </c>
      <c r="D150" s="24">
        <v>0</v>
      </c>
      <c r="E150" s="24">
        <v>0</v>
      </c>
      <c r="F150" s="24">
        <v>0</v>
      </c>
      <c r="G150" s="24">
        <v>0</v>
      </c>
      <c r="H150" s="24">
        <v>0</v>
      </c>
      <c r="I150" s="24">
        <v>0</v>
      </c>
      <c r="J150" s="24">
        <v>0</v>
      </c>
      <c r="K150" s="24">
        <v>0</v>
      </c>
      <c r="L150" s="24">
        <v>0</v>
      </c>
      <c r="M150" s="24">
        <v>0</v>
      </c>
      <c r="N150" s="24">
        <v>0</v>
      </c>
      <c r="O150" s="24">
        <v>0</v>
      </c>
      <c r="P150" s="24">
        <v>0</v>
      </c>
      <c r="Q150" s="24">
        <v>0</v>
      </c>
      <c r="R150" s="24">
        <v>0</v>
      </c>
      <c r="S150" s="24">
        <v>0</v>
      </c>
      <c r="T150" s="24">
        <v>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268</v>
      </c>
      <c r="AM150" s="24">
        <v>0</v>
      </c>
      <c r="AN150" s="24">
        <v>0</v>
      </c>
      <c r="AO150" s="24">
        <v>0</v>
      </c>
      <c r="AP150" s="24">
        <v>0</v>
      </c>
      <c r="AQ150" s="24">
        <v>0</v>
      </c>
      <c r="AR150" s="24">
        <v>0</v>
      </c>
      <c r="AS150" s="24">
        <v>0</v>
      </c>
      <c r="AT150" s="24">
        <v>0</v>
      </c>
      <c r="AU150" s="24">
        <v>0</v>
      </c>
      <c r="AV150" s="24">
        <v>0</v>
      </c>
      <c r="AW150" s="24">
        <v>0</v>
      </c>
      <c r="AX150" s="24">
        <v>0</v>
      </c>
      <c r="AY150" s="24">
        <v>0</v>
      </c>
      <c r="AZ150" s="24">
        <v>0</v>
      </c>
      <c r="BA150" s="24">
        <v>0</v>
      </c>
      <c r="BB150" s="24">
        <v>0</v>
      </c>
      <c r="BC150" s="24">
        <v>0</v>
      </c>
      <c r="BD150" s="24">
        <v>0</v>
      </c>
      <c r="BE150" s="24">
        <v>0</v>
      </c>
      <c r="BF150" s="24">
        <v>0</v>
      </c>
      <c r="BG150" s="24">
        <v>0</v>
      </c>
      <c r="BH150" s="24">
        <v>0</v>
      </c>
      <c r="BI150" s="24">
        <v>0</v>
      </c>
      <c r="BJ150" s="24">
        <v>0</v>
      </c>
      <c r="BK150" s="24">
        <v>0</v>
      </c>
      <c r="BL150" s="24">
        <v>0</v>
      </c>
      <c r="BM150" s="24">
        <v>0</v>
      </c>
      <c r="BN150" s="24">
        <v>0</v>
      </c>
      <c r="BO150" s="24">
        <v>0</v>
      </c>
      <c r="BP150" s="24">
        <v>0</v>
      </c>
      <c r="BQ150" s="24">
        <v>0</v>
      </c>
      <c r="BR150" s="24">
        <v>0</v>
      </c>
      <c r="BS150" s="24">
        <v>0</v>
      </c>
      <c r="BT150" s="24">
        <v>0</v>
      </c>
      <c r="BU150" s="24">
        <v>0</v>
      </c>
      <c r="BV150" s="24">
        <v>0</v>
      </c>
      <c r="BW150" s="24">
        <v>0</v>
      </c>
      <c r="BX150" s="24">
        <v>0</v>
      </c>
      <c r="BY150" s="24">
        <v>0</v>
      </c>
      <c r="BZ150" s="24">
        <v>0</v>
      </c>
      <c r="CA150" s="24">
        <v>0</v>
      </c>
      <c r="CB150" s="24">
        <v>0</v>
      </c>
      <c r="CC150" s="24">
        <v>0</v>
      </c>
      <c r="CD150" s="24">
        <v>102229</v>
      </c>
      <c r="CE150" s="24">
        <v>0</v>
      </c>
      <c r="CF150" s="24">
        <v>0</v>
      </c>
      <c r="CG150" s="24">
        <v>0</v>
      </c>
      <c r="CH150" s="24">
        <v>0</v>
      </c>
      <c r="CI150" s="24">
        <v>0</v>
      </c>
      <c r="CJ150" s="24">
        <v>0</v>
      </c>
      <c r="CK150" s="24">
        <v>0</v>
      </c>
      <c r="CL150" s="24">
        <v>0</v>
      </c>
      <c r="CM150" s="24">
        <v>0</v>
      </c>
      <c r="CN150" s="24">
        <v>0</v>
      </c>
      <c r="CO150" s="24">
        <v>0</v>
      </c>
      <c r="CP150" s="24">
        <v>0</v>
      </c>
      <c r="CQ150" s="24">
        <v>0</v>
      </c>
      <c r="CR150" s="24">
        <v>0</v>
      </c>
      <c r="CS150" s="24">
        <v>0</v>
      </c>
      <c r="CT150" s="24">
        <v>0</v>
      </c>
      <c r="CU150" s="24">
        <v>0</v>
      </c>
      <c r="CV150" s="24">
        <v>0</v>
      </c>
      <c r="CW150" s="24">
        <v>0</v>
      </c>
      <c r="CX150" s="24">
        <v>0</v>
      </c>
      <c r="CY150" s="24">
        <v>0</v>
      </c>
      <c r="CZ150" s="24">
        <v>0</v>
      </c>
      <c r="DA150" s="24">
        <v>0</v>
      </c>
      <c r="DB150" s="24">
        <v>0</v>
      </c>
      <c r="DC150" s="24">
        <v>0</v>
      </c>
      <c r="DD150" s="24">
        <v>0</v>
      </c>
      <c r="DE150" s="24">
        <v>0</v>
      </c>
      <c r="DF150" s="24">
        <v>0</v>
      </c>
      <c r="DG150" s="24">
        <v>0</v>
      </c>
      <c r="DH150" s="24">
        <v>0</v>
      </c>
      <c r="DI150" s="24">
        <v>0</v>
      </c>
      <c r="DJ150" s="24">
        <v>0</v>
      </c>
      <c r="DK150" s="24">
        <v>0</v>
      </c>
      <c r="DL150" s="24">
        <v>0</v>
      </c>
      <c r="DM150" s="24">
        <v>0</v>
      </c>
      <c r="DN150" s="24">
        <v>0</v>
      </c>
      <c r="DO150" s="24">
        <v>0</v>
      </c>
      <c r="DP150" s="24">
        <v>0</v>
      </c>
      <c r="DQ150" s="24">
        <v>0</v>
      </c>
      <c r="DR150" s="24">
        <v>0</v>
      </c>
      <c r="DS150" s="24">
        <v>0</v>
      </c>
      <c r="DT150" s="24">
        <v>0</v>
      </c>
      <c r="DU150" s="24">
        <v>0</v>
      </c>
      <c r="DV150" s="24">
        <v>0</v>
      </c>
      <c r="DW150" s="24">
        <v>0</v>
      </c>
      <c r="DX150" s="24">
        <v>0</v>
      </c>
      <c r="DY150" s="24">
        <v>0</v>
      </c>
      <c r="DZ150" s="24">
        <v>0</v>
      </c>
      <c r="EA150" s="24">
        <v>0</v>
      </c>
      <c r="EB150" s="24">
        <v>0</v>
      </c>
      <c r="EC150" s="24">
        <v>0</v>
      </c>
      <c r="ED150" s="24">
        <v>0</v>
      </c>
      <c r="EE150" s="24">
        <v>0</v>
      </c>
      <c r="EF150" s="24">
        <v>0</v>
      </c>
      <c r="EG150" s="24">
        <v>13025</v>
      </c>
      <c r="EH150" s="24">
        <v>0</v>
      </c>
      <c r="EI150" s="24">
        <v>0</v>
      </c>
      <c r="EJ150" s="24">
        <v>0</v>
      </c>
      <c r="EK150" s="24">
        <v>0</v>
      </c>
      <c r="EL150" s="24">
        <v>0</v>
      </c>
      <c r="EM150" s="24">
        <v>0</v>
      </c>
      <c r="EN150" s="24">
        <v>0</v>
      </c>
      <c r="EO150" s="24">
        <v>0</v>
      </c>
      <c r="EP150" s="24">
        <v>0</v>
      </c>
      <c r="EQ150" s="24">
        <v>0</v>
      </c>
      <c r="ER150" s="24">
        <v>0</v>
      </c>
      <c r="ES150" s="24">
        <v>0</v>
      </c>
      <c r="ET150" s="24">
        <v>0</v>
      </c>
      <c r="EU150" s="24">
        <v>0</v>
      </c>
      <c r="EV150" s="24">
        <v>0</v>
      </c>
      <c r="EW150" s="24">
        <v>1894</v>
      </c>
      <c r="EX150" s="24">
        <v>0</v>
      </c>
      <c r="EY150" s="24">
        <v>0</v>
      </c>
      <c r="EZ150" s="24">
        <v>0</v>
      </c>
      <c r="FA150" s="24">
        <v>0</v>
      </c>
      <c r="FB150" s="24">
        <v>0</v>
      </c>
      <c r="FC150" s="24">
        <v>0</v>
      </c>
      <c r="FD150" s="24">
        <v>0</v>
      </c>
      <c r="FE150" s="24">
        <v>0</v>
      </c>
      <c r="FF150" s="24">
        <v>0</v>
      </c>
      <c r="FG150" s="24">
        <v>0</v>
      </c>
      <c r="FH150" s="24">
        <v>0</v>
      </c>
      <c r="FI150" s="24">
        <v>0</v>
      </c>
      <c r="FJ150" s="24">
        <v>0</v>
      </c>
      <c r="FK150" s="24">
        <v>0</v>
      </c>
      <c r="FL150" s="24">
        <v>0</v>
      </c>
      <c r="FM150" s="24">
        <v>0</v>
      </c>
      <c r="FN150" s="24">
        <v>0</v>
      </c>
      <c r="FO150" s="24">
        <v>0</v>
      </c>
      <c r="FP150" s="24">
        <v>0</v>
      </c>
      <c r="FQ150" s="24">
        <v>0</v>
      </c>
      <c r="FR150" s="24">
        <v>0</v>
      </c>
      <c r="FS150" s="24">
        <v>0</v>
      </c>
      <c r="FT150" s="24">
        <v>0</v>
      </c>
      <c r="FU150" s="24">
        <v>0</v>
      </c>
      <c r="FV150" s="24">
        <v>0</v>
      </c>
      <c r="FW150" s="24">
        <v>0</v>
      </c>
      <c r="FX150" s="24">
        <v>0</v>
      </c>
      <c r="FY150" s="24">
        <v>0</v>
      </c>
      <c r="FZ150" s="24">
        <v>0</v>
      </c>
      <c r="GA150" s="24">
        <v>0</v>
      </c>
      <c r="GB150" s="24">
        <v>0</v>
      </c>
      <c r="GC150" s="24">
        <v>0</v>
      </c>
      <c r="GD150" s="24">
        <v>0</v>
      </c>
      <c r="GE150" s="24">
        <v>0</v>
      </c>
      <c r="GF150" s="24">
        <v>0</v>
      </c>
      <c r="GG150" s="24">
        <v>0</v>
      </c>
      <c r="GH150" s="24">
        <v>0</v>
      </c>
      <c r="GI150" s="24">
        <v>0</v>
      </c>
      <c r="GJ150" s="24">
        <v>0</v>
      </c>
      <c r="GK150" s="24">
        <v>0</v>
      </c>
      <c r="GL150" s="24">
        <v>0</v>
      </c>
      <c r="GM150" s="24">
        <v>0</v>
      </c>
      <c r="GN150" s="24">
        <v>0</v>
      </c>
      <c r="GO150" s="24">
        <v>0</v>
      </c>
      <c r="GP150" s="24">
        <v>0</v>
      </c>
      <c r="GQ150" s="24">
        <v>0</v>
      </c>
      <c r="GR150" s="24">
        <v>0</v>
      </c>
      <c r="GS150" s="24">
        <v>0</v>
      </c>
      <c r="GT150" s="24">
        <v>0</v>
      </c>
      <c r="GU150" s="24">
        <v>0</v>
      </c>
      <c r="GV150" s="24">
        <v>0</v>
      </c>
      <c r="GW150" s="24">
        <v>0</v>
      </c>
      <c r="GX150" s="24">
        <v>0</v>
      </c>
      <c r="GY150" s="24">
        <v>0</v>
      </c>
      <c r="GZ150" s="24">
        <v>0</v>
      </c>
      <c r="HA150" s="24">
        <v>0</v>
      </c>
      <c r="HB150" s="24">
        <v>0</v>
      </c>
      <c r="HC150" s="24">
        <v>0</v>
      </c>
      <c r="HD150" s="24">
        <v>802589</v>
      </c>
      <c r="HE150" s="24">
        <v>0</v>
      </c>
      <c r="HF150" s="24">
        <v>0</v>
      </c>
      <c r="HG150" s="24">
        <v>0</v>
      </c>
      <c r="HH150" s="24">
        <v>0</v>
      </c>
      <c r="HI150" s="24">
        <v>73073</v>
      </c>
      <c r="HJ150" s="24">
        <v>0</v>
      </c>
      <c r="HK150" s="24">
        <v>0</v>
      </c>
      <c r="HL150" s="24">
        <v>0</v>
      </c>
      <c r="HM150" s="24">
        <v>0</v>
      </c>
      <c r="HN150" s="24">
        <v>19246</v>
      </c>
      <c r="HO150" s="24">
        <v>105072</v>
      </c>
      <c r="HP150" s="24">
        <v>87953</v>
      </c>
      <c r="HQ150" s="24">
        <v>0</v>
      </c>
      <c r="HR150" s="24">
        <v>0</v>
      </c>
      <c r="HS150" s="24">
        <v>0</v>
      </c>
      <c r="HT150" s="24">
        <v>0</v>
      </c>
      <c r="HU150" s="24">
        <v>0</v>
      </c>
      <c r="HV150" s="24">
        <v>0</v>
      </c>
      <c r="HW150" s="24">
        <v>0</v>
      </c>
      <c r="HX150" s="24">
        <v>0</v>
      </c>
      <c r="HY150" s="24">
        <v>0</v>
      </c>
      <c r="HZ150" s="24">
        <v>0</v>
      </c>
      <c r="IA150" s="24">
        <v>12799</v>
      </c>
      <c r="IB150" s="24">
        <v>4233</v>
      </c>
      <c r="IC150" s="24">
        <v>0</v>
      </c>
      <c r="ID150" s="24">
        <v>0</v>
      </c>
      <c r="IE150" s="24">
        <v>0</v>
      </c>
      <c r="IF150" s="24">
        <v>0</v>
      </c>
      <c r="IG150" s="24">
        <v>0</v>
      </c>
      <c r="IH150" s="24">
        <v>0</v>
      </c>
      <c r="II150" s="24">
        <v>0</v>
      </c>
      <c r="IJ150" s="24">
        <v>0</v>
      </c>
      <c r="IK150" s="24">
        <v>0</v>
      </c>
      <c r="IL150" s="24">
        <v>0</v>
      </c>
      <c r="IM150" s="24">
        <v>0</v>
      </c>
      <c r="IN150" s="24">
        <v>0</v>
      </c>
      <c r="IO150" s="24">
        <v>0</v>
      </c>
      <c r="IP150" s="24">
        <v>0</v>
      </c>
      <c r="IQ150" s="24">
        <v>0</v>
      </c>
      <c r="IR150" s="24">
        <v>0</v>
      </c>
      <c r="IS150" s="24">
        <v>0</v>
      </c>
      <c r="IT150" s="24">
        <v>0</v>
      </c>
      <c r="IU150" s="24">
        <v>0</v>
      </c>
      <c r="IV150" s="24">
        <v>0</v>
      </c>
      <c r="IW150" s="24">
        <v>10471</v>
      </c>
      <c r="IX150" s="24">
        <v>0</v>
      </c>
      <c r="IY150" s="24">
        <v>0</v>
      </c>
      <c r="IZ150" s="24">
        <v>0</v>
      </c>
      <c r="JA150" s="24">
        <v>0</v>
      </c>
      <c r="JB150" s="24">
        <v>0</v>
      </c>
      <c r="JC150" s="24">
        <v>0</v>
      </c>
      <c r="JD150" s="24">
        <v>0</v>
      </c>
      <c r="JE150" s="24">
        <v>0</v>
      </c>
      <c r="JF150" s="24">
        <v>0</v>
      </c>
      <c r="JG150" s="24">
        <v>0</v>
      </c>
      <c r="JH150" s="24">
        <v>0</v>
      </c>
      <c r="JI150" s="24">
        <v>0</v>
      </c>
      <c r="JJ150" s="24">
        <v>0</v>
      </c>
      <c r="JK150" s="24">
        <v>0</v>
      </c>
      <c r="JL150" s="24">
        <v>0</v>
      </c>
      <c r="JM150" s="24">
        <v>0</v>
      </c>
      <c r="JN150" s="24">
        <v>0</v>
      </c>
      <c r="JO150" s="24">
        <v>0</v>
      </c>
      <c r="JP150" s="24">
        <v>0</v>
      </c>
      <c r="JQ150" s="24">
        <v>0</v>
      </c>
      <c r="JR150" s="24">
        <v>0</v>
      </c>
      <c r="JS150" s="24">
        <v>0</v>
      </c>
      <c r="JT150" s="24">
        <v>0</v>
      </c>
      <c r="JU150" s="24">
        <v>0</v>
      </c>
      <c r="JV150" s="24">
        <v>0</v>
      </c>
      <c r="JW150" s="24">
        <v>0</v>
      </c>
      <c r="JX150" s="24">
        <v>0</v>
      </c>
      <c r="JY150" s="24">
        <v>0</v>
      </c>
      <c r="JZ150" s="24">
        <v>0</v>
      </c>
      <c r="KA150" s="24">
        <v>0</v>
      </c>
      <c r="KB150" s="24">
        <v>0</v>
      </c>
      <c r="KC150" s="24">
        <v>0</v>
      </c>
      <c r="KD150" s="24">
        <v>0</v>
      </c>
      <c r="KE150" s="24">
        <v>0</v>
      </c>
      <c r="KF150" s="24">
        <v>0</v>
      </c>
      <c r="KG150" s="24">
        <v>0</v>
      </c>
      <c r="KH150" s="24">
        <v>0</v>
      </c>
      <c r="KI150" s="24">
        <v>0</v>
      </c>
      <c r="KJ150" s="24">
        <v>0</v>
      </c>
      <c r="KK150" s="24">
        <v>0</v>
      </c>
      <c r="KL150" s="24">
        <v>0</v>
      </c>
      <c r="KM150" s="24">
        <v>0</v>
      </c>
      <c r="KN150" s="24">
        <v>0</v>
      </c>
      <c r="KO150" s="24">
        <v>0</v>
      </c>
      <c r="KP150" s="24">
        <v>0</v>
      </c>
      <c r="KQ150" s="24">
        <v>0</v>
      </c>
      <c r="KR150" s="24">
        <v>0</v>
      </c>
      <c r="KS150" s="24">
        <v>0</v>
      </c>
      <c r="KT150" s="24">
        <v>0</v>
      </c>
      <c r="KU150" s="24">
        <v>0</v>
      </c>
      <c r="KV150" s="24">
        <v>0</v>
      </c>
      <c r="KW150" s="24">
        <v>0</v>
      </c>
      <c r="KX150" s="24">
        <v>0</v>
      </c>
      <c r="KY150" s="24">
        <v>0</v>
      </c>
      <c r="KZ150" s="24">
        <v>0</v>
      </c>
      <c r="LA150" s="24">
        <v>0</v>
      </c>
      <c r="LB150" s="24">
        <v>0</v>
      </c>
      <c r="LC150" s="24">
        <v>0</v>
      </c>
      <c r="LD150" s="24">
        <v>0</v>
      </c>
      <c r="LE150" s="24">
        <v>0</v>
      </c>
      <c r="LF150" s="24">
        <v>0</v>
      </c>
      <c r="LG150" s="24">
        <v>0</v>
      </c>
      <c r="LH150" s="24">
        <v>0</v>
      </c>
      <c r="LI150" s="24">
        <v>0</v>
      </c>
      <c r="LJ150" s="24">
        <v>0</v>
      </c>
      <c r="LK150" s="24">
        <v>0</v>
      </c>
      <c r="LL150" s="24">
        <v>0</v>
      </c>
      <c r="LM150" s="24">
        <v>0</v>
      </c>
      <c r="LN150" s="24">
        <v>0</v>
      </c>
      <c r="LO150" s="24">
        <v>0</v>
      </c>
      <c r="LP150" s="24">
        <v>0</v>
      </c>
      <c r="LQ150" s="24">
        <v>56747</v>
      </c>
      <c r="LR150" s="24">
        <v>0</v>
      </c>
      <c r="LS150" s="24">
        <v>0</v>
      </c>
      <c r="LT150" s="24">
        <v>0</v>
      </c>
      <c r="LU150" s="24">
        <v>0</v>
      </c>
      <c r="LV150" s="24">
        <v>0</v>
      </c>
      <c r="LW150" s="24">
        <v>0</v>
      </c>
      <c r="LX150" s="24">
        <v>0</v>
      </c>
      <c r="LY150" s="24">
        <v>0</v>
      </c>
      <c r="LZ150" s="24">
        <v>0</v>
      </c>
      <c r="MA150" s="24">
        <v>0</v>
      </c>
      <c r="MB150" s="24">
        <v>0</v>
      </c>
      <c r="MC150" s="24">
        <v>0</v>
      </c>
      <c r="MD150" s="24">
        <v>0</v>
      </c>
      <c r="ME150" s="24">
        <v>0</v>
      </c>
      <c r="MF150" s="24">
        <v>0</v>
      </c>
      <c r="MG150" s="24">
        <v>0</v>
      </c>
      <c r="MH150" s="24">
        <v>0</v>
      </c>
      <c r="MI150" s="24">
        <v>0</v>
      </c>
      <c r="MJ150" s="24">
        <v>0</v>
      </c>
      <c r="MK150" s="24">
        <v>0</v>
      </c>
      <c r="ML150" s="24">
        <v>0</v>
      </c>
      <c r="MM150" s="24">
        <v>0</v>
      </c>
      <c r="MN150" s="24">
        <v>0</v>
      </c>
      <c r="MO150" s="24">
        <v>0</v>
      </c>
      <c r="MP150" s="24">
        <v>0</v>
      </c>
      <c r="MQ150" s="24">
        <v>0</v>
      </c>
      <c r="MR150" s="24">
        <v>0</v>
      </c>
      <c r="MS150" s="24">
        <v>0</v>
      </c>
      <c r="MT150" s="24">
        <v>0</v>
      </c>
      <c r="MU150" s="24">
        <v>0</v>
      </c>
      <c r="MV150" s="24">
        <v>0</v>
      </c>
      <c r="MW150" s="24">
        <v>31942</v>
      </c>
      <c r="MX150" s="24">
        <v>0</v>
      </c>
      <c r="MY150" s="24">
        <v>0</v>
      </c>
      <c r="MZ150" s="24">
        <v>0</v>
      </c>
      <c r="NA150" s="24">
        <v>63512</v>
      </c>
      <c r="NB150" s="24">
        <v>0</v>
      </c>
      <c r="NC150" s="24">
        <v>0</v>
      </c>
      <c r="ND150" s="24">
        <v>0</v>
      </c>
      <c r="NE150" s="24">
        <v>0</v>
      </c>
      <c r="NF150" s="24">
        <v>0</v>
      </c>
      <c r="NG150" s="24">
        <v>0</v>
      </c>
      <c r="NH150" s="24">
        <v>0</v>
      </c>
      <c r="NI150" s="24">
        <v>0</v>
      </c>
      <c r="NJ150" s="24">
        <v>0</v>
      </c>
      <c r="NK150" s="24">
        <v>0</v>
      </c>
      <c r="NL150" s="24">
        <v>0</v>
      </c>
      <c r="NM150" s="24">
        <v>0</v>
      </c>
      <c r="NN150" s="24">
        <v>0</v>
      </c>
      <c r="NO150" s="24">
        <v>0</v>
      </c>
      <c r="NP150" s="24">
        <v>0</v>
      </c>
      <c r="NQ150" s="24">
        <v>0</v>
      </c>
      <c r="NR150" s="24">
        <v>0</v>
      </c>
      <c r="NS150" s="24">
        <v>0</v>
      </c>
      <c r="NT150" s="24">
        <v>0</v>
      </c>
      <c r="NU150" s="24">
        <v>0</v>
      </c>
      <c r="NV150" s="24">
        <v>23829</v>
      </c>
      <c r="NW150" s="24">
        <v>0</v>
      </c>
      <c r="NX150" s="24">
        <v>0</v>
      </c>
      <c r="NY150" s="24">
        <v>0</v>
      </c>
      <c r="NZ150" s="24">
        <v>0</v>
      </c>
      <c r="OA150" s="24">
        <v>0</v>
      </c>
      <c r="OB150" s="24">
        <v>0</v>
      </c>
      <c r="OC150" s="24">
        <v>0</v>
      </c>
      <c r="OD150" s="24">
        <v>0</v>
      </c>
      <c r="OE150" s="24">
        <v>0</v>
      </c>
      <c r="OF150" s="24">
        <v>0</v>
      </c>
      <c r="OG150" s="24">
        <v>0</v>
      </c>
      <c r="OH150" s="24">
        <v>0</v>
      </c>
      <c r="OI150" s="24">
        <v>0</v>
      </c>
      <c r="OJ150" s="24">
        <v>0</v>
      </c>
      <c r="OK150" s="24">
        <v>0</v>
      </c>
      <c r="OL150" s="24">
        <v>0</v>
      </c>
      <c r="OM150" s="24">
        <v>0</v>
      </c>
      <c r="ON150" s="24">
        <v>0</v>
      </c>
      <c r="OO150" s="24">
        <v>0</v>
      </c>
      <c r="OP150" s="24">
        <v>0</v>
      </c>
      <c r="OQ150" s="24">
        <v>0</v>
      </c>
      <c r="OR150" s="24">
        <v>0</v>
      </c>
      <c r="OS150" s="24">
        <v>0</v>
      </c>
      <c r="OT150" s="24">
        <v>0</v>
      </c>
      <c r="OU150" s="24">
        <v>0</v>
      </c>
      <c r="OV150" s="24">
        <v>0</v>
      </c>
      <c r="OW150" s="24">
        <v>0</v>
      </c>
      <c r="OX150" s="24">
        <v>0</v>
      </c>
      <c r="OY150" s="24">
        <v>0</v>
      </c>
      <c r="OZ150" s="24">
        <v>0</v>
      </c>
      <c r="PA150" s="24">
        <v>0</v>
      </c>
      <c r="PB150" s="24">
        <v>0</v>
      </c>
      <c r="PC150" s="24">
        <v>0</v>
      </c>
      <c r="PD150" s="24">
        <v>0</v>
      </c>
      <c r="PE150" s="24">
        <v>0</v>
      </c>
      <c r="PF150" s="24">
        <v>0</v>
      </c>
      <c r="PG150" s="24">
        <v>0</v>
      </c>
      <c r="PH150" s="24">
        <v>985</v>
      </c>
      <c r="PI150" s="24">
        <v>0</v>
      </c>
      <c r="PJ150" s="24">
        <v>0</v>
      </c>
      <c r="PK150" s="24">
        <v>0</v>
      </c>
      <c r="PL150" s="24">
        <v>0</v>
      </c>
      <c r="PM150" s="24">
        <v>0</v>
      </c>
      <c r="PN150" s="24">
        <v>0</v>
      </c>
      <c r="PO150" s="24">
        <v>0</v>
      </c>
      <c r="PP150" s="24">
        <v>0</v>
      </c>
      <c r="PQ150" s="24">
        <v>0</v>
      </c>
      <c r="PR150" s="24">
        <v>0</v>
      </c>
      <c r="PS150" s="24">
        <v>0</v>
      </c>
      <c r="PT150" s="24">
        <v>0</v>
      </c>
      <c r="PU150" s="24">
        <v>0</v>
      </c>
      <c r="PV150" s="24">
        <v>0</v>
      </c>
      <c r="PW150" s="24">
        <v>0</v>
      </c>
      <c r="PX150" s="24">
        <v>0</v>
      </c>
      <c r="PY150" s="24">
        <v>0</v>
      </c>
      <c r="PZ150" s="24">
        <v>0</v>
      </c>
      <c r="QA150" s="24">
        <v>0</v>
      </c>
      <c r="QB150" s="24">
        <v>0</v>
      </c>
      <c r="QC150" s="24">
        <v>0</v>
      </c>
      <c r="QD150" s="24">
        <v>0</v>
      </c>
      <c r="QE150" s="24">
        <v>0</v>
      </c>
      <c r="QF150" s="24">
        <v>0</v>
      </c>
      <c r="QG150" s="24">
        <v>0</v>
      </c>
      <c r="QH150" s="24">
        <v>0</v>
      </c>
      <c r="QI150" s="24">
        <v>0</v>
      </c>
      <c r="QJ150" s="24">
        <v>0</v>
      </c>
      <c r="QK150" s="24">
        <v>0</v>
      </c>
      <c r="QL150" s="24">
        <v>0</v>
      </c>
      <c r="QM150" s="24">
        <v>0</v>
      </c>
      <c r="QN150" s="24">
        <v>0</v>
      </c>
      <c r="QO150" s="24">
        <v>0</v>
      </c>
      <c r="QP150" s="24">
        <v>0</v>
      </c>
      <c r="QQ150" s="24">
        <v>0</v>
      </c>
      <c r="QR150" s="24">
        <v>0</v>
      </c>
      <c r="QS150" s="24">
        <v>1988</v>
      </c>
      <c r="QT150" s="24">
        <v>0</v>
      </c>
      <c r="QU150" s="24">
        <v>0</v>
      </c>
      <c r="QV150" s="24">
        <v>0</v>
      </c>
      <c r="QW150" s="24">
        <v>0</v>
      </c>
      <c r="QX150" s="24">
        <v>0</v>
      </c>
      <c r="QY150" s="24">
        <v>0</v>
      </c>
      <c r="QZ150" s="24">
        <v>0</v>
      </c>
      <c r="RA150" s="24">
        <v>0</v>
      </c>
      <c r="RB150" s="24">
        <v>0</v>
      </c>
      <c r="RC150" s="913">
        <v>2</v>
      </c>
      <c r="RG150" s="39">
        <f t="shared" si="248"/>
        <v>802589</v>
      </c>
      <c r="RH150" s="39">
        <f t="shared" si="248"/>
        <v>73073</v>
      </c>
      <c r="RI150" s="39">
        <f t="shared" si="248"/>
        <v>0</v>
      </c>
      <c r="RJ150" s="39">
        <f t="shared" si="248"/>
        <v>0</v>
      </c>
      <c r="RK150" s="39">
        <f t="shared" si="248"/>
        <v>19246</v>
      </c>
      <c r="RL150" s="39">
        <f t="shared" si="248"/>
        <v>105072</v>
      </c>
      <c r="RM150" s="39">
        <f t="shared" si="248"/>
        <v>104985</v>
      </c>
      <c r="RN150" s="39">
        <f t="shared" si="248"/>
        <v>0</v>
      </c>
      <c r="RO150" s="39">
        <f t="shared" si="248"/>
        <v>0</v>
      </c>
      <c r="RP150" s="39">
        <f t="shared" si="248"/>
        <v>10471</v>
      </c>
      <c r="RQ150" s="39">
        <f t="shared" si="248"/>
        <v>0</v>
      </c>
      <c r="RR150" s="39">
        <f t="shared" si="325"/>
        <v>0</v>
      </c>
      <c r="RS150" s="39"/>
      <c r="RT150" s="182"/>
      <c r="RU150" s="39"/>
      <c r="RV150" s="39">
        <f t="shared" si="302"/>
        <v>176030</v>
      </c>
      <c r="RW150" s="39">
        <f t="shared" si="302"/>
        <v>1115436</v>
      </c>
      <c r="RX150" s="39">
        <f t="shared" si="302"/>
        <v>117416</v>
      </c>
      <c r="RY150" s="39">
        <f t="shared" si="302"/>
        <v>2973</v>
      </c>
      <c r="RZ150" s="39"/>
      <c r="SA150" s="182"/>
      <c r="SB150" s="39"/>
      <c r="SC150" s="25">
        <f t="shared" si="303"/>
        <v>747.87261146496814</v>
      </c>
      <c r="SD150" s="39">
        <f>IFERROR(VLOOKUP(A150, 'Levy Data 15-16'!$B:$O, 3, FALSE), 0)</f>
        <v>0</v>
      </c>
      <c r="SE150" s="39">
        <f t="shared" si="265"/>
        <v>0</v>
      </c>
      <c r="SF150" s="631">
        <f>IFERROR(VLOOKUP(A150, 'Levy Data 15-16'!$B:$O, 14, FALSE), 0)*1000</f>
        <v>0</v>
      </c>
      <c r="SG150" s="39">
        <f t="shared" si="266"/>
        <v>0</v>
      </c>
      <c r="SH150" s="39">
        <f t="shared" si="267"/>
        <v>0</v>
      </c>
      <c r="SI150" s="39">
        <f t="shared" si="268"/>
        <v>117416</v>
      </c>
      <c r="SM150" s="39">
        <f t="shared" si="269"/>
        <v>1115436</v>
      </c>
      <c r="SN150" s="39">
        <f t="shared" si="270"/>
        <v>0</v>
      </c>
      <c r="SO150" s="39">
        <f t="shared" si="304"/>
        <v>1115436</v>
      </c>
      <c r="SP150" s="50">
        <f t="shared" si="250"/>
        <v>1</v>
      </c>
      <c r="ST150" s="124">
        <f>IFERROR(VLOOKUP(A150,'Grade Enroll 15-16'!B:AC,27,FALSE),"")</f>
        <v>157</v>
      </c>
      <c r="SU150" s="124">
        <f t="shared" si="264"/>
        <v>142.88764044943821</v>
      </c>
      <c r="SV150" s="131">
        <f>IFERROR(VLOOKUP($A150, 'Title I Enroll 16-17'!S:V, 4, FALSE), 0)</f>
        <v>0.9101123595505618</v>
      </c>
      <c r="SW150" s="729">
        <f>IFERROR(VLOOKUP(A150, 'ELL Enroll 15-16'!$N:$S, 6, FALSE), 0)</f>
        <v>5</v>
      </c>
      <c r="SX150" s="131">
        <f t="shared" si="251"/>
        <v>3.1847133757961783E-2</v>
      </c>
      <c r="SY150" s="124">
        <f>IFERROR(VLOOKUP(A150, 'SPED enroll 2015-16'!$M:$O, 3, FALSE), 0)</f>
        <v>23</v>
      </c>
      <c r="SZ150" s="131">
        <f t="shared" si="252"/>
        <v>0.1464968152866242</v>
      </c>
      <c r="TA150" s="142">
        <f t="shared" si="253"/>
        <v>16.099999999999998</v>
      </c>
      <c r="TB150" s="142">
        <f t="shared" si="253"/>
        <v>4.6000000000000005</v>
      </c>
      <c r="TC150" s="142">
        <f t="shared" si="253"/>
        <v>1.61</v>
      </c>
      <c r="TD150" s="142">
        <f t="shared" si="253"/>
        <v>0.69</v>
      </c>
      <c r="TE150" s="124">
        <f>VLOOKUP($A150, 'Grade Enroll 15-16'!$B:$AB, 20, FALSE)</f>
        <v>0</v>
      </c>
      <c r="TF150" s="124">
        <f>VLOOKUP($A150, 'Grade Enroll 15-16'!$B:$AB, 21, FALSE)</f>
        <v>20</v>
      </c>
      <c r="TG150" s="124">
        <f>VLOOKUP($A150, 'Grade Enroll 15-16'!$B:$AB, 22, FALSE)</f>
        <v>67</v>
      </c>
      <c r="TH150" s="124">
        <f>VLOOKUP($A150, 'Grade Enroll 15-16'!$B:$AB, 23, FALSE)</f>
        <v>62</v>
      </c>
      <c r="TI150" s="124">
        <f>VLOOKUP($A150, 'Grade Enroll 15-16'!$B:$AB, 24, FALSE)</f>
        <v>28</v>
      </c>
      <c r="TJ150" s="124">
        <f>VLOOKUP($A150, 'Grade Enroll 15-16'!$B:$AB, 25, FALSE)</f>
        <v>0</v>
      </c>
      <c r="TK150" s="124">
        <f>VLOOKUP($A150, 'Grade Enroll 15-16'!$B:$AB, 26, FALSE)</f>
        <v>110</v>
      </c>
      <c r="TL150" s="131">
        <f>SUMIFS('Student Achievement 15-16'!N:N, 'Student Achievement 15-16'!B:B, 'Idaho Data'!A150, 'Student Achievement 15-16'!D:D, "math")/100</f>
        <v>0.629</v>
      </c>
      <c r="TM150" s="134">
        <f t="shared" si="305"/>
        <v>98.753</v>
      </c>
      <c r="TN150" s="131">
        <f>SUMIFS('Student Achievement 15-16'!N:N, 'Student Achievement 15-16'!B:B, 'Idaho Data'!A150, 'Student Achievement 15-16'!D:D, "ela")/100</f>
        <v>0.48499999999999999</v>
      </c>
      <c r="TO150" s="134">
        <f t="shared" si="254"/>
        <v>76.144999999999996</v>
      </c>
      <c r="TP150" s="688">
        <f>IFERROR(VLOOKUP(A150, 'G&amp;T 15-16'!B:G, 6, FALSE), 0)*1</f>
        <v>0</v>
      </c>
      <c r="TQ150" s="168">
        <f t="shared" si="255"/>
        <v>9.42</v>
      </c>
      <c r="TU150" s="168">
        <f t="shared" si="256"/>
        <v>76.144999999999996</v>
      </c>
      <c r="TV150" s="168">
        <f t="shared" si="257"/>
        <v>98.753</v>
      </c>
      <c r="TW150" s="205">
        <f t="shared" si="258"/>
        <v>98.753</v>
      </c>
      <c r="TX150" s="144"/>
      <c r="TY150" s="129"/>
      <c r="TZ150" s="127">
        <f t="shared" si="259"/>
        <v>0</v>
      </c>
      <c r="UA150" s="127">
        <f t="shared" si="260"/>
        <v>9.42</v>
      </c>
      <c r="UB150" s="205">
        <f t="shared" si="261"/>
        <v>9.42</v>
      </c>
      <c r="UE150" s="853" t="str">
        <f>IF(ST150&lt;='1. Simulator Input'!$E$104, "yes", "")</f>
        <v>yes</v>
      </c>
      <c r="UI150" s="199">
        <f t="shared" si="306"/>
        <v>0</v>
      </c>
      <c r="UJ150" s="200">
        <f>IF('Idaho Data'!SI150&gt;=0, ((1-'1. Simulator Input'!$E$39)*'Idaho Data'!SI150), 0)</f>
        <v>0</v>
      </c>
      <c r="UK150" s="200">
        <f t="shared" si="262"/>
        <v>1115436</v>
      </c>
      <c r="UL150" s="39"/>
      <c r="UM150" s="182"/>
      <c r="UN150" s="39"/>
      <c r="UO150" s="39">
        <f>IF(AND('1. Simulator Input'!$E$96="yes", '1. Simulator Input'!$E$98="yes", '1. Simulator Input'!$E$100="hold harmless"), 'Idaho Data'!WN150, IF(AND('1. Simulator Input'!$E$96="yes", '1. Simulator Input'!$E$98="no", '1. Simulator Input'!$E$100="hold harmless"), 'Idaho Data'!WM150, IF(AND('1. Simulator Input'!$E$96="yes", '1. Simulator Input'!$E$98="yes", '1. Simulator Input'!$E$100="small district grant"), WL150,IF(AND('1. Simulator Input'!$E$96="yes", '1. Simulator Input'!$E$98="no", '1. Simulator Input'!$E$100="small district grant"), WK150, ""))))</f>
        <v>0</v>
      </c>
      <c r="UP150" s="200">
        <f>'1. Simulator Input'!$D$56*('Idaho Data'!ST150)</f>
        <v>867582</v>
      </c>
      <c r="UQ150" s="204">
        <f>'1. Simulator Input'!$D$65*'1. Simulator Input'!$D$56*'Idaho Data'!SU150</f>
        <v>0</v>
      </c>
      <c r="UR150" s="204">
        <f>'1. Simulator Input'!$D$66*'1. Simulator Input'!$D$56*'Idaho Data'!SW150</f>
        <v>0</v>
      </c>
      <c r="US150" s="200">
        <f>'1. Simulator Input'!$D$67*'1. Simulator Input'!$D$56*'Idaho Data'!TA150</f>
        <v>0</v>
      </c>
      <c r="UT150" s="200">
        <f>'1. Simulator Input'!$D$68*'1. Simulator Input'!$D$56*'Idaho Data'!TB150</f>
        <v>0</v>
      </c>
      <c r="UU150" s="200">
        <f>'1. Simulator Input'!$D$69*'1. Simulator Input'!$D$56*'Idaho Data'!TC150</f>
        <v>0</v>
      </c>
      <c r="UV150" s="200">
        <f>'1. Simulator Input'!$D$70*'1. Simulator Input'!$D$56*TD150</f>
        <v>0</v>
      </c>
      <c r="UW150" s="200">
        <f>'1. Simulator Input'!$D$80*'1. Simulator Input'!$D$56*TW150</f>
        <v>0</v>
      </c>
      <c r="UX150" s="200">
        <f>'1. Simulator Input'!$D$79*'1. Simulator Input'!$D$56*UB150</f>
        <v>0</v>
      </c>
      <c r="UY150" s="200">
        <f>'1. Simulator Input'!$D$87*'1. Simulator Input'!$D$56*TF150</f>
        <v>55260</v>
      </c>
      <c r="UZ150" s="200">
        <f>'1. Simulator Input'!$D$73*'1. Simulator Input'!$D$56*'Idaho Data'!TG150</f>
        <v>0</v>
      </c>
      <c r="VA150" s="200">
        <f>'1. Simulator Input'!$D$56*'1. Simulator Input'!$D$74*'Idaho Data'!TH150</f>
        <v>0</v>
      </c>
      <c r="VB150" s="200">
        <f>'1. Simulator Input'!$D$56*'1. Simulator Input'!$D$75*'Idaho Data'!TI145</f>
        <v>0</v>
      </c>
      <c r="VC150" s="200">
        <f>'1. Simulator Input'!$D$76*'1. Simulator Input'!$D$56*'Idaho Data'!TJ150</f>
        <v>0</v>
      </c>
      <c r="VD150" s="200">
        <f t="shared" si="307"/>
        <v>922842</v>
      </c>
      <c r="VE150" s="200"/>
      <c r="VF150" s="182"/>
      <c r="VG150" s="200"/>
      <c r="VH150" s="200">
        <f t="shared" si="308"/>
        <v>0</v>
      </c>
      <c r="VI150" s="200">
        <f t="shared" si="309"/>
        <v>0</v>
      </c>
      <c r="VJ150" s="200">
        <f t="shared" si="271"/>
        <v>922842</v>
      </c>
      <c r="VK150" s="200">
        <f t="shared" si="272"/>
        <v>922842</v>
      </c>
      <c r="VL150" s="200"/>
      <c r="VM150" s="182"/>
      <c r="VN150" s="200"/>
      <c r="VO150" s="200">
        <f t="shared" si="310"/>
        <v>176030</v>
      </c>
      <c r="VP150" s="200">
        <f t="shared" si="311"/>
        <v>1115436</v>
      </c>
      <c r="VQ150" s="200">
        <f t="shared" si="312"/>
        <v>117416</v>
      </c>
      <c r="VR150" s="200">
        <f t="shared" si="313"/>
        <v>176030</v>
      </c>
      <c r="VS150" s="200">
        <f t="shared" si="273"/>
        <v>922842</v>
      </c>
      <c r="VT150" s="200">
        <f t="shared" si="274"/>
        <v>117416</v>
      </c>
      <c r="VU150" s="200">
        <f t="shared" si="275"/>
        <v>0</v>
      </c>
      <c r="VV150" s="200"/>
      <c r="VW150" s="182"/>
      <c r="VX150" s="200"/>
      <c r="VZ150" s="199">
        <f t="shared" si="314"/>
        <v>-192594</v>
      </c>
      <c r="WA150" s="199">
        <f t="shared" si="315"/>
        <v>-1226.7133757961783</v>
      </c>
      <c r="WB150" s="131">
        <f t="shared" si="316"/>
        <v>-0.17266252837455487</v>
      </c>
      <c r="WC150" s="131"/>
      <c r="WD150" s="461"/>
      <c r="WE150" s="893"/>
      <c r="WF150" s="893">
        <f t="shared" si="317"/>
        <v>8973.7707006369419</v>
      </c>
      <c r="WG150" s="893">
        <f t="shared" si="318"/>
        <v>7747.0573248407645</v>
      </c>
      <c r="WH150" s="893"/>
      <c r="WI150" s="893">
        <f t="shared" si="319"/>
        <v>1115436</v>
      </c>
      <c r="WJ150" s="893">
        <f t="shared" si="276"/>
        <v>922842</v>
      </c>
      <c r="WK150" s="39">
        <f t="shared" si="277"/>
        <v>0</v>
      </c>
      <c r="WL150" s="39">
        <f t="shared" si="278"/>
        <v>0</v>
      </c>
      <c r="WM150" s="200">
        <f t="shared" si="279"/>
        <v>192594</v>
      </c>
      <c r="WN150" s="39">
        <f t="shared" si="280"/>
        <v>192594</v>
      </c>
      <c r="WO150" s="39"/>
      <c r="WP150" s="182"/>
      <c r="WQ150" s="39"/>
      <c r="WR150" s="305"/>
      <c r="WT150" s="200">
        <f t="shared" si="281"/>
        <v>7104.6878980891715</v>
      </c>
      <c r="WU150" s="131">
        <f t="shared" si="320"/>
        <v>0.62</v>
      </c>
      <c r="WW150" s="199">
        <f t="shared" si="282"/>
        <v>176030</v>
      </c>
      <c r="WX150" s="199">
        <f t="shared" si="283"/>
        <v>922842</v>
      </c>
      <c r="WY150" s="199">
        <f t="shared" si="284"/>
        <v>0</v>
      </c>
      <c r="WZ150" s="199">
        <f t="shared" si="321"/>
        <v>922842</v>
      </c>
      <c r="XA150" s="199">
        <f t="shared" si="285"/>
        <v>0</v>
      </c>
      <c r="XB150" s="199">
        <f t="shared" si="286"/>
        <v>117416</v>
      </c>
      <c r="XC150" s="199">
        <f t="shared" si="287"/>
        <v>117416</v>
      </c>
      <c r="XD150" s="199" t="str">
        <f t="shared" si="288"/>
        <v/>
      </c>
      <c r="XE150" s="199"/>
      <c r="XF150" s="199"/>
      <c r="XG150" s="199"/>
      <c r="XH150" s="199"/>
      <c r="XI150" s="199"/>
      <c r="XJ150" s="199">
        <f t="shared" si="322"/>
        <v>922842</v>
      </c>
      <c r="XP150" s="199">
        <f t="shared" si="289"/>
        <v>922842</v>
      </c>
      <c r="XQ150" s="199">
        <f t="shared" si="290"/>
        <v>5877.9745222929932</v>
      </c>
      <c r="XR150" s="199">
        <f t="shared" si="291"/>
        <v>922842</v>
      </c>
      <c r="XS150" s="199">
        <f t="shared" si="292"/>
        <v>922842</v>
      </c>
      <c r="XT150" s="199">
        <f t="shared" si="293"/>
        <v>5877.9745222929932</v>
      </c>
      <c r="XU150" s="199">
        <f t="shared" si="294"/>
        <v>1115436</v>
      </c>
      <c r="XV150" s="199">
        <f t="shared" si="295"/>
        <v>7104.6878980891715</v>
      </c>
      <c r="XW150" s="199">
        <f t="shared" si="296"/>
        <v>1115436</v>
      </c>
      <c r="XX150" s="199">
        <f t="shared" si="297"/>
        <v>7104.6878980891715</v>
      </c>
      <c r="XY150" s="199">
        <f t="shared" si="323"/>
        <v>-192594</v>
      </c>
      <c r="XZ150" s="199">
        <f t="shared" si="324"/>
        <v>-1226.7133757961783</v>
      </c>
      <c r="YA150" s="131">
        <f t="shared" si="263"/>
        <v>-0.1726625283745549</v>
      </c>
      <c r="YB150" s="199"/>
      <c r="YC150" s="221"/>
      <c r="YD150" s="199"/>
      <c r="YE150" s="199">
        <f t="shared" si="298"/>
        <v>176030</v>
      </c>
      <c r="YF150" s="200">
        <f t="shared" si="299"/>
        <v>0</v>
      </c>
      <c r="YG150" s="199">
        <f t="shared" si="300"/>
        <v>117416</v>
      </c>
      <c r="YH150" s="199">
        <f t="shared" si="301"/>
        <v>2973</v>
      </c>
    </row>
    <row r="151" spans="1:658">
      <c r="A151" s="3">
        <v>480</v>
      </c>
      <c r="B151" s="2" t="s">
        <v>1492</v>
      </c>
      <c r="C151" s="24">
        <v>0</v>
      </c>
      <c r="D151" s="24">
        <v>0</v>
      </c>
      <c r="E151" s="24">
        <v>0</v>
      </c>
      <c r="F151" s="24">
        <v>0</v>
      </c>
      <c r="G151" s="24">
        <v>0</v>
      </c>
      <c r="H151" s="24">
        <v>0</v>
      </c>
      <c r="I151" s="24">
        <v>0</v>
      </c>
      <c r="J151" s="24">
        <v>0</v>
      </c>
      <c r="K151" s="24">
        <v>0</v>
      </c>
      <c r="L151" s="24">
        <v>0</v>
      </c>
      <c r="M151" s="24">
        <v>0</v>
      </c>
      <c r="N151" s="24">
        <v>0</v>
      </c>
      <c r="O151" s="24">
        <v>0</v>
      </c>
      <c r="P151" s="24">
        <v>0</v>
      </c>
      <c r="Q151" s="24">
        <v>0</v>
      </c>
      <c r="R151" s="24">
        <v>0</v>
      </c>
      <c r="S151" s="24">
        <v>0</v>
      </c>
      <c r="T151" s="24">
        <v>0</v>
      </c>
      <c r="U151" s="24">
        <v>0</v>
      </c>
      <c r="V151" s="24">
        <v>0</v>
      </c>
      <c r="W151" s="24">
        <v>0</v>
      </c>
      <c r="X151" s="24">
        <v>0</v>
      </c>
      <c r="Y151" s="24">
        <v>0</v>
      </c>
      <c r="Z151" s="24">
        <v>0</v>
      </c>
      <c r="AA151" s="24">
        <v>0</v>
      </c>
      <c r="AB151" s="24">
        <v>0</v>
      </c>
      <c r="AC151" s="24">
        <v>0</v>
      </c>
      <c r="AD151" s="24">
        <v>0</v>
      </c>
      <c r="AE151" s="24">
        <v>0</v>
      </c>
      <c r="AF151" s="24">
        <v>0</v>
      </c>
      <c r="AG151" s="24">
        <v>0</v>
      </c>
      <c r="AH151" s="24">
        <v>0</v>
      </c>
      <c r="AI151" s="24">
        <v>0</v>
      </c>
      <c r="AJ151" s="24">
        <v>0</v>
      </c>
      <c r="AK151" s="24">
        <v>0</v>
      </c>
      <c r="AL151" s="24">
        <v>5171</v>
      </c>
      <c r="AM151" s="24">
        <v>0</v>
      </c>
      <c r="AN151" s="24">
        <v>0</v>
      </c>
      <c r="AO151" s="24">
        <v>0</v>
      </c>
      <c r="AP151" s="24">
        <v>0</v>
      </c>
      <c r="AQ151" s="24">
        <v>0</v>
      </c>
      <c r="AR151" s="24">
        <v>0</v>
      </c>
      <c r="AS151" s="24">
        <v>0</v>
      </c>
      <c r="AT151" s="24">
        <v>0</v>
      </c>
      <c r="AU151" s="24">
        <v>0</v>
      </c>
      <c r="AV151" s="24">
        <v>0</v>
      </c>
      <c r="AW151" s="24">
        <v>0</v>
      </c>
      <c r="AX151" s="24">
        <v>0</v>
      </c>
      <c r="AY151" s="24">
        <v>0</v>
      </c>
      <c r="AZ151" s="24">
        <v>0</v>
      </c>
      <c r="BA151" s="24">
        <v>0</v>
      </c>
      <c r="BB151" s="24">
        <v>0</v>
      </c>
      <c r="BC151" s="24">
        <v>0</v>
      </c>
      <c r="BD151" s="24">
        <v>0</v>
      </c>
      <c r="BE151" s="24">
        <v>0</v>
      </c>
      <c r="BF151" s="24">
        <v>0</v>
      </c>
      <c r="BG151" s="24">
        <v>0</v>
      </c>
      <c r="BH151" s="24">
        <v>0</v>
      </c>
      <c r="BI151" s="24">
        <v>0</v>
      </c>
      <c r="BJ151" s="24">
        <v>0</v>
      </c>
      <c r="BK151" s="24">
        <v>0</v>
      </c>
      <c r="BL151" s="24">
        <v>0</v>
      </c>
      <c r="BM151" s="24">
        <v>0</v>
      </c>
      <c r="BN151" s="24">
        <v>0</v>
      </c>
      <c r="BO151" s="24">
        <v>0</v>
      </c>
      <c r="BP151" s="24">
        <v>0</v>
      </c>
      <c r="BQ151" s="24">
        <v>0</v>
      </c>
      <c r="BR151" s="24">
        <v>0</v>
      </c>
      <c r="BS151" s="24">
        <v>0</v>
      </c>
      <c r="BT151" s="24">
        <v>0</v>
      </c>
      <c r="BU151" s="24">
        <v>0</v>
      </c>
      <c r="BV151" s="24">
        <v>0</v>
      </c>
      <c r="BW151" s="24">
        <v>0</v>
      </c>
      <c r="BX151" s="24">
        <v>0</v>
      </c>
      <c r="BY151" s="24">
        <v>0</v>
      </c>
      <c r="BZ151" s="24">
        <v>0</v>
      </c>
      <c r="CA151" s="24">
        <v>0</v>
      </c>
      <c r="CB151" s="24">
        <v>0</v>
      </c>
      <c r="CC151" s="24">
        <v>0</v>
      </c>
      <c r="CD151" s="24">
        <v>0</v>
      </c>
      <c r="CE151" s="24">
        <v>0</v>
      </c>
      <c r="CF151" s="24">
        <v>0</v>
      </c>
      <c r="CG151" s="24">
        <v>0</v>
      </c>
      <c r="CH151" s="24">
        <v>0</v>
      </c>
      <c r="CI151" s="24">
        <v>0</v>
      </c>
      <c r="CJ151" s="24">
        <v>0</v>
      </c>
      <c r="CK151" s="24">
        <v>0</v>
      </c>
      <c r="CL151" s="24">
        <v>0</v>
      </c>
      <c r="CM151" s="24">
        <v>0</v>
      </c>
      <c r="CN151" s="24">
        <v>0</v>
      </c>
      <c r="CO151" s="24">
        <v>0</v>
      </c>
      <c r="CP151" s="24">
        <v>0</v>
      </c>
      <c r="CQ151" s="24">
        <v>0</v>
      </c>
      <c r="CR151" s="24">
        <v>0</v>
      </c>
      <c r="CS151" s="24">
        <v>19727</v>
      </c>
      <c r="CT151" s="24">
        <v>0</v>
      </c>
      <c r="CU151" s="24">
        <v>0</v>
      </c>
      <c r="CV151" s="24">
        <v>0</v>
      </c>
      <c r="CW151" s="24">
        <v>0</v>
      </c>
      <c r="CX151" s="24">
        <v>0</v>
      </c>
      <c r="CY151" s="24">
        <v>0</v>
      </c>
      <c r="CZ151" s="24">
        <v>0</v>
      </c>
      <c r="DA151" s="24">
        <v>0</v>
      </c>
      <c r="DB151" s="24">
        <v>0</v>
      </c>
      <c r="DC151" s="24">
        <v>0</v>
      </c>
      <c r="DD151" s="24">
        <v>27483</v>
      </c>
      <c r="DE151" s="24">
        <v>0</v>
      </c>
      <c r="DF151" s="24">
        <v>0</v>
      </c>
      <c r="DG151" s="24">
        <v>0</v>
      </c>
      <c r="DH151" s="24">
        <v>0</v>
      </c>
      <c r="DI151" s="24">
        <v>0</v>
      </c>
      <c r="DJ151" s="24">
        <v>0</v>
      </c>
      <c r="DK151" s="24">
        <v>0</v>
      </c>
      <c r="DL151" s="24">
        <v>0</v>
      </c>
      <c r="DM151" s="24">
        <v>0</v>
      </c>
      <c r="DN151" s="24">
        <v>0</v>
      </c>
      <c r="DO151" s="24">
        <v>0</v>
      </c>
      <c r="DP151" s="24">
        <v>0</v>
      </c>
      <c r="DQ151" s="24">
        <v>0</v>
      </c>
      <c r="DR151" s="24">
        <v>0</v>
      </c>
      <c r="DS151" s="24">
        <v>0</v>
      </c>
      <c r="DT151" s="24">
        <v>0</v>
      </c>
      <c r="DU151" s="24">
        <v>0</v>
      </c>
      <c r="DV151" s="24">
        <v>0</v>
      </c>
      <c r="DW151" s="24">
        <v>0</v>
      </c>
      <c r="DX151" s="24">
        <v>0</v>
      </c>
      <c r="DY151" s="24">
        <v>0</v>
      </c>
      <c r="DZ151" s="24">
        <v>0</v>
      </c>
      <c r="EA151" s="24">
        <v>0</v>
      </c>
      <c r="EB151" s="24">
        <v>0</v>
      </c>
      <c r="EC151" s="24">
        <v>0</v>
      </c>
      <c r="ED151" s="24">
        <v>0</v>
      </c>
      <c r="EE151" s="24">
        <v>0</v>
      </c>
      <c r="EF151" s="24">
        <v>0</v>
      </c>
      <c r="EG151" s="24">
        <v>49048</v>
      </c>
      <c r="EH151" s="24">
        <v>140000</v>
      </c>
      <c r="EI151" s="24">
        <v>0</v>
      </c>
      <c r="EJ151" s="24">
        <v>0</v>
      </c>
      <c r="EK151" s="24">
        <v>0</v>
      </c>
      <c r="EL151" s="24">
        <v>0</v>
      </c>
      <c r="EM151" s="24">
        <v>0</v>
      </c>
      <c r="EN151" s="24">
        <v>0</v>
      </c>
      <c r="EO151" s="24">
        <v>0</v>
      </c>
      <c r="EP151" s="24">
        <v>0</v>
      </c>
      <c r="EQ151" s="24">
        <v>0</v>
      </c>
      <c r="ER151" s="24">
        <v>0</v>
      </c>
      <c r="ES151" s="24">
        <v>0</v>
      </c>
      <c r="ET151" s="24">
        <v>0</v>
      </c>
      <c r="EU151" s="24">
        <v>0</v>
      </c>
      <c r="EV151" s="24">
        <v>0</v>
      </c>
      <c r="EW151" s="24">
        <v>0</v>
      </c>
      <c r="EX151" s="24">
        <v>0</v>
      </c>
      <c r="EY151" s="24">
        <v>0</v>
      </c>
      <c r="EZ151" s="24">
        <v>0</v>
      </c>
      <c r="FA151" s="24">
        <v>0</v>
      </c>
      <c r="FB151" s="24">
        <v>0</v>
      </c>
      <c r="FC151" s="24">
        <v>0</v>
      </c>
      <c r="FD151" s="24">
        <v>0</v>
      </c>
      <c r="FE151" s="24">
        <v>0</v>
      </c>
      <c r="FF151" s="24">
        <v>0</v>
      </c>
      <c r="FG151" s="24">
        <v>0</v>
      </c>
      <c r="FH151" s="24">
        <v>0</v>
      </c>
      <c r="FI151" s="24">
        <v>0</v>
      </c>
      <c r="FJ151" s="24">
        <v>0</v>
      </c>
      <c r="FK151" s="24">
        <v>0</v>
      </c>
      <c r="FL151" s="24">
        <v>0</v>
      </c>
      <c r="FM151" s="24">
        <v>0</v>
      </c>
      <c r="FN151" s="24">
        <v>0</v>
      </c>
      <c r="FO151" s="24">
        <v>0</v>
      </c>
      <c r="FP151" s="24">
        <v>0</v>
      </c>
      <c r="FQ151" s="24">
        <v>0</v>
      </c>
      <c r="FR151" s="24">
        <v>0</v>
      </c>
      <c r="FS151" s="24">
        <v>79</v>
      </c>
      <c r="FT151" s="24">
        <v>0</v>
      </c>
      <c r="FU151" s="24">
        <v>0</v>
      </c>
      <c r="FV151" s="24">
        <v>0</v>
      </c>
      <c r="FW151" s="24">
        <v>0</v>
      </c>
      <c r="FX151" s="24">
        <v>0</v>
      </c>
      <c r="FY151" s="24">
        <v>0</v>
      </c>
      <c r="FZ151" s="24">
        <v>0</v>
      </c>
      <c r="GA151" s="24">
        <v>0</v>
      </c>
      <c r="GB151" s="24">
        <v>0</v>
      </c>
      <c r="GC151" s="24">
        <v>0</v>
      </c>
      <c r="GD151" s="24">
        <v>0</v>
      </c>
      <c r="GE151" s="24">
        <v>0</v>
      </c>
      <c r="GF151" s="24">
        <v>0</v>
      </c>
      <c r="GG151" s="24">
        <v>0</v>
      </c>
      <c r="GH151" s="24">
        <v>0</v>
      </c>
      <c r="GI151" s="24">
        <v>0</v>
      </c>
      <c r="GJ151" s="24">
        <v>0</v>
      </c>
      <c r="GK151" s="24">
        <v>0</v>
      </c>
      <c r="GL151" s="24">
        <v>0</v>
      </c>
      <c r="GM151" s="24">
        <v>0</v>
      </c>
      <c r="GN151" s="24">
        <v>0</v>
      </c>
      <c r="GO151" s="24">
        <v>0</v>
      </c>
      <c r="GP151" s="24">
        <v>0</v>
      </c>
      <c r="GQ151" s="24">
        <v>0</v>
      </c>
      <c r="GR151" s="24">
        <v>0</v>
      </c>
      <c r="GS151" s="24">
        <v>0</v>
      </c>
      <c r="GT151" s="24">
        <v>0</v>
      </c>
      <c r="GU151" s="24">
        <v>0</v>
      </c>
      <c r="GV151" s="24">
        <v>0</v>
      </c>
      <c r="GW151" s="24">
        <v>0</v>
      </c>
      <c r="GX151" s="24">
        <v>0</v>
      </c>
      <c r="GY151" s="24">
        <v>0</v>
      </c>
      <c r="GZ151" s="24">
        <v>0</v>
      </c>
      <c r="HA151" s="24">
        <v>0</v>
      </c>
      <c r="HB151" s="24">
        <v>0</v>
      </c>
      <c r="HC151" s="24">
        <v>0</v>
      </c>
      <c r="HD151" s="24">
        <v>1754191</v>
      </c>
      <c r="HE151" s="24">
        <v>0</v>
      </c>
      <c r="HF151" s="24">
        <v>0</v>
      </c>
      <c r="HG151" s="24">
        <v>0</v>
      </c>
      <c r="HH151" s="24">
        <v>0</v>
      </c>
      <c r="HI151" s="24">
        <v>0</v>
      </c>
      <c r="HJ151" s="24">
        <v>0</v>
      </c>
      <c r="HK151" s="24">
        <v>0</v>
      </c>
      <c r="HL151" s="24">
        <v>0</v>
      </c>
      <c r="HM151" s="24">
        <v>0</v>
      </c>
      <c r="HN151" s="24">
        <v>0</v>
      </c>
      <c r="HO151" s="24">
        <v>197074</v>
      </c>
      <c r="HP151" s="24">
        <v>209781</v>
      </c>
      <c r="HQ151" s="24">
        <v>0</v>
      </c>
      <c r="HR151" s="24">
        <v>0</v>
      </c>
      <c r="HS151" s="24">
        <v>0</v>
      </c>
      <c r="HT151" s="24">
        <v>0</v>
      </c>
      <c r="HU151" s="24">
        <v>0</v>
      </c>
      <c r="HV151" s="24">
        <v>0</v>
      </c>
      <c r="HW151" s="24">
        <v>0</v>
      </c>
      <c r="HX151" s="24">
        <v>0</v>
      </c>
      <c r="HY151" s="24">
        <v>0</v>
      </c>
      <c r="HZ151" s="24">
        <v>0</v>
      </c>
      <c r="IA151" s="24">
        <v>29963</v>
      </c>
      <c r="IB151" s="24">
        <v>7047</v>
      </c>
      <c r="IC151" s="24">
        <v>0</v>
      </c>
      <c r="ID151" s="24">
        <v>0</v>
      </c>
      <c r="IE151" s="24">
        <v>0</v>
      </c>
      <c r="IF151" s="24">
        <v>0</v>
      </c>
      <c r="IG151" s="24">
        <v>0</v>
      </c>
      <c r="IH151" s="24">
        <v>0</v>
      </c>
      <c r="II151" s="24">
        <v>0</v>
      </c>
      <c r="IJ151" s="24">
        <v>0</v>
      </c>
      <c r="IK151" s="24">
        <v>0</v>
      </c>
      <c r="IL151" s="24">
        <v>0</v>
      </c>
      <c r="IM151" s="24">
        <v>0</v>
      </c>
      <c r="IN151" s="24">
        <v>0</v>
      </c>
      <c r="IO151" s="24">
        <v>0</v>
      </c>
      <c r="IP151" s="24">
        <v>0</v>
      </c>
      <c r="IQ151" s="24">
        <v>0</v>
      </c>
      <c r="IR151" s="24">
        <v>0</v>
      </c>
      <c r="IS151" s="24">
        <v>0</v>
      </c>
      <c r="IT151" s="24">
        <v>0</v>
      </c>
      <c r="IU151" s="24">
        <v>0</v>
      </c>
      <c r="IV151" s="24">
        <v>0</v>
      </c>
      <c r="IW151" s="24">
        <v>23577</v>
      </c>
      <c r="IX151" s="24">
        <v>0</v>
      </c>
      <c r="IY151" s="24">
        <v>0</v>
      </c>
      <c r="IZ151" s="24">
        <v>0</v>
      </c>
      <c r="JA151" s="24">
        <v>0</v>
      </c>
      <c r="JB151" s="24">
        <v>0</v>
      </c>
      <c r="JC151" s="24">
        <v>0</v>
      </c>
      <c r="JD151" s="24">
        <v>0</v>
      </c>
      <c r="JE151" s="24">
        <v>0</v>
      </c>
      <c r="JF151" s="24">
        <v>0</v>
      </c>
      <c r="JG151" s="24">
        <v>0</v>
      </c>
      <c r="JH151" s="24">
        <v>0</v>
      </c>
      <c r="JI151" s="24">
        <v>0</v>
      </c>
      <c r="JJ151" s="24">
        <v>0</v>
      </c>
      <c r="JK151" s="24">
        <v>0</v>
      </c>
      <c r="JL151" s="24">
        <v>0</v>
      </c>
      <c r="JM151" s="24">
        <v>0</v>
      </c>
      <c r="JN151" s="24">
        <v>0</v>
      </c>
      <c r="JO151" s="24">
        <v>0</v>
      </c>
      <c r="JP151" s="24">
        <v>0</v>
      </c>
      <c r="JQ151" s="24">
        <v>0</v>
      </c>
      <c r="JR151" s="24">
        <v>0</v>
      </c>
      <c r="JS151" s="24">
        <v>0</v>
      </c>
      <c r="JT151" s="24">
        <v>0</v>
      </c>
      <c r="JU151" s="24">
        <v>0</v>
      </c>
      <c r="JV151" s="24">
        <v>0</v>
      </c>
      <c r="JW151" s="24">
        <v>0</v>
      </c>
      <c r="JX151" s="24">
        <v>0</v>
      </c>
      <c r="JY151" s="24">
        <v>0</v>
      </c>
      <c r="JZ151" s="24">
        <v>0</v>
      </c>
      <c r="KA151" s="24">
        <v>0</v>
      </c>
      <c r="KB151" s="24">
        <v>0</v>
      </c>
      <c r="KC151" s="24">
        <v>0</v>
      </c>
      <c r="KD151" s="24">
        <v>0</v>
      </c>
      <c r="KE151" s="24">
        <v>0</v>
      </c>
      <c r="KF151" s="24">
        <v>0</v>
      </c>
      <c r="KG151" s="24">
        <v>0</v>
      </c>
      <c r="KH151" s="24">
        <v>0</v>
      </c>
      <c r="KI151" s="24">
        <v>0</v>
      </c>
      <c r="KJ151" s="24">
        <v>0</v>
      </c>
      <c r="KK151" s="24">
        <v>0</v>
      </c>
      <c r="KL151" s="24">
        <v>0</v>
      </c>
      <c r="KM151" s="24">
        <v>0</v>
      </c>
      <c r="KN151" s="24">
        <v>0</v>
      </c>
      <c r="KO151" s="24">
        <v>0</v>
      </c>
      <c r="KP151" s="24">
        <v>0</v>
      </c>
      <c r="KQ151" s="24">
        <v>0</v>
      </c>
      <c r="KR151" s="24">
        <v>0</v>
      </c>
      <c r="KS151" s="24">
        <v>0</v>
      </c>
      <c r="KT151" s="24">
        <v>0</v>
      </c>
      <c r="KU151" s="24">
        <v>0</v>
      </c>
      <c r="KV151" s="24">
        <v>0</v>
      </c>
      <c r="KW151" s="24">
        <v>0</v>
      </c>
      <c r="KX151" s="24">
        <v>0</v>
      </c>
      <c r="KY151" s="24">
        <v>0</v>
      </c>
      <c r="KZ151" s="24">
        <v>0</v>
      </c>
      <c r="LA151" s="24">
        <v>0</v>
      </c>
      <c r="LB151" s="24">
        <v>0</v>
      </c>
      <c r="LC151" s="24">
        <v>0</v>
      </c>
      <c r="LD151" s="24">
        <v>0</v>
      </c>
      <c r="LE151" s="24">
        <v>0</v>
      </c>
      <c r="LF151" s="24">
        <v>0</v>
      </c>
      <c r="LG151" s="24">
        <v>0</v>
      </c>
      <c r="LH151" s="24">
        <v>0</v>
      </c>
      <c r="LI151" s="24">
        <v>0</v>
      </c>
      <c r="LJ151" s="24">
        <v>0</v>
      </c>
      <c r="LK151" s="24">
        <v>0</v>
      </c>
      <c r="LL151" s="24">
        <v>0</v>
      </c>
      <c r="LM151" s="24">
        <v>0</v>
      </c>
      <c r="LN151" s="24">
        <v>0</v>
      </c>
      <c r="LO151" s="24">
        <v>0</v>
      </c>
      <c r="LP151" s="24">
        <v>0</v>
      </c>
      <c r="LQ151" s="24">
        <v>0</v>
      </c>
      <c r="LR151" s="24">
        <v>0</v>
      </c>
      <c r="LS151" s="24">
        <v>0</v>
      </c>
      <c r="LT151" s="24">
        <v>0</v>
      </c>
      <c r="LU151" s="24">
        <v>0</v>
      </c>
      <c r="LV151" s="24">
        <v>0</v>
      </c>
      <c r="LW151" s="24">
        <v>0</v>
      </c>
      <c r="LX151" s="24">
        <v>0</v>
      </c>
      <c r="LY151" s="24">
        <v>0</v>
      </c>
      <c r="LZ151" s="24">
        <v>0</v>
      </c>
      <c r="MA151" s="24">
        <v>0</v>
      </c>
      <c r="MB151" s="24">
        <v>0</v>
      </c>
      <c r="MC151" s="24">
        <v>0</v>
      </c>
      <c r="MD151" s="24">
        <v>0</v>
      </c>
      <c r="ME151" s="24">
        <v>0</v>
      </c>
      <c r="MF151" s="24">
        <v>0</v>
      </c>
      <c r="MG151" s="24">
        <v>0</v>
      </c>
      <c r="MH151" s="24">
        <v>0</v>
      </c>
      <c r="MI151" s="24">
        <v>0</v>
      </c>
      <c r="MJ151" s="24">
        <v>0</v>
      </c>
      <c r="MK151" s="24">
        <v>0</v>
      </c>
      <c r="ML151" s="24">
        <v>0</v>
      </c>
      <c r="MM151" s="24">
        <v>0</v>
      </c>
      <c r="MN151" s="24">
        <v>0</v>
      </c>
      <c r="MO151" s="24">
        <v>0</v>
      </c>
      <c r="MP151" s="24">
        <v>0</v>
      </c>
      <c r="MQ151" s="24">
        <v>0</v>
      </c>
      <c r="MR151" s="24">
        <v>0</v>
      </c>
      <c r="MS151" s="24">
        <v>0</v>
      </c>
      <c r="MT151" s="24">
        <v>0</v>
      </c>
      <c r="MU151" s="24">
        <v>0</v>
      </c>
      <c r="MV151" s="24">
        <v>0</v>
      </c>
      <c r="MW151" s="24">
        <v>-5056</v>
      </c>
      <c r="MX151" s="24">
        <v>0</v>
      </c>
      <c r="MY151" s="24">
        <v>0</v>
      </c>
      <c r="MZ151" s="24">
        <v>0</v>
      </c>
      <c r="NA151" s="24">
        <v>0</v>
      </c>
      <c r="NB151" s="24">
        <v>0</v>
      </c>
      <c r="NC151" s="24">
        <v>0</v>
      </c>
      <c r="ND151" s="24">
        <v>0</v>
      </c>
      <c r="NE151" s="24">
        <v>0</v>
      </c>
      <c r="NF151" s="24">
        <v>0</v>
      </c>
      <c r="NG151" s="24">
        <v>0</v>
      </c>
      <c r="NH151" s="24">
        <v>0</v>
      </c>
      <c r="NI151" s="24">
        <v>0</v>
      </c>
      <c r="NJ151" s="24">
        <v>0</v>
      </c>
      <c r="NK151" s="24">
        <v>0</v>
      </c>
      <c r="NL151" s="24">
        <v>0</v>
      </c>
      <c r="NM151" s="24">
        <v>0</v>
      </c>
      <c r="NN151" s="24">
        <v>0</v>
      </c>
      <c r="NO151" s="24">
        <v>0</v>
      </c>
      <c r="NP151" s="24">
        <v>0</v>
      </c>
      <c r="NQ151" s="24">
        <v>22420</v>
      </c>
      <c r="NR151" s="24">
        <v>0</v>
      </c>
      <c r="NS151" s="24">
        <v>0</v>
      </c>
      <c r="NT151" s="24">
        <v>0</v>
      </c>
      <c r="NU151" s="24">
        <v>0</v>
      </c>
      <c r="NV151" s="24">
        <v>21436</v>
      </c>
      <c r="NW151" s="24">
        <v>0</v>
      </c>
      <c r="NX151" s="24">
        <v>0</v>
      </c>
      <c r="NY151" s="24">
        <v>0</v>
      </c>
      <c r="NZ151" s="24">
        <v>0</v>
      </c>
      <c r="OA151" s="24">
        <v>0</v>
      </c>
      <c r="OB151" s="24">
        <v>0</v>
      </c>
      <c r="OC151" s="24">
        <v>0</v>
      </c>
      <c r="OD151" s="24">
        <v>0</v>
      </c>
      <c r="OE151" s="24">
        <v>0</v>
      </c>
      <c r="OF151" s="24">
        <v>0</v>
      </c>
      <c r="OG151" s="24">
        <v>0</v>
      </c>
      <c r="OH151" s="24">
        <v>0</v>
      </c>
      <c r="OI151" s="24">
        <v>0</v>
      </c>
      <c r="OJ151" s="24">
        <v>0</v>
      </c>
      <c r="OK151" s="24">
        <v>0</v>
      </c>
      <c r="OL151" s="24">
        <v>0</v>
      </c>
      <c r="OM151" s="24">
        <v>0</v>
      </c>
      <c r="ON151" s="24">
        <v>0</v>
      </c>
      <c r="OO151" s="24">
        <v>0</v>
      </c>
      <c r="OP151" s="24">
        <v>0</v>
      </c>
      <c r="OQ151" s="24">
        <v>0</v>
      </c>
      <c r="OR151" s="24">
        <v>0</v>
      </c>
      <c r="OS151" s="24">
        <v>0</v>
      </c>
      <c r="OT151" s="24">
        <v>0</v>
      </c>
      <c r="OU151" s="24">
        <v>0</v>
      </c>
      <c r="OV151" s="24">
        <v>1961390</v>
      </c>
      <c r="OW151" s="24">
        <v>0</v>
      </c>
      <c r="OX151" s="24">
        <v>0</v>
      </c>
      <c r="OY151" s="24">
        <v>0</v>
      </c>
      <c r="OZ151" s="24">
        <v>0</v>
      </c>
      <c r="PA151" s="24">
        <v>0</v>
      </c>
      <c r="PB151" s="24">
        <v>0</v>
      </c>
      <c r="PC151" s="24">
        <v>0</v>
      </c>
      <c r="PD151" s="24">
        <v>0</v>
      </c>
      <c r="PE151" s="24">
        <v>0</v>
      </c>
      <c r="PF151" s="24">
        <v>0</v>
      </c>
      <c r="PG151" s="24">
        <v>0</v>
      </c>
      <c r="PH151" s="24">
        <v>6699</v>
      </c>
      <c r="PI151" s="24">
        <v>0</v>
      </c>
      <c r="PJ151" s="24">
        <v>0</v>
      </c>
      <c r="PK151" s="24">
        <v>0</v>
      </c>
      <c r="PL151" s="24">
        <v>0</v>
      </c>
      <c r="PM151" s="24">
        <v>0</v>
      </c>
      <c r="PN151" s="24">
        <v>0</v>
      </c>
      <c r="PO151" s="24">
        <v>0</v>
      </c>
      <c r="PP151" s="24">
        <v>0</v>
      </c>
      <c r="PQ151" s="24">
        <v>0</v>
      </c>
      <c r="PR151" s="24">
        <v>0</v>
      </c>
      <c r="PS151" s="24">
        <v>0</v>
      </c>
      <c r="PT151" s="24">
        <v>0</v>
      </c>
      <c r="PU151" s="24">
        <v>0</v>
      </c>
      <c r="PV151" s="24">
        <v>0</v>
      </c>
      <c r="PW151" s="24">
        <v>0</v>
      </c>
      <c r="PX151" s="24">
        <v>0</v>
      </c>
      <c r="PY151" s="24">
        <v>0</v>
      </c>
      <c r="PZ151" s="24">
        <v>0</v>
      </c>
      <c r="QA151" s="24">
        <v>0</v>
      </c>
      <c r="QB151" s="24">
        <v>0</v>
      </c>
      <c r="QC151" s="24">
        <v>0</v>
      </c>
      <c r="QD151" s="24">
        <v>8089</v>
      </c>
      <c r="QE151" s="24">
        <v>0</v>
      </c>
      <c r="QF151" s="24">
        <v>0</v>
      </c>
      <c r="QG151" s="24">
        <v>0</v>
      </c>
      <c r="QH151" s="24">
        <v>0</v>
      </c>
      <c r="QI151" s="24">
        <v>0</v>
      </c>
      <c r="QJ151" s="24">
        <v>0</v>
      </c>
      <c r="QK151" s="24">
        <v>0</v>
      </c>
      <c r="QL151" s="24">
        <v>0</v>
      </c>
      <c r="QM151" s="24">
        <v>0</v>
      </c>
      <c r="QN151" s="24">
        <v>0</v>
      </c>
      <c r="QO151" s="24">
        <v>0</v>
      </c>
      <c r="QP151" s="24">
        <v>0</v>
      </c>
      <c r="QQ151" s="24">
        <v>0</v>
      </c>
      <c r="QR151" s="24">
        <v>0</v>
      </c>
      <c r="QS151" s="24">
        <v>0</v>
      </c>
      <c r="QT151" s="24">
        <v>0</v>
      </c>
      <c r="QU151" s="24">
        <v>0</v>
      </c>
      <c r="QV151" s="24">
        <v>368367</v>
      </c>
      <c r="QW151" s="24">
        <v>0</v>
      </c>
      <c r="QX151" s="24">
        <v>0</v>
      </c>
      <c r="QY151" s="24">
        <v>0</v>
      </c>
      <c r="QZ151" s="24">
        <v>0</v>
      </c>
      <c r="RA151" s="24">
        <v>0</v>
      </c>
      <c r="RB151" s="24">
        <v>0</v>
      </c>
      <c r="RC151" s="913">
        <v>2</v>
      </c>
      <c r="RG151" s="39">
        <f t="shared" si="248"/>
        <v>1754191</v>
      </c>
      <c r="RH151" s="39">
        <f t="shared" si="248"/>
        <v>0</v>
      </c>
      <c r="RI151" s="39">
        <f t="shared" si="248"/>
        <v>0</v>
      </c>
      <c r="RJ151" s="39">
        <f t="shared" si="248"/>
        <v>0</v>
      </c>
      <c r="RK151" s="39">
        <f t="shared" si="248"/>
        <v>0</v>
      </c>
      <c r="RL151" s="39">
        <f t="shared" si="248"/>
        <v>197074</v>
      </c>
      <c r="RM151" s="39">
        <f t="shared" si="248"/>
        <v>246791</v>
      </c>
      <c r="RN151" s="39">
        <f t="shared" si="248"/>
        <v>0</v>
      </c>
      <c r="RO151" s="39">
        <f t="shared" si="248"/>
        <v>0</v>
      </c>
      <c r="RP151" s="39">
        <f t="shared" si="248"/>
        <v>23577</v>
      </c>
      <c r="RQ151" s="39">
        <f t="shared" si="248"/>
        <v>0</v>
      </c>
      <c r="RR151" s="39">
        <f t="shared" si="325"/>
        <v>0</v>
      </c>
      <c r="RS151" s="39"/>
      <c r="RT151" s="182"/>
      <c r="RU151" s="39"/>
      <c r="RV151" s="39">
        <f t="shared" si="302"/>
        <v>38800</v>
      </c>
      <c r="RW151" s="39">
        <f t="shared" si="302"/>
        <v>2221633</v>
      </c>
      <c r="RX151" s="39">
        <f t="shared" si="302"/>
        <v>241508</v>
      </c>
      <c r="RY151" s="39">
        <f t="shared" si="302"/>
        <v>2344545</v>
      </c>
      <c r="RZ151" s="39"/>
      <c r="SA151" s="182"/>
      <c r="SB151" s="39"/>
      <c r="SC151" s="25">
        <f t="shared" si="303"/>
        <v>624.0516795865633</v>
      </c>
      <c r="SD151" s="39">
        <f>IFERROR(VLOOKUP(A151, 'Levy Data 15-16'!$B:$O, 3, FALSE), 0)</f>
        <v>0</v>
      </c>
      <c r="SE151" s="39">
        <f t="shared" si="265"/>
        <v>0</v>
      </c>
      <c r="SF151" s="631">
        <f>IFERROR(VLOOKUP(A151, 'Levy Data 15-16'!$B:$O, 14, FALSE), 0)*1000</f>
        <v>0</v>
      </c>
      <c r="SG151" s="39">
        <f t="shared" si="266"/>
        <v>0</v>
      </c>
      <c r="SH151" s="39">
        <f t="shared" si="267"/>
        <v>0</v>
      </c>
      <c r="SI151" s="39">
        <f t="shared" si="268"/>
        <v>241508</v>
      </c>
      <c r="SM151" s="39">
        <f t="shared" si="269"/>
        <v>2221633</v>
      </c>
      <c r="SN151" s="39">
        <f t="shared" si="270"/>
        <v>0</v>
      </c>
      <c r="SO151" s="39">
        <f t="shared" si="304"/>
        <v>2221633</v>
      </c>
      <c r="SP151" s="50">
        <f t="shared" si="250"/>
        <v>1</v>
      </c>
      <c r="ST151" s="124">
        <f>IFERROR(VLOOKUP(A151,'Grade Enroll 15-16'!B:AC,27,FALSE),"")</f>
        <v>387</v>
      </c>
      <c r="SU151" s="124">
        <f t="shared" si="264"/>
        <v>0</v>
      </c>
      <c r="SV151" s="131">
        <f>IFERROR(VLOOKUP($A151, 'Title I Enroll 16-17'!S:V, 4, FALSE), 0)</f>
        <v>0</v>
      </c>
      <c r="SW151" s="729">
        <f>IFERROR(VLOOKUP(A151, 'ELL Enroll 15-16'!$N:$S, 6, FALSE), 0)</f>
        <v>5</v>
      </c>
      <c r="SX151" s="131">
        <f t="shared" si="251"/>
        <v>1.2919896640826873E-2</v>
      </c>
      <c r="SY151" s="124">
        <f>IFERROR(VLOOKUP(A151, 'SPED enroll 2015-16'!$M:$O, 3, FALSE), 0)</f>
        <v>5</v>
      </c>
      <c r="SZ151" s="131">
        <f t="shared" si="252"/>
        <v>1.2919896640826873E-2</v>
      </c>
      <c r="TA151" s="142">
        <f t="shared" si="253"/>
        <v>3.5</v>
      </c>
      <c r="TB151" s="142">
        <f t="shared" si="253"/>
        <v>1</v>
      </c>
      <c r="TC151" s="142">
        <f t="shared" si="253"/>
        <v>0.35000000000000003</v>
      </c>
      <c r="TD151" s="142">
        <f t="shared" si="253"/>
        <v>0.15</v>
      </c>
      <c r="TE151" s="124">
        <f>VLOOKUP($A151, 'Grade Enroll 15-16'!$B:$AB, 20, FALSE)</f>
        <v>0</v>
      </c>
      <c r="TF151" s="124">
        <f>VLOOKUP($A151, 'Grade Enroll 15-16'!$B:$AB, 21, FALSE)</f>
        <v>47</v>
      </c>
      <c r="TG151" s="124">
        <f>VLOOKUP($A151, 'Grade Enroll 15-16'!$B:$AB, 22, FALSE)</f>
        <v>154</v>
      </c>
      <c r="TH151" s="124">
        <f>VLOOKUP($A151, 'Grade Enroll 15-16'!$B:$AB, 23, FALSE)</f>
        <v>143</v>
      </c>
      <c r="TI151" s="124">
        <f>VLOOKUP($A151, 'Grade Enroll 15-16'!$B:$AB, 24, FALSE)</f>
        <v>60</v>
      </c>
      <c r="TJ151" s="124">
        <f>VLOOKUP($A151, 'Grade Enroll 15-16'!$B:$AB, 25, FALSE)</f>
        <v>30</v>
      </c>
      <c r="TK151" s="124">
        <f>VLOOKUP($A151, 'Grade Enroll 15-16'!$B:$AB, 26, FALSE)</f>
        <v>288</v>
      </c>
      <c r="TL151" s="131">
        <f>SUMIFS('Student Achievement 15-16'!N:N, 'Student Achievement 15-16'!B:B, 'Idaho Data'!A151, 'Student Achievement 15-16'!D:D, "math")/100</f>
        <v>0.05</v>
      </c>
      <c r="TM151" s="134">
        <f t="shared" si="305"/>
        <v>19.350000000000001</v>
      </c>
      <c r="TN151" s="131">
        <f>SUMIFS('Student Achievement 15-16'!N:N, 'Student Achievement 15-16'!B:B, 'Idaho Data'!A151, 'Student Achievement 15-16'!D:D, "ela")/100</f>
        <v>9.0999999999999998E-2</v>
      </c>
      <c r="TO151" s="134">
        <f t="shared" si="254"/>
        <v>35.216999999999999</v>
      </c>
      <c r="TP151" s="688">
        <f>IFERROR(VLOOKUP(A151, 'G&amp;T 15-16'!B:G, 6, FALSE), 0)*1</f>
        <v>65</v>
      </c>
      <c r="TQ151" s="168">
        <f t="shared" si="255"/>
        <v>23.22</v>
      </c>
      <c r="TU151" s="168">
        <f t="shared" si="256"/>
        <v>19.350000000000001</v>
      </c>
      <c r="TV151" s="168">
        <f t="shared" si="257"/>
        <v>35.216999999999999</v>
      </c>
      <c r="TW151" s="205">
        <f t="shared" si="258"/>
        <v>35.216999999999999</v>
      </c>
      <c r="TX151" s="144"/>
      <c r="TY151" s="129"/>
      <c r="TZ151" s="127">
        <f t="shared" si="259"/>
        <v>23.22</v>
      </c>
      <c r="UA151" s="127">
        <f t="shared" si="260"/>
        <v>65</v>
      </c>
      <c r="UB151" s="205">
        <f t="shared" si="261"/>
        <v>65</v>
      </c>
      <c r="UE151" s="853" t="str">
        <f>IF(ST151&lt;='1. Simulator Input'!$E$104, "yes", "")</f>
        <v/>
      </c>
      <c r="UI151" s="199">
        <f t="shared" si="306"/>
        <v>0</v>
      </c>
      <c r="UJ151" s="200">
        <f>IF('Idaho Data'!SI151&gt;=0, ((1-'1. Simulator Input'!$E$39)*'Idaho Data'!SI151), 0)</f>
        <v>0</v>
      </c>
      <c r="UK151" s="200">
        <f t="shared" si="262"/>
        <v>2221633</v>
      </c>
      <c r="UL151" s="39"/>
      <c r="UM151" s="182"/>
      <c r="UN151" s="39"/>
      <c r="UO151" s="39" t="str">
        <f>IF(AND('1. Simulator Input'!$E$96="yes", '1. Simulator Input'!$E$98="yes", '1. Simulator Input'!$E$100="hold harmless"), 'Idaho Data'!WN151, IF(AND('1. Simulator Input'!$E$96="yes", '1. Simulator Input'!$E$98="no", '1. Simulator Input'!$E$100="hold harmless"), 'Idaho Data'!WM151, IF(AND('1. Simulator Input'!$E$96="yes", '1. Simulator Input'!$E$98="yes", '1. Simulator Input'!$E$100="small district grant"), WL151,IF(AND('1. Simulator Input'!$E$96="yes", '1. Simulator Input'!$E$98="no", '1. Simulator Input'!$E$100="small district grant"), WK151, ""))))</f>
        <v/>
      </c>
      <c r="UP151" s="200">
        <f>'1. Simulator Input'!$D$56*('Idaho Data'!ST151)</f>
        <v>2138562</v>
      </c>
      <c r="UQ151" s="204">
        <f>'1. Simulator Input'!$D$65*'1. Simulator Input'!$D$56*'Idaho Data'!SU151</f>
        <v>0</v>
      </c>
      <c r="UR151" s="204">
        <f>'1. Simulator Input'!$D$66*'1. Simulator Input'!$D$56*'Idaho Data'!SW151</f>
        <v>0</v>
      </c>
      <c r="US151" s="200">
        <f>'1. Simulator Input'!$D$67*'1. Simulator Input'!$D$56*'Idaho Data'!TA151</f>
        <v>0</v>
      </c>
      <c r="UT151" s="200">
        <f>'1. Simulator Input'!$D$68*'1. Simulator Input'!$D$56*'Idaho Data'!TB151</f>
        <v>0</v>
      </c>
      <c r="UU151" s="200">
        <f>'1. Simulator Input'!$D$69*'1. Simulator Input'!$D$56*'Idaho Data'!TC151</f>
        <v>0</v>
      </c>
      <c r="UV151" s="200">
        <f>'1. Simulator Input'!$D$70*'1. Simulator Input'!$D$56*TD151</f>
        <v>0</v>
      </c>
      <c r="UW151" s="200">
        <f>'1. Simulator Input'!$D$80*'1. Simulator Input'!$D$56*TW151</f>
        <v>0</v>
      </c>
      <c r="UX151" s="200">
        <f>'1. Simulator Input'!$D$79*'1. Simulator Input'!$D$56*UB151</f>
        <v>0</v>
      </c>
      <c r="UY151" s="200">
        <f>'1. Simulator Input'!$D$87*'1. Simulator Input'!$D$56*TF151</f>
        <v>129861</v>
      </c>
      <c r="UZ151" s="200">
        <f>'1. Simulator Input'!$D$73*'1. Simulator Input'!$D$56*'Idaho Data'!TG151</f>
        <v>0</v>
      </c>
      <c r="VA151" s="200">
        <f>'1. Simulator Input'!$D$56*'1. Simulator Input'!$D$74*'Idaho Data'!TH151</f>
        <v>0</v>
      </c>
      <c r="VB151" s="200">
        <f>'1. Simulator Input'!$D$56*'1. Simulator Input'!$D$75*'Idaho Data'!TI146</f>
        <v>0</v>
      </c>
      <c r="VC151" s="200">
        <f>'1. Simulator Input'!$D$76*'1. Simulator Input'!$D$56*'Idaho Data'!TJ151</f>
        <v>0</v>
      </c>
      <c r="VD151" s="200">
        <f t="shared" si="307"/>
        <v>2268423</v>
      </c>
      <c r="VE151" s="200"/>
      <c r="VF151" s="182"/>
      <c r="VG151" s="200"/>
      <c r="VH151" s="200">
        <f t="shared" si="308"/>
        <v>0</v>
      </c>
      <c r="VI151" s="200">
        <f t="shared" si="309"/>
        <v>0</v>
      </c>
      <c r="VJ151" s="200">
        <f t="shared" si="271"/>
        <v>2268423</v>
      </c>
      <c r="VK151" s="200">
        <f t="shared" si="272"/>
        <v>2268423</v>
      </c>
      <c r="VL151" s="200"/>
      <c r="VM151" s="182"/>
      <c r="VN151" s="200"/>
      <c r="VO151" s="200">
        <f t="shared" si="310"/>
        <v>38800</v>
      </c>
      <c r="VP151" s="200">
        <f t="shared" si="311"/>
        <v>2221633</v>
      </c>
      <c r="VQ151" s="200">
        <f t="shared" si="312"/>
        <v>241508</v>
      </c>
      <c r="VR151" s="200">
        <f t="shared" si="313"/>
        <v>38800</v>
      </c>
      <c r="VS151" s="200">
        <f t="shared" si="273"/>
        <v>2268423</v>
      </c>
      <c r="VT151" s="200">
        <f t="shared" si="274"/>
        <v>241508</v>
      </c>
      <c r="VU151" s="200">
        <f t="shared" si="275"/>
        <v>0</v>
      </c>
      <c r="VV151" s="200"/>
      <c r="VW151" s="182"/>
      <c r="VX151" s="200"/>
      <c r="VZ151" s="199">
        <f t="shared" si="314"/>
        <v>46790</v>
      </c>
      <c r="WA151" s="199">
        <f t="shared" si="315"/>
        <v>120.90439276485787</v>
      </c>
      <c r="WB151" s="131">
        <f t="shared" si="316"/>
        <v>2.1061084346514478E-2</v>
      </c>
      <c r="WC151" s="131"/>
      <c r="WD151" s="461"/>
      <c r="WE151" s="893"/>
      <c r="WF151" s="893">
        <f t="shared" si="317"/>
        <v>6464.9638242894052</v>
      </c>
      <c r="WG151" s="893">
        <f t="shared" si="318"/>
        <v>6585.8682170542634</v>
      </c>
      <c r="WH151" s="893"/>
      <c r="WI151" s="893">
        <f t="shared" si="319"/>
        <v>2221633</v>
      </c>
      <c r="WJ151" s="893">
        <f t="shared" si="276"/>
        <v>2268423</v>
      </c>
      <c r="WK151" s="39" t="str">
        <f t="shared" si="277"/>
        <v/>
      </c>
      <c r="WL151" s="39" t="str">
        <f t="shared" si="278"/>
        <v/>
      </c>
      <c r="WM151" s="200" t="str">
        <f t="shared" si="279"/>
        <v/>
      </c>
      <c r="WN151" s="39" t="str">
        <f t="shared" si="280"/>
        <v/>
      </c>
      <c r="WO151" s="39"/>
      <c r="WP151" s="182"/>
      <c r="WQ151" s="39"/>
      <c r="WR151" s="305"/>
      <c r="WT151" s="200">
        <f t="shared" si="281"/>
        <v>5740.6537467700255</v>
      </c>
      <c r="WU151" s="131">
        <f t="shared" si="320"/>
        <v>0.23</v>
      </c>
      <c r="WW151" s="199">
        <f t="shared" si="282"/>
        <v>38800</v>
      </c>
      <c r="WX151" s="199">
        <f t="shared" si="283"/>
        <v>2268423</v>
      </c>
      <c r="WY151" s="199">
        <f t="shared" si="284"/>
        <v>0</v>
      </c>
      <c r="WZ151" s="199">
        <f t="shared" si="321"/>
        <v>2268423</v>
      </c>
      <c r="XA151" s="199">
        <f t="shared" si="285"/>
        <v>0</v>
      </c>
      <c r="XB151" s="199">
        <f t="shared" si="286"/>
        <v>241508</v>
      </c>
      <c r="XC151" s="199">
        <f t="shared" si="287"/>
        <v>241508</v>
      </c>
      <c r="XD151" s="199" t="str">
        <f t="shared" si="288"/>
        <v/>
      </c>
      <c r="XE151" s="199"/>
      <c r="XF151" s="199"/>
      <c r="XG151" s="199"/>
      <c r="XH151" s="199"/>
      <c r="XI151" s="199"/>
      <c r="XJ151" s="199">
        <f t="shared" si="322"/>
        <v>2268423</v>
      </c>
      <c r="XP151" s="199">
        <f t="shared" si="289"/>
        <v>2268423</v>
      </c>
      <c r="XQ151" s="199">
        <f t="shared" si="290"/>
        <v>5861.5581395348836</v>
      </c>
      <c r="XR151" s="199">
        <f t="shared" si="291"/>
        <v>2268423</v>
      </c>
      <c r="XS151" s="199">
        <f t="shared" si="292"/>
        <v>2268423</v>
      </c>
      <c r="XT151" s="199">
        <f t="shared" si="293"/>
        <v>5861.5581395348836</v>
      </c>
      <c r="XU151" s="199">
        <f t="shared" si="294"/>
        <v>2221633</v>
      </c>
      <c r="XV151" s="199">
        <f t="shared" si="295"/>
        <v>5740.6537467700255</v>
      </c>
      <c r="XW151" s="199">
        <f t="shared" si="296"/>
        <v>2221633</v>
      </c>
      <c r="XX151" s="199">
        <f t="shared" si="297"/>
        <v>5740.6537467700255</v>
      </c>
      <c r="XY151" s="199">
        <f t="shared" si="323"/>
        <v>46790</v>
      </c>
      <c r="XZ151" s="199">
        <f t="shared" si="324"/>
        <v>120.90439276485813</v>
      </c>
      <c r="YA151" s="131">
        <f t="shared" si="263"/>
        <v>2.1061084346514523E-2</v>
      </c>
      <c r="YB151" s="199"/>
      <c r="YC151" s="221"/>
      <c r="YD151" s="199"/>
      <c r="YE151" s="199">
        <f t="shared" si="298"/>
        <v>38800</v>
      </c>
      <c r="YF151" s="200">
        <f t="shared" si="299"/>
        <v>0</v>
      </c>
      <c r="YG151" s="199">
        <f t="shared" si="300"/>
        <v>241508</v>
      </c>
      <c r="YH151" s="199">
        <f t="shared" si="301"/>
        <v>2344545</v>
      </c>
    </row>
    <row r="152" spans="1:658">
      <c r="A152" s="3">
        <v>481</v>
      </c>
      <c r="B152" s="2" t="s">
        <v>1493</v>
      </c>
      <c r="C152" s="24">
        <v>0</v>
      </c>
      <c r="D152" s="24">
        <v>0</v>
      </c>
      <c r="E152" s="24">
        <v>0</v>
      </c>
      <c r="F152" s="24">
        <v>0</v>
      </c>
      <c r="G152" s="24">
        <v>0</v>
      </c>
      <c r="H152" s="24">
        <v>0</v>
      </c>
      <c r="I152" s="24">
        <v>0</v>
      </c>
      <c r="J152" s="24">
        <v>0</v>
      </c>
      <c r="K152" s="24">
        <v>0</v>
      </c>
      <c r="L152" s="24">
        <v>0</v>
      </c>
      <c r="M152" s="24">
        <v>0</v>
      </c>
      <c r="N152" s="24">
        <v>0</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577</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c r="BE152" s="24">
        <v>0</v>
      </c>
      <c r="BF152" s="24">
        <v>0</v>
      </c>
      <c r="BG152" s="24">
        <v>0</v>
      </c>
      <c r="BH152" s="24">
        <v>0</v>
      </c>
      <c r="BI152" s="24">
        <v>0</v>
      </c>
      <c r="BJ152" s="24">
        <v>0</v>
      </c>
      <c r="BK152" s="24">
        <v>0</v>
      </c>
      <c r="BL152" s="24">
        <v>0</v>
      </c>
      <c r="BM152" s="24">
        <v>0</v>
      </c>
      <c r="BN152" s="24">
        <v>0</v>
      </c>
      <c r="BO152" s="24">
        <v>0</v>
      </c>
      <c r="BP152" s="24">
        <v>0</v>
      </c>
      <c r="BQ152" s="24">
        <v>0</v>
      </c>
      <c r="BR152" s="24">
        <v>0</v>
      </c>
      <c r="BS152" s="24">
        <v>0</v>
      </c>
      <c r="BT152" s="24">
        <v>0</v>
      </c>
      <c r="BU152" s="24">
        <v>0</v>
      </c>
      <c r="BV152" s="24">
        <v>0</v>
      </c>
      <c r="BW152" s="24">
        <v>0</v>
      </c>
      <c r="BX152" s="24">
        <v>0</v>
      </c>
      <c r="BY152" s="24">
        <v>0</v>
      </c>
      <c r="BZ152" s="24">
        <v>0</v>
      </c>
      <c r="CA152" s="24">
        <v>0</v>
      </c>
      <c r="CB152" s="24">
        <v>0</v>
      </c>
      <c r="CC152" s="24">
        <v>0</v>
      </c>
      <c r="CD152" s="24">
        <v>0</v>
      </c>
      <c r="CE152" s="24">
        <v>29205</v>
      </c>
      <c r="CF152" s="24">
        <v>0</v>
      </c>
      <c r="CG152" s="24">
        <v>0</v>
      </c>
      <c r="CH152" s="24">
        <v>0</v>
      </c>
      <c r="CI152" s="24">
        <v>0</v>
      </c>
      <c r="CJ152" s="24">
        <v>0</v>
      </c>
      <c r="CK152" s="24">
        <v>0</v>
      </c>
      <c r="CL152" s="24">
        <v>0</v>
      </c>
      <c r="CM152" s="24">
        <v>0</v>
      </c>
      <c r="CN152" s="24">
        <v>0</v>
      </c>
      <c r="CO152" s="24">
        <v>0</v>
      </c>
      <c r="CP152" s="24">
        <v>57</v>
      </c>
      <c r="CQ152" s="24">
        <v>0</v>
      </c>
      <c r="CR152" s="24">
        <v>0</v>
      </c>
      <c r="CS152" s="24">
        <v>0</v>
      </c>
      <c r="CT152" s="24">
        <v>0</v>
      </c>
      <c r="CU152" s="24">
        <v>0</v>
      </c>
      <c r="CV152" s="24">
        <v>0</v>
      </c>
      <c r="CW152" s="24">
        <v>0</v>
      </c>
      <c r="CX152" s="24">
        <v>0</v>
      </c>
      <c r="CY152" s="24">
        <v>0</v>
      </c>
      <c r="CZ152" s="24">
        <v>0</v>
      </c>
      <c r="DA152" s="24">
        <v>0</v>
      </c>
      <c r="DB152" s="24">
        <v>0</v>
      </c>
      <c r="DC152" s="24">
        <v>0</v>
      </c>
      <c r="DD152" s="24">
        <v>0</v>
      </c>
      <c r="DE152" s="24">
        <v>0</v>
      </c>
      <c r="DF152" s="24">
        <v>0</v>
      </c>
      <c r="DG152" s="24">
        <v>0</v>
      </c>
      <c r="DH152" s="24">
        <v>0</v>
      </c>
      <c r="DI152" s="24">
        <v>0</v>
      </c>
      <c r="DJ152" s="24">
        <v>0</v>
      </c>
      <c r="DK152" s="24">
        <v>0</v>
      </c>
      <c r="DL152" s="24">
        <v>0</v>
      </c>
      <c r="DM152" s="24">
        <v>0</v>
      </c>
      <c r="DN152" s="24">
        <v>0</v>
      </c>
      <c r="DO152" s="24">
        <v>0</v>
      </c>
      <c r="DP152" s="24">
        <v>0</v>
      </c>
      <c r="DQ152" s="24">
        <v>0</v>
      </c>
      <c r="DR152" s="24">
        <v>0</v>
      </c>
      <c r="DS152" s="24">
        <v>0</v>
      </c>
      <c r="DT152" s="24">
        <v>0</v>
      </c>
      <c r="DU152" s="24">
        <v>0</v>
      </c>
      <c r="DV152" s="24">
        <v>0</v>
      </c>
      <c r="DW152" s="24">
        <v>0</v>
      </c>
      <c r="DX152" s="24">
        <v>0</v>
      </c>
      <c r="DY152" s="24">
        <v>0</v>
      </c>
      <c r="DZ152" s="24">
        <v>0</v>
      </c>
      <c r="EA152" s="24">
        <v>0</v>
      </c>
      <c r="EB152" s="24">
        <v>0</v>
      </c>
      <c r="EC152" s="24">
        <v>0</v>
      </c>
      <c r="ED152" s="24">
        <v>0</v>
      </c>
      <c r="EE152" s="24">
        <v>0</v>
      </c>
      <c r="EF152" s="24">
        <v>0</v>
      </c>
      <c r="EG152" s="24">
        <v>1195</v>
      </c>
      <c r="EH152" s="24">
        <v>0</v>
      </c>
      <c r="EI152" s="24">
        <v>0</v>
      </c>
      <c r="EJ152" s="24">
        <v>0</v>
      </c>
      <c r="EK152" s="24">
        <v>0</v>
      </c>
      <c r="EL152" s="24">
        <v>0</v>
      </c>
      <c r="EM152" s="24">
        <v>0</v>
      </c>
      <c r="EN152" s="24">
        <v>0</v>
      </c>
      <c r="EO152" s="24">
        <v>0</v>
      </c>
      <c r="EP152" s="24">
        <v>0</v>
      </c>
      <c r="EQ152" s="24">
        <v>0</v>
      </c>
      <c r="ER152" s="24">
        <v>0</v>
      </c>
      <c r="ES152" s="24">
        <v>0</v>
      </c>
      <c r="ET152" s="24">
        <v>0</v>
      </c>
      <c r="EU152" s="24">
        <v>0</v>
      </c>
      <c r="EV152" s="24">
        <v>0</v>
      </c>
      <c r="EW152" s="24">
        <v>0</v>
      </c>
      <c r="EX152" s="24">
        <v>0</v>
      </c>
      <c r="EY152" s="24">
        <v>0</v>
      </c>
      <c r="EZ152" s="24">
        <v>0</v>
      </c>
      <c r="FA152" s="24">
        <v>0</v>
      </c>
      <c r="FB152" s="24">
        <v>0</v>
      </c>
      <c r="FC152" s="24">
        <v>0</v>
      </c>
      <c r="FD152" s="24">
        <v>0</v>
      </c>
      <c r="FE152" s="24">
        <v>0</v>
      </c>
      <c r="FF152" s="24">
        <v>0</v>
      </c>
      <c r="FG152" s="24">
        <v>0</v>
      </c>
      <c r="FH152" s="24">
        <v>0</v>
      </c>
      <c r="FI152" s="24">
        <v>0</v>
      </c>
      <c r="FJ152" s="24">
        <v>0</v>
      </c>
      <c r="FK152" s="24">
        <v>0</v>
      </c>
      <c r="FL152" s="24">
        <v>0</v>
      </c>
      <c r="FM152" s="24">
        <v>0</v>
      </c>
      <c r="FN152" s="24">
        <v>0</v>
      </c>
      <c r="FO152" s="24">
        <v>0</v>
      </c>
      <c r="FP152" s="24">
        <v>0</v>
      </c>
      <c r="FQ152" s="24">
        <v>0</v>
      </c>
      <c r="FR152" s="24">
        <v>0</v>
      </c>
      <c r="FS152" s="24">
        <v>1175</v>
      </c>
      <c r="FT152" s="24">
        <v>0</v>
      </c>
      <c r="FU152" s="24">
        <v>0</v>
      </c>
      <c r="FV152" s="24">
        <v>0</v>
      </c>
      <c r="FW152" s="24">
        <v>0</v>
      </c>
      <c r="FX152" s="24">
        <v>0</v>
      </c>
      <c r="FY152" s="24">
        <v>0</v>
      </c>
      <c r="FZ152" s="24">
        <v>0</v>
      </c>
      <c r="GA152" s="24">
        <v>0</v>
      </c>
      <c r="GB152" s="24">
        <v>0</v>
      </c>
      <c r="GC152" s="24">
        <v>0</v>
      </c>
      <c r="GD152" s="24">
        <v>0</v>
      </c>
      <c r="GE152" s="24">
        <v>0</v>
      </c>
      <c r="GF152" s="24">
        <v>0</v>
      </c>
      <c r="GG152" s="24">
        <v>0</v>
      </c>
      <c r="GH152" s="24">
        <v>0</v>
      </c>
      <c r="GI152" s="24">
        <v>0</v>
      </c>
      <c r="GJ152" s="24">
        <v>0</v>
      </c>
      <c r="GK152" s="24">
        <v>0</v>
      </c>
      <c r="GL152" s="24">
        <v>0</v>
      </c>
      <c r="GM152" s="24">
        <v>0</v>
      </c>
      <c r="GN152" s="24">
        <v>0</v>
      </c>
      <c r="GO152" s="24">
        <v>0</v>
      </c>
      <c r="GP152" s="24">
        <v>0</v>
      </c>
      <c r="GQ152" s="24">
        <v>0</v>
      </c>
      <c r="GR152" s="24">
        <v>0</v>
      </c>
      <c r="GS152" s="24">
        <v>0</v>
      </c>
      <c r="GT152" s="24">
        <v>0</v>
      </c>
      <c r="GU152" s="24">
        <v>0</v>
      </c>
      <c r="GV152" s="24">
        <v>0</v>
      </c>
      <c r="GW152" s="24">
        <v>0</v>
      </c>
      <c r="GX152" s="24">
        <v>0</v>
      </c>
      <c r="GY152" s="24">
        <v>0</v>
      </c>
      <c r="GZ152" s="24">
        <v>0</v>
      </c>
      <c r="HA152" s="24">
        <v>0</v>
      </c>
      <c r="HB152" s="24">
        <v>0</v>
      </c>
      <c r="HC152" s="24">
        <v>0</v>
      </c>
      <c r="HD152" s="24">
        <v>2007270</v>
      </c>
      <c r="HE152" s="24">
        <v>0</v>
      </c>
      <c r="HF152" s="24">
        <v>0</v>
      </c>
      <c r="HG152" s="24">
        <v>0</v>
      </c>
      <c r="HH152" s="24">
        <v>0</v>
      </c>
      <c r="HI152" s="24">
        <v>134256</v>
      </c>
      <c r="HJ152" s="24">
        <v>0</v>
      </c>
      <c r="HK152" s="24">
        <v>0</v>
      </c>
      <c r="HL152" s="24">
        <v>0</v>
      </c>
      <c r="HM152" s="24">
        <v>0</v>
      </c>
      <c r="HN152" s="24">
        <v>0</v>
      </c>
      <c r="HO152" s="24">
        <v>180467</v>
      </c>
      <c r="HP152" s="24">
        <v>232501</v>
      </c>
      <c r="HQ152" s="24">
        <v>0</v>
      </c>
      <c r="HR152" s="24">
        <v>0</v>
      </c>
      <c r="HS152" s="24">
        <v>0</v>
      </c>
      <c r="HT152" s="24">
        <v>0</v>
      </c>
      <c r="HU152" s="24">
        <v>0</v>
      </c>
      <c r="HV152" s="24">
        <v>0</v>
      </c>
      <c r="HW152" s="24">
        <v>0</v>
      </c>
      <c r="HX152" s="24">
        <v>0</v>
      </c>
      <c r="HY152" s="24">
        <v>0</v>
      </c>
      <c r="HZ152" s="24">
        <v>0</v>
      </c>
      <c r="IA152" s="24">
        <v>33173</v>
      </c>
      <c r="IB152" s="24">
        <v>8368</v>
      </c>
      <c r="IC152" s="24">
        <v>0</v>
      </c>
      <c r="ID152" s="24">
        <v>0</v>
      </c>
      <c r="IE152" s="24">
        <v>0</v>
      </c>
      <c r="IF152" s="24">
        <v>0</v>
      </c>
      <c r="IG152" s="24">
        <v>0</v>
      </c>
      <c r="IH152" s="24">
        <v>0</v>
      </c>
      <c r="II152" s="24">
        <v>0</v>
      </c>
      <c r="IJ152" s="24">
        <v>0</v>
      </c>
      <c r="IK152" s="24">
        <v>0</v>
      </c>
      <c r="IL152" s="24">
        <v>0</v>
      </c>
      <c r="IM152" s="24">
        <v>0</v>
      </c>
      <c r="IN152" s="24">
        <v>0</v>
      </c>
      <c r="IO152" s="24">
        <v>0</v>
      </c>
      <c r="IP152" s="24">
        <v>0</v>
      </c>
      <c r="IQ152" s="24">
        <v>0</v>
      </c>
      <c r="IR152" s="24">
        <v>0</v>
      </c>
      <c r="IS152" s="24">
        <v>0</v>
      </c>
      <c r="IT152" s="24">
        <v>0</v>
      </c>
      <c r="IU152" s="24">
        <v>0</v>
      </c>
      <c r="IV152" s="24">
        <v>0</v>
      </c>
      <c r="IW152" s="24">
        <v>29564</v>
      </c>
      <c r="IX152" s="24">
        <v>0</v>
      </c>
      <c r="IY152" s="24">
        <v>0</v>
      </c>
      <c r="IZ152" s="24">
        <v>0</v>
      </c>
      <c r="JA152" s="24">
        <v>0</v>
      </c>
      <c r="JB152" s="24">
        <v>0</v>
      </c>
      <c r="JC152" s="24">
        <v>0</v>
      </c>
      <c r="JD152" s="24">
        <v>0</v>
      </c>
      <c r="JE152" s="24">
        <v>0</v>
      </c>
      <c r="JF152" s="24">
        <v>0</v>
      </c>
      <c r="JG152" s="24">
        <v>0</v>
      </c>
      <c r="JH152" s="24">
        <v>0</v>
      </c>
      <c r="JI152" s="24">
        <v>0</v>
      </c>
      <c r="JJ152" s="24">
        <v>0</v>
      </c>
      <c r="JK152" s="24">
        <v>0</v>
      </c>
      <c r="JL152" s="24">
        <v>0</v>
      </c>
      <c r="JM152" s="24">
        <v>0</v>
      </c>
      <c r="JN152" s="24">
        <v>0</v>
      </c>
      <c r="JO152" s="24">
        <v>0</v>
      </c>
      <c r="JP152" s="24">
        <v>0</v>
      </c>
      <c r="JQ152" s="24">
        <v>0</v>
      </c>
      <c r="JR152" s="24">
        <v>0</v>
      </c>
      <c r="JS152" s="24">
        <v>0</v>
      </c>
      <c r="JT152" s="24">
        <v>0</v>
      </c>
      <c r="JU152" s="24">
        <v>0</v>
      </c>
      <c r="JV152" s="24">
        <v>0</v>
      </c>
      <c r="JW152" s="24">
        <v>0</v>
      </c>
      <c r="JX152" s="24">
        <v>0</v>
      </c>
      <c r="JY152" s="24">
        <v>0</v>
      </c>
      <c r="JZ152" s="24">
        <v>0</v>
      </c>
      <c r="KA152" s="24">
        <v>0</v>
      </c>
      <c r="KB152" s="24">
        <v>0</v>
      </c>
      <c r="KC152" s="24">
        <v>0</v>
      </c>
      <c r="KD152" s="24">
        <v>0</v>
      </c>
      <c r="KE152" s="24">
        <v>0</v>
      </c>
      <c r="KF152" s="24">
        <v>0</v>
      </c>
      <c r="KG152" s="24">
        <v>0</v>
      </c>
      <c r="KH152" s="24">
        <v>0</v>
      </c>
      <c r="KI152" s="24">
        <v>0</v>
      </c>
      <c r="KJ152" s="24">
        <v>0</v>
      </c>
      <c r="KK152" s="24">
        <v>0</v>
      </c>
      <c r="KL152" s="24">
        <v>0</v>
      </c>
      <c r="KM152" s="24">
        <v>0</v>
      </c>
      <c r="KN152" s="24">
        <v>0</v>
      </c>
      <c r="KO152" s="24">
        <v>0</v>
      </c>
      <c r="KP152" s="24">
        <v>0</v>
      </c>
      <c r="KQ152" s="24">
        <v>0</v>
      </c>
      <c r="KR152" s="24">
        <v>0</v>
      </c>
      <c r="KS152" s="24">
        <v>0</v>
      </c>
      <c r="KT152" s="24">
        <v>0</v>
      </c>
      <c r="KU152" s="24">
        <v>0</v>
      </c>
      <c r="KV152" s="24">
        <v>0</v>
      </c>
      <c r="KW152" s="24">
        <v>0</v>
      </c>
      <c r="KX152" s="24">
        <v>0</v>
      </c>
      <c r="KY152" s="24">
        <v>0</v>
      </c>
      <c r="KZ152" s="24">
        <v>0</v>
      </c>
      <c r="LA152" s="24">
        <v>0</v>
      </c>
      <c r="LB152" s="24">
        <v>0</v>
      </c>
      <c r="LC152" s="24">
        <v>0</v>
      </c>
      <c r="LD152" s="24">
        <v>0</v>
      </c>
      <c r="LE152" s="24">
        <v>0</v>
      </c>
      <c r="LF152" s="24">
        <v>0</v>
      </c>
      <c r="LG152" s="24">
        <v>0</v>
      </c>
      <c r="LH152" s="24">
        <v>0</v>
      </c>
      <c r="LI152" s="24">
        <v>0</v>
      </c>
      <c r="LJ152" s="24">
        <v>0</v>
      </c>
      <c r="LK152" s="24">
        <v>0</v>
      </c>
      <c r="LL152" s="24">
        <v>0</v>
      </c>
      <c r="LM152" s="24">
        <v>0</v>
      </c>
      <c r="LN152" s="24">
        <v>0</v>
      </c>
      <c r="LO152" s="24">
        <v>0</v>
      </c>
      <c r="LP152" s="24">
        <v>0</v>
      </c>
      <c r="LQ152" s="24">
        <v>181990</v>
      </c>
      <c r="LR152" s="24">
        <v>0</v>
      </c>
      <c r="LS152" s="24">
        <v>0</v>
      </c>
      <c r="LT152" s="24">
        <v>0</v>
      </c>
      <c r="LU152" s="24">
        <v>0</v>
      </c>
      <c r="LV152" s="24">
        <v>0</v>
      </c>
      <c r="LW152" s="24">
        <v>0</v>
      </c>
      <c r="LX152" s="24">
        <v>0</v>
      </c>
      <c r="LY152" s="24">
        <v>0</v>
      </c>
      <c r="LZ152" s="24">
        <v>0</v>
      </c>
      <c r="MA152" s="24">
        <v>0</v>
      </c>
      <c r="MB152" s="24">
        <v>0</v>
      </c>
      <c r="MC152" s="24">
        <v>0</v>
      </c>
      <c r="MD152" s="24">
        <v>0</v>
      </c>
      <c r="ME152" s="24">
        <v>0</v>
      </c>
      <c r="MF152" s="24">
        <v>0</v>
      </c>
      <c r="MG152" s="24">
        <v>0</v>
      </c>
      <c r="MH152" s="24">
        <v>0</v>
      </c>
      <c r="MI152" s="24">
        <v>0</v>
      </c>
      <c r="MJ152" s="24">
        <v>0</v>
      </c>
      <c r="MK152" s="24">
        <v>0</v>
      </c>
      <c r="ML152" s="24">
        <v>0</v>
      </c>
      <c r="MM152" s="24">
        <v>0</v>
      </c>
      <c r="MN152" s="24">
        <v>0</v>
      </c>
      <c r="MO152" s="24">
        <v>0</v>
      </c>
      <c r="MP152" s="24">
        <v>0</v>
      </c>
      <c r="MQ152" s="24">
        <v>0</v>
      </c>
      <c r="MR152" s="24">
        <v>183573</v>
      </c>
      <c r="MS152" s="24">
        <v>0</v>
      </c>
      <c r="MT152" s="24">
        <v>0</v>
      </c>
      <c r="MU152" s="24">
        <v>0</v>
      </c>
      <c r="MV152" s="24">
        <v>0</v>
      </c>
      <c r="MW152" s="24">
        <v>29899</v>
      </c>
      <c r="MX152" s="24">
        <v>0</v>
      </c>
      <c r="MY152" s="24">
        <v>0</v>
      </c>
      <c r="MZ152" s="24">
        <v>0</v>
      </c>
      <c r="NA152" s="24">
        <v>0</v>
      </c>
      <c r="NB152" s="24">
        <v>0</v>
      </c>
      <c r="NC152" s="24">
        <v>0</v>
      </c>
      <c r="ND152" s="24">
        <v>0</v>
      </c>
      <c r="NE152" s="24">
        <v>0</v>
      </c>
      <c r="NF152" s="24">
        <v>0</v>
      </c>
      <c r="NG152" s="24">
        <v>0</v>
      </c>
      <c r="NH152" s="24">
        <v>0</v>
      </c>
      <c r="NI152" s="24">
        <v>0</v>
      </c>
      <c r="NJ152" s="24">
        <v>0</v>
      </c>
      <c r="NK152" s="24">
        <v>0</v>
      </c>
      <c r="NL152" s="24">
        <v>0</v>
      </c>
      <c r="NM152" s="24">
        <v>0</v>
      </c>
      <c r="NN152" s="24">
        <v>0</v>
      </c>
      <c r="NO152" s="24">
        <v>0</v>
      </c>
      <c r="NP152" s="24">
        <v>0</v>
      </c>
      <c r="NQ152" s="24">
        <v>0</v>
      </c>
      <c r="NR152" s="24">
        <v>0</v>
      </c>
      <c r="NS152" s="24">
        <v>0</v>
      </c>
      <c r="NT152" s="24">
        <v>0</v>
      </c>
      <c r="NU152" s="24">
        <v>0</v>
      </c>
      <c r="NV152" s="24">
        <v>68400</v>
      </c>
      <c r="NW152" s="24">
        <v>0</v>
      </c>
      <c r="NX152" s="24">
        <v>0</v>
      </c>
      <c r="NY152" s="24">
        <v>0</v>
      </c>
      <c r="NZ152" s="24">
        <v>0</v>
      </c>
      <c r="OA152" s="24">
        <v>0</v>
      </c>
      <c r="OB152" s="24">
        <v>0</v>
      </c>
      <c r="OC152" s="24">
        <v>0</v>
      </c>
      <c r="OD152" s="24">
        <v>0</v>
      </c>
      <c r="OE152" s="24">
        <v>0</v>
      </c>
      <c r="OF152" s="24">
        <v>0</v>
      </c>
      <c r="OG152" s="24">
        <v>0</v>
      </c>
      <c r="OH152" s="24">
        <v>0</v>
      </c>
      <c r="OI152" s="24">
        <v>0</v>
      </c>
      <c r="OJ152" s="24">
        <v>0</v>
      </c>
      <c r="OK152" s="24">
        <v>0</v>
      </c>
      <c r="OL152" s="24">
        <v>0</v>
      </c>
      <c r="OM152" s="24">
        <v>0</v>
      </c>
      <c r="ON152" s="24">
        <v>0</v>
      </c>
      <c r="OO152" s="24">
        <v>0</v>
      </c>
      <c r="OP152" s="24">
        <v>0</v>
      </c>
      <c r="OQ152" s="24">
        <v>0</v>
      </c>
      <c r="OR152" s="24">
        <v>0</v>
      </c>
      <c r="OS152" s="24">
        <v>0</v>
      </c>
      <c r="OT152" s="24">
        <v>0</v>
      </c>
      <c r="OU152" s="24">
        <v>0</v>
      </c>
      <c r="OV152" s="24">
        <v>0</v>
      </c>
      <c r="OW152" s="24">
        <v>0</v>
      </c>
      <c r="OX152" s="24">
        <v>0</v>
      </c>
      <c r="OY152" s="24">
        <v>0</v>
      </c>
      <c r="OZ152" s="24">
        <v>0</v>
      </c>
      <c r="PA152" s="24">
        <v>0</v>
      </c>
      <c r="PB152" s="24">
        <v>0</v>
      </c>
      <c r="PC152" s="24">
        <v>0</v>
      </c>
      <c r="PD152" s="24">
        <v>0</v>
      </c>
      <c r="PE152" s="24">
        <v>0</v>
      </c>
      <c r="PF152" s="24">
        <v>0</v>
      </c>
      <c r="PG152" s="24">
        <v>0</v>
      </c>
      <c r="PH152" s="24">
        <v>11002</v>
      </c>
      <c r="PI152" s="24">
        <v>0</v>
      </c>
      <c r="PJ152" s="24">
        <v>0</v>
      </c>
      <c r="PK152" s="24">
        <v>0</v>
      </c>
      <c r="PL152" s="24">
        <v>0</v>
      </c>
      <c r="PM152" s="24">
        <v>0</v>
      </c>
      <c r="PN152" s="24">
        <v>0</v>
      </c>
      <c r="PO152" s="24">
        <v>0</v>
      </c>
      <c r="PP152" s="24">
        <v>0</v>
      </c>
      <c r="PQ152" s="24">
        <v>0</v>
      </c>
      <c r="PR152" s="24">
        <v>0</v>
      </c>
      <c r="PS152" s="24">
        <v>0</v>
      </c>
      <c r="PT152" s="24">
        <v>0</v>
      </c>
      <c r="PU152" s="24">
        <v>0</v>
      </c>
      <c r="PV152" s="24">
        <v>0</v>
      </c>
      <c r="PW152" s="24">
        <v>0</v>
      </c>
      <c r="PX152" s="24">
        <v>0</v>
      </c>
      <c r="PY152" s="24">
        <v>0</v>
      </c>
      <c r="PZ152" s="24">
        <v>0</v>
      </c>
      <c r="QA152" s="24">
        <v>0</v>
      </c>
      <c r="QB152" s="24">
        <v>0</v>
      </c>
      <c r="QC152" s="24">
        <v>0</v>
      </c>
      <c r="QD152" s="24">
        <v>0</v>
      </c>
      <c r="QE152" s="24">
        <v>0</v>
      </c>
      <c r="QF152" s="24">
        <v>0</v>
      </c>
      <c r="QG152" s="24">
        <v>0</v>
      </c>
      <c r="QH152" s="24">
        <v>0</v>
      </c>
      <c r="QI152" s="24">
        <v>0</v>
      </c>
      <c r="QJ152" s="24">
        <v>0</v>
      </c>
      <c r="QK152" s="24">
        <v>279</v>
      </c>
      <c r="QL152" s="24">
        <v>0</v>
      </c>
      <c r="QM152" s="24">
        <v>0</v>
      </c>
      <c r="QN152" s="24">
        <v>0</v>
      </c>
      <c r="QO152" s="24">
        <v>0</v>
      </c>
      <c r="QP152" s="24">
        <v>0</v>
      </c>
      <c r="QQ152" s="24">
        <v>0</v>
      </c>
      <c r="QR152" s="24">
        <v>0</v>
      </c>
      <c r="QS152" s="24">
        <v>1850</v>
      </c>
      <c r="QT152" s="24">
        <v>0</v>
      </c>
      <c r="QU152" s="24">
        <v>0</v>
      </c>
      <c r="QV152" s="24">
        <v>0</v>
      </c>
      <c r="QW152" s="24">
        <v>0</v>
      </c>
      <c r="QX152" s="24">
        <v>0</v>
      </c>
      <c r="QY152" s="24">
        <v>0</v>
      </c>
      <c r="QZ152" s="24">
        <v>0</v>
      </c>
      <c r="RA152" s="24">
        <v>0</v>
      </c>
      <c r="RB152" s="24">
        <v>0</v>
      </c>
      <c r="RC152" s="913">
        <v>2</v>
      </c>
      <c r="RG152" s="39">
        <f t="shared" si="248"/>
        <v>2007270</v>
      </c>
      <c r="RH152" s="39">
        <f t="shared" si="248"/>
        <v>134256</v>
      </c>
      <c r="RI152" s="39">
        <f t="shared" si="248"/>
        <v>0</v>
      </c>
      <c r="RJ152" s="39">
        <f t="shared" si="248"/>
        <v>0</v>
      </c>
      <c r="RK152" s="39">
        <f t="shared" si="248"/>
        <v>0</v>
      </c>
      <c r="RL152" s="39">
        <f t="shared" si="248"/>
        <v>180467</v>
      </c>
      <c r="RM152" s="39">
        <f t="shared" si="248"/>
        <v>274042</v>
      </c>
      <c r="RN152" s="39">
        <f t="shared" si="248"/>
        <v>0</v>
      </c>
      <c r="RO152" s="39">
        <f t="shared" si="248"/>
        <v>0</v>
      </c>
      <c r="RP152" s="39">
        <f t="shared" si="248"/>
        <v>29564</v>
      </c>
      <c r="RQ152" s="39">
        <f t="shared" si="248"/>
        <v>0</v>
      </c>
      <c r="RR152" s="39">
        <f t="shared" si="325"/>
        <v>0</v>
      </c>
      <c r="RS152" s="39"/>
      <c r="RT152" s="182"/>
      <c r="RU152" s="39"/>
      <c r="RV152" s="39">
        <f t="shared" si="302"/>
        <v>463862</v>
      </c>
      <c r="RW152" s="39">
        <f t="shared" si="302"/>
        <v>2625599</v>
      </c>
      <c r="RX152" s="39">
        <f t="shared" si="302"/>
        <v>32209</v>
      </c>
      <c r="RY152" s="39">
        <f t="shared" si="302"/>
        <v>13131</v>
      </c>
      <c r="RZ152" s="39"/>
      <c r="SA152" s="182"/>
      <c r="SB152" s="39"/>
      <c r="SC152" s="25">
        <f t="shared" si="303"/>
        <v>69.867678958785248</v>
      </c>
      <c r="SD152" s="39">
        <f>IFERROR(VLOOKUP(A152, 'Levy Data 15-16'!$B:$O, 3, FALSE), 0)</f>
        <v>0</v>
      </c>
      <c r="SE152" s="39">
        <f t="shared" si="265"/>
        <v>0</v>
      </c>
      <c r="SF152" s="631">
        <f>IFERROR(VLOOKUP(A152, 'Levy Data 15-16'!$B:$O, 14, FALSE), 0)*1000</f>
        <v>0</v>
      </c>
      <c r="SG152" s="39">
        <f t="shared" si="266"/>
        <v>0</v>
      </c>
      <c r="SH152" s="39">
        <f t="shared" si="267"/>
        <v>0</v>
      </c>
      <c r="SI152" s="39">
        <f t="shared" si="268"/>
        <v>32209</v>
      </c>
      <c r="SM152" s="39">
        <f t="shared" si="269"/>
        <v>2625599</v>
      </c>
      <c r="SN152" s="39">
        <f t="shared" si="270"/>
        <v>0</v>
      </c>
      <c r="SO152" s="39">
        <f t="shared" si="304"/>
        <v>2625599</v>
      </c>
      <c r="SP152" s="50">
        <f t="shared" si="250"/>
        <v>1</v>
      </c>
      <c r="ST152" s="124">
        <f>IFERROR(VLOOKUP(A152,'Grade Enroll 15-16'!B:AC,27,FALSE),"")</f>
        <v>461</v>
      </c>
      <c r="SU152" s="124">
        <f t="shared" si="264"/>
        <v>328.67592592592592</v>
      </c>
      <c r="SV152" s="131">
        <f>IFERROR(VLOOKUP($A152, 'Title I Enroll 16-17'!S:V, 4, FALSE), 0)</f>
        <v>0.71296296296296291</v>
      </c>
      <c r="SW152" s="729">
        <f>IFERROR(VLOOKUP(A152, 'ELL Enroll 15-16'!$N:$S, 6, FALSE), 0)</f>
        <v>112</v>
      </c>
      <c r="SX152" s="131">
        <f>SW152/ST152</f>
        <v>0.24295010845986983</v>
      </c>
      <c r="SY152" s="124">
        <f>IFERROR(VLOOKUP(A152, 'SPED enroll 2015-16'!$M:$O, 3, FALSE), 0)</f>
        <v>44</v>
      </c>
      <c r="SZ152" s="131">
        <f t="shared" si="252"/>
        <v>9.5444685466377438E-2</v>
      </c>
      <c r="TA152" s="142">
        <f t="shared" si="253"/>
        <v>30.799999999999997</v>
      </c>
      <c r="TB152" s="142">
        <f t="shared" si="253"/>
        <v>8.8000000000000007</v>
      </c>
      <c r="TC152" s="142">
        <f t="shared" si="253"/>
        <v>3.08</v>
      </c>
      <c r="TD152" s="142">
        <f t="shared" si="253"/>
        <v>1.3199999999999998</v>
      </c>
      <c r="TE152" s="124">
        <f>VLOOKUP($A152, 'Grade Enroll 15-16'!$B:$AB, 20, FALSE)</f>
        <v>0</v>
      </c>
      <c r="TF152" s="124">
        <f>VLOOKUP($A152, 'Grade Enroll 15-16'!$B:$AB, 21, FALSE)</f>
        <v>60</v>
      </c>
      <c r="TG152" s="124">
        <f>VLOOKUP($A152, 'Grade Enroll 15-16'!$B:$AB, 22, FALSE)</f>
        <v>178</v>
      </c>
      <c r="TH152" s="124">
        <f>VLOOKUP($A152, 'Grade Enroll 15-16'!$B:$AB, 23, FALSE)</f>
        <v>179</v>
      </c>
      <c r="TI152" s="124">
        <f>VLOOKUP($A152, 'Grade Enroll 15-16'!$B:$AB, 24, FALSE)</f>
        <v>104</v>
      </c>
      <c r="TJ152" s="124">
        <f>VLOOKUP($A152, 'Grade Enroll 15-16'!$B:$AB, 25, FALSE)</f>
        <v>0</v>
      </c>
      <c r="TK152" s="124">
        <f>VLOOKUP($A152, 'Grade Enroll 15-16'!$B:$AB, 26, FALSE)</f>
        <v>342</v>
      </c>
      <c r="TL152" s="131">
        <f>SUMIFS('Student Achievement 15-16'!N:N, 'Student Achievement 15-16'!B:B, 'Idaho Data'!A152, 'Student Achievement 15-16'!D:D, "math")/100</f>
        <v>0.39100000000000001</v>
      </c>
      <c r="TM152" s="134">
        <f t="shared" si="305"/>
        <v>180.251</v>
      </c>
      <c r="TN152" s="131">
        <f>SUMIFS('Student Achievement 15-16'!N:N, 'Student Achievement 15-16'!B:B, 'Idaho Data'!A152, 'Student Achievement 15-16'!D:D, "ela")/100</f>
        <v>0.29100000000000004</v>
      </c>
      <c r="TO152" s="134">
        <f t="shared" si="254"/>
        <v>134.15100000000001</v>
      </c>
      <c r="TP152" s="688">
        <f>IFERROR(VLOOKUP(A152, 'G&amp;T 15-16'!B:G, 6, FALSE), 0)*1</f>
        <v>0</v>
      </c>
      <c r="TQ152" s="168">
        <f t="shared" si="255"/>
        <v>27.66</v>
      </c>
      <c r="TU152" s="168">
        <f t="shared" si="256"/>
        <v>134.15100000000001</v>
      </c>
      <c r="TV152" s="168">
        <f t="shared" si="257"/>
        <v>180.251</v>
      </c>
      <c r="TW152" s="205">
        <f t="shared" si="258"/>
        <v>180.251</v>
      </c>
      <c r="TX152" s="144"/>
      <c r="TY152" s="129"/>
      <c r="TZ152" s="127">
        <f t="shared" si="259"/>
        <v>0</v>
      </c>
      <c r="UA152" s="127">
        <f t="shared" si="260"/>
        <v>27.66</v>
      </c>
      <c r="UB152" s="205">
        <f t="shared" si="261"/>
        <v>27.66</v>
      </c>
      <c r="UE152" s="853" t="str">
        <f>IF(ST152&lt;='1. Simulator Input'!$E$104, "yes", "")</f>
        <v/>
      </c>
      <c r="UI152" s="199">
        <f t="shared" si="306"/>
        <v>0</v>
      </c>
      <c r="UJ152" s="200">
        <f>IF('Idaho Data'!SI152&gt;=0, ((1-'1. Simulator Input'!$E$39)*'Idaho Data'!SI152), 0)</f>
        <v>0</v>
      </c>
      <c r="UK152" s="200">
        <f t="shared" si="262"/>
        <v>2625599</v>
      </c>
      <c r="UL152" s="39"/>
      <c r="UM152" s="182"/>
      <c r="UN152" s="39"/>
      <c r="UO152" s="39" t="str">
        <f>IF(AND('1. Simulator Input'!$E$96="yes", '1. Simulator Input'!$E$98="yes", '1. Simulator Input'!$E$100="hold harmless"), 'Idaho Data'!WN152, IF(AND('1. Simulator Input'!$E$96="yes", '1. Simulator Input'!$E$98="no", '1. Simulator Input'!$E$100="hold harmless"), 'Idaho Data'!WM152, IF(AND('1. Simulator Input'!$E$96="yes", '1. Simulator Input'!$E$98="yes", '1. Simulator Input'!$E$100="small district grant"), WL152,IF(AND('1. Simulator Input'!$E$96="yes", '1. Simulator Input'!$E$98="no", '1. Simulator Input'!$E$100="small district grant"), WK152, ""))))</f>
        <v/>
      </c>
      <c r="UP152" s="200">
        <f>'1. Simulator Input'!$D$56*('Idaho Data'!ST152)</f>
        <v>2547486</v>
      </c>
      <c r="UQ152" s="204">
        <f>'1. Simulator Input'!$D$65*'1. Simulator Input'!$D$56*'Idaho Data'!SU152</f>
        <v>0</v>
      </c>
      <c r="UR152" s="204">
        <f>'1. Simulator Input'!$D$66*'1. Simulator Input'!$D$56*'Idaho Data'!SW152</f>
        <v>0</v>
      </c>
      <c r="US152" s="200">
        <f>'1. Simulator Input'!$D$67*'1. Simulator Input'!$D$56*'Idaho Data'!TA152</f>
        <v>0</v>
      </c>
      <c r="UT152" s="200">
        <f>'1. Simulator Input'!$D$68*'1. Simulator Input'!$D$56*'Idaho Data'!TB152</f>
        <v>0</v>
      </c>
      <c r="UU152" s="200">
        <f>'1. Simulator Input'!$D$69*'1. Simulator Input'!$D$56*'Idaho Data'!TC152</f>
        <v>0</v>
      </c>
      <c r="UV152" s="200">
        <f>'1. Simulator Input'!$D$70*'1. Simulator Input'!$D$56*TD152</f>
        <v>0</v>
      </c>
      <c r="UW152" s="200">
        <f>'1. Simulator Input'!$D$80*'1. Simulator Input'!$D$56*TW152</f>
        <v>0</v>
      </c>
      <c r="UX152" s="200">
        <f>'1. Simulator Input'!$D$79*'1. Simulator Input'!$D$56*UB152</f>
        <v>0</v>
      </c>
      <c r="UY152" s="200">
        <f>'1. Simulator Input'!$D$87*'1. Simulator Input'!$D$56*TF152</f>
        <v>165780</v>
      </c>
      <c r="UZ152" s="200">
        <f>'1. Simulator Input'!$D$73*'1. Simulator Input'!$D$56*'Idaho Data'!TG152</f>
        <v>0</v>
      </c>
      <c r="VA152" s="200">
        <f>'1. Simulator Input'!$D$56*'1. Simulator Input'!$D$74*'Idaho Data'!TH152</f>
        <v>0</v>
      </c>
      <c r="VB152" s="200">
        <f>'1. Simulator Input'!$D$56*'1. Simulator Input'!$D$75*'Idaho Data'!TI147</f>
        <v>0</v>
      </c>
      <c r="VC152" s="200">
        <f>'1. Simulator Input'!$D$76*'1. Simulator Input'!$D$56*'Idaho Data'!TJ152</f>
        <v>0</v>
      </c>
      <c r="VD152" s="200">
        <f t="shared" si="307"/>
        <v>2713266</v>
      </c>
      <c r="VE152" s="200"/>
      <c r="VF152" s="182"/>
      <c r="VG152" s="200"/>
      <c r="VH152" s="200">
        <f t="shared" si="308"/>
        <v>0</v>
      </c>
      <c r="VI152" s="200">
        <f t="shared" si="309"/>
        <v>0</v>
      </c>
      <c r="VJ152" s="200">
        <f t="shared" si="271"/>
        <v>2713266</v>
      </c>
      <c r="VK152" s="200">
        <f t="shared" si="272"/>
        <v>2713266</v>
      </c>
      <c r="VL152" s="200"/>
      <c r="VM152" s="182"/>
      <c r="VN152" s="200"/>
      <c r="VO152" s="200">
        <f t="shared" si="310"/>
        <v>463862</v>
      </c>
      <c r="VP152" s="200">
        <f t="shared" si="311"/>
        <v>2625599</v>
      </c>
      <c r="VQ152" s="200">
        <f t="shared" si="312"/>
        <v>32209</v>
      </c>
      <c r="VR152" s="200">
        <f t="shared" si="313"/>
        <v>463862</v>
      </c>
      <c r="VS152" s="200">
        <f t="shared" si="273"/>
        <v>2713266</v>
      </c>
      <c r="VT152" s="200">
        <f t="shared" si="274"/>
        <v>32209</v>
      </c>
      <c r="VU152" s="200">
        <f t="shared" si="275"/>
        <v>0</v>
      </c>
      <c r="VV152" s="200"/>
      <c r="VW152" s="182"/>
      <c r="VX152" s="200"/>
      <c r="VZ152" s="199">
        <f t="shared" si="314"/>
        <v>87667</v>
      </c>
      <c r="WA152" s="199">
        <f t="shared" si="315"/>
        <v>190.16702819956615</v>
      </c>
      <c r="WB152" s="131">
        <f t="shared" si="316"/>
        <v>3.3389333253097675E-2</v>
      </c>
      <c r="WC152" s="131"/>
      <c r="WD152" s="461"/>
      <c r="WE152" s="893"/>
      <c r="WF152" s="893">
        <f t="shared" si="317"/>
        <v>6771.5184381778745</v>
      </c>
      <c r="WG152" s="893">
        <f t="shared" si="318"/>
        <v>6961.6854663774402</v>
      </c>
      <c r="WH152" s="893"/>
      <c r="WI152" s="893">
        <f t="shared" si="319"/>
        <v>2625599</v>
      </c>
      <c r="WJ152" s="893">
        <f t="shared" si="276"/>
        <v>2713266</v>
      </c>
      <c r="WK152" s="39" t="str">
        <f t="shared" si="277"/>
        <v/>
      </c>
      <c r="WL152" s="39" t="str">
        <f t="shared" si="278"/>
        <v/>
      </c>
      <c r="WM152" s="200" t="str">
        <f t="shared" si="279"/>
        <v/>
      </c>
      <c r="WN152" s="39" t="str">
        <f t="shared" si="280"/>
        <v/>
      </c>
      <c r="WO152" s="39"/>
      <c r="WP152" s="182"/>
      <c r="WQ152" s="39"/>
      <c r="WR152" s="305"/>
      <c r="WT152" s="200">
        <f t="shared" si="281"/>
        <v>5695.4425162689804</v>
      </c>
      <c r="WU152" s="131">
        <f t="shared" si="320"/>
        <v>0.2</v>
      </c>
      <c r="WW152" s="199">
        <f t="shared" si="282"/>
        <v>463862</v>
      </c>
      <c r="WX152" s="199">
        <f t="shared" si="283"/>
        <v>2713266</v>
      </c>
      <c r="WY152" s="199">
        <f t="shared" si="284"/>
        <v>0</v>
      </c>
      <c r="WZ152" s="199">
        <f t="shared" si="321"/>
        <v>2713266</v>
      </c>
      <c r="XA152" s="199">
        <f t="shared" si="285"/>
        <v>0</v>
      </c>
      <c r="XB152" s="199">
        <f t="shared" si="286"/>
        <v>32209</v>
      </c>
      <c r="XC152" s="199">
        <f t="shared" si="287"/>
        <v>32209</v>
      </c>
      <c r="XD152" s="199" t="str">
        <f t="shared" si="288"/>
        <v/>
      </c>
      <c r="XE152" s="199"/>
      <c r="XF152" s="199"/>
      <c r="XG152" s="199"/>
      <c r="XH152" s="199"/>
      <c r="XI152" s="199"/>
      <c r="XJ152" s="199">
        <f t="shared" si="322"/>
        <v>2713266</v>
      </c>
      <c r="XP152" s="199">
        <f t="shared" si="289"/>
        <v>2713266</v>
      </c>
      <c r="XQ152" s="199">
        <f t="shared" si="290"/>
        <v>5885.609544468547</v>
      </c>
      <c r="XR152" s="199">
        <f t="shared" si="291"/>
        <v>2713266</v>
      </c>
      <c r="XS152" s="199">
        <f t="shared" si="292"/>
        <v>2713266</v>
      </c>
      <c r="XT152" s="199">
        <f t="shared" si="293"/>
        <v>5885.609544468547</v>
      </c>
      <c r="XU152" s="199">
        <f t="shared" si="294"/>
        <v>2625599</v>
      </c>
      <c r="XV152" s="199">
        <f t="shared" si="295"/>
        <v>5695.4425162689804</v>
      </c>
      <c r="XW152" s="199">
        <f t="shared" si="296"/>
        <v>2625599</v>
      </c>
      <c r="XX152" s="199">
        <f t="shared" si="297"/>
        <v>5695.4425162689804</v>
      </c>
      <c r="XY152" s="199">
        <f t="shared" si="323"/>
        <v>87667</v>
      </c>
      <c r="XZ152" s="199">
        <f t="shared" si="324"/>
        <v>190.16702819956663</v>
      </c>
      <c r="YA152" s="131">
        <f t="shared" si="263"/>
        <v>3.3389333253097758E-2</v>
      </c>
      <c r="YB152" s="199"/>
      <c r="YC152" s="221"/>
      <c r="YD152" s="199"/>
      <c r="YE152" s="199">
        <f t="shared" si="298"/>
        <v>463862</v>
      </c>
      <c r="YF152" s="200">
        <f t="shared" si="299"/>
        <v>0</v>
      </c>
      <c r="YG152" s="199">
        <f t="shared" si="300"/>
        <v>32209</v>
      </c>
      <c r="YH152" s="199">
        <f t="shared" si="301"/>
        <v>13131</v>
      </c>
    </row>
    <row r="153" spans="1:658">
      <c r="A153" s="3">
        <v>482</v>
      </c>
      <c r="B153" s="2" t="s">
        <v>250</v>
      </c>
      <c r="C153" s="24">
        <v>0</v>
      </c>
      <c r="D153" s="24">
        <v>0</v>
      </c>
      <c r="E153" s="24">
        <v>0</v>
      </c>
      <c r="F153" s="24">
        <v>0</v>
      </c>
      <c r="G153" s="24">
        <v>0</v>
      </c>
      <c r="H153" s="24">
        <v>0</v>
      </c>
      <c r="I153" s="24">
        <v>0</v>
      </c>
      <c r="J153" s="24">
        <v>0</v>
      </c>
      <c r="K153" s="24">
        <v>0</v>
      </c>
      <c r="L153" s="24">
        <v>0</v>
      </c>
      <c r="M153" s="24">
        <v>0</v>
      </c>
      <c r="N153" s="24">
        <v>0</v>
      </c>
      <c r="O153" s="24">
        <v>0</v>
      </c>
      <c r="P153" s="24">
        <v>0</v>
      </c>
      <c r="Q153" s="24">
        <v>0</v>
      </c>
      <c r="R153" s="24">
        <v>0</v>
      </c>
      <c r="S153" s="24">
        <v>0</v>
      </c>
      <c r="T153" s="24">
        <v>0</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0</v>
      </c>
      <c r="AK153" s="24">
        <v>0</v>
      </c>
      <c r="AL153" s="24">
        <v>0</v>
      </c>
      <c r="AM153" s="24">
        <v>0</v>
      </c>
      <c r="AN153" s="24">
        <v>0</v>
      </c>
      <c r="AO153" s="24">
        <v>0</v>
      </c>
      <c r="AP153" s="24">
        <v>0</v>
      </c>
      <c r="AQ153" s="24">
        <v>0</v>
      </c>
      <c r="AR153" s="24">
        <v>0</v>
      </c>
      <c r="AS153" s="24">
        <v>0</v>
      </c>
      <c r="AT153" s="24">
        <v>0</v>
      </c>
      <c r="AU153" s="24">
        <v>0</v>
      </c>
      <c r="AV153" s="24">
        <v>0</v>
      </c>
      <c r="AW153" s="24">
        <v>0</v>
      </c>
      <c r="AX153" s="24">
        <v>0</v>
      </c>
      <c r="AY153" s="24">
        <v>0</v>
      </c>
      <c r="AZ153" s="24">
        <v>0</v>
      </c>
      <c r="BA153" s="24">
        <v>0</v>
      </c>
      <c r="BB153" s="24">
        <v>0</v>
      </c>
      <c r="BC153" s="24">
        <v>0</v>
      </c>
      <c r="BD153" s="24">
        <v>0</v>
      </c>
      <c r="BE153" s="24">
        <v>0</v>
      </c>
      <c r="BF153" s="24">
        <v>0</v>
      </c>
      <c r="BG153" s="24">
        <v>0</v>
      </c>
      <c r="BH153" s="24">
        <v>0</v>
      </c>
      <c r="BI153" s="24">
        <v>0</v>
      </c>
      <c r="BJ153" s="24">
        <v>0</v>
      </c>
      <c r="BK153" s="24">
        <v>0</v>
      </c>
      <c r="BL153" s="24">
        <v>0</v>
      </c>
      <c r="BM153" s="24">
        <v>0</v>
      </c>
      <c r="BN153" s="24">
        <v>0</v>
      </c>
      <c r="BO153" s="24">
        <v>0</v>
      </c>
      <c r="BP153" s="24">
        <v>0</v>
      </c>
      <c r="BQ153" s="24">
        <v>0</v>
      </c>
      <c r="BR153" s="24">
        <v>0</v>
      </c>
      <c r="BS153" s="24">
        <v>0</v>
      </c>
      <c r="BT153" s="24">
        <v>0</v>
      </c>
      <c r="BU153" s="24">
        <v>0</v>
      </c>
      <c r="BV153" s="24">
        <v>0</v>
      </c>
      <c r="BW153" s="24">
        <v>0</v>
      </c>
      <c r="BX153" s="24">
        <v>0</v>
      </c>
      <c r="BY153" s="24">
        <v>0</v>
      </c>
      <c r="BZ153" s="24">
        <v>0</v>
      </c>
      <c r="CA153" s="24">
        <v>0</v>
      </c>
      <c r="CB153" s="24">
        <v>0</v>
      </c>
      <c r="CC153" s="24">
        <v>0</v>
      </c>
      <c r="CD153" s="24">
        <v>36704</v>
      </c>
      <c r="CE153" s="24">
        <v>0</v>
      </c>
      <c r="CF153" s="24">
        <v>0</v>
      </c>
      <c r="CG153" s="24">
        <v>415</v>
      </c>
      <c r="CH153" s="24">
        <v>0</v>
      </c>
      <c r="CI153" s="24">
        <v>0</v>
      </c>
      <c r="CJ153" s="24">
        <v>0</v>
      </c>
      <c r="CK153" s="24">
        <v>0</v>
      </c>
      <c r="CL153" s="24">
        <v>0</v>
      </c>
      <c r="CM153" s="24">
        <v>0</v>
      </c>
      <c r="CN153" s="24">
        <v>0</v>
      </c>
      <c r="CO153" s="24">
        <v>0</v>
      </c>
      <c r="CP153" s="24">
        <v>0</v>
      </c>
      <c r="CQ153" s="24">
        <v>0</v>
      </c>
      <c r="CR153" s="24">
        <v>0</v>
      </c>
      <c r="CS153" s="24">
        <v>0</v>
      </c>
      <c r="CT153" s="24">
        <v>0</v>
      </c>
      <c r="CU153" s="24">
        <v>0</v>
      </c>
      <c r="CV153" s="24">
        <v>0</v>
      </c>
      <c r="CW153" s="24">
        <v>0</v>
      </c>
      <c r="CX153" s="24">
        <v>0</v>
      </c>
      <c r="CY153" s="24">
        <v>0</v>
      </c>
      <c r="CZ153" s="24">
        <v>0</v>
      </c>
      <c r="DA153" s="24">
        <v>0</v>
      </c>
      <c r="DB153" s="24">
        <v>0</v>
      </c>
      <c r="DC153" s="24">
        <v>0</v>
      </c>
      <c r="DD153" s="24">
        <v>0</v>
      </c>
      <c r="DE153" s="24">
        <v>0</v>
      </c>
      <c r="DF153" s="24">
        <v>0</v>
      </c>
      <c r="DG153" s="24">
        <v>0</v>
      </c>
      <c r="DH153" s="24">
        <v>0</v>
      </c>
      <c r="DI153" s="24">
        <v>0</v>
      </c>
      <c r="DJ153" s="24">
        <v>0</v>
      </c>
      <c r="DK153" s="24">
        <v>0</v>
      </c>
      <c r="DL153" s="24">
        <v>0</v>
      </c>
      <c r="DM153" s="24">
        <v>0</v>
      </c>
      <c r="DN153" s="24">
        <v>0</v>
      </c>
      <c r="DO153" s="24">
        <v>0</v>
      </c>
      <c r="DP153" s="24">
        <v>0</v>
      </c>
      <c r="DQ153" s="24">
        <v>0</v>
      </c>
      <c r="DR153" s="24">
        <v>0</v>
      </c>
      <c r="DS153" s="24">
        <v>0</v>
      </c>
      <c r="DT153" s="24">
        <v>0</v>
      </c>
      <c r="DU153" s="24">
        <v>0</v>
      </c>
      <c r="DV153" s="24">
        <v>0</v>
      </c>
      <c r="DW153" s="24">
        <v>0</v>
      </c>
      <c r="DX153" s="24">
        <v>0</v>
      </c>
      <c r="DY153" s="24">
        <v>0</v>
      </c>
      <c r="DZ153" s="24">
        <v>0</v>
      </c>
      <c r="EA153" s="24">
        <v>0</v>
      </c>
      <c r="EB153" s="24">
        <v>0</v>
      </c>
      <c r="EC153" s="24">
        <v>0</v>
      </c>
      <c r="ED153" s="24">
        <v>0</v>
      </c>
      <c r="EE153" s="24">
        <v>0</v>
      </c>
      <c r="EF153" s="24">
        <v>0</v>
      </c>
      <c r="EG153" s="24">
        <v>46860</v>
      </c>
      <c r="EH153" s="24">
        <v>0</v>
      </c>
      <c r="EI153" s="24">
        <v>0</v>
      </c>
      <c r="EJ153" s="24">
        <v>0</v>
      </c>
      <c r="EK153" s="24">
        <v>0</v>
      </c>
      <c r="EL153" s="24">
        <v>0</v>
      </c>
      <c r="EM153" s="24">
        <v>0</v>
      </c>
      <c r="EN153" s="24">
        <v>0</v>
      </c>
      <c r="EO153" s="24">
        <v>0</v>
      </c>
      <c r="EP153" s="24">
        <v>0</v>
      </c>
      <c r="EQ153" s="24">
        <v>0</v>
      </c>
      <c r="ER153" s="24">
        <v>0</v>
      </c>
      <c r="ES153" s="24">
        <v>0</v>
      </c>
      <c r="ET153" s="24">
        <v>0</v>
      </c>
      <c r="EU153" s="24">
        <v>0</v>
      </c>
      <c r="EV153" s="24">
        <v>0</v>
      </c>
      <c r="EW153" s="24">
        <v>0</v>
      </c>
      <c r="EX153" s="24">
        <v>0</v>
      </c>
      <c r="EY153" s="24">
        <v>0</v>
      </c>
      <c r="EZ153" s="24">
        <v>0</v>
      </c>
      <c r="FA153" s="24">
        <v>0</v>
      </c>
      <c r="FB153" s="24">
        <v>0</v>
      </c>
      <c r="FC153" s="24">
        <v>0</v>
      </c>
      <c r="FD153" s="24">
        <v>0</v>
      </c>
      <c r="FE153" s="24">
        <v>0</v>
      </c>
      <c r="FF153" s="24">
        <v>0</v>
      </c>
      <c r="FG153" s="24">
        <v>0</v>
      </c>
      <c r="FH153" s="24">
        <v>0</v>
      </c>
      <c r="FI153" s="24">
        <v>0</v>
      </c>
      <c r="FJ153" s="24">
        <v>0</v>
      </c>
      <c r="FK153" s="24">
        <v>0</v>
      </c>
      <c r="FL153" s="24">
        <v>0</v>
      </c>
      <c r="FM153" s="24">
        <v>0</v>
      </c>
      <c r="FN153" s="24">
        <v>0</v>
      </c>
      <c r="FO153" s="24">
        <v>0</v>
      </c>
      <c r="FP153" s="24">
        <v>0</v>
      </c>
      <c r="FQ153" s="24">
        <v>0</v>
      </c>
      <c r="FR153" s="24">
        <v>0</v>
      </c>
      <c r="FS153" s="24">
        <v>60960</v>
      </c>
      <c r="FT153" s="24">
        <v>0</v>
      </c>
      <c r="FU153" s="24">
        <v>0</v>
      </c>
      <c r="FV153" s="24">
        <v>0</v>
      </c>
      <c r="FW153" s="24">
        <v>0</v>
      </c>
      <c r="FX153" s="24">
        <v>0</v>
      </c>
      <c r="FY153" s="24">
        <v>0</v>
      </c>
      <c r="FZ153" s="24">
        <v>0</v>
      </c>
      <c r="GA153" s="24">
        <v>0</v>
      </c>
      <c r="GB153" s="24">
        <v>0</v>
      </c>
      <c r="GC153" s="24">
        <v>0</v>
      </c>
      <c r="GD153" s="24">
        <v>0</v>
      </c>
      <c r="GE153" s="24">
        <v>0</v>
      </c>
      <c r="GF153" s="24">
        <v>0</v>
      </c>
      <c r="GG153" s="24">
        <v>0</v>
      </c>
      <c r="GH153" s="24">
        <v>0</v>
      </c>
      <c r="GI153" s="24">
        <v>0</v>
      </c>
      <c r="GJ153" s="24">
        <v>0</v>
      </c>
      <c r="GK153" s="24">
        <v>0</v>
      </c>
      <c r="GL153" s="24">
        <v>0</v>
      </c>
      <c r="GM153" s="24">
        <v>0</v>
      </c>
      <c r="GN153" s="24">
        <v>0</v>
      </c>
      <c r="GO153" s="24">
        <v>0</v>
      </c>
      <c r="GP153" s="24">
        <v>0</v>
      </c>
      <c r="GQ153" s="24">
        <v>0</v>
      </c>
      <c r="GR153" s="24">
        <v>0</v>
      </c>
      <c r="GS153" s="24">
        <v>0</v>
      </c>
      <c r="GT153" s="24">
        <v>0</v>
      </c>
      <c r="GU153" s="24">
        <v>0</v>
      </c>
      <c r="GV153" s="24">
        <v>0</v>
      </c>
      <c r="GW153" s="24">
        <v>0</v>
      </c>
      <c r="GX153" s="24">
        <v>0</v>
      </c>
      <c r="GY153" s="24">
        <v>0</v>
      </c>
      <c r="GZ153" s="24">
        <v>0</v>
      </c>
      <c r="HA153" s="24">
        <v>0</v>
      </c>
      <c r="HB153" s="24">
        <v>0</v>
      </c>
      <c r="HC153" s="24">
        <v>0</v>
      </c>
      <c r="HD153" s="24">
        <v>1134647</v>
      </c>
      <c r="HE153" s="24">
        <v>0</v>
      </c>
      <c r="HF153" s="24">
        <v>0</v>
      </c>
      <c r="HG153" s="24">
        <v>0</v>
      </c>
      <c r="HH153" s="24">
        <v>0</v>
      </c>
      <c r="HI153" s="24">
        <v>0</v>
      </c>
      <c r="HJ153" s="24">
        <v>0</v>
      </c>
      <c r="HK153" s="24">
        <v>0</v>
      </c>
      <c r="HL153" s="24">
        <v>0</v>
      </c>
      <c r="HM153" s="24">
        <v>0</v>
      </c>
      <c r="HN153" s="24">
        <v>0</v>
      </c>
      <c r="HO153" s="24">
        <v>105536</v>
      </c>
      <c r="HP153" s="24">
        <v>163961</v>
      </c>
      <c r="HQ153" s="24">
        <v>0</v>
      </c>
      <c r="HR153" s="24">
        <v>0</v>
      </c>
      <c r="HS153" s="24">
        <v>0</v>
      </c>
      <c r="HT153" s="24">
        <v>0</v>
      </c>
      <c r="HU153" s="24">
        <v>0</v>
      </c>
      <c r="HV153" s="24">
        <v>0</v>
      </c>
      <c r="HW153" s="24">
        <v>0</v>
      </c>
      <c r="HX153" s="24">
        <v>0</v>
      </c>
      <c r="HY153" s="24">
        <v>0</v>
      </c>
      <c r="HZ153" s="24">
        <v>0</v>
      </c>
      <c r="IA153" s="24">
        <v>21785</v>
      </c>
      <c r="IB153" s="24">
        <v>5185</v>
      </c>
      <c r="IC153" s="24">
        <v>0</v>
      </c>
      <c r="ID153" s="24">
        <v>0</v>
      </c>
      <c r="IE153" s="24">
        <v>0</v>
      </c>
      <c r="IF153" s="24">
        <v>0</v>
      </c>
      <c r="IG153" s="24">
        <v>0</v>
      </c>
      <c r="IH153" s="24">
        <v>0</v>
      </c>
      <c r="II153" s="24">
        <v>0</v>
      </c>
      <c r="IJ153" s="24">
        <v>0</v>
      </c>
      <c r="IK153" s="24">
        <v>0</v>
      </c>
      <c r="IL153" s="24">
        <v>0</v>
      </c>
      <c r="IM153" s="24">
        <v>0</v>
      </c>
      <c r="IN153" s="24">
        <v>0</v>
      </c>
      <c r="IO153" s="24">
        <v>0</v>
      </c>
      <c r="IP153" s="24">
        <v>0</v>
      </c>
      <c r="IQ153" s="24">
        <v>0</v>
      </c>
      <c r="IR153" s="24">
        <v>0</v>
      </c>
      <c r="IS153" s="24">
        <v>0</v>
      </c>
      <c r="IT153" s="24">
        <v>0</v>
      </c>
      <c r="IU153" s="24">
        <v>0</v>
      </c>
      <c r="IV153" s="24">
        <v>0</v>
      </c>
      <c r="IW153" s="24">
        <v>0</v>
      </c>
      <c r="IX153" s="24">
        <v>0</v>
      </c>
      <c r="IY153" s="24">
        <v>0</v>
      </c>
      <c r="IZ153" s="24">
        <v>0</v>
      </c>
      <c r="JA153" s="24">
        <v>0</v>
      </c>
      <c r="JB153" s="24">
        <v>0</v>
      </c>
      <c r="JC153" s="24">
        <v>0</v>
      </c>
      <c r="JD153" s="24">
        <v>0</v>
      </c>
      <c r="JE153" s="24">
        <v>0</v>
      </c>
      <c r="JF153" s="24">
        <v>0</v>
      </c>
      <c r="JG153" s="24">
        <v>0</v>
      </c>
      <c r="JH153" s="24">
        <v>0</v>
      </c>
      <c r="JI153" s="24">
        <v>0</v>
      </c>
      <c r="JJ153" s="24">
        <v>0</v>
      </c>
      <c r="JK153" s="24">
        <v>0</v>
      </c>
      <c r="JL153" s="24">
        <v>0</v>
      </c>
      <c r="JM153" s="24">
        <v>0</v>
      </c>
      <c r="JN153" s="24">
        <v>0</v>
      </c>
      <c r="JO153" s="24">
        <v>0</v>
      </c>
      <c r="JP153" s="24">
        <v>0</v>
      </c>
      <c r="JQ153" s="24">
        <v>0</v>
      </c>
      <c r="JR153" s="24">
        <v>0</v>
      </c>
      <c r="JS153" s="24">
        <v>0</v>
      </c>
      <c r="JT153" s="24">
        <v>0</v>
      </c>
      <c r="JU153" s="24">
        <v>0</v>
      </c>
      <c r="JV153" s="24">
        <v>0</v>
      </c>
      <c r="JW153" s="24">
        <v>0</v>
      </c>
      <c r="JX153" s="24">
        <v>0</v>
      </c>
      <c r="JY153" s="24">
        <v>0</v>
      </c>
      <c r="JZ153" s="24">
        <v>0</v>
      </c>
      <c r="KA153" s="24">
        <v>0</v>
      </c>
      <c r="KB153" s="24">
        <v>0</v>
      </c>
      <c r="KC153" s="24">
        <v>0</v>
      </c>
      <c r="KD153" s="24">
        <v>0</v>
      </c>
      <c r="KE153" s="24">
        <v>0</v>
      </c>
      <c r="KF153" s="24">
        <v>0</v>
      </c>
      <c r="KG153" s="24">
        <v>0</v>
      </c>
      <c r="KH153" s="24">
        <v>0</v>
      </c>
      <c r="KI153" s="24">
        <v>0</v>
      </c>
      <c r="KJ153" s="24">
        <v>0</v>
      </c>
      <c r="KK153" s="24">
        <v>0</v>
      </c>
      <c r="KL153" s="24">
        <v>0</v>
      </c>
      <c r="KM153" s="24">
        <v>0</v>
      </c>
      <c r="KN153" s="24">
        <v>0</v>
      </c>
      <c r="KO153" s="24">
        <v>0</v>
      </c>
      <c r="KP153" s="24">
        <v>0</v>
      </c>
      <c r="KQ153" s="24">
        <v>0</v>
      </c>
      <c r="KR153" s="24">
        <v>0</v>
      </c>
      <c r="KS153" s="24">
        <v>0</v>
      </c>
      <c r="KT153" s="24">
        <v>0</v>
      </c>
      <c r="KU153" s="24">
        <v>0</v>
      </c>
      <c r="KV153" s="24">
        <v>0</v>
      </c>
      <c r="KW153" s="24">
        <v>0</v>
      </c>
      <c r="KX153" s="24">
        <v>0</v>
      </c>
      <c r="KY153" s="24">
        <v>0</v>
      </c>
      <c r="KZ153" s="24">
        <v>0</v>
      </c>
      <c r="LA153" s="24">
        <v>0</v>
      </c>
      <c r="LB153" s="24">
        <v>0</v>
      </c>
      <c r="LC153" s="24">
        <v>0</v>
      </c>
      <c r="LD153" s="24">
        <v>0</v>
      </c>
      <c r="LE153" s="24">
        <v>0</v>
      </c>
      <c r="LF153" s="24">
        <v>0</v>
      </c>
      <c r="LG153" s="24">
        <v>0</v>
      </c>
      <c r="LH153" s="24">
        <v>0</v>
      </c>
      <c r="LI153" s="24">
        <v>0</v>
      </c>
      <c r="LJ153" s="24">
        <v>0</v>
      </c>
      <c r="LK153" s="24">
        <v>0</v>
      </c>
      <c r="LL153" s="24">
        <v>0</v>
      </c>
      <c r="LM153" s="24">
        <v>0</v>
      </c>
      <c r="LN153" s="24">
        <v>0</v>
      </c>
      <c r="LO153" s="24">
        <v>0</v>
      </c>
      <c r="LP153" s="24">
        <v>0</v>
      </c>
      <c r="LQ153" s="24">
        <v>18495</v>
      </c>
      <c r="LR153" s="24">
        <v>0</v>
      </c>
      <c r="LS153" s="24">
        <v>0</v>
      </c>
      <c r="LT153" s="24">
        <v>0</v>
      </c>
      <c r="LU153" s="24">
        <v>0</v>
      </c>
      <c r="LV153" s="24">
        <v>0</v>
      </c>
      <c r="LW153" s="24">
        <v>0</v>
      </c>
      <c r="LX153" s="24">
        <v>0</v>
      </c>
      <c r="LY153" s="24">
        <v>0</v>
      </c>
      <c r="LZ153" s="24">
        <v>0</v>
      </c>
      <c r="MA153" s="24">
        <v>0</v>
      </c>
      <c r="MB153" s="24">
        <v>0</v>
      </c>
      <c r="MC153" s="24">
        <v>0</v>
      </c>
      <c r="MD153" s="24">
        <v>0</v>
      </c>
      <c r="ME153" s="24">
        <v>0</v>
      </c>
      <c r="MF153" s="24">
        <v>0</v>
      </c>
      <c r="MG153" s="24">
        <v>0</v>
      </c>
      <c r="MH153" s="24">
        <v>0</v>
      </c>
      <c r="MI153" s="24">
        <v>0</v>
      </c>
      <c r="MJ153" s="24">
        <v>0</v>
      </c>
      <c r="MK153" s="24">
        <v>0</v>
      </c>
      <c r="ML153" s="24">
        <v>0</v>
      </c>
      <c r="MM153" s="24">
        <v>0</v>
      </c>
      <c r="MN153" s="24">
        <v>0</v>
      </c>
      <c r="MO153" s="24">
        <v>0</v>
      </c>
      <c r="MP153" s="24">
        <v>0</v>
      </c>
      <c r="MQ153" s="24">
        <v>0</v>
      </c>
      <c r="MR153" s="24">
        <v>39184</v>
      </c>
      <c r="MS153" s="24">
        <v>0</v>
      </c>
      <c r="MT153" s="24">
        <v>0</v>
      </c>
      <c r="MU153" s="24">
        <v>0</v>
      </c>
      <c r="MV153" s="24">
        <v>0</v>
      </c>
      <c r="MW153" s="24">
        <v>0</v>
      </c>
      <c r="MX153" s="24">
        <v>0</v>
      </c>
      <c r="MY153" s="24">
        <v>0</v>
      </c>
      <c r="MZ153" s="24">
        <v>0</v>
      </c>
      <c r="NA153" s="24">
        <v>0</v>
      </c>
      <c r="NB153" s="24">
        <v>0</v>
      </c>
      <c r="NC153" s="24">
        <v>0</v>
      </c>
      <c r="ND153" s="24">
        <v>0</v>
      </c>
      <c r="NE153" s="24">
        <v>0</v>
      </c>
      <c r="NF153" s="24">
        <v>0</v>
      </c>
      <c r="NG153" s="24">
        <v>0</v>
      </c>
      <c r="NH153" s="24">
        <v>0</v>
      </c>
      <c r="NI153" s="24">
        <v>0</v>
      </c>
      <c r="NJ153" s="24">
        <v>0</v>
      </c>
      <c r="NK153" s="24">
        <v>0</v>
      </c>
      <c r="NL153" s="24">
        <v>0</v>
      </c>
      <c r="NM153" s="24">
        <v>0</v>
      </c>
      <c r="NN153" s="24">
        <v>0</v>
      </c>
      <c r="NO153" s="24">
        <v>0</v>
      </c>
      <c r="NP153" s="24">
        <v>0</v>
      </c>
      <c r="NQ153" s="24">
        <v>17488</v>
      </c>
      <c r="NR153" s="24">
        <v>0</v>
      </c>
      <c r="NS153" s="24">
        <v>0</v>
      </c>
      <c r="NT153" s="24">
        <v>0</v>
      </c>
      <c r="NU153" s="24">
        <v>0</v>
      </c>
      <c r="NV153" s="24">
        <v>13637</v>
      </c>
      <c r="NW153" s="24">
        <v>0</v>
      </c>
      <c r="NX153" s="24">
        <v>0</v>
      </c>
      <c r="NY153" s="24">
        <v>0</v>
      </c>
      <c r="NZ153" s="24">
        <v>0</v>
      </c>
      <c r="OA153" s="24">
        <v>0</v>
      </c>
      <c r="OB153" s="24">
        <v>0</v>
      </c>
      <c r="OC153" s="24">
        <v>0</v>
      </c>
      <c r="OD153" s="24">
        <v>0</v>
      </c>
      <c r="OE153" s="24">
        <v>0</v>
      </c>
      <c r="OF153" s="24">
        <v>0</v>
      </c>
      <c r="OG153" s="24">
        <v>0</v>
      </c>
      <c r="OH153" s="24">
        <v>0</v>
      </c>
      <c r="OI153" s="24">
        <v>0</v>
      </c>
      <c r="OJ153" s="24">
        <v>0</v>
      </c>
      <c r="OK153" s="24">
        <v>0</v>
      </c>
      <c r="OL153" s="24">
        <v>0</v>
      </c>
      <c r="OM153" s="24">
        <v>0</v>
      </c>
      <c r="ON153" s="24">
        <v>0</v>
      </c>
      <c r="OO153" s="24">
        <v>0</v>
      </c>
      <c r="OP153" s="24">
        <v>0</v>
      </c>
      <c r="OQ153" s="24">
        <v>0</v>
      </c>
      <c r="OR153" s="24">
        <v>0</v>
      </c>
      <c r="OS153" s="24">
        <v>0</v>
      </c>
      <c r="OT153" s="24">
        <v>0</v>
      </c>
      <c r="OU153" s="24">
        <v>0</v>
      </c>
      <c r="OV153" s="24">
        <v>0</v>
      </c>
      <c r="OW153" s="24">
        <v>0</v>
      </c>
      <c r="OX153" s="24">
        <v>0</v>
      </c>
      <c r="OY153" s="24">
        <v>0</v>
      </c>
      <c r="OZ153" s="24">
        <v>0</v>
      </c>
      <c r="PA153" s="24">
        <v>0</v>
      </c>
      <c r="PB153" s="24">
        <v>0</v>
      </c>
      <c r="PC153" s="24">
        <v>0</v>
      </c>
      <c r="PD153" s="24">
        <v>0</v>
      </c>
      <c r="PE153" s="24">
        <v>0</v>
      </c>
      <c r="PF153" s="24">
        <v>0</v>
      </c>
      <c r="PG153" s="24">
        <v>0</v>
      </c>
      <c r="PH153" s="24">
        <v>0</v>
      </c>
      <c r="PI153" s="24">
        <v>0</v>
      </c>
      <c r="PJ153" s="24">
        <v>0</v>
      </c>
      <c r="PK153" s="24">
        <v>0</v>
      </c>
      <c r="PL153" s="24">
        <v>0</v>
      </c>
      <c r="PM153" s="24">
        <v>0</v>
      </c>
      <c r="PN153" s="24">
        <v>0</v>
      </c>
      <c r="PO153" s="24">
        <v>0</v>
      </c>
      <c r="PP153" s="24">
        <v>0</v>
      </c>
      <c r="PQ153" s="24">
        <v>0</v>
      </c>
      <c r="PR153" s="24">
        <v>0</v>
      </c>
      <c r="PS153" s="24">
        <v>0</v>
      </c>
      <c r="PT153" s="24">
        <v>0</v>
      </c>
      <c r="PU153" s="24">
        <v>0</v>
      </c>
      <c r="PV153" s="24">
        <v>0</v>
      </c>
      <c r="PW153" s="24">
        <v>0</v>
      </c>
      <c r="PX153" s="24">
        <v>0</v>
      </c>
      <c r="PY153" s="24">
        <v>0</v>
      </c>
      <c r="PZ153" s="24">
        <v>0</v>
      </c>
      <c r="QA153" s="24">
        <v>0</v>
      </c>
      <c r="QB153" s="24">
        <v>0</v>
      </c>
      <c r="QC153" s="24">
        <v>0</v>
      </c>
      <c r="QD153" s="24">
        <v>0</v>
      </c>
      <c r="QE153" s="24">
        <v>0</v>
      </c>
      <c r="QF153" s="24">
        <v>0</v>
      </c>
      <c r="QG153" s="24">
        <v>0</v>
      </c>
      <c r="QH153" s="24">
        <v>0</v>
      </c>
      <c r="QI153" s="24">
        <v>0</v>
      </c>
      <c r="QJ153" s="24">
        <v>0</v>
      </c>
      <c r="QK153" s="24">
        <v>0</v>
      </c>
      <c r="QL153" s="24">
        <v>0</v>
      </c>
      <c r="QM153" s="24">
        <v>0</v>
      </c>
      <c r="QN153" s="24">
        <v>0</v>
      </c>
      <c r="QO153" s="24">
        <v>0</v>
      </c>
      <c r="QP153" s="24">
        <v>0</v>
      </c>
      <c r="QQ153" s="24">
        <v>0</v>
      </c>
      <c r="QR153" s="24">
        <v>0</v>
      </c>
      <c r="QS153" s="24">
        <v>0</v>
      </c>
      <c r="QT153" s="24">
        <v>0</v>
      </c>
      <c r="QU153" s="24">
        <v>0</v>
      </c>
      <c r="QV153" s="24">
        <v>0</v>
      </c>
      <c r="QW153" s="24">
        <v>0</v>
      </c>
      <c r="QX153" s="24">
        <v>0</v>
      </c>
      <c r="QY153" s="24">
        <v>0</v>
      </c>
      <c r="QZ153" s="24">
        <v>0</v>
      </c>
      <c r="RA153" s="24">
        <v>0</v>
      </c>
      <c r="RB153" s="24">
        <v>0</v>
      </c>
      <c r="RC153" s="913">
        <v>2</v>
      </c>
      <c r="RG153" s="39">
        <f t="shared" si="248"/>
        <v>1134647</v>
      </c>
      <c r="RH153" s="39">
        <f t="shared" si="248"/>
        <v>0</v>
      </c>
      <c r="RI153" s="39">
        <f t="shared" si="248"/>
        <v>0</v>
      </c>
      <c r="RJ153" s="39">
        <f t="shared" si="248"/>
        <v>0</v>
      </c>
      <c r="RK153" s="39">
        <f t="shared" si="248"/>
        <v>0</v>
      </c>
      <c r="RL153" s="39">
        <f t="shared" si="248"/>
        <v>105536</v>
      </c>
      <c r="RM153" s="39">
        <f t="shared" si="248"/>
        <v>190931</v>
      </c>
      <c r="RN153" s="39">
        <f t="shared" si="248"/>
        <v>0</v>
      </c>
      <c r="RO153" s="39">
        <f t="shared" si="248"/>
        <v>0</v>
      </c>
      <c r="RP153" s="39">
        <f t="shared" si="248"/>
        <v>0</v>
      </c>
      <c r="RQ153" s="39">
        <f t="shared" si="248"/>
        <v>0</v>
      </c>
      <c r="RR153" s="39">
        <f t="shared" si="325"/>
        <v>0</v>
      </c>
      <c r="RS153" s="39"/>
      <c r="RT153" s="182"/>
      <c r="RU153" s="39"/>
      <c r="RV153" s="39">
        <f t="shared" si="302"/>
        <v>88804</v>
      </c>
      <c r="RW153" s="39">
        <f t="shared" si="302"/>
        <v>1431114</v>
      </c>
      <c r="RX153" s="39">
        <f t="shared" si="302"/>
        <v>144939</v>
      </c>
      <c r="RY153" s="39">
        <f t="shared" si="302"/>
        <v>0</v>
      </c>
      <c r="RZ153" s="39"/>
      <c r="SA153" s="182"/>
      <c r="SB153" s="39"/>
      <c r="SC153" s="25">
        <f t="shared" si="303"/>
        <v>614.14830508474574</v>
      </c>
      <c r="SD153" s="39">
        <f>IFERROR(VLOOKUP(A153, 'Levy Data 15-16'!$B:$O, 3, FALSE), 0)</f>
        <v>0</v>
      </c>
      <c r="SE153" s="39">
        <f t="shared" si="265"/>
        <v>0</v>
      </c>
      <c r="SF153" s="631">
        <f>IFERROR(VLOOKUP(A153, 'Levy Data 15-16'!$B:$O, 14, FALSE), 0)*1000</f>
        <v>0</v>
      </c>
      <c r="SG153" s="39">
        <f t="shared" si="266"/>
        <v>0</v>
      </c>
      <c r="SH153" s="39">
        <f t="shared" si="267"/>
        <v>0</v>
      </c>
      <c r="SI153" s="39">
        <f t="shared" si="268"/>
        <v>144939</v>
      </c>
      <c r="SM153" s="39">
        <f t="shared" si="269"/>
        <v>1431114</v>
      </c>
      <c r="SN153" s="39">
        <f t="shared" si="270"/>
        <v>0</v>
      </c>
      <c r="SO153" s="39">
        <f t="shared" si="304"/>
        <v>1431114</v>
      </c>
      <c r="SP153" s="50">
        <f t="shared" si="250"/>
        <v>1</v>
      </c>
      <c r="ST153" s="124">
        <f>IFERROR(VLOOKUP(A153,'Grade Enroll 15-16'!B:AC,27,FALSE),"")</f>
        <v>236</v>
      </c>
      <c r="SU153" s="124">
        <f t="shared" si="264"/>
        <v>67.428571428571431</v>
      </c>
      <c r="SV153" s="131">
        <f>IFERROR(VLOOKUP($A153, 'Title I Enroll 16-17'!S:V, 4, FALSE), 0)</f>
        <v>0.2857142857142857</v>
      </c>
      <c r="SW153" s="729">
        <f>IFERROR(VLOOKUP(A153, 'ELL Enroll 15-16'!$N:$S, 6, FALSE), 0)</f>
        <v>5</v>
      </c>
      <c r="SX153" s="131">
        <f t="shared" si="251"/>
        <v>2.1186440677966101E-2</v>
      </c>
      <c r="SY153" s="124">
        <f>IFERROR(VLOOKUP(A153, 'SPED enroll 2015-16'!$M:$O, 3, FALSE), 0)</f>
        <v>12</v>
      </c>
      <c r="SZ153" s="131">
        <f t="shared" si="252"/>
        <v>5.0847457627118647E-2</v>
      </c>
      <c r="TA153" s="142">
        <f t="shared" si="253"/>
        <v>8.3999999999999986</v>
      </c>
      <c r="TB153" s="142">
        <f t="shared" si="253"/>
        <v>2.4000000000000004</v>
      </c>
      <c r="TC153" s="142">
        <f t="shared" si="253"/>
        <v>0.84000000000000008</v>
      </c>
      <c r="TD153" s="142">
        <f t="shared" si="253"/>
        <v>0.36</v>
      </c>
      <c r="TE153" s="124">
        <f>VLOOKUP($A153, 'Grade Enroll 15-16'!$B:$AB, 20, FALSE)</f>
        <v>0</v>
      </c>
      <c r="TF153" s="124">
        <f>VLOOKUP($A153, 'Grade Enroll 15-16'!$B:$AB, 21, FALSE)</f>
        <v>24</v>
      </c>
      <c r="TG153" s="124">
        <f>VLOOKUP($A153, 'Grade Enroll 15-16'!$B:$AB, 22, FALSE)</f>
        <v>77</v>
      </c>
      <c r="TH153" s="124">
        <f>VLOOKUP($A153, 'Grade Enroll 15-16'!$B:$AB, 23, FALSE)</f>
        <v>85</v>
      </c>
      <c r="TI153" s="124">
        <f>VLOOKUP($A153, 'Grade Enroll 15-16'!$B:$AB, 24, FALSE)</f>
        <v>51</v>
      </c>
      <c r="TJ153" s="124">
        <f>VLOOKUP($A153, 'Grade Enroll 15-16'!$B:$AB, 25, FALSE)</f>
        <v>23</v>
      </c>
      <c r="TK153" s="124">
        <f>VLOOKUP($A153, 'Grade Enroll 15-16'!$B:$AB, 26, FALSE)</f>
        <v>185</v>
      </c>
      <c r="TL153" s="131">
        <f>SUMIFS('Student Achievement 15-16'!N:N, 'Student Achievement 15-16'!B:B, 'Idaho Data'!A153, 'Student Achievement 15-16'!D:D, "math")/100</f>
        <v>0.20600000000000002</v>
      </c>
      <c r="TM153" s="134">
        <f t="shared" si="305"/>
        <v>48.616000000000007</v>
      </c>
      <c r="TN153" s="131">
        <f>SUMIFS('Student Achievement 15-16'!N:N, 'Student Achievement 15-16'!B:B, 'Idaho Data'!A153, 'Student Achievement 15-16'!D:D, "ela")/100</f>
        <v>0.15</v>
      </c>
      <c r="TO153" s="134">
        <f t="shared" si="254"/>
        <v>35.4</v>
      </c>
      <c r="TP153" s="688">
        <f>IFERROR(VLOOKUP(A153, 'G&amp;T 15-16'!B:G, 6, FALSE), 0)*1</f>
        <v>0</v>
      </c>
      <c r="TQ153" s="168">
        <f t="shared" si="255"/>
        <v>14.16</v>
      </c>
      <c r="TU153" s="168">
        <f t="shared" si="256"/>
        <v>35.4</v>
      </c>
      <c r="TV153" s="168">
        <f t="shared" si="257"/>
        <v>48.616000000000007</v>
      </c>
      <c r="TW153" s="205">
        <f t="shared" si="258"/>
        <v>48.616000000000007</v>
      </c>
      <c r="TX153" s="144"/>
      <c r="TY153" s="129"/>
      <c r="TZ153" s="127">
        <f t="shared" si="259"/>
        <v>0</v>
      </c>
      <c r="UA153" s="127">
        <f t="shared" si="260"/>
        <v>14.16</v>
      </c>
      <c r="UB153" s="205">
        <f t="shared" si="261"/>
        <v>14.16</v>
      </c>
      <c r="UE153" s="853" t="str">
        <f>IF(ST153&lt;='1. Simulator Input'!$E$104, "yes", "")</f>
        <v>yes</v>
      </c>
      <c r="UI153" s="199">
        <f t="shared" si="306"/>
        <v>0</v>
      </c>
      <c r="UJ153" s="200">
        <f>IF('Idaho Data'!SI153&gt;=0, ((1-'1. Simulator Input'!$E$39)*'Idaho Data'!SI153), 0)</f>
        <v>0</v>
      </c>
      <c r="UK153" s="200">
        <f t="shared" si="262"/>
        <v>1431114</v>
      </c>
      <c r="UL153" s="39"/>
      <c r="UM153" s="182"/>
      <c r="UN153" s="39"/>
      <c r="UO153" s="39">
        <f>IF(AND('1. Simulator Input'!$E$96="yes", '1. Simulator Input'!$E$98="yes", '1. Simulator Input'!$E$100="hold harmless"), 'Idaho Data'!WN153, IF(AND('1. Simulator Input'!$E$96="yes", '1. Simulator Input'!$E$98="no", '1. Simulator Input'!$E$100="hold harmless"), 'Idaho Data'!WM153, IF(AND('1. Simulator Input'!$E$96="yes", '1. Simulator Input'!$E$98="yes", '1. Simulator Input'!$E$100="small district grant"), WL153,IF(AND('1. Simulator Input'!$E$96="yes", '1. Simulator Input'!$E$98="no", '1. Simulator Input'!$E$100="small district grant"), WK153, ""))))</f>
        <v>0</v>
      </c>
      <c r="UP153" s="200">
        <f>'1. Simulator Input'!$D$56*('Idaho Data'!ST153)</f>
        <v>1304136</v>
      </c>
      <c r="UQ153" s="204">
        <f>'1. Simulator Input'!$D$65*'1. Simulator Input'!$D$56*'Idaho Data'!SU153</f>
        <v>0</v>
      </c>
      <c r="UR153" s="204">
        <f>'1. Simulator Input'!$D$66*'1. Simulator Input'!$D$56*'Idaho Data'!SW153</f>
        <v>0</v>
      </c>
      <c r="US153" s="200">
        <f>'1. Simulator Input'!$D$67*'1. Simulator Input'!$D$56*'Idaho Data'!TA153</f>
        <v>0</v>
      </c>
      <c r="UT153" s="200">
        <f>'1. Simulator Input'!$D$68*'1. Simulator Input'!$D$56*'Idaho Data'!TB153</f>
        <v>0</v>
      </c>
      <c r="UU153" s="200">
        <f>'1. Simulator Input'!$D$69*'1. Simulator Input'!$D$56*'Idaho Data'!TC153</f>
        <v>0</v>
      </c>
      <c r="UV153" s="200">
        <f>'1. Simulator Input'!$D$70*'1. Simulator Input'!$D$56*TD153</f>
        <v>0</v>
      </c>
      <c r="UW153" s="200">
        <f>'1. Simulator Input'!$D$80*'1. Simulator Input'!$D$56*TW153</f>
        <v>0</v>
      </c>
      <c r="UX153" s="200">
        <f>'1. Simulator Input'!$D$79*'1. Simulator Input'!$D$56*UB153</f>
        <v>0</v>
      </c>
      <c r="UY153" s="200">
        <f>'1. Simulator Input'!$D$87*'1. Simulator Input'!$D$56*TF153</f>
        <v>66312</v>
      </c>
      <c r="UZ153" s="200">
        <f>'1. Simulator Input'!$D$73*'1. Simulator Input'!$D$56*'Idaho Data'!TG153</f>
        <v>0</v>
      </c>
      <c r="VA153" s="200">
        <f>'1. Simulator Input'!$D$56*'1. Simulator Input'!$D$74*'Idaho Data'!TH153</f>
        <v>0</v>
      </c>
      <c r="VB153" s="200">
        <f>'1. Simulator Input'!$D$56*'1. Simulator Input'!$D$75*'Idaho Data'!TI148</f>
        <v>0</v>
      </c>
      <c r="VC153" s="200">
        <f>'1. Simulator Input'!$D$76*'1. Simulator Input'!$D$56*'Idaho Data'!TJ153</f>
        <v>0</v>
      </c>
      <c r="VD153" s="200">
        <f t="shared" si="307"/>
        <v>1370448</v>
      </c>
      <c r="VE153" s="200"/>
      <c r="VF153" s="182"/>
      <c r="VG153" s="200"/>
      <c r="VH153" s="200">
        <f t="shared" si="308"/>
        <v>0</v>
      </c>
      <c r="VI153" s="200">
        <f t="shared" si="309"/>
        <v>0</v>
      </c>
      <c r="VJ153" s="200">
        <f t="shared" si="271"/>
        <v>1370448</v>
      </c>
      <c r="VK153" s="200">
        <f t="shared" si="272"/>
        <v>1370448</v>
      </c>
      <c r="VL153" s="200"/>
      <c r="VM153" s="182"/>
      <c r="VN153" s="200"/>
      <c r="VO153" s="200">
        <f t="shared" si="310"/>
        <v>88804</v>
      </c>
      <c r="VP153" s="200">
        <f t="shared" si="311"/>
        <v>1431114</v>
      </c>
      <c r="VQ153" s="200">
        <f t="shared" si="312"/>
        <v>144939</v>
      </c>
      <c r="VR153" s="200">
        <f t="shared" si="313"/>
        <v>88804</v>
      </c>
      <c r="VS153" s="200">
        <f t="shared" si="273"/>
        <v>1370448</v>
      </c>
      <c r="VT153" s="200">
        <f t="shared" si="274"/>
        <v>144939</v>
      </c>
      <c r="VU153" s="200">
        <f t="shared" si="275"/>
        <v>0</v>
      </c>
      <c r="VV153" s="200"/>
      <c r="VW153" s="182"/>
      <c r="VX153" s="200"/>
      <c r="VZ153" s="199">
        <f t="shared" si="314"/>
        <v>-60666</v>
      </c>
      <c r="WA153" s="199">
        <f t="shared" si="315"/>
        <v>-257.0593220338983</v>
      </c>
      <c r="WB153" s="131">
        <f t="shared" si="316"/>
        <v>-4.2390752937921085E-2</v>
      </c>
      <c r="WC153" s="131"/>
      <c r="WD153" s="461"/>
      <c r="WE153" s="893"/>
      <c r="WF153" s="893">
        <f t="shared" si="317"/>
        <v>7054.4788135593217</v>
      </c>
      <c r="WG153" s="893">
        <f t="shared" si="318"/>
        <v>6797.4194915254238</v>
      </c>
      <c r="WH153" s="893"/>
      <c r="WI153" s="893">
        <f t="shared" si="319"/>
        <v>1431114</v>
      </c>
      <c r="WJ153" s="893">
        <f t="shared" si="276"/>
        <v>1370448</v>
      </c>
      <c r="WK153" s="39">
        <f t="shared" si="277"/>
        <v>0</v>
      </c>
      <c r="WL153" s="39">
        <f t="shared" si="278"/>
        <v>0</v>
      </c>
      <c r="WM153" s="200">
        <f t="shared" si="279"/>
        <v>60666</v>
      </c>
      <c r="WN153" s="39">
        <f t="shared" si="280"/>
        <v>60666</v>
      </c>
      <c r="WO153" s="39"/>
      <c r="WP153" s="182"/>
      <c r="WQ153" s="39"/>
      <c r="WR153" s="305"/>
      <c r="WT153" s="200">
        <f t="shared" si="281"/>
        <v>6064.0423728813557</v>
      </c>
      <c r="WU153" s="131">
        <f t="shared" si="320"/>
        <v>0.39</v>
      </c>
      <c r="WW153" s="199">
        <f t="shared" si="282"/>
        <v>88804</v>
      </c>
      <c r="WX153" s="199">
        <f t="shared" si="283"/>
        <v>1370448</v>
      </c>
      <c r="WY153" s="199">
        <f t="shared" si="284"/>
        <v>0</v>
      </c>
      <c r="WZ153" s="199">
        <f t="shared" si="321"/>
        <v>1370448</v>
      </c>
      <c r="XA153" s="199">
        <f t="shared" si="285"/>
        <v>0</v>
      </c>
      <c r="XB153" s="199">
        <f t="shared" si="286"/>
        <v>144939</v>
      </c>
      <c r="XC153" s="199">
        <f t="shared" si="287"/>
        <v>144939</v>
      </c>
      <c r="XD153" s="199" t="str">
        <f t="shared" si="288"/>
        <v/>
      </c>
      <c r="XE153" s="199"/>
      <c r="XF153" s="199"/>
      <c r="XG153" s="199"/>
      <c r="XH153" s="199"/>
      <c r="XI153" s="199"/>
      <c r="XJ153" s="199">
        <f t="shared" si="322"/>
        <v>1370448</v>
      </c>
      <c r="XP153" s="199">
        <f t="shared" si="289"/>
        <v>1370448</v>
      </c>
      <c r="XQ153" s="199">
        <f t="shared" si="290"/>
        <v>5806.9830508474579</v>
      </c>
      <c r="XR153" s="199">
        <f t="shared" si="291"/>
        <v>1370448</v>
      </c>
      <c r="XS153" s="199">
        <f t="shared" si="292"/>
        <v>1370448</v>
      </c>
      <c r="XT153" s="199">
        <f t="shared" si="293"/>
        <v>5806.9830508474579</v>
      </c>
      <c r="XU153" s="199">
        <f t="shared" si="294"/>
        <v>1431114</v>
      </c>
      <c r="XV153" s="199">
        <f t="shared" si="295"/>
        <v>6064.0423728813557</v>
      </c>
      <c r="XW153" s="199">
        <f t="shared" si="296"/>
        <v>1431114</v>
      </c>
      <c r="XX153" s="199">
        <f t="shared" si="297"/>
        <v>6064.0423728813557</v>
      </c>
      <c r="XY153" s="199">
        <f t="shared" si="323"/>
        <v>-60666</v>
      </c>
      <c r="XZ153" s="199">
        <f t="shared" si="324"/>
        <v>-257.05932203389784</v>
      </c>
      <c r="YA153" s="131">
        <f t="shared" si="263"/>
        <v>-4.2390752937921015E-2</v>
      </c>
      <c r="YB153" s="199"/>
      <c r="YC153" s="221"/>
      <c r="YD153" s="199"/>
      <c r="YE153" s="199">
        <f t="shared" si="298"/>
        <v>88804</v>
      </c>
      <c r="YF153" s="200">
        <f t="shared" si="299"/>
        <v>0</v>
      </c>
      <c r="YG153" s="199">
        <f t="shared" si="300"/>
        <v>144939</v>
      </c>
      <c r="YH153" s="199">
        <f t="shared" si="301"/>
        <v>0</v>
      </c>
    </row>
    <row r="154" spans="1:658">
      <c r="A154" s="3">
        <v>483</v>
      </c>
      <c r="B154" s="2" t="s">
        <v>1175</v>
      </c>
      <c r="C154" s="24">
        <v>0</v>
      </c>
      <c r="D154" s="24">
        <v>0</v>
      </c>
      <c r="E154" s="24">
        <v>0</v>
      </c>
      <c r="F154" s="24">
        <v>0</v>
      </c>
      <c r="G154" s="24">
        <v>0</v>
      </c>
      <c r="H154" s="24">
        <v>0</v>
      </c>
      <c r="I154" s="24">
        <v>0</v>
      </c>
      <c r="J154" s="24">
        <v>0</v>
      </c>
      <c r="K154" s="24">
        <v>0</v>
      </c>
      <c r="L154" s="24">
        <v>0</v>
      </c>
      <c r="M154" s="24">
        <v>0</v>
      </c>
      <c r="N154" s="24">
        <v>0</v>
      </c>
      <c r="O154" s="24">
        <v>0</v>
      </c>
      <c r="P154" s="24">
        <v>0</v>
      </c>
      <c r="Q154" s="24">
        <v>0</v>
      </c>
      <c r="R154" s="24">
        <v>0</v>
      </c>
      <c r="S154" s="24">
        <v>0</v>
      </c>
      <c r="T154" s="24">
        <v>0</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85</v>
      </c>
      <c r="AM154" s="24">
        <v>0</v>
      </c>
      <c r="AN154" s="24">
        <v>0</v>
      </c>
      <c r="AO154" s="24">
        <v>0</v>
      </c>
      <c r="AP154" s="24">
        <v>0</v>
      </c>
      <c r="AQ154" s="24">
        <v>0</v>
      </c>
      <c r="AR154" s="24">
        <v>0</v>
      </c>
      <c r="AS154" s="24">
        <v>0</v>
      </c>
      <c r="AT154" s="24">
        <v>0</v>
      </c>
      <c r="AU154" s="24">
        <v>0</v>
      </c>
      <c r="AV154" s="24">
        <v>0</v>
      </c>
      <c r="AW154" s="24">
        <v>0</v>
      </c>
      <c r="AX154" s="24">
        <v>0</v>
      </c>
      <c r="AY154" s="24">
        <v>0</v>
      </c>
      <c r="AZ154" s="24">
        <v>0</v>
      </c>
      <c r="BA154" s="24">
        <v>249</v>
      </c>
      <c r="BB154" s="24">
        <v>0</v>
      </c>
      <c r="BC154" s="24">
        <v>0</v>
      </c>
      <c r="BD154" s="24">
        <v>0</v>
      </c>
      <c r="BE154" s="24">
        <v>0</v>
      </c>
      <c r="BF154" s="24">
        <v>0</v>
      </c>
      <c r="BG154" s="24">
        <v>0</v>
      </c>
      <c r="BH154" s="24">
        <v>0</v>
      </c>
      <c r="BI154" s="24">
        <v>0</v>
      </c>
      <c r="BJ154" s="24">
        <v>0</v>
      </c>
      <c r="BK154" s="24">
        <v>0</v>
      </c>
      <c r="BL154" s="24">
        <v>0</v>
      </c>
      <c r="BM154" s="24">
        <v>0</v>
      </c>
      <c r="BN154" s="24">
        <v>0</v>
      </c>
      <c r="BO154" s="24">
        <v>0</v>
      </c>
      <c r="BP154" s="24">
        <v>0</v>
      </c>
      <c r="BQ154" s="24">
        <v>0</v>
      </c>
      <c r="BR154" s="24">
        <v>0</v>
      </c>
      <c r="BS154" s="24">
        <v>0</v>
      </c>
      <c r="BT154" s="24">
        <v>0</v>
      </c>
      <c r="BU154" s="24">
        <v>0</v>
      </c>
      <c r="BV154" s="24">
        <v>0</v>
      </c>
      <c r="BW154" s="24">
        <v>0</v>
      </c>
      <c r="BX154" s="24">
        <v>0</v>
      </c>
      <c r="BY154" s="24">
        <v>0</v>
      </c>
      <c r="BZ154" s="24">
        <v>0</v>
      </c>
      <c r="CA154" s="24">
        <v>0</v>
      </c>
      <c r="CB154" s="24">
        <v>0</v>
      </c>
      <c r="CC154" s="24">
        <v>0</v>
      </c>
      <c r="CD154" s="24">
        <v>0</v>
      </c>
      <c r="CE154" s="24">
        <v>0</v>
      </c>
      <c r="CF154" s="24">
        <v>0</v>
      </c>
      <c r="CG154" s="24">
        <v>0</v>
      </c>
      <c r="CH154" s="24">
        <v>0</v>
      </c>
      <c r="CI154" s="24">
        <v>0</v>
      </c>
      <c r="CJ154" s="24">
        <v>0</v>
      </c>
      <c r="CK154" s="24">
        <v>0</v>
      </c>
      <c r="CL154" s="24">
        <v>0</v>
      </c>
      <c r="CM154" s="24">
        <v>0</v>
      </c>
      <c r="CN154" s="24">
        <v>0</v>
      </c>
      <c r="CO154" s="24">
        <v>0</v>
      </c>
      <c r="CP154" s="24">
        <v>0</v>
      </c>
      <c r="CQ154" s="24">
        <v>0</v>
      </c>
      <c r="CR154" s="24">
        <v>0</v>
      </c>
      <c r="CS154" s="24">
        <v>0</v>
      </c>
      <c r="CT154" s="24">
        <v>0</v>
      </c>
      <c r="CU154" s="24">
        <v>0</v>
      </c>
      <c r="CV154" s="24">
        <v>0</v>
      </c>
      <c r="CW154" s="24">
        <v>0</v>
      </c>
      <c r="CX154" s="24">
        <v>0</v>
      </c>
      <c r="CY154" s="24">
        <v>0</v>
      </c>
      <c r="CZ154" s="24">
        <v>0</v>
      </c>
      <c r="DA154" s="24">
        <v>0</v>
      </c>
      <c r="DB154" s="24">
        <v>0</v>
      </c>
      <c r="DC154" s="24">
        <v>0</v>
      </c>
      <c r="DD154" s="24">
        <v>0</v>
      </c>
      <c r="DE154" s="24">
        <v>0</v>
      </c>
      <c r="DF154" s="24">
        <v>0</v>
      </c>
      <c r="DG154" s="24">
        <v>0</v>
      </c>
      <c r="DH154" s="24">
        <v>0</v>
      </c>
      <c r="DI154" s="24">
        <v>0</v>
      </c>
      <c r="DJ154" s="24">
        <v>0</v>
      </c>
      <c r="DK154" s="24">
        <v>0</v>
      </c>
      <c r="DL154" s="24">
        <v>0</v>
      </c>
      <c r="DM154" s="24">
        <v>0</v>
      </c>
      <c r="DN154" s="24">
        <v>0</v>
      </c>
      <c r="DO154" s="24">
        <v>0</v>
      </c>
      <c r="DP154" s="24">
        <v>0</v>
      </c>
      <c r="DQ154" s="24">
        <v>0</v>
      </c>
      <c r="DR154" s="24">
        <v>0</v>
      </c>
      <c r="DS154" s="24">
        <v>0</v>
      </c>
      <c r="DT154" s="24">
        <v>0</v>
      </c>
      <c r="DU154" s="24">
        <v>0</v>
      </c>
      <c r="DV154" s="24">
        <v>0</v>
      </c>
      <c r="DW154" s="24">
        <v>0</v>
      </c>
      <c r="DX154" s="24">
        <v>0</v>
      </c>
      <c r="DY154" s="24">
        <v>0</v>
      </c>
      <c r="DZ154" s="24">
        <v>0</v>
      </c>
      <c r="EA154" s="24">
        <v>0</v>
      </c>
      <c r="EB154" s="24">
        <v>0</v>
      </c>
      <c r="EC154" s="24">
        <v>0</v>
      </c>
      <c r="ED154" s="24">
        <v>0</v>
      </c>
      <c r="EE154" s="24">
        <v>0</v>
      </c>
      <c r="EF154" s="24">
        <v>0</v>
      </c>
      <c r="EG154" s="24">
        <v>14339</v>
      </c>
      <c r="EH154" s="24">
        <v>0</v>
      </c>
      <c r="EI154" s="24">
        <v>150000</v>
      </c>
      <c r="EJ154" s="24">
        <v>0</v>
      </c>
      <c r="EK154" s="24">
        <v>0</v>
      </c>
      <c r="EL154" s="24">
        <v>0</v>
      </c>
      <c r="EM154" s="24">
        <v>0</v>
      </c>
      <c r="EN154" s="24">
        <v>0</v>
      </c>
      <c r="EO154" s="24">
        <v>0</v>
      </c>
      <c r="EP154" s="24">
        <v>0</v>
      </c>
      <c r="EQ154" s="24">
        <v>0</v>
      </c>
      <c r="ER154" s="24">
        <v>0</v>
      </c>
      <c r="ES154" s="24">
        <v>0</v>
      </c>
      <c r="ET154" s="24">
        <v>0</v>
      </c>
      <c r="EU154" s="24">
        <v>0</v>
      </c>
      <c r="EV154" s="24">
        <v>0</v>
      </c>
      <c r="EW154" s="24">
        <v>0</v>
      </c>
      <c r="EX154" s="24">
        <v>0</v>
      </c>
      <c r="EY154" s="24">
        <v>0</v>
      </c>
      <c r="EZ154" s="24">
        <v>0</v>
      </c>
      <c r="FA154" s="24">
        <v>0</v>
      </c>
      <c r="FB154" s="24">
        <v>0</v>
      </c>
      <c r="FC154" s="24">
        <v>0</v>
      </c>
      <c r="FD154" s="24">
        <v>0</v>
      </c>
      <c r="FE154" s="24">
        <v>0</v>
      </c>
      <c r="FF154" s="24">
        <v>0</v>
      </c>
      <c r="FG154" s="24">
        <v>0</v>
      </c>
      <c r="FH154" s="24">
        <v>0</v>
      </c>
      <c r="FI154" s="24">
        <v>0</v>
      </c>
      <c r="FJ154" s="24">
        <v>0</v>
      </c>
      <c r="FK154" s="24">
        <v>0</v>
      </c>
      <c r="FL154" s="24">
        <v>1907</v>
      </c>
      <c r="FM154" s="24">
        <v>0</v>
      </c>
      <c r="FN154" s="24">
        <v>0</v>
      </c>
      <c r="FO154" s="24">
        <v>0</v>
      </c>
      <c r="FP154" s="24">
        <v>0</v>
      </c>
      <c r="FQ154" s="24">
        <v>0</v>
      </c>
      <c r="FR154" s="24">
        <v>0</v>
      </c>
      <c r="FS154" s="24">
        <v>0</v>
      </c>
      <c r="FT154" s="24">
        <v>0</v>
      </c>
      <c r="FU154" s="24">
        <v>0</v>
      </c>
      <c r="FV154" s="24">
        <v>0</v>
      </c>
      <c r="FW154" s="24">
        <v>0</v>
      </c>
      <c r="FX154" s="24">
        <v>0</v>
      </c>
      <c r="FY154" s="24">
        <v>0</v>
      </c>
      <c r="FZ154" s="24">
        <v>0</v>
      </c>
      <c r="GA154" s="24">
        <v>0</v>
      </c>
      <c r="GB154" s="24">
        <v>0</v>
      </c>
      <c r="GC154" s="24">
        <v>0</v>
      </c>
      <c r="GD154" s="24">
        <v>0</v>
      </c>
      <c r="GE154" s="24">
        <v>0</v>
      </c>
      <c r="GF154" s="24">
        <v>0</v>
      </c>
      <c r="GG154" s="24">
        <v>0</v>
      </c>
      <c r="GH154" s="24">
        <v>0</v>
      </c>
      <c r="GI154" s="24">
        <v>0</v>
      </c>
      <c r="GJ154" s="24">
        <v>0</v>
      </c>
      <c r="GK154" s="24">
        <v>0</v>
      </c>
      <c r="GL154" s="24">
        <v>0</v>
      </c>
      <c r="GM154" s="24">
        <v>0</v>
      </c>
      <c r="GN154" s="24">
        <v>0</v>
      </c>
      <c r="GO154" s="24">
        <v>0</v>
      </c>
      <c r="GP154" s="24">
        <v>0</v>
      </c>
      <c r="GQ154" s="24">
        <v>0</v>
      </c>
      <c r="GR154" s="24">
        <v>0</v>
      </c>
      <c r="GS154" s="24">
        <v>0</v>
      </c>
      <c r="GT154" s="24">
        <v>0</v>
      </c>
      <c r="GU154" s="24">
        <v>0</v>
      </c>
      <c r="GV154" s="24">
        <v>0</v>
      </c>
      <c r="GW154" s="24">
        <v>0</v>
      </c>
      <c r="GX154" s="24">
        <v>0</v>
      </c>
      <c r="GY154" s="24">
        <v>0</v>
      </c>
      <c r="GZ154" s="24">
        <v>0</v>
      </c>
      <c r="HA154" s="24">
        <v>0</v>
      </c>
      <c r="HB154" s="24">
        <v>0</v>
      </c>
      <c r="HC154" s="24">
        <v>0</v>
      </c>
      <c r="HD154" s="24">
        <v>456102</v>
      </c>
      <c r="HE154" s="24">
        <v>0</v>
      </c>
      <c r="HF154" s="24">
        <v>0</v>
      </c>
      <c r="HG154" s="24">
        <v>0</v>
      </c>
      <c r="HH154" s="24">
        <v>0</v>
      </c>
      <c r="HI154" s="24">
        <v>92796</v>
      </c>
      <c r="HJ154" s="24">
        <v>0</v>
      </c>
      <c r="HK154" s="24">
        <v>0</v>
      </c>
      <c r="HL154" s="24">
        <v>0</v>
      </c>
      <c r="HM154" s="24">
        <v>0</v>
      </c>
      <c r="HN154" s="24">
        <v>0</v>
      </c>
      <c r="HO154" s="24">
        <v>60941</v>
      </c>
      <c r="HP154" s="24">
        <v>58335</v>
      </c>
      <c r="HQ154" s="24">
        <v>0</v>
      </c>
      <c r="HR154" s="24">
        <v>0</v>
      </c>
      <c r="HS154" s="24">
        <v>0</v>
      </c>
      <c r="HT154" s="24">
        <v>0</v>
      </c>
      <c r="HU154" s="24">
        <v>0</v>
      </c>
      <c r="HV154" s="24">
        <v>0</v>
      </c>
      <c r="HW154" s="24">
        <v>0</v>
      </c>
      <c r="HX154" s="24">
        <v>0</v>
      </c>
      <c r="HY154" s="24">
        <v>0</v>
      </c>
      <c r="HZ154" s="24">
        <v>0</v>
      </c>
      <c r="IA154" s="24">
        <v>10448</v>
      </c>
      <c r="IB154" s="24">
        <v>0</v>
      </c>
      <c r="IC154" s="24">
        <v>0</v>
      </c>
      <c r="ID154" s="24">
        <v>0</v>
      </c>
      <c r="IE154" s="24">
        <v>0</v>
      </c>
      <c r="IF154" s="24">
        <v>0</v>
      </c>
      <c r="IG154" s="24">
        <v>0</v>
      </c>
      <c r="IH154" s="24">
        <v>0</v>
      </c>
      <c r="II154" s="24">
        <v>0</v>
      </c>
      <c r="IJ154" s="24">
        <v>0</v>
      </c>
      <c r="IK154" s="24">
        <v>0</v>
      </c>
      <c r="IL154" s="24">
        <v>0</v>
      </c>
      <c r="IM154" s="24">
        <v>0</v>
      </c>
      <c r="IN154" s="24">
        <v>0</v>
      </c>
      <c r="IO154" s="24">
        <v>0</v>
      </c>
      <c r="IP154" s="24">
        <v>0</v>
      </c>
      <c r="IQ154" s="24">
        <v>0</v>
      </c>
      <c r="IR154" s="24">
        <v>0</v>
      </c>
      <c r="IS154" s="24">
        <v>0</v>
      </c>
      <c r="IT154" s="24">
        <v>0</v>
      </c>
      <c r="IU154" s="24">
        <v>0</v>
      </c>
      <c r="IV154" s="24">
        <v>0</v>
      </c>
      <c r="IW154" s="24">
        <v>5542</v>
      </c>
      <c r="IX154" s="24">
        <v>0</v>
      </c>
      <c r="IY154" s="24">
        <v>0</v>
      </c>
      <c r="IZ154" s="24">
        <v>0</v>
      </c>
      <c r="JA154" s="24">
        <v>0</v>
      </c>
      <c r="JB154" s="24">
        <v>0</v>
      </c>
      <c r="JC154" s="24">
        <v>0</v>
      </c>
      <c r="JD154" s="24">
        <v>0</v>
      </c>
      <c r="JE154" s="24">
        <v>0</v>
      </c>
      <c r="JF154" s="24">
        <v>0</v>
      </c>
      <c r="JG154" s="24">
        <v>0</v>
      </c>
      <c r="JH154" s="24">
        <v>0</v>
      </c>
      <c r="JI154" s="24">
        <v>0</v>
      </c>
      <c r="JJ154" s="24">
        <v>0</v>
      </c>
      <c r="JK154" s="24">
        <v>45368</v>
      </c>
      <c r="JL154" s="24">
        <v>0</v>
      </c>
      <c r="JM154" s="24">
        <v>0</v>
      </c>
      <c r="JN154" s="24">
        <v>0</v>
      </c>
      <c r="JO154" s="24">
        <v>0</v>
      </c>
      <c r="JP154" s="24">
        <v>0</v>
      </c>
      <c r="JQ154" s="24">
        <v>0</v>
      </c>
      <c r="JR154" s="24">
        <v>0</v>
      </c>
      <c r="JS154" s="24">
        <v>0</v>
      </c>
      <c r="JT154" s="24">
        <v>0</v>
      </c>
      <c r="JU154" s="24">
        <v>0</v>
      </c>
      <c r="JV154" s="24">
        <v>0</v>
      </c>
      <c r="JW154" s="24">
        <v>0</v>
      </c>
      <c r="JX154" s="24">
        <v>0</v>
      </c>
      <c r="JY154" s="24">
        <v>0</v>
      </c>
      <c r="JZ154" s="24">
        <v>0</v>
      </c>
      <c r="KA154" s="24">
        <v>0</v>
      </c>
      <c r="KB154" s="24">
        <v>0</v>
      </c>
      <c r="KC154" s="24">
        <v>0</v>
      </c>
      <c r="KD154" s="24">
        <v>0</v>
      </c>
      <c r="KE154" s="24">
        <v>0</v>
      </c>
      <c r="KF154" s="24">
        <v>0</v>
      </c>
      <c r="KG154" s="24">
        <v>0</v>
      </c>
      <c r="KH154" s="24">
        <v>0</v>
      </c>
      <c r="KI154" s="24">
        <v>0</v>
      </c>
      <c r="KJ154" s="24">
        <v>0</v>
      </c>
      <c r="KK154" s="24">
        <v>0</v>
      </c>
      <c r="KL154" s="24">
        <v>0</v>
      </c>
      <c r="KM154" s="24">
        <v>0</v>
      </c>
      <c r="KN154" s="24">
        <v>0</v>
      </c>
      <c r="KO154" s="24">
        <v>0</v>
      </c>
      <c r="KP154" s="24">
        <v>0</v>
      </c>
      <c r="KQ154" s="24">
        <v>0</v>
      </c>
      <c r="KR154" s="24">
        <v>0</v>
      </c>
      <c r="KS154" s="24">
        <v>0</v>
      </c>
      <c r="KT154" s="24">
        <v>0</v>
      </c>
      <c r="KU154" s="24">
        <v>0</v>
      </c>
      <c r="KV154" s="24">
        <v>0</v>
      </c>
      <c r="KW154" s="24">
        <v>0</v>
      </c>
      <c r="KX154" s="24">
        <v>0</v>
      </c>
      <c r="KY154" s="24">
        <v>0</v>
      </c>
      <c r="KZ154" s="24">
        <v>0</v>
      </c>
      <c r="LA154" s="24">
        <v>0</v>
      </c>
      <c r="LB154" s="24">
        <v>142227</v>
      </c>
      <c r="LC154" s="24">
        <v>179510</v>
      </c>
      <c r="LD154" s="24">
        <v>17952</v>
      </c>
      <c r="LE154" s="24">
        <v>0</v>
      </c>
      <c r="LF154" s="24">
        <v>4624</v>
      </c>
      <c r="LG154" s="24">
        <v>0</v>
      </c>
      <c r="LH154" s="24">
        <v>0</v>
      </c>
      <c r="LI154" s="24">
        <v>0</v>
      </c>
      <c r="LJ154" s="24">
        <v>0</v>
      </c>
      <c r="LK154" s="24">
        <v>0</v>
      </c>
      <c r="LL154" s="24">
        <v>0</v>
      </c>
      <c r="LM154" s="24">
        <v>0</v>
      </c>
      <c r="LN154" s="24">
        <v>0</v>
      </c>
      <c r="LO154" s="24">
        <v>0</v>
      </c>
      <c r="LP154" s="24">
        <v>0</v>
      </c>
      <c r="LQ154" s="24">
        <v>28083</v>
      </c>
      <c r="LR154" s="24">
        <v>0</v>
      </c>
      <c r="LS154" s="24">
        <v>0</v>
      </c>
      <c r="LT154" s="24">
        <v>0</v>
      </c>
      <c r="LU154" s="24">
        <v>0</v>
      </c>
      <c r="LV154" s="24">
        <v>0</v>
      </c>
      <c r="LW154" s="24">
        <v>0</v>
      </c>
      <c r="LX154" s="24">
        <v>0</v>
      </c>
      <c r="LY154" s="24">
        <v>0</v>
      </c>
      <c r="LZ154" s="24">
        <v>0</v>
      </c>
      <c r="MA154" s="24">
        <v>0</v>
      </c>
      <c r="MB154" s="24">
        <v>0</v>
      </c>
      <c r="MC154" s="24">
        <v>0</v>
      </c>
      <c r="MD154" s="24">
        <v>0</v>
      </c>
      <c r="ME154" s="24">
        <v>0</v>
      </c>
      <c r="MF154" s="24">
        <v>0</v>
      </c>
      <c r="MG154" s="24">
        <v>0</v>
      </c>
      <c r="MH154" s="24">
        <v>0</v>
      </c>
      <c r="MI154" s="24">
        <v>0</v>
      </c>
      <c r="MJ154" s="24">
        <v>0</v>
      </c>
      <c r="MK154" s="24">
        <v>0</v>
      </c>
      <c r="ML154" s="24">
        <v>0</v>
      </c>
      <c r="MM154" s="24">
        <v>0</v>
      </c>
      <c r="MN154" s="24">
        <v>0</v>
      </c>
      <c r="MO154" s="24">
        <v>0</v>
      </c>
      <c r="MP154" s="24">
        <v>0</v>
      </c>
      <c r="MQ154" s="24">
        <v>0</v>
      </c>
      <c r="MR154" s="24">
        <v>0</v>
      </c>
      <c r="MS154" s="24">
        <v>0</v>
      </c>
      <c r="MT154" s="24">
        <v>0</v>
      </c>
      <c r="MU154" s="24">
        <v>0</v>
      </c>
      <c r="MV154" s="24">
        <v>0</v>
      </c>
      <c r="MW154" s="24">
        <v>21014</v>
      </c>
      <c r="MX154" s="24">
        <v>0</v>
      </c>
      <c r="MY154" s="24">
        <v>0</v>
      </c>
      <c r="MZ154" s="24">
        <v>0</v>
      </c>
      <c r="NA154" s="24">
        <v>0</v>
      </c>
      <c r="NB154" s="24">
        <v>0</v>
      </c>
      <c r="NC154" s="24">
        <v>0</v>
      </c>
      <c r="ND154" s="24">
        <v>0</v>
      </c>
      <c r="NE154" s="24">
        <v>0</v>
      </c>
      <c r="NF154" s="24">
        <v>0</v>
      </c>
      <c r="NG154" s="24">
        <v>0</v>
      </c>
      <c r="NH154" s="24">
        <v>0</v>
      </c>
      <c r="NI154" s="24">
        <v>0</v>
      </c>
      <c r="NJ154" s="24">
        <v>0</v>
      </c>
      <c r="NK154" s="24">
        <v>3166</v>
      </c>
      <c r="NL154" s="24">
        <v>0</v>
      </c>
      <c r="NM154" s="24">
        <v>0</v>
      </c>
      <c r="NN154" s="24">
        <v>0</v>
      </c>
      <c r="NO154" s="24">
        <v>0</v>
      </c>
      <c r="NP154" s="24">
        <v>0</v>
      </c>
      <c r="NQ154" s="24">
        <v>0</v>
      </c>
      <c r="NR154" s="24">
        <v>0</v>
      </c>
      <c r="NS154" s="24">
        <v>0</v>
      </c>
      <c r="NT154" s="24">
        <v>0</v>
      </c>
      <c r="NU154" s="24">
        <v>0</v>
      </c>
      <c r="NV154" s="24">
        <v>14173</v>
      </c>
      <c r="NW154" s="24">
        <v>0</v>
      </c>
      <c r="NX154" s="24">
        <v>0</v>
      </c>
      <c r="NY154" s="24">
        <v>0</v>
      </c>
      <c r="NZ154" s="24">
        <v>0</v>
      </c>
      <c r="OA154" s="24">
        <v>0</v>
      </c>
      <c r="OB154" s="24">
        <v>0</v>
      </c>
      <c r="OC154" s="24">
        <v>0</v>
      </c>
      <c r="OD154" s="24">
        <v>0</v>
      </c>
      <c r="OE154" s="24">
        <v>0</v>
      </c>
      <c r="OF154" s="24">
        <v>0</v>
      </c>
      <c r="OG154" s="24">
        <v>0</v>
      </c>
      <c r="OH154" s="24">
        <v>0</v>
      </c>
      <c r="OI154" s="24">
        <v>0</v>
      </c>
      <c r="OJ154" s="24">
        <v>0</v>
      </c>
      <c r="OK154" s="24">
        <v>0</v>
      </c>
      <c r="OL154" s="24">
        <v>0</v>
      </c>
      <c r="OM154" s="24">
        <v>0</v>
      </c>
      <c r="ON154" s="24">
        <v>0</v>
      </c>
      <c r="OO154" s="24">
        <v>792355</v>
      </c>
      <c r="OP154" s="24">
        <v>0</v>
      </c>
      <c r="OQ154" s="24">
        <v>0</v>
      </c>
      <c r="OR154" s="24">
        <v>0</v>
      </c>
      <c r="OS154" s="24">
        <v>0</v>
      </c>
      <c r="OT154" s="24">
        <v>0</v>
      </c>
      <c r="OU154" s="24">
        <v>0</v>
      </c>
      <c r="OV154" s="24">
        <v>0</v>
      </c>
      <c r="OW154" s="24">
        <v>0</v>
      </c>
      <c r="OX154" s="24">
        <v>0</v>
      </c>
      <c r="OY154" s="24">
        <v>0</v>
      </c>
      <c r="OZ154" s="24">
        <v>0</v>
      </c>
      <c r="PA154" s="24">
        <v>0</v>
      </c>
      <c r="PB154" s="24">
        <v>0</v>
      </c>
      <c r="PC154" s="24">
        <v>0</v>
      </c>
      <c r="PD154" s="24">
        <v>0</v>
      </c>
      <c r="PE154" s="24">
        <v>0</v>
      </c>
      <c r="PF154" s="24">
        <v>0</v>
      </c>
      <c r="PG154" s="24">
        <v>0</v>
      </c>
      <c r="PH154" s="24">
        <v>0</v>
      </c>
      <c r="PI154" s="24">
        <v>0</v>
      </c>
      <c r="PJ154" s="24">
        <v>0</v>
      </c>
      <c r="PK154" s="24">
        <v>0</v>
      </c>
      <c r="PL154" s="24">
        <v>0</v>
      </c>
      <c r="PM154" s="24">
        <v>0</v>
      </c>
      <c r="PN154" s="24">
        <v>0</v>
      </c>
      <c r="PO154" s="24">
        <v>0</v>
      </c>
      <c r="PP154" s="24">
        <v>0</v>
      </c>
      <c r="PQ154" s="24">
        <v>0</v>
      </c>
      <c r="PR154" s="24">
        <v>0</v>
      </c>
      <c r="PS154" s="24">
        <v>0</v>
      </c>
      <c r="PT154" s="24">
        <v>0</v>
      </c>
      <c r="PU154" s="24">
        <v>0</v>
      </c>
      <c r="PV154" s="24">
        <v>0</v>
      </c>
      <c r="PW154" s="24">
        <v>0</v>
      </c>
      <c r="PX154" s="24">
        <v>0</v>
      </c>
      <c r="PY154" s="24">
        <v>0</v>
      </c>
      <c r="PZ154" s="24">
        <v>0</v>
      </c>
      <c r="QA154" s="24">
        <v>0</v>
      </c>
      <c r="QB154" s="24">
        <v>0</v>
      </c>
      <c r="QC154" s="24">
        <v>0</v>
      </c>
      <c r="QD154" s="24">
        <v>0</v>
      </c>
      <c r="QE154" s="24">
        <v>0</v>
      </c>
      <c r="QF154" s="24">
        <v>0</v>
      </c>
      <c r="QG154" s="24">
        <v>0</v>
      </c>
      <c r="QH154" s="24">
        <v>0</v>
      </c>
      <c r="QI154" s="24">
        <v>0</v>
      </c>
      <c r="QJ154" s="24">
        <v>0</v>
      </c>
      <c r="QK154" s="24">
        <v>0</v>
      </c>
      <c r="QL154" s="24">
        <v>0</v>
      </c>
      <c r="QM154" s="24">
        <v>0</v>
      </c>
      <c r="QN154" s="24">
        <v>0</v>
      </c>
      <c r="QO154" s="24">
        <v>0</v>
      </c>
      <c r="QP154" s="24">
        <v>0</v>
      </c>
      <c r="QQ154" s="24">
        <v>0</v>
      </c>
      <c r="QR154" s="24">
        <v>0</v>
      </c>
      <c r="QS154" s="24">
        <v>0</v>
      </c>
      <c r="QT154" s="24">
        <v>0</v>
      </c>
      <c r="QU154" s="24">
        <v>0</v>
      </c>
      <c r="QV154" s="24">
        <v>0</v>
      </c>
      <c r="QW154" s="24">
        <v>0</v>
      </c>
      <c r="QX154" s="24">
        <v>0</v>
      </c>
      <c r="QY154" s="24">
        <v>0</v>
      </c>
      <c r="QZ154" s="24">
        <v>0</v>
      </c>
      <c r="RA154" s="24">
        <v>0</v>
      </c>
      <c r="RB154" s="24">
        <v>0</v>
      </c>
      <c r="RC154" s="913">
        <v>2</v>
      </c>
      <c r="RG154" s="39">
        <f t="shared" si="248"/>
        <v>456102</v>
      </c>
      <c r="RH154" s="39">
        <f t="shared" si="248"/>
        <v>92796</v>
      </c>
      <c r="RI154" s="39">
        <f t="shared" si="248"/>
        <v>0</v>
      </c>
      <c r="RJ154" s="39">
        <f t="shared" si="248"/>
        <v>0</v>
      </c>
      <c r="RK154" s="39">
        <f t="shared" si="248"/>
        <v>0</v>
      </c>
      <c r="RL154" s="39">
        <f t="shared" si="248"/>
        <v>60941</v>
      </c>
      <c r="RM154" s="39">
        <f t="shared" si="248"/>
        <v>68783</v>
      </c>
      <c r="RN154" s="39">
        <f t="shared" si="248"/>
        <v>0</v>
      </c>
      <c r="RO154" s="39">
        <f t="shared" si="248"/>
        <v>0</v>
      </c>
      <c r="RP154" s="39">
        <f t="shared" si="248"/>
        <v>5542</v>
      </c>
      <c r="RQ154" s="39">
        <f t="shared" si="248"/>
        <v>0</v>
      </c>
      <c r="RR154" s="39">
        <f t="shared" si="325"/>
        <v>45368</v>
      </c>
      <c r="RS154" s="39"/>
      <c r="RT154" s="182"/>
      <c r="RU154" s="39"/>
      <c r="RV154" s="39">
        <f t="shared" si="302"/>
        <v>1203104</v>
      </c>
      <c r="RW154" s="39">
        <f t="shared" si="302"/>
        <v>729532</v>
      </c>
      <c r="RX154" s="39">
        <f t="shared" si="302"/>
        <v>166580</v>
      </c>
      <c r="RY154" s="39">
        <f t="shared" si="302"/>
        <v>0</v>
      </c>
      <c r="RZ154" s="39"/>
      <c r="SA154" s="182"/>
      <c r="SB154" s="39"/>
      <c r="SC154" s="25">
        <f t="shared" si="303"/>
        <v>2108.6075949367087</v>
      </c>
      <c r="SD154" s="39">
        <f>IFERROR(VLOOKUP(A154, 'Levy Data 15-16'!$B:$O, 3, FALSE), 0)</f>
        <v>0</v>
      </c>
      <c r="SE154" s="39">
        <f t="shared" si="265"/>
        <v>0</v>
      </c>
      <c r="SF154" s="631">
        <f>IFERROR(VLOOKUP(A154, 'Levy Data 15-16'!$B:$O, 14, FALSE), 0)*1000</f>
        <v>0</v>
      </c>
      <c r="SG154" s="39">
        <f t="shared" si="266"/>
        <v>0</v>
      </c>
      <c r="SH154" s="39">
        <f t="shared" si="267"/>
        <v>0</v>
      </c>
      <c r="SI154" s="39">
        <f t="shared" si="268"/>
        <v>166580</v>
      </c>
      <c r="SM154" s="39">
        <f t="shared" si="269"/>
        <v>729532</v>
      </c>
      <c r="SN154" s="39">
        <f t="shared" si="270"/>
        <v>0</v>
      </c>
      <c r="SO154" s="39">
        <f t="shared" si="304"/>
        <v>729532</v>
      </c>
      <c r="SP154" s="50">
        <f>(SM154-SN154)/SM154</f>
        <v>1</v>
      </c>
      <c r="ST154" s="124">
        <f>IFERROR(VLOOKUP(A154,'Grade Enroll 15-16'!B:AC,27,FALSE),"")</f>
        <v>79</v>
      </c>
      <c r="SU154" s="124">
        <f t="shared" si="264"/>
        <v>71.476190476190482</v>
      </c>
      <c r="SV154" s="131">
        <f>IFERROR(VLOOKUP($A154, 'Title I Enroll 16-17'!S:V, 4, FALSE), 0)</f>
        <v>0.90476190476190477</v>
      </c>
      <c r="SW154" s="729">
        <f>IFERROR(VLOOKUP(A154, 'ELL Enroll 15-16'!$N:$S, 6, FALSE), 0)</f>
        <v>5</v>
      </c>
      <c r="SX154" s="131">
        <f t="shared" si="251"/>
        <v>6.3291139240506333E-2</v>
      </c>
      <c r="SY154" s="124">
        <f>IFERROR(VLOOKUP(A154, 'SPED enroll 2015-16'!$M:$O, 3, FALSE), 0)</f>
        <v>26</v>
      </c>
      <c r="SZ154" s="131">
        <f t="shared" si="252"/>
        <v>0.32911392405063289</v>
      </c>
      <c r="TA154" s="142">
        <f t="shared" si="253"/>
        <v>18.2</v>
      </c>
      <c r="TB154" s="142">
        <f t="shared" si="253"/>
        <v>5.2</v>
      </c>
      <c r="TC154" s="142">
        <f t="shared" si="253"/>
        <v>1.8200000000000003</v>
      </c>
      <c r="TD154" s="142">
        <f t="shared" si="253"/>
        <v>0.78</v>
      </c>
      <c r="TE154" s="124">
        <f>VLOOKUP($A154, 'Grade Enroll 15-16'!$B:$AB, 20, FALSE)</f>
        <v>0</v>
      </c>
      <c r="TF154" s="124">
        <f>VLOOKUP($A154, 'Grade Enroll 15-16'!$B:$AB, 21, FALSE)</f>
        <v>17</v>
      </c>
      <c r="TG154" s="124">
        <f>VLOOKUP($A154, 'Grade Enroll 15-16'!$B:$AB, 22, FALSE)</f>
        <v>46</v>
      </c>
      <c r="TH154" s="124">
        <f>VLOOKUP($A154, 'Grade Enroll 15-16'!$B:$AB, 23, FALSE)</f>
        <v>33</v>
      </c>
      <c r="TI154" s="124">
        <f>VLOOKUP($A154, 'Grade Enroll 15-16'!$B:$AB, 24, FALSE)</f>
        <v>0</v>
      </c>
      <c r="TJ154" s="124">
        <f>VLOOKUP($A154, 'Grade Enroll 15-16'!$B:$AB, 25, FALSE)</f>
        <v>0</v>
      </c>
      <c r="TK154" s="124">
        <f>VLOOKUP($A154, 'Grade Enroll 15-16'!$B:$AB, 26, FALSE)</f>
        <v>48</v>
      </c>
      <c r="TL154" s="131">
        <f>SUMIFS('Student Achievement 15-16'!N:N, 'Student Achievement 15-16'!B:B, 'Idaho Data'!A154, 'Student Achievement 15-16'!D:D, "math")/100</f>
        <v>0.59599999999999997</v>
      </c>
      <c r="TM154" s="134">
        <f t="shared" si="305"/>
        <v>47.083999999999996</v>
      </c>
      <c r="TN154" s="131">
        <f>SUMIFS('Student Achievement 15-16'!N:N, 'Student Achievement 15-16'!B:B, 'Idaho Data'!A154, 'Student Achievement 15-16'!D:D, "ela")/100</f>
        <v>0.7659999999999999</v>
      </c>
      <c r="TO154" s="135">
        <f t="shared" si="254"/>
        <v>60.513999999999996</v>
      </c>
      <c r="TP154" s="688">
        <f>IFERROR(VLOOKUP(A154, 'G&amp;T 15-16'!B:G, 6, FALSE), 0)*1</f>
        <v>0</v>
      </c>
      <c r="TQ154" s="168">
        <f t="shared" si="255"/>
        <v>4.74</v>
      </c>
      <c r="TU154" s="168">
        <f t="shared" si="256"/>
        <v>47.083999999999996</v>
      </c>
      <c r="TV154" s="168">
        <f t="shared" si="257"/>
        <v>60.513999999999996</v>
      </c>
      <c r="TW154" s="205">
        <f t="shared" si="258"/>
        <v>60.513999999999996</v>
      </c>
      <c r="TX154" s="144"/>
      <c r="TY154" s="129"/>
      <c r="TZ154" s="127">
        <f t="shared" si="259"/>
        <v>0</v>
      </c>
      <c r="UA154" s="127">
        <f t="shared" si="260"/>
        <v>4.74</v>
      </c>
      <c r="UB154" s="205">
        <f t="shared" si="261"/>
        <v>4.74</v>
      </c>
      <c r="UE154" s="853" t="str">
        <f>IF(ST154&lt;='1. Simulator Input'!$E$104, "yes", "")</f>
        <v>yes</v>
      </c>
      <c r="UI154" s="199">
        <f t="shared" si="306"/>
        <v>0</v>
      </c>
      <c r="UJ154" s="200">
        <f>IF('Idaho Data'!SI154&gt;=0, ((1-'1. Simulator Input'!$E$39)*'Idaho Data'!SI154), 0)</f>
        <v>0</v>
      </c>
      <c r="UK154" s="200">
        <f t="shared" si="262"/>
        <v>729532</v>
      </c>
      <c r="UL154" s="39"/>
      <c r="UM154" s="182"/>
      <c r="UN154" s="39"/>
      <c r="UO154" s="39">
        <f>IF(AND('1. Simulator Input'!$E$96="yes", '1. Simulator Input'!$E$98="yes", '1. Simulator Input'!$E$100="hold harmless"), 'Idaho Data'!WN154, IF(AND('1. Simulator Input'!$E$96="yes", '1. Simulator Input'!$E$98="no", '1. Simulator Input'!$E$100="hold harmless"), 'Idaho Data'!WM154, IF(AND('1. Simulator Input'!$E$96="yes", '1. Simulator Input'!$E$98="yes", '1. Simulator Input'!$E$100="small district grant"), WL154,IF(AND('1. Simulator Input'!$E$96="yes", '1. Simulator Input'!$E$98="no", '1. Simulator Input'!$E$100="small district grant"), WK154, ""))))</f>
        <v>0</v>
      </c>
      <c r="UP154" s="200">
        <f>'1. Simulator Input'!$D$56*('Idaho Data'!ST154)</f>
        <v>436554</v>
      </c>
      <c r="UQ154" s="204">
        <f>'1. Simulator Input'!$D$65*'1. Simulator Input'!$D$56*'Idaho Data'!SU154</f>
        <v>0</v>
      </c>
      <c r="UR154" s="204">
        <f>'1. Simulator Input'!$D$66*'1. Simulator Input'!$D$56*'Idaho Data'!SW154</f>
        <v>0</v>
      </c>
      <c r="US154" s="200">
        <f>'1. Simulator Input'!$D$67*'1. Simulator Input'!$D$56*'Idaho Data'!TA154</f>
        <v>0</v>
      </c>
      <c r="UT154" s="200">
        <f>'1. Simulator Input'!$D$68*'1. Simulator Input'!$D$56*'Idaho Data'!TB154</f>
        <v>0</v>
      </c>
      <c r="UU154" s="200">
        <f>'1. Simulator Input'!$D$69*'1. Simulator Input'!$D$56*'Idaho Data'!TC154</f>
        <v>0</v>
      </c>
      <c r="UV154" s="200">
        <f>'1. Simulator Input'!$D$70*'1. Simulator Input'!$D$56*TD154</f>
        <v>0</v>
      </c>
      <c r="UW154" s="200">
        <f>'1. Simulator Input'!$D$80*'1. Simulator Input'!$D$56*TW154</f>
        <v>0</v>
      </c>
      <c r="UX154" s="200">
        <f>'1. Simulator Input'!$D$79*'1. Simulator Input'!$D$56*UB154</f>
        <v>0</v>
      </c>
      <c r="UY154" s="200">
        <f>'1. Simulator Input'!$D$87*'1. Simulator Input'!$D$56*TF154</f>
        <v>46971</v>
      </c>
      <c r="UZ154" s="200">
        <f>'1. Simulator Input'!$D$73*'1. Simulator Input'!$D$56*'Idaho Data'!TG154</f>
        <v>0</v>
      </c>
      <c r="VA154" s="200">
        <f>'1. Simulator Input'!$D$56*'1. Simulator Input'!$D$74*'Idaho Data'!TH154</f>
        <v>0</v>
      </c>
      <c r="VB154" s="200">
        <f>'1. Simulator Input'!$D$56*'1. Simulator Input'!$D$75*'Idaho Data'!TI149</f>
        <v>0</v>
      </c>
      <c r="VC154" s="200">
        <f>'1. Simulator Input'!$D$76*'1. Simulator Input'!$D$56*'Idaho Data'!TJ154</f>
        <v>0</v>
      </c>
      <c r="VD154" s="200">
        <f t="shared" si="307"/>
        <v>483525</v>
      </c>
      <c r="VE154" s="200"/>
      <c r="VF154" s="182"/>
      <c r="VG154" s="200"/>
      <c r="VH154" s="200">
        <f t="shared" si="308"/>
        <v>0</v>
      </c>
      <c r="VI154" s="200">
        <f t="shared" si="309"/>
        <v>0</v>
      </c>
      <c r="VJ154" s="200">
        <f t="shared" si="271"/>
        <v>483525</v>
      </c>
      <c r="VK154" s="200">
        <f t="shared" si="272"/>
        <v>483525</v>
      </c>
      <c r="VL154" s="200"/>
      <c r="VM154" s="182"/>
      <c r="VN154" s="200"/>
      <c r="VO154" s="200">
        <f t="shared" si="310"/>
        <v>1203104</v>
      </c>
      <c r="VP154" s="200">
        <f t="shared" si="311"/>
        <v>729532</v>
      </c>
      <c r="VQ154" s="200">
        <f t="shared" si="312"/>
        <v>166580</v>
      </c>
      <c r="VR154" s="200">
        <f t="shared" si="313"/>
        <v>1203104</v>
      </c>
      <c r="VS154" s="200">
        <f t="shared" si="273"/>
        <v>483525</v>
      </c>
      <c r="VT154" s="200">
        <f t="shared" si="274"/>
        <v>166580</v>
      </c>
      <c r="VU154" s="200">
        <f t="shared" si="275"/>
        <v>0</v>
      </c>
      <c r="VV154" s="200"/>
      <c r="VW154" s="182"/>
      <c r="VX154" s="200"/>
      <c r="VZ154" s="199">
        <f t="shared" si="314"/>
        <v>-246007</v>
      </c>
      <c r="WA154" s="199">
        <f t="shared" si="315"/>
        <v>-3114.0126582278481</v>
      </c>
      <c r="WB154" s="131">
        <f t="shared" si="316"/>
        <v>-0.33721207568687872</v>
      </c>
      <c r="WC154" s="131"/>
      <c r="WD154" s="461"/>
      <c r="WE154" s="893"/>
      <c r="WF154" s="893">
        <f t="shared" si="317"/>
        <v>26572.354430379746</v>
      </c>
      <c r="WG154" s="893">
        <f t="shared" si="318"/>
        <v>23458.3417721519</v>
      </c>
      <c r="WH154" s="893"/>
      <c r="WI154" s="893">
        <f t="shared" si="319"/>
        <v>729532</v>
      </c>
      <c r="WJ154" s="893">
        <f t="shared" si="276"/>
        <v>483525</v>
      </c>
      <c r="WK154" s="39">
        <f t="shared" si="277"/>
        <v>0</v>
      </c>
      <c r="WL154" s="39">
        <f t="shared" si="278"/>
        <v>0</v>
      </c>
      <c r="WM154" s="200">
        <f t="shared" si="279"/>
        <v>246007</v>
      </c>
      <c r="WN154" s="39">
        <f t="shared" si="280"/>
        <v>246007</v>
      </c>
      <c r="WO154" s="39"/>
      <c r="WP154" s="182"/>
      <c r="WQ154" s="39"/>
      <c r="WR154" s="305"/>
      <c r="WT154" s="200">
        <f t="shared" si="281"/>
        <v>9234.5822784810134</v>
      </c>
      <c r="WU154" s="131">
        <f t="shared" si="320"/>
        <v>0.82</v>
      </c>
      <c r="WW154" s="199">
        <f t="shared" si="282"/>
        <v>1203104</v>
      </c>
      <c r="WX154" s="199">
        <f t="shared" si="283"/>
        <v>483525</v>
      </c>
      <c r="WY154" s="199">
        <f t="shared" si="284"/>
        <v>0</v>
      </c>
      <c r="WZ154" s="199">
        <f t="shared" si="321"/>
        <v>483525</v>
      </c>
      <c r="XA154" s="199">
        <f t="shared" si="285"/>
        <v>0</v>
      </c>
      <c r="XB154" s="199">
        <f t="shared" si="286"/>
        <v>166580</v>
      </c>
      <c r="XC154" s="199">
        <f t="shared" si="287"/>
        <v>166580</v>
      </c>
      <c r="XD154" s="199" t="str">
        <f t="shared" si="288"/>
        <v/>
      </c>
      <c r="XE154" s="199"/>
      <c r="XF154" s="199"/>
      <c r="XG154" s="199"/>
      <c r="XH154" s="199"/>
      <c r="XI154" s="199"/>
      <c r="XJ154" s="199">
        <f t="shared" si="322"/>
        <v>483525</v>
      </c>
      <c r="XP154" s="199">
        <f t="shared" si="289"/>
        <v>483525</v>
      </c>
      <c r="XQ154" s="199">
        <f t="shared" si="290"/>
        <v>6120.5696202531644</v>
      </c>
      <c r="XR154" s="199">
        <f t="shared" si="291"/>
        <v>483525</v>
      </c>
      <c r="XS154" s="199">
        <f t="shared" si="292"/>
        <v>483525</v>
      </c>
      <c r="XT154" s="199">
        <f t="shared" si="293"/>
        <v>6120.5696202531644</v>
      </c>
      <c r="XU154" s="199">
        <f t="shared" si="294"/>
        <v>729532</v>
      </c>
      <c r="XV154" s="199">
        <f t="shared" si="295"/>
        <v>9234.5822784810134</v>
      </c>
      <c r="XW154" s="199">
        <f t="shared" si="296"/>
        <v>729532</v>
      </c>
      <c r="XX154" s="199">
        <f t="shared" si="297"/>
        <v>9234.5822784810134</v>
      </c>
      <c r="XY154" s="199">
        <f t="shared" si="323"/>
        <v>-246007</v>
      </c>
      <c r="XZ154" s="199">
        <f t="shared" si="324"/>
        <v>-3114.012658227849</v>
      </c>
      <c r="YA154" s="131">
        <f t="shared" si="263"/>
        <v>-0.33721207568687878</v>
      </c>
      <c r="YB154" s="199"/>
      <c r="YC154" s="221"/>
      <c r="YD154" s="199"/>
      <c r="YE154" s="199">
        <f t="shared" si="298"/>
        <v>1203104</v>
      </c>
      <c r="YF154" s="200">
        <f t="shared" si="299"/>
        <v>0</v>
      </c>
      <c r="YG154" s="199">
        <f t="shared" si="300"/>
        <v>166580</v>
      </c>
      <c r="YH154" s="199">
        <f t="shared" si="301"/>
        <v>0</v>
      </c>
    </row>
    <row r="155" spans="1:658">
      <c r="A155" s="1">
        <v>485</v>
      </c>
      <c r="B155" s="2" t="s">
        <v>1494</v>
      </c>
      <c r="C155" s="24">
        <v>0</v>
      </c>
      <c r="D155" s="24">
        <v>0</v>
      </c>
      <c r="E155" s="24">
        <v>0</v>
      </c>
      <c r="F155" s="24">
        <v>0</v>
      </c>
      <c r="G155" s="24">
        <v>0</v>
      </c>
      <c r="H155" s="24">
        <v>0</v>
      </c>
      <c r="I155" s="24">
        <v>0</v>
      </c>
      <c r="J155" s="24">
        <v>0</v>
      </c>
      <c r="K155" s="24">
        <v>0</v>
      </c>
      <c r="L155" s="24">
        <v>0</v>
      </c>
      <c r="M155" s="24">
        <v>0</v>
      </c>
      <c r="N155" s="24">
        <v>0</v>
      </c>
      <c r="O155" s="24">
        <v>0</v>
      </c>
      <c r="P155" s="24">
        <v>0</v>
      </c>
      <c r="Q155" s="24">
        <v>0</v>
      </c>
      <c r="R155" s="24">
        <v>0</v>
      </c>
      <c r="S155" s="24">
        <v>0</v>
      </c>
      <c r="T155" s="24">
        <v>0</v>
      </c>
      <c r="U155" s="24">
        <v>0</v>
      </c>
      <c r="V155" s="24">
        <v>0</v>
      </c>
      <c r="W155" s="24">
        <v>0</v>
      </c>
      <c r="X155" s="24">
        <v>0</v>
      </c>
      <c r="Y155" s="24">
        <v>0</v>
      </c>
      <c r="Z155" s="24">
        <v>0</v>
      </c>
      <c r="AA155" s="24">
        <v>0</v>
      </c>
      <c r="AB155" s="24">
        <v>0</v>
      </c>
      <c r="AC155" s="24">
        <v>0</v>
      </c>
      <c r="AD155" s="24">
        <v>0</v>
      </c>
      <c r="AE155" s="24">
        <v>0</v>
      </c>
      <c r="AF155" s="24">
        <v>0</v>
      </c>
      <c r="AG155" s="24">
        <v>0</v>
      </c>
      <c r="AH155" s="24">
        <v>0</v>
      </c>
      <c r="AI155" s="24">
        <v>0</v>
      </c>
      <c r="AJ155" s="24">
        <v>0</v>
      </c>
      <c r="AK155" s="24">
        <v>0</v>
      </c>
      <c r="AL155" s="24">
        <v>0</v>
      </c>
      <c r="AM155" s="24">
        <v>0</v>
      </c>
      <c r="AN155" s="24">
        <v>0</v>
      </c>
      <c r="AO155" s="24">
        <v>0</v>
      </c>
      <c r="AP155" s="24">
        <v>0</v>
      </c>
      <c r="AQ155" s="24">
        <v>0</v>
      </c>
      <c r="AR155" s="24">
        <v>0</v>
      </c>
      <c r="AS155" s="24">
        <v>0</v>
      </c>
      <c r="AT155" s="24">
        <v>0</v>
      </c>
      <c r="AU155" s="24">
        <v>0</v>
      </c>
      <c r="AV155" s="24">
        <v>0</v>
      </c>
      <c r="AW155" s="24">
        <v>0</v>
      </c>
      <c r="AX155" s="24">
        <v>0</v>
      </c>
      <c r="AY155" s="24">
        <v>0</v>
      </c>
      <c r="AZ155" s="24">
        <v>0</v>
      </c>
      <c r="BA155" s="24">
        <v>0</v>
      </c>
      <c r="BB155" s="24">
        <v>0</v>
      </c>
      <c r="BC155" s="24">
        <v>0</v>
      </c>
      <c r="BD155" s="24">
        <v>0</v>
      </c>
      <c r="BE155" s="24">
        <v>0</v>
      </c>
      <c r="BF155" s="24">
        <v>0</v>
      </c>
      <c r="BG155" s="24">
        <v>0</v>
      </c>
      <c r="BH155" s="24">
        <v>0</v>
      </c>
      <c r="BI155" s="24">
        <v>0</v>
      </c>
      <c r="BJ155" s="24">
        <v>0</v>
      </c>
      <c r="BK155" s="24">
        <v>0</v>
      </c>
      <c r="BL155" s="24">
        <v>0</v>
      </c>
      <c r="BM155" s="24">
        <v>0</v>
      </c>
      <c r="BN155" s="24">
        <v>0</v>
      </c>
      <c r="BO155" s="24">
        <v>0</v>
      </c>
      <c r="BP155" s="24">
        <v>0</v>
      </c>
      <c r="BQ155" s="24">
        <v>0</v>
      </c>
      <c r="BR155" s="24">
        <v>0</v>
      </c>
      <c r="BS155" s="24">
        <v>0</v>
      </c>
      <c r="BT155" s="24">
        <v>0</v>
      </c>
      <c r="BU155" s="24">
        <v>0</v>
      </c>
      <c r="BV155" s="24">
        <v>0</v>
      </c>
      <c r="BW155" s="24">
        <v>0</v>
      </c>
      <c r="BX155" s="24">
        <v>0</v>
      </c>
      <c r="BY155" s="24">
        <v>0</v>
      </c>
      <c r="BZ155" s="24">
        <v>0</v>
      </c>
      <c r="CA155" s="24">
        <v>0</v>
      </c>
      <c r="CB155" s="24">
        <v>0</v>
      </c>
      <c r="CC155" s="24">
        <v>0</v>
      </c>
      <c r="CD155" s="24">
        <v>0</v>
      </c>
      <c r="CE155" s="24">
        <v>0</v>
      </c>
      <c r="CF155" s="24">
        <v>0</v>
      </c>
      <c r="CG155" s="24">
        <v>0</v>
      </c>
      <c r="CH155" s="24">
        <v>0</v>
      </c>
      <c r="CI155" s="24">
        <v>0</v>
      </c>
      <c r="CJ155" s="24">
        <v>0</v>
      </c>
      <c r="CK155" s="24">
        <v>0</v>
      </c>
      <c r="CL155" s="24">
        <v>0</v>
      </c>
      <c r="CM155" s="24">
        <v>0</v>
      </c>
      <c r="CN155" s="24">
        <v>0</v>
      </c>
      <c r="CO155" s="24">
        <v>0</v>
      </c>
      <c r="CP155" s="24">
        <v>0</v>
      </c>
      <c r="CQ155" s="24">
        <v>0</v>
      </c>
      <c r="CR155" s="24">
        <v>0</v>
      </c>
      <c r="CS155" s="24">
        <v>0</v>
      </c>
      <c r="CT155" s="24">
        <v>0</v>
      </c>
      <c r="CU155" s="24">
        <v>0</v>
      </c>
      <c r="CV155" s="24">
        <v>0</v>
      </c>
      <c r="CW155" s="24">
        <v>0</v>
      </c>
      <c r="CX155" s="24">
        <v>0</v>
      </c>
      <c r="CY155" s="24">
        <v>0</v>
      </c>
      <c r="CZ155" s="24">
        <v>0</v>
      </c>
      <c r="DA155" s="24">
        <v>0</v>
      </c>
      <c r="DB155" s="24">
        <v>0</v>
      </c>
      <c r="DC155" s="24">
        <v>0</v>
      </c>
      <c r="DD155" s="24">
        <v>0</v>
      </c>
      <c r="DE155" s="24">
        <v>0</v>
      </c>
      <c r="DF155" s="24">
        <v>0</v>
      </c>
      <c r="DG155" s="24">
        <v>0</v>
      </c>
      <c r="DH155" s="24">
        <v>0</v>
      </c>
      <c r="DI155" s="24">
        <v>0</v>
      </c>
      <c r="DJ155" s="24">
        <v>0</v>
      </c>
      <c r="DK155" s="24">
        <v>0</v>
      </c>
      <c r="DL155" s="24">
        <v>0</v>
      </c>
      <c r="DM155" s="24">
        <v>0</v>
      </c>
      <c r="DN155" s="24">
        <v>0</v>
      </c>
      <c r="DO155" s="24">
        <v>0</v>
      </c>
      <c r="DP155" s="24">
        <v>0</v>
      </c>
      <c r="DQ155" s="24">
        <v>0</v>
      </c>
      <c r="DR155" s="24">
        <v>0</v>
      </c>
      <c r="DS155" s="24">
        <v>0</v>
      </c>
      <c r="DT155" s="24">
        <v>0</v>
      </c>
      <c r="DU155" s="24">
        <v>0</v>
      </c>
      <c r="DV155" s="24">
        <v>0</v>
      </c>
      <c r="DW155" s="24">
        <v>0</v>
      </c>
      <c r="DX155" s="24">
        <v>0</v>
      </c>
      <c r="DY155" s="24">
        <v>0</v>
      </c>
      <c r="DZ155" s="24">
        <v>0</v>
      </c>
      <c r="EA155" s="24">
        <v>0</v>
      </c>
      <c r="EB155" s="24">
        <v>0</v>
      </c>
      <c r="EC155" s="24">
        <v>0</v>
      </c>
      <c r="ED155" s="24">
        <v>0</v>
      </c>
      <c r="EE155" s="24">
        <v>0</v>
      </c>
      <c r="EF155" s="24">
        <v>0</v>
      </c>
      <c r="EG155" s="24">
        <v>0</v>
      </c>
      <c r="EH155" s="24">
        <v>0</v>
      </c>
      <c r="EI155" s="24">
        <v>0</v>
      </c>
      <c r="EJ155" s="24">
        <v>0</v>
      </c>
      <c r="EK155" s="24">
        <v>0</v>
      </c>
      <c r="EL155" s="24">
        <v>0</v>
      </c>
      <c r="EM155" s="24">
        <v>0</v>
      </c>
      <c r="EN155" s="24">
        <v>0</v>
      </c>
      <c r="EO155" s="24">
        <v>0</v>
      </c>
      <c r="EP155" s="24">
        <v>0</v>
      </c>
      <c r="EQ155" s="24">
        <v>0</v>
      </c>
      <c r="ER155" s="24">
        <v>0</v>
      </c>
      <c r="ES155" s="24">
        <v>0</v>
      </c>
      <c r="ET155" s="24">
        <v>0</v>
      </c>
      <c r="EU155" s="24">
        <v>0</v>
      </c>
      <c r="EV155" s="24">
        <v>0</v>
      </c>
      <c r="EW155" s="24">
        <v>0</v>
      </c>
      <c r="EX155" s="24">
        <v>0</v>
      </c>
      <c r="EY155" s="24">
        <v>0</v>
      </c>
      <c r="EZ155" s="24">
        <v>0</v>
      </c>
      <c r="FA155" s="24">
        <v>0</v>
      </c>
      <c r="FB155" s="24">
        <v>0</v>
      </c>
      <c r="FC155" s="24">
        <v>0</v>
      </c>
      <c r="FD155" s="24">
        <v>0</v>
      </c>
      <c r="FE155" s="24">
        <v>0</v>
      </c>
      <c r="FF155" s="24">
        <v>0</v>
      </c>
      <c r="FG155" s="24">
        <v>0</v>
      </c>
      <c r="FH155" s="24">
        <v>0</v>
      </c>
      <c r="FI155" s="24">
        <v>0</v>
      </c>
      <c r="FJ155" s="24">
        <v>0</v>
      </c>
      <c r="FK155" s="24">
        <v>0</v>
      </c>
      <c r="FL155" s="24">
        <v>0</v>
      </c>
      <c r="FM155" s="24">
        <v>0</v>
      </c>
      <c r="FN155" s="24">
        <v>0</v>
      </c>
      <c r="FO155" s="24">
        <v>0</v>
      </c>
      <c r="FP155" s="24">
        <v>0</v>
      </c>
      <c r="FQ155" s="24">
        <v>0</v>
      </c>
      <c r="FR155" s="24">
        <v>0</v>
      </c>
      <c r="FS155" s="24">
        <v>59806</v>
      </c>
      <c r="FT155" s="24">
        <v>0</v>
      </c>
      <c r="FU155" s="24">
        <v>0</v>
      </c>
      <c r="FV155" s="24">
        <v>0</v>
      </c>
      <c r="FW155" s="24">
        <v>0</v>
      </c>
      <c r="FX155" s="24">
        <v>0</v>
      </c>
      <c r="FY155" s="24">
        <v>0</v>
      </c>
      <c r="FZ155" s="24">
        <v>0</v>
      </c>
      <c r="GA155" s="24">
        <v>0</v>
      </c>
      <c r="GB155" s="24">
        <v>0</v>
      </c>
      <c r="GC155" s="24">
        <v>0</v>
      </c>
      <c r="GD155" s="24">
        <v>0</v>
      </c>
      <c r="GE155" s="24">
        <v>0</v>
      </c>
      <c r="GF155" s="24">
        <v>0</v>
      </c>
      <c r="GG155" s="24">
        <v>0</v>
      </c>
      <c r="GH155" s="24">
        <v>0</v>
      </c>
      <c r="GI155" s="24">
        <v>0</v>
      </c>
      <c r="GJ155" s="24">
        <v>0</v>
      </c>
      <c r="GK155" s="24">
        <v>0</v>
      </c>
      <c r="GL155" s="24">
        <v>0</v>
      </c>
      <c r="GM155" s="24">
        <v>0</v>
      </c>
      <c r="GN155" s="24">
        <v>0</v>
      </c>
      <c r="GO155" s="24">
        <v>0</v>
      </c>
      <c r="GP155" s="24">
        <v>0</v>
      </c>
      <c r="GQ155" s="24">
        <v>0</v>
      </c>
      <c r="GR155" s="24">
        <v>0</v>
      </c>
      <c r="GS155" s="24">
        <v>0</v>
      </c>
      <c r="GT155" s="24">
        <v>0</v>
      </c>
      <c r="GU155" s="24">
        <v>0</v>
      </c>
      <c r="GV155" s="24">
        <v>0</v>
      </c>
      <c r="GW155" s="24">
        <v>0</v>
      </c>
      <c r="GX155" s="24">
        <v>0</v>
      </c>
      <c r="GY155" s="24">
        <v>0</v>
      </c>
      <c r="GZ155" s="24">
        <v>0</v>
      </c>
      <c r="HA155" s="24">
        <v>0</v>
      </c>
      <c r="HB155" s="24">
        <v>0</v>
      </c>
      <c r="HC155" s="24">
        <v>0</v>
      </c>
      <c r="HD155" s="24">
        <v>472685</v>
      </c>
      <c r="HE155" s="24">
        <v>0</v>
      </c>
      <c r="HF155" s="24">
        <v>0</v>
      </c>
      <c r="HG155" s="24">
        <v>0</v>
      </c>
      <c r="HH155" s="24">
        <v>0</v>
      </c>
      <c r="HI155" s="24">
        <v>109342</v>
      </c>
      <c r="HJ155" s="24">
        <v>0</v>
      </c>
      <c r="HK155" s="24">
        <v>0</v>
      </c>
      <c r="HL155" s="24">
        <v>0</v>
      </c>
      <c r="HM155" s="24">
        <v>0</v>
      </c>
      <c r="HN155" s="24">
        <v>0</v>
      </c>
      <c r="HO155" s="24">
        <v>60653</v>
      </c>
      <c r="HP155" s="24">
        <v>0</v>
      </c>
      <c r="HQ155" s="24">
        <v>0</v>
      </c>
      <c r="HR155" s="24">
        <v>0</v>
      </c>
      <c r="HS155" s="24">
        <v>0</v>
      </c>
      <c r="HT155" s="24">
        <v>0</v>
      </c>
      <c r="HU155" s="24">
        <v>0</v>
      </c>
      <c r="HV155" s="24">
        <v>0</v>
      </c>
      <c r="HW155" s="24">
        <v>0</v>
      </c>
      <c r="HX155" s="24">
        <v>0</v>
      </c>
      <c r="HY155" s="24">
        <v>0</v>
      </c>
      <c r="HZ155" s="24">
        <v>0</v>
      </c>
      <c r="IA155" s="24">
        <v>0</v>
      </c>
      <c r="IB155" s="24">
        <v>2795</v>
      </c>
      <c r="IC155" s="24">
        <v>0</v>
      </c>
      <c r="ID155" s="24">
        <v>0</v>
      </c>
      <c r="IE155" s="24">
        <v>0</v>
      </c>
      <c r="IF155" s="24">
        <v>0</v>
      </c>
      <c r="IG155" s="24">
        <v>0</v>
      </c>
      <c r="IH155" s="24">
        <v>0</v>
      </c>
      <c r="II155" s="24">
        <v>0</v>
      </c>
      <c r="IJ155" s="24">
        <v>0</v>
      </c>
      <c r="IK155" s="24">
        <v>0</v>
      </c>
      <c r="IL155" s="24">
        <v>0</v>
      </c>
      <c r="IM155" s="24">
        <v>0</v>
      </c>
      <c r="IN155" s="24">
        <v>0</v>
      </c>
      <c r="IO155" s="24">
        <v>0</v>
      </c>
      <c r="IP155" s="24">
        <v>0</v>
      </c>
      <c r="IQ155" s="24">
        <v>0</v>
      </c>
      <c r="IR155" s="24">
        <v>0</v>
      </c>
      <c r="IS155" s="24">
        <v>0</v>
      </c>
      <c r="IT155" s="24">
        <v>0</v>
      </c>
      <c r="IU155" s="24">
        <v>0</v>
      </c>
      <c r="IV155" s="24">
        <v>0</v>
      </c>
      <c r="IW155" s="24">
        <v>3718</v>
      </c>
      <c r="IX155" s="24">
        <v>0</v>
      </c>
      <c r="IY155" s="24">
        <v>0</v>
      </c>
      <c r="IZ155" s="24">
        <v>0</v>
      </c>
      <c r="JA155" s="24">
        <v>0</v>
      </c>
      <c r="JB155" s="24">
        <v>0</v>
      </c>
      <c r="JC155" s="24">
        <v>0</v>
      </c>
      <c r="JD155" s="24">
        <v>0</v>
      </c>
      <c r="JE155" s="24">
        <v>94273</v>
      </c>
      <c r="JF155" s="24">
        <v>0</v>
      </c>
      <c r="JG155" s="24">
        <v>0</v>
      </c>
      <c r="JH155" s="24">
        <v>0</v>
      </c>
      <c r="JI155" s="24">
        <v>0</v>
      </c>
      <c r="JJ155" s="24">
        <v>0</v>
      </c>
      <c r="JK155" s="24">
        <v>0</v>
      </c>
      <c r="JL155" s="24">
        <v>0</v>
      </c>
      <c r="JM155" s="24">
        <v>0</v>
      </c>
      <c r="JN155" s="24">
        <v>0</v>
      </c>
      <c r="JO155" s="24">
        <v>0</v>
      </c>
      <c r="JP155" s="24">
        <v>0</v>
      </c>
      <c r="JQ155" s="24">
        <v>0</v>
      </c>
      <c r="JR155" s="24">
        <v>0</v>
      </c>
      <c r="JS155" s="24">
        <v>0</v>
      </c>
      <c r="JT155" s="24">
        <v>3393</v>
      </c>
      <c r="JU155" s="24">
        <v>0</v>
      </c>
      <c r="JV155" s="24">
        <v>0</v>
      </c>
      <c r="JW155" s="24">
        <v>0</v>
      </c>
      <c r="JX155" s="24">
        <v>0</v>
      </c>
      <c r="JY155" s="24">
        <v>0</v>
      </c>
      <c r="JZ155" s="24">
        <v>0</v>
      </c>
      <c r="KA155" s="24">
        <v>0</v>
      </c>
      <c r="KB155" s="24">
        <v>0</v>
      </c>
      <c r="KC155" s="24">
        <v>0</v>
      </c>
      <c r="KD155" s="24">
        <v>0</v>
      </c>
      <c r="KE155" s="24">
        <v>0</v>
      </c>
      <c r="KF155" s="24">
        <v>0</v>
      </c>
      <c r="KG155" s="24">
        <v>0</v>
      </c>
      <c r="KH155" s="24">
        <v>0</v>
      </c>
      <c r="KI155" s="24">
        <v>0</v>
      </c>
      <c r="KJ155" s="24">
        <v>0</v>
      </c>
      <c r="KK155" s="24">
        <v>0</v>
      </c>
      <c r="KL155" s="24">
        <v>0</v>
      </c>
      <c r="KM155" s="24">
        <v>0</v>
      </c>
      <c r="KN155" s="24">
        <v>0</v>
      </c>
      <c r="KO155" s="24">
        <v>0</v>
      </c>
      <c r="KP155" s="24">
        <v>0</v>
      </c>
      <c r="KQ155" s="24">
        <v>0</v>
      </c>
      <c r="KR155" s="24">
        <v>0</v>
      </c>
      <c r="KS155" s="24">
        <v>0</v>
      </c>
      <c r="KT155" s="24">
        <v>0</v>
      </c>
      <c r="KU155" s="24">
        <v>0</v>
      </c>
      <c r="KV155" s="24">
        <v>0</v>
      </c>
      <c r="KW155" s="24">
        <v>0</v>
      </c>
      <c r="KX155" s="24">
        <v>0</v>
      </c>
      <c r="KY155" s="24">
        <v>0</v>
      </c>
      <c r="KZ155" s="24">
        <v>0</v>
      </c>
      <c r="LA155" s="24">
        <v>0</v>
      </c>
      <c r="LB155" s="24">
        <v>0</v>
      </c>
      <c r="LC155" s="24">
        <v>0</v>
      </c>
      <c r="LD155" s="24">
        <v>0</v>
      </c>
      <c r="LE155" s="24">
        <v>0</v>
      </c>
      <c r="LF155" s="24">
        <v>0</v>
      </c>
      <c r="LG155" s="24">
        <v>0</v>
      </c>
      <c r="LH155" s="24">
        <v>0</v>
      </c>
      <c r="LI155" s="24">
        <v>0</v>
      </c>
      <c r="LJ155" s="24">
        <v>0</v>
      </c>
      <c r="LK155" s="24">
        <v>120284</v>
      </c>
      <c r="LL155" s="24">
        <v>0</v>
      </c>
      <c r="LM155" s="24">
        <v>0</v>
      </c>
      <c r="LN155" s="24">
        <v>0</v>
      </c>
      <c r="LO155" s="24">
        <v>0</v>
      </c>
      <c r="LP155" s="24">
        <v>0</v>
      </c>
      <c r="LQ155" s="24">
        <v>17192</v>
      </c>
      <c r="LR155" s="24">
        <v>0</v>
      </c>
      <c r="LS155" s="24">
        <v>0</v>
      </c>
      <c r="LT155" s="24">
        <v>0</v>
      </c>
      <c r="LU155" s="24">
        <v>0</v>
      </c>
      <c r="LV155" s="24">
        <v>0</v>
      </c>
      <c r="LW155" s="24">
        <v>0</v>
      </c>
      <c r="LX155" s="24">
        <v>0</v>
      </c>
      <c r="LY155" s="24">
        <v>0</v>
      </c>
      <c r="LZ155" s="24">
        <v>0</v>
      </c>
      <c r="MA155" s="24">
        <v>0</v>
      </c>
      <c r="MB155" s="24">
        <v>0</v>
      </c>
      <c r="MC155" s="24">
        <v>0</v>
      </c>
      <c r="MD155" s="24">
        <v>0</v>
      </c>
      <c r="ME155" s="24">
        <v>0</v>
      </c>
      <c r="MF155" s="24">
        <v>0</v>
      </c>
      <c r="MG155" s="24">
        <v>0</v>
      </c>
      <c r="MH155" s="24">
        <v>0</v>
      </c>
      <c r="MI155" s="24">
        <v>0</v>
      </c>
      <c r="MJ155" s="24">
        <v>0</v>
      </c>
      <c r="MK155" s="24">
        <v>0</v>
      </c>
      <c r="ML155" s="24">
        <v>0</v>
      </c>
      <c r="MM155" s="24">
        <v>0</v>
      </c>
      <c r="MN155" s="24">
        <v>0</v>
      </c>
      <c r="MO155" s="24">
        <v>0</v>
      </c>
      <c r="MP155" s="24">
        <v>0</v>
      </c>
      <c r="MQ155" s="24">
        <v>0</v>
      </c>
      <c r="MR155" s="24">
        <v>0</v>
      </c>
      <c r="MS155" s="24">
        <v>0</v>
      </c>
      <c r="MT155" s="24">
        <v>9876</v>
      </c>
      <c r="MU155" s="24">
        <v>0</v>
      </c>
      <c r="MV155" s="24">
        <v>0</v>
      </c>
      <c r="MW155" s="24">
        <v>12566</v>
      </c>
      <c r="MX155" s="24">
        <v>0</v>
      </c>
      <c r="MY155" s="24">
        <v>0</v>
      </c>
      <c r="MZ155" s="24">
        <v>0</v>
      </c>
      <c r="NA155" s="24">
        <v>0</v>
      </c>
      <c r="NB155" s="24">
        <v>0</v>
      </c>
      <c r="NC155" s="24">
        <v>0</v>
      </c>
      <c r="ND155" s="24">
        <v>0</v>
      </c>
      <c r="NE155" s="24">
        <v>0</v>
      </c>
      <c r="NF155" s="24">
        <v>0</v>
      </c>
      <c r="NG155" s="24">
        <v>0</v>
      </c>
      <c r="NH155" s="24">
        <v>0</v>
      </c>
      <c r="NI155" s="24">
        <v>0</v>
      </c>
      <c r="NJ155" s="24">
        <v>0</v>
      </c>
      <c r="NK155" s="24">
        <v>0</v>
      </c>
      <c r="NL155" s="24">
        <v>0</v>
      </c>
      <c r="NM155" s="24">
        <v>0</v>
      </c>
      <c r="NN155" s="24">
        <v>0</v>
      </c>
      <c r="NO155" s="24">
        <v>0</v>
      </c>
      <c r="NP155" s="24">
        <v>0</v>
      </c>
      <c r="NQ155" s="24">
        <v>6068</v>
      </c>
      <c r="NR155" s="24">
        <v>0</v>
      </c>
      <c r="NS155" s="24">
        <v>0</v>
      </c>
      <c r="NT155" s="24">
        <v>0</v>
      </c>
      <c r="NU155" s="24">
        <v>0</v>
      </c>
      <c r="NV155" s="24">
        <v>9047</v>
      </c>
      <c r="NW155" s="24">
        <v>0</v>
      </c>
      <c r="NX155" s="24">
        <v>0</v>
      </c>
      <c r="NY155" s="24">
        <v>0</v>
      </c>
      <c r="NZ155" s="24">
        <v>0</v>
      </c>
      <c r="OA155" s="24">
        <v>0</v>
      </c>
      <c r="OB155" s="24">
        <v>0</v>
      </c>
      <c r="OC155" s="24">
        <v>0</v>
      </c>
      <c r="OD155" s="24">
        <v>0</v>
      </c>
      <c r="OE155" s="24">
        <v>0</v>
      </c>
      <c r="OF155" s="24">
        <v>0</v>
      </c>
      <c r="OG155" s="24">
        <v>0</v>
      </c>
      <c r="OH155" s="24">
        <v>0</v>
      </c>
      <c r="OI155" s="24">
        <v>0</v>
      </c>
      <c r="OJ155" s="24">
        <v>0</v>
      </c>
      <c r="OK155" s="24">
        <v>0</v>
      </c>
      <c r="OL155" s="24">
        <v>0</v>
      </c>
      <c r="OM155" s="24">
        <v>0</v>
      </c>
      <c r="ON155" s="24">
        <v>0</v>
      </c>
      <c r="OO155" s="24">
        <v>0</v>
      </c>
      <c r="OP155" s="24">
        <v>0</v>
      </c>
      <c r="OQ155" s="24">
        <v>0</v>
      </c>
      <c r="OR155" s="24">
        <v>0</v>
      </c>
      <c r="OS155" s="24">
        <v>0</v>
      </c>
      <c r="OT155" s="24">
        <v>0</v>
      </c>
      <c r="OU155" s="24">
        <v>0</v>
      </c>
      <c r="OV155" s="24">
        <v>0</v>
      </c>
      <c r="OW155" s="24">
        <v>0</v>
      </c>
      <c r="OX155" s="24">
        <v>0</v>
      </c>
      <c r="OY155" s="24">
        <v>0</v>
      </c>
      <c r="OZ155" s="24">
        <v>0</v>
      </c>
      <c r="PA155" s="24">
        <v>0</v>
      </c>
      <c r="PB155" s="24">
        <v>0</v>
      </c>
      <c r="PC155" s="24">
        <v>0</v>
      </c>
      <c r="PD155" s="24">
        <v>0</v>
      </c>
      <c r="PE155" s="24">
        <v>0</v>
      </c>
      <c r="PF155" s="24">
        <v>0</v>
      </c>
      <c r="PG155" s="24">
        <v>0</v>
      </c>
      <c r="PH155" s="24">
        <v>0</v>
      </c>
      <c r="PI155" s="24">
        <v>0</v>
      </c>
      <c r="PJ155" s="24">
        <v>0</v>
      </c>
      <c r="PK155" s="24">
        <v>0</v>
      </c>
      <c r="PL155" s="24">
        <v>0</v>
      </c>
      <c r="PM155" s="24">
        <v>0</v>
      </c>
      <c r="PN155" s="24">
        <v>0</v>
      </c>
      <c r="PO155" s="24">
        <v>0</v>
      </c>
      <c r="PP155" s="24">
        <v>0</v>
      </c>
      <c r="PQ155" s="24">
        <v>0</v>
      </c>
      <c r="PR155" s="24">
        <v>0</v>
      </c>
      <c r="PS155" s="24">
        <v>0</v>
      </c>
      <c r="PT155" s="24">
        <v>0</v>
      </c>
      <c r="PU155" s="24">
        <v>0</v>
      </c>
      <c r="PV155" s="24">
        <v>0</v>
      </c>
      <c r="PW155" s="24">
        <v>0</v>
      </c>
      <c r="PX155" s="24">
        <v>0</v>
      </c>
      <c r="PY155" s="24">
        <v>0</v>
      </c>
      <c r="PZ155" s="24">
        <v>0</v>
      </c>
      <c r="QA155" s="24">
        <v>0</v>
      </c>
      <c r="QB155" s="24">
        <v>0</v>
      </c>
      <c r="QC155" s="24">
        <v>0</v>
      </c>
      <c r="QD155" s="24">
        <v>0</v>
      </c>
      <c r="QE155" s="24">
        <v>0</v>
      </c>
      <c r="QF155" s="24">
        <v>0</v>
      </c>
      <c r="QG155" s="24">
        <v>0</v>
      </c>
      <c r="QH155" s="24">
        <v>0</v>
      </c>
      <c r="QI155" s="24">
        <v>0</v>
      </c>
      <c r="QJ155" s="24">
        <v>0</v>
      </c>
      <c r="QK155" s="24">
        <v>0</v>
      </c>
      <c r="QL155" s="24">
        <v>0</v>
      </c>
      <c r="QM155" s="24">
        <v>0</v>
      </c>
      <c r="QN155" s="24">
        <v>0</v>
      </c>
      <c r="QO155" s="24">
        <v>0</v>
      </c>
      <c r="QP155" s="24">
        <v>0</v>
      </c>
      <c r="QQ155" s="24">
        <v>0</v>
      </c>
      <c r="QR155" s="24">
        <v>0</v>
      </c>
      <c r="QS155" s="24">
        <v>0</v>
      </c>
      <c r="QT155" s="24">
        <v>0</v>
      </c>
      <c r="QU155" s="24">
        <v>0</v>
      </c>
      <c r="QV155" s="24">
        <v>0</v>
      </c>
      <c r="QW155" s="24">
        <v>0</v>
      </c>
      <c r="QX155" s="24">
        <v>0</v>
      </c>
      <c r="QY155" s="24">
        <v>0</v>
      </c>
      <c r="QZ155" s="24">
        <v>0</v>
      </c>
      <c r="RA155" s="24">
        <v>0</v>
      </c>
      <c r="RB155" s="24">
        <v>0</v>
      </c>
      <c r="RC155" s="913">
        <v>2</v>
      </c>
      <c r="RG155" s="39">
        <f t="shared" si="248"/>
        <v>472685</v>
      </c>
      <c r="RH155" s="39">
        <f t="shared" si="248"/>
        <v>109342</v>
      </c>
      <c r="RI155" s="39">
        <f t="shared" si="248"/>
        <v>0</v>
      </c>
      <c r="RJ155" s="39">
        <f t="shared" si="248"/>
        <v>0</v>
      </c>
      <c r="RK155" s="39">
        <f t="shared" si="248"/>
        <v>0</v>
      </c>
      <c r="RL155" s="39">
        <f t="shared" si="248"/>
        <v>60653</v>
      </c>
      <c r="RM155" s="39">
        <f t="shared" si="248"/>
        <v>2795</v>
      </c>
      <c r="RN155" s="39">
        <f t="shared" si="248"/>
        <v>0</v>
      </c>
      <c r="RO155" s="39">
        <f t="shared" si="248"/>
        <v>0</v>
      </c>
      <c r="RP155" s="39">
        <f t="shared" si="248"/>
        <v>3718</v>
      </c>
      <c r="RQ155" s="39">
        <f t="shared" si="248"/>
        <v>0</v>
      </c>
      <c r="RR155" s="39">
        <f t="shared" si="325"/>
        <v>97666</v>
      </c>
      <c r="RS155" s="39"/>
      <c r="RT155" s="182"/>
      <c r="RU155" s="39"/>
      <c r="RV155" s="39">
        <f t="shared" si="302"/>
        <v>175033</v>
      </c>
      <c r="RW155" s="39">
        <f t="shared" si="302"/>
        <v>746859</v>
      </c>
      <c r="RX155" s="39">
        <f t="shared" si="302"/>
        <v>59806</v>
      </c>
      <c r="RY155" s="39">
        <f t="shared" si="302"/>
        <v>0</v>
      </c>
      <c r="RZ155" s="39"/>
      <c r="SA155" s="182"/>
      <c r="SB155" s="39"/>
      <c r="SC155" s="25">
        <f t="shared" si="303"/>
        <v>757.03797468354435</v>
      </c>
      <c r="SD155" s="39">
        <f>IFERROR(VLOOKUP(A155, 'Levy Data 15-16'!$B:$O, 3, FALSE), 0)</f>
        <v>0</v>
      </c>
      <c r="SE155" s="39">
        <f t="shared" si="265"/>
        <v>0</v>
      </c>
      <c r="SF155" s="631">
        <f>IFERROR(VLOOKUP(A155, 'Levy Data 15-16'!$B:$O, 14, FALSE), 0)*1000</f>
        <v>0</v>
      </c>
      <c r="SG155" s="39">
        <f t="shared" si="266"/>
        <v>0</v>
      </c>
      <c r="SH155" s="39">
        <f t="shared" si="267"/>
        <v>0</v>
      </c>
      <c r="SI155" s="39">
        <f t="shared" si="268"/>
        <v>59806</v>
      </c>
      <c r="SM155" s="39">
        <f t="shared" si="269"/>
        <v>746859</v>
      </c>
      <c r="SN155" s="39">
        <f t="shared" si="270"/>
        <v>0</v>
      </c>
      <c r="SO155" s="39">
        <f t="shared" si="304"/>
        <v>746859</v>
      </c>
      <c r="SP155" s="50">
        <f t="shared" ref="SP155:SP162" si="326">(SM155-SN155)/SM155</f>
        <v>1</v>
      </c>
      <c r="ST155" s="124">
        <f>IFERROR(VLOOKUP(A155,'Grade Enroll 15-16'!B:AC,27,FALSE),"")</f>
        <v>79</v>
      </c>
      <c r="SU155" s="124">
        <f t="shared" ref="SU155:SU163" si="327">SV155*(ST155)</f>
        <v>46.522222222222226</v>
      </c>
      <c r="SV155" s="131">
        <f>IFERROR(VLOOKUP($A155, 'Title I Enroll 16-17'!S:V, 4, FALSE), 0)</f>
        <v>0.58888888888888891</v>
      </c>
      <c r="SW155" s="729">
        <f>IFERROR(VLOOKUP(A155, 'ELL Enroll 15-16'!$N:$S, 6, FALSE), 0)</f>
        <v>5</v>
      </c>
      <c r="SX155" s="131">
        <f t="shared" ref="SX155:SX163" si="328">SW155/ST155</f>
        <v>6.3291139240506333E-2</v>
      </c>
      <c r="SY155" s="124">
        <f>IFERROR(VLOOKUP(A155, 'SPED enroll 2015-16'!$M:$O, 3, FALSE), 0)</f>
        <v>10</v>
      </c>
      <c r="SZ155" s="131">
        <f t="shared" ref="SZ155:SZ163" si="329">SY155/ST155</f>
        <v>0.12658227848101267</v>
      </c>
      <c r="TA155" s="142">
        <f t="shared" si="253"/>
        <v>7</v>
      </c>
      <c r="TB155" s="142">
        <f t="shared" si="253"/>
        <v>2</v>
      </c>
      <c r="TC155" s="142">
        <f t="shared" si="253"/>
        <v>0.70000000000000007</v>
      </c>
      <c r="TD155" s="142">
        <f t="shared" si="253"/>
        <v>0.3</v>
      </c>
      <c r="TE155" s="124">
        <f>VLOOKUP($A155, 'Grade Enroll 15-16'!$B:$AB, 20, FALSE)</f>
        <v>0</v>
      </c>
      <c r="TF155" s="124">
        <f>VLOOKUP($A155, 'Grade Enroll 15-16'!$B:$AB, 21, FALSE)</f>
        <v>0</v>
      </c>
      <c r="TG155" s="124">
        <f>VLOOKUP($A155, 'Grade Enroll 15-16'!$B:$AB, 22, FALSE)</f>
        <v>0</v>
      </c>
      <c r="TH155" s="124">
        <f>VLOOKUP($A155, 'Grade Enroll 15-16'!$B:$AB, 23, FALSE)</f>
        <v>0</v>
      </c>
      <c r="TI155" s="124">
        <f>VLOOKUP($A155, 'Grade Enroll 15-16'!$B:$AB, 24, FALSE)</f>
        <v>0</v>
      </c>
      <c r="TJ155" s="124">
        <f>VLOOKUP($A155, 'Grade Enroll 15-16'!$B:$AB, 25, FALSE)</f>
        <v>79</v>
      </c>
      <c r="TK155" s="124">
        <f>VLOOKUP($A155, 'Grade Enroll 15-16'!$B:$AB, 26, FALSE)</f>
        <v>60</v>
      </c>
      <c r="TL155" s="131">
        <f>SUMIFS('Student Achievement 15-16'!N:N, 'Student Achievement 15-16'!B:B, 'Idaho Data'!A155, 'Student Achievement 15-16'!D:D, "math")/100</f>
        <v>0.05</v>
      </c>
      <c r="TM155" s="134">
        <f t="shared" si="305"/>
        <v>3.95</v>
      </c>
      <c r="TN155" s="131">
        <f>SUMIFS('Student Achievement 15-16'!N:N, 'Student Achievement 15-16'!B:B, 'Idaho Data'!A155, 'Student Achievement 15-16'!D:D, "ela")/100</f>
        <v>0.05</v>
      </c>
      <c r="TO155" s="135">
        <f t="shared" ref="TO155:TO163" si="330">TN155*$ST155</f>
        <v>3.95</v>
      </c>
      <c r="TP155" s="688">
        <f>IFERROR(VLOOKUP(A155, 'G&amp;T 15-16'!B:G, 6, FALSE), 0)*1</f>
        <v>0</v>
      </c>
      <c r="TQ155" s="168">
        <f t="shared" ref="TQ155:TQ163" si="331">0.06*ST155</f>
        <v>4.74</v>
      </c>
      <c r="TU155" s="168">
        <f t="shared" ref="TU155:TU163" si="332">MIN(TM155,TO155)</f>
        <v>3.95</v>
      </c>
      <c r="TV155" s="168">
        <f t="shared" ref="TV155:TV163" si="333">MAX(TM155,TO155)</f>
        <v>3.95</v>
      </c>
      <c r="TW155" s="205">
        <f t="shared" ref="TW155:TW163" si="334">IF(TW$4="low", TU155, TV155)</f>
        <v>3.95</v>
      </c>
      <c r="TX155" s="144"/>
      <c r="TY155" s="514"/>
      <c r="TZ155" s="127">
        <f t="shared" ref="TZ155:TZ163" si="335">MIN(TP155:TQ155)</f>
        <v>0</v>
      </c>
      <c r="UA155" s="127">
        <f t="shared" ref="UA155:UA163" si="336">MAX(TP155:TQ155)</f>
        <v>4.74</v>
      </c>
      <c r="UB155" s="205">
        <f t="shared" ref="UB155:UB163" si="337">IF(UB$4="low", TZ155, UA155)</f>
        <v>4.74</v>
      </c>
      <c r="UE155" s="853" t="str">
        <f>IF(ST155&lt;='1. Simulator Input'!$E$104, "yes", "")</f>
        <v>yes</v>
      </c>
      <c r="UI155" s="199">
        <f t="shared" si="306"/>
        <v>0</v>
      </c>
      <c r="UJ155" s="200">
        <f>IF('Idaho Data'!SI155&gt;=0, ((1-'1. Simulator Input'!$E$39)*'Idaho Data'!SI155), 0)</f>
        <v>0</v>
      </c>
      <c r="UK155" s="200">
        <f t="shared" si="262"/>
        <v>746859</v>
      </c>
      <c r="UL155" s="39"/>
      <c r="UM155" s="182"/>
      <c r="UN155" s="39"/>
      <c r="UO155" s="39">
        <f>IF(AND('1. Simulator Input'!$E$96="yes", '1. Simulator Input'!$E$98="yes", '1. Simulator Input'!$E$100="hold harmless"), 'Idaho Data'!WN155, IF(AND('1. Simulator Input'!$E$96="yes", '1. Simulator Input'!$E$98="no", '1. Simulator Input'!$E$100="hold harmless"), 'Idaho Data'!WM155, IF(AND('1. Simulator Input'!$E$96="yes", '1. Simulator Input'!$E$98="yes", '1. Simulator Input'!$E$100="small district grant"), WL155,IF(AND('1. Simulator Input'!$E$96="yes", '1. Simulator Input'!$E$98="no", '1. Simulator Input'!$E$100="small district grant"), WK155, ""))))</f>
        <v>0</v>
      </c>
      <c r="UP155" s="200">
        <f>'1. Simulator Input'!$D$56*('Idaho Data'!ST155)</f>
        <v>436554</v>
      </c>
      <c r="UQ155" s="204">
        <f>'1. Simulator Input'!$D$65*'1. Simulator Input'!$D$56*'Idaho Data'!SU155</f>
        <v>0</v>
      </c>
      <c r="UR155" s="204">
        <f>'1. Simulator Input'!$D$66*'1. Simulator Input'!$D$56*'Idaho Data'!SW155</f>
        <v>0</v>
      </c>
      <c r="US155" s="200">
        <f>'1. Simulator Input'!$D$67*'1. Simulator Input'!$D$56*'Idaho Data'!TA155</f>
        <v>0</v>
      </c>
      <c r="UT155" s="200">
        <f>'1. Simulator Input'!$D$68*'1. Simulator Input'!$D$56*'Idaho Data'!TB155</f>
        <v>0</v>
      </c>
      <c r="UU155" s="200">
        <f>'1. Simulator Input'!$D$69*'1. Simulator Input'!$D$56*'Idaho Data'!TC155</f>
        <v>0</v>
      </c>
      <c r="UV155" s="200">
        <f>'1. Simulator Input'!$D$70*'1. Simulator Input'!$D$56*TD155</f>
        <v>0</v>
      </c>
      <c r="UW155" s="200">
        <f>'1. Simulator Input'!$D$80*'1. Simulator Input'!$D$56*TW155</f>
        <v>0</v>
      </c>
      <c r="UX155" s="200">
        <f>'1. Simulator Input'!$D$79*'1. Simulator Input'!$D$56*UB155</f>
        <v>0</v>
      </c>
      <c r="UY155" s="200">
        <f>'1. Simulator Input'!$D$87*'1. Simulator Input'!$D$56*TF155</f>
        <v>0</v>
      </c>
      <c r="UZ155" s="200">
        <f>'1. Simulator Input'!$D$73*'1. Simulator Input'!$D$56*'Idaho Data'!TG155</f>
        <v>0</v>
      </c>
      <c r="VA155" s="200">
        <f>'1. Simulator Input'!$D$56*'1. Simulator Input'!$D$74*'Idaho Data'!TH155</f>
        <v>0</v>
      </c>
      <c r="VB155" s="200">
        <f>'1. Simulator Input'!$D$56*'1. Simulator Input'!$D$75*'Idaho Data'!TI150</f>
        <v>0</v>
      </c>
      <c r="VC155" s="200">
        <f>'1. Simulator Input'!$D$76*'1. Simulator Input'!$D$56*'Idaho Data'!TJ155</f>
        <v>0</v>
      </c>
      <c r="VD155" s="200">
        <f t="shared" si="307"/>
        <v>436554</v>
      </c>
      <c r="VE155" s="200"/>
      <c r="VF155" s="182"/>
      <c r="VG155" s="200"/>
      <c r="VH155" s="200">
        <f t="shared" si="308"/>
        <v>0</v>
      </c>
      <c r="VI155" s="200">
        <f t="shared" si="309"/>
        <v>0</v>
      </c>
      <c r="VJ155" s="200">
        <f t="shared" si="271"/>
        <v>436554</v>
      </c>
      <c r="VK155" s="200">
        <f t="shared" si="272"/>
        <v>436554</v>
      </c>
      <c r="VL155" s="200"/>
      <c r="VM155" s="182"/>
      <c r="VN155" s="200"/>
      <c r="VO155" s="200">
        <f t="shared" si="310"/>
        <v>175033</v>
      </c>
      <c r="VP155" s="200">
        <f t="shared" si="311"/>
        <v>746859</v>
      </c>
      <c r="VQ155" s="200">
        <f t="shared" si="312"/>
        <v>59806</v>
      </c>
      <c r="VR155" s="200">
        <f t="shared" si="313"/>
        <v>175033</v>
      </c>
      <c r="VS155" s="200">
        <f t="shared" si="273"/>
        <v>436554</v>
      </c>
      <c r="VT155" s="200">
        <f t="shared" si="274"/>
        <v>59806</v>
      </c>
      <c r="VU155" s="200">
        <f t="shared" si="275"/>
        <v>0</v>
      </c>
      <c r="VV155" s="200"/>
      <c r="VW155" s="182"/>
      <c r="VX155" s="200"/>
      <c r="VZ155" s="199">
        <f t="shared" si="314"/>
        <v>-310305</v>
      </c>
      <c r="WA155" s="466">
        <f t="shared" si="315"/>
        <v>-3927.9113924050635</v>
      </c>
      <c r="WB155" s="131">
        <f t="shared" si="316"/>
        <v>-0.41548003036717773</v>
      </c>
      <c r="WC155" s="131"/>
      <c r="WD155" s="461"/>
      <c r="WE155" s="893"/>
      <c r="WF155" s="893">
        <f t="shared" si="317"/>
        <v>12426.556962025317</v>
      </c>
      <c r="WG155" s="893">
        <f t="shared" si="318"/>
        <v>8498.6455696202538</v>
      </c>
      <c r="WH155" s="893"/>
      <c r="WI155" s="893">
        <f t="shared" si="319"/>
        <v>746859</v>
      </c>
      <c r="WJ155" s="893">
        <f t="shared" si="276"/>
        <v>436554</v>
      </c>
      <c r="WK155" s="39">
        <f t="shared" si="277"/>
        <v>0</v>
      </c>
      <c r="WL155" s="39">
        <f t="shared" si="278"/>
        <v>0</v>
      </c>
      <c r="WM155" s="200">
        <f t="shared" si="279"/>
        <v>310305</v>
      </c>
      <c r="WN155" s="39">
        <f t="shared" si="280"/>
        <v>310305</v>
      </c>
      <c r="WO155" s="39"/>
      <c r="WP155" s="182"/>
      <c r="WQ155" s="39"/>
      <c r="WR155" s="305"/>
      <c r="WT155" s="200">
        <f t="shared" si="281"/>
        <v>9453.9113924050635</v>
      </c>
      <c r="WU155" s="131">
        <f t="shared" si="320"/>
        <v>0.84</v>
      </c>
      <c r="WW155" s="199">
        <f t="shared" si="282"/>
        <v>175033</v>
      </c>
      <c r="WX155" s="199">
        <f t="shared" si="283"/>
        <v>436554</v>
      </c>
      <c r="WY155" s="199">
        <f t="shared" si="284"/>
        <v>0</v>
      </c>
      <c r="WZ155" s="199">
        <f t="shared" si="321"/>
        <v>436554</v>
      </c>
      <c r="XA155" s="199">
        <f t="shared" si="285"/>
        <v>0</v>
      </c>
      <c r="XB155" s="199">
        <f t="shared" si="286"/>
        <v>59806</v>
      </c>
      <c r="XC155" s="199">
        <f t="shared" si="287"/>
        <v>59806</v>
      </c>
      <c r="XD155" s="199" t="str">
        <f t="shared" si="288"/>
        <v/>
      </c>
      <c r="XE155" s="199"/>
      <c r="XF155" s="199"/>
      <c r="XG155" s="199"/>
      <c r="XH155" s="199"/>
      <c r="XI155" s="199"/>
      <c r="XJ155" s="199">
        <f t="shared" si="322"/>
        <v>436554</v>
      </c>
      <c r="XP155" s="199">
        <f t="shared" si="289"/>
        <v>436554</v>
      </c>
      <c r="XQ155" s="199">
        <f t="shared" si="290"/>
        <v>5526</v>
      </c>
      <c r="XR155" s="199">
        <f t="shared" si="291"/>
        <v>436554</v>
      </c>
      <c r="XS155" s="199">
        <f t="shared" si="292"/>
        <v>436554</v>
      </c>
      <c r="XT155" s="199">
        <f t="shared" si="293"/>
        <v>5526</v>
      </c>
      <c r="XU155" s="199">
        <f t="shared" si="294"/>
        <v>746859</v>
      </c>
      <c r="XV155" s="199">
        <f t="shared" si="295"/>
        <v>9453.9113924050635</v>
      </c>
      <c r="XW155" s="199">
        <f t="shared" si="296"/>
        <v>746859</v>
      </c>
      <c r="XX155" s="199">
        <f t="shared" si="297"/>
        <v>9453.9113924050635</v>
      </c>
      <c r="XY155" s="199">
        <f t="shared" si="323"/>
        <v>-310305</v>
      </c>
      <c r="XZ155" s="199">
        <f t="shared" si="324"/>
        <v>-3927.9113924050635</v>
      </c>
      <c r="YA155" s="131">
        <f t="shared" ref="YA155:YA163" si="338">XZ155/XV155</f>
        <v>-0.41548003036717773</v>
      </c>
      <c r="YB155" s="199"/>
      <c r="YC155" s="221"/>
      <c r="YD155" s="199"/>
      <c r="YE155" s="199">
        <f t="shared" si="298"/>
        <v>175033</v>
      </c>
      <c r="YF155" s="200">
        <f t="shared" si="299"/>
        <v>0</v>
      </c>
      <c r="YG155" s="199">
        <f t="shared" si="300"/>
        <v>59806</v>
      </c>
      <c r="YH155" s="199">
        <f t="shared" si="301"/>
        <v>0</v>
      </c>
    </row>
    <row r="156" spans="1:658">
      <c r="A156" s="1">
        <v>486</v>
      </c>
      <c r="B156" s="2" t="s">
        <v>253</v>
      </c>
      <c r="C156" s="24">
        <v>0</v>
      </c>
      <c r="D156" s="39">
        <v>0</v>
      </c>
      <c r="E156" s="39">
        <v>0</v>
      </c>
      <c r="F156" s="39">
        <v>0</v>
      </c>
      <c r="G156" s="39">
        <v>0</v>
      </c>
      <c r="H156" s="39">
        <v>0</v>
      </c>
      <c r="I156" s="39">
        <v>0</v>
      </c>
      <c r="J156" s="39">
        <v>0</v>
      </c>
      <c r="K156" s="39">
        <v>0</v>
      </c>
      <c r="L156" s="24">
        <v>0</v>
      </c>
      <c r="M156" s="39">
        <v>0</v>
      </c>
      <c r="N156" s="39">
        <v>0</v>
      </c>
      <c r="O156" s="39">
        <v>0</v>
      </c>
      <c r="P156" s="39">
        <v>0</v>
      </c>
      <c r="Q156" s="39">
        <v>0</v>
      </c>
      <c r="R156" s="39">
        <v>0</v>
      </c>
      <c r="S156" s="39">
        <v>0</v>
      </c>
      <c r="T156" s="39">
        <v>0</v>
      </c>
      <c r="U156" s="39">
        <v>0</v>
      </c>
      <c r="V156" s="39">
        <v>0</v>
      </c>
      <c r="W156" s="39">
        <v>0</v>
      </c>
      <c r="X156" s="39">
        <v>0</v>
      </c>
      <c r="Y156" s="39">
        <v>0</v>
      </c>
      <c r="Z156" s="39">
        <v>0</v>
      </c>
      <c r="AA156" s="39">
        <v>0</v>
      </c>
      <c r="AB156" s="39">
        <v>0</v>
      </c>
      <c r="AC156" s="39">
        <v>0</v>
      </c>
      <c r="AD156" s="39">
        <v>0</v>
      </c>
      <c r="AE156" s="39">
        <v>0</v>
      </c>
      <c r="AF156" s="39">
        <v>0</v>
      </c>
      <c r="AG156" s="39">
        <v>0</v>
      </c>
      <c r="AH156" s="39">
        <v>0</v>
      </c>
      <c r="AI156" s="39">
        <v>0</v>
      </c>
      <c r="AJ156" s="39">
        <v>0</v>
      </c>
      <c r="AK156" s="39">
        <v>0</v>
      </c>
      <c r="AL156" s="39">
        <v>1009</v>
      </c>
      <c r="AM156" s="39">
        <v>0</v>
      </c>
      <c r="AN156" s="39">
        <v>63</v>
      </c>
      <c r="AO156" s="39">
        <v>0</v>
      </c>
      <c r="AP156" s="39">
        <v>0</v>
      </c>
      <c r="AQ156" s="39">
        <v>0</v>
      </c>
      <c r="AR156" s="39">
        <v>0</v>
      </c>
      <c r="AS156" s="39">
        <v>0</v>
      </c>
      <c r="AT156" s="39">
        <v>0</v>
      </c>
      <c r="AU156" s="39">
        <v>0</v>
      </c>
      <c r="AV156" s="39">
        <v>0</v>
      </c>
      <c r="AW156" s="39">
        <v>0</v>
      </c>
      <c r="AX156" s="39">
        <v>0</v>
      </c>
      <c r="AY156" s="39">
        <v>0</v>
      </c>
      <c r="AZ156" s="39">
        <v>0</v>
      </c>
      <c r="BA156" s="39">
        <v>0</v>
      </c>
      <c r="BB156" s="39">
        <v>0</v>
      </c>
      <c r="BC156" s="39">
        <v>0</v>
      </c>
      <c r="BD156" s="39">
        <v>0</v>
      </c>
      <c r="BE156" s="39">
        <v>0</v>
      </c>
      <c r="BF156" s="39">
        <v>0</v>
      </c>
      <c r="BG156" s="39">
        <v>0</v>
      </c>
      <c r="BH156" s="39">
        <v>0</v>
      </c>
      <c r="BI156" s="39">
        <v>0</v>
      </c>
      <c r="BJ156" s="39">
        <v>0</v>
      </c>
      <c r="BK156" s="39">
        <v>0</v>
      </c>
      <c r="BL156" s="39">
        <v>0</v>
      </c>
      <c r="BM156" s="39">
        <v>0</v>
      </c>
      <c r="BN156" s="39">
        <v>0</v>
      </c>
      <c r="BO156" s="39">
        <v>0</v>
      </c>
      <c r="BP156" s="39">
        <v>0</v>
      </c>
      <c r="BQ156" s="39">
        <v>0</v>
      </c>
      <c r="BR156" s="39">
        <v>0</v>
      </c>
      <c r="BS156" s="39">
        <v>0</v>
      </c>
      <c r="BT156" s="39">
        <v>0</v>
      </c>
      <c r="BU156" s="39">
        <v>0</v>
      </c>
      <c r="BV156" s="39">
        <v>0</v>
      </c>
      <c r="BW156" s="39">
        <v>0</v>
      </c>
      <c r="BX156" s="39">
        <v>0</v>
      </c>
      <c r="BY156" s="39">
        <v>0</v>
      </c>
      <c r="BZ156" s="39">
        <v>0</v>
      </c>
      <c r="CA156" s="39">
        <v>0</v>
      </c>
      <c r="CB156" s="39">
        <v>0</v>
      </c>
      <c r="CC156" s="39">
        <v>0</v>
      </c>
      <c r="CD156" s="39">
        <v>0</v>
      </c>
      <c r="CE156" s="39">
        <v>0</v>
      </c>
      <c r="CF156" s="39">
        <v>0</v>
      </c>
      <c r="CG156" s="39">
        <v>0</v>
      </c>
      <c r="CH156" s="39">
        <v>0</v>
      </c>
      <c r="CI156" s="39">
        <v>0</v>
      </c>
      <c r="CJ156" s="39">
        <v>0</v>
      </c>
      <c r="CK156" s="39">
        <v>0</v>
      </c>
      <c r="CL156" s="39">
        <v>0</v>
      </c>
      <c r="CM156" s="39">
        <v>0</v>
      </c>
      <c r="CN156" s="39">
        <v>0</v>
      </c>
      <c r="CO156" s="39">
        <v>0</v>
      </c>
      <c r="CP156" s="39">
        <v>0</v>
      </c>
      <c r="CQ156" s="39">
        <v>0</v>
      </c>
      <c r="CR156" s="39">
        <v>0</v>
      </c>
      <c r="CS156" s="39">
        <v>0</v>
      </c>
      <c r="CT156" s="39">
        <v>0</v>
      </c>
      <c r="CU156" s="39">
        <v>0</v>
      </c>
      <c r="CV156" s="39">
        <v>0</v>
      </c>
      <c r="CW156" s="39">
        <v>0</v>
      </c>
      <c r="CX156" s="39">
        <v>0</v>
      </c>
      <c r="CY156" s="39">
        <v>0</v>
      </c>
      <c r="CZ156" s="39">
        <v>0</v>
      </c>
      <c r="DA156" s="39">
        <v>0</v>
      </c>
      <c r="DB156" s="39">
        <v>0</v>
      </c>
      <c r="DC156" s="39">
        <v>0</v>
      </c>
      <c r="DD156" s="39">
        <v>0</v>
      </c>
      <c r="DE156" s="39">
        <v>0</v>
      </c>
      <c r="DF156" s="39">
        <v>0</v>
      </c>
      <c r="DG156" s="39">
        <v>0</v>
      </c>
      <c r="DH156" s="39">
        <v>0</v>
      </c>
      <c r="DI156" s="39">
        <v>0</v>
      </c>
      <c r="DJ156" s="39">
        <v>0</v>
      </c>
      <c r="DK156" s="39">
        <v>0</v>
      </c>
      <c r="DL156" s="39">
        <v>0</v>
      </c>
      <c r="DM156" s="39">
        <v>0</v>
      </c>
      <c r="DN156" s="39">
        <v>0</v>
      </c>
      <c r="DO156" s="39">
        <v>0</v>
      </c>
      <c r="DP156" s="39">
        <v>0</v>
      </c>
      <c r="DQ156" s="39">
        <v>0</v>
      </c>
      <c r="DR156" s="39">
        <v>0</v>
      </c>
      <c r="DS156" s="39">
        <v>0</v>
      </c>
      <c r="DT156" s="39">
        <v>0</v>
      </c>
      <c r="DU156" s="39">
        <v>0</v>
      </c>
      <c r="DV156" s="39">
        <v>0</v>
      </c>
      <c r="DW156" s="39">
        <v>0</v>
      </c>
      <c r="DX156" s="39">
        <v>0</v>
      </c>
      <c r="DY156" s="39">
        <v>0</v>
      </c>
      <c r="DZ156" s="39">
        <v>0</v>
      </c>
      <c r="EA156" s="39">
        <v>0</v>
      </c>
      <c r="EB156" s="39">
        <v>0</v>
      </c>
      <c r="EC156" s="39">
        <v>0</v>
      </c>
      <c r="ED156" s="39">
        <v>0</v>
      </c>
      <c r="EE156" s="39">
        <v>0</v>
      </c>
      <c r="EF156" s="39">
        <v>0</v>
      </c>
      <c r="EG156" s="39">
        <v>3860</v>
      </c>
      <c r="EH156" s="39">
        <v>0</v>
      </c>
      <c r="EI156" s="39">
        <v>0</v>
      </c>
      <c r="EJ156" s="39">
        <v>0</v>
      </c>
      <c r="EK156" s="39">
        <v>0</v>
      </c>
      <c r="EL156" s="39">
        <v>0</v>
      </c>
      <c r="EM156" s="39">
        <v>0</v>
      </c>
      <c r="EN156" s="39">
        <v>0</v>
      </c>
      <c r="EO156" s="39">
        <v>0</v>
      </c>
      <c r="EP156" s="39">
        <v>0</v>
      </c>
      <c r="EQ156" s="39">
        <v>0</v>
      </c>
      <c r="ER156" s="39">
        <v>0</v>
      </c>
      <c r="ES156" s="39">
        <v>0</v>
      </c>
      <c r="ET156" s="39">
        <v>0</v>
      </c>
      <c r="EU156" s="39">
        <v>0</v>
      </c>
      <c r="EV156" s="39">
        <v>0</v>
      </c>
      <c r="EW156" s="39">
        <v>0</v>
      </c>
      <c r="EX156" s="39">
        <v>0</v>
      </c>
      <c r="EY156" s="39">
        <v>0</v>
      </c>
      <c r="EZ156" s="39">
        <v>0</v>
      </c>
      <c r="FA156" s="39">
        <v>0</v>
      </c>
      <c r="FB156" s="39">
        <v>0</v>
      </c>
      <c r="FC156" s="39">
        <v>0</v>
      </c>
      <c r="FD156" s="39">
        <v>0</v>
      </c>
      <c r="FE156" s="39">
        <v>0</v>
      </c>
      <c r="FF156" s="39">
        <v>0</v>
      </c>
      <c r="FG156" s="39">
        <v>0</v>
      </c>
      <c r="FH156" s="39">
        <v>0</v>
      </c>
      <c r="FI156" s="39">
        <v>0</v>
      </c>
      <c r="FJ156" s="39">
        <v>0</v>
      </c>
      <c r="FK156" s="39">
        <v>0</v>
      </c>
      <c r="FL156" s="39">
        <v>0</v>
      </c>
      <c r="FM156" s="39">
        <v>0</v>
      </c>
      <c r="FN156" s="39">
        <v>0</v>
      </c>
      <c r="FO156" s="39">
        <v>0</v>
      </c>
      <c r="FP156" s="39">
        <v>0</v>
      </c>
      <c r="FQ156" s="39">
        <v>0</v>
      </c>
      <c r="FR156" s="39">
        <v>0</v>
      </c>
      <c r="FS156" s="39">
        <v>296</v>
      </c>
      <c r="FT156" s="39">
        <v>0</v>
      </c>
      <c r="FU156" s="39">
        <v>5600</v>
      </c>
      <c r="FV156" s="39">
        <v>0</v>
      </c>
      <c r="FW156" s="39">
        <v>0</v>
      </c>
      <c r="FX156" s="39">
        <v>0</v>
      </c>
      <c r="FY156" s="39">
        <v>0</v>
      </c>
      <c r="FZ156" s="39">
        <v>25000</v>
      </c>
      <c r="GA156" s="39">
        <v>0</v>
      </c>
      <c r="GB156" s="39">
        <v>0</v>
      </c>
      <c r="GC156" s="39">
        <v>0</v>
      </c>
      <c r="GD156" s="39">
        <v>0</v>
      </c>
      <c r="GE156" s="39">
        <v>0</v>
      </c>
      <c r="GF156" s="39">
        <v>0</v>
      </c>
      <c r="GG156" s="39">
        <v>0</v>
      </c>
      <c r="GH156" s="39">
        <v>0</v>
      </c>
      <c r="GI156" s="39">
        <v>0</v>
      </c>
      <c r="GJ156" s="39">
        <v>0</v>
      </c>
      <c r="GK156" s="39">
        <v>0</v>
      </c>
      <c r="GL156" s="39">
        <v>0</v>
      </c>
      <c r="GM156" s="39">
        <v>0</v>
      </c>
      <c r="GN156" s="39">
        <v>0</v>
      </c>
      <c r="GO156" s="39">
        <v>0</v>
      </c>
      <c r="GP156" s="39">
        <v>0</v>
      </c>
      <c r="GQ156" s="39">
        <v>0</v>
      </c>
      <c r="GR156" s="39">
        <v>0</v>
      </c>
      <c r="GS156" s="39">
        <v>0</v>
      </c>
      <c r="GT156" s="39">
        <v>0</v>
      </c>
      <c r="GU156" s="39">
        <v>0</v>
      </c>
      <c r="GV156" s="39">
        <v>0</v>
      </c>
      <c r="GW156" s="39">
        <v>0</v>
      </c>
      <c r="GX156" s="39">
        <v>0</v>
      </c>
      <c r="GY156" s="39">
        <v>0</v>
      </c>
      <c r="GZ156" s="39">
        <v>0</v>
      </c>
      <c r="HA156" s="39">
        <v>0</v>
      </c>
      <c r="HB156" s="39">
        <v>0</v>
      </c>
      <c r="HC156" s="39">
        <v>0</v>
      </c>
      <c r="HD156" s="39">
        <v>603296</v>
      </c>
      <c r="HE156" s="39">
        <v>0</v>
      </c>
      <c r="HF156" s="39">
        <v>0</v>
      </c>
      <c r="HG156" s="39">
        <v>0</v>
      </c>
      <c r="HH156" s="39">
        <v>0</v>
      </c>
      <c r="HI156" s="39">
        <v>27782</v>
      </c>
      <c r="HJ156" s="39">
        <v>0</v>
      </c>
      <c r="HK156" s="39">
        <v>0</v>
      </c>
      <c r="HL156" s="39">
        <v>0</v>
      </c>
      <c r="HM156" s="39">
        <v>0</v>
      </c>
      <c r="HN156" s="39">
        <v>0</v>
      </c>
      <c r="HO156" s="39">
        <v>80578</v>
      </c>
      <c r="HP156" s="39">
        <v>87945</v>
      </c>
      <c r="HQ156" s="39">
        <v>0</v>
      </c>
      <c r="HR156" s="39">
        <v>0</v>
      </c>
      <c r="HS156" s="39">
        <v>0</v>
      </c>
      <c r="HT156" s="39">
        <v>0</v>
      </c>
      <c r="HU156" s="39">
        <v>0</v>
      </c>
      <c r="HV156" s="39">
        <v>0</v>
      </c>
      <c r="HW156" s="39">
        <v>0</v>
      </c>
      <c r="HX156" s="39">
        <v>0</v>
      </c>
      <c r="HY156" s="39">
        <v>0</v>
      </c>
      <c r="HZ156" s="39">
        <v>0</v>
      </c>
      <c r="IA156" s="39">
        <v>14435</v>
      </c>
      <c r="IB156" s="39">
        <v>3130</v>
      </c>
      <c r="IC156" s="39">
        <v>0</v>
      </c>
      <c r="ID156" s="39">
        <v>0</v>
      </c>
      <c r="IE156" s="39">
        <v>0</v>
      </c>
      <c r="IF156" s="39">
        <v>0</v>
      </c>
      <c r="IG156" s="39">
        <v>0</v>
      </c>
      <c r="IH156" s="39">
        <v>0</v>
      </c>
      <c r="II156" s="39">
        <v>0</v>
      </c>
      <c r="IJ156" s="39">
        <v>0</v>
      </c>
      <c r="IK156" s="39">
        <v>0</v>
      </c>
      <c r="IL156" s="39">
        <v>0</v>
      </c>
      <c r="IM156" s="39">
        <v>0</v>
      </c>
      <c r="IN156" s="39">
        <v>0</v>
      </c>
      <c r="IO156" s="39">
        <v>0</v>
      </c>
      <c r="IP156" s="39">
        <v>0</v>
      </c>
      <c r="IQ156" s="39">
        <v>0</v>
      </c>
      <c r="IR156" s="39">
        <v>0</v>
      </c>
      <c r="IS156" s="39">
        <v>0</v>
      </c>
      <c r="IT156" s="39">
        <v>0</v>
      </c>
      <c r="IU156" s="39">
        <v>0</v>
      </c>
      <c r="IV156" s="39">
        <v>0</v>
      </c>
      <c r="IW156" s="39">
        <v>5265</v>
      </c>
      <c r="IX156" s="39">
        <v>0</v>
      </c>
      <c r="IY156" s="39">
        <v>0</v>
      </c>
      <c r="IZ156" s="39">
        <v>0</v>
      </c>
      <c r="JA156" s="39">
        <v>0</v>
      </c>
      <c r="JB156" s="39">
        <v>0</v>
      </c>
      <c r="JC156" s="39">
        <v>0</v>
      </c>
      <c r="JD156" s="39">
        <v>0</v>
      </c>
      <c r="JE156" s="39">
        <v>0</v>
      </c>
      <c r="JF156" s="39">
        <v>0</v>
      </c>
      <c r="JG156" s="39">
        <v>0</v>
      </c>
      <c r="JH156" s="39">
        <v>0</v>
      </c>
      <c r="JI156" s="39">
        <v>0</v>
      </c>
      <c r="JJ156" s="39">
        <v>0</v>
      </c>
      <c r="JK156" s="39">
        <v>0</v>
      </c>
      <c r="JL156" s="39">
        <v>0</v>
      </c>
      <c r="JM156" s="39">
        <v>0</v>
      </c>
      <c r="JN156" s="39">
        <v>0</v>
      </c>
      <c r="JO156" s="39">
        <v>0</v>
      </c>
      <c r="JP156" s="39">
        <v>0</v>
      </c>
      <c r="JQ156" s="39">
        <v>0</v>
      </c>
      <c r="JR156" s="39">
        <v>0</v>
      </c>
      <c r="JS156" s="39">
        <v>0</v>
      </c>
      <c r="JT156" s="39">
        <v>0</v>
      </c>
      <c r="JU156" s="39">
        <v>0</v>
      </c>
      <c r="JV156" s="39">
        <v>0</v>
      </c>
      <c r="JW156" s="39">
        <v>0</v>
      </c>
      <c r="JX156" s="39">
        <v>0</v>
      </c>
      <c r="JY156" s="39">
        <v>0</v>
      </c>
      <c r="JZ156" s="39">
        <v>0</v>
      </c>
      <c r="KA156" s="39">
        <v>0</v>
      </c>
      <c r="KB156" s="39">
        <v>0</v>
      </c>
      <c r="KC156" s="39">
        <v>0</v>
      </c>
      <c r="KD156" s="39">
        <v>0</v>
      </c>
      <c r="KE156" s="39">
        <v>0</v>
      </c>
      <c r="KF156" s="39">
        <v>0</v>
      </c>
      <c r="KG156" s="39">
        <v>0</v>
      </c>
      <c r="KH156" s="39">
        <v>0</v>
      </c>
      <c r="KI156" s="39">
        <v>0</v>
      </c>
      <c r="KJ156" s="39">
        <v>0</v>
      </c>
      <c r="KK156" s="39">
        <v>0</v>
      </c>
      <c r="KL156" s="39">
        <v>0</v>
      </c>
      <c r="KM156" s="39">
        <v>0</v>
      </c>
      <c r="KN156" s="39">
        <v>0</v>
      </c>
      <c r="KO156" s="39">
        <v>0</v>
      </c>
      <c r="KP156" s="39">
        <v>0</v>
      </c>
      <c r="KQ156" s="39">
        <v>0</v>
      </c>
      <c r="KR156" s="39">
        <v>0</v>
      </c>
      <c r="KS156" s="39">
        <v>0</v>
      </c>
      <c r="KT156" s="39">
        <v>0</v>
      </c>
      <c r="KU156" s="39">
        <v>0</v>
      </c>
      <c r="KV156" s="39">
        <v>0</v>
      </c>
      <c r="KW156" s="39">
        <v>0</v>
      </c>
      <c r="KX156" s="39">
        <v>0</v>
      </c>
      <c r="KY156" s="39">
        <v>0</v>
      </c>
      <c r="KZ156" s="39">
        <v>0</v>
      </c>
      <c r="LA156" s="39">
        <v>0</v>
      </c>
      <c r="LB156" s="39">
        <v>0</v>
      </c>
      <c r="LC156" s="39">
        <v>0</v>
      </c>
      <c r="LD156" s="39">
        <v>0</v>
      </c>
      <c r="LE156" s="39">
        <v>0</v>
      </c>
      <c r="LF156" s="39">
        <v>0</v>
      </c>
      <c r="LG156" s="39">
        <v>0</v>
      </c>
      <c r="LH156" s="39">
        <v>0</v>
      </c>
      <c r="LI156" s="39">
        <v>0</v>
      </c>
      <c r="LJ156" s="39">
        <v>0</v>
      </c>
      <c r="LK156" s="39">
        <v>0</v>
      </c>
      <c r="LL156" s="39">
        <v>0</v>
      </c>
      <c r="LM156" s="39">
        <v>0</v>
      </c>
      <c r="LN156" s="39">
        <v>0</v>
      </c>
      <c r="LO156" s="39">
        <v>0</v>
      </c>
      <c r="LP156" s="39">
        <v>0</v>
      </c>
      <c r="LQ156" s="39">
        <v>0</v>
      </c>
      <c r="LR156" s="39">
        <v>0</v>
      </c>
      <c r="LS156" s="39">
        <v>0</v>
      </c>
      <c r="LT156" s="39">
        <v>0</v>
      </c>
      <c r="LU156" s="39">
        <v>0</v>
      </c>
      <c r="LV156" s="39">
        <v>0</v>
      </c>
      <c r="LW156" s="39">
        <v>0</v>
      </c>
      <c r="LX156" s="39">
        <v>0</v>
      </c>
      <c r="LY156" s="39">
        <v>0</v>
      </c>
      <c r="LZ156" s="39">
        <v>0</v>
      </c>
      <c r="MA156" s="39">
        <v>0</v>
      </c>
      <c r="MB156" s="39">
        <v>0</v>
      </c>
      <c r="MC156" s="39">
        <v>0</v>
      </c>
      <c r="MD156" s="39">
        <v>0</v>
      </c>
      <c r="ME156" s="39">
        <v>0</v>
      </c>
      <c r="MF156" s="39">
        <v>0</v>
      </c>
      <c r="MG156" s="39">
        <v>0</v>
      </c>
      <c r="MH156" s="39">
        <v>0</v>
      </c>
      <c r="MI156" s="39">
        <v>0</v>
      </c>
      <c r="MJ156" s="39">
        <v>0</v>
      </c>
      <c r="MK156" s="39">
        <v>0</v>
      </c>
      <c r="ML156" s="39">
        <v>0</v>
      </c>
      <c r="MM156" s="39">
        <v>0</v>
      </c>
      <c r="MN156" s="39">
        <v>0</v>
      </c>
      <c r="MO156" s="39">
        <v>0</v>
      </c>
      <c r="MP156" s="39">
        <v>0</v>
      </c>
      <c r="MQ156" s="39">
        <v>0</v>
      </c>
      <c r="MR156" s="39">
        <v>0</v>
      </c>
      <c r="MS156" s="39">
        <v>0</v>
      </c>
      <c r="MT156" s="39">
        <v>0</v>
      </c>
      <c r="MU156" s="39">
        <v>0</v>
      </c>
      <c r="MV156" s="39">
        <v>0</v>
      </c>
      <c r="MW156" s="39">
        <v>0</v>
      </c>
      <c r="MX156" s="39">
        <v>0</v>
      </c>
      <c r="MY156" s="39">
        <v>0</v>
      </c>
      <c r="MZ156" s="39">
        <v>0</v>
      </c>
      <c r="NA156" s="39">
        <v>0</v>
      </c>
      <c r="NB156" s="39">
        <v>0</v>
      </c>
      <c r="NC156" s="39">
        <v>0</v>
      </c>
      <c r="ND156" s="39">
        <v>0</v>
      </c>
      <c r="NE156" s="39">
        <v>0</v>
      </c>
      <c r="NF156" s="39">
        <v>0</v>
      </c>
      <c r="NG156" s="39">
        <v>0</v>
      </c>
      <c r="NH156" s="39">
        <v>0</v>
      </c>
      <c r="NI156" s="39">
        <v>0</v>
      </c>
      <c r="NJ156" s="39">
        <v>0</v>
      </c>
      <c r="NK156" s="39">
        <v>0</v>
      </c>
      <c r="NL156" s="39">
        <v>0</v>
      </c>
      <c r="NM156" s="39">
        <v>0</v>
      </c>
      <c r="NN156" s="39">
        <v>0</v>
      </c>
      <c r="NO156" s="39">
        <v>0</v>
      </c>
      <c r="NP156" s="39">
        <v>0</v>
      </c>
      <c r="NQ156" s="39">
        <v>0</v>
      </c>
      <c r="NR156" s="39">
        <v>0</v>
      </c>
      <c r="NS156" s="39">
        <v>0</v>
      </c>
      <c r="NT156" s="39">
        <v>0</v>
      </c>
      <c r="NU156" s="39">
        <v>0</v>
      </c>
      <c r="NV156" s="39">
        <v>0</v>
      </c>
      <c r="NW156" s="39">
        <v>0</v>
      </c>
      <c r="NX156" s="39">
        <v>0</v>
      </c>
      <c r="NY156" s="39">
        <v>0</v>
      </c>
      <c r="NZ156" s="39">
        <v>0</v>
      </c>
      <c r="OA156" s="39">
        <v>0</v>
      </c>
      <c r="OB156" s="39">
        <v>0</v>
      </c>
      <c r="OC156" s="39">
        <v>0</v>
      </c>
      <c r="OD156" s="39">
        <v>0</v>
      </c>
      <c r="OE156" s="39">
        <v>0</v>
      </c>
      <c r="OF156" s="39">
        <v>0</v>
      </c>
      <c r="OG156" s="39">
        <v>0</v>
      </c>
      <c r="OH156" s="39">
        <v>0</v>
      </c>
      <c r="OI156" s="39">
        <v>0</v>
      </c>
      <c r="OJ156" s="39">
        <v>0</v>
      </c>
      <c r="OK156" s="39">
        <v>0</v>
      </c>
      <c r="OL156" s="39">
        <v>0</v>
      </c>
      <c r="OM156" s="39">
        <v>0</v>
      </c>
      <c r="ON156" s="39">
        <v>0</v>
      </c>
      <c r="OO156" s="39">
        <v>0</v>
      </c>
      <c r="OP156" s="39">
        <v>0</v>
      </c>
      <c r="OQ156" s="39">
        <v>0</v>
      </c>
      <c r="OR156" s="39">
        <v>0</v>
      </c>
      <c r="OS156" s="39">
        <v>0</v>
      </c>
      <c r="OT156" s="39">
        <v>0</v>
      </c>
      <c r="OU156" s="39">
        <v>0</v>
      </c>
      <c r="OV156" s="39">
        <v>0</v>
      </c>
      <c r="OW156" s="39">
        <v>0</v>
      </c>
      <c r="OX156" s="39">
        <v>0</v>
      </c>
      <c r="OY156" s="39">
        <v>0</v>
      </c>
      <c r="OZ156" s="39">
        <v>0</v>
      </c>
      <c r="PA156" s="39">
        <v>0</v>
      </c>
      <c r="PB156" s="39">
        <v>0</v>
      </c>
      <c r="PC156" s="39">
        <v>0</v>
      </c>
      <c r="PD156" s="39">
        <v>0</v>
      </c>
      <c r="PE156" s="39">
        <v>0</v>
      </c>
      <c r="PF156" s="39">
        <v>0</v>
      </c>
      <c r="PG156" s="39">
        <v>0</v>
      </c>
      <c r="PH156" s="39">
        <v>0</v>
      </c>
      <c r="PI156" s="39">
        <v>0</v>
      </c>
      <c r="PJ156" s="39">
        <v>0</v>
      </c>
      <c r="PK156" s="39">
        <v>0</v>
      </c>
      <c r="PL156" s="39">
        <v>0</v>
      </c>
      <c r="PM156" s="39">
        <v>0</v>
      </c>
      <c r="PN156" s="39">
        <v>0</v>
      </c>
      <c r="PO156" s="39">
        <v>0</v>
      </c>
      <c r="PP156" s="39">
        <v>0</v>
      </c>
      <c r="PQ156" s="39">
        <v>0</v>
      </c>
      <c r="PR156" s="39">
        <v>0</v>
      </c>
      <c r="PS156" s="39">
        <v>0</v>
      </c>
      <c r="PT156" s="39">
        <v>0</v>
      </c>
      <c r="PU156" s="39">
        <v>0</v>
      </c>
      <c r="PV156" s="39">
        <v>0</v>
      </c>
      <c r="PW156" s="39">
        <v>0</v>
      </c>
      <c r="PX156" s="39">
        <v>0</v>
      </c>
      <c r="PY156" s="39">
        <v>0</v>
      </c>
      <c r="PZ156" s="39">
        <v>0</v>
      </c>
      <c r="QA156" s="39">
        <v>0</v>
      </c>
      <c r="QB156" s="39">
        <v>0</v>
      </c>
      <c r="QC156" s="39">
        <v>0</v>
      </c>
      <c r="QD156" s="39">
        <v>0</v>
      </c>
      <c r="QE156" s="39">
        <v>0</v>
      </c>
      <c r="QF156" s="39">
        <v>0</v>
      </c>
      <c r="QG156" s="39">
        <v>0</v>
      </c>
      <c r="QH156" s="39">
        <v>0</v>
      </c>
      <c r="QI156" s="39">
        <v>0</v>
      </c>
      <c r="QJ156" s="39">
        <v>0</v>
      </c>
      <c r="QK156" s="39">
        <v>0</v>
      </c>
      <c r="QL156" s="39">
        <v>0</v>
      </c>
      <c r="QM156" s="39">
        <v>0</v>
      </c>
      <c r="QN156" s="39">
        <v>0</v>
      </c>
      <c r="QO156" s="39">
        <v>0</v>
      </c>
      <c r="QP156" s="39">
        <v>0</v>
      </c>
      <c r="QQ156" s="39">
        <v>0</v>
      </c>
      <c r="QR156" s="39">
        <v>0</v>
      </c>
      <c r="QS156" s="39">
        <v>0</v>
      </c>
      <c r="QT156" s="39">
        <v>0</v>
      </c>
      <c r="QU156" s="39">
        <v>0</v>
      </c>
      <c r="QV156" s="39">
        <v>0</v>
      </c>
      <c r="QW156" s="39">
        <v>20037</v>
      </c>
      <c r="QX156" s="39">
        <v>0</v>
      </c>
      <c r="QY156" s="39">
        <v>0</v>
      </c>
      <c r="QZ156" s="39">
        <v>0</v>
      </c>
      <c r="RA156" s="39">
        <v>0</v>
      </c>
      <c r="RB156" s="39">
        <v>0</v>
      </c>
      <c r="RC156" s="913">
        <v>2</v>
      </c>
      <c r="RG156" s="39">
        <f t="shared" ref="RG156:RQ163" si="339">SUMIFS($C156:$RB156,$C$7:$RB$7,RG$3)</f>
        <v>603296</v>
      </c>
      <c r="RH156" s="39">
        <f t="shared" si="339"/>
        <v>27782</v>
      </c>
      <c r="RI156" s="39">
        <f t="shared" si="339"/>
        <v>0</v>
      </c>
      <c r="RJ156" s="39">
        <f t="shared" si="339"/>
        <v>0</v>
      </c>
      <c r="RK156" s="39">
        <f t="shared" si="339"/>
        <v>0</v>
      </c>
      <c r="RL156" s="39">
        <f t="shared" si="339"/>
        <v>80578</v>
      </c>
      <c r="RM156" s="39">
        <f t="shared" si="339"/>
        <v>105510</v>
      </c>
      <c r="RN156" s="39">
        <f t="shared" si="339"/>
        <v>0</v>
      </c>
      <c r="RO156" s="39">
        <f t="shared" si="339"/>
        <v>0</v>
      </c>
      <c r="RP156" s="39">
        <f t="shared" si="339"/>
        <v>5265</v>
      </c>
      <c r="RQ156" s="39">
        <f t="shared" si="339"/>
        <v>0</v>
      </c>
      <c r="RR156" s="39">
        <f t="shared" si="325"/>
        <v>0</v>
      </c>
      <c r="RS156" s="39"/>
      <c r="RT156" s="182"/>
      <c r="RU156" s="39"/>
      <c r="RV156" s="39">
        <f t="shared" si="302"/>
        <v>0</v>
      </c>
      <c r="RW156" s="39">
        <f t="shared" si="302"/>
        <v>822431</v>
      </c>
      <c r="RX156" s="39">
        <f t="shared" si="302"/>
        <v>35828</v>
      </c>
      <c r="RY156" s="39">
        <f t="shared" si="302"/>
        <v>20037</v>
      </c>
      <c r="RZ156" s="39"/>
      <c r="SA156" s="182"/>
      <c r="SB156" s="39"/>
      <c r="SC156" s="25">
        <f t="shared" si="303"/>
        <v>381.14893617021278</v>
      </c>
      <c r="SD156" s="39">
        <f>IFERROR(VLOOKUP(A156, 'Levy Data 15-16'!$B:$O, 3, FALSE), 0)</f>
        <v>0</v>
      </c>
      <c r="SE156" s="39">
        <f t="shared" si="265"/>
        <v>0</v>
      </c>
      <c r="SF156" s="631">
        <f>IFERROR(VLOOKUP(A156, 'Levy Data 15-16'!$B:$O, 14, FALSE), 0)*1000</f>
        <v>0</v>
      </c>
      <c r="SG156" s="39">
        <f t="shared" si="266"/>
        <v>0</v>
      </c>
      <c r="SH156" s="39">
        <f t="shared" si="267"/>
        <v>0</v>
      </c>
      <c r="SI156" s="39">
        <f t="shared" si="268"/>
        <v>35828</v>
      </c>
      <c r="SM156" s="39">
        <f t="shared" si="269"/>
        <v>822431</v>
      </c>
      <c r="SN156" s="39">
        <f t="shared" si="270"/>
        <v>0</v>
      </c>
      <c r="SO156" s="39">
        <f t="shared" si="304"/>
        <v>822431</v>
      </c>
      <c r="SP156" s="50">
        <f t="shared" si="326"/>
        <v>1</v>
      </c>
      <c r="ST156" s="124">
        <f>IFERROR(VLOOKUP(A156,'Grade Enroll 15-16'!B:AC,27,FALSE),"")</f>
        <v>94</v>
      </c>
      <c r="SU156" s="124">
        <f t="shared" si="327"/>
        <v>0</v>
      </c>
      <c r="SV156" s="131">
        <f>IFERROR(VLOOKUP($A156, 'Title I Enroll 16-17'!S:V, 4, FALSE), 0)</f>
        <v>0</v>
      </c>
      <c r="SW156" s="729">
        <f>IFERROR(VLOOKUP(A156, 'ELL Enroll 15-16'!$N:$S, 6, FALSE), 0)</f>
        <v>5</v>
      </c>
      <c r="SX156" s="131">
        <f t="shared" si="328"/>
        <v>5.3191489361702128E-2</v>
      </c>
      <c r="SY156" s="124">
        <f>IFERROR(VLOOKUP(A156, 'SPED enroll 2015-16'!$M:$O, 3, FALSE), 0)</f>
        <v>5</v>
      </c>
      <c r="SZ156" s="131">
        <f t="shared" si="329"/>
        <v>5.3191489361702128E-2</v>
      </c>
      <c r="TA156" s="142">
        <f t="shared" ref="TA156:TD163" si="340">$SY156*TA$8</f>
        <v>3.5</v>
      </c>
      <c r="TB156" s="142">
        <f t="shared" si="340"/>
        <v>1</v>
      </c>
      <c r="TC156" s="142">
        <f t="shared" si="340"/>
        <v>0.35000000000000003</v>
      </c>
      <c r="TD156" s="142">
        <f t="shared" si="340"/>
        <v>0.15</v>
      </c>
      <c r="TE156" s="124">
        <f>VLOOKUP($A156, 'Grade Enroll 15-16'!$B:$AB, 20, FALSE)</f>
        <v>0</v>
      </c>
      <c r="TF156" s="124">
        <f>VLOOKUP($A156, 'Grade Enroll 15-16'!$B:$AB, 21, FALSE)</f>
        <v>10</v>
      </c>
      <c r="TG156" s="124">
        <f>VLOOKUP($A156, 'Grade Enroll 15-16'!$B:$AB, 22, FALSE)</f>
        <v>31</v>
      </c>
      <c r="TH156" s="124">
        <f>VLOOKUP($A156, 'Grade Enroll 15-16'!$B:$AB, 23, FALSE)</f>
        <v>28</v>
      </c>
      <c r="TI156" s="124">
        <f>VLOOKUP($A156, 'Grade Enroll 15-16'!$B:$AB, 24, FALSE)</f>
        <v>19</v>
      </c>
      <c r="TJ156" s="124">
        <f>VLOOKUP($A156, 'Grade Enroll 15-16'!$B:$AB, 25, FALSE)</f>
        <v>16</v>
      </c>
      <c r="TK156" s="124">
        <f>VLOOKUP($A156, 'Grade Enroll 15-16'!$B:$AB, 26, FALSE)</f>
        <v>74</v>
      </c>
      <c r="TL156" s="131">
        <f>SUMIFS('Student Achievement 15-16'!N:N, 'Student Achievement 15-16'!B:B, 'Idaho Data'!A156, 'Student Achievement 15-16'!D:D, "math")/100</f>
        <v>0.05</v>
      </c>
      <c r="TM156" s="134">
        <f t="shared" si="305"/>
        <v>4.7</v>
      </c>
      <c r="TN156" s="131">
        <f>SUMIFS('Student Achievement 15-16'!N:N, 'Student Achievement 15-16'!B:B, 'Idaho Data'!A156, 'Student Achievement 15-16'!D:D, "ela")/100</f>
        <v>0.05</v>
      </c>
      <c r="TO156" s="135">
        <f t="shared" si="330"/>
        <v>4.7</v>
      </c>
      <c r="TP156" s="688">
        <f>IFERROR(VLOOKUP(A156, 'G&amp;T 15-16'!B:G, 6, FALSE), 0)*1</f>
        <v>0</v>
      </c>
      <c r="TQ156" s="168">
        <f t="shared" si="331"/>
        <v>5.64</v>
      </c>
      <c r="TU156" s="168">
        <f t="shared" si="332"/>
        <v>4.7</v>
      </c>
      <c r="TV156" s="168">
        <f t="shared" si="333"/>
        <v>4.7</v>
      </c>
      <c r="TW156" s="205">
        <f t="shared" si="334"/>
        <v>4.7</v>
      </c>
      <c r="TX156" s="144"/>
      <c r="TY156" s="514"/>
      <c r="TZ156" s="127">
        <f t="shared" si="335"/>
        <v>0</v>
      </c>
      <c r="UA156" s="127">
        <f t="shared" si="336"/>
        <v>5.64</v>
      </c>
      <c r="UB156" s="205">
        <f t="shared" si="337"/>
        <v>5.64</v>
      </c>
      <c r="UE156" s="853" t="str">
        <f>IF(ST156&lt;='1. Simulator Input'!$E$104, "yes", "")</f>
        <v>yes</v>
      </c>
      <c r="UI156" s="199">
        <f t="shared" si="306"/>
        <v>0</v>
      </c>
      <c r="UJ156" s="200">
        <f>IF('Idaho Data'!SI156&gt;=0, ((1-'1. Simulator Input'!$E$39)*'Idaho Data'!SI156), 0)</f>
        <v>0</v>
      </c>
      <c r="UK156" s="200">
        <f t="shared" si="262"/>
        <v>822431</v>
      </c>
      <c r="UL156" s="39"/>
      <c r="UM156" s="182"/>
      <c r="UN156" s="39"/>
      <c r="UO156" s="39">
        <f>IF(AND('1. Simulator Input'!$E$96="yes", '1. Simulator Input'!$E$98="yes", '1. Simulator Input'!$E$100="hold harmless"), 'Idaho Data'!WN156, IF(AND('1. Simulator Input'!$E$96="yes", '1. Simulator Input'!$E$98="no", '1. Simulator Input'!$E$100="hold harmless"), 'Idaho Data'!WM156, IF(AND('1. Simulator Input'!$E$96="yes", '1. Simulator Input'!$E$98="yes", '1. Simulator Input'!$E$100="small district grant"), WL156,IF(AND('1. Simulator Input'!$E$96="yes", '1. Simulator Input'!$E$98="no", '1. Simulator Input'!$E$100="small district grant"), WK156, ""))))</f>
        <v>0</v>
      </c>
      <c r="UP156" s="200">
        <f>'1. Simulator Input'!$D$56*('Idaho Data'!ST156)</f>
        <v>519444</v>
      </c>
      <c r="UQ156" s="204">
        <f>'1. Simulator Input'!$D$65*'1. Simulator Input'!$D$56*'Idaho Data'!SU156</f>
        <v>0</v>
      </c>
      <c r="UR156" s="204">
        <f>'1. Simulator Input'!$D$66*'1. Simulator Input'!$D$56*'Idaho Data'!SW156</f>
        <v>0</v>
      </c>
      <c r="US156" s="200">
        <f>'1. Simulator Input'!$D$67*'1. Simulator Input'!$D$56*'Idaho Data'!TA156</f>
        <v>0</v>
      </c>
      <c r="UT156" s="200">
        <f>'1. Simulator Input'!$D$68*'1. Simulator Input'!$D$56*'Idaho Data'!TB156</f>
        <v>0</v>
      </c>
      <c r="UU156" s="200">
        <f>'1. Simulator Input'!$D$69*'1. Simulator Input'!$D$56*'Idaho Data'!TC156</f>
        <v>0</v>
      </c>
      <c r="UV156" s="200">
        <f>'1. Simulator Input'!$D$70*'1. Simulator Input'!$D$56*TD156</f>
        <v>0</v>
      </c>
      <c r="UW156" s="200">
        <f>'1. Simulator Input'!$D$80*'1. Simulator Input'!$D$56*TW156</f>
        <v>0</v>
      </c>
      <c r="UX156" s="200">
        <f>'1. Simulator Input'!$D$79*'1. Simulator Input'!$D$56*UB156</f>
        <v>0</v>
      </c>
      <c r="UY156" s="200">
        <f>'1. Simulator Input'!$D$87*'1. Simulator Input'!$D$56*TF156</f>
        <v>27630</v>
      </c>
      <c r="UZ156" s="200">
        <f>'1. Simulator Input'!$D$73*'1. Simulator Input'!$D$56*'Idaho Data'!TG156</f>
        <v>0</v>
      </c>
      <c r="VA156" s="200">
        <f>'1. Simulator Input'!$D$56*'1. Simulator Input'!$D$74*'Idaho Data'!TH156</f>
        <v>0</v>
      </c>
      <c r="VB156" s="200">
        <f>'1. Simulator Input'!$D$56*'1. Simulator Input'!$D$75*'Idaho Data'!TI151</f>
        <v>0</v>
      </c>
      <c r="VC156" s="200">
        <f>'1. Simulator Input'!$D$76*'1. Simulator Input'!$D$56*'Idaho Data'!TJ156</f>
        <v>0</v>
      </c>
      <c r="VD156" s="200">
        <f t="shared" si="307"/>
        <v>547074</v>
      </c>
      <c r="VE156" s="200"/>
      <c r="VF156" s="182"/>
      <c r="VG156" s="200"/>
      <c r="VH156" s="200">
        <f t="shared" si="308"/>
        <v>0</v>
      </c>
      <c r="VI156" s="200">
        <f t="shared" si="309"/>
        <v>0</v>
      </c>
      <c r="VJ156" s="200">
        <f t="shared" si="271"/>
        <v>547074</v>
      </c>
      <c r="VK156" s="200">
        <f t="shared" si="272"/>
        <v>547074</v>
      </c>
      <c r="VL156" s="200"/>
      <c r="VM156" s="182"/>
      <c r="VN156" s="200"/>
      <c r="VO156" s="200">
        <f t="shared" si="310"/>
        <v>0</v>
      </c>
      <c r="VP156" s="200">
        <f t="shared" si="311"/>
        <v>822431</v>
      </c>
      <c r="VQ156" s="200">
        <f t="shared" si="312"/>
        <v>35828</v>
      </c>
      <c r="VR156" s="200">
        <f t="shared" si="313"/>
        <v>0</v>
      </c>
      <c r="VS156" s="200">
        <f t="shared" si="273"/>
        <v>547074</v>
      </c>
      <c r="VT156" s="200">
        <f t="shared" si="274"/>
        <v>35828</v>
      </c>
      <c r="VU156" s="200">
        <f t="shared" si="275"/>
        <v>0</v>
      </c>
      <c r="VV156" s="200"/>
      <c r="VW156" s="182"/>
      <c r="VX156" s="200"/>
      <c r="VZ156" s="199">
        <f t="shared" si="314"/>
        <v>-275357</v>
      </c>
      <c r="WA156" s="466">
        <f t="shared" si="315"/>
        <v>-2929.3297872340427</v>
      </c>
      <c r="WB156" s="131">
        <f t="shared" si="316"/>
        <v>-0.33480863440215652</v>
      </c>
      <c r="WC156" s="131"/>
      <c r="WD156" s="461"/>
      <c r="WE156" s="893"/>
      <c r="WF156" s="893">
        <f t="shared" si="317"/>
        <v>9130.4148936170204</v>
      </c>
      <c r="WG156" s="893">
        <f t="shared" si="318"/>
        <v>6201.0851063829787</v>
      </c>
      <c r="WH156" s="893"/>
      <c r="WI156" s="893">
        <f t="shared" si="319"/>
        <v>822431</v>
      </c>
      <c r="WJ156" s="893">
        <f t="shared" si="276"/>
        <v>547074</v>
      </c>
      <c r="WK156" s="39">
        <f t="shared" si="277"/>
        <v>0</v>
      </c>
      <c r="WL156" s="39">
        <f t="shared" si="278"/>
        <v>0</v>
      </c>
      <c r="WM156" s="200">
        <f t="shared" si="279"/>
        <v>275357</v>
      </c>
      <c r="WN156" s="39">
        <f t="shared" si="280"/>
        <v>275357</v>
      </c>
      <c r="WO156" s="39"/>
      <c r="WP156" s="182"/>
      <c r="WQ156" s="39"/>
      <c r="WR156" s="305"/>
      <c r="WT156" s="200">
        <f t="shared" si="281"/>
        <v>8749.2659574468089</v>
      </c>
      <c r="WU156" s="131">
        <f t="shared" si="320"/>
        <v>0.8</v>
      </c>
      <c r="WW156" s="199">
        <f t="shared" si="282"/>
        <v>0</v>
      </c>
      <c r="WX156" s="199">
        <f t="shared" si="283"/>
        <v>547074</v>
      </c>
      <c r="WY156" s="199">
        <f t="shared" si="284"/>
        <v>0</v>
      </c>
      <c r="WZ156" s="199">
        <f t="shared" si="321"/>
        <v>547074</v>
      </c>
      <c r="XA156" s="199">
        <f t="shared" si="285"/>
        <v>0</v>
      </c>
      <c r="XB156" s="199">
        <f t="shared" si="286"/>
        <v>35828</v>
      </c>
      <c r="XC156" s="199">
        <f t="shared" si="287"/>
        <v>35828</v>
      </c>
      <c r="XD156" s="199" t="str">
        <f t="shared" si="288"/>
        <v/>
      </c>
      <c r="XE156" s="199"/>
      <c r="XF156" s="199"/>
      <c r="XG156" s="199"/>
      <c r="XH156" s="199"/>
      <c r="XI156" s="199"/>
      <c r="XJ156" s="199">
        <f t="shared" si="322"/>
        <v>547074</v>
      </c>
      <c r="XP156" s="199">
        <f t="shared" si="289"/>
        <v>547074</v>
      </c>
      <c r="XQ156" s="199">
        <f t="shared" si="290"/>
        <v>5819.9361702127662</v>
      </c>
      <c r="XR156" s="199">
        <f t="shared" si="291"/>
        <v>547074</v>
      </c>
      <c r="XS156" s="199">
        <f t="shared" si="292"/>
        <v>547074</v>
      </c>
      <c r="XT156" s="199">
        <f t="shared" si="293"/>
        <v>5819.9361702127662</v>
      </c>
      <c r="XU156" s="199">
        <f t="shared" si="294"/>
        <v>822431</v>
      </c>
      <c r="XV156" s="199">
        <f t="shared" si="295"/>
        <v>8749.2659574468089</v>
      </c>
      <c r="XW156" s="199">
        <f t="shared" si="296"/>
        <v>822431</v>
      </c>
      <c r="XX156" s="199">
        <f t="shared" si="297"/>
        <v>8749.2659574468089</v>
      </c>
      <c r="XY156" s="199">
        <f t="shared" si="323"/>
        <v>-275357</v>
      </c>
      <c r="XZ156" s="199">
        <f t="shared" si="324"/>
        <v>-2929.3297872340427</v>
      </c>
      <c r="YA156" s="131">
        <f t="shared" si="338"/>
        <v>-0.33480863440215652</v>
      </c>
      <c r="YB156" s="199"/>
      <c r="YC156" s="221"/>
      <c r="YD156" s="199"/>
      <c r="YE156" s="199">
        <f t="shared" si="298"/>
        <v>0</v>
      </c>
      <c r="YF156" s="200">
        <f t="shared" si="299"/>
        <v>0</v>
      </c>
      <c r="YG156" s="199">
        <f t="shared" si="300"/>
        <v>35828</v>
      </c>
      <c r="YH156" s="199">
        <f t="shared" si="301"/>
        <v>20037</v>
      </c>
    </row>
    <row r="157" spans="1:658">
      <c r="A157" s="1">
        <v>487</v>
      </c>
      <c r="B157" s="2" t="s">
        <v>254</v>
      </c>
      <c r="C157" s="467">
        <v>0</v>
      </c>
      <c r="D157" s="39">
        <v>0</v>
      </c>
      <c r="E157" s="467">
        <v>0</v>
      </c>
      <c r="F157" s="39">
        <v>0</v>
      </c>
      <c r="G157" s="467">
        <v>0</v>
      </c>
      <c r="H157" s="39">
        <v>0</v>
      </c>
      <c r="I157" s="467">
        <v>0</v>
      </c>
      <c r="J157" s="39">
        <v>0</v>
      </c>
      <c r="K157" s="467">
        <v>0</v>
      </c>
      <c r="L157" s="24">
        <v>0</v>
      </c>
      <c r="M157" s="467">
        <v>0</v>
      </c>
      <c r="N157" s="39">
        <v>0</v>
      </c>
      <c r="O157" s="467">
        <v>0</v>
      </c>
      <c r="P157" s="39">
        <v>0</v>
      </c>
      <c r="Q157" s="467">
        <v>0</v>
      </c>
      <c r="R157" s="39">
        <v>0</v>
      </c>
      <c r="S157" s="467">
        <v>0</v>
      </c>
      <c r="T157" s="39">
        <v>0</v>
      </c>
      <c r="U157" s="467">
        <v>0</v>
      </c>
      <c r="V157" s="39">
        <v>0</v>
      </c>
      <c r="W157" s="467">
        <v>0</v>
      </c>
      <c r="X157" s="39">
        <v>0</v>
      </c>
      <c r="Y157" s="467">
        <v>0</v>
      </c>
      <c r="Z157" s="39">
        <v>0</v>
      </c>
      <c r="AA157" s="467">
        <v>0</v>
      </c>
      <c r="AB157" s="39">
        <v>0</v>
      </c>
      <c r="AC157" s="467">
        <v>0</v>
      </c>
      <c r="AD157" s="39">
        <v>0</v>
      </c>
      <c r="AE157" s="467">
        <v>0</v>
      </c>
      <c r="AF157" s="39">
        <v>0</v>
      </c>
      <c r="AG157" s="467">
        <v>0</v>
      </c>
      <c r="AH157" s="39">
        <v>0</v>
      </c>
      <c r="AI157" s="467">
        <v>0</v>
      </c>
      <c r="AJ157" s="39">
        <v>0</v>
      </c>
      <c r="AK157" s="467">
        <v>0</v>
      </c>
      <c r="AL157" s="39">
        <v>568</v>
      </c>
      <c r="AM157" s="467">
        <v>0</v>
      </c>
      <c r="AN157" s="39">
        <v>0</v>
      </c>
      <c r="AO157" s="467">
        <v>0</v>
      </c>
      <c r="AP157" s="39">
        <v>0</v>
      </c>
      <c r="AQ157" s="467">
        <v>0</v>
      </c>
      <c r="AR157" s="39">
        <v>0</v>
      </c>
      <c r="AS157" s="467">
        <v>0</v>
      </c>
      <c r="AT157" s="39">
        <v>0</v>
      </c>
      <c r="AU157" s="467">
        <v>0</v>
      </c>
      <c r="AV157" s="39">
        <v>0</v>
      </c>
      <c r="AW157" s="467">
        <v>0</v>
      </c>
      <c r="AX157" s="39">
        <v>0</v>
      </c>
      <c r="AY157" s="467">
        <v>0</v>
      </c>
      <c r="AZ157" s="39">
        <v>0</v>
      </c>
      <c r="BA157" s="467">
        <v>0</v>
      </c>
      <c r="BB157" s="39">
        <v>0</v>
      </c>
      <c r="BC157" s="467">
        <v>0</v>
      </c>
      <c r="BD157" s="39">
        <v>0</v>
      </c>
      <c r="BE157" s="467">
        <v>0</v>
      </c>
      <c r="BF157" s="39">
        <v>0</v>
      </c>
      <c r="BG157" s="467">
        <v>0</v>
      </c>
      <c r="BH157" s="39">
        <v>0</v>
      </c>
      <c r="BI157" s="467">
        <v>0</v>
      </c>
      <c r="BJ157" s="39">
        <v>0</v>
      </c>
      <c r="BK157" s="467">
        <v>0</v>
      </c>
      <c r="BL157" s="39">
        <v>0</v>
      </c>
      <c r="BM157" s="467">
        <v>0</v>
      </c>
      <c r="BN157" s="39">
        <v>0</v>
      </c>
      <c r="BO157" s="467">
        <v>0</v>
      </c>
      <c r="BP157" s="39">
        <v>0</v>
      </c>
      <c r="BQ157" s="467">
        <v>0</v>
      </c>
      <c r="BR157" s="39">
        <v>0</v>
      </c>
      <c r="BS157" s="467">
        <v>0</v>
      </c>
      <c r="BT157" s="39">
        <v>0</v>
      </c>
      <c r="BU157" s="467">
        <v>0</v>
      </c>
      <c r="BV157" s="39">
        <v>0</v>
      </c>
      <c r="BW157" s="467">
        <v>0</v>
      </c>
      <c r="BX157" s="39">
        <v>0</v>
      </c>
      <c r="BY157" s="467">
        <v>0</v>
      </c>
      <c r="BZ157" s="39">
        <v>0</v>
      </c>
      <c r="CA157" s="467">
        <v>0</v>
      </c>
      <c r="CB157" s="39">
        <v>0</v>
      </c>
      <c r="CC157" s="467">
        <v>0</v>
      </c>
      <c r="CD157" s="39">
        <v>0</v>
      </c>
      <c r="CE157" s="467">
        <v>0</v>
      </c>
      <c r="CF157" s="39">
        <v>0</v>
      </c>
      <c r="CG157" s="467">
        <v>0</v>
      </c>
      <c r="CH157" s="39">
        <v>0</v>
      </c>
      <c r="CI157" s="467">
        <v>0</v>
      </c>
      <c r="CJ157" s="39">
        <v>0</v>
      </c>
      <c r="CK157" s="467">
        <v>0</v>
      </c>
      <c r="CL157" s="39">
        <v>0</v>
      </c>
      <c r="CM157" s="467">
        <v>0</v>
      </c>
      <c r="CN157" s="39">
        <v>0</v>
      </c>
      <c r="CO157" s="467">
        <v>0</v>
      </c>
      <c r="CP157" s="39">
        <v>0</v>
      </c>
      <c r="CQ157" s="467">
        <v>0</v>
      </c>
      <c r="CR157" s="39">
        <v>0</v>
      </c>
      <c r="CS157" s="467">
        <v>0</v>
      </c>
      <c r="CT157" s="39">
        <v>0</v>
      </c>
      <c r="CU157" s="467">
        <v>0</v>
      </c>
      <c r="CV157" s="39">
        <v>0</v>
      </c>
      <c r="CW157" s="467">
        <v>0</v>
      </c>
      <c r="CX157" s="39">
        <v>0</v>
      </c>
      <c r="CY157" s="467">
        <v>0</v>
      </c>
      <c r="CZ157" s="39">
        <v>0</v>
      </c>
      <c r="DA157" s="467">
        <v>0</v>
      </c>
      <c r="DB157" s="39">
        <v>0</v>
      </c>
      <c r="DC157" s="467">
        <v>0</v>
      </c>
      <c r="DD157" s="39">
        <v>0</v>
      </c>
      <c r="DE157" s="467">
        <v>0</v>
      </c>
      <c r="DF157" s="39">
        <v>0</v>
      </c>
      <c r="DG157" s="467">
        <v>0</v>
      </c>
      <c r="DH157" s="39">
        <v>0</v>
      </c>
      <c r="DI157" s="467">
        <v>0</v>
      </c>
      <c r="DJ157" s="39">
        <v>0</v>
      </c>
      <c r="DK157" s="467">
        <v>0</v>
      </c>
      <c r="DL157" s="39">
        <v>0</v>
      </c>
      <c r="DM157" s="467">
        <v>0</v>
      </c>
      <c r="DN157" s="39">
        <v>0</v>
      </c>
      <c r="DO157" s="467">
        <v>0</v>
      </c>
      <c r="DP157" s="39">
        <v>0</v>
      </c>
      <c r="DQ157" s="467">
        <v>0</v>
      </c>
      <c r="DR157" s="39">
        <v>0</v>
      </c>
      <c r="DS157" s="467">
        <v>0</v>
      </c>
      <c r="DT157" s="39">
        <v>0</v>
      </c>
      <c r="DU157" s="467">
        <v>0</v>
      </c>
      <c r="DV157" s="39">
        <v>0</v>
      </c>
      <c r="DW157" s="467">
        <v>0</v>
      </c>
      <c r="DX157" s="39">
        <v>0</v>
      </c>
      <c r="DY157" s="467">
        <v>0</v>
      </c>
      <c r="DZ157" s="39">
        <v>0</v>
      </c>
      <c r="EA157" s="467">
        <v>0</v>
      </c>
      <c r="EB157" s="39">
        <v>0</v>
      </c>
      <c r="EC157" s="467">
        <v>0</v>
      </c>
      <c r="ED157" s="39">
        <v>0</v>
      </c>
      <c r="EE157" s="467">
        <v>0</v>
      </c>
      <c r="EF157" s="39">
        <v>0</v>
      </c>
      <c r="EG157" s="467">
        <v>0</v>
      </c>
      <c r="EH157" s="39">
        <v>0</v>
      </c>
      <c r="EI157" s="467">
        <v>0</v>
      </c>
      <c r="EJ157" s="39">
        <v>0</v>
      </c>
      <c r="EK157" s="467">
        <v>0</v>
      </c>
      <c r="EL157" s="39">
        <v>0</v>
      </c>
      <c r="EM157" s="467">
        <v>0</v>
      </c>
      <c r="EN157" s="39">
        <v>0</v>
      </c>
      <c r="EO157" s="467">
        <v>0</v>
      </c>
      <c r="EP157" s="39">
        <v>0</v>
      </c>
      <c r="EQ157" s="467">
        <v>0</v>
      </c>
      <c r="ER157" s="39">
        <v>0</v>
      </c>
      <c r="ES157" s="467">
        <v>0</v>
      </c>
      <c r="ET157" s="39">
        <v>0</v>
      </c>
      <c r="EU157" s="467">
        <v>0</v>
      </c>
      <c r="EV157" s="39">
        <v>0</v>
      </c>
      <c r="EW157" s="467">
        <v>0</v>
      </c>
      <c r="EX157" s="39">
        <v>0</v>
      </c>
      <c r="EY157" s="467">
        <v>0</v>
      </c>
      <c r="EZ157" s="39">
        <v>0</v>
      </c>
      <c r="FA157" s="467">
        <v>0</v>
      </c>
      <c r="FB157" s="39">
        <v>0</v>
      </c>
      <c r="FC157" s="467">
        <v>0</v>
      </c>
      <c r="FD157" s="39">
        <v>0</v>
      </c>
      <c r="FE157" s="467">
        <v>0</v>
      </c>
      <c r="FF157" s="39">
        <v>0</v>
      </c>
      <c r="FG157" s="467">
        <v>0</v>
      </c>
      <c r="FH157" s="39">
        <v>0</v>
      </c>
      <c r="FI157" s="467">
        <v>0</v>
      </c>
      <c r="FJ157" s="39">
        <v>0</v>
      </c>
      <c r="FK157" s="467">
        <v>0</v>
      </c>
      <c r="FL157" s="39">
        <v>0</v>
      </c>
      <c r="FM157" s="467">
        <v>0</v>
      </c>
      <c r="FN157" s="39">
        <v>0</v>
      </c>
      <c r="FO157" s="467">
        <v>0</v>
      </c>
      <c r="FP157" s="39">
        <v>0</v>
      </c>
      <c r="FQ157" s="467">
        <v>0</v>
      </c>
      <c r="FR157" s="39">
        <v>0</v>
      </c>
      <c r="FS157" s="467">
        <v>28376</v>
      </c>
      <c r="FT157" s="39">
        <v>0</v>
      </c>
      <c r="FU157" s="467">
        <v>0</v>
      </c>
      <c r="FV157" s="39">
        <v>0</v>
      </c>
      <c r="FW157" s="467">
        <v>2110137</v>
      </c>
      <c r="FX157" s="39">
        <v>0</v>
      </c>
      <c r="FY157" s="467">
        <v>0</v>
      </c>
      <c r="FZ157" s="39">
        <v>0</v>
      </c>
      <c r="GA157" s="467">
        <v>0</v>
      </c>
      <c r="GB157" s="39">
        <v>0</v>
      </c>
      <c r="GC157" s="467">
        <v>0</v>
      </c>
      <c r="GD157" s="39">
        <v>0</v>
      </c>
      <c r="GE157" s="467">
        <v>0</v>
      </c>
      <c r="GF157" s="39">
        <v>0</v>
      </c>
      <c r="GG157" s="467">
        <v>100</v>
      </c>
      <c r="GH157" s="39">
        <v>0</v>
      </c>
      <c r="GI157" s="467">
        <v>0</v>
      </c>
      <c r="GJ157" s="39">
        <v>0</v>
      </c>
      <c r="GK157" s="467">
        <v>0</v>
      </c>
      <c r="GL157" s="39">
        <v>0</v>
      </c>
      <c r="GM157" s="467">
        <v>525</v>
      </c>
      <c r="GN157" s="39">
        <v>0</v>
      </c>
      <c r="GO157" s="467">
        <v>0</v>
      </c>
      <c r="GP157" s="39">
        <v>0</v>
      </c>
      <c r="GQ157" s="467">
        <v>0</v>
      </c>
      <c r="GR157" s="39">
        <v>0</v>
      </c>
      <c r="GS157" s="467">
        <v>0</v>
      </c>
      <c r="GT157" s="39">
        <v>0</v>
      </c>
      <c r="GU157" s="467">
        <v>0</v>
      </c>
      <c r="GV157" s="39">
        <v>0</v>
      </c>
      <c r="GW157" s="467">
        <v>0</v>
      </c>
      <c r="GX157" s="39">
        <v>0</v>
      </c>
      <c r="GY157" s="467">
        <v>0</v>
      </c>
      <c r="GZ157" s="39">
        <v>0</v>
      </c>
      <c r="HA157" s="467">
        <v>0</v>
      </c>
      <c r="HB157" s="39">
        <v>0</v>
      </c>
      <c r="HC157" s="467">
        <v>0</v>
      </c>
      <c r="HD157" s="39">
        <v>1893375</v>
      </c>
      <c r="HE157" s="467">
        <v>0</v>
      </c>
      <c r="HF157" s="39">
        <v>0</v>
      </c>
      <c r="HG157" s="467">
        <v>0</v>
      </c>
      <c r="HH157" s="39">
        <v>0</v>
      </c>
      <c r="HI157" s="467">
        <v>109802</v>
      </c>
      <c r="HJ157" s="39">
        <v>0</v>
      </c>
      <c r="HK157" s="467">
        <v>0</v>
      </c>
      <c r="HL157" s="39">
        <v>0</v>
      </c>
      <c r="HM157" s="467">
        <v>0</v>
      </c>
      <c r="HN157" s="39">
        <v>0</v>
      </c>
      <c r="HO157" s="467">
        <v>193173</v>
      </c>
      <c r="HP157" s="39">
        <v>182534</v>
      </c>
      <c r="HQ157" s="467">
        <v>0</v>
      </c>
      <c r="HR157" s="39">
        <v>0</v>
      </c>
      <c r="HS157" s="467">
        <v>0</v>
      </c>
      <c r="HT157" s="39">
        <v>0</v>
      </c>
      <c r="HU157" s="467">
        <v>0</v>
      </c>
      <c r="HV157" s="39">
        <v>0</v>
      </c>
      <c r="HW157" s="467">
        <v>7563</v>
      </c>
      <c r="HX157" s="39">
        <v>0</v>
      </c>
      <c r="HY157" s="467">
        <v>7900</v>
      </c>
      <c r="HZ157" s="39">
        <v>0</v>
      </c>
      <c r="IA157" s="467">
        <v>29732</v>
      </c>
      <c r="IB157" s="39">
        <v>6032</v>
      </c>
      <c r="IC157" s="467">
        <v>0</v>
      </c>
      <c r="ID157" s="39">
        <v>0</v>
      </c>
      <c r="IE157" s="467">
        <v>0</v>
      </c>
      <c r="IF157" s="39">
        <v>0</v>
      </c>
      <c r="IG157" s="467">
        <v>0</v>
      </c>
      <c r="IH157" s="39">
        <v>0</v>
      </c>
      <c r="II157" s="467">
        <v>0</v>
      </c>
      <c r="IJ157" s="39">
        <v>0</v>
      </c>
      <c r="IK157" s="467">
        <v>0</v>
      </c>
      <c r="IL157" s="39">
        <v>0</v>
      </c>
      <c r="IM157" s="467">
        <v>0</v>
      </c>
      <c r="IN157" s="39">
        <v>0</v>
      </c>
      <c r="IO157" s="467">
        <v>0</v>
      </c>
      <c r="IP157" s="39">
        <v>0</v>
      </c>
      <c r="IQ157" s="467">
        <v>0</v>
      </c>
      <c r="IR157" s="39">
        <v>0</v>
      </c>
      <c r="IS157" s="467">
        <v>0</v>
      </c>
      <c r="IT157" s="39">
        <v>0</v>
      </c>
      <c r="IU157" s="467">
        <v>0</v>
      </c>
      <c r="IV157" s="39">
        <v>0</v>
      </c>
      <c r="IW157" s="467">
        <v>19915</v>
      </c>
      <c r="IX157" s="39">
        <v>0</v>
      </c>
      <c r="IY157" s="467">
        <v>0</v>
      </c>
      <c r="IZ157" s="39">
        <v>0</v>
      </c>
      <c r="JA157" s="467">
        <v>0</v>
      </c>
      <c r="JB157" s="39">
        <v>0</v>
      </c>
      <c r="JC157" s="467">
        <v>0</v>
      </c>
      <c r="JD157" s="39">
        <v>0</v>
      </c>
      <c r="JE157" s="467">
        <v>0</v>
      </c>
      <c r="JF157" s="39">
        <v>0</v>
      </c>
      <c r="JG157" s="467">
        <v>0</v>
      </c>
      <c r="JH157" s="39">
        <v>0</v>
      </c>
      <c r="JI157" s="467">
        <v>0</v>
      </c>
      <c r="JJ157" s="39">
        <v>0</v>
      </c>
      <c r="JK157" s="467">
        <v>0</v>
      </c>
      <c r="JL157" s="39">
        <v>0</v>
      </c>
      <c r="JM157" s="467">
        <v>0</v>
      </c>
      <c r="JN157" s="39">
        <v>0</v>
      </c>
      <c r="JO157" s="467">
        <v>0</v>
      </c>
      <c r="JP157" s="39">
        <v>0</v>
      </c>
      <c r="JQ157" s="467">
        <v>0</v>
      </c>
      <c r="JR157" s="39">
        <v>0</v>
      </c>
      <c r="JS157" s="467">
        <v>0</v>
      </c>
      <c r="JT157" s="39">
        <v>0</v>
      </c>
      <c r="JU157" s="467">
        <v>0</v>
      </c>
      <c r="JV157" s="39">
        <v>0</v>
      </c>
      <c r="JW157" s="467">
        <v>0</v>
      </c>
      <c r="JX157" s="39">
        <v>0</v>
      </c>
      <c r="JY157" s="467">
        <v>0</v>
      </c>
      <c r="JZ157" s="39">
        <v>0</v>
      </c>
      <c r="KA157" s="467">
        <v>0</v>
      </c>
      <c r="KB157" s="39">
        <v>0</v>
      </c>
      <c r="KC157" s="467">
        <v>0</v>
      </c>
      <c r="KD157" s="39">
        <v>0</v>
      </c>
      <c r="KE157" s="467">
        <v>0</v>
      </c>
      <c r="KF157" s="39">
        <v>0</v>
      </c>
      <c r="KG157" s="467">
        <v>0</v>
      </c>
      <c r="KH157" s="39">
        <v>0</v>
      </c>
      <c r="KI157" s="467">
        <v>0</v>
      </c>
      <c r="KJ157" s="39">
        <v>0</v>
      </c>
      <c r="KK157" s="467">
        <v>0</v>
      </c>
      <c r="KL157" s="39">
        <v>0</v>
      </c>
      <c r="KM157" s="467">
        <v>0</v>
      </c>
      <c r="KN157" s="39">
        <v>0</v>
      </c>
      <c r="KO157" s="467">
        <v>0</v>
      </c>
      <c r="KP157" s="39">
        <v>0</v>
      </c>
      <c r="KQ157" s="467">
        <v>0</v>
      </c>
      <c r="KR157" s="39">
        <v>0</v>
      </c>
      <c r="KS157" s="467">
        <v>0</v>
      </c>
      <c r="KT157" s="39">
        <v>0</v>
      </c>
      <c r="KU157" s="467">
        <v>0</v>
      </c>
      <c r="KV157" s="39">
        <v>0</v>
      </c>
      <c r="KW157" s="467">
        <v>0</v>
      </c>
      <c r="KX157" s="39">
        <v>0</v>
      </c>
      <c r="KY157" s="467">
        <v>0</v>
      </c>
      <c r="KZ157" s="39">
        <v>0</v>
      </c>
      <c r="LA157" s="467">
        <v>0</v>
      </c>
      <c r="LB157" s="39">
        <v>0</v>
      </c>
      <c r="LC157" s="467">
        <v>0</v>
      </c>
      <c r="LD157" s="39">
        <v>0</v>
      </c>
      <c r="LE157" s="467">
        <v>0</v>
      </c>
      <c r="LF157" s="39">
        <v>0</v>
      </c>
      <c r="LG157" s="467">
        <v>0</v>
      </c>
      <c r="LH157" s="39">
        <v>0</v>
      </c>
      <c r="LI157" s="467">
        <v>0</v>
      </c>
      <c r="LJ157" s="39">
        <v>0</v>
      </c>
      <c r="LK157" s="467">
        <v>0</v>
      </c>
      <c r="LL157" s="39">
        <v>0</v>
      </c>
      <c r="LM157" s="467">
        <v>0</v>
      </c>
      <c r="LN157" s="39">
        <v>0</v>
      </c>
      <c r="LO157" s="467">
        <v>0</v>
      </c>
      <c r="LP157" s="39">
        <v>0</v>
      </c>
      <c r="LQ157" s="467">
        <v>56087</v>
      </c>
      <c r="LR157" s="39">
        <v>0</v>
      </c>
      <c r="LS157" s="467">
        <v>0</v>
      </c>
      <c r="LT157" s="39">
        <v>0</v>
      </c>
      <c r="LU157" s="467">
        <v>0</v>
      </c>
      <c r="LV157" s="39">
        <v>0</v>
      </c>
      <c r="LW157" s="467">
        <v>0</v>
      </c>
      <c r="LX157" s="39">
        <v>0</v>
      </c>
      <c r="LY157" s="467">
        <v>0</v>
      </c>
      <c r="LZ157" s="39">
        <v>0</v>
      </c>
      <c r="MA157" s="467">
        <v>0</v>
      </c>
      <c r="MB157" s="39">
        <v>0</v>
      </c>
      <c r="MC157" s="467">
        <v>0</v>
      </c>
      <c r="MD157" s="39">
        <v>0</v>
      </c>
      <c r="ME157" s="467">
        <v>0</v>
      </c>
      <c r="MF157" s="39">
        <v>0</v>
      </c>
      <c r="MG157" s="467">
        <v>0</v>
      </c>
      <c r="MH157" s="39">
        <v>0</v>
      </c>
      <c r="MI157" s="467">
        <v>0</v>
      </c>
      <c r="MJ157" s="39">
        <v>0</v>
      </c>
      <c r="MK157" s="467">
        <v>0</v>
      </c>
      <c r="ML157" s="39">
        <v>0</v>
      </c>
      <c r="MM157" s="467">
        <v>0</v>
      </c>
      <c r="MN157" s="39">
        <v>0</v>
      </c>
      <c r="MO157" s="467">
        <v>0</v>
      </c>
      <c r="MP157" s="39">
        <v>0</v>
      </c>
      <c r="MQ157" s="467">
        <v>0</v>
      </c>
      <c r="MR157" s="39">
        <v>0</v>
      </c>
      <c r="MS157" s="467">
        <v>0</v>
      </c>
      <c r="MT157" s="39">
        <v>0</v>
      </c>
      <c r="MU157" s="467">
        <v>0</v>
      </c>
      <c r="MV157" s="39">
        <v>0</v>
      </c>
      <c r="MW157" s="467">
        <v>54165</v>
      </c>
      <c r="MX157" s="39">
        <v>0</v>
      </c>
      <c r="MY157" s="467">
        <v>0</v>
      </c>
      <c r="MZ157" s="39">
        <v>0</v>
      </c>
      <c r="NA157" s="467">
        <v>7604</v>
      </c>
      <c r="NB157" s="39">
        <v>0</v>
      </c>
      <c r="NC157" s="467">
        <v>0</v>
      </c>
      <c r="ND157" s="39">
        <v>0</v>
      </c>
      <c r="NE157" s="467">
        <v>0</v>
      </c>
      <c r="NF157" s="39">
        <v>0</v>
      </c>
      <c r="NG157" s="467">
        <v>0</v>
      </c>
      <c r="NH157" s="39">
        <v>0</v>
      </c>
      <c r="NI157" s="467">
        <v>0</v>
      </c>
      <c r="NJ157" s="39">
        <v>0</v>
      </c>
      <c r="NK157" s="467">
        <v>0</v>
      </c>
      <c r="NL157" s="39">
        <v>0</v>
      </c>
      <c r="NM157" s="467">
        <v>0</v>
      </c>
      <c r="NN157" s="39">
        <v>0</v>
      </c>
      <c r="NO157" s="467">
        <v>0</v>
      </c>
      <c r="NP157" s="39">
        <v>0</v>
      </c>
      <c r="NQ157" s="467">
        <v>0</v>
      </c>
      <c r="NR157" s="39">
        <v>0</v>
      </c>
      <c r="NS157" s="467">
        <v>0</v>
      </c>
      <c r="NT157" s="39">
        <v>0</v>
      </c>
      <c r="NU157" s="467">
        <v>0</v>
      </c>
      <c r="NV157" s="39">
        <v>30508</v>
      </c>
      <c r="NW157" s="467">
        <v>0</v>
      </c>
      <c r="NX157" s="39">
        <v>0</v>
      </c>
      <c r="NY157" s="467">
        <v>0</v>
      </c>
      <c r="NZ157" s="39">
        <v>0</v>
      </c>
      <c r="OA157" s="467">
        <v>0</v>
      </c>
      <c r="OB157" s="39">
        <v>0</v>
      </c>
      <c r="OC157" s="467">
        <v>0</v>
      </c>
      <c r="OD157" s="39">
        <v>0</v>
      </c>
      <c r="OE157" s="467">
        <v>0</v>
      </c>
      <c r="OF157" s="39">
        <v>0</v>
      </c>
      <c r="OG157" s="467">
        <v>0</v>
      </c>
      <c r="OH157" s="39">
        <v>0</v>
      </c>
      <c r="OI157" s="467">
        <v>0</v>
      </c>
      <c r="OJ157" s="39">
        <v>0</v>
      </c>
      <c r="OK157" s="467">
        <v>0</v>
      </c>
      <c r="OL157" s="39">
        <v>0</v>
      </c>
      <c r="OM157" s="467">
        <v>0</v>
      </c>
      <c r="ON157" s="39">
        <v>0</v>
      </c>
      <c r="OO157" s="467">
        <v>0</v>
      </c>
      <c r="OP157" s="39">
        <v>0</v>
      </c>
      <c r="OQ157" s="467">
        <v>0</v>
      </c>
      <c r="OR157" s="39">
        <v>0</v>
      </c>
      <c r="OS157" s="467">
        <v>0</v>
      </c>
      <c r="OT157" s="39">
        <v>0</v>
      </c>
      <c r="OU157" s="467">
        <v>0</v>
      </c>
      <c r="OV157" s="39">
        <v>0</v>
      </c>
      <c r="OW157" s="467">
        <v>0</v>
      </c>
      <c r="OX157" s="39">
        <v>0</v>
      </c>
      <c r="OY157" s="467">
        <v>0</v>
      </c>
      <c r="OZ157" s="39">
        <v>0</v>
      </c>
      <c r="PA157" s="467">
        <v>0</v>
      </c>
      <c r="PB157" s="39">
        <v>0</v>
      </c>
      <c r="PC157" s="467">
        <v>0</v>
      </c>
      <c r="PD157" s="39">
        <v>0</v>
      </c>
      <c r="PE157" s="467">
        <v>0</v>
      </c>
      <c r="PF157" s="39">
        <v>0</v>
      </c>
      <c r="PG157" s="467">
        <v>0</v>
      </c>
      <c r="PH157" s="39">
        <v>0</v>
      </c>
      <c r="PI157" s="467">
        <v>0</v>
      </c>
      <c r="PJ157" s="39">
        <v>0</v>
      </c>
      <c r="PK157" s="467">
        <v>0</v>
      </c>
      <c r="PL157" s="39">
        <v>0</v>
      </c>
      <c r="PM157" s="467">
        <v>0</v>
      </c>
      <c r="PN157" s="39">
        <v>0</v>
      </c>
      <c r="PO157" s="467">
        <v>0</v>
      </c>
      <c r="PP157" s="39">
        <v>0</v>
      </c>
      <c r="PQ157" s="467">
        <v>0</v>
      </c>
      <c r="PR157" s="39">
        <v>0</v>
      </c>
      <c r="PS157" s="467">
        <v>0</v>
      </c>
      <c r="PT157" s="39">
        <v>0</v>
      </c>
      <c r="PU157" s="467">
        <v>0</v>
      </c>
      <c r="PV157" s="39">
        <v>0</v>
      </c>
      <c r="PW157" s="467">
        <v>0</v>
      </c>
      <c r="PX157" s="39">
        <v>0</v>
      </c>
      <c r="PY157" s="467">
        <v>0</v>
      </c>
      <c r="PZ157" s="39">
        <v>0</v>
      </c>
      <c r="QA157" s="467">
        <v>0</v>
      </c>
      <c r="QB157" s="39">
        <v>0</v>
      </c>
      <c r="QC157" s="467">
        <v>0</v>
      </c>
      <c r="QD157" s="39">
        <v>0</v>
      </c>
      <c r="QE157" s="467">
        <v>0</v>
      </c>
      <c r="QF157" s="39">
        <v>0</v>
      </c>
      <c r="QG157" s="467">
        <v>0</v>
      </c>
      <c r="QH157" s="39">
        <v>0</v>
      </c>
      <c r="QI157" s="467">
        <v>0</v>
      </c>
      <c r="QJ157" s="39">
        <v>0</v>
      </c>
      <c r="QK157" s="467">
        <v>0</v>
      </c>
      <c r="QL157" s="39">
        <v>0</v>
      </c>
      <c r="QM157" s="467">
        <v>0</v>
      </c>
      <c r="QN157" s="39">
        <v>0</v>
      </c>
      <c r="QO157" s="467">
        <v>0</v>
      </c>
      <c r="QP157" s="39">
        <v>0</v>
      </c>
      <c r="QQ157" s="467">
        <v>0</v>
      </c>
      <c r="QR157" s="39">
        <v>0</v>
      </c>
      <c r="QS157" s="39">
        <v>0</v>
      </c>
      <c r="QT157" s="39">
        <v>0</v>
      </c>
      <c r="QU157" s="39">
        <v>0</v>
      </c>
      <c r="QV157" s="39">
        <v>253833</v>
      </c>
      <c r="QW157" s="39">
        <v>0</v>
      </c>
      <c r="QX157" s="39">
        <v>0</v>
      </c>
      <c r="QY157" s="39">
        <v>0</v>
      </c>
      <c r="QZ157" s="39">
        <v>0</v>
      </c>
      <c r="RA157" s="39">
        <v>0</v>
      </c>
      <c r="RB157" s="39">
        <v>0</v>
      </c>
      <c r="RC157" s="913">
        <v>2</v>
      </c>
      <c r="RG157" s="39">
        <f t="shared" si="339"/>
        <v>1893375</v>
      </c>
      <c r="RH157" s="39">
        <f t="shared" si="339"/>
        <v>109802</v>
      </c>
      <c r="RI157" s="39">
        <f t="shared" si="339"/>
        <v>0</v>
      </c>
      <c r="RJ157" s="39">
        <f t="shared" si="339"/>
        <v>0</v>
      </c>
      <c r="RK157" s="39">
        <f t="shared" si="339"/>
        <v>0</v>
      </c>
      <c r="RL157" s="39">
        <f t="shared" si="339"/>
        <v>193173</v>
      </c>
      <c r="RM157" s="39">
        <f t="shared" si="339"/>
        <v>233761</v>
      </c>
      <c r="RN157" s="39">
        <f t="shared" si="339"/>
        <v>0</v>
      </c>
      <c r="RO157" s="39">
        <f t="shared" si="339"/>
        <v>0</v>
      </c>
      <c r="RP157" s="39">
        <f t="shared" si="339"/>
        <v>19915</v>
      </c>
      <c r="RQ157" s="39">
        <f t="shared" si="339"/>
        <v>0</v>
      </c>
      <c r="RR157" s="39">
        <f t="shared" si="325"/>
        <v>0</v>
      </c>
      <c r="RS157" s="39"/>
      <c r="RT157" s="182"/>
      <c r="RU157" s="39"/>
      <c r="RV157" s="39">
        <f t="shared" si="302"/>
        <v>148364</v>
      </c>
      <c r="RW157" s="39">
        <f t="shared" si="302"/>
        <v>2450026</v>
      </c>
      <c r="RX157" s="39">
        <f t="shared" si="302"/>
        <v>2139706</v>
      </c>
      <c r="RY157" s="39">
        <f t="shared" si="302"/>
        <v>253833</v>
      </c>
      <c r="RZ157" s="39"/>
      <c r="SA157" s="182"/>
      <c r="SB157" s="39"/>
      <c r="SC157" s="25">
        <f t="shared" si="303"/>
        <v>6311.8171091445429</v>
      </c>
      <c r="SD157" s="39">
        <f>IFERROR(VLOOKUP(A157, 'Levy Data 15-16'!$B:$O, 3, FALSE), 0)</f>
        <v>0</v>
      </c>
      <c r="SE157" s="39">
        <f t="shared" si="265"/>
        <v>0</v>
      </c>
      <c r="SF157" s="631">
        <f>IFERROR(VLOOKUP(A157, 'Levy Data 15-16'!$B:$O, 14, FALSE), 0)*1000</f>
        <v>0</v>
      </c>
      <c r="SG157" s="39">
        <f t="shared" si="266"/>
        <v>0</v>
      </c>
      <c r="SH157" s="39">
        <f t="shared" si="267"/>
        <v>0</v>
      </c>
      <c r="SI157" s="39">
        <f t="shared" si="268"/>
        <v>2139706</v>
      </c>
      <c r="SM157" s="39">
        <f t="shared" si="269"/>
        <v>2450026</v>
      </c>
      <c r="SN157" s="39">
        <f t="shared" si="270"/>
        <v>0</v>
      </c>
      <c r="SO157" s="39">
        <f t="shared" si="304"/>
        <v>2450026</v>
      </c>
      <c r="SP157" s="50">
        <f t="shared" si="326"/>
        <v>1</v>
      </c>
      <c r="ST157" s="124">
        <f>IFERROR(VLOOKUP(A157,'Grade Enroll 15-16'!B:AC,27,FALSE),"")</f>
        <v>339</v>
      </c>
      <c r="SU157" s="124">
        <f t="shared" si="327"/>
        <v>167.17808219178082</v>
      </c>
      <c r="SV157" s="131">
        <f>IFERROR(VLOOKUP($A157, 'Title I Enroll 16-17'!S:V, 4, FALSE), 0)</f>
        <v>0.49315068493150682</v>
      </c>
      <c r="SW157" s="729">
        <f>IFERROR(VLOOKUP(A157, 'ELL Enroll 15-16'!$N:$S, 6, FALSE), 0)</f>
        <v>5</v>
      </c>
      <c r="SX157" s="131">
        <f t="shared" si="328"/>
        <v>1.4749262536873156E-2</v>
      </c>
      <c r="SY157" s="124">
        <f>IFERROR(VLOOKUP(A157, 'SPED enroll 2015-16'!$M:$O, 3, FALSE), 0)</f>
        <v>30</v>
      </c>
      <c r="SZ157" s="131">
        <f t="shared" si="329"/>
        <v>8.8495575221238937E-2</v>
      </c>
      <c r="TA157" s="142">
        <f t="shared" si="340"/>
        <v>21</v>
      </c>
      <c r="TB157" s="142">
        <f t="shared" si="340"/>
        <v>6</v>
      </c>
      <c r="TC157" s="142">
        <f t="shared" si="340"/>
        <v>2.1</v>
      </c>
      <c r="TD157" s="142">
        <f t="shared" si="340"/>
        <v>0.89999999999999991</v>
      </c>
      <c r="TE157" s="124">
        <f>VLOOKUP($A157, 'Grade Enroll 15-16'!$B:$AB, 20, FALSE)</f>
        <v>0</v>
      </c>
      <c r="TF157" s="124">
        <f>VLOOKUP($A157, 'Grade Enroll 15-16'!$B:$AB, 21, FALSE)</f>
        <v>0</v>
      </c>
      <c r="TG157" s="124">
        <f>VLOOKUP($A157, 'Grade Enroll 15-16'!$B:$AB, 22, FALSE)</f>
        <v>0</v>
      </c>
      <c r="TH157" s="124">
        <f>VLOOKUP($A157, 'Grade Enroll 15-16'!$B:$AB, 23, FALSE)</f>
        <v>53</v>
      </c>
      <c r="TI157" s="124">
        <f>VLOOKUP($A157, 'Grade Enroll 15-16'!$B:$AB, 24, FALSE)</f>
        <v>108</v>
      </c>
      <c r="TJ157" s="124">
        <f>VLOOKUP($A157, 'Grade Enroll 15-16'!$B:$AB, 25, FALSE)</f>
        <v>178</v>
      </c>
      <c r="TK157" s="124">
        <f>VLOOKUP($A157, 'Grade Enroll 15-16'!$B:$AB, 26, FALSE)</f>
        <v>261</v>
      </c>
      <c r="TL157" s="131">
        <f>SUMIFS('Student Achievement 15-16'!N:N, 'Student Achievement 15-16'!B:B, 'Idaho Data'!A157, 'Student Achievement 15-16'!D:D, "math")/100</f>
        <v>0.24</v>
      </c>
      <c r="TM157" s="134">
        <f t="shared" si="305"/>
        <v>81.36</v>
      </c>
      <c r="TN157" s="131">
        <f>SUMIFS('Student Achievement 15-16'!N:N, 'Student Achievement 15-16'!B:B, 'Idaho Data'!A157, 'Student Achievement 15-16'!D:D, "ela")/100</f>
        <v>0.12300000000000001</v>
      </c>
      <c r="TO157" s="135">
        <f t="shared" si="330"/>
        <v>41.697000000000003</v>
      </c>
      <c r="TP157" s="688">
        <f>IFERROR(VLOOKUP(A157, 'G&amp;T 15-16'!B:G, 6, FALSE), 0)*1</f>
        <v>0</v>
      </c>
      <c r="TQ157" s="168">
        <f t="shared" si="331"/>
        <v>20.34</v>
      </c>
      <c r="TU157" s="168">
        <f t="shared" si="332"/>
        <v>41.697000000000003</v>
      </c>
      <c r="TV157" s="168">
        <f t="shared" si="333"/>
        <v>81.36</v>
      </c>
      <c r="TW157" s="205">
        <f t="shared" si="334"/>
        <v>81.36</v>
      </c>
      <c r="TX157" s="144"/>
      <c r="TY157" s="514"/>
      <c r="TZ157" s="127">
        <f t="shared" si="335"/>
        <v>0</v>
      </c>
      <c r="UA157" s="127">
        <f t="shared" si="336"/>
        <v>20.34</v>
      </c>
      <c r="UB157" s="205">
        <f t="shared" si="337"/>
        <v>20.34</v>
      </c>
      <c r="UE157" s="853" t="str">
        <f>IF(ST157&lt;='1. Simulator Input'!$E$104, "yes", "")</f>
        <v/>
      </c>
      <c r="UI157" s="199">
        <f t="shared" si="306"/>
        <v>0</v>
      </c>
      <c r="UJ157" s="200">
        <f>IF('Idaho Data'!SI157&gt;=0, ((1-'1. Simulator Input'!$E$39)*'Idaho Data'!SI157), 0)</f>
        <v>0</v>
      </c>
      <c r="UK157" s="200">
        <f t="shared" si="262"/>
        <v>2450026</v>
      </c>
      <c r="UL157" s="39"/>
      <c r="UM157" s="182"/>
      <c r="UN157" s="39"/>
      <c r="UO157" s="39" t="str">
        <f>IF(AND('1. Simulator Input'!$E$96="yes", '1. Simulator Input'!$E$98="yes", '1. Simulator Input'!$E$100="hold harmless"), 'Idaho Data'!WN157, IF(AND('1. Simulator Input'!$E$96="yes", '1. Simulator Input'!$E$98="no", '1. Simulator Input'!$E$100="hold harmless"), 'Idaho Data'!WM157, IF(AND('1. Simulator Input'!$E$96="yes", '1. Simulator Input'!$E$98="yes", '1. Simulator Input'!$E$100="small district grant"), WL157,IF(AND('1. Simulator Input'!$E$96="yes", '1. Simulator Input'!$E$98="no", '1. Simulator Input'!$E$100="small district grant"), WK157, ""))))</f>
        <v/>
      </c>
      <c r="UP157" s="200">
        <f>'1. Simulator Input'!$D$56*('Idaho Data'!ST157)</f>
        <v>1873314</v>
      </c>
      <c r="UQ157" s="204">
        <f>'1. Simulator Input'!$D$65*'1. Simulator Input'!$D$56*'Idaho Data'!SU157</f>
        <v>0</v>
      </c>
      <c r="UR157" s="204">
        <f>'1. Simulator Input'!$D$66*'1. Simulator Input'!$D$56*'Idaho Data'!SW157</f>
        <v>0</v>
      </c>
      <c r="US157" s="200">
        <f>'1. Simulator Input'!$D$67*'1. Simulator Input'!$D$56*'Idaho Data'!TA157</f>
        <v>0</v>
      </c>
      <c r="UT157" s="200">
        <f>'1. Simulator Input'!$D$68*'1. Simulator Input'!$D$56*'Idaho Data'!TB157</f>
        <v>0</v>
      </c>
      <c r="UU157" s="200">
        <f>'1. Simulator Input'!$D$69*'1. Simulator Input'!$D$56*'Idaho Data'!TC157</f>
        <v>0</v>
      </c>
      <c r="UV157" s="200">
        <f>'1. Simulator Input'!$D$70*'1. Simulator Input'!$D$56*TD157</f>
        <v>0</v>
      </c>
      <c r="UW157" s="200">
        <f>'1. Simulator Input'!$D$80*'1. Simulator Input'!$D$56*TW157</f>
        <v>0</v>
      </c>
      <c r="UX157" s="200">
        <f>'1. Simulator Input'!$D$79*'1. Simulator Input'!$D$56*UB157</f>
        <v>0</v>
      </c>
      <c r="UY157" s="200">
        <f>'1. Simulator Input'!$D$87*'1. Simulator Input'!$D$56*TF157</f>
        <v>0</v>
      </c>
      <c r="UZ157" s="200">
        <f>'1. Simulator Input'!$D$73*'1. Simulator Input'!$D$56*'Idaho Data'!TG157</f>
        <v>0</v>
      </c>
      <c r="VA157" s="200">
        <f>'1. Simulator Input'!$D$56*'1. Simulator Input'!$D$74*'Idaho Data'!TH157</f>
        <v>0</v>
      </c>
      <c r="VB157" s="200">
        <f>'1. Simulator Input'!$D$56*'1. Simulator Input'!$D$75*'Idaho Data'!TI152</f>
        <v>0</v>
      </c>
      <c r="VC157" s="200">
        <f>'1. Simulator Input'!$D$76*'1. Simulator Input'!$D$56*'Idaho Data'!TJ157</f>
        <v>0</v>
      </c>
      <c r="VD157" s="200">
        <f t="shared" si="307"/>
        <v>1873314</v>
      </c>
      <c r="VE157" s="200"/>
      <c r="VF157" s="182"/>
      <c r="VG157" s="200"/>
      <c r="VH157" s="200">
        <f t="shared" si="308"/>
        <v>0</v>
      </c>
      <c r="VI157" s="200">
        <f t="shared" si="309"/>
        <v>0</v>
      </c>
      <c r="VJ157" s="200">
        <f t="shared" si="271"/>
        <v>1873314</v>
      </c>
      <c r="VK157" s="200">
        <f t="shared" si="272"/>
        <v>1873314</v>
      </c>
      <c r="VL157" s="200"/>
      <c r="VM157" s="182"/>
      <c r="VN157" s="200"/>
      <c r="VO157" s="200">
        <f t="shared" si="310"/>
        <v>148364</v>
      </c>
      <c r="VP157" s="200">
        <f t="shared" si="311"/>
        <v>2450026</v>
      </c>
      <c r="VQ157" s="200">
        <f t="shared" si="312"/>
        <v>2139706</v>
      </c>
      <c r="VR157" s="200">
        <f t="shared" si="313"/>
        <v>148364</v>
      </c>
      <c r="VS157" s="200">
        <f t="shared" si="273"/>
        <v>1873314</v>
      </c>
      <c r="VT157" s="200">
        <f t="shared" si="274"/>
        <v>2139706</v>
      </c>
      <c r="VU157" s="200">
        <f t="shared" si="275"/>
        <v>0</v>
      </c>
      <c r="VV157" s="200"/>
      <c r="VW157" s="182"/>
      <c r="VX157" s="200"/>
      <c r="VZ157" s="199">
        <f t="shared" si="314"/>
        <v>-576712</v>
      </c>
      <c r="WA157" s="199">
        <f t="shared" si="315"/>
        <v>-1701.2153392330383</v>
      </c>
      <c r="WB157" s="131">
        <f t="shared" si="316"/>
        <v>-0.23539015504325261</v>
      </c>
      <c r="WC157" s="131"/>
      <c r="WD157" s="461"/>
      <c r="WE157" s="893"/>
      <c r="WF157" s="893">
        <f t="shared" si="317"/>
        <v>13976.684365781712</v>
      </c>
      <c r="WG157" s="893">
        <f t="shared" si="318"/>
        <v>12275.469026548673</v>
      </c>
      <c r="WH157" s="893"/>
      <c r="WI157" s="893">
        <f t="shared" si="319"/>
        <v>2450026</v>
      </c>
      <c r="WJ157" s="893">
        <f t="shared" si="276"/>
        <v>1873314</v>
      </c>
      <c r="WK157" s="39" t="str">
        <f t="shared" si="277"/>
        <v/>
      </c>
      <c r="WL157" s="39" t="str">
        <f t="shared" si="278"/>
        <v/>
      </c>
      <c r="WM157" s="200" t="str">
        <f t="shared" si="279"/>
        <v/>
      </c>
      <c r="WN157" s="39" t="str">
        <f t="shared" si="280"/>
        <v/>
      </c>
      <c r="WO157" s="39"/>
      <c r="WP157" s="182"/>
      <c r="WQ157" s="39"/>
      <c r="WR157" s="305"/>
      <c r="WT157" s="200">
        <f t="shared" si="281"/>
        <v>7227.2153392330383</v>
      </c>
      <c r="WU157" s="131">
        <f t="shared" si="320"/>
        <v>0.66</v>
      </c>
      <c r="WW157" s="199">
        <f t="shared" si="282"/>
        <v>148364</v>
      </c>
      <c r="WX157" s="199">
        <f t="shared" si="283"/>
        <v>1873314</v>
      </c>
      <c r="WY157" s="199">
        <f t="shared" si="284"/>
        <v>0</v>
      </c>
      <c r="WZ157" s="199">
        <f t="shared" si="321"/>
        <v>1873314</v>
      </c>
      <c r="XA157" s="199">
        <f t="shared" si="285"/>
        <v>0</v>
      </c>
      <c r="XB157" s="199">
        <f t="shared" si="286"/>
        <v>2139706</v>
      </c>
      <c r="XC157" s="199">
        <f t="shared" si="287"/>
        <v>2139706</v>
      </c>
      <c r="XD157" s="199" t="str">
        <f t="shared" si="288"/>
        <v/>
      </c>
      <c r="XE157" s="199"/>
      <c r="XF157" s="199"/>
      <c r="XG157" s="199"/>
      <c r="XH157" s="199"/>
      <c r="XI157" s="199"/>
      <c r="XJ157" s="199">
        <f t="shared" si="322"/>
        <v>1873314</v>
      </c>
      <c r="XP157" s="199">
        <f t="shared" si="289"/>
        <v>1873314</v>
      </c>
      <c r="XQ157" s="199">
        <f t="shared" si="290"/>
        <v>5526</v>
      </c>
      <c r="XR157" s="199">
        <f t="shared" si="291"/>
        <v>1873314</v>
      </c>
      <c r="XS157" s="199">
        <f t="shared" si="292"/>
        <v>1873314</v>
      </c>
      <c r="XT157" s="199">
        <f t="shared" si="293"/>
        <v>5526</v>
      </c>
      <c r="XU157" s="199">
        <f t="shared" si="294"/>
        <v>2450026</v>
      </c>
      <c r="XV157" s="199">
        <f t="shared" si="295"/>
        <v>7227.2153392330383</v>
      </c>
      <c r="XW157" s="199">
        <f t="shared" si="296"/>
        <v>2450026</v>
      </c>
      <c r="XX157" s="199">
        <f t="shared" si="297"/>
        <v>7227.2153392330383</v>
      </c>
      <c r="XY157" s="199">
        <f t="shared" si="323"/>
        <v>-576712</v>
      </c>
      <c r="XZ157" s="199">
        <f t="shared" si="324"/>
        <v>-1701.2153392330383</v>
      </c>
      <c r="YA157" s="131">
        <f t="shared" si="338"/>
        <v>-0.23539015504325259</v>
      </c>
      <c r="YB157" s="199"/>
      <c r="YC157" s="221"/>
      <c r="YD157" s="199"/>
      <c r="YE157" s="199">
        <f t="shared" si="298"/>
        <v>148364</v>
      </c>
      <c r="YF157" s="200">
        <f t="shared" si="299"/>
        <v>0</v>
      </c>
      <c r="YG157" s="199">
        <f t="shared" si="300"/>
        <v>2139706</v>
      </c>
      <c r="YH157" s="199">
        <f t="shared" si="301"/>
        <v>253833</v>
      </c>
    </row>
    <row r="158" spans="1:658">
      <c r="A158" s="1">
        <v>488</v>
      </c>
      <c r="B158" s="2" t="s">
        <v>1495</v>
      </c>
      <c r="C158" s="24">
        <v>0</v>
      </c>
      <c r="D158" s="39">
        <v>0</v>
      </c>
      <c r="E158" s="39">
        <v>0</v>
      </c>
      <c r="F158" s="39">
        <v>0</v>
      </c>
      <c r="G158" s="39">
        <v>0</v>
      </c>
      <c r="H158" s="39">
        <v>0</v>
      </c>
      <c r="I158" s="39">
        <v>0</v>
      </c>
      <c r="J158" s="39">
        <v>0</v>
      </c>
      <c r="K158" s="39">
        <v>0</v>
      </c>
      <c r="L158" s="24">
        <v>0</v>
      </c>
      <c r="M158" s="39">
        <v>0</v>
      </c>
      <c r="N158" s="39">
        <v>0</v>
      </c>
      <c r="O158" s="39">
        <v>0</v>
      </c>
      <c r="P158" s="39">
        <v>0</v>
      </c>
      <c r="Q158" s="39">
        <v>0</v>
      </c>
      <c r="R158" s="39">
        <v>0</v>
      </c>
      <c r="S158" s="39">
        <v>0</v>
      </c>
      <c r="T158" s="39">
        <v>0</v>
      </c>
      <c r="U158" s="39">
        <v>0</v>
      </c>
      <c r="V158" s="39">
        <v>0</v>
      </c>
      <c r="W158" s="39">
        <v>0</v>
      </c>
      <c r="X158" s="39">
        <v>0</v>
      </c>
      <c r="Y158" s="39">
        <v>0</v>
      </c>
      <c r="Z158" s="39">
        <v>0</v>
      </c>
      <c r="AA158" s="39">
        <v>0</v>
      </c>
      <c r="AB158" s="39">
        <v>0</v>
      </c>
      <c r="AC158" s="39">
        <v>0</v>
      </c>
      <c r="AD158" s="39">
        <v>0</v>
      </c>
      <c r="AE158" s="39">
        <v>0</v>
      </c>
      <c r="AF158" s="39">
        <v>0</v>
      </c>
      <c r="AG158" s="39">
        <v>0</v>
      </c>
      <c r="AH158" s="39">
        <v>0</v>
      </c>
      <c r="AI158" s="39">
        <v>0</v>
      </c>
      <c r="AJ158" s="39">
        <v>0</v>
      </c>
      <c r="AK158" s="39">
        <v>0</v>
      </c>
      <c r="AL158" s="39">
        <v>0</v>
      </c>
      <c r="AM158" s="39">
        <v>0</v>
      </c>
      <c r="AN158" s="39">
        <v>0</v>
      </c>
      <c r="AO158" s="39">
        <v>0</v>
      </c>
      <c r="AP158" s="39">
        <v>0</v>
      </c>
      <c r="AQ158" s="39">
        <v>0</v>
      </c>
      <c r="AR158" s="39">
        <v>0</v>
      </c>
      <c r="AS158" s="39">
        <v>0</v>
      </c>
      <c r="AT158" s="39">
        <v>0</v>
      </c>
      <c r="AU158" s="39">
        <v>0</v>
      </c>
      <c r="AV158" s="39">
        <v>0</v>
      </c>
      <c r="AW158" s="39">
        <v>0</v>
      </c>
      <c r="AX158" s="39">
        <v>0</v>
      </c>
      <c r="AY158" s="39">
        <v>0</v>
      </c>
      <c r="AZ158" s="39">
        <v>0</v>
      </c>
      <c r="BA158" s="39">
        <v>0</v>
      </c>
      <c r="BB158" s="39">
        <v>0</v>
      </c>
      <c r="BC158" s="39">
        <v>0</v>
      </c>
      <c r="BD158" s="39">
        <v>0</v>
      </c>
      <c r="BE158" s="39">
        <v>0</v>
      </c>
      <c r="BF158" s="39">
        <v>0</v>
      </c>
      <c r="BG158" s="39">
        <v>0</v>
      </c>
      <c r="BH158" s="39">
        <v>0</v>
      </c>
      <c r="BI158" s="39">
        <v>0</v>
      </c>
      <c r="BJ158" s="39">
        <v>0</v>
      </c>
      <c r="BK158" s="39">
        <v>0</v>
      </c>
      <c r="BL158" s="39">
        <v>0</v>
      </c>
      <c r="BM158" s="39">
        <v>0</v>
      </c>
      <c r="BN158" s="39">
        <v>0</v>
      </c>
      <c r="BO158" s="39">
        <v>0</v>
      </c>
      <c r="BP158" s="39">
        <v>0</v>
      </c>
      <c r="BQ158" s="39">
        <v>0</v>
      </c>
      <c r="BR158" s="39">
        <v>0</v>
      </c>
      <c r="BS158" s="39">
        <v>0</v>
      </c>
      <c r="BT158" s="39">
        <v>0</v>
      </c>
      <c r="BU158" s="39">
        <v>0</v>
      </c>
      <c r="BV158" s="39">
        <v>0</v>
      </c>
      <c r="BW158" s="39">
        <v>0</v>
      </c>
      <c r="BX158" s="39">
        <v>0</v>
      </c>
      <c r="BY158" s="39">
        <v>0</v>
      </c>
      <c r="BZ158" s="39">
        <v>0</v>
      </c>
      <c r="CA158" s="39">
        <v>0</v>
      </c>
      <c r="CB158" s="39">
        <v>0</v>
      </c>
      <c r="CC158" s="39">
        <v>0</v>
      </c>
      <c r="CD158" s="39">
        <v>0</v>
      </c>
      <c r="CE158" s="39">
        <v>0</v>
      </c>
      <c r="CF158" s="39">
        <v>0</v>
      </c>
      <c r="CG158" s="39">
        <v>0</v>
      </c>
      <c r="CH158" s="39">
        <v>0</v>
      </c>
      <c r="CI158" s="39">
        <v>0</v>
      </c>
      <c r="CJ158" s="39">
        <v>0</v>
      </c>
      <c r="CK158" s="39">
        <v>0</v>
      </c>
      <c r="CL158" s="39">
        <v>0</v>
      </c>
      <c r="CM158" s="39">
        <v>0</v>
      </c>
      <c r="CN158" s="39">
        <v>0</v>
      </c>
      <c r="CO158" s="39">
        <v>0</v>
      </c>
      <c r="CP158" s="39">
        <v>0</v>
      </c>
      <c r="CQ158" s="39">
        <v>0</v>
      </c>
      <c r="CR158" s="39">
        <v>0</v>
      </c>
      <c r="CS158" s="39">
        <v>20400</v>
      </c>
      <c r="CT158" s="39">
        <v>0</v>
      </c>
      <c r="CU158" s="39">
        <v>0</v>
      </c>
      <c r="CV158" s="39">
        <v>0</v>
      </c>
      <c r="CW158" s="39">
        <v>0</v>
      </c>
      <c r="CX158" s="39">
        <v>0</v>
      </c>
      <c r="CY158" s="39">
        <v>0</v>
      </c>
      <c r="CZ158" s="39">
        <v>0</v>
      </c>
      <c r="DA158" s="39">
        <v>0</v>
      </c>
      <c r="DB158" s="39">
        <v>0</v>
      </c>
      <c r="DC158" s="39">
        <v>0</v>
      </c>
      <c r="DD158" s="39">
        <v>24947</v>
      </c>
      <c r="DE158" s="39">
        <v>0</v>
      </c>
      <c r="DF158" s="39">
        <v>0</v>
      </c>
      <c r="DG158" s="39">
        <v>0</v>
      </c>
      <c r="DH158" s="39">
        <v>0</v>
      </c>
      <c r="DI158" s="39">
        <v>0</v>
      </c>
      <c r="DJ158" s="39">
        <v>0</v>
      </c>
      <c r="DK158" s="39">
        <v>0</v>
      </c>
      <c r="DL158" s="39">
        <v>0</v>
      </c>
      <c r="DM158" s="39">
        <v>0</v>
      </c>
      <c r="DN158" s="39">
        <v>0</v>
      </c>
      <c r="DO158" s="39">
        <v>0</v>
      </c>
      <c r="DP158" s="39">
        <v>0</v>
      </c>
      <c r="DQ158" s="39">
        <v>0</v>
      </c>
      <c r="DR158" s="39">
        <v>0</v>
      </c>
      <c r="DS158" s="39">
        <v>0</v>
      </c>
      <c r="DT158" s="39">
        <v>0</v>
      </c>
      <c r="DU158" s="39">
        <v>0</v>
      </c>
      <c r="DV158" s="39">
        <v>0</v>
      </c>
      <c r="DW158" s="39">
        <v>0</v>
      </c>
      <c r="DX158" s="39">
        <v>0</v>
      </c>
      <c r="DY158" s="39">
        <v>0</v>
      </c>
      <c r="DZ158" s="39">
        <v>0</v>
      </c>
      <c r="EA158" s="39">
        <v>0</v>
      </c>
      <c r="EB158" s="39">
        <v>0</v>
      </c>
      <c r="EC158" s="39">
        <v>0</v>
      </c>
      <c r="ED158" s="39">
        <v>0</v>
      </c>
      <c r="EE158" s="39">
        <v>0</v>
      </c>
      <c r="EF158" s="39">
        <v>0</v>
      </c>
      <c r="EG158" s="39">
        <v>186955</v>
      </c>
      <c r="EH158" s="39">
        <v>0</v>
      </c>
      <c r="EI158" s="39">
        <v>0</v>
      </c>
      <c r="EJ158" s="39">
        <v>0</v>
      </c>
      <c r="EK158" s="39">
        <v>0</v>
      </c>
      <c r="EL158" s="39">
        <v>0</v>
      </c>
      <c r="EM158" s="39">
        <v>0</v>
      </c>
      <c r="EN158" s="39">
        <v>0</v>
      </c>
      <c r="EO158" s="39">
        <v>0</v>
      </c>
      <c r="EP158" s="39">
        <v>0</v>
      </c>
      <c r="EQ158" s="39">
        <v>0</v>
      </c>
      <c r="ER158" s="39">
        <v>0</v>
      </c>
      <c r="ES158" s="39">
        <v>0</v>
      </c>
      <c r="ET158" s="39">
        <v>0</v>
      </c>
      <c r="EU158" s="39">
        <v>0</v>
      </c>
      <c r="EV158" s="39">
        <v>0</v>
      </c>
      <c r="EW158" s="39">
        <v>0</v>
      </c>
      <c r="EX158" s="39">
        <v>0</v>
      </c>
      <c r="EY158" s="39">
        <v>0</v>
      </c>
      <c r="EZ158" s="39">
        <v>0</v>
      </c>
      <c r="FA158" s="39">
        <v>0</v>
      </c>
      <c r="FB158" s="39">
        <v>0</v>
      </c>
      <c r="FC158" s="39">
        <v>0</v>
      </c>
      <c r="FD158" s="39">
        <v>0</v>
      </c>
      <c r="FE158" s="39">
        <v>0</v>
      </c>
      <c r="FF158" s="39">
        <v>0</v>
      </c>
      <c r="FG158" s="39">
        <v>0</v>
      </c>
      <c r="FH158" s="39">
        <v>0</v>
      </c>
      <c r="FI158" s="39">
        <v>0</v>
      </c>
      <c r="FJ158" s="39">
        <v>0</v>
      </c>
      <c r="FK158" s="39">
        <v>0</v>
      </c>
      <c r="FL158" s="39">
        <v>0</v>
      </c>
      <c r="FM158" s="39">
        <v>0</v>
      </c>
      <c r="FN158" s="39">
        <v>0</v>
      </c>
      <c r="FO158" s="39">
        <v>0</v>
      </c>
      <c r="FP158" s="39">
        <v>0</v>
      </c>
      <c r="FQ158" s="39">
        <v>0</v>
      </c>
      <c r="FR158" s="39">
        <v>0</v>
      </c>
      <c r="FS158" s="39">
        <v>189807</v>
      </c>
      <c r="FT158" s="39">
        <v>0</v>
      </c>
      <c r="FU158" s="39">
        <v>0</v>
      </c>
      <c r="FV158" s="39">
        <v>0</v>
      </c>
      <c r="FW158" s="39">
        <v>0</v>
      </c>
      <c r="FX158" s="39">
        <v>0</v>
      </c>
      <c r="FY158" s="39">
        <v>0</v>
      </c>
      <c r="FZ158" s="39">
        <v>0</v>
      </c>
      <c r="GA158" s="39">
        <v>0</v>
      </c>
      <c r="GB158" s="39">
        <v>0</v>
      </c>
      <c r="GC158" s="39">
        <v>0</v>
      </c>
      <c r="GD158" s="39">
        <v>0</v>
      </c>
      <c r="GE158" s="39">
        <v>0</v>
      </c>
      <c r="GF158" s="39">
        <v>0</v>
      </c>
      <c r="GG158" s="39">
        <v>0</v>
      </c>
      <c r="GH158" s="39">
        <v>0</v>
      </c>
      <c r="GI158" s="39">
        <v>0</v>
      </c>
      <c r="GJ158" s="39">
        <v>0</v>
      </c>
      <c r="GK158" s="39">
        <v>0</v>
      </c>
      <c r="GL158" s="39">
        <v>0</v>
      </c>
      <c r="GM158" s="39">
        <v>0</v>
      </c>
      <c r="GN158" s="39">
        <v>0</v>
      </c>
      <c r="GO158" s="39">
        <v>0</v>
      </c>
      <c r="GP158" s="39">
        <v>0</v>
      </c>
      <c r="GQ158" s="39">
        <v>0</v>
      </c>
      <c r="GR158" s="39">
        <v>0</v>
      </c>
      <c r="GS158" s="39">
        <v>0</v>
      </c>
      <c r="GT158" s="39">
        <v>0</v>
      </c>
      <c r="GU158" s="39">
        <v>0</v>
      </c>
      <c r="GV158" s="39">
        <v>0</v>
      </c>
      <c r="GW158" s="39">
        <v>0</v>
      </c>
      <c r="GX158" s="39">
        <v>0</v>
      </c>
      <c r="GY158" s="39">
        <v>0</v>
      </c>
      <c r="GZ158" s="39">
        <v>0</v>
      </c>
      <c r="HA158" s="39">
        <v>0</v>
      </c>
      <c r="HB158" s="39">
        <v>0</v>
      </c>
      <c r="HC158" s="39">
        <v>0</v>
      </c>
      <c r="HD158" s="39">
        <v>555371</v>
      </c>
      <c r="HE158" s="39">
        <v>0</v>
      </c>
      <c r="HF158" s="39">
        <v>0</v>
      </c>
      <c r="HG158" s="39">
        <v>0</v>
      </c>
      <c r="HH158" s="39">
        <v>0</v>
      </c>
      <c r="HI158" s="39">
        <v>0</v>
      </c>
      <c r="HJ158" s="39">
        <v>0</v>
      </c>
      <c r="HK158" s="39">
        <v>0</v>
      </c>
      <c r="HL158" s="39">
        <v>0</v>
      </c>
      <c r="HM158" s="39">
        <v>0</v>
      </c>
      <c r="HN158" s="39">
        <v>0</v>
      </c>
      <c r="HO158" s="39">
        <v>71713</v>
      </c>
      <c r="HP158" s="39">
        <v>75411</v>
      </c>
      <c r="HQ158" s="39">
        <v>0</v>
      </c>
      <c r="HR158" s="39">
        <v>0</v>
      </c>
      <c r="HS158" s="39">
        <v>0</v>
      </c>
      <c r="HT158" s="39">
        <v>0</v>
      </c>
      <c r="HU158" s="39">
        <v>0</v>
      </c>
      <c r="HV158" s="39">
        <v>0</v>
      </c>
      <c r="HW158" s="39">
        <v>0</v>
      </c>
      <c r="HX158" s="39">
        <v>0</v>
      </c>
      <c r="HY158" s="39">
        <v>0</v>
      </c>
      <c r="HZ158" s="39">
        <v>0</v>
      </c>
      <c r="IA158" s="39">
        <v>10923</v>
      </c>
      <c r="IB158" s="39">
        <v>0</v>
      </c>
      <c r="IC158" s="39">
        <v>0</v>
      </c>
      <c r="ID158" s="39">
        <v>0</v>
      </c>
      <c r="IE158" s="39">
        <v>0</v>
      </c>
      <c r="IF158" s="39">
        <v>0</v>
      </c>
      <c r="IG158" s="39">
        <v>0</v>
      </c>
      <c r="IH158" s="39">
        <v>0</v>
      </c>
      <c r="II158" s="39">
        <v>0</v>
      </c>
      <c r="IJ158" s="39">
        <v>0</v>
      </c>
      <c r="IK158" s="39">
        <v>0</v>
      </c>
      <c r="IL158" s="39">
        <v>0</v>
      </c>
      <c r="IM158" s="39">
        <v>0</v>
      </c>
      <c r="IN158" s="39">
        <v>0</v>
      </c>
      <c r="IO158" s="39">
        <v>0</v>
      </c>
      <c r="IP158" s="39">
        <v>0</v>
      </c>
      <c r="IQ158" s="39">
        <v>0</v>
      </c>
      <c r="IR158" s="39">
        <v>0</v>
      </c>
      <c r="IS158" s="39">
        <v>0</v>
      </c>
      <c r="IT158" s="39">
        <v>0</v>
      </c>
      <c r="IU158" s="39">
        <v>0</v>
      </c>
      <c r="IV158" s="39">
        <v>0</v>
      </c>
      <c r="IW158" s="39">
        <v>7699</v>
      </c>
      <c r="IX158" s="39">
        <v>0</v>
      </c>
      <c r="IY158" s="39">
        <v>0</v>
      </c>
      <c r="IZ158" s="39">
        <v>0</v>
      </c>
      <c r="JA158" s="39">
        <v>0</v>
      </c>
      <c r="JB158" s="39">
        <v>0</v>
      </c>
      <c r="JC158" s="39">
        <v>0</v>
      </c>
      <c r="JD158" s="39">
        <v>0</v>
      </c>
      <c r="JE158" s="39">
        <v>0</v>
      </c>
      <c r="JF158" s="39">
        <v>0</v>
      </c>
      <c r="JG158" s="39">
        <v>0</v>
      </c>
      <c r="JH158" s="39">
        <v>0</v>
      </c>
      <c r="JI158" s="39">
        <v>0</v>
      </c>
      <c r="JJ158" s="39">
        <v>0</v>
      </c>
      <c r="JK158" s="39">
        <v>0</v>
      </c>
      <c r="JL158" s="39">
        <v>0</v>
      </c>
      <c r="JM158" s="39">
        <v>0</v>
      </c>
      <c r="JN158" s="39">
        <v>0</v>
      </c>
      <c r="JO158" s="39">
        <v>0</v>
      </c>
      <c r="JP158" s="39">
        <v>0</v>
      </c>
      <c r="JQ158" s="39">
        <v>0</v>
      </c>
      <c r="JR158" s="39">
        <v>0</v>
      </c>
      <c r="JS158" s="39">
        <v>0</v>
      </c>
      <c r="JT158" s="39">
        <v>0</v>
      </c>
      <c r="JU158" s="39">
        <v>0</v>
      </c>
      <c r="JV158" s="39">
        <v>0</v>
      </c>
      <c r="JW158" s="39">
        <v>0</v>
      </c>
      <c r="JX158" s="39">
        <v>0</v>
      </c>
      <c r="JY158" s="39">
        <v>0</v>
      </c>
      <c r="JZ158" s="39">
        <v>0</v>
      </c>
      <c r="KA158" s="39">
        <v>0</v>
      </c>
      <c r="KB158" s="39">
        <v>0</v>
      </c>
      <c r="KC158" s="39">
        <v>0</v>
      </c>
      <c r="KD158" s="39">
        <v>0</v>
      </c>
      <c r="KE158" s="39">
        <v>0</v>
      </c>
      <c r="KF158" s="39">
        <v>0</v>
      </c>
      <c r="KG158" s="39">
        <v>0</v>
      </c>
      <c r="KH158" s="39">
        <v>0</v>
      </c>
      <c r="KI158" s="39">
        <v>0</v>
      </c>
      <c r="KJ158" s="39">
        <v>0</v>
      </c>
      <c r="KK158" s="39">
        <v>0</v>
      </c>
      <c r="KL158" s="39">
        <v>0</v>
      </c>
      <c r="KM158" s="39">
        <v>0</v>
      </c>
      <c r="KN158" s="39">
        <v>0</v>
      </c>
      <c r="KO158" s="39">
        <v>0</v>
      </c>
      <c r="KP158" s="39">
        <v>0</v>
      </c>
      <c r="KQ158" s="39">
        <v>0</v>
      </c>
      <c r="KR158" s="39">
        <v>0</v>
      </c>
      <c r="KS158" s="39">
        <v>0</v>
      </c>
      <c r="KT158" s="39">
        <v>0</v>
      </c>
      <c r="KU158" s="39">
        <v>0</v>
      </c>
      <c r="KV158" s="39">
        <v>0</v>
      </c>
      <c r="KW158" s="39">
        <v>0</v>
      </c>
      <c r="KX158" s="39">
        <v>0</v>
      </c>
      <c r="KY158" s="39">
        <v>0</v>
      </c>
      <c r="KZ158" s="39">
        <v>0</v>
      </c>
      <c r="LA158" s="39">
        <v>0</v>
      </c>
      <c r="LB158" s="39">
        <v>0</v>
      </c>
      <c r="LC158" s="39">
        <v>0</v>
      </c>
      <c r="LD158" s="39">
        <v>0</v>
      </c>
      <c r="LE158" s="39">
        <v>0</v>
      </c>
      <c r="LF158" s="39">
        <v>0</v>
      </c>
      <c r="LG158" s="39">
        <v>0</v>
      </c>
      <c r="LH158" s="39">
        <v>0</v>
      </c>
      <c r="LI158" s="39">
        <v>0</v>
      </c>
      <c r="LJ158" s="39">
        <v>0</v>
      </c>
      <c r="LK158" s="39">
        <v>0</v>
      </c>
      <c r="LL158" s="39">
        <v>0</v>
      </c>
      <c r="LM158" s="39">
        <v>0</v>
      </c>
      <c r="LN158" s="39">
        <v>0</v>
      </c>
      <c r="LO158" s="39">
        <v>0</v>
      </c>
      <c r="LP158" s="39">
        <v>0</v>
      </c>
      <c r="LQ158" s="39">
        <v>8366</v>
      </c>
      <c r="LR158" s="39">
        <v>0</v>
      </c>
      <c r="LS158" s="39">
        <v>0</v>
      </c>
      <c r="LT158" s="39">
        <v>0</v>
      </c>
      <c r="LU158" s="39">
        <v>0</v>
      </c>
      <c r="LV158" s="39">
        <v>0</v>
      </c>
      <c r="LW158" s="39">
        <v>0</v>
      </c>
      <c r="LX158" s="39">
        <v>0</v>
      </c>
      <c r="LY158" s="39">
        <v>0</v>
      </c>
      <c r="LZ158" s="39">
        <v>0</v>
      </c>
      <c r="MA158" s="39">
        <v>0</v>
      </c>
      <c r="MB158" s="39">
        <v>0</v>
      </c>
      <c r="MC158" s="39">
        <v>0</v>
      </c>
      <c r="MD158" s="39">
        <v>0</v>
      </c>
      <c r="ME158" s="39">
        <v>0</v>
      </c>
      <c r="MF158" s="39">
        <v>0</v>
      </c>
      <c r="MG158" s="39">
        <v>0</v>
      </c>
      <c r="MH158" s="39">
        <v>0</v>
      </c>
      <c r="MI158" s="39">
        <v>0</v>
      </c>
      <c r="MJ158" s="39">
        <v>0</v>
      </c>
      <c r="MK158" s="39">
        <v>0</v>
      </c>
      <c r="ML158" s="39">
        <v>0</v>
      </c>
      <c r="MM158" s="39">
        <v>0</v>
      </c>
      <c r="MN158" s="39">
        <v>0</v>
      </c>
      <c r="MO158" s="39">
        <v>0</v>
      </c>
      <c r="MP158" s="39">
        <v>0</v>
      </c>
      <c r="MQ158" s="39">
        <v>0</v>
      </c>
      <c r="MR158" s="39">
        <v>0</v>
      </c>
      <c r="MS158" s="39">
        <v>0</v>
      </c>
      <c r="MT158" s="39">
        <v>0</v>
      </c>
      <c r="MU158" s="39">
        <v>0</v>
      </c>
      <c r="MV158" s="39">
        <v>0</v>
      </c>
      <c r="MW158" s="39">
        <v>16767</v>
      </c>
      <c r="MX158" s="39">
        <v>0</v>
      </c>
      <c r="MY158" s="39">
        <v>0</v>
      </c>
      <c r="MZ158" s="39">
        <v>0</v>
      </c>
      <c r="NA158" s="39">
        <v>0</v>
      </c>
      <c r="NB158" s="39">
        <v>0</v>
      </c>
      <c r="NC158" s="39">
        <v>0</v>
      </c>
      <c r="ND158" s="39">
        <v>0</v>
      </c>
      <c r="NE158" s="39">
        <v>0</v>
      </c>
      <c r="NF158" s="39">
        <v>0</v>
      </c>
      <c r="NG158" s="39">
        <v>0</v>
      </c>
      <c r="NH158" s="39">
        <v>0</v>
      </c>
      <c r="NI158" s="39">
        <v>0</v>
      </c>
      <c r="NJ158" s="39">
        <v>0</v>
      </c>
      <c r="NK158" s="39">
        <v>0</v>
      </c>
      <c r="NL158" s="39">
        <v>0</v>
      </c>
      <c r="NM158" s="39">
        <v>0</v>
      </c>
      <c r="NN158" s="39">
        <v>0</v>
      </c>
      <c r="NO158" s="39">
        <v>0</v>
      </c>
      <c r="NP158" s="39">
        <v>0</v>
      </c>
      <c r="NQ158" s="39">
        <v>0</v>
      </c>
      <c r="NR158" s="39">
        <v>0</v>
      </c>
      <c r="NS158" s="39">
        <v>0</v>
      </c>
      <c r="NT158" s="39">
        <v>0</v>
      </c>
      <c r="NU158" s="39">
        <v>0</v>
      </c>
      <c r="NV158" s="39">
        <v>7870</v>
      </c>
      <c r="NW158" s="39">
        <v>0</v>
      </c>
      <c r="NX158" s="39">
        <v>0</v>
      </c>
      <c r="NY158" s="39">
        <v>0</v>
      </c>
      <c r="NZ158" s="39">
        <v>0</v>
      </c>
      <c r="OA158" s="39">
        <v>0</v>
      </c>
      <c r="OB158" s="39">
        <v>0</v>
      </c>
      <c r="OC158" s="39">
        <v>0</v>
      </c>
      <c r="OD158" s="39">
        <v>0</v>
      </c>
      <c r="OE158" s="39">
        <v>0</v>
      </c>
      <c r="OF158" s="39">
        <v>0</v>
      </c>
      <c r="OG158" s="39">
        <v>0</v>
      </c>
      <c r="OH158" s="39">
        <v>0</v>
      </c>
      <c r="OI158" s="39">
        <v>0</v>
      </c>
      <c r="OJ158" s="39">
        <v>0</v>
      </c>
      <c r="OK158" s="39">
        <v>0</v>
      </c>
      <c r="OL158" s="39">
        <v>0</v>
      </c>
      <c r="OM158" s="39">
        <v>0</v>
      </c>
      <c r="ON158" s="39">
        <v>0</v>
      </c>
      <c r="OO158" s="39">
        <v>0</v>
      </c>
      <c r="OP158" s="39">
        <v>0</v>
      </c>
      <c r="OQ158" s="39">
        <v>0</v>
      </c>
      <c r="OR158" s="39">
        <v>0</v>
      </c>
      <c r="OS158" s="39">
        <v>0</v>
      </c>
      <c r="OT158" s="39">
        <v>0</v>
      </c>
      <c r="OU158" s="39">
        <v>0</v>
      </c>
      <c r="OV158" s="39">
        <v>0</v>
      </c>
      <c r="OW158" s="39">
        <v>0</v>
      </c>
      <c r="OX158" s="39">
        <v>0</v>
      </c>
      <c r="OY158" s="39">
        <v>0</v>
      </c>
      <c r="OZ158" s="39">
        <v>0</v>
      </c>
      <c r="PA158" s="39">
        <v>0</v>
      </c>
      <c r="PB158" s="39">
        <v>0</v>
      </c>
      <c r="PC158" s="39">
        <v>0</v>
      </c>
      <c r="PD158" s="39">
        <v>0</v>
      </c>
      <c r="PE158" s="39">
        <v>0</v>
      </c>
      <c r="PF158" s="39">
        <v>0</v>
      </c>
      <c r="PG158" s="39">
        <v>0</v>
      </c>
      <c r="PH158" s="39">
        <v>5000</v>
      </c>
      <c r="PI158" s="39">
        <v>0</v>
      </c>
      <c r="PJ158" s="39">
        <v>0</v>
      </c>
      <c r="PK158" s="39">
        <v>0</v>
      </c>
      <c r="PL158" s="39">
        <v>0</v>
      </c>
      <c r="PM158" s="39">
        <v>0</v>
      </c>
      <c r="PN158" s="39">
        <v>0</v>
      </c>
      <c r="PO158" s="39">
        <v>0</v>
      </c>
      <c r="PP158" s="39">
        <v>0</v>
      </c>
      <c r="PQ158" s="39">
        <v>0</v>
      </c>
      <c r="PR158" s="39">
        <v>0</v>
      </c>
      <c r="PS158" s="39">
        <v>0</v>
      </c>
      <c r="PT158" s="39">
        <v>0</v>
      </c>
      <c r="PU158" s="39">
        <v>0</v>
      </c>
      <c r="PV158" s="39">
        <v>0</v>
      </c>
      <c r="PW158" s="39">
        <v>0</v>
      </c>
      <c r="PX158" s="39">
        <v>0</v>
      </c>
      <c r="PY158" s="39">
        <v>0</v>
      </c>
      <c r="PZ158" s="39">
        <v>0</v>
      </c>
      <c r="QA158" s="39">
        <v>0</v>
      </c>
      <c r="QB158" s="39">
        <v>0</v>
      </c>
      <c r="QC158" s="39">
        <v>0</v>
      </c>
      <c r="QD158" s="39">
        <v>0</v>
      </c>
      <c r="QE158" s="39">
        <v>0</v>
      </c>
      <c r="QF158" s="39">
        <v>0</v>
      </c>
      <c r="QG158" s="39">
        <v>0</v>
      </c>
      <c r="QH158" s="39">
        <v>0</v>
      </c>
      <c r="QI158" s="39">
        <v>0</v>
      </c>
      <c r="QJ158" s="39">
        <v>0</v>
      </c>
      <c r="QK158" s="39">
        <v>0</v>
      </c>
      <c r="QL158" s="39">
        <v>0</v>
      </c>
      <c r="QM158" s="39">
        <v>0</v>
      </c>
      <c r="QN158" s="39">
        <v>0</v>
      </c>
      <c r="QO158" s="39">
        <v>0</v>
      </c>
      <c r="QP158" s="39">
        <v>0</v>
      </c>
      <c r="QQ158" s="39">
        <v>0</v>
      </c>
      <c r="QR158" s="39">
        <v>0</v>
      </c>
      <c r="QS158" s="39">
        <v>0</v>
      </c>
      <c r="QT158" s="39">
        <v>0</v>
      </c>
      <c r="QU158" s="39">
        <v>0</v>
      </c>
      <c r="QV158" s="39">
        <v>0</v>
      </c>
      <c r="QW158" s="39">
        <v>0</v>
      </c>
      <c r="QX158" s="39">
        <v>0</v>
      </c>
      <c r="QY158" s="39">
        <v>0</v>
      </c>
      <c r="QZ158" s="39">
        <v>0</v>
      </c>
      <c r="RA158" s="39">
        <v>0</v>
      </c>
      <c r="RB158" s="39">
        <v>0</v>
      </c>
      <c r="RC158" s="913">
        <v>2</v>
      </c>
      <c r="RG158" s="39">
        <f t="shared" si="339"/>
        <v>555371</v>
      </c>
      <c r="RH158" s="39">
        <f t="shared" si="339"/>
        <v>0</v>
      </c>
      <c r="RI158" s="39">
        <f t="shared" si="339"/>
        <v>0</v>
      </c>
      <c r="RJ158" s="39">
        <f t="shared" si="339"/>
        <v>0</v>
      </c>
      <c r="RK158" s="39">
        <f t="shared" si="339"/>
        <v>0</v>
      </c>
      <c r="RL158" s="39">
        <f t="shared" si="339"/>
        <v>71713</v>
      </c>
      <c r="RM158" s="39">
        <f t="shared" si="339"/>
        <v>86334</v>
      </c>
      <c r="RN158" s="39">
        <f t="shared" si="339"/>
        <v>0</v>
      </c>
      <c r="RO158" s="39">
        <f t="shared" si="339"/>
        <v>0</v>
      </c>
      <c r="RP158" s="39">
        <f t="shared" si="339"/>
        <v>7699</v>
      </c>
      <c r="RQ158" s="39">
        <f t="shared" si="339"/>
        <v>0</v>
      </c>
      <c r="RR158" s="39">
        <f t="shared" si="325"/>
        <v>0</v>
      </c>
      <c r="RS158" s="39"/>
      <c r="RT158" s="182"/>
      <c r="RU158" s="39"/>
      <c r="RV158" s="39">
        <f t="shared" si="302"/>
        <v>33003</v>
      </c>
      <c r="RW158" s="39">
        <f t="shared" si="302"/>
        <v>721117</v>
      </c>
      <c r="RX158" s="39">
        <f t="shared" si="302"/>
        <v>422109</v>
      </c>
      <c r="RY158" s="39">
        <f t="shared" si="302"/>
        <v>5000</v>
      </c>
      <c r="RZ158" s="39"/>
      <c r="SA158" s="182"/>
      <c r="SB158" s="39"/>
      <c r="SC158" s="25">
        <f t="shared" si="303"/>
        <v>3577.1949152542375</v>
      </c>
      <c r="SD158" s="39">
        <f>IFERROR(VLOOKUP(A158, 'Levy Data 15-16'!$B:$O, 3, FALSE), 0)</f>
        <v>0</v>
      </c>
      <c r="SE158" s="39">
        <f t="shared" si="265"/>
        <v>0</v>
      </c>
      <c r="SF158" s="631">
        <f>IFERROR(VLOOKUP(A158, 'Levy Data 15-16'!$B:$O, 14, FALSE), 0)*1000</f>
        <v>0</v>
      </c>
      <c r="SG158" s="39">
        <f t="shared" si="266"/>
        <v>0</v>
      </c>
      <c r="SH158" s="39">
        <f t="shared" si="267"/>
        <v>0</v>
      </c>
      <c r="SI158" s="39">
        <f t="shared" si="268"/>
        <v>422109</v>
      </c>
      <c r="SM158" s="39">
        <f t="shared" si="269"/>
        <v>721117</v>
      </c>
      <c r="SN158" s="39">
        <f t="shared" si="270"/>
        <v>0</v>
      </c>
      <c r="SO158" s="39">
        <f t="shared" si="304"/>
        <v>721117</v>
      </c>
      <c r="SP158" s="50">
        <f t="shared" si="326"/>
        <v>1</v>
      </c>
      <c r="ST158" s="124">
        <f>IFERROR(VLOOKUP(A158,'Grade Enroll 15-16'!B:AC,27,FALSE),"")</f>
        <v>118</v>
      </c>
      <c r="SU158" s="124">
        <f t="shared" si="327"/>
        <v>37.215384615384615</v>
      </c>
      <c r="SV158" s="131">
        <f>IFERROR(VLOOKUP($A158, 'Title I Enroll 16-17'!S:V, 4, FALSE), 0)</f>
        <v>0.31538461538461537</v>
      </c>
      <c r="SW158" s="729">
        <f>IFERROR(VLOOKUP(A158, 'ELL Enroll 15-16'!$N:$S, 6, FALSE), 0)</f>
        <v>5</v>
      </c>
      <c r="SX158" s="131">
        <f t="shared" si="328"/>
        <v>4.2372881355932202E-2</v>
      </c>
      <c r="SY158" s="124">
        <f>IFERROR(VLOOKUP(A158, 'SPED enroll 2015-16'!$M:$O, 3, FALSE), 0)</f>
        <v>5</v>
      </c>
      <c r="SZ158" s="131">
        <f t="shared" si="329"/>
        <v>4.2372881355932202E-2</v>
      </c>
      <c r="TA158" s="142">
        <f t="shared" si="340"/>
        <v>3.5</v>
      </c>
      <c r="TB158" s="142">
        <f t="shared" si="340"/>
        <v>1</v>
      </c>
      <c r="TC158" s="142">
        <f t="shared" si="340"/>
        <v>0.35000000000000003</v>
      </c>
      <c r="TD158" s="142">
        <f t="shared" si="340"/>
        <v>0.15</v>
      </c>
      <c r="TE158" s="124">
        <f>VLOOKUP($A158, 'Grade Enroll 15-16'!$B:$AB, 20, FALSE)</f>
        <v>0</v>
      </c>
      <c r="TF158" s="124">
        <f>VLOOKUP($A158, 'Grade Enroll 15-16'!$B:$AB, 21, FALSE)</f>
        <v>13</v>
      </c>
      <c r="TG158" s="124">
        <f>VLOOKUP($A158, 'Grade Enroll 15-16'!$B:$AB, 22, FALSE)</f>
        <v>60</v>
      </c>
      <c r="TH158" s="124">
        <f>VLOOKUP($A158, 'Grade Enroll 15-16'!$B:$AB, 23, FALSE)</f>
        <v>58</v>
      </c>
      <c r="TI158" s="124">
        <f>VLOOKUP($A158, 'Grade Enroll 15-16'!$B:$AB, 24, FALSE)</f>
        <v>0</v>
      </c>
      <c r="TJ158" s="124">
        <f>VLOOKUP($A158, 'Grade Enroll 15-16'!$B:$AB, 25, FALSE)</f>
        <v>0</v>
      </c>
      <c r="TK158" s="124">
        <f>VLOOKUP($A158, 'Grade Enroll 15-16'!$B:$AB, 26, FALSE)</f>
        <v>76</v>
      </c>
      <c r="TL158" s="131">
        <f>SUMIFS('Student Achievement 15-16'!N:N, 'Student Achievement 15-16'!B:B, 'Idaho Data'!A158, 'Student Achievement 15-16'!D:D, "math")/100</f>
        <v>0.49299999999999999</v>
      </c>
      <c r="TM158" s="134">
        <f t="shared" si="305"/>
        <v>58.173999999999999</v>
      </c>
      <c r="TN158" s="131">
        <f>SUMIFS('Student Achievement 15-16'!N:N, 'Student Achievement 15-16'!B:B, 'Idaho Data'!A158, 'Student Achievement 15-16'!D:D, "ela")/100</f>
        <v>0.43099999999999999</v>
      </c>
      <c r="TO158" s="135">
        <f t="shared" si="330"/>
        <v>50.857999999999997</v>
      </c>
      <c r="TP158" s="688">
        <f>IFERROR(VLOOKUP(A158, 'G&amp;T 15-16'!B:G, 6, FALSE), 0)*1</f>
        <v>0</v>
      </c>
      <c r="TQ158" s="168">
        <f t="shared" si="331"/>
        <v>7.08</v>
      </c>
      <c r="TU158" s="168">
        <f t="shared" si="332"/>
        <v>50.857999999999997</v>
      </c>
      <c r="TV158" s="168">
        <f t="shared" si="333"/>
        <v>58.173999999999999</v>
      </c>
      <c r="TW158" s="205">
        <f t="shared" si="334"/>
        <v>58.173999999999999</v>
      </c>
      <c r="TX158" s="144"/>
      <c r="TY158" s="514"/>
      <c r="TZ158" s="127">
        <f t="shared" si="335"/>
        <v>0</v>
      </c>
      <c r="UA158" s="127">
        <f t="shared" si="336"/>
        <v>7.08</v>
      </c>
      <c r="UB158" s="205">
        <f t="shared" si="337"/>
        <v>7.08</v>
      </c>
      <c r="UE158" s="853" t="str">
        <f>IF(ST158&lt;='1. Simulator Input'!$E$104, "yes", "")</f>
        <v>yes</v>
      </c>
      <c r="UI158" s="199">
        <f t="shared" si="306"/>
        <v>0</v>
      </c>
      <c r="UJ158" s="200">
        <f>IF('Idaho Data'!SI158&gt;=0, ((1-'1. Simulator Input'!$E$39)*'Idaho Data'!SI158), 0)</f>
        <v>0</v>
      </c>
      <c r="UK158" s="200">
        <f t="shared" si="262"/>
        <v>721117</v>
      </c>
      <c r="UL158" s="39"/>
      <c r="UM158" s="182"/>
      <c r="UN158" s="39"/>
      <c r="UO158" s="39">
        <f>IF(AND('1. Simulator Input'!$E$96="yes", '1. Simulator Input'!$E$98="yes", '1. Simulator Input'!$E$100="hold harmless"), 'Idaho Data'!WN158, IF(AND('1. Simulator Input'!$E$96="yes", '1. Simulator Input'!$E$98="no", '1. Simulator Input'!$E$100="hold harmless"), 'Idaho Data'!WM158, IF(AND('1. Simulator Input'!$E$96="yes", '1. Simulator Input'!$E$98="yes", '1. Simulator Input'!$E$100="small district grant"), WL158,IF(AND('1. Simulator Input'!$E$96="yes", '1. Simulator Input'!$E$98="no", '1. Simulator Input'!$E$100="small district grant"), WK158, ""))))</f>
        <v>0</v>
      </c>
      <c r="UP158" s="200">
        <f>'1. Simulator Input'!$D$56*('Idaho Data'!ST158)</f>
        <v>652068</v>
      </c>
      <c r="UQ158" s="204">
        <f>'1. Simulator Input'!$D$65*'1. Simulator Input'!$D$56*'Idaho Data'!SU158</f>
        <v>0</v>
      </c>
      <c r="UR158" s="204">
        <f>'1. Simulator Input'!$D$66*'1. Simulator Input'!$D$56*'Idaho Data'!SW158</f>
        <v>0</v>
      </c>
      <c r="US158" s="200">
        <f>'1. Simulator Input'!$D$67*'1. Simulator Input'!$D$56*'Idaho Data'!TA158</f>
        <v>0</v>
      </c>
      <c r="UT158" s="200">
        <f>'1. Simulator Input'!$D$68*'1. Simulator Input'!$D$56*'Idaho Data'!TB158</f>
        <v>0</v>
      </c>
      <c r="UU158" s="200">
        <f>'1. Simulator Input'!$D$69*'1. Simulator Input'!$D$56*'Idaho Data'!TC158</f>
        <v>0</v>
      </c>
      <c r="UV158" s="200">
        <f>'1. Simulator Input'!$D$70*'1. Simulator Input'!$D$56*TD158</f>
        <v>0</v>
      </c>
      <c r="UW158" s="200">
        <f>'1. Simulator Input'!$D$80*'1. Simulator Input'!$D$56*TW158</f>
        <v>0</v>
      </c>
      <c r="UX158" s="200">
        <f>'1. Simulator Input'!$D$79*'1. Simulator Input'!$D$56*UB158</f>
        <v>0</v>
      </c>
      <c r="UY158" s="200">
        <f>'1. Simulator Input'!$D$87*'1. Simulator Input'!$D$56*TF158</f>
        <v>35919</v>
      </c>
      <c r="UZ158" s="200">
        <f>'1. Simulator Input'!$D$73*'1. Simulator Input'!$D$56*'Idaho Data'!TG158</f>
        <v>0</v>
      </c>
      <c r="VA158" s="200">
        <f>'1. Simulator Input'!$D$56*'1. Simulator Input'!$D$74*'Idaho Data'!TH158</f>
        <v>0</v>
      </c>
      <c r="VB158" s="200">
        <f>'1. Simulator Input'!$D$56*'1. Simulator Input'!$D$75*'Idaho Data'!TI153</f>
        <v>0</v>
      </c>
      <c r="VC158" s="200">
        <f>'1. Simulator Input'!$D$76*'1. Simulator Input'!$D$56*'Idaho Data'!TJ158</f>
        <v>0</v>
      </c>
      <c r="VD158" s="200">
        <f t="shared" si="307"/>
        <v>687987</v>
      </c>
      <c r="VE158" s="200"/>
      <c r="VF158" s="182"/>
      <c r="VG158" s="200"/>
      <c r="VH158" s="200">
        <f t="shared" si="308"/>
        <v>0</v>
      </c>
      <c r="VI158" s="200">
        <f t="shared" si="309"/>
        <v>0</v>
      </c>
      <c r="VJ158" s="200">
        <f t="shared" si="271"/>
        <v>687987</v>
      </c>
      <c r="VK158" s="200">
        <f t="shared" si="272"/>
        <v>687987</v>
      </c>
      <c r="VL158" s="200"/>
      <c r="VM158" s="182"/>
      <c r="VN158" s="200"/>
      <c r="VO158" s="200">
        <f t="shared" si="310"/>
        <v>33003</v>
      </c>
      <c r="VP158" s="200">
        <f t="shared" si="311"/>
        <v>721117</v>
      </c>
      <c r="VQ158" s="200">
        <f t="shared" si="312"/>
        <v>422109</v>
      </c>
      <c r="VR158" s="200">
        <f t="shared" si="313"/>
        <v>33003</v>
      </c>
      <c r="VS158" s="200">
        <f t="shared" si="273"/>
        <v>687987</v>
      </c>
      <c r="VT158" s="200">
        <f t="shared" si="274"/>
        <v>422109</v>
      </c>
      <c r="VU158" s="200">
        <f t="shared" si="275"/>
        <v>0</v>
      </c>
      <c r="VV158" s="200"/>
      <c r="VW158" s="182"/>
      <c r="VX158" s="200"/>
      <c r="VZ158" s="199">
        <f t="shared" si="314"/>
        <v>-33130</v>
      </c>
      <c r="WA158" s="199">
        <f t="shared" si="315"/>
        <v>-280.76271186440675</v>
      </c>
      <c r="WB158" s="131">
        <f t="shared" si="316"/>
        <v>-4.5942614027959405E-2</v>
      </c>
      <c r="WC158" s="131"/>
      <c r="WD158" s="461"/>
      <c r="WE158" s="893"/>
      <c r="WF158" s="893">
        <f t="shared" si="317"/>
        <v>9968.0423728813566</v>
      </c>
      <c r="WG158" s="893">
        <f t="shared" si="318"/>
        <v>9687.2796610169498</v>
      </c>
      <c r="WH158" s="893"/>
      <c r="WI158" s="893">
        <f t="shared" si="319"/>
        <v>721117</v>
      </c>
      <c r="WJ158" s="893">
        <f t="shared" si="276"/>
        <v>687987</v>
      </c>
      <c r="WK158" s="39">
        <f t="shared" si="277"/>
        <v>0</v>
      </c>
      <c r="WL158" s="39">
        <f t="shared" si="278"/>
        <v>0</v>
      </c>
      <c r="WM158" s="200">
        <f t="shared" si="279"/>
        <v>33130</v>
      </c>
      <c r="WN158" s="39">
        <f t="shared" si="280"/>
        <v>33130</v>
      </c>
      <c r="WO158" s="39"/>
      <c r="WP158" s="182"/>
      <c r="WQ158" s="39"/>
      <c r="WR158" s="305"/>
      <c r="WT158" s="200">
        <f t="shared" si="281"/>
        <v>6111.1610169491523</v>
      </c>
      <c r="WU158" s="131">
        <f t="shared" si="320"/>
        <v>0.42</v>
      </c>
      <c r="WW158" s="199">
        <f t="shared" si="282"/>
        <v>33003</v>
      </c>
      <c r="WX158" s="199">
        <f t="shared" si="283"/>
        <v>687987</v>
      </c>
      <c r="WY158" s="199">
        <f t="shared" si="284"/>
        <v>0</v>
      </c>
      <c r="WZ158" s="199">
        <f t="shared" si="321"/>
        <v>687987</v>
      </c>
      <c r="XA158" s="199">
        <f t="shared" si="285"/>
        <v>0</v>
      </c>
      <c r="XB158" s="199">
        <f t="shared" si="286"/>
        <v>422109</v>
      </c>
      <c r="XC158" s="199">
        <f t="shared" si="287"/>
        <v>422109</v>
      </c>
      <c r="XD158" s="199" t="str">
        <f t="shared" si="288"/>
        <v/>
      </c>
      <c r="XE158" s="199"/>
      <c r="XF158" s="199"/>
      <c r="XG158" s="199"/>
      <c r="XH158" s="199"/>
      <c r="XI158" s="199"/>
      <c r="XJ158" s="199">
        <f t="shared" si="322"/>
        <v>687987</v>
      </c>
      <c r="XP158" s="199">
        <f t="shared" si="289"/>
        <v>687987</v>
      </c>
      <c r="XQ158" s="199">
        <f t="shared" si="290"/>
        <v>5830.3983050847455</v>
      </c>
      <c r="XR158" s="199">
        <f t="shared" si="291"/>
        <v>687987</v>
      </c>
      <c r="XS158" s="199">
        <f t="shared" si="292"/>
        <v>687987</v>
      </c>
      <c r="XT158" s="199">
        <f t="shared" si="293"/>
        <v>5830.3983050847455</v>
      </c>
      <c r="XU158" s="199">
        <f t="shared" si="294"/>
        <v>721117</v>
      </c>
      <c r="XV158" s="199">
        <f t="shared" si="295"/>
        <v>6111.1610169491523</v>
      </c>
      <c r="XW158" s="199">
        <f t="shared" si="296"/>
        <v>721117</v>
      </c>
      <c r="XX158" s="199">
        <f t="shared" si="297"/>
        <v>6111.1610169491523</v>
      </c>
      <c r="XY158" s="199">
        <f t="shared" si="323"/>
        <v>-33130</v>
      </c>
      <c r="XZ158" s="199">
        <f t="shared" si="324"/>
        <v>-280.76271186440681</v>
      </c>
      <c r="YA158" s="131">
        <f t="shared" si="338"/>
        <v>-4.5942614027959405E-2</v>
      </c>
      <c r="YB158" s="199"/>
      <c r="YC158" s="221"/>
      <c r="YD158" s="199"/>
      <c r="YE158" s="199">
        <f t="shared" si="298"/>
        <v>33003</v>
      </c>
      <c r="YF158" s="200">
        <f t="shared" si="299"/>
        <v>0</v>
      </c>
      <c r="YG158" s="199">
        <f t="shared" si="300"/>
        <v>422109</v>
      </c>
      <c r="YH158" s="199">
        <f t="shared" si="301"/>
        <v>5000</v>
      </c>
    </row>
    <row r="159" spans="1:658">
      <c r="A159" s="401">
        <v>489</v>
      </c>
      <c r="B159" s="2" t="s">
        <v>1496</v>
      </c>
      <c r="C159" s="24">
        <v>0</v>
      </c>
      <c r="D159" s="39">
        <v>0</v>
      </c>
      <c r="E159" s="39">
        <v>0</v>
      </c>
      <c r="F159" s="39">
        <v>0</v>
      </c>
      <c r="G159" s="39">
        <v>0</v>
      </c>
      <c r="H159" s="39">
        <v>0</v>
      </c>
      <c r="I159" s="39">
        <v>0</v>
      </c>
      <c r="J159" s="39">
        <v>0</v>
      </c>
      <c r="K159" s="39">
        <v>0</v>
      </c>
      <c r="L159" s="24">
        <v>0</v>
      </c>
      <c r="M159" s="39">
        <v>0</v>
      </c>
      <c r="N159" s="39">
        <v>0</v>
      </c>
      <c r="O159" s="39">
        <v>0</v>
      </c>
      <c r="P159" s="39">
        <v>0</v>
      </c>
      <c r="Q159" s="39">
        <v>0</v>
      </c>
      <c r="R159" s="39">
        <v>0</v>
      </c>
      <c r="S159" s="39">
        <v>0</v>
      </c>
      <c r="T159" s="39">
        <v>0</v>
      </c>
      <c r="U159" s="39">
        <v>0</v>
      </c>
      <c r="V159" s="39">
        <v>0</v>
      </c>
      <c r="W159" s="39">
        <v>0</v>
      </c>
      <c r="X159" s="39">
        <v>0</v>
      </c>
      <c r="Y159" s="39">
        <v>0</v>
      </c>
      <c r="Z159" s="39">
        <v>0</v>
      </c>
      <c r="AA159" s="39">
        <v>0</v>
      </c>
      <c r="AB159" s="39">
        <v>0</v>
      </c>
      <c r="AC159" s="39">
        <v>0</v>
      </c>
      <c r="AD159" s="39">
        <v>0</v>
      </c>
      <c r="AE159" s="39">
        <v>0</v>
      </c>
      <c r="AF159" s="39">
        <v>0</v>
      </c>
      <c r="AG159" s="39">
        <v>0</v>
      </c>
      <c r="AH159" s="39">
        <v>0</v>
      </c>
      <c r="AI159" s="39">
        <v>0</v>
      </c>
      <c r="AJ159" s="39">
        <v>0</v>
      </c>
      <c r="AK159" s="39">
        <v>0</v>
      </c>
      <c r="AL159" s="39">
        <v>0</v>
      </c>
      <c r="AM159" s="39">
        <v>0</v>
      </c>
      <c r="AN159" s="39">
        <v>0</v>
      </c>
      <c r="AO159" s="39">
        <v>0</v>
      </c>
      <c r="AP159" s="39">
        <v>0</v>
      </c>
      <c r="AQ159" s="39">
        <v>0</v>
      </c>
      <c r="AR159" s="39">
        <v>0</v>
      </c>
      <c r="AS159" s="39">
        <v>0</v>
      </c>
      <c r="AT159" s="39">
        <v>0</v>
      </c>
      <c r="AU159" s="39">
        <v>0</v>
      </c>
      <c r="AV159" s="39">
        <v>0</v>
      </c>
      <c r="AW159" s="39">
        <v>0</v>
      </c>
      <c r="AX159" s="39">
        <v>0</v>
      </c>
      <c r="AY159" s="39">
        <v>0</v>
      </c>
      <c r="AZ159" s="39">
        <v>0</v>
      </c>
      <c r="BA159" s="39">
        <v>0</v>
      </c>
      <c r="BB159" s="39">
        <v>0</v>
      </c>
      <c r="BC159" s="39">
        <v>0</v>
      </c>
      <c r="BD159" s="39">
        <v>0</v>
      </c>
      <c r="BE159" s="39">
        <v>0</v>
      </c>
      <c r="BF159" s="39">
        <v>0</v>
      </c>
      <c r="BG159" s="39">
        <v>0</v>
      </c>
      <c r="BH159" s="39">
        <v>0</v>
      </c>
      <c r="BI159" s="39">
        <v>0</v>
      </c>
      <c r="BJ159" s="39">
        <v>0</v>
      </c>
      <c r="BK159" s="39">
        <v>0</v>
      </c>
      <c r="BL159" s="39">
        <v>0</v>
      </c>
      <c r="BM159" s="39">
        <v>0</v>
      </c>
      <c r="BN159" s="39">
        <v>0</v>
      </c>
      <c r="BO159" s="39">
        <v>0</v>
      </c>
      <c r="BP159" s="39">
        <v>0</v>
      </c>
      <c r="BQ159" s="39">
        <v>0</v>
      </c>
      <c r="BR159" s="39">
        <v>0</v>
      </c>
      <c r="BS159" s="39">
        <v>0</v>
      </c>
      <c r="BT159" s="39">
        <v>0</v>
      </c>
      <c r="BU159" s="39">
        <v>0</v>
      </c>
      <c r="BV159" s="39">
        <v>0</v>
      </c>
      <c r="BW159" s="39">
        <v>0</v>
      </c>
      <c r="BX159" s="39">
        <v>0</v>
      </c>
      <c r="BY159" s="39">
        <v>0</v>
      </c>
      <c r="BZ159" s="39">
        <v>0</v>
      </c>
      <c r="CA159" s="39">
        <v>0</v>
      </c>
      <c r="CB159" s="39">
        <v>0</v>
      </c>
      <c r="CC159" s="39">
        <v>0</v>
      </c>
      <c r="CD159" s="39">
        <v>0</v>
      </c>
      <c r="CE159" s="39">
        <v>0</v>
      </c>
      <c r="CF159" s="39">
        <v>0</v>
      </c>
      <c r="CG159" s="39">
        <v>0</v>
      </c>
      <c r="CH159" s="39">
        <v>0</v>
      </c>
      <c r="CI159" s="39">
        <v>0</v>
      </c>
      <c r="CJ159" s="39">
        <v>0</v>
      </c>
      <c r="CK159" s="39">
        <v>0</v>
      </c>
      <c r="CL159" s="39">
        <v>0</v>
      </c>
      <c r="CM159" s="39">
        <v>0</v>
      </c>
      <c r="CN159" s="39">
        <v>0</v>
      </c>
      <c r="CO159" s="39">
        <v>0</v>
      </c>
      <c r="CP159" s="39">
        <v>0</v>
      </c>
      <c r="CQ159" s="39">
        <v>0</v>
      </c>
      <c r="CR159" s="39">
        <v>0</v>
      </c>
      <c r="CS159" s="39">
        <v>0</v>
      </c>
      <c r="CT159" s="39">
        <v>0</v>
      </c>
      <c r="CU159" s="39">
        <v>0</v>
      </c>
      <c r="CV159" s="39">
        <v>0</v>
      </c>
      <c r="CW159" s="39">
        <v>0</v>
      </c>
      <c r="CX159" s="39">
        <v>0</v>
      </c>
      <c r="CY159" s="39">
        <v>0</v>
      </c>
      <c r="CZ159" s="39">
        <v>0</v>
      </c>
      <c r="DA159" s="39">
        <v>0</v>
      </c>
      <c r="DB159" s="39">
        <v>0</v>
      </c>
      <c r="DC159" s="39">
        <v>0</v>
      </c>
      <c r="DD159" s="39">
        <v>0</v>
      </c>
      <c r="DE159" s="39">
        <v>0</v>
      </c>
      <c r="DF159" s="39">
        <v>0</v>
      </c>
      <c r="DG159" s="39">
        <v>0</v>
      </c>
      <c r="DH159" s="39">
        <v>0</v>
      </c>
      <c r="DI159" s="39">
        <v>0</v>
      </c>
      <c r="DJ159" s="39">
        <v>0</v>
      </c>
      <c r="DK159" s="39">
        <v>0</v>
      </c>
      <c r="DL159" s="39">
        <v>0</v>
      </c>
      <c r="DM159" s="39">
        <v>0</v>
      </c>
      <c r="DN159" s="39">
        <v>0</v>
      </c>
      <c r="DO159" s="39">
        <v>0</v>
      </c>
      <c r="DP159" s="39">
        <v>0</v>
      </c>
      <c r="DQ159" s="39">
        <v>0</v>
      </c>
      <c r="DR159" s="39">
        <v>0</v>
      </c>
      <c r="DS159" s="39">
        <v>0</v>
      </c>
      <c r="DT159" s="39">
        <v>0</v>
      </c>
      <c r="DU159" s="39">
        <v>0</v>
      </c>
      <c r="DV159" s="39">
        <v>0</v>
      </c>
      <c r="DW159" s="39">
        <v>0</v>
      </c>
      <c r="DX159" s="39">
        <v>0</v>
      </c>
      <c r="DY159" s="39">
        <v>0</v>
      </c>
      <c r="DZ159" s="39">
        <v>0</v>
      </c>
      <c r="EA159" s="39">
        <v>0</v>
      </c>
      <c r="EB159" s="39">
        <v>0</v>
      </c>
      <c r="EC159" s="39">
        <v>0</v>
      </c>
      <c r="ED159" s="39">
        <v>0</v>
      </c>
      <c r="EE159" s="39">
        <v>0</v>
      </c>
      <c r="EF159" s="39">
        <v>0</v>
      </c>
      <c r="EG159" s="39">
        <v>0</v>
      </c>
      <c r="EH159" s="39">
        <v>0</v>
      </c>
      <c r="EI159" s="39">
        <v>0</v>
      </c>
      <c r="EJ159" s="39">
        <v>0</v>
      </c>
      <c r="EK159" s="39">
        <v>0</v>
      </c>
      <c r="EL159" s="39">
        <v>0</v>
      </c>
      <c r="EM159" s="39">
        <v>0</v>
      </c>
      <c r="EN159" s="39">
        <v>0</v>
      </c>
      <c r="EO159" s="39">
        <v>0</v>
      </c>
      <c r="EP159" s="39">
        <v>0</v>
      </c>
      <c r="EQ159" s="39">
        <v>0</v>
      </c>
      <c r="ER159" s="39">
        <v>0</v>
      </c>
      <c r="ES159" s="39">
        <v>0</v>
      </c>
      <c r="ET159" s="39">
        <v>0</v>
      </c>
      <c r="EU159" s="39">
        <v>0</v>
      </c>
      <c r="EV159" s="39">
        <v>0</v>
      </c>
      <c r="EW159" s="39">
        <v>0</v>
      </c>
      <c r="EX159" s="39">
        <v>0</v>
      </c>
      <c r="EY159" s="39">
        <v>0</v>
      </c>
      <c r="EZ159" s="39">
        <v>0</v>
      </c>
      <c r="FA159" s="39">
        <v>0</v>
      </c>
      <c r="FB159" s="39">
        <v>0</v>
      </c>
      <c r="FC159" s="39">
        <v>0</v>
      </c>
      <c r="FD159" s="39">
        <v>0</v>
      </c>
      <c r="FE159" s="39">
        <v>0</v>
      </c>
      <c r="FF159" s="39">
        <v>0</v>
      </c>
      <c r="FG159" s="39">
        <v>0</v>
      </c>
      <c r="FH159" s="39">
        <v>0</v>
      </c>
      <c r="FI159" s="39">
        <v>0</v>
      </c>
      <c r="FJ159" s="39">
        <v>0</v>
      </c>
      <c r="FK159" s="39">
        <v>0</v>
      </c>
      <c r="FL159" s="39">
        <v>0</v>
      </c>
      <c r="FM159" s="39">
        <v>0</v>
      </c>
      <c r="FN159" s="39">
        <v>0</v>
      </c>
      <c r="FO159" s="39">
        <v>0</v>
      </c>
      <c r="FP159" s="39">
        <v>0</v>
      </c>
      <c r="FQ159" s="39">
        <v>0</v>
      </c>
      <c r="FR159" s="39">
        <v>0</v>
      </c>
      <c r="FS159" s="39">
        <v>7865</v>
      </c>
      <c r="FT159" s="39">
        <v>0</v>
      </c>
      <c r="FU159" s="39">
        <v>0</v>
      </c>
      <c r="FV159" s="39">
        <v>0</v>
      </c>
      <c r="FW159" s="39">
        <v>0</v>
      </c>
      <c r="FX159" s="39">
        <v>0</v>
      </c>
      <c r="FY159" s="39">
        <v>0</v>
      </c>
      <c r="FZ159" s="39">
        <v>0</v>
      </c>
      <c r="GA159" s="39">
        <v>0</v>
      </c>
      <c r="GB159" s="39">
        <v>0</v>
      </c>
      <c r="GC159" s="39">
        <v>0</v>
      </c>
      <c r="GD159" s="39">
        <v>0</v>
      </c>
      <c r="GE159" s="39">
        <v>0</v>
      </c>
      <c r="GF159" s="39">
        <v>0</v>
      </c>
      <c r="GG159" s="39">
        <v>0</v>
      </c>
      <c r="GH159" s="39">
        <v>0</v>
      </c>
      <c r="GI159" s="39">
        <v>0</v>
      </c>
      <c r="GJ159" s="39">
        <v>0</v>
      </c>
      <c r="GK159" s="39">
        <v>0</v>
      </c>
      <c r="GL159" s="39">
        <v>0</v>
      </c>
      <c r="GM159" s="39">
        <v>0</v>
      </c>
      <c r="GN159" s="39">
        <v>0</v>
      </c>
      <c r="GO159" s="39">
        <v>0</v>
      </c>
      <c r="GP159" s="39">
        <v>0</v>
      </c>
      <c r="GQ159" s="39">
        <v>0</v>
      </c>
      <c r="GR159" s="39">
        <v>0</v>
      </c>
      <c r="GS159" s="39">
        <v>0</v>
      </c>
      <c r="GT159" s="39">
        <v>0</v>
      </c>
      <c r="GU159" s="39">
        <v>0</v>
      </c>
      <c r="GV159" s="39">
        <v>0</v>
      </c>
      <c r="GW159" s="39">
        <v>0</v>
      </c>
      <c r="GX159" s="39">
        <v>0</v>
      </c>
      <c r="GY159" s="39">
        <v>0</v>
      </c>
      <c r="GZ159" s="39">
        <v>0</v>
      </c>
      <c r="HA159" s="39">
        <v>0</v>
      </c>
      <c r="HB159" s="39">
        <v>0</v>
      </c>
      <c r="HC159" s="39">
        <v>0</v>
      </c>
      <c r="HD159" s="39">
        <v>413021</v>
      </c>
      <c r="HE159" s="39">
        <v>0</v>
      </c>
      <c r="HF159" s="39">
        <v>0</v>
      </c>
      <c r="HG159" s="39">
        <v>0</v>
      </c>
      <c r="HH159" s="39">
        <v>2598</v>
      </c>
      <c r="HI159" s="39">
        <v>0</v>
      </c>
      <c r="HJ159" s="39">
        <v>0</v>
      </c>
      <c r="HK159" s="39">
        <v>0</v>
      </c>
      <c r="HL159" s="39">
        <v>0</v>
      </c>
      <c r="HM159" s="39">
        <v>0</v>
      </c>
      <c r="HN159" s="39">
        <v>0</v>
      </c>
      <c r="HO159" s="39">
        <v>46661</v>
      </c>
      <c r="HP159" s="39">
        <v>0</v>
      </c>
      <c r="HQ159" s="39">
        <v>0</v>
      </c>
      <c r="HR159" s="39">
        <v>0</v>
      </c>
      <c r="HS159" s="39">
        <v>0</v>
      </c>
      <c r="HT159" s="39">
        <v>0</v>
      </c>
      <c r="HU159" s="39">
        <v>0</v>
      </c>
      <c r="HV159" s="39">
        <v>0</v>
      </c>
      <c r="HW159" s="39">
        <v>0</v>
      </c>
      <c r="HX159" s="39">
        <v>0</v>
      </c>
      <c r="HY159" s="39">
        <v>0</v>
      </c>
      <c r="HZ159" s="39">
        <v>0</v>
      </c>
      <c r="IA159" s="39">
        <v>0</v>
      </c>
      <c r="IB159" s="39">
        <v>0</v>
      </c>
      <c r="IC159" s="39">
        <v>0</v>
      </c>
      <c r="ID159" s="39">
        <v>0</v>
      </c>
      <c r="IE159" s="39">
        <v>0</v>
      </c>
      <c r="IF159" s="39">
        <v>0</v>
      </c>
      <c r="IG159" s="39">
        <v>0</v>
      </c>
      <c r="IH159" s="39">
        <v>0</v>
      </c>
      <c r="II159" s="39">
        <v>0</v>
      </c>
      <c r="IJ159" s="39">
        <v>0</v>
      </c>
      <c r="IK159" s="39">
        <v>0</v>
      </c>
      <c r="IL159" s="39">
        <v>0</v>
      </c>
      <c r="IM159" s="39">
        <v>0</v>
      </c>
      <c r="IN159" s="39">
        <v>0</v>
      </c>
      <c r="IO159" s="39">
        <v>0</v>
      </c>
      <c r="IP159" s="39">
        <v>0</v>
      </c>
      <c r="IQ159" s="39">
        <v>0</v>
      </c>
      <c r="IR159" s="39">
        <v>0</v>
      </c>
      <c r="IS159" s="39">
        <v>0</v>
      </c>
      <c r="IT159" s="39">
        <v>0</v>
      </c>
      <c r="IU159" s="39">
        <v>0</v>
      </c>
      <c r="IV159" s="39">
        <v>0</v>
      </c>
      <c r="IW159" s="39">
        <v>0</v>
      </c>
      <c r="IX159" s="39">
        <v>0</v>
      </c>
      <c r="IY159" s="39">
        <v>0</v>
      </c>
      <c r="IZ159" s="39">
        <v>0</v>
      </c>
      <c r="JA159" s="39">
        <v>0</v>
      </c>
      <c r="JB159" s="39">
        <v>0</v>
      </c>
      <c r="JC159" s="39">
        <v>0</v>
      </c>
      <c r="JD159" s="39">
        <v>0</v>
      </c>
      <c r="JE159" s="39">
        <v>91925</v>
      </c>
      <c r="JF159" s="39">
        <v>0</v>
      </c>
      <c r="JG159" s="39">
        <v>0</v>
      </c>
      <c r="JH159" s="39">
        <v>0</v>
      </c>
      <c r="JI159" s="39">
        <v>0</v>
      </c>
      <c r="JJ159" s="39">
        <v>0</v>
      </c>
      <c r="JK159" s="39">
        <v>0</v>
      </c>
      <c r="JL159" s="39">
        <v>0</v>
      </c>
      <c r="JM159" s="39">
        <v>0</v>
      </c>
      <c r="JN159" s="39">
        <v>0</v>
      </c>
      <c r="JO159" s="39">
        <v>0</v>
      </c>
      <c r="JP159" s="39">
        <v>0</v>
      </c>
      <c r="JQ159" s="39">
        <v>0</v>
      </c>
      <c r="JR159" s="39">
        <v>0</v>
      </c>
      <c r="JS159" s="39">
        <v>0</v>
      </c>
      <c r="JT159" s="39">
        <v>0</v>
      </c>
      <c r="JU159" s="39">
        <v>0</v>
      </c>
      <c r="JV159" s="39">
        <v>0</v>
      </c>
      <c r="JW159" s="39">
        <v>0</v>
      </c>
      <c r="JX159" s="39">
        <v>0</v>
      </c>
      <c r="JY159" s="39">
        <v>0</v>
      </c>
      <c r="JZ159" s="39">
        <v>0</v>
      </c>
      <c r="KA159" s="39">
        <v>0</v>
      </c>
      <c r="KB159" s="39">
        <v>0</v>
      </c>
      <c r="KC159" s="39">
        <v>0</v>
      </c>
      <c r="KD159" s="39">
        <v>0</v>
      </c>
      <c r="KE159" s="39">
        <v>0</v>
      </c>
      <c r="KF159" s="39">
        <v>0</v>
      </c>
      <c r="KG159" s="39">
        <v>0</v>
      </c>
      <c r="KH159" s="39">
        <v>0</v>
      </c>
      <c r="KI159" s="39">
        <v>0</v>
      </c>
      <c r="KJ159" s="39">
        <v>0</v>
      </c>
      <c r="KK159" s="39">
        <v>0</v>
      </c>
      <c r="KL159" s="39">
        <v>0</v>
      </c>
      <c r="KM159" s="39">
        <v>0</v>
      </c>
      <c r="KN159" s="39">
        <v>0</v>
      </c>
      <c r="KO159" s="39">
        <v>0</v>
      </c>
      <c r="KP159" s="39">
        <v>0</v>
      </c>
      <c r="KQ159" s="39">
        <v>0</v>
      </c>
      <c r="KR159" s="39">
        <v>0</v>
      </c>
      <c r="KS159" s="39">
        <v>0</v>
      </c>
      <c r="KT159" s="39">
        <v>0</v>
      </c>
      <c r="KU159" s="39">
        <v>0</v>
      </c>
      <c r="KV159" s="39">
        <v>0</v>
      </c>
      <c r="KW159" s="39">
        <v>0</v>
      </c>
      <c r="KX159" s="39">
        <v>0</v>
      </c>
      <c r="KY159" s="39">
        <v>0</v>
      </c>
      <c r="KZ159" s="39">
        <v>0</v>
      </c>
      <c r="LA159" s="39">
        <v>0</v>
      </c>
      <c r="LB159" s="39">
        <v>0</v>
      </c>
      <c r="LC159" s="39">
        <v>0</v>
      </c>
      <c r="LD159" s="39">
        <v>0</v>
      </c>
      <c r="LE159" s="39">
        <v>0</v>
      </c>
      <c r="LF159" s="39">
        <v>0</v>
      </c>
      <c r="LG159" s="39">
        <v>0</v>
      </c>
      <c r="LH159" s="39">
        <v>0</v>
      </c>
      <c r="LI159" s="39">
        <v>0</v>
      </c>
      <c r="LJ159" s="39">
        <v>0</v>
      </c>
      <c r="LK159" s="39">
        <v>0</v>
      </c>
      <c r="LL159" s="39">
        <v>0</v>
      </c>
      <c r="LM159" s="39">
        <v>0</v>
      </c>
      <c r="LN159" s="39">
        <v>0</v>
      </c>
      <c r="LO159" s="39">
        <v>0</v>
      </c>
      <c r="LP159" s="39">
        <v>0</v>
      </c>
      <c r="LQ159" s="39">
        <v>0</v>
      </c>
      <c r="LR159" s="39">
        <v>0</v>
      </c>
      <c r="LS159" s="39">
        <v>0</v>
      </c>
      <c r="LT159" s="39">
        <v>0</v>
      </c>
      <c r="LU159" s="39">
        <v>0</v>
      </c>
      <c r="LV159" s="39">
        <v>0</v>
      </c>
      <c r="LW159" s="39">
        <v>0</v>
      </c>
      <c r="LX159" s="39">
        <v>0</v>
      </c>
      <c r="LY159" s="39">
        <v>0</v>
      </c>
      <c r="LZ159" s="39">
        <v>0</v>
      </c>
      <c r="MA159" s="39">
        <v>0</v>
      </c>
      <c r="MB159" s="39">
        <v>0</v>
      </c>
      <c r="MC159" s="39">
        <v>0</v>
      </c>
      <c r="MD159" s="39">
        <v>0</v>
      </c>
      <c r="ME159" s="39">
        <v>0</v>
      </c>
      <c r="MF159" s="39">
        <v>0</v>
      </c>
      <c r="MG159" s="39">
        <v>0</v>
      </c>
      <c r="MH159" s="39">
        <v>0</v>
      </c>
      <c r="MI159" s="39">
        <v>0</v>
      </c>
      <c r="MJ159" s="39">
        <v>0</v>
      </c>
      <c r="MK159" s="39">
        <v>0</v>
      </c>
      <c r="ML159" s="39">
        <v>0</v>
      </c>
      <c r="MM159" s="39">
        <v>0</v>
      </c>
      <c r="MN159" s="39">
        <v>0</v>
      </c>
      <c r="MO159" s="39">
        <v>0</v>
      </c>
      <c r="MP159" s="39">
        <v>0</v>
      </c>
      <c r="MQ159" s="39">
        <v>0</v>
      </c>
      <c r="MR159" s="39">
        <v>0</v>
      </c>
      <c r="MS159" s="39">
        <v>0</v>
      </c>
      <c r="MT159" s="39">
        <v>0</v>
      </c>
      <c r="MU159" s="39">
        <v>0</v>
      </c>
      <c r="MV159" s="39">
        <v>0</v>
      </c>
      <c r="MW159" s="39">
        <v>7020</v>
      </c>
      <c r="MX159" s="39">
        <v>0</v>
      </c>
      <c r="MY159" s="39">
        <v>0</v>
      </c>
      <c r="MZ159" s="39">
        <v>0</v>
      </c>
      <c r="NA159" s="39">
        <v>0</v>
      </c>
      <c r="NB159" s="39">
        <v>0</v>
      </c>
      <c r="NC159" s="39">
        <v>0</v>
      </c>
      <c r="ND159" s="39">
        <v>0</v>
      </c>
      <c r="NE159" s="39">
        <v>0</v>
      </c>
      <c r="NF159" s="39">
        <v>0</v>
      </c>
      <c r="NG159" s="39">
        <v>0</v>
      </c>
      <c r="NH159" s="39">
        <v>0</v>
      </c>
      <c r="NI159" s="39">
        <v>0</v>
      </c>
      <c r="NJ159" s="39">
        <v>0</v>
      </c>
      <c r="NK159" s="39">
        <v>0</v>
      </c>
      <c r="NL159" s="39">
        <v>0</v>
      </c>
      <c r="NM159" s="39">
        <v>0</v>
      </c>
      <c r="NN159" s="39">
        <v>0</v>
      </c>
      <c r="NO159" s="39">
        <v>0</v>
      </c>
      <c r="NP159" s="39">
        <v>0</v>
      </c>
      <c r="NQ159" s="39">
        <v>0</v>
      </c>
      <c r="NR159" s="39">
        <v>0</v>
      </c>
      <c r="NS159" s="39">
        <v>0</v>
      </c>
      <c r="NT159" s="39">
        <v>0</v>
      </c>
      <c r="NU159" s="39">
        <v>0</v>
      </c>
      <c r="NV159" s="39">
        <v>0</v>
      </c>
      <c r="NW159" s="39">
        <v>0</v>
      </c>
      <c r="NX159" s="39">
        <v>0</v>
      </c>
      <c r="NY159" s="39">
        <v>0</v>
      </c>
      <c r="NZ159" s="39">
        <v>0</v>
      </c>
      <c r="OA159" s="39">
        <v>0</v>
      </c>
      <c r="OB159" s="39">
        <v>0</v>
      </c>
      <c r="OC159" s="39">
        <v>0</v>
      </c>
      <c r="OD159" s="39">
        <v>0</v>
      </c>
      <c r="OE159" s="39">
        <v>0</v>
      </c>
      <c r="OF159" s="39">
        <v>0</v>
      </c>
      <c r="OG159" s="39">
        <v>0</v>
      </c>
      <c r="OH159" s="39">
        <v>0</v>
      </c>
      <c r="OI159" s="39">
        <v>0</v>
      </c>
      <c r="OJ159" s="39">
        <v>0</v>
      </c>
      <c r="OK159" s="39">
        <v>0</v>
      </c>
      <c r="OL159" s="39">
        <v>0</v>
      </c>
      <c r="OM159" s="39">
        <v>0</v>
      </c>
      <c r="ON159" s="39">
        <v>0</v>
      </c>
      <c r="OO159" s="39">
        <v>0</v>
      </c>
      <c r="OP159" s="39">
        <v>0</v>
      </c>
      <c r="OQ159" s="39">
        <v>0</v>
      </c>
      <c r="OR159" s="39">
        <v>0</v>
      </c>
      <c r="OS159" s="39">
        <v>0</v>
      </c>
      <c r="OT159" s="39">
        <v>0</v>
      </c>
      <c r="OU159" s="39">
        <v>0</v>
      </c>
      <c r="OV159" s="39">
        <v>0</v>
      </c>
      <c r="OW159" s="39">
        <v>0</v>
      </c>
      <c r="OX159" s="39">
        <v>0</v>
      </c>
      <c r="OY159" s="39">
        <v>0</v>
      </c>
      <c r="OZ159" s="39">
        <v>0</v>
      </c>
      <c r="PA159" s="39">
        <v>0</v>
      </c>
      <c r="PB159" s="39">
        <v>0</v>
      </c>
      <c r="PC159" s="39">
        <v>0</v>
      </c>
      <c r="PD159" s="39">
        <v>0</v>
      </c>
      <c r="PE159" s="39">
        <v>0</v>
      </c>
      <c r="PF159" s="39">
        <v>0</v>
      </c>
      <c r="PG159" s="39">
        <v>0</v>
      </c>
      <c r="PH159" s="39">
        <v>0</v>
      </c>
      <c r="PI159" s="39">
        <v>0</v>
      </c>
      <c r="PJ159" s="39">
        <v>0</v>
      </c>
      <c r="PK159" s="39">
        <v>0</v>
      </c>
      <c r="PL159" s="39">
        <v>0</v>
      </c>
      <c r="PM159" s="39">
        <v>0</v>
      </c>
      <c r="PN159" s="39">
        <v>0</v>
      </c>
      <c r="PO159" s="39">
        <v>0</v>
      </c>
      <c r="PP159" s="39">
        <v>0</v>
      </c>
      <c r="PQ159" s="39">
        <v>0</v>
      </c>
      <c r="PR159" s="39">
        <v>0</v>
      </c>
      <c r="PS159" s="39">
        <v>0</v>
      </c>
      <c r="PT159" s="39">
        <v>0</v>
      </c>
      <c r="PU159" s="39">
        <v>0</v>
      </c>
      <c r="PV159" s="39">
        <v>0</v>
      </c>
      <c r="PW159" s="39">
        <v>0</v>
      </c>
      <c r="PX159" s="39">
        <v>0</v>
      </c>
      <c r="PY159" s="39">
        <v>0</v>
      </c>
      <c r="PZ159" s="39">
        <v>0</v>
      </c>
      <c r="QA159" s="39">
        <v>0</v>
      </c>
      <c r="QB159" s="39">
        <v>0</v>
      </c>
      <c r="QC159" s="39">
        <v>0</v>
      </c>
      <c r="QD159" s="39">
        <v>0</v>
      </c>
      <c r="QE159" s="39">
        <v>0</v>
      </c>
      <c r="QF159" s="39">
        <v>0</v>
      </c>
      <c r="QG159" s="39">
        <v>0</v>
      </c>
      <c r="QH159" s="39">
        <v>0</v>
      </c>
      <c r="QI159" s="39">
        <v>0</v>
      </c>
      <c r="QJ159" s="39">
        <v>0</v>
      </c>
      <c r="QK159" s="39">
        <v>0</v>
      </c>
      <c r="QL159" s="39">
        <v>0</v>
      </c>
      <c r="QM159" s="39">
        <v>0</v>
      </c>
      <c r="QN159" s="39">
        <v>0</v>
      </c>
      <c r="QO159" s="39">
        <v>0</v>
      </c>
      <c r="QP159" s="39">
        <v>0</v>
      </c>
      <c r="QQ159" s="39">
        <v>0</v>
      </c>
      <c r="QR159" s="39">
        <v>0</v>
      </c>
      <c r="QS159" s="39">
        <v>0</v>
      </c>
      <c r="QT159" s="39">
        <v>0</v>
      </c>
      <c r="QU159" s="39">
        <v>0</v>
      </c>
      <c r="QV159" s="39">
        <v>0</v>
      </c>
      <c r="QW159" s="39">
        <v>0</v>
      </c>
      <c r="QX159" s="39">
        <v>0</v>
      </c>
      <c r="QY159" s="39">
        <v>0</v>
      </c>
      <c r="QZ159" s="39">
        <v>0</v>
      </c>
      <c r="RA159" s="39">
        <v>0</v>
      </c>
      <c r="RB159" s="39">
        <v>0</v>
      </c>
      <c r="RC159" s="913">
        <v>2</v>
      </c>
      <c r="RG159" s="39">
        <f t="shared" si="339"/>
        <v>415619</v>
      </c>
      <c r="RH159" s="39">
        <f t="shared" si="339"/>
        <v>0</v>
      </c>
      <c r="RI159" s="39">
        <f t="shared" si="339"/>
        <v>0</v>
      </c>
      <c r="RJ159" s="39">
        <f t="shared" si="339"/>
        <v>0</v>
      </c>
      <c r="RK159" s="39">
        <f t="shared" si="339"/>
        <v>0</v>
      </c>
      <c r="RL159" s="39">
        <f t="shared" si="339"/>
        <v>46661</v>
      </c>
      <c r="RM159" s="39">
        <f t="shared" si="339"/>
        <v>0</v>
      </c>
      <c r="RN159" s="39">
        <f t="shared" si="339"/>
        <v>0</v>
      </c>
      <c r="RO159" s="39">
        <f t="shared" si="339"/>
        <v>0</v>
      </c>
      <c r="RP159" s="39">
        <f t="shared" si="339"/>
        <v>0</v>
      </c>
      <c r="RQ159" s="39">
        <f t="shared" si="339"/>
        <v>0</v>
      </c>
      <c r="RR159" s="39">
        <f t="shared" si="325"/>
        <v>91925</v>
      </c>
      <c r="RS159" s="39"/>
      <c r="RT159" s="182"/>
      <c r="RU159" s="39"/>
      <c r="RV159" s="39">
        <f t="shared" si="302"/>
        <v>7020</v>
      </c>
      <c r="RW159" s="39">
        <f t="shared" si="302"/>
        <v>554205</v>
      </c>
      <c r="RX159" s="39">
        <f t="shared" si="302"/>
        <v>7865</v>
      </c>
      <c r="RY159" s="39">
        <f t="shared" si="302"/>
        <v>0</v>
      </c>
      <c r="RZ159" s="39"/>
      <c r="SA159" s="182"/>
      <c r="SB159" s="39"/>
      <c r="SC159" s="25">
        <f t="shared" si="303"/>
        <v>133.30508474576271</v>
      </c>
      <c r="SD159" s="39">
        <f>IFERROR(VLOOKUP(A159, 'Levy Data 15-16'!$B:$O, 3, FALSE), 0)</f>
        <v>0</v>
      </c>
      <c r="SE159" s="39">
        <f t="shared" si="265"/>
        <v>0</v>
      </c>
      <c r="SF159" s="631">
        <f>IFERROR(VLOOKUP(A159, 'Levy Data 15-16'!$B:$O, 14, FALSE), 0)*1000</f>
        <v>0</v>
      </c>
      <c r="SG159" s="39">
        <f t="shared" si="266"/>
        <v>0</v>
      </c>
      <c r="SH159" s="39">
        <f t="shared" si="267"/>
        <v>0</v>
      </c>
      <c r="SI159" s="39">
        <f t="shared" si="268"/>
        <v>7865</v>
      </c>
      <c r="SM159" s="39">
        <f t="shared" si="269"/>
        <v>554205</v>
      </c>
      <c r="SN159" s="39">
        <f t="shared" si="270"/>
        <v>0</v>
      </c>
      <c r="SO159" s="39">
        <f t="shared" si="304"/>
        <v>554205</v>
      </c>
      <c r="SP159" s="50">
        <f t="shared" si="326"/>
        <v>1</v>
      </c>
      <c r="ST159" s="124">
        <f>IFERROR(VLOOKUP(A159,'Grade Enroll 15-16'!B:AC,27,FALSE),"")</f>
        <v>59</v>
      </c>
      <c r="SU159" s="124">
        <f t="shared" si="327"/>
        <v>0</v>
      </c>
      <c r="SV159" s="131">
        <f>IFERROR(VLOOKUP($A159, 'Title I Enroll 16-17'!S:V, 4, FALSE), 0)</f>
        <v>0</v>
      </c>
      <c r="SW159" s="729">
        <f>IFERROR(VLOOKUP(A159, 'ELL Enroll 15-16'!$N:$S, 6, FALSE), 0)</f>
        <v>5</v>
      </c>
      <c r="SX159" s="131">
        <f t="shared" si="328"/>
        <v>8.4745762711864403E-2</v>
      </c>
      <c r="SY159" s="124">
        <f>IFERROR(VLOOKUP(A159, 'SPED enroll 2015-16'!$M:$O, 3, FALSE), 0)</f>
        <v>5</v>
      </c>
      <c r="SZ159" s="131">
        <f t="shared" si="329"/>
        <v>8.4745762711864403E-2</v>
      </c>
      <c r="TA159" s="142">
        <f t="shared" si="340"/>
        <v>3.5</v>
      </c>
      <c r="TB159" s="142">
        <f t="shared" si="340"/>
        <v>1</v>
      </c>
      <c r="TC159" s="142">
        <f t="shared" si="340"/>
        <v>0.35000000000000003</v>
      </c>
      <c r="TD159" s="142">
        <f t="shared" si="340"/>
        <v>0.15</v>
      </c>
      <c r="TE159" s="124">
        <f>VLOOKUP($A159, 'Grade Enroll 15-16'!$B:$AB, 20, FALSE)</f>
        <v>0</v>
      </c>
      <c r="TF159" s="124">
        <f>VLOOKUP($A159, 'Grade Enroll 15-16'!$B:$AB, 21, FALSE)</f>
        <v>0</v>
      </c>
      <c r="TG159" s="124">
        <f>VLOOKUP($A159, 'Grade Enroll 15-16'!$B:$AB, 22, FALSE)</f>
        <v>0</v>
      </c>
      <c r="TH159" s="124">
        <f>VLOOKUP($A159, 'Grade Enroll 15-16'!$B:$AB, 23, FALSE)</f>
        <v>0</v>
      </c>
      <c r="TI159" s="124">
        <f>VLOOKUP($A159, 'Grade Enroll 15-16'!$B:$AB, 24, FALSE)</f>
        <v>0</v>
      </c>
      <c r="TJ159" s="124">
        <f>VLOOKUP($A159, 'Grade Enroll 15-16'!$B:$AB, 25, FALSE)</f>
        <v>59</v>
      </c>
      <c r="TK159" s="124">
        <f>VLOOKUP($A159, 'Grade Enroll 15-16'!$B:$AB, 26, FALSE)</f>
        <v>25</v>
      </c>
      <c r="TL159" s="131">
        <f>SUMIFS('Student Achievement 15-16'!N:N, 'Student Achievement 15-16'!B:B, 'Idaho Data'!A159, 'Student Achievement 15-16'!D:D, "math")/100</f>
        <v>0.05</v>
      </c>
      <c r="TM159" s="134">
        <f t="shared" si="305"/>
        <v>2.95</v>
      </c>
      <c r="TN159" s="131">
        <f>SUMIFS('Student Achievement 15-16'!N:N, 'Student Achievement 15-16'!B:B, 'Idaho Data'!A159, 'Student Achievement 15-16'!D:D, "ela")/100</f>
        <v>0.05</v>
      </c>
      <c r="TO159" s="135">
        <f t="shared" si="330"/>
        <v>2.95</v>
      </c>
      <c r="TP159" s="688">
        <f>IFERROR(VLOOKUP(A159, 'G&amp;T 15-16'!B:G, 6, FALSE), 0)*1</f>
        <v>0</v>
      </c>
      <c r="TQ159" s="168">
        <f t="shared" si="331"/>
        <v>3.54</v>
      </c>
      <c r="TU159" s="168">
        <f t="shared" si="332"/>
        <v>2.95</v>
      </c>
      <c r="TV159" s="168">
        <f t="shared" si="333"/>
        <v>2.95</v>
      </c>
      <c r="TW159" s="205">
        <f t="shared" si="334"/>
        <v>2.95</v>
      </c>
      <c r="TX159" s="144"/>
      <c r="TY159" s="514"/>
      <c r="TZ159" s="127">
        <f t="shared" si="335"/>
        <v>0</v>
      </c>
      <c r="UA159" s="127">
        <f t="shared" si="336"/>
        <v>3.54</v>
      </c>
      <c r="UB159" s="205">
        <f t="shared" si="337"/>
        <v>3.54</v>
      </c>
      <c r="UE159" s="853" t="str">
        <f>IF(ST159&lt;='1. Simulator Input'!$E$104, "yes", "")</f>
        <v>yes</v>
      </c>
      <c r="UI159" s="199">
        <f t="shared" si="306"/>
        <v>0</v>
      </c>
      <c r="UJ159" s="200">
        <f>IF('Idaho Data'!SI159&gt;=0, ((1-'1. Simulator Input'!$E$39)*'Idaho Data'!SI159), 0)</f>
        <v>0</v>
      </c>
      <c r="UK159" s="200">
        <f t="shared" si="262"/>
        <v>554205</v>
      </c>
      <c r="UL159" s="39"/>
      <c r="UM159" s="182"/>
      <c r="UN159" s="39"/>
      <c r="UO159" s="39">
        <f>IF(AND('1. Simulator Input'!$E$96="yes", '1. Simulator Input'!$E$98="yes", '1. Simulator Input'!$E$100="hold harmless"), 'Idaho Data'!WN159, IF(AND('1. Simulator Input'!$E$96="yes", '1. Simulator Input'!$E$98="no", '1. Simulator Input'!$E$100="hold harmless"), 'Idaho Data'!WM159, IF(AND('1. Simulator Input'!$E$96="yes", '1. Simulator Input'!$E$98="yes", '1. Simulator Input'!$E$100="small district grant"), WL159,IF(AND('1. Simulator Input'!$E$96="yes", '1. Simulator Input'!$E$98="no", '1. Simulator Input'!$E$100="small district grant"), WK159, ""))))</f>
        <v>0</v>
      </c>
      <c r="UP159" s="200">
        <f>'1. Simulator Input'!$D$56*('Idaho Data'!ST159)</f>
        <v>326034</v>
      </c>
      <c r="UQ159" s="204">
        <f>'1. Simulator Input'!$D$65*'1. Simulator Input'!$D$56*'Idaho Data'!SU159</f>
        <v>0</v>
      </c>
      <c r="UR159" s="204">
        <f>'1. Simulator Input'!$D$66*'1. Simulator Input'!$D$56*'Idaho Data'!SW159</f>
        <v>0</v>
      </c>
      <c r="US159" s="200">
        <f>'1. Simulator Input'!$D$67*'1. Simulator Input'!$D$56*'Idaho Data'!TA159</f>
        <v>0</v>
      </c>
      <c r="UT159" s="200">
        <f>'1. Simulator Input'!$D$68*'1. Simulator Input'!$D$56*'Idaho Data'!TB159</f>
        <v>0</v>
      </c>
      <c r="UU159" s="200">
        <f>'1. Simulator Input'!$D$69*'1. Simulator Input'!$D$56*'Idaho Data'!TC159</f>
        <v>0</v>
      </c>
      <c r="UV159" s="200">
        <f>'1. Simulator Input'!$D$70*'1. Simulator Input'!$D$56*TD159</f>
        <v>0</v>
      </c>
      <c r="UW159" s="200">
        <f>'1. Simulator Input'!$D$80*'1. Simulator Input'!$D$56*TW159</f>
        <v>0</v>
      </c>
      <c r="UX159" s="200">
        <f>'1. Simulator Input'!$D$79*'1. Simulator Input'!$D$56*UB159</f>
        <v>0</v>
      </c>
      <c r="UY159" s="200">
        <f>'1. Simulator Input'!$D$87*'1. Simulator Input'!$D$56*TF159</f>
        <v>0</v>
      </c>
      <c r="UZ159" s="200">
        <f>'1. Simulator Input'!$D$73*'1. Simulator Input'!$D$56*'Idaho Data'!TG159</f>
        <v>0</v>
      </c>
      <c r="VA159" s="200">
        <f>'1. Simulator Input'!$D$56*'1. Simulator Input'!$D$74*'Idaho Data'!TH159</f>
        <v>0</v>
      </c>
      <c r="VB159" s="200">
        <f>'1. Simulator Input'!$D$56*'1. Simulator Input'!$D$75*'Idaho Data'!TI154</f>
        <v>0</v>
      </c>
      <c r="VC159" s="200">
        <f>'1. Simulator Input'!$D$76*'1. Simulator Input'!$D$56*'Idaho Data'!TJ159</f>
        <v>0</v>
      </c>
      <c r="VD159" s="200">
        <f t="shared" si="307"/>
        <v>326034</v>
      </c>
      <c r="VE159" s="200"/>
      <c r="VF159" s="182"/>
      <c r="VG159" s="200"/>
      <c r="VH159" s="200">
        <f t="shared" si="308"/>
        <v>0</v>
      </c>
      <c r="VI159" s="200">
        <f t="shared" si="309"/>
        <v>0</v>
      </c>
      <c r="VJ159" s="200">
        <f t="shared" si="271"/>
        <v>326034</v>
      </c>
      <c r="VK159" s="200">
        <f t="shared" si="272"/>
        <v>326034</v>
      </c>
      <c r="VL159" s="200"/>
      <c r="VM159" s="182"/>
      <c r="VN159" s="200"/>
      <c r="VO159" s="200">
        <f t="shared" si="310"/>
        <v>7020</v>
      </c>
      <c r="VP159" s="200">
        <f t="shared" si="311"/>
        <v>554205</v>
      </c>
      <c r="VQ159" s="200">
        <f t="shared" si="312"/>
        <v>7865</v>
      </c>
      <c r="VR159" s="200">
        <f t="shared" si="313"/>
        <v>7020</v>
      </c>
      <c r="VS159" s="200">
        <f t="shared" si="273"/>
        <v>326034</v>
      </c>
      <c r="VT159" s="200">
        <f t="shared" si="274"/>
        <v>7865</v>
      </c>
      <c r="VU159" s="200">
        <f t="shared" si="275"/>
        <v>0</v>
      </c>
      <c r="VV159" s="200"/>
      <c r="VW159" s="182"/>
      <c r="VX159" s="200"/>
      <c r="VZ159" s="199">
        <f t="shared" si="314"/>
        <v>-228171</v>
      </c>
      <c r="WA159" s="466">
        <f t="shared" si="315"/>
        <v>-3867.3050847457625</v>
      </c>
      <c r="WB159" s="131">
        <f t="shared" si="316"/>
        <v>-0.41170866376160448</v>
      </c>
      <c r="WC159" s="131"/>
      <c r="WD159" s="461"/>
      <c r="WE159" s="893"/>
      <c r="WF159" s="893">
        <f t="shared" si="317"/>
        <v>9645.5932203389839</v>
      </c>
      <c r="WG159" s="893">
        <f t="shared" si="318"/>
        <v>5778.2881355932204</v>
      </c>
      <c r="WH159" s="893"/>
      <c r="WI159" s="893">
        <f t="shared" si="319"/>
        <v>554205</v>
      </c>
      <c r="WJ159" s="893">
        <f t="shared" si="276"/>
        <v>326034</v>
      </c>
      <c r="WK159" s="39">
        <f t="shared" si="277"/>
        <v>0</v>
      </c>
      <c r="WL159" s="39">
        <f t="shared" si="278"/>
        <v>0</v>
      </c>
      <c r="WM159" s="200">
        <f t="shared" si="279"/>
        <v>228171</v>
      </c>
      <c r="WN159" s="39">
        <f t="shared" si="280"/>
        <v>228171</v>
      </c>
      <c r="WO159" s="39"/>
      <c r="WP159" s="182"/>
      <c r="WQ159" s="39"/>
      <c r="WR159" s="305"/>
      <c r="WT159" s="200">
        <f t="shared" si="281"/>
        <v>9393.3050847457635</v>
      </c>
      <c r="WU159" s="131">
        <f t="shared" si="320"/>
        <v>0.83</v>
      </c>
      <c r="WW159" s="199">
        <f t="shared" si="282"/>
        <v>7020</v>
      </c>
      <c r="WX159" s="199">
        <f t="shared" si="283"/>
        <v>326034</v>
      </c>
      <c r="WY159" s="199">
        <f t="shared" si="284"/>
        <v>0</v>
      </c>
      <c r="WZ159" s="199">
        <f t="shared" si="321"/>
        <v>326034</v>
      </c>
      <c r="XA159" s="199">
        <f t="shared" si="285"/>
        <v>0</v>
      </c>
      <c r="XB159" s="199">
        <f t="shared" si="286"/>
        <v>7865</v>
      </c>
      <c r="XC159" s="199">
        <f t="shared" si="287"/>
        <v>7865</v>
      </c>
      <c r="XD159" s="199" t="str">
        <f t="shared" si="288"/>
        <v/>
      </c>
      <c r="XE159" s="199"/>
      <c r="XF159" s="199"/>
      <c r="XG159" s="199"/>
      <c r="XH159" s="199"/>
      <c r="XI159" s="199"/>
      <c r="XJ159" s="199">
        <f t="shared" si="322"/>
        <v>326034</v>
      </c>
      <c r="XP159" s="199">
        <f t="shared" si="289"/>
        <v>326034</v>
      </c>
      <c r="XQ159" s="199">
        <f t="shared" si="290"/>
        <v>5526</v>
      </c>
      <c r="XR159" s="199">
        <f t="shared" si="291"/>
        <v>326034</v>
      </c>
      <c r="XS159" s="199">
        <f t="shared" si="292"/>
        <v>326034</v>
      </c>
      <c r="XT159" s="199">
        <f t="shared" si="293"/>
        <v>5526</v>
      </c>
      <c r="XU159" s="199">
        <f t="shared" si="294"/>
        <v>554205</v>
      </c>
      <c r="XV159" s="199">
        <f t="shared" si="295"/>
        <v>9393.3050847457635</v>
      </c>
      <c r="XW159" s="199">
        <f t="shared" si="296"/>
        <v>554205</v>
      </c>
      <c r="XX159" s="199">
        <f t="shared" si="297"/>
        <v>9393.3050847457635</v>
      </c>
      <c r="XY159" s="199">
        <f t="shared" si="323"/>
        <v>-228171</v>
      </c>
      <c r="XZ159" s="199">
        <f t="shared" si="324"/>
        <v>-3867.3050847457635</v>
      </c>
      <c r="YA159" s="131">
        <f t="shared" si="338"/>
        <v>-0.41170866376160453</v>
      </c>
      <c r="YB159" s="199"/>
      <c r="YC159" s="221"/>
      <c r="YD159" s="199"/>
      <c r="YE159" s="199">
        <f t="shared" si="298"/>
        <v>7020</v>
      </c>
      <c r="YF159" s="200">
        <f t="shared" si="299"/>
        <v>0</v>
      </c>
      <c r="YG159" s="199">
        <f t="shared" si="300"/>
        <v>7865</v>
      </c>
      <c r="YH159" s="199">
        <f t="shared" si="301"/>
        <v>0</v>
      </c>
    </row>
    <row r="160" spans="1:658">
      <c r="A160" s="1">
        <v>490</v>
      </c>
      <c r="B160" s="2" t="s">
        <v>1497</v>
      </c>
      <c r="C160" s="24">
        <v>0</v>
      </c>
      <c r="D160" s="39">
        <v>0</v>
      </c>
      <c r="E160" s="39">
        <v>0</v>
      </c>
      <c r="F160" s="39">
        <v>0</v>
      </c>
      <c r="G160" s="39">
        <v>0</v>
      </c>
      <c r="H160" s="39">
        <v>0</v>
      </c>
      <c r="I160" s="39">
        <v>0</v>
      </c>
      <c r="J160" s="39">
        <v>0</v>
      </c>
      <c r="K160" s="39">
        <v>0</v>
      </c>
      <c r="L160" s="24">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8971</v>
      </c>
      <c r="AM160" s="39">
        <v>0</v>
      </c>
      <c r="AN160" s="39">
        <v>0</v>
      </c>
      <c r="AO160" s="39">
        <v>0</v>
      </c>
      <c r="AP160" s="39">
        <v>0</v>
      </c>
      <c r="AQ160" s="39">
        <v>5</v>
      </c>
      <c r="AR160" s="39">
        <v>0</v>
      </c>
      <c r="AS160" s="39">
        <v>0</v>
      </c>
      <c r="AT160" s="39">
        <v>0</v>
      </c>
      <c r="AU160" s="39">
        <v>751</v>
      </c>
      <c r="AV160" s="39">
        <v>0</v>
      </c>
      <c r="AW160" s="39">
        <v>0</v>
      </c>
      <c r="AX160" s="39">
        <v>0</v>
      </c>
      <c r="AY160" s="39">
        <v>0</v>
      </c>
      <c r="AZ160" s="39">
        <v>0</v>
      </c>
      <c r="BA160" s="39">
        <v>0</v>
      </c>
      <c r="BB160" s="39">
        <v>0</v>
      </c>
      <c r="BC160" s="39">
        <v>0</v>
      </c>
      <c r="BD160" s="39">
        <v>0</v>
      </c>
      <c r="BE160" s="39">
        <v>0</v>
      </c>
      <c r="BF160" s="39">
        <v>0</v>
      </c>
      <c r="BG160" s="39">
        <v>0</v>
      </c>
      <c r="BH160" s="39">
        <v>0</v>
      </c>
      <c r="BI160" s="39">
        <v>0</v>
      </c>
      <c r="BJ160" s="39">
        <v>0</v>
      </c>
      <c r="BK160" s="39">
        <v>0</v>
      </c>
      <c r="BL160" s="39">
        <v>0</v>
      </c>
      <c r="BM160" s="39">
        <v>0</v>
      </c>
      <c r="BN160" s="39">
        <v>0</v>
      </c>
      <c r="BO160" s="39">
        <v>0</v>
      </c>
      <c r="BP160" s="39">
        <v>0</v>
      </c>
      <c r="BQ160" s="39">
        <v>0</v>
      </c>
      <c r="BR160" s="39">
        <v>0</v>
      </c>
      <c r="BS160" s="39">
        <v>0</v>
      </c>
      <c r="BT160" s="39">
        <v>0</v>
      </c>
      <c r="BU160" s="39">
        <v>0</v>
      </c>
      <c r="BV160" s="39">
        <v>0</v>
      </c>
      <c r="BW160" s="39">
        <v>0</v>
      </c>
      <c r="BX160" s="39">
        <v>0</v>
      </c>
      <c r="BY160" s="39">
        <v>0</v>
      </c>
      <c r="BZ160" s="39">
        <v>0</v>
      </c>
      <c r="CA160" s="39">
        <v>0</v>
      </c>
      <c r="CB160" s="39">
        <v>0</v>
      </c>
      <c r="CC160" s="39">
        <v>0</v>
      </c>
      <c r="CD160" s="39">
        <v>0</v>
      </c>
      <c r="CE160" s="39">
        <v>0</v>
      </c>
      <c r="CF160" s="39">
        <v>0</v>
      </c>
      <c r="CG160" s="39">
        <v>0</v>
      </c>
      <c r="CH160" s="39">
        <v>0</v>
      </c>
      <c r="CI160" s="39">
        <v>0</v>
      </c>
      <c r="CJ160" s="39">
        <v>0</v>
      </c>
      <c r="CK160" s="39">
        <v>0</v>
      </c>
      <c r="CL160" s="39">
        <v>0</v>
      </c>
      <c r="CM160" s="39">
        <v>0</v>
      </c>
      <c r="CN160" s="39">
        <v>0</v>
      </c>
      <c r="CO160" s="39">
        <v>0</v>
      </c>
      <c r="CP160" s="39">
        <v>0</v>
      </c>
      <c r="CQ160" s="39">
        <v>0</v>
      </c>
      <c r="CR160" s="39">
        <v>0</v>
      </c>
      <c r="CS160" s="39">
        <v>0</v>
      </c>
      <c r="CT160" s="39">
        <v>0</v>
      </c>
      <c r="CU160" s="39">
        <v>0</v>
      </c>
      <c r="CV160" s="39">
        <v>0</v>
      </c>
      <c r="CW160" s="39">
        <v>0</v>
      </c>
      <c r="CX160" s="39">
        <v>0</v>
      </c>
      <c r="CY160" s="39">
        <v>0</v>
      </c>
      <c r="CZ160" s="39">
        <v>0</v>
      </c>
      <c r="DA160" s="39">
        <v>0</v>
      </c>
      <c r="DB160" s="39">
        <v>0</v>
      </c>
      <c r="DC160" s="39">
        <v>0</v>
      </c>
      <c r="DD160" s="39">
        <v>0</v>
      </c>
      <c r="DE160" s="39">
        <v>0</v>
      </c>
      <c r="DF160" s="39">
        <v>0</v>
      </c>
      <c r="DG160" s="39">
        <v>0</v>
      </c>
      <c r="DH160" s="39">
        <v>0</v>
      </c>
      <c r="DI160" s="39">
        <v>0</v>
      </c>
      <c r="DJ160" s="39">
        <v>0</v>
      </c>
      <c r="DK160" s="39">
        <v>0</v>
      </c>
      <c r="DL160" s="39">
        <v>0</v>
      </c>
      <c r="DM160" s="39">
        <v>0</v>
      </c>
      <c r="DN160" s="39">
        <v>0</v>
      </c>
      <c r="DO160" s="39">
        <v>0</v>
      </c>
      <c r="DP160" s="39">
        <v>0</v>
      </c>
      <c r="DQ160" s="39">
        <v>0</v>
      </c>
      <c r="DR160" s="39">
        <v>0</v>
      </c>
      <c r="DS160" s="39">
        <v>0</v>
      </c>
      <c r="DT160" s="39">
        <v>0</v>
      </c>
      <c r="DU160" s="39">
        <v>0</v>
      </c>
      <c r="DV160" s="39">
        <v>0</v>
      </c>
      <c r="DW160" s="39">
        <v>0</v>
      </c>
      <c r="DX160" s="39">
        <v>0</v>
      </c>
      <c r="DY160" s="39">
        <v>0</v>
      </c>
      <c r="DZ160" s="39">
        <v>0</v>
      </c>
      <c r="EA160" s="39">
        <v>0</v>
      </c>
      <c r="EB160" s="39">
        <v>0</v>
      </c>
      <c r="EC160" s="39">
        <v>0</v>
      </c>
      <c r="ED160" s="39">
        <v>0</v>
      </c>
      <c r="EE160" s="39">
        <v>0</v>
      </c>
      <c r="EF160" s="39">
        <v>0</v>
      </c>
      <c r="EG160" s="39">
        <v>2513</v>
      </c>
      <c r="EH160" s="39">
        <v>0</v>
      </c>
      <c r="EI160" s="39">
        <v>0</v>
      </c>
      <c r="EJ160" s="39">
        <v>0</v>
      </c>
      <c r="EK160" s="39">
        <v>0</v>
      </c>
      <c r="EL160" s="39">
        <v>0</v>
      </c>
      <c r="EM160" s="39">
        <v>0</v>
      </c>
      <c r="EN160" s="39">
        <v>101920</v>
      </c>
      <c r="EO160" s="39">
        <v>0</v>
      </c>
      <c r="EP160" s="39">
        <v>0</v>
      </c>
      <c r="EQ160" s="39">
        <v>0</v>
      </c>
      <c r="ER160" s="39">
        <v>0</v>
      </c>
      <c r="ES160" s="39">
        <v>0</v>
      </c>
      <c r="ET160" s="39">
        <v>0</v>
      </c>
      <c r="EU160" s="39">
        <v>0</v>
      </c>
      <c r="EV160" s="39">
        <v>0</v>
      </c>
      <c r="EW160" s="39">
        <v>0</v>
      </c>
      <c r="EX160" s="39">
        <v>0</v>
      </c>
      <c r="EY160" s="39">
        <v>0</v>
      </c>
      <c r="EZ160" s="39">
        <v>0</v>
      </c>
      <c r="FA160" s="39">
        <v>0</v>
      </c>
      <c r="FB160" s="39">
        <v>0</v>
      </c>
      <c r="FC160" s="39">
        <v>0</v>
      </c>
      <c r="FD160" s="39">
        <v>0</v>
      </c>
      <c r="FE160" s="39">
        <v>0</v>
      </c>
      <c r="FF160" s="39">
        <v>0</v>
      </c>
      <c r="FG160" s="39">
        <v>0</v>
      </c>
      <c r="FH160" s="39">
        <v>0</v>
      </c>
      <c r="FI160" s="39">
        <v>0</v>
      </c>
      <c r="FJ160" s="39">
        <v>0</v>
      </c>
      <c r="FK160" s="39">
        <v>0</v>
      </c>
      <c r="FL160" s="39">
        <v>0</v>
      </c>
      <c r="FM160" s="39">
        <v>0</v>
      </c>
      <c r="FN160" s="39">
        <v>0</v>
      </c>
      <c r="FO160" s="39">
        <v>0</v>
      </c>
      <c r="FP160" s="39">
        <v>0</v>
      </c>
      <c r="FQ160" s="39">
        <v>0</v>
      </c>
      <c r="FR160" s="39">
        <v>0</v>
      </c>
      <c r="FS160" s="39">
        <v>10202</v>
      </c>
      <c r="FT160" s="39">
        <v>0</v>
      </c>
      <c r="FU160" s="39">
        <v>0</v>
      </c>
      <c r="FV160" s="39">
        <v>0</v>
      </c>
      <c r="FW160" s="39">
        <v>0</v>
      </c>
      <c r="FX160" s="39">
        <v>10620</v>
      </c>
      <c r="FY160" s="39">
        <v>0</v>
      </c>
      <c r="FZ160" s="39">
        <v>0</v>
      </c>
      <c r="GA160" s="39">
        <v>0</v>
      </c>
      <c r="GB160" s="39">
        <v>0</v>
      </c>
      <c r="GC160" s="39">
        <v>0</v>
      </c>
      <c r="GD160" s="39">
        <v>0</v>
      </c>
      <c r="GE160" s="39">
        <v>0</v>
      </c>
      <c r="GF160" s="39">
        <v>0</v>
      </c>
      <c r="GG160" s="39">
        <v>0</v>
      </c>
      <c r="GH160" s="39">
        <v>0</v>
      </c>
      <c r="GI160" s="39">
        <v>0</v>
      </c>
      <c r="GJ160" s="39">
        <v>0</v>
      </c>
      <c r="GK160" s="39">
        <v>0</v>
      </c>
      <c r="GL160" s="39">
        <v>0</v>
      </c>
      <c r="GM160" s="39">
        <v>0</v>
      </c>
      <c r="GN160" s="39">
        <v>0</v>
      </c>
      <c r="GO160" s="39">
        <v>0</v>
      </c>
      <c r="GP160" s="39">
        <v>0</v>
      </c>
      <c r="GQ160" s="39">
        <v>0</v>
      </c>
      <c r="GR160" s="39">
        <v>0</v>
      </c>
      <c r="GS160" s="39">
        <v>0</v>
      </c>
      <c r="GT160" s="39">
        <v>0</v>
      </c>
      <c r="GU160" s="39">
        <v>0</v>
      </c>
      <c r="GV160" s="39">
        <v>0</v>
      </c>
      <c r="GW160" s="39">
        <v>0</v>
      </c>
      <c r="GX160" s="39">
        <v>0</v>
      </c>
      <c r="GY160" s="39">
        <v>0</v>
      </c>
      <c r="GZ160" s="39">
        <v>1744</v>
      </c>
      <c r="HA160" s="39">
        <v>0</v>
      </c>
      <c r="HB160" s="39">
        <v>0</v>
      </c>
      <c r="HC160" s="39">
        <v>0</v>
      </c>
      <c r="HD160" s="39">
        <v>2979422</v>
      </c>
      <c r="HE160" s="39">
        <v>0</v>
      </c>
      <c r="HF160" s="39">
        <v>0</v>
      </c>
      <c r="HG160" s="39">
        <v>0</v>
      </c>
      <c r="HH160" s="39">
        <v>0</v>
      </c>
      <c r="HI160" s="39">
        <v>0</v>
      </c>
      <c r="HJ160" s="39">
        <v>0</v>
      </c>
      <c r="HK160" s="39">
        <v>0</v>
      </c>
      <c r="HL160" s="39">
        <v>0</v>
      </c>
      <c r="HM160" s="39">
        <v>0</v>
      </c>
      <c r="HN160" s="39">
        <v>0</v>
      </c>
      <c r="HO160" s="39">
        <v>369803</v>
      </c>
      <c r="HP160" s="39">
        <v>190686</v>
      </c>
      <c r="HQ160" s="39">
        <v>0</v>
      </c>
      <c r="HR160" s="39">
        <v>0</v>
      </c>
      <c r="HS160" s="39">
        <v>0</v>
      </c>
      <c r="HT160" s="39">
        <v>0</v>
      </c>
      <c r="HU160" s="39">
        <v>0</v>
      </c>
      <c r="HV160" s="39">
        <v>0</v>
      </c>
      <c r="HW160" s="39">
        <v>0</v>
      </c>
      <c r="HX160" s="39">
        <v>0</v>
      </c>
      <c r="HY160" s="39">
        <v>0</v>
      </c>
      <c r="HZ160" s="39">
        <v>0</v>
      </c>
      <c r="IA160" s="39">
        <v>47681</v>
      </c>
      <c r="IB160" s="39">
        <v>11268</v>
      </c>
      <c r="IC160" s="39">
        <v>0</v>
      </c>
      <c r="ID160" s="39">
        <v>0</v>
      </c>
      <c r="IE160" s="39">
        <v>0</v>
      </c>
      <c r="IF160" s="39">
        <v>0</v>
      </c>
      <c r="IG160" s="39">
        <v>0</v>
      </c>
      <c r="IH160" s="39">
        <v>0</v>
      </c>
      <c r="II160" s="39">
        <v>0</v>
      </c>
      <c r="IJ160" s="39">
        <v>0</v>
      </c>
      <c r="IK160" s="39">
        <v>0</v>
      </c>
      <c r="IL160" s="39">
        <v>0</v>
      </c>
      <c r="IM160" s="39">
        <v>0</v>
      </c>
      <c r="IN160" s="39">
        <v>0</v>
      </c>
      <c r="IO160" s="39">
        <v>0</v>
      </c>
      <c r="IP160" s="39">
        <v>0</v>
      </c>
      <c r="IQ160" s="39">
        <v>0</v>
      </c>
      <c r="IR160" s="39">
        <v>0</v>
      </c>
      <c r="IS160" s="39">
        <v>0</v>
      </c>
      <c r="IT160" s="39">
        <v>0</v>
      </c>
      <c r="IU160" s="39">
        <v>0</v>
      </c>
      <c r="IV160" s="39">
        <v>0</v>
      </c>
      <c r="IW160" s="39">
        <v>0</v>
      </c>
      <c r="IX160" s="39">
        <v>0</v>
      </c>
      <c r="IY160" s="39">
        <v>0</v>
      </c>
      <c r="IZ160" s="39">
        <v>0</v>
      </c>
      <c r="JA160" s="39">
        <v>0</v>
      </c>
      <c r="JB160" s="39">
        <v>0</v>
      </c>
      <c r="JC160" s="39">
        <v>0</v>
      </c>
      <c r="JD160" s="39">
        <v>0</v>
      </c>
      <c r="JE160" s="39">
        <v>0</v>
      </c>
      <c r="JF160" s="39">
        <v>0</v>
      </c>
      <c r="JG160" s="39">
        <v>0</v>
      </c>
      <c r="JH160" s="39">
        <v>0</v>
      </c>
      <c r="JI160" s="39">
        <v>0</v>
      </c>
      <c r="JJ160" s="39">
        <v>0</v>
      </c>
      <c r="JK160" s="39">
        <v>0</v>
      </c>
      <c r="JL160" s="39">
        <v>0</v>
      </c>
      <c r="JM160" s="39">
        <v>0</v>
      </c>
      <c r="JN160" s="39">
        <v>0</v>
      </c>
      <c r="JO160" s="39">
        <v>0</v>
      </c>
      <c r="JP160" s="39">
        <v>0</v>
      </c>
      <c r="JQ160" s="39">
        <v>0</v>
      </c>
      <c r="JR160" s="39">
        <v>0</v>
      </c>
      <c r="JS160" s="39">
        <v>0</v>
      </c>
      <c r="JT160" s="39">
        <v>0</v>
      </c>
      <c r="JU160" s="39">
        <v>0</v>
      </c>
      <c r="JV160" s="39">
        <v>0</v>
      </c>
      <c r="JW160" s="39">
        <v>0</v>
      </c>
      <c r="JX160" s="39">
        <v>0</v>
      </c>
      <c r="JY160" s="39">
        <v>0</v>
      </c>
      <c r="JZ160" s="39">
        <v>0</v>
      </c>
      <c r="KA160" s="39">
        <v>0</v>
      </c>
      <c r="KB160" s="39">
        <v>0</v>
      </c>
      <c r="KC160" s="39">
        <v>43457</v>
      </c>
      <c r="KD160" s="39">
        <v>0</v>
      </c>
      <c r="KE160" s="39">
        <v>0</v>
      </c>
      <c r="KF160" s="39">
        <v>68002</v>
      </c>
      <c r="KG160" s="39">
        <v>0</v>
      </c>
      <c r="KH160" s="39">
        <v>0</v>
      </c>
      <c r="KI160" s="39">
        <v>0</v>
      </c>
      <c r="KJ160" s="39">
        <v>0</v>
      </c>
      <c r="KK160" s="39">
        <v>0</v>
      </c>
      <c r="KL160" s="39">
        <v>0</v>
      </c>
      <c r="KM160" s="39">
        <v>0</v>
      </c>
      <c r="KN160" s="39">
        <v>0</v>
      </c>
      <c r="KO160" s="39">
        <v>0</v>
      </c>
      <c r="KP160" s="39">
        <v>0</v>
      </c>
      <c r="KQ160" s="39">
        <v>0</v>
      </c>
      <c r="KR160" s="39">
        <v>0</v>
      </c>
      <c r="KS160" s="39">
        <v>0</v>
      </c>
      <c r="KT160" s="39">
        <v>0</v>
      </c>
      <c r="KU160" s="39">
        <v>0</v>
      </c>
      <c r="KV160" s="39">
        <v>0</v>
      </c>
      <c r="KW160" s="39">
        <v>0</v>
      </c>
      <c r="KX160" s="39">
        <v>0</v>
      </c>
      <c r="KY160" s="39">
        <v>0</v>
      </c>
      <c r="KZ160" s="39">
        <v>0</v>
      </c>
      <c r="LA160" s="39">
        <v>0</v>
      </c>
      <c r="LB160" s="39">
        <v>0</v>
      </c>
      <c r="LC160" s="39">
        <v>0</v>
      </c>
      <c r="LD160" s="39">
        <v>0</v>
      </c>
      <c r="LE160" s="39">
        <v>0</v>
      </c>
      <c r="LF160" s="39">
        <v>0</v>
      </c>
      <c r="LG160" s="39">
        <v>0</v>
      </c>
      <c r="LH160" s="39">
        <v>0</v>
      </c>
      <c r="LI160" s="39">
        <v>0</v>
      </c>
      <c r="LJ160" s="39">
        <v>0</v>
      </c>
      <c r="LK160" s="39">
        <v>0</v>
      </c>
      <c r="LL160" s="39">
        <v>0</v>
      </c>
      <c r="LM160" s="39">
        <v>0</v>
      </c>
      <c r="LN160" s="39">
        <v>0</v>
      </c>
      <c r="LO160" s="39">
        <v>0</v>
      </c>
      <c r="LP160" s="39">
        <v>0</v>
      </c>
      <c r="LQ160" s="39">
        <v>140343</v>
      </c>
      <c r="LR160" s="39">
        <v>0</v>
      </c>
      <c r="LS160" s="39">
        <v>0</v>
      </c>
      <c r="LT160" s="39">
        <v>0</v>
      </c>
      <c r="LU160" s="39">
        <v>0</v>
      </c>
      <c r="LV160" s="39">
        <v>0</v>
      </c>
      <c r="LW160" s="39">
        <v>0</v>
      </c>
      <c r="LX160" s="39">
        <v>0</v>
      </c>
      <c r="LY160" s="39">
        <v>0</v>
      </c>
      <c r="LZ160" s="39">
        <v>0</v>
      </c>
      <c r="MA160" s="39">
        <v>0</v>
      </c>
      <c r="MB160" s="39">
        <v>0</v>
      </c>
      <c r="MC160" s="39">
        <v>0</v>
      </c>
      <c r="MD160" s="39">
        <v>0</v>
      </c>
      <c r="ME160" s="39">
        <v>0</v>
      </c>
      <c r="MF160" s="39">
        <v>0</v>
      </c>
      <c r="MG160" s="39">
        <v>0</v>
      </c>
      <c r="MH160" s="39">
        <v>0</v>
      </c>
      <c r="MI160" s="39">
        <v>0</v>
      </c>
      <c r="MJ160" s="39">
        <v>0</v>
      </c>
      <c r="MK160" s="39">
        <v>0</v>
      </c>
      <c r="ML160" s="39">
        <v>0</v>
      </c>
      <c r="MM160" s="39">
        <v>0</v>
      </c>
      <c r="MN160" s="39">
        <v>0</v>
      </c>
      <c r="MO160" s="39">
        <v>0</v>
      </c>
      <c r="MP160" s="39">
        <v>0</v>
      </c>
      <c r="MQ160" s="39">
        <v>0</v>
      </c>
      <c r="MR160" s="39">
        <v>0</v>
      </c>
      <c r="MS160" s="39">
        <v>0</v>
      </c>
      <c r="MT160" s="39">
        <v>0</v>
      </c>
      <c r="MU160" s="39">
        <v>0</v>
      </c>
      <c r="MV160" s="39">
        <v>0</v>
      </c>
      <c r="MW160" s="39">
        <v>86752</v>
      </c>
      <c r="MX160" s="39">
        <v>0</v>
      </c>
      <c r="MY160" s="39">
        <v>0</v>
      </c>
      <c r="MZ160" s="39">
        <v>0</v>
      </c>
      <c r="NA160" s="39">
        <v>0</v>
      </c>
      <c r="NB160" s="39">
        <v>0</v>
      </c>
      <c r="NC160" s="39">
        <v>0</v>
      </c>
      <c r="ND160" s="39">
        <v>0</v>
      </c>
      <c r="NE160" s="39">
        <v>0</v>
      </c>
      <c r="NF160" s="39">
        <v>0</v>
      </c>
      <c r="NG160" s="39">
        <v>0</v>
      </c>
      <c r="NH160" s="39">
        <v>0</v>
      </c>
      <c r="NI160" s="39">
        <v>0</v>
      </c>
      <c r="NJ160" s="39">
        <v>0</v>
      </c>
      <c r="NK160" s="39">
        <v>0</v>
      </c>
      <c r="NL160" s="39">
        <v>0</v>
      </c>
      <c r="NM160" s="39">
        <v>0</v>
      </c>
      <c r="NN160" s="39">
        <v>0</v>
      </c>
      <c r="NO160" s="39">
        <v>0</v>
      </c>
      <c r="NP160" s="39">
        <v>0</v>
      </c>
      <c r="NQ160" s="39">
        <v>0</v>
      </c>
      <c r="NR160" s="39">
        <v>0</v>
      </c>
      <c r="NS160" s="39">
        <v>0</v>
      </c>
      <c r="NT160" s="39">
        <v>0</v>
      </c>
      <c r="NU160" s="39">
        <v>0</v>
      </c>
      <c r="NV160" s="39">
        <v>33032</v>
      </c>
      <c r="NW160" s="39">
        <v>0</v>
      </c>
      <c r="NX160" s="39">
        <v>0</v>
      </c>
      <c r="NY160" s="39">
        <v>0</v>
      </c>
      <c r="NZ160" s="39">
        <v>0</v>
      </c>
      <c r="OA160" s="39">
        <v>0</v>
      </c>
      <c r="OB160" s="39">
        <v>0</v>
      </c>
      <c r="OC160" s="39">
        <v>0</v>
      </c>
      <c r="OD160" s="39">
        <v>0</v>
      </c>
      <c r="OE160" s="39">
        <v>0</v>
      </c>
      <c r="OF160" s="39">
        <v>0</v>
      </c>
      <c r="OG160" s="39">
        <v>0</v>
      </c>
      <c r="OH160" s="39">
        <v>0</v>
      </c>
      <c r="OI160" s="39">
        <v>0</v>
      </c>
      <c r="OJ160" s="39">
        <v>0</v>
      </c>
      <c r="OK160" s="39">
        <v>0</v>
      </c>
      <c r="OL160" s="39">
        <v>0</v>
      </c>
      <c r="OM160" s="39">
        <v>0</v>
      </c>
      <c r="ON160" s="39">
        <v>0</v>
      </c>
      <c r="OO160" s="39">
        <v>0</v>
      </c>
      <c r="OP160" s="39">
        <v>0</v>
      </c>
      <c r="OQ160" s="39">
        <v>0</v>
      </c>
      <c r="OR160" s="39">
        <v>0</v>
      </c>
      <c r="OS160" s="39">
        <v>0</v>
      </c>
      <c r="OT160" s="39">
        <v>0</v>
      </c>
      <c r="OU160" s="39">
        <v>0</v>
      </c>
      <c r="OV160" s="39">
        <v>0</v>
      </c>
      <c r="OW160" s="39">
        <v>0</v>
      </c>
      <c r="OX160" s="39">
        <v>0</v>
      </c>
      <c r="OY160" s="39">
        <v>0</v>
      </c>
      <c r="OZ160" s="39">
        <v>0</v>
      </c>
      <c r="PA160" s="39">
        <v>0</v>
      </c>
      <c r="PB160" s="39">
        <v>0</v>
      </c>
      <c r="PC160" s="39">
        <v>0</v>
      </c>
      <c r="PD160" s="39">
        <v>0</v>
      </c>
      <c r="PE160" s="39">
        <v>0</v>
      </c>
      <c r="PF160" s="39">
        <v>0</v>
      </c>
      <c r="PG160" s="39">
        <v>0</v>
      </c>
      <c r="PH160" s="39">
        <v>120351</v>
      </c>
      <c r="PI160" s="39">
        <v>0</v>
      </c>
      <c r="PJ160" s="39">
        <v>0</v>
      </c>
      <c r="PK160" s="39">
        <v>0</v>
      </c>
      <c r="PL160" s="39">
        <v>0</v>
      </c>
      <c r="PM160" s="39">
        <v>0</v>
      </c>
      <c r="PN160" s="39">
        <v>0</v>
      </c>
      <c r="PO160" s="39">
        <v>0</v>
      </c>
      <c r="PP160" s="39">
        <v>0</v>
      </c>
      <c r="PQ160" s="39">
        <v>0</v>
      </c>
      <c r="PR160" s="39">
        <v>0</v>
      </c>
      <c r="PS160" s="39">
        <v>0</v>
      </c>
      <c r="PT160" s="39">
        <v>0</v>
      </c>
      <c r="PU160" s="39">
        <v>0</v>
      </c>
      <c r="PV160" s="39">
        <v>0</v>
      </c>
      <c r="PW160" s="39">
        <v>0</v>
      </c>
      <c r="PX160" s="39">
        <v>0</v>
      </c>
      <c r="PY160" s="39">
        <v>0</v>
      </c>
      <c r="PZ160" s="39">
        <v>0</v>
      </c>
      <c r="QA160" s="39">
        <v>0</v>
      </c>
      <c r="QB160" s="39">
        <v>0</v>
      </c>
      <c r="QC160" s="39">
        <v>0</v>
      </c>
      <c r="QD160" s="39">
        <v>0</v>
      </c>
      <c r="QE160" s="39">
        <v>0</v>
      </c>
      <c r="QF160" s="39">
        <v>0</v>
      </c>
      <c r="QG160" s="39">
        <v>0</v>
      </c>
      <c r="QH160" s="39">
        <v>0</v>
      </c>
      <c r="QI160" s="39">
        <v>0</v>
      </c>
      <c r="QJ160" s="39">
        <v>0</v>
      </c>
      <c r="QK160" s="39">
        <v>0</v>
      </c>
      <c r="QL160" s="39">
        <v>0</v>
      </c>
      <c r="QM160" s="39">
        <v>0</v>
      </c>
      <c r="QN160" s="39">
        <v>0</v>
      </c>
      <c r="QO160" s="39">
        <v>0</v>
      </c>
      <c r="QP160" s="39">
        <v>0</v>
      </c>
      <c r="QQ160" s="39">
        <v>0</v>
      </c>
      <c r="QR160" s="39">
        <v>0</v>
      </c>
      <c r="QS160" s="39">
        <v>0</v>
      </c>
      <c r="QT160" s="39">
        <v>0</v>
      </c>
      <c r="QU160" s="39">
        <v>0</v>
      </c>
      <c r="QV160" s="39">
        <v>7866</v>
      </c>
      <c r="QW160" s="39">
        <v>0</v>
      </c>
      <c r="QX160" s="39">
        <v>0</v>
      </c>
      <c r="QY160" s="39">
        <v>0</v>
      </c>
      <c r="QZ160" s="39">
        <v>1919</v>
      </c>
      <c r="RA160" s="39">
        <v>0</v>
      </c>
      <c r="RB160" s="39">
        <v>0</v>
      </c>
      <c r="RC160" s="913">
        <v>2</v>
      </c>
      <c r="RG160" s="39">
        <f t="shared" si="339"/>
        <v>2979422</v>
      </c>
      <c r="RH160" s="39">
        <f t="shared" si="339"/>
        <v>0</v>
      </c>
      <c r="RI160" s="39">
        <f t="shared" si="339"/>
        <v>0</v>
      </c>
      <c r="RJ160" s="39">
        <f t="shared" si="339"/>
        <v>0</v>
      </c>
      <c r="RK160" s="39">
        <f t="shared" si="339"/>
        <v>0</v>
      </c>
      <c r="RL160" s="39">
        <f t="shared" si="339"/>
        <v>369803</v>
      </c>
      <c r="RM160" s="39">
        <f t="shared" si="339"/>
        <v>249635</v>
      </c>
      <c r="RN160" s="39">
        <f t="shared" si="339"/>
        <v>0</v>
      </c>
      <c r="RO160" s="39">
        <f t="shared" si="339"/>
        <v>0</v>
      </c>
      <c r="RP160" s="39">
        <f t="shared" si="339"/>
        <v>0</v>
      </c>
      <c r="RQ160" s="39">
        <f t="shared" si="339"/>
        <v>0</v>
      </c>
      <c r="RR160" s="39">
        <f t="shared" si="325"/>
        <v>43457</v>
      </c>
      <c r="RS160" s="39"/>
      <c r="RT160" s="182"/>
      <c r="RU160" s="39"/>
      <c r="RV160" s="39">
        <f t="shared" si="302"/>
        <v>328129</v>
      </c>
      <c r="RW160" s="39">
        <f t="shared" si="302"/>
        <v>3642317</v>
      </c>
      <c r="RX160" s="39">
        <f t="shared" si="302"/>
        <v>136726</v>
      </c>
      <c r="RY160" s="39">
        <f t="shared" si="302"/>
        <v>130136</v>
      </c>
      <c r="RZ160" s="39"/>
      <c r="SA160" s="182"/>
      <c r="SB160" s="39"/>
      <c r="SC160" s="25">
        <f t="shared" si="303"/>
        <v>228.63879598662209</v>
      </c>
      <c r="SD160" s="39">
        <f>IFERROR(VLOOKUP(A160, 'Levy Data 15-16'!$B:$O, 3, FALSE), 0)</f>
        <v>0</v>
      </c>
      <c r="SE160" s="39">
        <f t="shared" si="265"/>
        <v>0</v>
      </c>
      <c r="SF160" s="631">
        <f>IFERROR(VLOOKUP(A160, 'Levy Data 15-16'!$B:$O, 14, FALSE), 0)*1000</f>
        <v>0</v>
      </c>
      <c r="SG160" s="39">
        <f t="shared" si="266"/>
        <v>0</v>
      </c>
      <c r="SH160" s="39">
        <f t="shared" si="267"/>
        <v>0</v>
      </c>
      <c r="SI160" s="39">
        <f t="shared" si="268"/>
        <v>136726</v>
      </c>
      <c r="SM160" s="39">
        <f t="shared" si="269"/>
        <v>3642317</v>
      </c>
      <c r="SN160" s="39">
        <f t="shared" si="270"/>
        <v>0</v>
      </c>
      <c r="SO160" s="39">
        <f t="shared" si="304"/>
        <v>3642317</v>
      </c>
      <c r="SP160" s="50">
        <f t="shared" si="326"/>
        <v>1</v>
      </c>
      <c r="ST160" s="124">
        <f>IFERROR(VLOOKUP(A160,'Grade Enroll 15-16'!B:AC,27,FALSE),"")</f>
        <v>598</v>
      </c>
      <c r="SU160" s="124">
        <f t="shared" si="327"/>
        <v>304.55417956656345</v>
      </c>
      <c r="SV160" s="131">
        <f>IFERROR(VLOOKUP($A160, 'Title I Enroll 16-17'!S:V, 4, FALSE), 0)</f>
        <v>0.50928792569659442</v>
      </c>
      <c r="SW160" s="729">
        <f>IFERROR(VLOOKUP(A160, 'ELL Enroll 15-16'!$N:$S, 6, FALSE), 0)</f>
        <v>5</v>
      </c>
      <c r="SX160" s="131">
        <f t="shared" si="328"/>
        <v>8.3612040133779261E-3</v>
      </c>
      <c r="SY160" s="124">
        <f>IFERROR(VLOOKUP(A160, 'SPED enroll 2015-16'!$M:$O, 3, FALSE), 0)</f>
        <v>51</v>
      </c>
      <c r="SZ160" s="131">
        <f t="shared" si="329"/>
        <v>8.5284280936454848E-2</v>
      </c>
      <c r="TA160" s="142">
        <f t="shared" si="340"/>
        <v>35.699999999999996</v>
      </c>
      <c r="TB160" s="142">
        <f t="shared" si="340"/>
        <v>10.200000000000001</v>
      </c>
      <c r="TC160" s="142">
        <f t="shared" si="340"/>
        <v>3.5700000000000003</v>
      </c>
      <c r="TD160" s="142">
        <f t="shared" si="340"/>
        <v>1.53</v>
      </c>
      <c r="TE160" s="124">
        <f>VLOOKUP($A160, 'Grade Enroll 15-16'!$B:$AB, 20, FALSE)</f>
        <v>0</v>
      </c>
      <c r="TF160" s="124">
        <f>VLOOKUP($A160, 'Grade Enroll 15-16'!$B:$AB, 21, FALSE)</f>
        <v>66</v>
      </c>
      <c r="TG160" s="124">
        <f>VLOOKUP($A160, 'Grade Enroll 15-16'!$B:$AB, 22, FALSE)</f>
        <v>214</v>
      </c>
      <c r="TH160" s="124">
        <f>VLOOKUP($A160, 'Grade Enroll 15-16'!$B:$AB, 23, FALSE)</f>
        <v>157</v>
      </c>
      <c r="TI160" s="124">
        <f>VLOOKUP($A160, 'Grade Enroll 15-16'!$B:$AB, 24, FALSE)</f>
        <v>93</v>
      </c>
      <c r="TJ160" s="124">
        <f>VLOOKUP($A160, 'Grade Enroll 15-16'!$B:$AB, 25, FALSE)</f>
        <v>134</v>
      </c>
      <c r="TK160" s="124">
        <f>VLOOKUP($A160, 'Grade Enroll 15-16'!$B:$AB, 26, FALSE)</f>
        <v>379</v>
      </c>
      <c r="TL160" s="131">
        <f>SUMIFS('Student Achievement 15-16'!N:N, 'Student Achievement 15-16'!B:B, 'Idaho Data'!A160, 'Student Achievement 15-16'!D:D, "math")/100</f>
        <v>0.221</v>
      </c>
      <c r="TM160" s="134">
        <f t="shared" si="305"/>
        <v>132.15799999999999</v>
      </c>
      <c r="TN160" s="131">
        <f>SUMIFS('Student Achievement 15-16'!N:N, 'Student Achievement 15-16'!B:B, 'Idaho Data'!A160, 'Student Achievement 15-16'!D:D, "ela")/100</f>
        <v>0.13699999999999998</v>
      </c>
      <c r="TO160" s="135">
        <f t="shared" si="330"/>
        <v>81.925999999999988</v>
      </c>
      <c r="TP160" s="688">
        <f>IFERROR(VLOOKUP(A160, 'G&amp;T 15-16'!B:G, 6, FALSE), 0)*1</f>
        <v>29</v>
      </c>
      <c r="TQ160" s="168">
        <f t="shared" si="331"/>
        <v>35.879999999999995</v>
      </c>
      <c r="TU160" s="168">
        <f t="shared" si="332"/>
        <v>81.925999999999988</v>
      </c>
      <c r="TV160" s="168">
        <f t="shared" si="333"/>
        <v>132.15799999999999</v>
      </c>
      <c r="TW160" s="205">
        <f t="shared" si="334"/>
        <v>132.15799999999999</v>
      </c>
      <c r="TX160" s="144"/>
      <c r="TY160" s="514"/>
      <c r="TZ160" s="127">
        <f t="shared" si="335"/>
        <v>29</v>
      </c>
      <c r="UA160" s="127">
        <f t="shared" si="336"/>
        <v>35.879999999999995</v>
      </c>
      <c r="UB160" s="205">
        <f t="shared" si="337"/>
        <v>35.879999999999995</v>
      </c>
      <c r="UE160" s="853" t="str">
        <f>IF(ST160&lt;='1. Simulator Input'!$E$104, "yes", "")</f>
        <v/>
      </c>
      <c r="UI160" s="199">
        <f t="shared" si="306"/>
        <v>0</v>
      </c>
      <c r="UJ160" s="200">
        <f>IF('Idaho Data'!SI160&gt;=0, ((1-'1. Simulator Input'!$E$39)*'Idaho Data'!SI160), 0)</f>
        <v>0</v>
      </c>
      <c r="UK160" s="200">
        <f t="shared" si="262"/>
        <v>3642317</v>
      </c>
      <c r="UL160" s="39"/>
      <c r="UM160" s="182"/>
      <c r="UN160" s="39"/>
      <c r="UO160" s="39" t="str">
        <f>IF(AND('1. Simulator Input'!$E$96="yes", '1. Simulator Input'!$E$98="yes", '1. Simulator Input'!$E$100="hold harmless"), 'Idaho Data'!WN160, IF(AND('1. Simulator Input'!$E$96="yes", '1. Simulator Input'!$E$98="no", '1. Simulator Input'!$E$100="hold harmless"), 'Idaho Data'!WM160, IF(AND('1. Simulator Input'!$E$96="yes", '1. Simulator Input'!$E$98="yes", '1. Simulator Input'!$E$100="small district grant"), WL160,IF(AND('1. Simulator Input'!$E$96="yes", '1. Simulator Input'!$E$98="no", '1. Simulator Input'!$E$100="small district grant"), WK160, ""))))</f>
        <v/>
      </c>
      <c r="UP160" s="200">
        <f>'1. Simulator Input'!$D$56*('Idaho Data'!ST160)</f>
        <v>3304548</v>
      </c>
      <c r="UQ160" s="204">
        <f>'1. Simulator Input'!$D$65*'1. Simulator Input'!$D$56*'Idaho Data'!SU160</f>
        <v>0</v>
      </c>
      <c r="UR160" s="204">
        <f>'1. Simulator Input'!$D$66*'1. Simulator Input'!$D$56*'Idaho Data'!SW160</f>
        <v>0</v>
      </c>
      <c r="US160" s="200">
        <f>'1. Simulator Input'!$D$67*'1. Simulator Input'!$D$56*'Idaho Data'!TA160</f>
        <v>0</v>
      </c>
      <c r="UT160" s="200">
        <f>'1. Simulator Input'!$D$68*'1. Simulator Input'!$D$56*'Idaho Data'!TB160</f>
        <v>0</v>
      </c>
      <c r="UU160" s="200">
        <f>'1. Simulator Input'!$D$69*'1. Simulator Input'!$D$56*'Idaho Data'!TC160</f>
        <v>0</v>
      </c>
      <c r="UV160" s="200">
        <f>'1. Simulator Input'!$D$70*'1. Simulator Input'!$D$56*TD160</f>
        <v>0</v>
      </c>
      <c r="UW160" s="200">
        <f>'1. Simulator Input'!$D$80*'1. Simulator Input'!$D$56*TW160</f>
        <v>0</v>
      </c>
      <c r="UX160" s="200">
        <f>'1. Simulator Input'!$D$79*'1. Simulator Input'!$D$56*UB160</f>
        <v>0</v>
      </c>
      <c r="UY160" s="200">
        <f>'1. Simulator Input'!$D$87*'1. Simulator Input'!$D$56*TF160</f>
        <v>182358</v>
      </c>
      <c r="UZ160" s="200">
        <f>'1. Simulator Input'!$D$73*'1. Simulator Input'!$D$56*'Idaho Data'!TG160</f>
        <v>0</v>
      </c>
      <c r="VA160" s="200">
        <f>'1. Simulator Input'!$D$56*'1. Simulator Input'!$D$74*'Idaho Data'!TH160</f>
        <v>0</v>
      </c>
      <c r="VB160" s="200">
        <f>'1. Simulator Input'!$D$56*'1. Simulator Input'!$D$75*'Idaho Data'!TI155</f>
        <v>0</v>
      </c>
      <c r="VC160" s="200">
        <f>'1. Simulator Input'!$D$76*'1. Simulator Input'!$D$56*'Idaho Data'!TJ160</f>
        <v>0</v>
      </c>
      <c r="VD160" s="200">
        <f t="shared" si="307"/>
        <v>3486906</v>
      </c>
      <c r="VE160" s="200"/>
      <c r="VF160" s="182"/>
      <c r="VG160" s="200"/>
      <c r="VH160" s="200">
        <f t="shared" si="308"/>
        <v>0</v>
      </c>
      <c r="VI160" s="200">
        <f t="shared" si="309"/>
        <v>0</v>
      </c>
      <c r="VJ160" s="200">
        <f t="shared" si="271"/>
        <v>3486906</v>
      </c>
      <c r="VK160" s="200">
        <f t="shared" si="272"/>
        <v>3486906</v>
      </c>
      <c r="VL160" s="200"/>
      <c r="VM160" s="182"/>
      <c r="VN160" s="200"/>
      <c r="VO160" s="200">
        <f t="shared" si="310"/>
        <v>328129</v>
      </c>
      <c r="VP160" s="200">
        <f t="shared" si="311"/>
        <v>3642317</v>
      </c>
      <c r="VQ160" s="200">
        <f t="shared" si="312"/>
        <v>136726</v>
      </c>
      <c r="VR160" s="200">
        <f t="shared" si="313"/>
        <v>328129</v>
      </c>
      <c r="VS160" s="200">
        <f t="shared" si="273"/>
        <v>3486906</v>
      </c>
      <c r="VT160" s="200">
        <f t="shared" si="274"/>
        <v>136726</v>
      </c>
      <c r="VU160" s="200">
        <f t="shared" si="275"/>
        <v>0</v>
      </c>
      <c r="VV160" s="200"/>
      <c r="VW160" s="182"/>
      <c r="VX160" s="200"/>
      <c r="VZ160" s="199">
        <f t="shared" si="314"/>
        <v>-155411</v>
      </c>
      <c r="WA160" s="199">
        <f t="shared" si="315"/>
        <v>-259.88461538461536</v>
      </c>
      <c r="WB160" s="131">
        <f t="shared" si="316"/>
        <v>-4.2668169739207215E-2</v>
      </c>
      <c r="WC160" s="131"/>
      <c r="WD160" s="461"/>
      <c r="WE160" s="893"/>
      <c r="WF160" s="893">
        <f t="shared" si="317"/>
        <v>6868.1806020066888</v>
      </c>
      <c r="WG160" s="893">
        <f t="shared" si="318"/>
        <v>6608.2959866220735</v>
      </c>
      <c r="WH160" s="893"/>
      <c r="WI160" s="893">
        <f t="shared" si="319"/>
        <v>3642317</v>
      </c>
      <c r="WJ160" s="893">
        <f t="shared" si="276"/>
        <v>3486906</v>
      </c>
      <c r="WK160" s="39" t="str">
        <f t="shared" si="277"/>
        <v/>
      </c>
      <c r="WL160" s="39" t="str">
        <f t="shared" si="278"/>
        <v/>
      </c>
      <c r="WM160" s="200" t="str">
        <f t="shared" si="279"/>
        <v/>
      </c>
      <c r="WN160" s="39" t="str">
        <f t="shared" si="280"/>
        <v/>
      </c>
      <c r="WO160" s="39"/>
      <c r="WP160" s="182"/>
      <c r="WQ160" s="39"/>
      <c r="WR160" s="305"/>
      <c r="WT160" s="200">
        <f t="shared" si="281"/>
        <v>6090.83110367893</v>
      </c>
      <c r="WU160" s="131">
        <f t="shared" si="320"/>
        <v>0.4</v>
      </c>
      <c r="WW160" s="199">
        <f t="shared" si="282"/>
        <v>328129</v>
      </c>
      <c r="WX160" s="199">
        <f t="shared" si="283"/>
        <v>3486906</v>
      </c>
      <c r="WY160" s="199">
        <f t="shared" si="284"/>
        <v>0</v>
      </c>
      <c r="WZ160" s="199">
        <f t="shared" si="321"/>
        <v>3486906</v>
      </c>
      <c r="XA160" s="199">
        <f t="shared" si="285"/>
        <v>0</v>
      </c>
      <c r="XB160" s="199">
        <f t="shared" si="286"/>
        <v>136726</v>
      </c>
      <c r="XC160" s="199">
        <f t="shared" si="287"/>
        <v>136726</v>
      </c>
      <c r="XD160" s="199" t="str">
        <f t="shared" si="288"/>
        <v/>
      </c>
      <c r="XE160" s="199"/>
      <c r="XF160" s="199"/>
      <c r="XG160" s="199"/>
      <c r="XH160" s="199"/>
      <c r="XI160" s="199"/>
      <c r="XJ160" s="199">
        <f t="shared" si="322"/>
        <v>3486906</v>
      </c>
      <c r="XP160" s="199">
        <f t="shared" si="289"/>
        <v>3486906</v>
      </c>
      <c r="XQ160" s="199">
        <f t="shared" si="290"/>
        <v>5830.9464882943148</v>
      </c>
      <c r="XR160" s="199">
        <f t="shared" si="291"/>
        <v>3486906</v>
      </c>
      <c r="XS160" s="199">
        <f t="shared" si="292"/>
        <v>3486906</v>
      </c>
      <c r="XT160" s="199">
        <f t="shared" si="293"/>
        <v>5830.9464882943148</v>
      </c>
      <c r="XU160" s="199">
        <f t="shared" si="294"/>
        <v>3642317</v>
      </c>
      <c r="XV160" s="199">
        <f t="shared" si="295"/>
        <v>6090.83110367893</v>
      </c>
      <c r="XW160" s="199">
        <f t="shared" si="296"/>
        <v>3642317</v>
      </c>
      <c r="XX160" s="199">
        <f t="shared" si="297"/>
        <v>6090.83110367893</v>
      </c>
      <c r="XY160" s="199">
        <f t="shared" si="323"/>
        <v>-155411</v>
      </c>
      <c r="XZ160" s="199">
        <f t="shared" si="324"/>
        <v>-259.88461538461524</v>
      </c>
      <c r="YA160" s="131">
        <f t="shared" si="338"/>
        <v>-4.2668169739207187E-2</v>
      </c>
      <c r="YB160" s="199"/>
      <c r="YC160" s="221"/>
      <c r="YD160" s="199"/>
      <c r="YE160" s="199">
        <f t="shared" si="298"/>
        <v>328129</v>
      </c>
      <c r="YF160" s="200">
        <f t="shared" si="299"/>
        <v>0</v>
      </c>
      <c r="YG160" s="199">
        <f t="shared" si="300"/>
        <v>136726</v>
      </c>
      <c r="YH160" s="199">
        <f t="shared" si="301"/>
        <v>130136</v>
      </c>
    </row>
    <row r="161" spans="1:658">
      <c r="A161" s="640">
        <v>491</v>
      </c>
      <c r="B161" s="2" t="s">
        <v>258</v>
      </c>
      <c r="C161" s="24">
        <v>0</v>
      </c>
      <c r="D161" s="39">
        <v>0</v>
      </c>
      <c r="E161" s="39">
        <v>0</v>
      </c>
      <c r="F161" s="39">
        <v>0</v>
      </c>
      <c r="G161" s="39">
        <v>0</v>
      </c>
      <c r="H161" s="39">
        <v>0</v>
      </c>
      <c r="I161" s="39">
        <v>0</v>
      </c>
      <c r="J161" s="39">
        <v>0</v>
      </c>
      <c r="K161" s="39">
        <v>0</v>
      </c>
      <c r="L161" s="24">
        <v>0</v>
      </c>
      <c r="M161" s="39">
        <v>0</v>
      </c>
      <c r="N161" s="39">
        <v>0</v>
      </c>
      <c r="O161" s="39">
        <v>0</v>
      </c>
      <c r="P161" s="39">
        <v>0</v>
      </c>
      <c r="Q161" s="39">
        <v>0</v>
      </c>
      <c r="R161" s="39">
        <v>0</v>
      </c>
      <c r="S161" s="39">
        <v>0</v>
      </c>
      <c r="T161" s="39">
        <v>0</v>
      </c>
      <c r="U161" s="39">
        <v>0</v>
      </c>
      <c r="V161" s="39">
        <v>0</v>
      </c>
      <c r="W161" s="39">
        <v>0</v>
      </c>
      <c r="X161" s="39">
        <v>0</v>
      </c>
      <c r="Y161" s="39">
        <v>0</v>
      </c>
      <c r="Z161" s="39">
        <v>0</v>
      </c>
      <c r="AA161" s="39">
        <v>0</v>
      </c>
      <c r="AB161" s="39">
        <v>0</v>
      </c>
      <c r="AC161" s="39">
        <v>0</v>
      </c>
      <c r="AD161" s="39">
        <v>0</v>
      </c>
      <c r="AE161" s="39">
        <v>0</v>
      </c>
      <c r="AF161" s="39">
        <v>0</v>
      </c>
      <c r="AG161" s="39">
        <v>0</v>
      </c>
      <c r="AH161" s="39">
        <v>0</v>
      </c>
      <c r="AI161" s="39">
        <v>0</v>
      </c>
      <c r="AJ161" s="39">
        <v>0</v>
      </c>
      <c r="AK161" s="39">
        <v>0</v>
      </c>
      <c r="AL161" s="39">
        <v>5196</v>
      </c>
      <c r="AM161" s="39">
        <v>0</v>
      </c>
      <c r="AN161" s="39">
        <v>0</v>
      </c>
      <c r="AO161" s="39">
        <v>0</v>
      </c>
      <c r="AP161" s="39">
        <v>0</v>
      </c>
      <c r="AQ161" s="39">
        <v>0</v>
      </c>
      <c r="AR161" s="39">
        <v>0</v>
      </c>
      <c r="AS161" s="39">
        <v>0</v>
      </c>
      <c r="AT161" s="39">
        <v>0</v>
      </c>
      <c r="AU161" s="39">
        <v>0</v>
      </c>
      <c r="AV161" s="39">
        <v>0</v>
      </c>
      <c r="AW161" s="39">
        <v>0</v>
      </c>
      <c r="AX161" s="39">
        <v>0</v>
      </c>
      <c r="AY161" s="39">
        <v>0</v>
      </c>
      <c r="AZ161" s="39">
        <v>0</v>
      </c>
      <c r="BA161" s="39">
        <v>0</v>
      </c>
      <c r="BB161" s="39">
        <v>0</v>
      </c>
      <c r="BC161" s="39">
        <v>0</v>
      </c>
      <c r="BD161" s="39">
        <v>0</v>
      </c>
      <c r="BE161" s="39">
        <v>0</v>
      </c>
      <c r="BF161" s="39">
        <v>0</v>
      </c>
      <c r="BG161" s="39">
        <v>0</v>
      </c>
      <c r="BH161" s="39">
        <v>0</v>
      </c>
      <c r="BI161" s="39">
        <v>0</v>
      </c>
      <c r="BJ161" s="39">
        <v>0</v>
      </c>
      <c r="BK161" s="39">
        <v>0</v>
      </c>
      <c r="BL161" s="39">
        <v>0</v>
      </c>
      <c r="BM161" s="39">
        <v>0</v>
      </c>
      <c r="BN161" s="39">
        <v>0</v>
      </c>
      <c r="BO161" s="39">
        <v>0</v>
      </c>
      <c r="BP161" s="39">
        <v>0</v>
      </c>
      <c r="BQ161" s="39">
        <v>187</v>
      </c>
      <c r="BR161" s="39">
        <v>88</v>
      </c>
      <c r="BS161" s="39">
        <v>0</v>
      </c>
      <c r="BT161" s="39">
        <v>0</v>
      </c>
      <c r="BU161" s="39">
        <v>0</v>
      </c>
      <c r="BV161" s="39">
        <v>0</v>
      </c>
      <c r="BW161" s="39">
        <v>0</v>
      </c>
      <c r="BX161" s="39">
        <v>0</v>
      </c>
      <c r="BY161" s="39">
        <v>0</v>
      </c>
      <c r="BZ161" s="39">
        <v>0</v>
      </c>
      <c r="CA161" s="39">
        <v>0</v>
      </c>
      <c r="CB161" s="39">
        <v>0</v>
      </c>
      <c r="CC161" s="39">
        <v>0</v>
      </c>
      <c r="CD161" s="39">
        <v>0</v>
      </c>
      <c r="CE161" s="39">
        <v>0</v>
      </c>
      <c r="CF161" s="39">
        <v>36168</v>
      </c>
      <c r="CG161" s="39">
        <v>0</v>
      </c>
      <c r="CH161" s="39">
        <v>0</v>
      </c>
      <c r="CI161" s="39">
        <v>0</v>
      </c>
      <c r="CJ161" s="39">
        <v>0</v>
      </c>
      <c r="CK161" s="39">
        <v>0</v>
      </c>
      <c r="CL161" s="39">
        <v>0</v>
      </c>
      <c r="CM161" s="39">
        <v>0</v>
      </c>
      <c r="CN161" s="39">
        <v>0</v>
      </c>
      <c r="CO161" s="39">
        <v>0</v>
      </c>
      <c r="CP161" s="39">
        <v>0</v>
      </c>
      <c r="CQ161" s="39">
        <v>0</v>
      </c>
      <c r="CR161" s="39">
        <v>0</v>
      </c>
      <c r="CS161" s="39">
        <v>82430</v>
      </c>
      <c r="CT161" s="39">
        <v>0</v>
      </c>
      <c r="CU161" s="39">
        <v>0</v>
      </c>
      <c r="CV161" s="39">
        <v>0</v>
      </c>
      <c r="CW161" s="39">
        <v>0</v>
      </c>
      <c r="CX161" s="39">
        <v>0</v>
      </c>
      <c r="CY161" s="39">
        <v>0</v>
      </c>
      <c r="CZ161" s="39">
        <v>0</v>
      </c>
      <c r="DA161" s="39">
        <v>0</v>
      </c>
      <c r="DB161" s="39">
        <v>0</v>
      </c>
      <c r="DC161" s="39">
        <v>0</v>
      </c>
      <c r="DD161" s="39">
        <v>0</v>
      </c>
      <c r="DE161" s="39">
        <v>0</v>
      </c>
      <c r="DF161" s="39">
        <v>0</v>
      </c>
      <c r="DG161" s="39">
        <v>0</v>
      </c>
      <c r="DH161" s="39">
        <v>0</v>
      </c>
      <c r="DI161" s="39">
        <v>0</v>
      </c>
      <c r="DJ161" s="39">
        <v>0</v>
      </c>
      <c r="DK161" s="39">
        <v>0</v>
      </c>
      <c r="DL161" s="39">
        <v>0</v>
      </c>
      <c r="DM161" s="39">
        <v>0</v>
      </c>
      <c r="DN161" s="39">
        <v>0</v>
      </c>
      <c r="DO161" s="39">
        <v>0</v>
      </c>
      <c r="DP161" s="39">
        <v>0</v>
      </c>
      <c r="DQ161" s="39">
        <v>0</v>
      </c>
      <c r="DR161" s="39">
        <v>0</v>
      </c>
      <c r="DS161" s="39">
        <v>0</v>
      </c>
      <c r="DT161" s="39">
        <v>0</v>
      </c>
      <c r="DU161" s="39">
        <v>14852</v>
      </c>
      <c r="DV161" s="39">
        <v>0</v>
      </c>
      <c r="DW161" s="39">
        <v>0</v>
      </c>
      <c r="DX161" s="39">
        <v>0</v>
      </c>
      <c r="DY161" s="39">
        <v>0</v>
      </c>
      <c r="DZ161" s="39">
        <v>0</v>
      </c>
      <c r="EA161" s="39">
        <v>0</v>
      </c>
      <c r="EB161" s="39">
        <v>0</v>
      </c>
      <c r="EC161" s="39">
        <v>0</v>
      </c>
      <c r="ED161" s="39">
        <v>0</v>
      </c>
      <c r="EE161" s="39">
        <v>0</v>
      </c>
      <c r="EF161" s="39">
        <v>0</v>
      </c>
      <c r="EG161" s="39">
        <v>40564</v>
      </c>
      <c r="EH161" s="39">
        <v>0</v>
      </c>
      <c r="EI161" s="39">
        <v>0</v>
      </c>
      <c r="EJ161" s="39">
        <v>0</v>
      </c>
      <c r="EK161" s="39">
        <v>0</v>
      </c>
      <c r="EL161" s="39">
        <v>0</v>
      </c>
      <c r="EM161" s="39">
        <v>0</v>
      </c>
      <c r="EN161" s="39">
        <v>0</v>
      </c>
      <c r="EO161" s="39">
        <v>0</v>
      </c>
      <c r="EP161" s="39">
        <v>0</v>
      </c>
      <c r="EQ161" s="39">
        <v>0</v>
      </c>
      <c r="ER161" s="39">
        <v>0</v>
      </c>
      <c r="ES161" s="39">
        <v>0</v>
      </c>
      <c r="ET161" s="39">
        <v>0</v>
      </c>
      <c r="EU161" s="39">
        <v>0</v>
      </c>
      <c r="EV161" s="39">
        <v>0</v>
      </c>
      <c r="EW161" s="39">
        <v>0</v>
      </c>
      <c r="EX161" s="39">
        <v>0</v>
      </c>
      <c r="EY161" s="39">
        <v>140000</v>
      </c>
      <c r="EZ161" s="39">
        <v>0</v>
      </c>
      <c r="FA161" s="39">
        <v>0</v>
      </c>
      <c r="FB161" s="39">
        <v>0</v>
      </c>
      <c r="FC161" s="39">
        <v>0</v>
      </c>
      <c r="FD161" s="39">
        <v>0</v>
      </c>
      <c r="FE161" s="39">
        <v>45001</v>
      </c>
      <c r="FF161" s="39">
        <v>17160</v>
      </c>
      <c r="FG161" s="39">
        <v>0</v>
      </c>
      <c r="FH161" s="39">
        <v>0</v>
      </c>
      <c r="FI161" s="39">
        <v>0</v>
      </c>
      <c r="FJ161" s="39">
        <v>0</v>
      </c>
      <c r="FK161" s="39">
        <v>0</v>
      </c>
      <c r="FL161" s="39">
        <v>315</v>
      </c>
      <c r="FM161" s="39">
        <v>0</v>
      </c>
      <c r="FN161" s="39">
        <v>0</v>
      </c>
      <c r="FO161" s="39">
        <v>0</v>
      </c>
      <c r="FP161" s="39">
        <v>0</v>
      </c>
      <c r="FQ161" s="39">
        <v>0</v>
      </c>
      <c r="FR161" s="39">
        <v>0</v>
      </c>
      <c r="FS161" s="39">
        <v>0</v>
      </c>
      <c r="FT161" s="39">
        <v>0</v>
      </c>
      <c r="FU161" s="39">
        <v>0</v>
      </c>
      <c r="FV161" s="39">
        <v>0</v>
      </c>
      <c r="FW161" s="39">
        <v>0</v>
      </c>
      <c r="FX161" s="39">
        <v>0</v>
      </c>
      <c r="FY161" s="39">
        <v>0</v>
      </c>
      <c r="FZ161" s="39">
        <v>0</v>
      </c>
      <c r="GA161" s="39">
        <v>0</v>
      </c>
      <c r="GB161" s="39">
        <v>0</v>
      </c>
      <c r="GC161" s="39">
        <v>0</v>
      </c>
      <c r="GD161" s="39">
        <v>0</v>
      </c>
      <c r="GE161" s="39">
        <v>0</v>
      </c>
      <c r="GF161" s="39">
        <v>0</v>
      </c>
      <c r="GG161" s="39">
        <v>0</v>
      </c>
      <c r="GH161" s="39">
        <v>0</v>
      </c>
      <c r="GI161" s="39">
        <v>0</v>
      </c>
      <c r="GJ161" s="39">
        <v>0</v>
      </c>
      <c r="GK161" s="39">
        <v>0</v>
      </c>
      <c r="GL161" s="39">
        <v>0</v>
      </c>
      <c r="GM161" s="39">
        <v>0</v>
      </c>
      <c r="GN161" s="39">
        <v>0</v>
      </c>
      <c r="GO161" s="39">
        <v>0</v>
      </c>
      <c r="GP161" s="39">
        <v>0</v>
      </c>
      <c r="GQ161" s="39">
        <v>0</v>
      </c>
      <c r="GR161" s="39">
        <v>0</v>
      </c>
      <c r="GS161" s="39">
        <v>0</v>
      </c>
      <c r="GT161" s="39">
        <v>0</v>
      </c>
      <c r="GU161" s="39">
        <v>0</v>
      </c>
      <c r="GV161" s="39">
        <v>0</v>
      </c>
      <c r="GW161" s="39">
        <v>0</v>
      </c>
      <c r="GX161" s="39">
        <v>0</v>
      </c>
      <c r="GY161" s="39">
        <v>0</v>
      </c>
      <c r="GZ161" s="39">
        <v>0</v>
      </c>
      <c r="HA161" s="39">
        <v>0</v>
      </c>
      <c r="HB161" s="39">
        <v>0</v>
      </c>
      <c r="HC161" s="39">
        <v>0</v>
      </c>
      <c r="HD161" s="39">
        <v>3418168</v>
      </c>
      <c r="HE161" s="39">
        <v>0</v>
      </c>
      <c r="HF161" s="39">
        <v>0</v>
      </c>
      <c r="HG161" s="39">
        <v>0</v>
      </c>
      <c r="HH161" s="39">
        <v>0</v>
      </c>
      <c r="HI161" s="39">
        <v>0</v>
      </c>
      <c r="HJ161" s="39">
        <v>0</v>
      </c>
      <c r="HK161" s="39">
        <v>0</v>
      </c>
      <c r="HL161" s="39">
        <v>0</v>
      </c>
      <c r="HM161" s="39">
        <v>0</v>
      </c>
      <c r="HN161" s="39">
        <v>0</v>
      </c>
      <c r="HO161" s="39">
        <v>452518</v>
      </c>
      <c r="HP161" s="39">
        <v>287083</v>
      </c>
      <c r="HQ161" s="39">
        <v>0</v>
      </c>
      <c r="HR161" s="39">
        <v>0</v>
      </c>
      <c r="HS161" s="39">
        <v>0</v>
      </c>
      <c r="HT161" s="39">
        <v>0</v>
      </c>
      <c r="HU161" s="39">
        <v>0</v>
      </c>
      <c r="HV161" s="39">
        <v>0</v>
      </c>
      <c r="HW161" s="39">
        <v>0</v>
      </c>
      <c r="HX161" s="39">
        <v>0</v>
      </c>
      <c r="HY161" s="39">
        <v>0</v>
      </c>
      <c r="HZ161" s="39">
        <v>0</v>
      </c>
      <c r="IA161" s="39">
        <v>42703</v>
      </c>
      <c r="IB161" s="39">
        <v>11038</v>
      </c>
      <c r="IC161" s="39">
        <v>0</v>
      </c>
      <c r="ID161" s="39">
        <v>0</v>
      </c>
      <c r="IE161" s="39">
        <v>0</v>
      </c>
      <c r="IF161" s="39">
        <v>0</v>
      </c>
      <c r="IG161" s="39">
        <v>0</v>
      </c>
      <c r="IH161" s="39">
        <v>0</v>
      </c>
      <c r="II161" s="39">
        <v>0</v>
      </c>
      <c r="IJ161" s="39">
        <v>0</v>
      </c>
      <c r="IK161" s="39">
        <v>0</v>
      </c>
      <c r="IL161" s="39">
        <v>0</v>
      </c>
      <c r="IM161" s="39">
        <v>0</v>
      </c>
      <c r="IN161" s="39">
        <v>0</v>
      </c>
      <c r="IO161" s="39">
        <v>0</v>
      </c>
      <c r="IP161" s="39">
        <v>0</v>
      </c>
      <c r="IQ161" s="39">
        <v>0</v>
      </c>
      <c r="IR161" s="39">
        <v>0</v>
      </c>
      <c r="IS161" s="39">
        <v>0</v>
      </c>
      <c r="IT161" s="39">
        <v>0</v>
      </c>
      <c r="IU161" s="39">
        <v>0</v>
      </c>
      <c r="IV161" s="39">
        <v>0</v>
      </c>
      <c r="IW161" s="39">
        <v>0</v>
      </c>
      <c r="IX161" s="39">
        <v>0</v>
      </c>
      <c r="IY161" s="39">
        <v>0</v>
      </c>
      <c r="IZ161" s="39">
        <v>42267</v>
      </c>
      <c r="JA161" s="39">
        <v>0</v>
      </c>
      <c r="JB161" s="39">
        <v>0</v>
      </c>
      <c r="JC161" s="39">
        <v>0</v>
      </c>
      <c r="JD161" s="39">
        <v>0</v>
      </c>
      <c r="JE161" s="39">
        <v>0</v>
      </c>
      <c r="JF161" s="39">
        <v>0</v>
      </c>
      <c r="JG161" s="39">
        <v>0</v>
      </c>
      <c r="JH161" s="39">
        <v>0</v>
      </c>
      <c r="JI161" s="39">
        <v>0</v>
      </c>
      <c r="JJ161" s="39">
        <v>0</v>
      </c>
      <c r="JK161" s="39">
        <v>0</v>
      </c>
      <c r="JL161" s="39">
        <v>0</v>
      </c>
      <c r="JM161" s="39">
        <v>0</v>
      </c>
      <c r="JN161" s="39">
        <v>0</v>
      </c>
      <c r="JO161" s="39">
        <v>0</v>
      </c>
      <c r="JP161" s="39">
        <v>0</v>
      </c>
      <c r="JQ161" s="39">
        <v>0</v>
      </c>
      <c r="JR161" s="39">
        <v>0</v>
      </c>
      <c r="JS161" s="39">
        <v>0</v>
      </c>
      <c r="JT161" s="39">
        <v>0</v>
      </c>
      <c r="JU161" s="39">
        <v>0</v>
      </c>
      <c r="JV161" s="39">
        <v>0</v>
      </c>
      <c r="JW161" s="39">
        <v>0</v>
      </c>
      <c r="JX161" s="39">
        <v>0</v>
      </c>
      <c r="JY161" s="39">
        <v>0</v>
      </c>
      <c r="JZ161" s="39">
        <v>0</v>
      </c>
      <c r="KA161" s="39">
        <v>0</v>
      </c>
      <c r="KB161" s="39">
        <v>0</v>
      </c>
      <c r="KC161" s="39">
        <v>0</v>
      </c>
      <c r="KD161" s="39">
        <v>0</v>
      </c>
      <c r="KE161" s="39">
        <v>0</v>
      </c>
      <c r="KF161" s="39">
        <v>0</v>
      </c>
      <c r="KG161" s="39">
        <v>0</v>
      </c>
      <c r="KH161" s="39">
        <v>0</v>
      </c>
      <c r="KI161" s="39">
        <v>0</v>
      </c>
      <c r="KJ161" s="39">
        <v>0</v>
      </c>
      <c r="KK161" s="39">
        <v>0</v>
      </c>
      <c r="KL161" s="39">
        <v>0</v>
      </c>
      <c r="KM161" s="39">
        <v>0</v>
      </c>
      <c r="KN161" s="39">
        <v>0</v>
      </c>
      <c r="KO161" s="39">
        <v>0</v>
      </c>
      <c r="KP161" s="39">
        <v>0</v>
      </c>
      <c r="KQ161" s="39">
        <v>2339</v>
      </c>
      <c r="KR161" s="39">
        <v>0</v>
      </c>
      <c r="KS161" s="39">
        <v>0</v>
      </c>
      <c r="KT161" s="39">
        <v>0</v>
      </c>
      <c r="KU161" s="39">
        <v>0</v>
      </c>
      <c r="KV161" s="39">
        <v>0</v>
      </c>
      <c r="KW161" s="39">
        <v>0</v>
      </c>
      <c r="KX161" s="39">
        <v>0</v>
      </c>
      <c r="KY161" s="39">
        <v>0</v>
      </c>
      <c r="KZ161" s="39">
        <v>0</v>
      </c>
      <c r="LA161" s="39">
        <v>0</v>
      </c>
      <c r="LB161" s="39">
        <v>0</v>
      </c>
      <c r="LC161" s="39">
        <v>0</v>
      </c>
      <c r="LD161" s="39">
        <v>0</v>
      </c>
      <c r="LE161" s="39">
        <v>0</v>
      </c>
      <c r="LF161" s="39">
        <v>0</v>
      </c>
      <c r="LG161" s="39">
        <v>0</v>
      </c>
      <c r="LH161" s="39">
        <v>0</v>
      </c>
      <c r="LI161" s="39">
        <v>0</v>
      </c>
      <c r="LJ161" s="39">
        <v>0</v>
      </c>
      <c r="LK161" s="39">
        <v>0</v>
      </c>
      <c r="LL161" s="39">
        <v>0</v>
      </c>
      <c r="LM161" s="39">
        <v>0</v>
      </c>
      <c r="LN161" s="39">
        <v>0</v>
      </c>
      <c r="LO161" s="39">
        <v>0</v>
      </c>
      <c r="LP161" s="39">
        <v>0</v>
      </c>
      <c r="LQ161" s="39">
        <v>0</v>
      </c>
      <c r="LR161" s="39">
        <v>0</v>
      </c>
      <c r="LS161" s="39">
        <v>0</v>
      </c>
      <c r="LT161" s="39">
        <v>0</v>
      </c>
      <c r="LU161" s="39">
        <v>0</v>
      </c>
      <c r="LV161" s="39">
        <v>0</v>
      </c>
      <c r="LW161" s="39">
        <v>0</v>
      </c>
      <c r="LX161" s="39">
        <v>0</v>
      </c>
      <c r="LY161" s="39">
        <v>0</v>
      </c>
      <c r="LZ161" s="39">
        <v>0</v>
      </c>
      <c r="MA161" s="39">
        <v>0</v>
      </c>
      <c r="MB161" s="39">
        <v>0</v>
      </c>
      <c r="MC161" s="39">
        <v>0</v>
      </c>
      <c r="MD161" s="39">
        <v>0</v>
      </c>
      <c r="ME161" s="39">
        <v>0</v>
      </c>
      <c r="MF161" s="39">
        <v>0</v>
      </c>
      <c r="MG161" s="39">
        <v>0</v>
      </c>
      <c r="MH161" s="39">
        <v>0</v>
      </c>
      <c r="MI161" s="39">
        <v>0</v>
      </c>
      <c r="MJ161" s="39">
        <v>0</v>
      </c>
      <c r="MK161" s="39">
        <v>0</v>
      </c>
      <c r="ML161" s="39">
        <v>0</v>
      </c>
      <c r="MM161" s="39">
        <v>0</v>
      </c>
      <c r="MN161" s="39">
        <v>0</v>
      </c>
      <c r="MO161" s="39">
        <v>0</v>
      </c>
      <c r="MP161" s="39">
        <v>0</v>
      </c>
      <c r="MQ161" s="39">
        <v>0</v>
      </c>
      <c r="MR161" s="39">
        <v>0</v>
      </c>
      <c r="MS161" s="39">
        <v>0</v>
      </c>
      <c r="MT161" s="39">
        <v>0</v>
      </c>
      <c r="MU161" s="39">
        <v>0</v>
      </c>
      <c r="MV161" s="39">
        <v>0</v>
      </c>
      <c r="MW161" s="39">
        <v>35037</v>
      </c>
      <c r="MX161" s="39">
        <v>0</v>
      </c>
      <c r="MY161" s="39">
        <v>0</v>
      </c>
      <c r="MZ161" s="39">
        <v>0</v>
      </c>
      <c r="NA161" s="39">
        <v>0</v>
      </c>
      <c r="NB161" s="39">
        <v>0</v>
      </c>
      <c r="NC161" s="39">
        <v>0</v>
      </c>
      <c r="ND161" s="39">
        <v>0</v>
      </c>
      <c r="NE161" s="39">
        <v>0</v>
      </c>
      <c r="NF161" s="39">
        <v>0</v>
      </c>
      <c r="NG161" s="39">
        <v>0</v>
      </c>
      <c r="NH161" s="39">
        <v>0</v>
      </c>
      <c r="NI161" s="39">
        <v>0</v>
      </c>
      <c r="NJ161" s="39">
        <v>0</v>
      </c>
      <c r="NK161" s="39">
        <v>0</v>
      </c>
      <c r="NL161" s="39">
        <v>0</v>
      </c>
      <c r="NM161" s="39">
        <v>0</v>
      </c>
      <c r="NN161" s="39">
        <v>0</v>
      </c>
      <c r="NO161" s="39">
        <v>0</v>
      </c>
      <c r="NP161" s="39">
        <v>0</v>
      </c>
      <c r="NQ161" s="39">
        <v>0</v>
      </c>
      <c r="NR161" s="39">
        <v>0</v>
      </c>
      <c r="NS161" s="39">
        <v>0</v>
      </c>
      <c r="NT161" s="39">
        <v>0</v>
      </c>
      <c r="NU161" s="39">
        <v>0</v>
      </c>
      <c r="NV161" s="39">
        <v>0</v>
      </c>
      <c r="NW161" s="39">
        <v>0</v>
      </c>
      <c r="NX161" s="39">
        <v>0</v>
      </c>
      <c r="NY161" s="39">
        <v>0</v>
      </c>
      <c r="NZ161" s="39">
        <v>0</v>
      </c>
      <c r="OA161" s="39">
        <v>0</v>
      </c>
      <c r="OB161" s="39">
        <v>0</v>
      </c>
      <c r="OC161" s="39">
        <v>0</v>
      </c>
      <c r="OD161" s="39">
        <v>0</v>
      </c>
      <c r="OE161" s="39">
        <v>0</v>
      </c>
      <c r="OF161" s="39">
        <v>0</v>
      </c>
      <c r="OG161" s="39">
        <v>0</v>
      </c>
      <c r="OH161" s="39">
        <v>0</v>
      </c>
      <c r="OI161" s="39">
        <v>0</v>
      </c>
      <c r="OJ161" s="39">
        <v>0</v>
      </c>
      <c r="OK161" s="39">
        <v>0</v>
      </c>
      <c r="OL161" s="39">
        <v>0</v>
      </c>
      <c r="OM161" s="39">
        <v>0</v>
      </c>
      <c r="ON161" s="39">
        <v>0</v>
      </c>
      <c r="OO161" s="39">
        <v>0</v>
      </c>
      <c r="OP161" s="39">
        <v>0</v>
      </c>
      <c r="OQ161" s="39">
        <v>0</v>
      </c>
      <c r="OR161" s="39">
        <v>500000</v>
      </c>
      <c r="OS161" s="39">
        <v>0</v>
      </c>
      <c r="OT161" s="39">
        <v>0</v>
      </c>
      <c r="OU161" s="39">
        <v>0</v>
      </c>
      <c r="OV161" s="39">
        <v>0</v>
      </c>
      <c r="OW161" s="39">
        <v>0</v>
      </c>
      <c r="OX161" s="39">
        <v>0</v>
      </c>
      <c r="OY161" s="39">
        <v>0</v>
      </c>
      <c r="OZ161" s="39">
        <v>0</v>
      </c>
      <c r="PA161" s="39">
        <v>0</v>
      </c>
      <c r="PB161" s="39">
        <v>0</v>
      </c>
      <c r="PC161" s="39">
        <v>0</v>
      </c>
      <c r="PD161" s="39">
        <v>0</v>
      </c>
      <c r="PE161" s="39">
        <v>0</v>
      </c>
      <c r="PF161" s="39">
        <v>0</v>
      </c>
      <c r="PG161" s="39">
        <v>0</v>
      </c>
      <c r="PH161" s="39">
        <v>10000</v>
      </c>
      <c r="PI161" s="39">
        <v>0</v>
      </c>
      <c r="PJ161" s="39">
        <v>0</v>
      </c>
      <c r="PK161" s="39">
        <v>0</v>
      </c>
      <c r="PL161" s="39">
        <v>0</v>
      </c>
      <c r="PM161" s="39">
        <v>0</v>
      </c>
      <c r="PN161" s="39">
        <v>0</v>
      </c>
      <c r="PO161" s="39">
        <v>0</v>
      </c>
      <c r="PP161" s="39">
        <v>0</v>
      </c>
      <c r="PQ161" s="39">
        <v>0</v>
      </c>
      <c r="PR161" s="39">
        <v>0</v>
      </c>
      <c r="PS161" s="39">
        <v>0</v>
      </c>
      <c r="PT161" s="39">
        <v>0</v>
      </c>
      <c r="PU161" s="39">
        <v>0</v>
      </c>
      <c r="PV161" s="39">
        <v>0</v>
      </c>
      <c r="PW161" s="39">
        <v>0</v>
      </c>
      <c r="PX161" s="39">
        <v>0</v>
      </c>
      <c r="PY161" s="39">
        <v>0</v>
      </c>
      <c r="PZ161" s="39">
        <v>0</v>
      </c>
      <c r="QA161" s="39">
        <v>0</v>
      </c>
      <c r="QB161" s="39">
        <v>0</v>
      </c>
      <c r="QC161" s="39">
        <v>0</v>
      </c>
      <c r="QD161" s="39">
        <v>0</v>
      </c>
      <c r="QE161" s="39">
        <v>0</v>
      </c>
      <c r="QF161" s="39">
        <v>0</v>
      </c>
      <c r="QG161" s="39">
        <v>0</v>
      </c>
      <c r="QH161" s="39">
        <v>0</v>
      </c>
      <c r="QI161" s="39">
        <v>0</v>
      </c>
      <c r="QJ161" s="39">
        <v>0</v>
      </c>
      <c r="QK161" s="39">
        <v>0</v>
      </c>
      <c r="QL161" s="39">
        <v>0</v>
      </c>
      <c r="QM161" s="39">
        <v>0</v>
      </c>
      <c r="QN161" s="39">
        <v>0</v>
      </c>
      <c r="QO161" s="39">
        <v>0</v>
      </c>
      <c r="QP161" s="39">
        <v>0</v>
      </c>
      <c r="QQ161" s="39">
        <v>0</v>
      </c>
      <c r="QR161" s="39">
        <v>0</v>
      </c>
      <c r="QS161" s="39">
        <v>0</v>
      </c>
      <c r="QT161" s="39">
        <v>0</v>
      </c>
      <c r="QU161" s="39">
        <v>749542</v>
      </c>
      <c r="QV161" s="39">
        <v>0</v>
      </c>
      <c r="QW161" s="39">
        <v>0</v>
      </c>
      <c r="QX161" s="39">
        <v>167</v>
      </c>
      <c r="QY161" s="39">
        <v>0</v>
      </c>
      <c r="QZ161" s="39">
        <v>0</v>
      </c>
      <c r="RA161" s="39">
        <v>0</v>
      </c>
      <c r="RB161" s="39">
        <v>0</v>
      </c>
      <c r="RC161" s="913">
        <v>2</v>
      </c>
      <c r="RG161" s="39">
        <f t="shared" si="339"/>
        <v>3418168</v>
      </c>
      <c r="RH161" s="39">
        <f t="shared" si="339"/>
        <v>0</v>
      </c>
      <c r="RI161" s="39">
        <f t="shared" si="339"/>
        <v>0</v>
      </c>
      <c r="RJ161" s="39">
        <f t="shared" si="339"/>
        <v>0</v>
      </c>
      <c r="RK161" s="39">
        <f t="shared" si="339"/>
        <v>0</v>
      </c>
      <c r="RL161" s="39">
        <f t="shared" si="339"/>
        <v>452518</v>
      </c>
      <c r="RM161" s="39">
        <f t="shared" si="339"/>
        <v>340824</v>
      </c>
      <c r="RN161" s="39">
        <f t="shared" si="339"/>
        <v>0</v>
      </c>
      <c r="RO161" s="39">
        <f t="shared" si="339"/>
        <v>0</v>
      </c>
      <c r="RP161" s="39">
        <f t="shared" si="339"/>
        <v>42267</v>
      </c>
      <c r="RQ161" s="39">
        <f t="shared" si="339"/>
        <v>0</v>
      </c>
      <c r="RR161" s="39">
        <f t="shared" si="325"/>
        <v>0</v>
      </c>
      <c r="RS161" s="39"/>
      <c r="RT161" s="182"/>
      <c r="RU161" s="39"/>
      <c r="RV161" s="39">
        <f t="shared" si="302"/>
        <v>37376</v>
      </c>
      <c r="RW161" s="39">
        <f t="shared" si="302"/>
        <v>4253777</v>
      </c>
      <c r="RX161" s="39">
        <f t="shared" si="302"/>
        <v>381961</v>
      </c>
      <c r="RY161" s="39">
        <f t="shared" si="302"/>
        <v>1259709</v>
      </c>
      <c r="RZ161" s="39"/>
      <c r="SA161" s="182"/>
      <c r="SB161" s="39"/>
      <c r="SC161" s="25">
        <f t="shared" si="303"/>
        <v>529.76560332871009</v>
      </c>
      <c r="SD161" s="39">
        <f>IFERROR(VLOOKUP(A161, 'Levy Data 15-16'!$B:$O, 3, FALSE), 0)</f>
        <v>0</v>
      </c>
      <c r="SE161" s="39">
        <f t="shared" si="265"/>
        <v>0</v>
      </c>
      <c r="SF161" s="631">
        <f>IFERROR(VLOOKUP(A161, 'Levy Data 15-16'!$B:$O, 14, FALSE), 0)*1000</f>
        <v>0</v>
      </c>
      <c r="SG161" s="39">
        <f t="shared" si="266"/>
        <v>0</v>
      </c>
      <c r="SH161" s="39">
        <f t="shared" si="267"/>
        <v>0</v>
      </c>
      <c r="SI161" s="39">
        <f t="shared" si="268"/>
        <v>381961</v>
      </c>
      <c r="SM161" s="39">
        <f t="shared" si="269"/>
        <v>4253777</v>
      </c>
      <c r="SN161" s="39">
        <f t="shared" si="270"/>
        <v>0</v>
      </c>
      <c r="SO161" s="39">
        <f t="shared" si="304"/>
        <v>4253777</v>
      </c>
      <c r="SP161" s="50">
        <f t="shared" si="326"/>
        <v>1</v>
      </c>
      <c r="ST161" s="124">
        <f>IFERROR(VLOOKUP(A161,'Grade Enroll 15-16'!B:AC,27,FALSE),"")</f>
        <v>721</v>
      </c>
      <c r="SU161" s="124">
        <f t="shared" si="327"/>
        <v>0</v>
      </c>
      <c r="SV161" s="131">
        <f>IFERROR(VLOOKUP($A161, 'Title I Enroll 16-17'!S:V, 4, FALSE), 0)</f>
        <v>0</v>
      </c>
      <c r="SW161" s="729">
        <f>IFERROR(VLOOKUP(A161, 'ELL Enroll 15-16'!$N:$S, 6, FALSE), 0)</f>
        <v>5</v>
      </c>
      <c r="SX161" s="131">
        <f t="shared" si="328"/>
        <v>6.9348127600554789E-3</v>
      </c>
      <c r="SY161" s="124">
        <f>IFERROR(VLOOKUP(A161, 'SPED enroll 2015-16'!$M:$O, 3, FALSE), 0)</f>
        <v>5</v>
      </c>
      <c r="SZ161" s="131">
        <f t="shared" si="329"/>
        <v>6.9348127600554789E-3</v>
      </c>
      <c r="TA161" s="142">
        <f t="shared" si="340"/>
        <v>3.5</v>
      </c>
      <c r="TB161" s="142">
        <f t="shared" si="340"/>
        <v>1</v>
      </c>
      <c r="TC161" s="142">
        <f t="shared" si="340"/>
        <v>0.35000000000000003</v>
      </c>
      <c r="TD161" s="142">
        <f t="shared" si="340"/>
        <v>0.15</v>
      </c>
      <c r="TE161" s="124">
        <f>VLOOKUP($A161, 'Grade Enroll 15-16'!$B:$AB, 20, FALSE)</f>
        <v>0</v>
      </c>
      <c r="TF161" s="124">
        <f>VLOOKUP($A161, 'Grade Enroll 15-16'!$B:$AB, 21, FALSE)</f>
        <v>0</v>
      </c>
      <c r="TG161" s="124">
        <f>VLOOKUP($A161, 'Grade Enroll 15-16'!$B:$AB, 22, FALSE)</f>
        <v>0</v>
      </c>
      <c r="TH161" s="124">
        <f>VLOOKUP($A161, 'Grade Enroll 15-16'!$B:$AB, 23, FALSE)</f>
        <v>162</v>
      </c>
      <c r="TI161" s="124">
        <f>VLOOKUP($A161, 'Grade Enroll 15-16'!$B:$AB, 24, FALSE)</f>
        <v>258</v>
      </c>
      <c r="TJ161" s="124">
        <f>VLOOKUP($A161, 'Grade Enroll 15-16'!$B:$AB, 25, FALSE)</f>
        <v>301</v>
      </c>
      <c r="TK161" s="124">
        <f>VLOOKUP($A161, 'Grade Enroll 15-16'!$B:$AB, 26, FALSE)</f>
        <v>582</v>
      </c>
      <c r="TL161" s="131">
        <f>SUMIFS('Student Achievement 15-16'!N:N, 'Student Achievement 15-16'!B:B, 'Idaho Data'!A161, 'Student Achievement 15-16'!D:D, "math")/100</f>
        <v>2.1000000000000001E-2</v>
      </c>
      <c r="TM161" s="134">
        <f t="shared" si="305"/>
        <v>15.141000000000002</v>
      </c>
      <c r="TN161" s="131">
        <f>SUMIFS('Student Achievement 15-16'!N:N, 'Student Achievement 15-16'!B:B, 'Idaho Data'!A161, 'Student Achievement 15-16'!D:D, "ela")/100</f>
        <v>0.05</v>
      </c>
      <c r="TO161" s="135">
        <f t="shared" si="330"/>
        <v>36.050000000000004</v>
      </c>
      <c r="TP161" s="688">
        <f>IFERROR(VLOOKUP(A161, 'G&amp;T 15-16'!B:G, 6, FALSE), 0)*1</f>
        <v>0</v>
      </c>
      <c r="TQ161" s="168">
        <f t="shared" si="331"/>
        <v>43.26</v>
      </c>
      <c r="TU161" s="168">
        <f t="shared" si="332"/>
        <v>15.141000000000002</v>
      </c>
      <c r="TV161" s="168">
        <f t="shared" si="333"/>
        <v>36.050000000000004</v>
      </c>
      <c r="TW161" s="205">
        <f t="shared" si="334"/>
        <v>36.050000000000004</v>
      </c>
      <c r="TX161" s="144"/>
      <c r="TY161" s="514"/>
      <c r="TZ161" s="127">
        <f t="shared" si="335"/>
        <v>0</v>
      </c>
      <c r="UA161" s="127">
        <f t="shared" si="336"/>
        <v>43.26</v>
      </c>
      <c r="UB161" s="205">
        <f t="shared" si="337"/>
        <v>43.26</v>
      </c>
      <c r="UE161" s="853" t="str">
        <f>IF(ST161&lt;='1. Simulator Input'!$E$104, "yes", "")</f>
        <v/>
      </c>
      <c r="UI161" s="199">
        <f t="shared" si="306"/>
        <v>0</v>
      </c>
      <c r="UJ161" s="200">
        <f>IF('Idaho Data'!SI161&gt;=0, ((1-'1. Simulator Input'!$E$39)*'Idaho Data'!SI161), 0)</f>
        <v>0</v>
      </c>
      <c r="UK161" s="200">
        <f t="shared" si="262"/>
        <v>4253777</v>
      </c>
      <c r="UL161" s="39"/>
      <c r="UM161" s="182"/>
      <c r="UN161" s="39"/>
      <c r="UO161" s="39" t="str">
        <f>IF(AND('1. Simulator Input'!$E$96="yes", '1. Simulator Input'!$E$98="yes", '1. Simulator Input'!$E$100="hold harmless"), 'Idaho Data'!WN161, IF(AND('1. Simulator Input'!$E$96="yes", '1. Simulator Input'!$E$98="no", '1. Simulator Input'!$E$100="hold harmless"), 'Idaho Data'!WM161, IF(AND('1. Simulator Input'!$E$96="yes", '1. Simulator Input'!$E$98="yes", '1. Simulator Input'!$E$100="small district grant"), WL161,IF(AND('1. Simulator Input'!$E$96="yes", '1. Simulator Input'!$E$98="no", '1. Simulator Input'!$E$100="small district grant"), WK161, ""))))</f>
        <v/>
      </c>
      <c r="UP161" s="200">
        <f>'1. Simulator Input'!$D$56*('Idaho Data'!ST161)</f>
        <v>3984246</v>
      </c>
      <c r="UQ161" s="204">
        <f>'1. Simulator Input'!$D$65*'1. Simulator Input'!$D$56*'Idaho Data'!SU161</f>
        <v>0</v>
      </c>
      <c r="UR161" s="204">
        <f>'1. Simulator Input'!$D$66*'1. Simulator Input'!$D$56*'Idaho Data'!SW161</f>
        <v>0</v>
      </c>
      <c r="US161" s="200">
        <f>'1. Simulator Input'!$D$67*'1. Simulator Input'!$D$56*'Idaho Data'!TA161</f>
        <v>0</v>
      </c>
      <c r="UT161" s="200">
        <f>'1. Simulator Input'!$D$68*'1. Simulator Input'!$D$56*'Idaho Data'!TB161</f>
        <v>0</v>
      </c>
      <c r="UU161" s="200">
        <f>'1. Simulator Input'!$D$69*'1. Simulator Input'!$D$56*'Idaho Data'!TC161</f>
        <v>0</v>
      </c>
      <c r="UV161" s="200">
        <f>'1. Simulator Input'!$D$70*'1. Simulator Input'!$D$56*TD161</f>
        <v>0</v>
      </c>
      <c r="UW161" s="200">
        <f>'1. Simulator Input'!$D$80*'1. Simulator Input'!$D$56*TW161</f>
        <v>0</v>
      </c>
      <c r="UX161" s="200">
        <f>'1. Simulator Input'!$D$79*'1. Simulator Input'!$D$56*UB161</f>
        <v>0</v>
      </c>
      <c r="UY161" s="200">
        <f>'1. Simulator Input'!$D$87*'1. Simulator Input'!$D$56*TF161</f>
        <v>0</v>
      </c>
      <c r="UZ161" s="200">
        <f>'1. Simulator Input'!$D$73*'1. Simulator Input'!$D$56*'Idaho Data'!TG161</f>
        <v>0</v>
      </c>
      <c r="VA161" s="200">
        <f>'1. Simulator Input'!$D$56*'1. Simulator Input'!$D$74*'Idaho Data'!TH161</f>
        <v>0</v>
      </c>
      <c r="VB161" s="200">
        <f>'1. Simulator Input'!$D$56*'1. Simulator Input'!$D$75*'Idaho Data'!TI156</f>
        <v>0</v>
      </c>
      <c r="VC161" s="200">
        <f>'1. Simulator Input'!$D$76*'1. Simulator Input'!$D$56*'Idaho Data'!TJ161</f>
        <v>0</v>
      </c>
      <c r="VD161" s="200">
        <f t="shared" si="307"/>
        <v>3984246</v>
      </c>
      <c r="VE161" s="200"/>
      <c r="VF161" s="182"/>
      <c r="VG161" s="200"/>
      <c r="VH161" s="200">
        <f t="shared" si="308"/>
        <v>0</v>
      </c>
      <c r="VI161" s="200">
        <f t="shared" si="309"/>
        <v>0</v>
      </c>
      <c r="VJ161" s="200">
        <f t="shared" si="271"/>
        <v>3984246</v>
      </c>
      <c r="VK161" s="200">
        <f t="shared" si="272"/>
        <v>3984246</v>
      </c>
      <c r="VL161" s="200"/>
      <c r="VM161" s="182"/>
      <c r="VN161" s="200"/>
      <c r="VO161" s="200">
        <f t="shared" si="310"/>
        <v>37376</v>
      </c>
      <c r="VP161" s="200">
        <f t="shared" si="311"/>
        <v>4253777</v>
      </c>
      <c r="VQ161" s="200">
        <f t="shared" si="312"/>
        <v>381961</v>
      </c>
      <c r="VR161" s="200">
        <f t="shared" si="313"/>
        <v>37376</v>
      </c>
      <c r="VS161" s="200">
        <f t="shared" si="273"/>
        <v>3984246</v>
      </c>
      <c r="VT161" s="200">
        <f t="shared" si="274"/>
        <v>381961</v>
      </c>
      <c r="VU161" s="200">
        <f t="shared" si="275"/>
        <v>0</v>
      </c>
      <c r="VV161" s="200"/>
      <c r="VW161" s="182"/>
      <c r="VX161" s="200"/>
      <c r="VZ161" s="199">
        <f t="shared" si="314"/>
        <v>-269531</v>
      </c>
      <c r="WA161" s="199">
        <f t="shared" si="315"/>
        <v>-373.82940360610263</v>
      </c>
      <c r="WB161" s="131">
        <f t="shared" si="316"/>
        <v>-6.3362747976680484E-2</v>
      </c>
      <c r="WC161" s="131"/>
      <c r="WD161" s="461"/>
      <c r="WE161" s="893"/>
      <c r="WF161" s="893">
        <f t="shared" si="317"/>
        <v>6481.4341192787797</v>
      </c>
      <c r="WG161" s="893">
        <f t="shared" si="318"/>
        <v>6107.6047156726772</v>
      </c>
      <c r="WH161" s="893"/>
      <c r="WI161" s="893">
        <f t="shared" si="319"/>
        <v>4253777</v>
      </c>
      <c r="WJ161" s="893">
        <f t="shared" si="276"/>
        <v>3984246</v>
      </c>
      <c r="WK161" s="39" t="str">
        <f t="shared" si="277"/>
        <v/>
      </c>
      <c r="WL161" s="39" t="str">
        <f t="shared" si="278"/>
        <v/>
      </c>
      <c r="WM161" s="200" t="str">
        <f t="shared" si="279"/>
        <v/>
      </c>
      <c r="WN161" s="39" t="str">
        <f t="shared" si="280"/>
        <v/>
      </c>
      <c r="WO161" s="39"/>
      <c r="WP161" s="182"/>
      <c r="WQ161" s="39"/>
      <c r="WR161" s="305"/>
      <c r="WT161" s="200">
        <f t="shared" si="281"/>
        <v>5899.8294036061025</v>
      </c>
      <c r="WU161" s="131">
        <f t="shared" si="320"/>
        <v>0.28999999999999998</v>
      </c>
      <c r="WW161" s="199">
        <f t="shared" si="282"/>
        <v>37376</v>
      </c>
      <c r="WX161" s="199">
        <f t="shared" si="283"/>
        <v>3984246</v>
      </c>
      <c r="WY161" s="199">
        <f t="shared" si="284"/>
        <v>0</v>
      </c>
      <c r="WZ161" s="199">
        <f t="shared" si="321"/>
        <v>3984246</v>
      </c>
      <c r="XA161" s="199">
        <f t="shared" si="285"/>
        <v>0</v>
      </c>
      <c r="XB161" s="199">
        <f t="shared" si="286"/>
        <v>381961</v>
      </c>
      <c r="XC161" s="199">
        <f t="shared" si="287"/>
        <v>381961</v>
      </c>
      <c r="XD161" s="199" t="str">
        <f t="shared" si="288"/>
        <v/>
      </c>
      <c r="XE161" s="199"/>
      <c r="XF161" s="199"/>
      <c r="XG161" s="199"/>
      <c r="XH161" s="199"/>
      <c r="XI161" s="199"/>
      <c r="XJ161" s="199">
        <f t="shared" si="322"/>
        <v>3984246</v>
      </c>
      <c r="XP161" s="199">
        <f t="shared" si="289"/>
        <v>3984246</v>
      </c>
      <c r="XQ161" s="199">
        <f t="shared" si="290"/>
        <v>5526</v>
      </c>
      <c r="XR161" s="199">
        <f t="shared" si="291"/>
        <v>3984246</v>
      </c>
      <c r="XS161" s="199">
        <f t="shared" si="292"/>
        <v>3984246</v>
      </c>
      <c r="XT161" s="199">
        <f t="shared" si="293"/>
        <v>5526</v>
      </c>
      <c r="XU161" s="199">
        <f t="shared" si="294"/>
        <v>4253777</v>
      </c>
      <c r="XV161" s="199">
        <f t="shared" si="295"/>
        <v>5899.8294036061025</v>
      </c>
      <c r="XW161" s="199">
        <f t="shared" si="296"/>
        <v>4253777</v>
      </c>
      <c r="XX161" s="199">
        <f t="shared" si="297"/>
        <v>5899.8294036061025</v>
      </c>
      <c r="XY161" s="199">
        <f t="shared" si="323"/>
        <v>-269531</v>
      </c>
      <c r="XZ161" s="199">
        <f t="shared" si="324"/>
        <v>-373.82940360610246</v>
      </c>
      <c r="YA161" s="131">
        <f t="shared" si="338"/>
        <v>-6.3362747976680456E-2</v>
      </c>
      <c r="YB161" s="199"/>
      <c r="YC161" s="221"/>
      <c r="YD161" s="199"/>
      <c r="YE161" s="199">
        <f t="shared" si="298"/>
        <v>37376</v>
      </c>
      <c r="YF161" s="200">
        <f t="shared" si="299"/>
        <v>0</v>
      </c>
      <c r="YG161" s="199">
        <f t="shared" si="300"/>
        <v>381961</v>
      </c>
      <c r="YH161" s="199">
        <f t="shared" si="301"/>
        <v>1259709</v>
      </c>
    </row>
    <row r="162" spans="1:658">
      <c r="A162" s="640">
        <v>493</v>
      </c>
      <c r="B162" s="2" t="s">
        <v>259</v>
      </c>
      <c r="C162" s="24">
        <v>0</v>
      </c>
      <c r="D162" s="39">
        <v>0</v>
      </c>
      <c r="E162" s="39">
        <v>0</v>
      </c>
      <c r="F162" s="39">
        <v>0</v>
      </c>
      <c r="G162" s="39">
        <v>0</v>
      </c>
      <c r="H162" s="39">
        <v>0</v>
      </c>
      <c r="I162" s="39">
        <v>0</v>
      </c>
      <c r="J162" s="39">
        <v>0</v>
      </c>
      <c r="K162" s="39">
        <v>0</v>
      </c>
      <c r="L162" s="24">
        <v>0</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c r="AJ162" s="39">
        <v>0</v>
      </c>
      <c r="AK162" s="39">
        <v>0</v>
      </c>
      <c r="AL162" s="39">
        <v>134</v>
      </c>
      <c r="AM162" s="39">
        <v>0</v>
      </c>
      <c r="AN162" s="39">
        <v>0</v>
      </c>
      <c r="AO162" s="39">
        <v>0</v>
      </c>
      <c r="AP162" s="39">
        <v>0</v>
      </c>
      <c r="AQ162" s="39">
        <v>0</v>
      </c>
      <c r="AR162" s="39">
        <v>0</v>
      </c>
      <c r="AS162" s="39">
        <v>0</v>
      </c>
      <c r="AT162" s="39">
        <v>0</v>
      </c>
      <c r="AU162" s="39">
        <v>0</v>
      </c>
      <c r="AV162" s="39">
        <v>0</v>
      </c>
      <c r="AW162" s="39">
        <v>0</v>
      </c>
      <c r="AX162" s="39">
        <v>0</v>
      </c>
      <c r="AY162" s="39">
        <v>0</v>
      </c>
      <c r="AZ162" s="39">
        <v>0</v>
      </c>
      <c r="BA162" s="39">
        <v>0</v>
      </c>
      <c r="BB162" s="39">
        <v>0</v>
      </c>
      <c r="BC162" s="39">
        <v>0</v>
      </c>
      <c r="BD162" s="39">
        <v>32</v>
      </c>
      <c r="BE162" s="39">
        <v>0</v>
      </c>
      <c r="BF162" s="39">
        <v>0</v>
      </c>
      <c r="BG162" s="39">
        <v>0</v>
      </c>
      <c r="BH162" s="39">
        <v>0</v>
      </c>
      <c r="BI162" s="39">
        <v>0</v>
      </c>
      <c r="BJ162" s="39">
        <v>0</v>
      </c>
      <c r="BK162" s="39">
        <v>0</v>
      </c>
      <c r="BL162" s="39">
        <v>0</v>
      </c>
      <c r="BM162" s="39">
        <v>0</v>
      </c>
      <c r="BN162" s="39">
        <v>0</v>
      </c>
      <c r="BO162" s="39">
        <v>0</v>
      </c>
      <c r="BP162" s="39">
        <v>0</v>
      </c>
      <c r="BQ162" s="39">
        <v>0</v>
      </c>
      <c r="BR162" s="39">
        <v>0</v>
      </c>
      <c r="BS162" s="39">
        <v>0</v>
      </c>
      <c r="BT162" s="39">
        <v>0</v>
      </c>
      <c r="BU162" s="39">
        <v>0</v>
      </c>
      <c r="BV162" s="39">
        <v>0</v>
      </c>
      <c r="BW162" s="39">
        <v>0</v>
      </c>
      <c r="BX162" s="39">
        <v>0</v>
      </c>
      <c r="BY162" s="39">
        <v>0</v>
      </c>
      <c r="BZ162" s="39">
        <v>0</v>
      </c>
      <c r="CA162" s="39">
        <v>0</v>
      </c>
      <c r="CB162" s="39">
        <v>0</v>
      </c>
      <c r="CC162" s="39">
        <v>0</v>
      </c>
      <c r="CD162" s="39">
        <v>0</v>
      </c>
      <c r="CE162" s="39">
        <v>0</v>
      </c>
      <c r="CF162" s="39">
        <v>0</v>
      </c>
      <c r="CG162" s="39">
        <v>0</v>
      </c>
      <c r="CH162" s="39">
        <v>0</v>
      </c>
      <c r="CI162" s="39">
        <v>0</v>
      </c>
      <c r="CJ162" s="39">
        <v>0</v>
      </c>
      <c r="CK162" s="39">
        <v>0</v>
      </c>
      <c r="CL162" s="39">
        <v>0</v>
      </c>
      <c r="CM162" s="39">
        <v>0</v>
      </c>
      <c r="CN162" s="39">
        <v>0</v>
      </c>
      <c r="CO162" s="39">
        <v>0</v>
      </c>
      <c r="CP162" s="39">
        <v>0</v>
      </c>
      <c r="CQ162" s="39">
        <v>0</v>
      </c>
      <c r="CR162" s="39">
        <v>0</v>
      </c>
      <c r="CS162" s="39">
        <v>37236</v>
      </c>
      <c r="CT162" s="39">
        <v>0</v>
      </c>
      <c r="CU162" s="39">
        <v>0</v>
      </c>
      <c r="CV162" s="39">
        <v>0</v>
      </c>
      <c r="CW162" s="39">
        <v>0</v>
      </c>
      <c r="CX162" s="39">
        <v>0</v>
      </c>
      <c r="CY162" s="39">
        <v>0</v>
      </c>
      <c r="CZ162" s="39">
        <v>0</v>
      </c>
      <c r="DA162" s="39">
        <v>0</v>
      </c>
      <c r="DB162" s="39">
        <v>0</v>
      </c>
      <c r="DC162" s="39">
        <v>0</v>
      </c>
      <c r="DD162" s="39">
        <v>2025</v>
      </c>
      <c r="DE162" s="39">
        <v>0</v>
      </c>
      <c r="DF162" s="39">
        <v>0</v>
      </c>
      <c r="DG162" s="39">
        <v>0</v>
      </c>
      <c r="DH162" s="39">
        <v>0</v>
      </c>
      <c r="DI162" s="39">
        <v>0</v>
      </c>
      <c r="DJ162" s="39">
        <v>0</v>
      </c>
      <c r="DK162" s="39">
        <v>0</v>
      </c>
      <c r="DL162" s="39">
        <v>0</v>
      </c>
      <c r="DM162" s="39">
        <v>0</v>
      </c>
      <c r="DN162" s="39">
        <v>0</v>
      </c>
      <c r="DO162" s="39">
        <v>0</v>
      </c>
      <c r="DP162" s="39">
        <v>0</v>
      </c>
      <c r="DQ162" s="39">
        <v>0</v>
      </c>
      <c r="DR162" s="39">
        <v>0</v>
      </c>
      <c r="DS162" s="39">
        <v>0</v>
      </c>
      <c r="DT162" s="39">
        <v>0</v>
      </c>
      <c r="DU162" s="39">
        <v>0</v>
      </c>
      <c r="DV162" s="39">
        <v>0</v>
      </c>
      <c r="DW162" s="39">
        <v>0</v>
      </c>
      <c r="DX162" s="39">
        <v>0</v>
      </c>
      <c r="DY162" s="39">
        <v>0</v>
      </c>
      <c r="DZ162" s="39">
        <v>0</v>
      </c>
      <c r="EA162" s="39">
        <v>0</v>
      </c>
      <c r="EB162" s="39">
        <v>0</v>
      </c>
      <c r="EC162" s="39">
        <v>0</v>
      </c>
      <c r="ED162" s="39">
        <v>0</v>
      </c>
      <c r="EE162" s="39">
        <v>0</v>
      </c>
      <c r="EF162" s="39">
        <v>0</v>
      </c>
      <c r="EG162" s="39">
        <v>183</v>
      </c>
      <c r="EH162" s="39">
        <v>0</v>
      </c>
      <c r="EI162" s="39">
        <v>0</v>
      </c>
      <c r="EJ162" s="39">
        <v>0</v>
      </c>
      <c r="EK162" s="39">
        <v>0</v>
      </c>
      <c r="EL162" s="39">
        <v>0</v>
      </c>
      <c r="EM162" s="39">
        <v>0</v>
      </c>
      <c r="EN162" s="39">
        <v>0</v>
      </c>
      <c r="EO162" s="39">
        <v>0</v>
      </c>
      <c r="EP162" s="39">
        <v>0</v>
      </c>
      <c r="EQ162" s="39">
        <v>0</v>
      </c>
      <c r="ER162" s="39">
        <v>0</v>
      </c>
      <c r="ES162" s="39">
        <v>0</v>
      </c>
      <c r="ET162" s="39">
        <v>0</v>
      </c>
      <c r="EU162" s="39">
        <v>0</v>
      </c>
      <c r="EV162" s="39">
        <v>0</v>
      </c>
      <c r="EW162" s="39">
        <v>0</v>
      </c>
      <c r="EX162" s="39">
        <v>0</v>
      </c>
      <c r="EY162" s="39">
        <v>0</v>
      </c>
      <c r="EZ162" s="39">
        <v>0</v>
      </c>
      <c r="FA162" s="39">
        <v>0</v>
      </c>
      <c r="FB162" s="39">
        <v>2982</v>
      </c>
      <c r="FC162" s="39">
        <v>0</v>
      </c>
      <c r="FD162" s="39">
        <v>0</v>
      </c>
      <c r="FE162" s="39">
        <v>0</v>
      </c>
      <c r="FF162" s="39">
        <v>0</v>
      </c>
      <c r="FG162" s="39">
        <v>0</v>
      </c>
      <c r="FH162" s="39">
        <v>0</v>
      </c>
      <c r="FI162" s="39">
        <v>0</v>
      </c>
      <c r="FJ162" s="39">
        <v>0</v>
      </c>
      <c r="FK162" s="39">
        <v>0</v>
      </c>
      <c r="FL162" s="39">
        <v>0</v>
      </c>
      <c r="FM162" s="39">
        <v>0</v>
      </c>
      <c r="FN162" s="39">
        <v>0</v>
      </c>
      <c r="FO162" s="39">
        <v>0</v>
      </c>
      <c r="FP162" s="39">
        <v>0</v>
      </c>
      <c r="FQ162" s="39">
        <v>0</v>
      </c>
      <c r="FR162" s="39">
        <v>0</v>
      </c>
      <c r="FS162" s="39">
        <v>64397</v>
      </c>
      <c r="FT162" s="39">
        <v>0</v>
      </c>
      <c r="FU162" s="39">
        <v>0</v>
      </c>
      <c r="FV162" s="39">
        <v>0</v>
      </c>
      <c r="FW162" s="39">
        <v>0</v>
      </c>
      <c r="FX162" s="39">
        <v>0</v>
      </c>
      <c r="FY162" s="39">
        <v>0</v>
      </c>
      <c r="FZ162" s="39">
        <v>0</v>
      </c>
      <c r="GA162" s="39">
        <v>0</v>
      </c>
      <c r="GB162" s="39">
        <v>0</v>
      </c>
      <c r="GC162" s="39">
        <v>0</v>
      </c>
      <c r="GD162" s="39">
        <v>0</v>
      </c>
      <c r="GE162" s="39">
        <v>0</v>
      </c>
      <c r="GF162" s="39">
        <v>0</v>
      </c>
      <c r="GG162" s="39">
        <v>0</v>
      </c>
      <c r="GH162" s="39">
        <v>0</v>
      </c>
      <c r="GI162" s="39">
        <v>0</v>
      </c>
      <c r="GJ162" s="39">
        <v>0</v>
      </c>
      <c r="GK162" s="39">
        <v>0</v>
      </c>
      <c r="GL162" s="39">
        <v>0</v>
      </c>
      <c r="GM162" s="39">
        <v>0</v>
      </c>
      <c r="GN162" s="39">
        <v>0</v>
      </c>
      <c r="GO162" s="39">
        <v>0</v>
      </c>
      <c r="GP162" s="39">
        <v>0</v>
      </c>
      <c r="GQ162" s="39">
        <v>0</v>
      </c>
      <c r="GR162" s="39">
        <v>0</v>
      </c>
      <c r="GS162" s="39">
        <v>0</v>
      </c>
      <c r="GT162" s="39">
        <v>0</v>
      </c>
      <c r="GU162" s="39">
        <v>0</v>
      </c>
      <c r="GV162" s="39">
        <v>0</v>
      </c>
      <c r="GW162" s="39">
        <v>0</v>
      </c>
      <c r="GX162" s="39">
        <v>0</v>
      </c>
      <c r="GY162" s="39">
        <v>0</v>
      </c>
      <c r="GZ162" s="39">
        <v>0</v>
      </c>
      <c r="HA162" s="39">
        <v>0</v>
      </c>
      <c r="HB162" s="39">
        <v>0</v>
      </c>
      <c r="HC162" s="39">
        <v>0</v>
      </c>
      <c r="HD162" s="39">
        <v>4013660</v>
      </c>
      <c r="HE162" s="39">
        <v>0</v>
      </c>
      <c r="HF162" s="39">
        <v>0</v>
      </c>
      <c r="HG162" s="39">
        <v>0</v>
      </c>
      <c r="HH162" s="39">
        <v>0</v>
      </c>
      <c r="HI162" s="39">
        <v>268636</v>
      </c>
      <c r="HJ162" s="39">
        <v>0</v>
      </c>
      <c r="HK162" s="39">
        <v>0</v>
      </c>
      <c r="HL162" s="39">
        <v>0</v>
      </c>
      <c r="HM162" s="39">
        <v>0</v>
      </c>
      <c r="HN162" s="39">
        <v>0</v>
      </c>
      <c r="HO162" s="39">
        <v>536255</v>
      </c>
      <c r="HP162" s="39">
        <v>3343</v>
      </c>
      <c r="HQ162" s="39">
        <v>0</v>
      </c>
      <c r="HR162" s="39">
        <v>0</v>
      </c>
      <c r="HS162" s="39">
        <v>0</v>
      </c>
      <c r="HT162" s="39">
        <v>0</v>
      </c>
      <c r="HU162" s="39">
        <v>0</v>
      </c>
      <c r="HV162" s="39">
        <v>0</v>
      </c>
      <c r="HW162" s="39">
        <v>0</v>
      </c>
      <c r="HX162" s="39">
        <v>0</v>
      </c>
      <c r="HY162" s="39">
        <v>0</v>
      </c>
      <c r="HZ162" s="39">
        <v>0</v>
      </c>
      <c r="IA162" s="39">
        <v>42962</v>
      </c>
      <c r="IB162" s="39">
        <v>14779</v>
      </c>
      <c r="IC162" s="39">
        <v>0</v>
      </c>
      <c r="ID162" s="39">
        <v>0</v>
      </c>
      <c r="IE162" s="39">
        <v>0</v>
      </c>
      <c r="IF162" s="39">
        <v>0</v>
      </c>
      <c r="IG162" s="39">
        <v>0</v>
      </c>
      <c r="IH162" s="39">
        <v>0</v>
      </c>
      <c r="II162" s="39">
        <v>0</v>
      </c>
      <c r="IJ162" s="39">
        <v>0</v>
      </c>
      <c r="IK162" s="39">
        <v>0</v>
      </c>
      <c r="IL162" s="39">
        <v>0</v>
      </c>
      <c r="IM162" s="39">
        <v>0</v>
      </c>
      <c r="IN162" s="39">
        <v>0</v>
      </c>
      <c r="IO162" s="39">
        <v>0</v>
      </c>
      <c r="IP162" s="39">
        <v>0</v>
      </c>
      <c r="IQ162" s="39">
        <v>0</v>
      </c>
      <c r="IR162" s="39">
        <v>0</v>
      </c>
      <c r="IS162" s="39">
        <v>0</v>
      </c>
      <c r="IT162" s="39">
        <v>0</v>
      </c>
      <c r="IU162" s="39">
        <v>0</v>
      </c>
      <c r="IV162" s="39">
        <v>0</v>
      </c>
      <c r="IW162" s="39">
        <v>271229</v>
      </c>
      <c r="IX162" s="39">
        <v>59361</v>
      </c>
      <c r="IY162" s="39">
        <v>0</v>
      </c>
      <c r="IZ162" s="39">
        <v>0</v>
      </c>
      <c r="JA162" s="39">
        <v>0</v>
      </c>
      <c r="JB162" s="39">
        <v>0</v>
      </c>
      <c r="JC162" s="39">
        <v>0</v>
      </c>
      <c r="JD162" s="39">
        <v>0</v>
      </c>
      <c r="JE162" s="39">
        <v>102679</v>
      </c>
      <c r="JF162" s="39">
        <v>0</v>
      </c>
      <c r="JG162" s="39">
        <v>0</v>
      </c>
      <c r="JH162" s="39">
        <v>0</v>
      </c>
      <c r="JI162" s="39">
        <v>0</v>
      </c>
      <c r="JJ162" s="39">
        <v>0</v>
      </c>
      <c r="JK162" s="39">
        <v>0</v>
      </c>
      <c r="JL162" s="39">
        <v>0</v>
      </c>
      <c r="JM162" s="39">
        <v>0</v>
      </c>
      <c r="JN162" s="39">
        <v>0</v>
      </c>
      <c r="JO162" s="39">
        <v>0</v>
      </c>
      <c r="JP162" s="39">
        <v>0</v>
      </c>
      <c r="JQ162" s="39">
        <v>0</v>
      </c>
      <c r="JR162" s="39">
        <v>0</v>
      </c>
      <c r="JS162" s="39">
        <v>0</v>
      </c>
      <c r="JT162" s="39">
        <v>0</v>
      </c>
      <c r="JU162" s="39">
        <v>0</v>
      </c>
      <c r="JV162" s="39">
        <v>0</v>
      </c>
      <c r="JW162" s="39">
        <v>0</v>
      </c>
      <c r="JX162" s="39">
        <v>0</v>
      </c>
      <c r="JY162" s="39">
        <v>0</v>
      </c>
      <c r="JZ162" s="39">
        <v>0</v>
      </c>
      <c r="KA162" s="39">
        <v>0</v>
      </c>
      <c r="KB162" s="39">
        <v>0</v>
      </c>
      <c r="KC162" s="39">
        <v>0</v>
      </c>
      <c r="KD162" s="39">
        <v>0</v>
      </c>
      <c r="KE162" s="39">
        <v>0</v>
      </c>
      <c r="KF162" s="39">
        <v>0</v>
      </c>
      <c r="KG162" s="39">
        <v>0</v>
      </c>
      <c r="KH162" s="39">
        <v>0</v>
      </c>
      <c r="KI162" s="39">
        <v>0</v>
      </c>
      <c r="KJ162" s="39">
        <v>0</v>
      </c>
      <c r="KK162" s="39">
        <v>0</v>
      </c>
      <c r="KL162" s="39">
        <v>0</v>
      </c>
      <c r="KM162" s="39">
        <v>0</v>
      </c>
      <c r="KN162" s="39">
        <v>0</v>
      </c>
      <c r="KO162" s="39">
        <v>0</v>
      </c>
      <c r="KP162" s="39">
        <v>0</v>
      </c>
      <c r="KQ162" s="39">
        <v>0</v>
      </c>
      <c r="KR162" s="39">
        <v>0</v>
      </c>
      <c r="KS162" s="39">
        <v>0</v>
      </c>
      <c r="KT162" s="39">
        <v>0</v>
      </c>
      <c r="KU162" s="39">
        <v>0</v>
      </c>
      <c r="KV162" s="39">
        <v>0</v>
      </c>
      <c r="KW162" s="39">
        <v>0</v>
      </c>
      <c r="KX162" s="39">
        <v>0</v>
      </c>
      <c r="KY162" s="39">
        <v>0</v>
      </c>
      <c r="KZ162" s="39">
        <v>0</v>
      </c>
      <c r="LA162" s="39">
        <v>0</v>
      </c>
      <c r="LB162" s="39">
        <v>0</v>
      </c>
      <c r="LC162" s="39">
        <v>0</v>
      </c>
      <c r="LD162" s="39">
        <v>0</v>
      </c>
      <c r="LE162" s="39">
        <v>0</v>
      </c>
      <c r="LF162" s="39">
        <v>0</v>
      </c>
      <c r="LG162" s="39">
        <v>0</v>
      </c>
      <c r="LH162" s="39">
        <v>0</v>
      </c>
      <c r="LI162" s="39">
        <v>0</v>
      </c>
      <c r="LJ162" s="39">
        <v>0</v>
      </c>
      <c r="LK162" s="39">
        <v>0</v>
      </c>
      <c r="LL162" s="39">
        <v>0</v>
      </c>
      <c r="LM162" s="39">
        <v>0</v>
      </c>
      <c r="LN162" s="39">
        <v>0</v>
      </c>
      <c r="LO162" s="39">
        <v>0</v>
      </c>
      <c r="LP162" s="39">
        <v>0</v>
      </c>
      <c r="LQ162" s="39">
        <v>0</v>
      </c>
      <c r="LR162" s="39">
        <v>0</v>
      </c>
      <c r="LS162" s="39">
        <v>0</v>
      </c>
      <c r="LT162" s="39">
        <v>0</v>
      </c>
      <c r="LU162" s="39">
        <v>0</v>
      </c>
      <c r="LV162" s="39">
        <v>0</v>
      </c>
      <c r="LW162" s="39">
        <v>0</v>
      </c>
      <c r="LX162" s="39">
        <v>0</v>
      </c>
      <c r="LY162" s="39">
        <v>0</v>
      </c>
      <c r="LZ162" s="39">
        <v>0</v>
      </c>
      <c r="MA162" s="39">
        <v>0</v>
      </c>
      <c r="MB162" s="39">
        <v>0</v>
      </c>
      <c r="MC162" s="39">
        <v>0</v>
      </c>
      <c r="MD162" s="39">
        <v>0</v>
      </c>
      <c r="ME162" s="39">
        <v>0</v>
      </c>
      <c r="MF162" s="39">
        <v>0</v>
      </c>
      <c r="MG162" s="39">
        <v>0</v>
      </c>
      <c r="MH162" s="39">
        <v>0</v>
      </c>
      <c r="MI162" s="39">
        <v>0</v>
      </c>
      <c r="MJ162" s="39">
        <v>0</v>
      </c>
      <c r="MK162" s="39">
        <v>0</v>
      </c>
      <c r="ML162" s="39">
        <v>0</v>
      </c>
      <c r="MM162" s="39">
        <v>0</v>
      </c>
      <c r="MN162" s="39">
        <v>0</v>
      </c>
      <c r="MO162" s="39">
        <v>0</v>
      </c>
      <c r="MP162" s="39">
        <v>0</v>
      </c>
      <c r="MQ162" s="39">
        <v>0</v>
      </c>
      <c r="MR162" s="39">
        <v>0</v>
      </c>
      <c r="MS162" s="39">
        <v>0</v>
      </c>
      <c r="MT162" s="39">
        <v>0</v>
      </c>
      <c r="MU162" s="39">
        <v>0</v>
      </c>
      <c r="MV162" s="39">
        <v>0</v>
      </c>
      <c r="MW162" s="39">
        <v>118720</v>
      </c>
      <c r="MX162" s="39">
        <v>0</v>
      </c>
      <c r="MY162" s="39">
        <v>0</v>
      </c>
      <c r="MZ162" s="39">
        <v>0</v>
      </c>
      <c r="NA162" s="39">
        <v>0</v>
      </c>
      <c r="NB162" s="39">
        <v>0</v>
      </c>
      <c r="NC162" s="39">
        <v>0</v>
      </c>
      <c r="ND162" s="39">
        <v>0</v>
      </c>
      <c r="NE162" s="39">
        <v>0</v>
      </c>
      <c r="NF162" s="39">
        <v>0</v>
      </c>
      <c r="NG162" s="39">
        <v>0</v>
      </c>
      <c r="NH162" s="39">
        <v>0</v>
      </c>
      <c r="NI162" s="39">
        <v>0</v>
      </c>
      <c r="NJ162" s="39">
        <v>0</v>
      </c>
      <c r="NK162" s="39">
        <v>0</v>
      </c>
      <c r="NL162" s="39">
        <v>0</v>
      </c>
      <c r="NM162" s="39">
        <v>0</v>
      </c>
      <c r="NN162" s="39">
        <v>0</v>
      </c>
      <c r="NO162" s="39">
        <v>0</v>
      </c>
      <c r="NP162" s="39">
        <v>0</v>
      </c>
      <c r="NQ162" s="39">
        <v>0</v>
      </c>
      <c r="NR162" s="39">
        <v>0</v>
      </c>
      <c r="NS162" s="39">
        <v>0</v>
      </c>
      <c r="NT162" s="39">
        <v>0</v>
      </c>
      <c r="NU162" s="39">
        <v>0</v>
      </c>
      <c r="NV162" s="39">
        <v>0</v>
      </c>
      <c r="NW162" s="39">
        <v>0</v>
      </c>
      <c r="NX162" s="39">
        <v>0</v>
      </c>
      <c r="NY162" s="39">
        <v>0</v>
      </c>
      <c r="NZ162" s="39">
        <v>0</v>
      </c>
      <c r="OA162" s="39">
        <v>0</v>
      </c>
      <c r="OB162" s="39">
        <v>0</v>
      </c>
      <c r="OC162" s="39">
        <v>0</v>
      </c>
      <c r="OD162" s="39">
        <v>0</v>
      </c>
      <c r="OE162" s="39">
        <v>0</v>
      </c>
      <c r="OF162" s="39">
        <v>0</v>
      </c>
      <c r="OG162" s="39">
        <v>0</v>
      </c>
      <c r="OH162" s="39">
        <v>0</v>
      </c>
      <c r="OI162" s="39">
        <v>0</v>
      </c>
      <c r="OJ162" s="39">
        <v>0</v>
      </c>
      <c r="OK162" s="39">
        <v>0</v>
      </c>
      <c r="OL162" s="39">
        <v>0</v>
      </c>
      <c r="OM162" s="39">
        <v>0</v>
      </c>
      <c r="ON162" s="39">
        <v>0</v>
      </c>
      <c r="OO162" s="39">
        <v>0</v>
      </c>
      <c r="OP162" s="39">
        <v>0</v>
      </c>
      <c r="OQ162" s="39">
        <v>0</v>
      </c>
      <c r="OR162" s="39">
        <v>0</v>
      </c>
      <c r="OS162" s="39">
        <v>0</v>
      </c>
      <c r="OT162" s="39">
        <v>0</v>
      </c>
      <c r="OU162" s="39">
        <v>0</v>
      </c>
      <c r="OV162" s="39">
        <v>0</v>
      </c>
      <c r="OW162" s="39">
        <v>0</v>
      </c>
      <c r="OX162" s="39">
        <v>0</v>
      </c>
      <c r="OY162" s="39">
        <v>0</v>
      </c>
      <c r="OZ162" s="39">
        <v>0</v>
      </c>
      <c r="PA162" s="39">
        <v>0</v>
      </c>
      <c r="PB162" s="39">
        <v>0</v>
      </c>
      <c r="PC162" s="39">
        <v>0</v>
      </c>
      <c r="PD162" s="39">
        <v>0</v>
      </c>
      <c r="PE162" s="39">
        <v>0</v>
      </c>
      <c r="PF162" s="39">
        <v>0</v>
      </c>
      <c r="PG162" s="39">
        <v>0</v>
      </c>
      <c r="PH162" s="39">
        <v>0</v>
      </c>
      <c r="PI162" s="39">
        <v>0</v>
      </c>
      <c r="PJ162" s="39">
        <v>0</v>
      </c>
      <c r="PK162" s="39">
        <v>0</v>
      </c>
      <c r="PL162" s="39">
        <v>0</v>
      </c>
      <c r="PM162" s="39">
        <v>0</v>
      </c>
      <c r="PN162" s="39">
        <v>0</v>
      </c>
      <c r="PO162" s="39">
        <v>0</v>
      </c>
      <c r="PP162" s="39">
        <v>0</v>
      </c>
      <c r="PQ162" s="39">
        <v>0</v>
      </c>
      <c r="PR162" s="39">
        <v>0</v>
      </c>
      <c r="PS162" s="39">
        <v>0</v>
      </c>
      <c r="PT162" s="39">
        <v>0</v>
      </c>
      <c r="PU162" s="39">
        <v>0</v>
      </c>
      <c r="PV162" s="39">
        <v>0</v>
      </c>
      <c r="PW162" s="39">
        <v>0</v>
      </c>
      <c r="PX162" s="39">
        <v>8306</v>
      </c>
      <c r="PY162" s="39">
        <v>0</v>
      </c>
      <c r="PZ162" s="39">
        <v>0</v>
      </c>
      <c r="QA162" s="39">
        <v>0</v>
      </c>
      <c r="QB162" s="39">
        <v>0</v>
      </c>
      <c r="QC162" s="39">
        <v>0</v>
      </c>
      <c r="QD162" s="39">
        <v>0</v>
      </c>
      <c r="QE162" s="39">
        <v>0</v>
      </c>
      <c r="QF162" s="39">
        <v>0</v>
      </c>
      <c r="QG162" s="39">
        <v>0</v>
      </c>
      <c r="QH162" s="39">
        <v>0</v>
      </c>
      <c r="QI162" s="39">
        <v>0</v>
      </c>
      <c r="QJ162" s="39">
        <v>0</v>
      </c>
      <c r="QK162" s="39">
        <v>0</v>
      </c>
      <c r="QL162" s="39">
        <v>0</v>
      </c>
      <c r="QM162" s="39">
        <v>0</v>
      </c>
      <c r="QN162" s="39">
        <v>0</v>
      </c>
      <c r="QO162" s="39">
        <v>0</v>
      </c>
      <c r="QP162" s="39">
        <v>0</v>
      </c>
      <c r="QQ162" s="39">
        <v>0</v>
      </c>
      <c r="QR162" s="39">
        <v>0</v>
      </c>
      <c r="QS162" s="39">
        <v>0</v>
      </c>
      <c r="QT162" s="39">
        <v>494526</v>
      </c>
      <c r="QU162" s="39">
        <v>0</v>
      </c>
      <c r="QV162" s="39">
        <v>0</v>
      </c>
      <c r="QW162" s="39">
        <v>0</v>
      </c>
      <c r="QX162" s="39">
        <v>0</v>
      </c>
      <c r="QY162" s="39">
        <v>0</v>
      </c>
      <c r="QZ162" s="39">
        <v>0</v>
      </c>
      <c r="RA162" s="39">
        <v>0</v>
      </c>
      <c r="RB162" s="39">
        <v>0</v>
      </c>
      <c r="RC162" s="913">
        <v>2</v>
      </c>
      <c r="RG162" s="39">
        <f t="shared" si="339"/>
        <v>4013660</v>
      </c>
      <c r="RH162" s="39">
        <f t="shared" si="339"/>
        <v>268636</v>
      </c>
      <c r="RI162" s="39">
        <f t="shared" si="339"/>
        <v>0</v>
      </c>
      <c r="RJ162" s="39">
        <f t="shared" si="339"/>
        <v>0</v>
      </c>
      <c r="RK162" s="39">
        <f t="shared" si="339"/>
        <v>0</v>
      </c>
      <c r="RL162" s="39">
        <f t="shared" si="339"/>
        <v>536255</v>
      </c>
      <c r="RM162" s="39">
        <f t="shared" si="339"/>
        <v>61084</v>
      </c>
      <c r="RN162" s="39">
        <f t="shared" si="339"/>
        <v>0</v>
      </c>
      <c r="RO162" s="39">
        <f t="shared" si="339"/>
        <v>0</v>
      </c>
      <c r="RP162" s="39">
        <f t="shared" si="339"/>
        <v>330590</v>
      </c>
      <c r="RQ162" s="39">
        <f t="shared" si="339"/>
        <v>0</v>
      </c>
      <c r="RR162" s="39">
        <f t="shared" si="325"/>
        <v>102679</v>
      </c>
      <c r="RS162" s="39"/>
      <c r="RT162" s="182"/>
      <c r="RU162" s="39"/>
      <c r="RV162" s="39">
        <f t="shared" si="302"/>
        <v>118720</v>
      </c>
      <c r="RW162" s="39">
        <f t="shared" si="302"/>
        <v>5312904</v>
      </c>
      <c r="RX162" s="39">
        <f t="shared" si="302"/>
        <v>106989</v>
      </c>
      <c r="RY162" s="39">
        <f t="shared" si="302"/>
        <v>502832</v>
      </c>
      <c r="RZ162" s="39"/>
      <c r="SA162" s="182"/>
      <c r="SB162" s="39"/>
      <c r="SC162" s="25">
        <f t="shared" si="303"/>
        <v>121.16534541336354</v>
      </c>
      <c r="SD162" s="39">
        <f>IFERROR(VLOOKUP(A162, 'Levy Data 15-16'!$B:$O, 3, FALSE), 0)</f>
        <v>0</v>
      </c>
      <c r="SE162" s="39">
        <f t="shared" si="265"/>
        <v>0</v>
      </c>
      <c r="SF162" s="631">
        <f>IFERROR(VLOOKUP(A162, 'Levy Data 15-16'!$B:$O, 14, FALSE), 0)*1000</f>
        <v>0</v>
      </c>
      <c r="SG162" s="39">
        <f t="shared" si="266"/>
        <v>0</v>
      </c>
      <c r="SH162" s="39">
        <f t="shared" si="267"/>
        <v>0</v>
      </c>
      <c r="SI162" s="39">
        <f t="shared" si="268"/>
        <v>106989</v>
      </c>
      <c r="SM162" s="39">
        <f t="shared" si="269"/>
        <v>5312904</v>
      </c>
      <c r="SN162" s="39">
        <f t="shared" si="270"/>
        <v>0</v>
      </c>
      <c r="SO162" s="39">
        <f t="shared" si="304"/>
        <v>5312904</v>
      </c>
      <c r="SP162" s="50">
        <f t="shared" si="326"/>
        <v>1</v>
      </c>
      <c r="ST162" s="124">
        <f>IFERROR(VLOOKUP(A162,'Grade Enroll 15-16'!B:AC,27,FALSE),"")</f>
        <v>883</v>
      </c>
      <c r="SU162" s="124">
        <f t="shared" si="327"/>
        <v>0</v>
      </c>
      <c r="SV162" s="131">
        <f>IFERROR(VLOOKUP($A162, 'Title I Enroll 16-17'!S:V, 4, FALSE), 0)</f>
        <v>0</v>
      </c>
      <c r="SW162" s="729">
        <f>IFERROR(VLOOKUP(A162, 'ELL Enroll 15-16'!$N:$S, 6, FALSE), 0)</f>
        <v>5</v>
      </c>
      <c r="SX162" s="131">
        <f t="shared" si="328"/>
        <v>5.6625141562853904E-3</v>
      </c>
      <c r="SY162" s="124">
        <f>IFERROR(VLOOKUP(A162, 'SPED enroll 2015-16'!$M:$O, 3, FALSE), 0)</f>
        <v>37</v>
      </c>
      <c r="SZ162" s="131">
        <f t="shared" si="329"/>
        <v>4.1902604756511891E-2</v>
      </c>
      <c r="TA162" s="142">
        <f t="shared" si="340"/>
        <v>25.9</v>
      </c>
      <c r="TB162" s="142">
        <f t="shared" si="340"/>
        <v>7.4</v>
      </c>
      <c r="TC162" s="142">
        <f t="shared" si="340"/>
        <v>2.5900000000000003</v>
      </c>
      <c r="TD162" s="142">
        <f t="shared" si="340"/>
        <v>1.1099999999999999</v>
      </c>
      <c r="TE162" s="124">
        <f>VLOOKUP($A162, 'Grade Enroll 15-16'!$B:$AB, 20, FALSE)</f>
        <v>0</v>
      </c>
      <c r="TF162" s="124">
        <f>VLOOKUP($A162, 'Grade Enroll 15-16'!$B:$AB, 21, FALSE)</f>
        <v>77</v>
      </c>
      <c r="TG162" s="124">
        <f>VLOOKUP($A162, 'Grade Enroll 15-16'!$B:$AB, 22, FALSE)</f>
        <v>276</v>
      </c>
      <c r="TH162" s="124">
        <f>VLOOKUP($A162, 'Grade Enroll 15-16'!$B:$AB, 23, FALSE)</f>
        <v>306</v>
      </c>
      <c r="TI162" s="124">
        <f>VLOOKUP($A162, 'Grade Enroll 15-16'!$B:$AB, 24, FALSE)</f>
        <v>180</v>
      </c>
      <c r="TJ162" s="124">
        <f>VLOOKUP($A162, 'Grade Enroll 15-16'!$B:$AB, 25, FALSE)</f>
        <v>121</v>
      </c>
      <c r="TK162" s="124">
        <f>VLOOKUP($A162, 'Grade Enroll 15-16'!$B:$AB, 26, FALSE)</f>
        <v>654</v>
      </c>
      <c r="TL162" s="131">
        <f>SUMIFS('Student Achievement 15-16'!N:N, 'Student Achievement 15-16'!B:B, 'Idaho Data'!A162, 'Student Achievement 15-16'!D:D, "math")/100</f>
        <v>5.5999999999999994E-2</v>
      </c>
      <c r="TM162" s="134">
        <f t="shared" si="305"/>
        <v>49.447999999999993</v>
      </c>
      <c r="TN162" s="131">
        <f>SUMIFS('Student Achievement 15-16'!N:N, 'Student Achievement 15-16'!B:B, 'Idaho Data'!A162, 'Student Achievement 15-16'!D:D, "ela")/100</f>
        <v>0.114</v>
      </c>
      <c r="TO162" s="135">
        <f t="shared" si="330"/>
        <v>100.66200000000001</v>
      </c>
      <c r="TP162" s="688">
        <f>IFERROR(VLOOKUP(A162, 'G&amp;T 15-16'!B:G, 6, FALSE), 0)*1</f>
        <v>0</v>
      </c>
      <c r="TQ162" s="168">
        <f t="shared" si="331"/>
        <v>52.98</v>
      </c>
      <c r="TU162" s="168">
        <f t="shared" si="332"/>
        <v>49.447999999999993</v>
      </c>
      <c r="TV162" s="168">
        <f t="shared" si="333"/>
        <v>100.66200000000001</v>
      </c>
      <c r="TW162" s="205">
        <f t="shared" si="334"/>
        <v>100.66200000000001</v>
      </c>
      <c r="TX162" s="144"/>
      <c r="TY162" s="514"/>
      <c r="TZ162" s="127">
        <f t="shared" si="335"/>
        <v>0</v>
      </c>
      <c r="UA162" s="127">
        <f t="shared" si="336"/>
        <v>52.98</v>
      </c>
      <c r="UB162" s="205">
        <f t="shared" si="337"/>
        <v>52.98</v>
      </c>
      <c r="UE162" s="853" t="str">
        <f>IF(ST162&lt;='1. Simulator Input'!$E$104, "yes", "")</f>
        <v/>
      </c>
      <c r="UI162" s="199">
        <f t="shared" si="306"/>
        <v>0</v>
      </c>
      <c r="UJ162" s="200">
        <f>IF('Idaho Data'!SI162&gt;=0, ((1-'1. Simulator Input'!$E$39)*'Idaho Data'!SI162), 0)</f>
        <v>0</v>
      </c>
      <c r="UK162" s="200">
        <f t="shared" si="262"/>
        <v>5312904</v>
      </c>
      <c r="UL162" s="39"/>
      <c r="UM162" s="182"/>
      <c r="UN162" s="39"/>
      <c r="UO162" s="39" t="str">
        <f>IF(AND('1. Simulator Input'!$E$96="yes", '1. Simulator Input'!$E$98="yes", '1. Simulator Input'!$E$100="hold harmless"), 'Idaho Data'!WN162, IF(AND('1. Simulator Input'!$E$96="yes", '1. Simulator Input'!$E$98="no", '1. Simulator Input'!$E$100="hold harmless"), 'Idaho Data'!WM162, IF(AND('1. Simulator Input'!$E$96="yes", '1. Simulator Input'!$E$98="yes", '1. Simulator Input'!$E$100="small district grant"), WL162,IF(AND('1. Simulator Input'!$E$96="yes", '1. Simulator Input'!$E$98="no", '1. Simulator Input'!$E$100="small district grant"), WK162, ""))))</f>
        <v/>
      </c>
      <c r="UP162" s="200">
        <f>'1. Simulator Input'!$D$56*('Idaho Data'!ST162)</f>
        <v>4879458</v>
      </c>
      <c r="UQ162" s="204">
        <f>'1. Simulator Input'!$D$65*'1. Simulator Input'!$D$56*'Idaho Data'!SU162</f>
        <v>0</v>
      </c>
      <c r="UR162" s="204">
        <f>'1. Simulator Input'!$D$66*'1. Simulator Input'!$D$56*'Idaho Data'!SW162</f>
        <v>0</v>
      </c>
      <c r="US162" s="200">
        <f>'1. Simulator Input'!$D$67*'1. Simulator Input'!$D$56*'Idaho Data'!TA162</f>
        <v>0</v>
      </c>
      <c r="UT162" s="200">
        <f>'1. Simulator Input'!$D$68*'1. Simulator Input'!$D$56*'Idaho Data'!TB162</f>
        <v>0</v>
      </c>
      <c r="UU162" s="200">
        <f>'1. Simulator Input'!$D$69*'1. Simulator Input'!$D$56*'Idaho Data'!TC162</f>
        <v>0</v>
      </c>
      <c r="UV162" s="200">
        <f>'1. Simulator Input'!$D$70*'1. Simulator Input'!$D$56*TD162</f>
        <v>0</v>
      </c>
      <c r="UW162" s="200">
        <f>'1. Simulator Input'!$D$80*'1. Simulator Input'!$D$56*TW162</f>
        <v>0</v>
      </c>
      <c r="UX162" s="200">
        <f>'1. Simulator Input'!$D$79*'1. Simulator Input'!$D$56*UB162</f>
        <v>0</v>
      </c>
      <c r="UY162" s="200">
        <f>'1. Simulator Input'!$D$87*'1. Simulator Input'!$D$56*TF162</f>
        <v>212751</v>
      </c>
      <c r="UZ162" s="200">
        <f>'1. Simulator Input'!$D$73*'1. Simulator Input'!$D$56*'Idaho Data'!TG162</f>
        <v>0</v>
      </c>
      <c r="VA162" s="200">
        <f>'1. Simulator Input'!$D$56*'1. Simulator Input'!$D$74*'Idaho Data'!TH162</f>
        <v>0</v>
      </c>
      <c r="VB162" s="200">
        <f>'1. Simulator Input'!$D$56*'1. Simulator Input'!$D$75*'Idaho Data'!TI157</f>
        <v>0</v>
      </c>
      <c r="VC162" s="200">
        <f>'1. Simulator Input'!$D$76*'1. Simulator Input'!$D$56*'Idaho Data'!TJ162</f>
        <v>0</v>
      </c>
      <c r="VD162" s="200">
        <f t="shared" si="307"/>
        <v>5092209</v>
      </c>
      <c r="VE162" s="200"/>
      <c r="VF162" s="182"/>
      <c r="VG162" s="200"/>
      <c r="VH162" s="200">
        <f t="shared" si="308"/>
        <v>0</v>
      </c>
      <c r="VI162" s="200">
        <f t="shared" si="309"/>
        <v>0</v>
      </c>
      <c r="VJ162" s="200">
        <f t="shared" si="271"/>
        <v>5092209</v>
      </c>
      <c r="VK162" s="200">
        <f t="shared" si="272"/>
        <v>5092209</v>
      </c>
      <c r="VL162" s="200"/>
      <c r="VM162" s="182"/>
      <c r="VN162" s="200"/>
      <c r="VO162" s="200">
        <f t="shared" si="310"/>
        <v>118720</v>
      </c>
      <c r="VP162" s="200">
        <f t="shared" si="311"/>
        <v>5312904</v>
      </c>
      <c r="VQ162" s="200">
        <f t="shared" si="312"/>
        <v>106989</v>
      </c>
      <c r="VR162" s="200">
        <f t="shared" si="313"/>
        <v>118720</v>
      </c>
      <c r="VS162" s="200">
        <f t="shared" si="273"/>
        <v>5092209</v>
      </c>
      <c r="VT162" s="200">
        <f t="shared" si="274"/>
        <v>106989</v>
      </c>
      <c r="VU162" s="200">
        <f t="shared" si="275"/>
        <v>0</v>
      </c>
      <c r="VV162" s="200"/>
      <c r="VW162" s="182"/>
      <c r="VX162" s="200"/>
      <c r="VZ162" s="199">
        <f t="shared" si="314"/>
        <v>-220695</v>
      </c>
      <c r="WA162" s="199">
        <f t="shared" si="315"/>
        <v>-249.93771234428087</v>
      </c>
      <c r="WB162" s="131">
        <f t="shared" si="316"/>
        <v>-4.1539429283871873E-2</v>
      </c>
      <c r="WC162" s="131"/>
      <c r="WD162" s="461"/>
      <c r="WE162" s="893"/>
      <c r="WF162" s="893">
        <f t="shared" si="317"/>
        <v>6272.4949037372589</v>
      </c>
      <c r="WG162" s="893">
        <f t="shared" si="318"/>
        <v>6022.5571913929789</v>
      </c>
      <c r="WH162" s="893"/>
      <c r="WI162" s="893">
        <f t="shared" si="319"/>
        <v>5312904</v>
      </c>
      <c r="WJ162" s="893">
        <f t="shared" si="276"/>
        <v>5092209</v>
      </c>
      <c r="WK162" s="39" t="str">
        <f t="shared" si="277"/>
        <v/>
      </c>
      <c r="WL162" s="39" t="str">
        <f t="shared" si="278"/>
        <v/>
      </c>
      <c r="WM162" s="200" t="str">
        <f t="shared" si="279"/>
        <v/>
      </c>
      <c r="WN162" s="39" t="str">
        <f t="shared" si="280"/>
        <v/>
      </c>
      <c r="WO162" s="39"/>
      <c r="WP162" s="182"/>
      <c r="WQ162" s="39"/>
      <c r="WR162" s="305"/>
      <c r="WT162" s="200">
        <f t="shared" si="281"/>
        <v>6016.8788221970553</v>
      </c>
      <c r="WU162" s="131">
        <f t="shared" si="320"/>
        <v>0.35</v>
      </c>
      <c r="WW162" s="199">
        <f t="shared" si="282"/>
        <v>118720</v>
      </c>
      <c r="WX162" s="199">
        <f t="shared" si="283"/>
        <v>5092209</v>
      </c>
      <c r="WY162" s="199">
        <f t="shared" si="284"/>
        <v>0</v>
      </c>
      <c r="WZ162" s="199">
        <f t="shared" si="321"/>
        <v>5092209</v>
      </c>
      <c r="XA162" s="199">
        <f t="shared" si="285"/>
        <v>0</v>
      </c>
      <c r="XB162" s="199">
        <f t="shared" si="286"/>
        <v>106989</v>
      </c>
      <c r="XC162" s="199">
        <f t="shared" si="287"/>
        <v>106989</v>
      </c>
      <c r="XD162" s="199" t="str">
        <f t="shared" si="288"/>
        <v/>
      </c>
      <c r="XE162" s="199"/>
      <c r="XF162" s="199"/>
      <c r="XG162" s="199"/>
      <c r="XH162" s="199"/>
      <c r="XI162" s="199"/>
      <c r="XJ162" s="199">
        <f t="shared" si="322"/>
        <v>5092209</v>
      </c>
      <c r="XP162" s="199">
        <f t="shared" si="289"/>
        <v>5092209</v>
      </c>
      <c r="XQ162" s="199">
        <f t="shared" si="290"/>
        <v>5766.9411098527744</v>
      </c>
      <c r="XR162" s="199">
        <f t="shared" si="291"/>
        <v>5092209</v>
      </c>
      <c r="XS162" s="199">
        <f t="shared" si="292"/>
        <v>5092209</v>
      </c>
      <c r="XT162" s="199">
        <f t="shared" si="293"/>
        <v>5766.9411098527744</v>
      </c>
      <c r="XU162" s="199">
        <f t="shared" si="294"/>
        <v>5312904</v>
      </c>
      <c r="XV162" s="199">
        <f t="shared" si="295"/>
        <v>6016.8788221970553</v>
      </c>
      <c r="XW162" s="199">
        <f t="shared" si="296"/>
        <v>5312904</v>
      </c>
      <c r="XX162" s="199">
        <f t="shared" si="297"/>
        <v>6016.8788221970553</v>
      </c>
      <c r="XY162" s="199">
        <f t="shared" si="323"/>
        <v>-220695</v>
      </c>
      <c r="XZ162" s="199">
        <f t="shared" si="324"/>
        <v>-249.93771234428095</v>
      </c>
      <c r="YA162" s="131">
        <f t="shared" si="338"/>
        <v>-4.1539429283871887E-2</v>
      </c>
      <c r="YB162" s="199"/>
      <c r="YC162" s="221"/>
      <c r="YD162" s="199"/>
      <c r="YE162" s="199">
        <f t="shared" si="298"/>
        <v>118720</v>
      </c>
      <c r="YF162" s="200">
        <f t="shared" si="299"/>
        <v>0</v>
      </c>
      <c r="YG162" s="199">
        <f t="shared" si="300"/>
        <v>106989</v>
      </c>
      <c r="YH162" s="199">
        <f t="shared" si="301"/>
        <v>502832</v>
      </c>
    </row>
    <row r="163" spans="1:658">
      <c r="A163" s="1">
        <v>555</v>
      </c>
      <c r="B163" s="2" t="s">
        <v>1498</v>
      </c>
      <c r="C163" s="24">
        <v>0</v>
      </c>
      <c r="D163" s="39">
        <v>0</v>
      </c>
      <c r="E163" s="39">
        <v>0</v>
      </c>
      <c r="F163" s="39">
        <v>0</v>
      </c>
      <c r="G163" s="39">
        <v>0</v>
      </c>
      <c r="H163" s="39">
        <v>0</v>
      </c>
      <c r="I163" s="39">
        <v>0</v>
      </c>
      <c r="J163" s="39">
        <v>0</v>
      </c>
      <c r="K163" s="39">
        <v>0</v>
      </c>
      <c r="L163" s="24">
        <v>0</v>
      </c>
      <c r="M163" s="39">
        <v>0</v>
      </c>
      <c r="N163" s="39">
        <v>0</v>
      </c>
      <c r="O163" s="39">
        <v>0</v>
      </c>
      <c r="P163" s="39">
        <v>0</v>
      </c>
      <c r="Q163" s="39">
        <v>0</v>
      </c>
      <c r="R163" s="39">
        <v>0</v>
      </c>
      <c r="S163" s="39">
        <v>0</v>
      </c>
      <c r="T163" s="39">
        <v>0</v>
      </c>
      <c r="U163" s="39">
        <v>0</v>
      </c>
      <c r="V163" s="39">
        <v>0</v>
      </c>
      <c r="W163" s="39">
        <v>0</v>
      </c>
      <c r="X163" s="39">
        <v>0</v>
      </c>
      <c r="Y163" s="39">
        <v>0</v>
      </c>
      <c r="Z163" s="39">
        <v>0</v>
      </c>
      <c r="AA163" s="39">
        <v>0</v>
      </c>
      <c r="AB163" s="39">
        <v>0</v>
      </c>
      <c r="AC163" s="39">
        <v>0</v>
      </c>
      <c r="AD163" s="39">
        <v>0</v>
      </c>
      <c r="AE163" s="39">
        <v>0</v>
      </c>
      <c r="AF163" s="39">
        <v>0</v>
      </c>
      <c r="AG163" s="39">
        <v>0</v>
      </c>
      <c r="AH163" s="39">
        <v>0</v>
      </c>
      <c r="AI163" s="39">
        <v>0</v>
      </c>
      <c r="AJ163" s="39">
        <v>0</v>
      </c>
      <c r="AK163" s="39">
        <v>0</v>
      </c>
      <c r="AL163" s="39">
        <v>183</v>
      </c>
      <c r="AM163" s="39">
        <v>0</v>
      </c>
      <c r="AN163" s="39">
        <v>0</v>
      </c>
      <c r="AO163" s="39">
        <v>25</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v>0</v>
      </c>
      <c r="BK163" s="39">
        <v>0</v>
      </c>
      <c r="BL163" s="39">
        <v>0</v>
      </c>
      <c r="BM163" s="39">
        <v>0</v>
      </c>
      <c r="BN163" s="39">
        <v>0</v>
      </c>
      <c r="BO163" s="39">
        <v>0</v>
      </c>
      <c r="BP163" s="39">
        <v>0</v>
      </c>
      <c r="BQ163" s="39">
        <v>0</v>
      </c>
      <c r="BR163" s="39">
        <v>0</v>
      </c>
      <c r="BS163" s="39">
        <v>0</v>
      </c>
      <c r="BT163" s="39">
        <v>0</v>
      </c>
      <c r="BU163" s="39">
        <v>0</v>
      </c>
      <c r="BV163" s="39">
        <v>0</v>
      </c>
      <c r="BW163" s="39">
        <v>0</v>
      </c>
      <c r="BX163" s="39">
        <v>0</v>
      </c>
      <c r="BY163" s="39">
        <v>0</v>
      </c>
      <c r="BZ163" s="39">
        <v>0</v>
      </c>
      <c r="CA163" s="39">
        <v>0</v>
      </c>
      <c r="CB163" s="39">
        <v>0</v>
      </c>
      <c r="CC163" s="39">
        <v>0</v>
      </c>
      <c r="CD163" s="39">
        <v>0</v>
      </c>
      <c r="CE163" s="39">
        <v>692</v>
      </c>
      <c r="CF163" s="39">
        <v>0</v>
      </c>
      <c r="CG163" s="39">
        <v>538</v>
      </c>
      <c r="CH163" s="39">
        <v>0</v>
      </c>
      <c r="CI163" s="39">
        <v>0</v>
      </c>
      <c r="CJ163" s="39">
        <v>0</v>
      </c>
      <c r="CK163" s="39">
        <v>0</v>
      </c>
      <c r="CL163" s="39">
        <v>0</v>
      </c>
      <c r="CM163" s="39">
        <v>0</v>
      </c>
      <c r="CN163" s="39">
        <v>0</v>
      </c>
      <c r="CO163" s="39">
        <v>0</v>
      </c>
      <c r="CP163" s="39">
        <v>0</v>
      </c>
      <c r="CQ163" s="39">
        <v>0</v>
      </c>
      <c r="CR163" s="39">
        <v>0</v>
      </c>
      <c r="CS163" s="39">
        <v>0</v>
      </c>
      <c r="CT163" s="39">
        <v>0</v>
      </c>
      <c r="CU163" s="39">
        <v>0</v>
      </c>
      <c r="CV163" s="39">
        <v>0</v>
      </c>
      <c r="CW163" s="39">
        <v>0</v>
      </c>
      <c r="CX163" s="39">
        <v>0</v>
      </c>
      <c r="CY163" s="39">
        <v>0</v>
      </c>
      <c r="CZ163" s="39">
        <v>0</v>
      </c>
      <c r="DA163" s="39">
        <v>0</v>
      </c>
      <c r="DB163" s="39">
        <v>0</v>
      </c>
      <c r="DC163" s="39">
        <v>0</v>
      </c>
      <c r="DD163" s="39">
        <v>0</v>
      </c>
      <c r="DE163" s="39">
        <v>0</v>
      </c>
      <c r="DF163" s="39">
        <v>0</v>
      </c>
      <c r="DG163" s="39">
        <v>0</v>
      </c>
      <c r="DH163" s="39">
        <v>0</v>
      </c>
      <c r="DI163" s="39">
        <v>0</v>
      </c>
      <c r="DJ163" s="39">
        <v>0</v>
      </c>
      <c r="DK163" s="39">
        <v>0</v>
      </c>
      <c r="DL163" s="39">
        <v>0</v>
      </c>
      <c r="DM163" s="39">
        <v>0</v>
      </c>
      <c r="DN163" s="39">
        <v>0</v>
      </c>
      <c r="DO163" s="39">
        <v>0</v>
      </c>
      <c r="DP163" s="39">
        <v>0</v>
      </c>
      <c r="DQ163" s="39">
        <v>0</v>
      </c>
      <c r="DR163" s="39">
        <v>0</v>
      </c>
      <c r="DS163" s="39">
        <v>0</v>
      </c>
      <c r="DT163" s="39">
        <v>0</v>
      </c>
      <c r="DU163" s="39">
        <v>0</v>
      </c>
      <c r="DV163" s="39">
        <v>0</v>
      </c>
      <c r="DW163" s="39">
        <v>0</v>
      </c>
      <c r="DX163" s="39">
        <v>0</v>
      </c>
      <c r="DY163" s="39">
        <v>0</v>
      </c>
      <c r="DZ163" s="39">
        <v>0</v>
      </c>
      <c r="EA163" s="39">
        <v>0</v>
      </c>
      <c r="EB163" s="39">
        <v>0</v>
      </c>
      <c r="EC163" s="39">
        <v>0</v>
      </c>
      <c r="ED163" s="39">
        <v>0</v>
      </c>
      <c r="EE163" s="39">
        <v>0</v>
      </c>
      <c r="EF163" s="39">
        <v>0</v>
      </c>
      <c r="EG163" s="39">
        <v>13375</v>
      </c>
      <c r="EH163" s="39">
        <v>0</v>
      </c>
      <c r="EI163" s="39">
        <v>0</v>
      </c>
      <c r="EJ163" s="39">
        <v>0</v>
      </c>
      <c r="EK163" s="39">
        <v>0</v>
      </c>
      <c r="EL163" s="39">
        <v>0</v>
      </c>
      <c r="EM163" s="39">
        <v>0</v>
      </c>
      <c r="EN163" s="39">
        <v>0</v>
      </c>
      <c r="EO163" s="39">
        <v>0</v>
      </c>
      <c r="EP163" s="39">
        <v>0</v>
      </c>
      <c r="EQ163" s="39">
        <v>0</v>
      </c>
      <c r="ER163" s="39">
        <v>0</v>
      </c>
      <c r="ES163" s="39">
        <v>0</v>
      </c>
      <c r="ET163" s="39">
        <v>0</v>
      </c>
      <c r="EU163" s="39">
        <v>0</v>
      </c>
      <c r="EV163" s="39">
        <v>0</v>
      </c>
      <c r="EW163" s="39">
        <v>0</v>
      </c>
      <c r="EX163" s="39">
        <v>0</v>
      </c>
      <c r="EY163" s="39">
        <v>0</v>
      </c>
      <c r="EZ163" s="39">
        <v>0</v>
      </c>
      <c r="FA163" s="39">
        <v>0</v>
      </c>
      <c r="FB163" s="39">
        <v>0</v>
      </c>
      <c r="FC163" s="39">
        <v>0</v>
      </c>
      <c r="FD163" s="39">
        <v>0</v>
      </c>
      <c r="FE163" s="39">
        <v>0</v>
      </c>
      <c r="FF163" s="39">
        <v>0</v>
      </c>
      <c r="FG163" s="39">
        <v>0</v>
      </c>
      <c r="FH163" s="39">
        <v>0</v>
      </c>
      <c r="FI163" s="39">
        <v>0</v>
      </c>
      <c r="FJ163" s="39">
        <v>0</v>
      </c>
      <c r="FK163" s="39">
        <v>0</v>
      </c>
      <c r="FL163" s="39">
        <v>0</v>
      </c>
      <c r="FM163" s="39">
        <v>0</v>
      </c>
      <c r="FN163" s="39">
        <v>0</v>
      </c>
      <c r="FO163" s="39">
        <v>0</v>
      </c>
      <c r="FP163" s="39">
        <v>0</v>
      </c>
      <c r="FQ163" s="39">
        <v>0</v>
      </c>
      <c r="FR163" s="39">
        <v>0</v>
      </c>
      <c r="FS163" s="39">
        <v>372</v>
      </c>
      <c r="FT163" s="39">
        <v>0</v>
      </c>
      <c r="FU163" s="39">
        <v>0</v>
      </c>
      <c r="FV163" s="39">
        <v>0</v>
      </c>
      <c r="FW163" s="39">
        <v>0</v>
      </c>
      <c r="FX163" s="39">
        <v>0</v>
      </c>
      <c r="FY163" s="39">
        <v>0</v>
      </c>
      <c r="FZ163" s="39">
        <v>0</v>
      </c>
      <c r="GA163" s="39">
        <v>0</v>
      </c>
      <c r="GB163" s="39">
        <v>0</v>
      </c>
      <c r="GC163" s="39">
        <v>0</v>
      </c>
      <c r="GD163" s="39">
        <v>0</v>
      </c>
      <c r="GE163" s="39">
        <v>0</v>
      </c>
      <c r="GF163" s="39">
        <v>0</v>
      </c>
      <c r="GG163" s="39">
        <v>0</v>
      </c>
      <c r="GH163" s="39">
        <v>0</v>
      </c>
      <c r="GI163" s="39">
        <v>0</v>
      </c>
      <c r="GJ163" s="39">
        <v>0</v>
      </c>
      <c r="GK163" s="39">
        <v>0</v>
      </c>
      <c r="GL163" s="39">
        <v>0</v>
      </c>
      <c r="GM163" s="39">
        <v>0</v>
      </c>
      <c r="GN163" s="39">
        <v>0</v>
      </c>
      <c r="GO163" s="39">
        <v>0</v>
      </c>
      <c r="GP163" s="39">
        <v>0</v>
      </c>
      <c r="GQ163" s="39">
        <v>0</v>
      </c>
      <c r="GR163" s="39">
        <v>0</v>
      </c>
      <c r="GS163" s="39">
        <v>0</v>
      </c>
      <c r="GT163" s="39">
        <v>0</v>
      </c>
      <c r="GU163" s="39">
        <v>0</v>
      </c>
      <c r="GV163" s="39">
        <v>0</v>
      </c>
      <c r="GW163" s="39">
        <v>0</v>
      </c>
      <c r="GX163" s="39">
        <v>0</v>
      </c>
      <c r="GY163" s="39">
        <v>0</v>
      </c>
      <c r="GZ163" s="39">
        <v>0</v>
      </c>
      <c r="HA163" s="39">
        <v>0</v>
      </c>
      <c r="HB163" s="39">
        <v>0</v>
      </c>
      <c r="HC163" s="39">
        <v>0</v>
      </c>
      <c r="HD163" s="39">
        <v>713165</v>
      </c>
      <c r="HE163" s="39">
        <v>0</v>
      </c>
      <c r="HF163" s="39">
        <v>0</v>
      </c>
      <c r="HG163" s="39">
        <v>0</v>
      </c>
      <c r="HH163" s="39">
        <v>0</v>
      </c>
      <c r="HI163" s="39">
        <v>0</v>
      </c>
      <c r="HJ163" s="39">
        <v>0</v>
      </c>
      <c r="HK163" s="39">
        <v>0</v>
      </c>
      <c r="HL163" s="39">
        <v>88399</v>
      </c>
      <c r="HM163" s="39">
        <v>0</v>
      </c>
      <c r="HN163" s="39">
        <v>0</v>
      </c>
      <c r="HO163" s="39">
        <v>101070</v>
      </c>
      <c r="HP163" s="39">
        <v>49815</v>
      </c>
      <c r="HQ163" s="39">
        <v>0</v>
      </c>
      <c r="HR163" s="39">
        <v>0</v>
      </c>
      <c r="HS163" s="39">
        <v>0</v>
      </c>
      <c r="HT163" s="39">
        <v>0</v>
      </c>
      <c r="HU163" s="39">
        <v>0</v>
      </c>
      <c r="HV163" s="39">
        <v>0</v>
      </c>
      <c r="HW163" s="39">
        <v>0</v>
      </c>
      <c r="HX163" s="39">
        <v>0</v>
      </c>
      <c r="HY163" s="39">
        <v>0</v>
      </c>
      <c r="HZ163" s="39">
        <v>0</v>
      </c>
      <c r="IA163" s="39">
        <v>17350</v>
      </c>
      <c r="IB163" s="39">
        <v>3411</v>
      </c>
      <c r="IC163" s="39">
        <v>0</v>
      </c>
      <c r="ID163" s="39">
        <v>0</v>
      </c>
      <c r="IE163" s="39">
        <v>0</v>
      </c>
      <c r="IF163" s="39">
        <v>0</v>
      </c>
      <c r="IG163" s="39">
        <v>0</v>
      </c>
      <c r="IH163" s="39">
        <v>0</v>
      </c>
      <c r="II163" s="39">
        <v>0</v>
      </c>
      <c r="IJ163" s="39">
        <v>0</v>
      </c>
      <c r="IK163" s="39">
        <v>0</v>
      </c>
      <c r="IL163" s="39">
        <v>0</v>
      </c>
      <c r="IM163" s="39">
        <v>0</v>
      </c>
      <c r="IN163" s="39">
        <v>0</v>
      </c>
      <c r="IO163" s="39">
        <v>0</v>
      </c>
      <c r="IP163" s="39">
        <v>0</v>
      </c>
      <c r="IQ163" s="39">
        <v>0</v>
      </c>
      <c r="IR163" s="39">
        <v>0</v>
      </c>
      <c r="IS163" s="39">
        <v>0</v>
      </c>
      <c r="IT163" s="39">
        <v>0</v>
      </c>
      <c r="IU163" s="39">
        <v>0</v>
      </c>
      <c r="IV163" s="39">
        <v>0</v>
      </c>
      <c r="IW163" s="39">
        <v>30331</v>
      </c>
      <c r="IX163" s="39">
        <v>0</v>
      </c>
      <c r="IY163" s="39">
        <v>0</v>
      </c>
      <c r="IZ163" s="39">
        <v>0</v>
      </c>
      <c r="JA163" s="39">
        <v>0</v>
      </c>
      <c r="JB163" s="39">
        <v>0</v>
      </c>
      <c r="JC163" s="39">
        <v>0</v>
      </c>
      <c r="JD163" s="39">
        <v>0</v>
      </c>
      <c r="JE163" s="39">
        <v>3826</v>
      </c>
      <c r="JF163" s="39">
        <v>0</v>
      </c>
      <c r="JG163" s="39">
        <v>0</v>
      </c>
      <c r="JH163" s="39">
        <v>0</v>
      </c>
      <c r="JI163" s="39">
        <v>0</v>
      </c>
      <c r="JJ163" s="39">
        <v>0</v>
      </c>
      <c r="JK163" s="39">
        <v>0</v>
      </c>
      <c r="JL163" s="39">
        <v>0</v>
      </c>
      <c r="JM163" s="39">
        <v>0</v>
      </c>
      <c r="JN163" s="39">
        <v>0</v>
      </c>
      <c r="JO163" s="39">
        <v>0</v>
      </c>
      <c r="JP163" s="39">
        <v>0</v>
      </c>
      <c r="JQ163" s="39">
        <v>0</v>
      </c>
      <c r="JR163" s="39">
        <v>0</v>
      </c>
      <c r="JS163" s="39">
        <v>0</v>
      </c>
      <c r="JT163" s="39">
        <v>0</v>
      </c>
      <c r="JU163" s="39">
        <v>0</v>
      </c>
      <c r="JV163" s="39">
        <v>0</v>
      </c>
      <c r="JW163" s="39">
        <v>0</v>
      </c>
      <c r="JX163" s="39">
        <v>0</v>
      </c>
      <c r="JY163" s="39">
        <v>0</v>
      </c>
      <c r="JZ163" s="39">
        <v>0</v>
      </c>
      <c r="KA163" s="39">
        <v>0</v>
      </c>
      <c r="KB163" s="39">
        <v>0</v>
      </c>
      <c r="KC163" s="39">
        <v>0</v>
      </c>
      <c r="KD163" s="39">
        <v>0</v>
      </c>
      <c r="KE163" s="39">
        <v>0</v>
      </c>
      <c r="KF163" s="39">
        <v>0</v>
      </c>
      <c r="KG163" s="39">
        <v>0</v>
      </c>
      <c r="KH163" s="39">
        <v>0</v>
      </c>
      <c r="KI163" s="39">
        <v>0</v>
      </c>
      <c r="KJ163" s="39">
        <v>0</v>
      </c>
      <c r="KK163" s="39">
        <v>0</v>
      </c>
      <c r="KL163" s="39">
        <v>0</v>
      </c>
      <c r="KM163" s="39">
        <v>0</v>
      </c>
      <c r="KN163" s="39">
        <v>0</v>
      </c>
      <c r="KO163" s="39">
        <v>0</v>
      </c>
      <c r="KP163" s="39">
        <v>0</v>
      </c>
      <c r="KQ163" s="39">
        <v>0</v>
      </c>
      <c r="KR163" s="39">
        <v>0</v>
      </c>
      <c r="KS163" s="39">
        <v>0</v>
      </c>
      <c r="KT163" s="39">
        <v>0</v>
      </c>
      <c r="KU163" s="39">
        <v>0</v>
      </c>
      <c r="KV163" s="39">
        <v>0</v>
      </c>
      <c r="KW163" s="39">
        <v>0</v>
      </c>
      <c r="KX163" s="39">
        <v>0</v>
      </c>
      <c r="KY163" s="39">
        <v>0</v>
      </c>
      <c r="KZ163" s="39">
        <v>0</v>
      </c>
      <c r="LA163" s="39">
        <v>0</v>
      </c>
      <c r="LB163" s="39">
        <v>0</v>
      </c>
      <c r="LC163" s="39">
        <v>0</v>
      </c>
      <c r="LD163" s="39">
        <v>0</v>
      </c>
      <c r="LE163" s="39">
        <v>0</v>
      </c>
      <c r="LF163" s="39">
        <v>0</v>
      </c>
      <c r="LG163" s="39">
        <v>0</v>
      </c>
      <c r="LH163" s="39">
        <v>0</v>
      </c>
      <c r="LI163" s="39">
        <v>18090</v>
      </c>
      <c r="LJ163" s="39">
        <v>0</v>
      </c>
      <c r="LK163" s="39">
        <v>0</v>
      </c>
      <c r="LL163" s="39">
        <v>0</v>
      </c>
      <c r="LM163" s="39">
        <v>0</v>
      </c>
      <c r="LN163" s="39">
        <v>0</v>
      </c>
      <c r="LO163" s="39">
        <v>0</v>
      </c>
      <c r="LP163" s="39">
        <v>0</v>
      </c>
      <c r="LQ163" s="39">
        <v>0</v>
      </c>
      <c r="LR163" s="39">
        <v>0</v>
      </c>
      <c r="LS163" s="39">
        <v>0</v>
      </c>
      <c r="LT163" s="39">
        <v>0</v>
      </c>
      <c r="LU163" s="39">
        <v>0</v>
      </c>
      <c r="LV163" s="39">
        <v>0</v>
      </c>
      <c r="LW163" s="39">
        <v>0</v>
      </c>
      <c r="LX163" s="39">
        <v>0</v>
      </c>
      <c r="LY163" s="39">
        <v>0</v>
      </c>
      <c r="LZ163" s="39">
        <v>0</v>
      </c>
      <c r="MA163" s="39">
        <v>0</v>
      </c>
      <c r="MB163" s="39">
        <v>0</v>
      </c>
      <c r="MC163" s="39">
        <v>0</v>
      </c>
      <c r="MD163" s="39">
        <v>0</v>
      </c>
      <c r="ME163" s="39">
        <v>0</v>
      </c>
      <c r="MF163" s="39">
        <v>0</v>
      </c>
      <c r="MG163" s="39">
        <v>0</v>
      </c>
      <c r="MH163" s="39">
        <v>0</v>
      </c>
      <c r="MI163" s="39">
        <v>0</v>
      </c>
      <c r="MJ163" s="39">
        <v>0</v>
      </c>
      <c r="MK163" s="39">
        <v>0</v>
      </c>
      <c r="ML163" s="39">
        <v>0</v>
      </c>
      <c r="MM163" s="39">
        <v>0</v>
      </c>
      <c r="MN163" s="39">
        <v>0</v>
      </c>
      <c r="MO163" s="39">
        <v>0</v>
      </c>
      <c r="MP163" s="39">
        <v>0</v>
      </c>
      <c r="MQ163" s="39">
        <v>0</v>
      </c>
      <c r="MR163" s="39">
        <v>58414</v>
      </c>
      <c r="MS163" s="39">
        <v>0</v>
      </c>
      <c r="MT163" s="39">
        <v>0</v>
      </c>
      <c r="MU163" s="39">
        <v>0</v>
      </c>
      <c r="MV163" s="39">
        <v>0</v>
      </c>
      <c r="MW163" s="39">
        <v>0</v>
      </c>
      <c r="MX163" s="39">
        <v>0</v>
      </c>
      <c r="MY163" s="39">
        <v>0</v>
      </c>
      <c r="MZ163" s="39">
        <v>0</v>
      </c>
      <c r="NA163" s="39">
        <v>0</v>
      </c>
      <c r="NB163" s="39">
        <v>0</v>
      </c>
      <c r="NC163" s="39">
        <v>0</v>
      </c>
      <c r="ND163" s="39">
        <v>0</v>
      </c>
      <c r="NE163" s="39">
        <v>0</v>
      </c>
      <c r="NF163" s="39">
        <v>0</v>
      </c>
      <c r="NG163" s="39">
        <v>0</v>
      </c>
      <c r="NH163" s="39">
        <v>0</v>
      </c>
      <c r="NI163" s="39">
        <v>0</v>
      </c>
      <c r="NJ163" s="39">
        <v>0</v>
      </c>
      <c r="NK163" s="39">
        <v>0</v>
      </c>
      <c r="NL163" s="39">
        <v>0</v>
      </c>
      <c r="NM163" s="39">
        <v>0</v>
      </c>
      <c r="NN163" s="39">
        <v>0</v>
      </c>
      <c r="NO163" s="39">
        <v>0</v>
      </c>
      <c r="NP163" s="39">
        <v>0</v>
      </c>
      <c r="NQ163" s="39">
        <v>0</v>
      </c>
      <c r="NR163" s="39">
        <v>0</v>
      </c>
      <c r="NS163" s="39">
        <v>0</v>
      </c>
      <c r="NT163" s="39">
        <v>0</v>
      </c>
      <c r="NU163" s="39">
        <v>0</v>
      </c>
      <c r="NV163" s="39">
        <v>0</v>
      </c>
      <c r="NW163" s="39">
        <v>0</v>
      </c>
      <c r="NX163" s="39">
        <v>0</v>
      </c>
      <c r="NY163" s="39">
        <v>0</v>
      </c>
      <c r="NZ163" s="39">
        <v>0</v>
      </c>
      <c r="OA163" s="39">
        <v>0</v>
      </c>
      <c r="OB163" s="39">
        <v>0</v>
      </c>
      <c r="OC163" s="39">
        <v>0</v>
      </c>
      <c r="OD163" s="39">
        <v>0</v>
      </c>
      <c r="OE163" s="39">
        <v>0</v>
      </c>
      <c r="OF163" s="39">
        <v>2152</v>
      </c>
      <c r="OG163" s="39">
        <v>0</v>
      </c>
      <c r="OH163" s="39">
        <v>0</v>
      </c>
      <c r="OI163" s="39">
        <v>0</v>
      </c>
      <c r="OJ163" s="39">
        <v>0</v>
      </c>
      <c r="OK163" s="39">
        <v>0</v>
      </c>
      <c r="OL163" s="39">
        <v>0</v>
      </c>
      <c r="OM163" s="39">
        <v>0</v>
      </c>
      <c r="ON163" s="39">
        <v>0</v>
      </c>
      <c r="OO163" s="39">
        <v>0</v>
      </c>
      <c r="OP163" s="39">
        <v>0</v>
      </c>
      <c r="OQ163" s="39">
        <v>0</v>
      </c>
      <c r="OR163" s="39">
        <v>0</v>
      </c>
      <c r="OS163" s="39">
        <v>0</v>
      </c>
      <c r="OT163" s="39">
        <v>0</v>
      </c>
      <c r="OU163" s="39">
        <v>0</v>
      </c>
      <c r="OV163" s="39">
        <v>0</v>
      </c>
      <c r="OW163" s="39">
        <v>0</v>
      </c>
      <c r="OX163" s="39">
        <v>0</v>
      </c>
      <c r="OY163" s="39">
        <v>0</v>
      </c>
      <c r="OZ163" s="39">
        <v>0</v>
      </c>
      <c r="PA163" s="39">
        <v>0</v>
      </c>
      <c r="PB163" s="39">
        <v>0</v>
      </c>
      <c r="PC163" s="39">
        <v>0</v>
      </c>
      <c r="PD163" s="39">
        <v>0</v>
      </c>
      <c r="PE163" s="39">
        <v>0</v>
      </c>
      <c r="PF163" s="39">
        <v>0</v>
      </c>
      <c r="PG163" s="39">
        <v>0</v>
      </c>
      <c r="PH163" s="39">
        <v>0</v>
      </c>
      <c r="PI163" s="39">
        <v>0</v>
      </c>
      <c r="PJ163" s="39">
        <v>0</v>
      </c>
      <c r="PK163" s="39">
        <v>0</v>
      </c>
      <c r="PL163" s="39">
        <v>0</v>
      </c>
      <c r="PM163" s="39">
        <v>0</v>
      </c>
      <c r="PN163" s="39">
        <v>0</v>
      </c>
      <c r="PO163" s="39">
        <v>0</v>
      </c>
      <c r="PP163" s="39">
        <v>0</v>
      </c>
      <c r="PQ163" s="39">
        <v>0</v>
      </c>
      <c r="PR163" s="39">
        <v>0</v>
      </c>
      <c r="PS163" s="39">
        <v>0</v>
      </c>
      <c r="PT163" s="39">
        <v>0</v>
      </c>
      <c r="PU163" s="39">
        <v>0</v>
      </c>
      <c r="PV163" s="39">
        <v>0</v>
      </c>
      <c r="PW163" s="39">
        <v>0</v>
      </c>
      <c r="PX163" s="39">
        <v>0</v>
      </c>
      <c r="PY163" s="39">
        <v>0</v>
      </c>
      <c r="PZ163" s="39">
        <v>0</v>
      </c>
      <c r="QA163" s="39">
        <v>0</v>
      </c>
      <c r="QB163" s="39">
        <v>0</v>
      </c>
      <c r="QC163" s="39">
        <v>0</v>
      </c>
      <c r="QD163" s="39">
        <v>0</v>
      </c>
      <c r="QE163" s="39">
        <v>0</v>
      </c>
      <c r="QF163" s="39">
        <v>0</v>
      </c>
      <c r="QG163" s="39">
        <v>0</v>
      </c>
      <c r="QH163" s="39">
        <v>0</v>
      </c>
      <c r="QI163" s="39">
        <v>0</v>
      </c>
      <c r="QJ163" s="39">
        <v>0</v>
      </c>
      <c r="QK163" s="39">
        <v>0</v>
      </c>
      <c r="QL163" s="39">
        <v>0</v>
      </c>
      <c r="QM163" s="39">
        <v>0</v>
      </c>
      <c r="QN163" s="39">
        <v>0</v>
      </c>
      <c r="QO163" s="39">
        <v>0</v>
      </c>
      <c r="QP163" s="39">
        <v>0</v>
      </c>
      <c r="QQ163" s="39">
        <v>0</v>
      </c>
      <c r="QR163" s="39">
        <v>0</v>
      </c>
      <c r="QS163" s="39">
        <v>15000</v>
      </c>
      <c r="QT163" s="39">
        <v>0</v>
      </c>
      <c r="QU163" s="39">
        <v>0</v>
      </c>
      <c r="QV163" s="39">
        <v>0</v>
      </c>
      <c r="QW163" s="39">
        <v>0</v>
      </c>
      <c r="QX163" s="39">
        <v>0</v>
      </c>
      <c r="QY163" s="39">
        <v>0</v>
      </c>
      <c r="QZ163" s="39">
        <v>0</v>
      </c>
      <c r="RA163" s="39">
        <v>0</v>
      </c>
      <c r="RB163" s="39">
        <v>0</v>
      </c>
      <c r="RC163" s="913">
        <v>2</v>
      </c>
      <c r="RG163" s="39">
        <f t="shared" si="339"/>
        <v>713165</v>
      </c>
      <c r="RH163" s="39">
        <f t="shared" si="339"/>
        <v>0</v>
      </c>
      <c r="RI163" s="39">
        <f t="shared" si="339"/>
        <v>88399</v>
      </c>
      <c r="RJ163" s="39">
        <f t="shared" si="339"/>
        <v>0</v>
      </c>
      <c r="RK163" s="39">
        <f t="shared" si="339"/>
        <v>0</v>
      </c>
      <c r="RL163" s="39">
        <f t="shared" si="339"/>
        <v>101070</v>
      </c>
      <c r="RM163" s="39">
        <f t="shared" si="339"/>
        <v>70576</v>
      </c>
      <c r="RN163" s="39">
        <f t="shared" si="339"/>
        <v>0</v>
      </c>
      <c r="RO163" s="39">
        <f t="shared" si="339"/>
        <v>0</v>
      </c>
      <c r="RP163" s="39">
        <f t="shared" si="339"/>
        <v>30331</v>
      </c>
      <c r="RQ163" s="39">
        <f t="shared" si="339"/>
        <v>0</v>
      </c>
      <c r="RR163" s="39">
        <f t="shared" si="325"/>
        <v>3826</v>
      </c>
      <c r="RS163" s="39"/>
      <c r="RT163" s="182"/>
      <c r="RU163" s="39">
        <f t="shared" ref="RU163" si="341">SUM(RG163:RR163)</f>
        <v>1007367</v>
      </c>
      <c r="RV163" s="39">
        <f t="shared" si="302"/>
        <v>78656</v>
      </c>
      <c r="RW163" s="39">
        <f t="shared" si="302"/>
        <v>1007367</v>
      </c>
      <c r="RX163" s="39">
        <f t="shared" si="302"/>
        <v>15185</v>
      </c>
      <c r="RY163" s="39">
        <f t="shared" si="302"/>
        <v>15000</v>
      </c>
      <c r="RZ163" s="39"/>
      <c r="SA163" s="182"/>
      <c r="SB163" s="39"/>
      <c r="SC163" s="25">
        <f t="shared" si="303"/>
        <v>118.6328125</v>
      </c>
      <c r="SD163" s="39">
        <f>IFERROR(VLOOKUP(A163, 'Levy Data 15-16'!$B:$O, 3, FALSE), 0)</f>
        <v>0</v>
      </c>
      <c r="SE163" s="39">
        <f t="shared" si="265"/>
        <v>0</v>
      </c>
      <c r="SF163" s="631">
        <f>IFERROR(VLOOKUP(A163, 'Levy Data 15-16'!$B:$O, 14, FALSE), 0)*1000</f>
        <v>0</v>
      </c>
      <c r="SG163" s="39">
        <f t="shared" si="266"/>
        <v>0</v>
      </c>
      <c r="SH163" s="39">
        <f t="shared" si="267"/>
        <v>0</v>
      </c>
      <c r="SI163" s="39">
        <f t="shared" si="268"/>
        <v>15185</v>
      </c>
      <c r="SM163" s="39">
        <f t="shared" si="269"/>
        <v>1007367</v>
      </c>
      <c r="SN163" s="39">
        <f t="shared" si="270"/>
        <v>0</v>
      </c>
      <c r="SO163" s="39">
        <f t="shared" si="304"/>
        <v>1007367</v>
      </c>
      <c r="SP163" s="50">
        <f>(SM163-SN163)/SM163</f>
        <v>1</v>
      </c>
      <c r="ST163" s="124">
        <f>IFERROR(VLOOKUP(A163,'Grade Enroll 15-16'!B:AC,27,FALSE),"")</f>
        <v>128</v>
      </c>
      <c r="SU163" s="124">
        <f t="shared" si="327"/>
        <v>0</v>
      </c>
      <c r="SV163" s="131">
        <f>IFERROR(VLOOKUP($A163, 'Title I Enroll 16-17'!S:V, 4, FALSE), 0)</f>
        <v>0</v>
      </c>
      <c r="SW163" s="729">
        <f>IFERROR(VLOOKUP(A163, 'ELL Enroll 15-16'!$N:$S, 6, FALSE), 0)</f>
        <v>5</v>
      </c>
      <c r="SX163" s="131">
        <f t="shared" si="328"/>
        <v>3.90625E-2</v>
      </c>
      <c r="SY163" s="124">
        <f>IFERROR(VLOOKUP(A163, 'SPED enroll 2015-16'!$M:$O, 3, FALSE), 0)</f>
        <v>37</v>
      </c>
      <c r="SZ163" s="131">
        <f t="shared" si="329"/>
        <v>0.2890625</v>
      </c>
      <c r="TA163" s="142">
        <f t="shared" si="340"/>
        <v>25.9</v>
      </c>
      <c r="TB163" s="142">
        <f>$SY163*TB$8</f>
        <v>7.4</v>
      </c>
      <c r="TC163" s="142">
        <f t="shared" si="340"/>
        <v>2.5900000000000003</v>
      </c>
      <c r="TD163" s="142">
        <f t="shared" si="340"/>
        <v>1.1099999999999999</v>
      </c>
      <c r="TE163" s="124">
        <f>VLOOKUP($A163, 'Grade Enroll 15-16'!$B:$AB, 20, FALSE)</f>
        <v>0</v>
      </c>
      <c r="TF163" s="124">
        <f>VLOOKUP($A163, 'Grade Enroll 15-16'!$B:$AB, 21, FALSE)</f>
        <v>0</v>
      </c>
      <c r="TG163" s="124">
        <f>VLOOKUP($A163, 'Grade Enroll 15-16'!$B:$AB, 22, FALSE)</f>
        <v>0</v>
      </c>
      <c r="TH163" s="124">
        <f>VLOOKUP($A163, 'Grade Enroll 15-16'!$B:$AB, 23, FALSE)</f>
        <v>0</v>
      </c>
      <c r="TI163" s="124">
        <f>VLOOKUP($A163, 'Grade Enroll 15-16'!$B:$AB, 24, FALSE)</f>
        <v>7</v>
      </c>
      <c r="TJ163" s="124">
        <f>VLOOKUP($A163, 'Grade Enroll 15-16'!$B:$AB, 25, FALSE)</f>
        <v>121</v>
      </c>
      <c r="TK163" s="124">
        <f>VLOOKUP($A163, 'Grade Enroll 15-16'!$B:$AB, 26, FALSE)</f>
        <v>55</v>
      </c>
      <c r="TL163" s="131">
        <f>SUMIFS('Student Achievement 15-16'!N:N, 'Student Achievement 15-16'!B:B, 'Idaho Data'!A163, 'Student Achievement 15-16'!D:D, "math")/100</f>
        <v>0.05</v>
      </c>
      <c r="TM163" s="134">
        <f t="shared" si="305"/>
        <v>6.4</v>
      </c>
      <c r="TN163" s="131">
        <f>SUMIFS('Student Achievement 15-16'!N:N, 'Student Achievement 15-16'!B:B, 'Idaho Data'!A163, 'Student Achievement 15-16'!D:D, "ela")/100</f>
        <v>0.68599999999999994</v>
      </c>
      <c r="TO163" s="135">
        <f t="shared" si="330"/>
        <v>87.807999999999993</v>
      </c>
      <c r="TP163" s="688">
        <f>IFERROR(VLOOKUP(A163, 'G&amp;T 15-16'!B:G, 6, FALSE), 0)*1</f>
        <v>0</v>
      </c>
      <c r="TQ163" s="168">
        <f t="shared" si="331"/>
        <v>7.68</v>
      </c>
      <c r="TU163" s="168">
        <f t="shared" si="332"/>
        <v>6.4</v>
      </c>
      <c r="TV163" s="168">
        <f t="shared" si="333"/>
        <v>87.807999999999993</v>
      </c>
      <c r="TW163" s="205">
        <f t="shared" si="334"/>
        <v>87.807999999999993</v>
      </c>
      <c r="TX163" s="144"/>
      <c r="TY163" s="514"/>
      <c r="TZ163" s="127">
        <f t="shared" si="335"/>
        <v>0</v>
      </c>
      <c r="UA163" s="127">
        <f t="shared" si="336"/>
        <v>7.68</v>
      </c>
      <c r="UB163" s="205">
        <f t="shared" si="337"/>
        <v>7.68</v>
      </c>
      <c r="UE163" s="853" t="str">
        <f>IF(ST163&lt;='1. Simulator Input'!$E$104, "yes", "")</f>
        <v>yes</v>
      </c>
      <c r="UI163" s="199">
        <f t="shared" si="306"/>
        <v>0</v>
      </c>
      <c r="UJ163" s="200">
        <f>IF('Idaho Data'!SI163&gt;=0, ((1-'1. Simulator Input'!$E$39)*'Idaho Data'!SI163), 0)</f>
        <v>0</v>
      </c>
      <c r="UK163" s="200">
        <f t="shared" si="262"/>
        <v>1007367</v>
      </c>
      <c r="UL163" s="39"/>
      <c r="UM163" s="182"/>
      <c r="UN163" s="39"/>
      <c r="UO163" s="39">
        <f>IF(AND('1. Simulator Input'!$E$96="yes", '1. Simulator Input'!$E$98="yes", '1. Simulator Input'!$E$100="hold harmless"), 'Idaho Data'!WN163, IF(AND('1. Simulator Input'!$E$96="yes", '1. Simulator Input'!$E$98="no", '1. Simulator Input'!$E$100="hold harmless"), 'Idaho Data'!WM163, IF(AND('1. Simulator Input'!$E$96="yes", '1. Simulator Input'!$E$98="yes", '1. Simulator Input'!$E$100="small district grant"), WL163,IF(AND('1. Simulator Input'!$E$96="yes", '1. Simulator Input'!$E$98="no", '1. Simulator Input'!$E$100="small district grant"), WK163, ""))))</f>
        <v>0</v>
      </c>
      <c r="UP163" s="200">
        <f>'1. Simulator Input'!$D$56*('Idaho Data'!ST163)</f>
        <v>707328</v>
      </c>
      <c r="UQ163" s="204">
        <f>'1. Simulator Input'!$D$65*'1. Simulator Input'!$D$56*'Idaho Data'!SU163</f>
        <v>0</v>
      </c>
      <c r="UR163" s="204">
        <f>'1. Simulator Input'!$D$66*'1. Simulator Input'!$D$56*'Idaho Data'!SW163</f>
        <v>0</v>
      </c>
      <c r="US163" s="200">
        <f>'1. Simulator Input'!$D$67*'1. Simulator Input'!$D$56*'Idaho Data'!TA163</f>
        <v>0</v>
      </c>
      <c r="UT163" s="200">
        <f>'1. Simulator Input'!$D$68*'1. Simulator Input'!$D$56*'Idaho Data'!TB163</f>
        <v>0</v>
      </c>
      <c r="UU163" s="200">
        <f>'1. Simulator Input'!$D$69*'1. Simulator Input'!$D$56*'Idaho Data'!TC163</f>
        <v>0</v>
      </c>
      <c r="UV163" s="200">
        <f>'1. Simulator Input'!$D$70*'1. Simulator Input'!$D$56*TD163</f>
        <v>0</v>
      </c>
      <c r="UW163" s="200">
        <f>'1. Simulator Input'!$D$80*'1. Simulator Input'!$D$56*TW163</f>
        <v>0</v>
      </c>
      <c r="UX163" s="200">
        <f>'1. Simulator Input'!$D$79*'1. Simulator Input'!$D$56*UB163</f>
        <v>0</v>
      </c>
      <c r="UY163" s="200">
        <f>'1. Simulator Input'!$D$87*'1. Simulator Input'!$D$56*TF163</f>
        <v>0</v>
      </c>
      <c r="UZ163" s="200">
        <f>'1. Simulator Input'!$D$73*'1. Simulator Input'!$D$56*'Idaho Data'!TG163</f>
        <v>0</v>
      </c>
      <c r="VA163" s="200">
        <f>'1. Simulator Input'!$D$56*'1. Simulator Input'!$D$74*'Idaho Data'!TH163</f>
        <v>0</v>
      </c>
      <c r="VB163" s="200">
        <f>'1. Simulator Input'!$D$56*'1. Simulator Input'!$D$75*'Idaho Data'!TI158</f>
        <v>0</v>
      </c>
      <c r="VC163" s="200">
        <f>'1. Simulator Input'!$D$76*'1. Simulator Input'!$D$56*'Idaho Data'!TJ163</f>
        <v>0</v>
      </c>
      <c r="VD163" s="200">
        <f t="shared" si="307"/>
        <v>707328</v>
      </c>
      <c r="VE163" s="200"/>
      <c r="VF163" s="182"/>
      <c r="VG163" s="200"/>
      <c r="VH163" s="200">
        <f t="shared" si="308"/>
        <v>0</v>
      </c>
      <c r="VI163" s="200">
        <f t="shared" si="309"/>
        <v>0</v>
      </c>
      <c r="VJ163" s="200">
        <f t="shared" si="271"/>
        <v>707328</v>
      </c>
      <c r="VK163" s="200">
        <f t="shared" si="272"/>
        <v>707328</v>
      </c>
      <c r="VL163" s="200"/>
      <c r="VM163" s="182"/>
      <c r="VN163" s="200"/>
      <c r="VO163" s="200">
        <f t="shared" si="310"/>
        <v>78656</v>
      </c>
      <c r="VP163" s="200">
        <f t="shared" si="311"/>
        <v>1007367</v>
      </c>
      <c r="VQ163" s="200">
        <f t="shared" si="312"/>
        <v>15185</v>
      </c>
      <c r="VR163" s="200">
        <f t="shared" si="313"/>
        <v>78656</v>
      </c>
      <c r="VS163" s="200">
        <f t="shared" si="273"/>
        <v>707328</v>
      </c>
      <c r="VT163" s="200">
        <f t="shared" si="274"/>
        <v>15185</v>
      </c>
      <c r="VU163" s="200">
        <f t="shared" si="275"/>
        <v>0</v>
      </c>
      <c r="VV163" s="200"/>
      <c r="VW163" s="182"/>
      <c r="VX163" s="200"/>
      <c r="VZ163" s="199">
        <f t="shared" si="314"/>
        <v>-300039</v>
      </c>
      <c r="WA163" s="466">
        <f t="shared" si="315"/>
        <v>-2344.0546875</v>
      </c>
      <c r="WB163" s="131">
        <f t="shared" si="316"/>
        <v>-0.29784477752398081</v>
      </c>
      <c r="WC163" s="131"/>
      <c r="WD163" s="461"/>
      <c r="WE163" s="893"/>
      <c r="WF163" s="893">
        <f t="shared" si="317"/>
        <v>8603.1875</v>
      </c>
      <c r="WG163" s="893">
        <f t="shared" si="318"/>
        <v>6259.1328125</v>
      </c>
      <c r="WH163" s="893"/>
      <c r="WI163" s="893">
        <f t="shared" si="319"/>
        <v>1007367</v>
      </c>
      <c r="WJ163" s="893">
        <f t="shared" si="276"/>
        <v>707328</v>
      </c>
      <c r="WK163" s="39">
        <f t="shared" si="277"/>
        <v>0</v>
      </c>
      <c r="WL163" s="39">
        <f t="shared" si="278"/>
        <v>0</v>
      </c>
      <c r="WM163" s="200">
        <f t="shared" si="279"/>
        <v>300039</v>
      </c>
      <c r="WN163" s="39">
        <f t="shared" si="280"/>
        <v>300039</v>
      </c>
      <c r="WO163" s="39"/>
      <c r="WP163" s="182"/>
      <c r="WQ163" s="39"/>
      <c r="WR163" s="305"/>
      <c r="WT163" s="200">
        <f t="shared" si="281"/>
        <v>7870.0546875</v>
      </c>
      <c r="WU163" s="131">
        <f t="shared" si="320"/>
        <v>0.74</v>
      </c>
      <c r="WW163" s="199">
        <f t="shared" si="282"/>
        <v>78656</v>
      </c>
      <c r="WX163" s="199">
        <f t="shared" si="283"/>
        <v>707328</v>
      </c>
      <c r="WY163" s="199">
        <f t="shared" si="284"/>
        <v>0</v>
      </c>
      <c r="WZ163" s="199">
        <f t="shared" si="321"/>
        <v>707328</v>
      </c>
      <c r="XA163" s="199">
        <f t="shared" si="285"/>
        <v>0</v>
      </c>
      <c r="XB163" s="199">
        <f t="shared" si="286"/>
        <v>15185</v>
      </c>
      <c r="XC163" s="199">
        <f t="shared" si="287"/>
        <v>15185</v>
      </c>
      <c r="XD163" s="199" t="str">
        <f t="shared" si="288"/>
        <v/>
      </c>
      <c r="XE163" s="199"/>
      <c r="XF163" s="199"/>
      <c r="XG163" s="199"/>
      <c r="XH163" s="199"/>
      <c r="XI163" s="199"/>
      <c r="XJ163" s="199">
        <f t="shared" si="322"/>
        <v>707328</v>
      </c>
      <c r="XP163" s="199">
        <f t="shared" si="289"/>
        <v>707328</v>
      </c>
      <c r="XQ163" s="199">
        <f t="shared" si="290"/>
        <v>5526</v>
      </c>
      <c r="XR163" s="199">
        <f t="shared" si="291"/>
        <v>707328</v>
      </c>
      <c r="XS163" s="199">
        <f t="shared" si="292"/>
        <v>707328</v>
      </c>
      <c r="XT163" s="199">
        <f t="shared" si="293"/>
        <v>5526</v>
      </c>
      <c r="XU163" s="199">
        <f t="shared" si="294"/>
        <v>1007367</v>
      </c>
      <c r="XV163" s="199">
        <f t="shared" si="295"/>
        <v>7870.0546875</v>
      </c>
      <c r="XW163" s="199">
        <f t="shared" si="296"/>
        <v>1007367</v>
      </c>
      <c r="XX163" s="199">
        <f t="shared" si="297"/>
        <v>7870.0546875</v>
      </c>
      <c r="XY163" s="199">
        <f t="shared" si="323"/>
        <v>-300039</v>
      </c>
      <c r="XZ163" s="199">
        <f t="shared" si="324"/>
        <v>-2344.0546875</v>
      </c>
      <c r="YA163" s="131">
        <f t="shared" si="338"/>
        <v>-0.29784477752398081</v>
      </c>
      <c r="YB163" s="199"/>
      <c r="YC163" s="221"/>
      <c r="YD163" s="199"/>
      <c r="YE163" s="199">
        <f t="shared" si="298"/>
        <v>78656</v>
      </c>
      <c r="YF163" s="200">
        <f t="shared" si="299"/>
        <v>0</v>
      </c>
      <c r="YG163" s="199">
        <f t="shared" si="300"/>
        <v>15185</v>
      </c>
      <c r="YH163" s="199">
        <f t="shared" si="301"/>
        <v>15000</v>
      </c>
    </row>
    <row r="164" spans="1:658">
      <c r="C164" s="24"/>
      <c r="D164" s="39"/>
      <c r="E164" s="39"/>
      <c r="F164" s="39"/>
      <c r="G164" s="39"/>
      <c r="H164" s="39"/>
      <c r="I164" s="39"/>
      <c r="J164" s="39"/>
      <c r="K164" s="39"/>
      <c r="L164" s="24"/>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f>SUM(HC10:HC163)</f>
        <v>113346</v>
      </c>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G164" s="39"/>
      <c r="RH164" s="39"/>
      <c r="RI164" s="39"/>
      <c r="RJ164" s="39"/>
      <c r="RK164" s="39"/>
      <c r="RL164" s="39"/>
      <c r="RM164" s="39"/>
      <c r="RN164" s="39"/>
      <c r="RO164" s="39"/>
      <c r="RP164" s="39"/>
      <c r="RQ164" s="39"/>
      <c r="RR164" s="39"/>
      <c r="RS164" s="39"/>
      <c r="RT164" s="182"/>
      <c r="RU164" s="39"/>
      <c r="RV164" s="39"/>
      <c r="RW164" s="39"/>
      <c r="RX164" s="39"/>
      <c r="RY164" s="39"/>
      <c r="RZ164" s="39"/>
      <c r="SA164" s="182"/>
      <c r="SB164" s="39"/>
      <c r="SC164" s="39"/>
      <c r="SD164" s="39"/>
      <c r="SE164" s="39"/>
      <c r="SF164" s="631"/>
      <c r="SG164" s="631"/>
      <c r="SH164" s="39"/>
      <c r="SI164" s="39"/>
      <c r="SM164" s="39"/>
      <c r="SN164" s="39"/>
      <c r="SO164" s="39"/>
      <c r="SP164" s="50"/>
      <c r="ST164" s="124"/>
      <c r="SU164" s="124"/>
      <c r="SV164" s="131"/>
      <c r="SW164" s="124"/>
      <c r="SX164" s="131"/>
      <c r="SY164" s="124"/>
      <c r="SZ164" s="131"/>
      <c r="TA164" s="142"/>
      <c r="TB164" s="142"/>
      <c r="TC164" s="142"/>
      <c r="TD164" s="142"/>
      <c r="TE164" s="124"/>
      <c r="TF164" s="124"/>
      <c r="TG164" s="124"/>
      <c r="TH164" s="124"/>
      <c r="TI164" s="124"/>
      <c r="TJ164" s="124"/>
      <c r="TK164" s="124"/>
      <c r="TL164" s="131"/>
      <c r="TM164" s="134"/>
      <c r="TN164" s="131"/>
      <c r="TO164" s="135"/>
      <c r="TP164" s="514"/>
      <c r="TQ164" s="168"/>
      <c r="TU164" s="168"/>
      <c r="TV164" s="168"/>
      <c r="TW164" s="205"/>
      <c r="TX164" s="144"/>
      <c r="TY164" s="514"/>
      <c r="TZ164" s="127"/>
      <c r="UA164" s="127"/>
      <c r="UB164" s="205"/>
      <c r="UE164" s="514"/>
      <c r="UI164" s="199"/>
      <c r="UJ164" s="200"/>
      <c r="UK164" s="200"/>
      <c r="UL164" s="39"/>
      <c r="UM164" s="182"/>
      <c r="UN164" s="39"/>
      <c r="UO164" s="200"/>
      <c r="UQ164" s="204"/>
      <c r="UR164" s="204"/>
      <c r="US164" s="200"/>
      <c r="UT164" s="200"/>
      <c r="UU164" s="200"/>
      <c r="UV164" s="200"/>
      <c r="UW164" s="200"/>
      <c r="UX164" s="200"/>
      <c r="UY164" s="200"/>
      <c r="UZ164" s="200"/>
      <c r="VA164" s="200"/>
      <c r="VB164" s="200"/>
      <c r="VC164" s="200"/>
      <c r="VD164" s="200"/>
      <c r="VE164" s="200"/>
      <c r="VF164" s="182"/>
      <c r="VG164" s="200"/>
      <c r="VH164" s="200"/>
      <c r="VI164" s="200"/>
      <c r="VJ164" s="200"/>
      <c r="VK164" s="200"/>
      <c r="VL164" s="200"/>
      <c r="VM164" s="182"/>
      <c r="VN164" s="200"/>
      <c r="VO164" s="200"/>
      <c r="VP164" s="200"/>
      <c r="VQ164" s="200"/>
      <c r="VR164" s="200"/>
      <c r="VS164" s="200"/>
      <c r="VT164" s="200"/>
      <c r="VU164" s="200"/>
      <c r="VV164" s="200"/>
      <c r="VW164" s="182"/>
      <c r="VX164" s="200"/>
      <c r="WC164" s="131"/>
      <c r="WD164" s="461"/>
      <c r="WE164" s="893"/>
      <c r="WF164" s="893"/>
      <c r="WG164" s="893"/>
      <c r="WH164" s="893"/>
      <c r="WI164" s="893"/>
      <c r="WJ164" s="893"/>
      <c r="WK164" s="200"/>
      <c r="WL164" s="39"/>
      <c r="WM164" s="39"/>
      <c r="WN164" s="39"/>
      <c r="WO164" s="39"/>
      <c r="WP164" s="182"/>
      <c r="WQ164" s="39"/>
      <c r="WT164" s="200"/>
      <c r="WU164" s="131"/>
      <c r="XP164" s="199"/>
      <c r="XQ164" s="199"/>
      <c r="XR164" s="199"/>
      <c r="XS164" s="199"/>
      <c r="XT164" s="199"/>
      <c r="XU164" s="199"/>
      <c r="XV164" s="199"/>
      <c r="XW164" s="199"/>
      <c r="XX164" s="199"/>
      <c r="XY164" s="199"/>
      <c r="XZ164" s="199"/>
      <c r="YA164" s="131"/>
      <c r="YB164" s="199"/>
      <c r="YC164" s="221"/>
      <c r="YD164" s="199"/>
      <c r="YE164" s="199"/>
      <c r="YF164" s="200"/>
      <c r="YG164" s="199"/>
      <c r="YH164" s="199"/>
    </row>
    <row r="165" spans="1:658">
      <c r="B165" s="2" t="s">
        <v>266</v>
      </c>
      <c r="C165" s="641">
        <f>SUM(C10:HB163)</f>
        <v>582406598</v>
      </c>
      <c r="OR165" s="190">
        <f>SUM(OR10:OR163)</f>
        <v>2277845</v>
      </c>
      <c r="OS165" s="190">
        <f t="shared" ref="OS165:RB165" si="342">SUM(OS10:OS163)</f>
        <v>33593</v>
      </c>
      <c r="OT165" s="190">
        <f t="shared" si="342"/>
        <v>35073957</v>
      </c>
      <c r="OU165" s="190">
        <f t="shared" si="342"/>
        <v>113446744</v>
      </c>
      <c r="OV165" s="190">
        <f t="shared" si="342"/>
        <v>4455542</v>
      </c>
      <c r="OW165" s="190">
        <f t="shared" si="342"/>
        <v>614043</v>
      </c>
      <c r="OX165" s="190">
        <f t="shared" si="342"/>
        <v>595581</v>
      </c>
      <c r="OY165" s="190">
        <f t="shared" si="342"/>
        <v>27821</v>
      </c>
      <c r="OZ165" s="190">
        <f t="shared" si="342"/>
        <v>58365</v>
      </c>
      <c r="PA165" s="190">
        <f t="shared" si="342"/>
        <v>221</v>
      </c>
      <c r="PB165" s="190">
        <f t="shared" si="342"/>
        <v>86783</v>
      </c>
      <c r="PC165" s="190">
        <f t="shared" si="342"/>
        <v>483459</v>
      </c>
      <c r="PD165" s="190">
        <f t="shared" si="342"/>
        <v>658218</v>
      </c>
      <c r="PE165" s="190">
        <f t="shared" si="342"/>
        <v>11900</v>
      </c>
      <c r="PF165" s="190">
        <f t="shared" si="342"/>
        <v>38110</v>
      </c>
      <c r="PG165" s="190">
        <f t="shared" si="342"/>
        <v>134659</v>
      </c>
      <c r="PH165" s="190">
        <f t="shared" si="342"/>
        <v>6628731</v>
      </c>
      <c r="PI165" s="190">
        <f t="shared" si="342"/>
        <v>897735</v>
      </c>
      <c r="PJ165" s="190">
        <f t="shared" si="342"/>
        <v>349547</v>
      </c>
      <c r="PK165" s="190">
        <f t="shared" si="342"/>
        <v>75592</v>
      </c>
      <c r="PL165" s="190">
        <f t="shared" si="342"/>
        <v>376302</v>
      </c>
      <c r="PM165" s="190">
        <f t="shared" si="342"/>
        <v>352427</v>
      </c>
      <c r="PN165" s="190">
        <f t="shared" si="342"/>
        <v>307991</v>
      </c>
      <c r="PO165" s="190">
        <f t="shared" si="342"/>
        <v>156937</v>
      </c>
      <c r="PP165" s="190">
        <f t="shared" si="342"/>
        <v>53500</v>
      </c>
      <c r="PQ165" s="190">
        <f t="shared" si="342"/>
        <v>4016</v>
      </c>
      <c r="PR165" s="190">
        <f t="shared" si="342"/>
        <v>191099</v>
      </c>
      <c r="PS165" s="190">
        <f t="shared" si="342"/>
        <v>455000</v>
      </c>
      <c r="PT165" s="190">
        <f t="shared" si="342"/>
        <v>861505</v>
      </c>
      <c r="PU165" s="190">
        <f t="shared" si="342"/>
        <v>64097</v>
      </c>
      <c r="PV165" s="190">
        <f t="shared" si="342"/>
        <v>4957</v>
      </c>
      <c r="PW165" s="190">
        <f t="shared" si="342"/>
        <v>1900634</v>
      </c>
      <c r="PX165" s="190">
        <f t="shared" si="342"/>
        <v>10781</v>
      </c>
      <c r="PY165" s="190">
        <f t="shared" si="342"/>
        <v>614</v>
      </c>
      <c r="PZ165" s="190">
        <f t="shared" si="342"/>
        <v>64420</v>
      </c>
      <c r="QA165" s="190">
        <f t="shared" si="342"/>
        <v>166722</v>
      </c>
      <c r="QB165" s="190">
        <f t="shared" si="342"/>
        <v>221828</v>
      </c>
      <c r="QC165" s="190">
        <f t="shared" si="342"/>
        <v>1705</v>
      </c>
      <c r="QD165" s="190">
        <f t="shared" si="342"/>
        <v>420198</v>
      </c>
      <c r="QE165" s="190">
        <f t="shared" si="342"/>
        <v>34190</v>
      </c>
      <c r="QF165" s="190">
        <f t="shared" si="342"/>
        <v>26976</v>
      </c>
      <c r="QG165" s="190">
        <f t="shared" si="342"/>
        <v>5163</v>
      </c>
      <c r="QH165" s="190">
        <f t="shared" si="342"/>
        <v>2387</v>
      </c>
      <c r="QI165" s="190">
        <f t="shared" si="342"/>
        <v>450</v>
      </c>
      <c r="QJ165" s="190">
        <f t="shared" si="342"/>
        <v>35038</v>
      </c>
      <c r="QK165" s="190">
        <f t="shared" si="342"/>
        <v>22383</v>
      </c>
      <c r="QL165" s="190">
        <f t="shared" si="342"/>
        <v>1022</v>
      </c>
      <c r="QM165" s="190">
        <f t="shared" si="342"/>
        <v>37887</v>
      </c>
      <c r="QN165" s="190">
        <f t="shared" si="342"/>
        <v>58</v>
      </c>
      <c r="QO165" s="190">
        <f t="shared" si="342"/>
        <v>5901</v>
      </c>
      <c r="QP165" s="190">
        <f t="shared" si="342"/>
        <v>983</v>
      </c>
      <c r="QQ165" s="190">
        <f t="shared" si="342"/>
        <v>24356</v>
      </c>
      <c r="QR165" s="190">
        <f t="shared" si="342"/>
        <v>9633</v>
      </c>
      <c r="QS165" s="190">
        <f t="shared" si="342"/>
        <v>2416962</v>
      </c>
      <c r="QT165" s="190">
        <f t="shared" si="342"/>
        <v>4047969</v>
      </c>
      <c r="QU165" s="190">
        <f t="shared" si="342"/>
        <v>2167114</v>
      </c>
      <c r="QV165" s="190">
        <f t="shared" si="342"/>
        <v>13675079</v>
      </c>
      <c r="QW165" s="190">
        <f t="shared" si="342"/>
        <v>4429059</v>
      </c>
      <c r="QX165" s="190">
        <f t="shared" si="342"/>
        <v>411518</v>
      </c>
      <c r="QY165" s="190">
        <f t="shared" si="342"/>
        <v>1245700</v>
      </c>
      <c r="QZ165" s="190">
        <f t="shared" si="342"/>
        <v>229261</v>
      </c>
      <c r="RA165" s="190">
        <f t="shared" si="342"/>
        <v>12933</v>
      </c>
      <c r="RB165" s="190">
        <f t="shared" si="342"/>
        <v>1533</v>
      </c>
      <c r="RG165" s="39"/>
      <c r="RH165" s="39"/>
      <c r="RI165" s="39"/>
      <c r="RJ165" s="39"/>
      <c r="RK165" s="39"/>
      <c r="RL165" s="39"/>
      <c r="RM165" s="39"/>
      <c r="RN165" s="39"/>
      <c r="RO165" s="39"/>
      <c r="RP165" s="39"/>
      <c r="RQ165" s="39"/>
      <c r="RR165" s="39">
        <f>SUM(RG5:RR5)</f>
        <v>1552325077</v>
      </c>
      <c r="RS165" s="39"/>
      <c r="RT165" s="182"/>
      <c r="RU165" s="39"/>
      <c r="RV165" s="39">
        <f>SUM(RV10:RV163)</f>
        <v>248757909</v>
      </c>
      <c r="RW165" s="39">
        <f t="shared" ref="RW165:RY165" si="343">SUM(RW10:RW163)</f>
        <v>1552325077</v>
      </c>
      <c r="RX165" s="39">
        <f t="shared" si="343"/>
        <v>582406598</v>
      </c>
      <c r="RY165" s="39">
        <f t="shared" si="343"/>
        <v>200406734</v>
      </c>
      <c r="RZ165" s="39"/>
      <c r="SA165" s="182"/>
      <c r="SB165" s="39"/>
      <c r="SC165" s="39"/>
      <c r="SD165" s="39"/>
      <c r="SE165" s="39"/>
      <c r="SF165" s="631"/>
      <c r="SG165" s="631"/>
      <c r="SH165" s="39"/>
      <c r="SI165" s="39"/>
      <c r="SM165" s="39"/>
      <c r="SN165" s="39"/>
      <c r="SO165" s="39"/>
      <c r="SP165" s="50"/>
      <c r="ST165" s="124">
        <f>SUM(ST10:ST163)</f>
        <v>270347</v>
      </c>
      <c r="SU165" s="124">
        <f>SUM(SU10:SU163)</f>
        <v>124967.2707584045</v>
      </c>
      <c r="SV165" s="131"/>
      <c r="SW165" s="124">
        <f>SUM(SW10:SW163)</f>
        <v>26240</v>
      </c>
      <c r="SX165" s="124"/>
      <c r="SY165" s="124">
        <f>SUM(SY10:SY163)</f>
        <v>29534</v>
      </c>
      <c r="SZ165" s="131"/>
      <c r="TA165" s="142"/>
      <c r="TB165" s="142"/>
      <c r="TC165" s="142"/>
      <c r="TD165" s="142"/>
      <c r="TE165" s="124"/>
      <c r="TF165" s="124"/>
      <c r="TG165" s="124"/>
      <c r="TH165" s="124"/>
      <c r="TI165" s="124"/>
      <c r="TJ165" s="124"/>
      <c r="TK165" s="124"/>
      <c r="TL165" s="131"/>
      <c r="TM165" s="134"/>
      <c r="TN165" s="131"/>
      <c r="TO165" s="135"/>
      <c r="TP165" s="514"/>
      <c r="TQ165" s="168"/>
      <c r="TU165" s="168"/>
      <c r="TV165" s="168"/>
      <c r="TW165" s="205"/>
      <c r="TX165" s="144"/>
      <c r="TY165" s="514"/>
      <c r="TZ165" s="514"/>
      <c r="UA165" s="169"/>
      <c r="UB165" s="205"/>
      <c r="UE165" s="514"/>
      <c r="UI165" s="199"/>
      <c r="UJ165" s="200"/>
      <c r="UK165" s="200"/>
      <c r="UL165" s="39"/>
      <c r="UM165" s="182"/>
      <c r="UN165" s="39"/>
      <c r="UO165" s="200"/>
      <c r="UQ165" s="204"/>
      <c r="UR165" s="204"/>
      <c r="US165" s="200"/>
      <c r="UT165" s="200"/>
      <c r="UU165" s="200"/>
      <c r="UV165" s="200"/>
      <c r="UW165" s="200"/>
      <c r="UX165" s="200"/>
      <c r="UY165" s="200"/>
      <c r="UZ165" s="200"/>
      <c r="VA165" s="200"/>
      <c r="VB165" s="200"/>
      <c r="VC165" s="200"/>
      <c r="VD165" s="200"/>
      <c r="VE165" s="200"/>
      <c r="VF165" s="182"/>
      <c r="VG165" s="200"/>
      <c r="VH165" s="200"/>
      <c r="VI165" s="200"/>
      <c r="VJ165" s="200"/>
      <c r="VK165" s="200"/>
      <c r="VL165" s="200"/>
      <c r="VM165" s="182"/>
      <c r="VN165" s="200"/>
      <c r="VO165" s="200"/>
      <c r="VP165" s="200"/>
      <c r="VQ165" s="200"/>
      <c r="VR165" s="200"/>
      <c r="VS165" s="200"/>
      <c r="VT165" s="200"/>
      <c r="VU165" s="200"/>
      <c r="VV165" s="200"/>
      <c r="VW165" s="182"/>
      <c r="VX165" s="200"/>
      <c r="WC165" s="131"/>
      <c r="WD165" s="461"/>
      <c r="WE165" s="893"/>
      <c r="WF165" s="893"/>
      <c r="WG165" s="893"/>
      <c r="WH165" s="893"/>
      <c r="WI165" s="893"/>
      <c r="WJ165" s="893"/>
      <c r="WK165" s="200"/>
      <c r="WL165" s="39"/>
      <c r="WM165" s="39"/>
      <c r="WN165" s="39"/>
      <c r="WO165" s="39"/>
      <c r="WP165" s="182"/>
      <c r="WQ165" s="39"/>
      <c r="WT165" s="200"/>
      <c r="WU165" s="131"/>
      <c r="XP165" s="199"/>
      <c r="XQ165" s="199"/>
      <c r="XR165" s="199"/>
      <c r="XS165" s="199"/>
      <c r="XT165" s="199"/>
      <c r="XU165" s="199"/>
      <c r="XV165" s="199"/>
      <c r="XW165" s="199"/>
      <c r="XX165" s="199"/>
      <c r="XY165" s="199"/>
      <c r="XZ165" s="199"/>
      <c r="YA165" s="131"/>
      <c r="YB165" s="199"/>
      <c r="YC165" s="221"/>
      <c r="YD165" s="199"/>
      <c r="YE165" s="199"/>
      <c r="YF165" s="200"/>
      <c r="YG165" s="199"/>
      <c r="YH165" s="199"/>
    </row>
    <row r="166" spans="1:658">
      <c r="RB166" s="39">
        <v>2583896318</v>
      </c>
      <c r="RG166" s="39"/>
      <c r="RH166" s="39"/>
      <c r="RI166" s="39"/>
      <c r="RJ166" s="39"/>
      <c r="RK166" s="39"/>
      <c r="RL166" s="39"/>
      <c r="RM166" s="39"/>
      <c r="RN166" s="39"/>
      <c r="RO166" s="39"/>
      <c r="RP166" s="39"/>
      <c r="RQ166" s="39"/>
      <c r="RR166" s="39"/>
      <c r="RS166" s="39"/>
      <c r="RT166" s="182"/>
      <c r="RU166" s="39"/>
      <c r="RV166" s="39"/>
      <c r="RW166" s="39"/>
      <c r="RX166" s="39"/>
      <c r="RY166" s="39"/>
      <c r="RZ166" s="39"/>
      <c r="SA166" s="182"/>
      <c r="SB166" s="39"/>
      <c r="SC166" s="39"/>
      <c r="SD166" s="39"/>
      <c r="SE166" s="39"/>
      <c r="SF166" s="631"/>
      <c r="SG166" s="631"/>
      <c r="SH166" s="39"/>
      <c r="SI166" s="39"/>
      <c r="SM166" s="39"/>
      <c r="SN166" s="39"/>
      <c r="SO166" s="39"/>
      <c r="SP166" s="50"/>
      <c r="ST166" s="124"/>
      <c r="SU166" s="497"/>
      <c r="SV166" s="131"/>
      <c r="SX166" s="131"/>
      <c r="SY166" s="124"/>
      <c r="SZ166" s="131"/>
      <c r="TA166" s="142"/>
      <c r="TB166" s="142"/>
      <c r="TC166" s="142"/>
      <c r="TD166" s="142"/>
      <c r="TE166" s="124"/>
      <c r="TF166" s="124"/>
      <c r="TG166" s="124"/>
      <c r="TH166" s="124"/>
      <c r="TI166" s="124"/>
      <c r="TJ166" s="124"/>
      <c r="TK166" s="124"/>
      <c r="TL166" s="131"/>
      <c r="TM166" s="134"/>
      <c r="TN166" s="131"/>
      <c r="TO166" s="135"/>
      <c r="TP166" s="514"/>
      <c r="TQ166" s="168"/>
      <c r="TU166" s="168"/>
      <c r="TV166" s="168"/>
      <c r="TW166" s="205"/>
      <c r="TX166" s="144"/>
      <c r="TY166" s="514"/>
      <c r="TZ166" s="514"/>
      <c r="UA166" s="169"/>
      <c r="UB166" s="205"/>
      <c r="UE166" s="514"/>
      <c r="UI166" s="199"/>
      <c r="UJ166" s="200"/>
      <c r="UK166" s="200"/>
      <c r="UL166" s="39"/>
      <c r="UM166" s="182"/>
      <c r="UN166" s="39"/>
      <c r="UO166" s="200"/>
      <c r="UQ166" s="204"/>
      <c r="UR166" s="204"/>
      <c r="US166" s="200"/>
      <c r="UT166" s="200"/>
      <c r="UU166" s="200"/>
      <c r="UV166" s="200"/>
      <c r="UW166" s="200"/>
      <c r="UX166" s="200"/>
      <c r="UY166" s="200"/>
      <c r="UZ166" s="200"/>
      <c r="VA166" s="200"/>
      <c r="VB166" s="200"/>
      <c r="VC166" s="200"/>
      <c r="VD166" s="200"/>
      <c r="VE166" s="200"/>
      <c r="VF166" s="182"/>
      <c r="VG166" s="200"/>
      <c r="VH166" s="200"/>
      <c r="VI166" s="200"/>
      <c r="VJ166" s="200"/>
      <c r="VK166" s="200"/>
      <c r="VL166" s="200"/>
      <c r="VM166" s="182"/>
      <c r="VN166" s="200"/>
      <c r="VO166" s="200"/>
      <c r="VP166" s="200"/>
      <c r="VQ166" s="200"/>
      <c r="VR166" s="200"/>
      <c r="VS166" s="200"/>
      <c r="VT166" s="200"/>
      <c r="VU166" s="200"/>
      <c r="VV166" s="200"/>
      <c r="VW166" s="182"/>
      <c r="VX166" s="200"/>
      <c r="WC166" s="131"/>
      <c r="WD166" s="461"/>
      <c r="WE166" s="893"/>
      <c r="WF166" s="893"/>
      <c r="WG166" s="893"/>
      <c r="WH166" s="893"/>
      <c r="WI166" s="893"/>
      <c r="WJ166" s="893"/>
      <c r="WK166" s="200"/>
      <c r="WL166" s="39"/>
      <c r="WM166" s="39"/>
      <c r="WN166" s="39"/>
      <c r="WO166" s="39"/>
      <c r="WP166" s="182"/>
      <c r="WQ166" s="39"/>
      <c r="WT166" s="200"/>
      <c r="WU166" s="131"/>
      <c r="XP166" s="199"/>
      <c r="XQ166" s="199"/>
      <c r="XR166" s="199"/>
      <c r="XS166" s="199"/>
      <c r="XT166" s="199"/>
      <c r="XU166" s="199"/>
      <c r="XV166" s="199"/>
      <c r="XW166" s="199"/>
      <c r="XX166" s="199"/>
      <c r="XY166" s="199"/>
      <c r="XZ166" s="199"/>
      <c r="YA166" s="131"/>
      <c r="YB166" s="199"/>
      <c r="YC166" s="221"/>
      <c r="YD166" s="199"/>
      <c r="YE166" s="199"/>
      <c r="YF166" s="200"/>
      <c r="YG166" s="199"/>
      <c r="YH166" s="199"/>
    </row>
    <row r="167" spans="1:658">
      <c r="RG167" s="39"/>
      <c r="RH167" s="39"/>
      <c r="RI167" s="39"/>
      <c r="RJ167" s="39"/>
      <c r="RK167" s="39"/>
      <c r="RL167" s="39"/>
      <c r="RM167" s="39"/>
      <c r="RN167" s="39"/>
      <c r="RO167" s="39"/>
      <c r="RP167" s="39"/>
      <c r="RQ167" s="39"/>
      <c r="RR167" s="39"/>
      <c r="RS167" s="39"/>
      <c r="RT167" s="182"/>
      <c r="RU167" s="39"/>
      <c r="RV167" s="39"/>
      <c r="RW167" s="39"/>
      <c r="RX167" s="39"/>
      <c r="RY167" s="39"/>
      <c r="RZ167" s="39"/>
      <c r="SA167" s="182"/>
      <c r="SB167" s="39"/>
      <c r="SC167" s="39"/>
      <c r="SD167" s="39"/>
      <c r="SE167" s="39"/>
      <c r="SF167" s="631"/>
      <c r="SG167" s="631"/>
      <c r="SH167" s="39"/>
      <c r="SI167" s="39"/>
      <c r="SM167" s="39"/>
      <c r="SN167" s="39"/>
      <c r="SO167" s="39"/>
      <c r="SP167" s="50"/>
      <c r="ST167" s="124"/>
      <c r="SU167" s="497"/>
      <c r="SV167" s="131"/>
      <c r="SX167" s="131"/>
      <c r="SY167" s="124"/>
      <c r="SZ167" s="131"/>
      <c r="TA167" s="142"/>
      <c r="TB167" s="142"/>
      <c r="TC167" s="142"/>
      <c r="TD167" s="142"/>
      <c r="TE167" s="124"/>
      <c r="TF167" s="124"/>
      <c r="TG167" s="124"/>
      <c r="TH167" s="124"/>
      <c r="TI167" s="124"/>
      <c r="TJ167" s="124"/>
      <c r="TK167" s="124"/>
      <c r="TL167" s="131"/>
      <c r="TM167" s="134"/>
      <c r="TN167" s="131"/>
      <c r="TO167" s="135"/>
      <c r="TP167" s="514"/>
      <c r="TQ167" s="168"/>
      <c r="TU167" s="168"/>
      <c r="TV167" s="168"/>
      <c r="TW167" s="205"/>
      <c r="TX167" s="144"/>
      <c r="TY167" s="514"/>
      <c r="TZ167" s="514"/>
      <c r="UA167" s="169"/>
      <c r="UB167" s="205"/>
      <c r="UE167" s="514"/>
      <c r="UI167" s="199"/>
      <c r="UJ167" s="200"/>
      <c r="UK167" s="200"/>
      <c r="UL167" s="39"/>
      <c r="UM167" s="182"/>
      <c r="UN167" s="39"/>
      <c r="UO167" s="200"/>
      <c r="UQ167" s="204"/>
      <c r="UR167" s="204"/>
      <c r="US167" s="200"/>
      <c r="UT167" s="200"/>
      <c r="UU167" s="200"/>
      <c r="UV167" s="200"/>
      <c r="UW167" s="200"/>
      <c r="UX167" s="200"/>
      <c r="UY167" s="200"/>
      <c r="UZ167" s="200"/>
      <c r="VA167" s="200"/>
      <c r="VB167" s="200"/>
      <c r="VC167" s="200"/>
      <c r="VD167" s="200"/>
      <c r="VE167" s="200"/>
      <c r="VF167" s="182"/>
      <c r="VG167" s="200"/>
      <c r="VH167" s="200"/>
      <c r="VI167" s="200"/>
      <c r="VJ167" s="200"/>
      <c r="VK167" s="200"/>
      <c r="VL167" s="200"/>
      <c r="VM167" s="182"/>
      <c r="VN167" s="200"/>
      <c r="VO167" s="200"/>
      <c r="VP167" s="200"/>
      <c r="VQ167" s="200"/>
      <c r="VR167" s="200"/>
      <c r="VS167" s="200"/>
      <c r="VT167" s="200"/>
      <c r="VU167" s="200"/>
      <c r="VV167" s="200"/>
      <c r="VW167" s="182"/>
      <c r="VX167" s="200"/>
      <c r="WC167" s="131"/>
      <c r="WD167" s="461"/>
      <c r="WE167" s="893"/>
      <c r="WF167" s="893"/>
      <c r="WG167" s="893"/>
      <c r="WH167" s="893"/>
      <c r="WI167" s="893"/>
      <c r="WJ167" s="893"/>
      <c r="WK167" s="200"/>
      <c r="WL167" s="39"/>
      <c r="WM167" s="39"/>
      <c r="WN167" s="39"/>
      <c r="WO167" s="39"/>
      <c r="WP167" s="182"/>
      <c r="WQ167" s="39"/>
      <c r="WT167" s="200"/>
      <c r="WU167" s="131"/>
      <c r="XP167" s="199"/>
      <c r="XQ167" s="199"/>
      <c r="XR167" s="199"/>
      <c r="XS167" s="199"/>
      <c r="XT167" s="199"/>
      <c r="XU167" s="199"/>
      <c r="XV167" s="199"/>
      <c r="XW167" s="199"/>
      <c r="XX167" s="199"/>
      <c r="XY167" s="199"/>
      <c r="XZ167" s="199"/>
      <c r="YA167" s="131"/>
      <c r="YB167" s="199"/>
      <c r="YC167" s="221"/>
      <c r="YD167" s="199"/>
      <c r="YE167" s="199"/>
      <c r="YF167" s="200"/>
      <c r="YG167" s="199"/>
      <c r="YH167" s="199"/>
    </row>
    <row r="168" spans="1:658">
      <c r="RG168" s="39"/>
      <c r="RH168" s="39"/>
      <c r="RI168" s="39"/>
      <c r="RJ168" s="39"/>
      <c r="RK168" s="39"/>
      <c r="RL168" s="39"/>
      <c r="RM168" s="39"/>
      <c r="RN168" s="39"/>
      <c r="RO168" s="39"/>
      <c r="RP168" s="39"/>
      <c r="RQ168" s="39"/>
      <c r="RR168" s="39"/>
      <c r="RS168" s="39"/>
      <c r="RT168" s="182"/>
      <c r="RU168" s="39"/>
      <c r="RV168" s="39"/>
      <c r="RW168" s="39"/>
      <c r="RX168" s="39"/>
      <c r="RY168" s="39"/>
      <c r="RZ168" s="39"/>
      <c r="SA168" s="182"/>
      <c r="SB168" s="39"/>
      <c r="SC168" s="39"/>
      <c r="SD168" s="39"/>
      <c r="SE168" s="39"/>
      <c r="SF168" s="631"/>
      <c r="SG168" s="631"/>
      <c r="SH168" s="39"/>
      <c r="SI168" s="39"/>
      <c r="SM168" s="39"/>
      <c r="SN168" s="39"/>
      <c r="SO168" s="39"/>
      <c r="SP168" s="50"/>
      <c r="ST168" s="124"/>
      <c r="SU168" s="497"/>
      <c r="SV168" s="131"/>
      <c r="SX168" s="131"/>
      <c r="SY168" s="124"/>
      <c r="SZ168" s="131"/>
      <c r="TA168" s="142"/>
      <c r="TB168" s="142"/>
      <c r="TC168" s="142"/>
      <c r="TD168" s="142"/>
      <c r="TE168" s="124"/>
      <c r="TF168" s="124"/>
      <c r="TG168" s="124"/>
      <c r="TH168" s="124"/>
      <c r="TI168" s="124"/>
      <c r="TJ168" s="124"/>
      <c r="TK168" s="124"/>
      <c r="TL168" s="131"/>
      <c r="TM168" s="134"/>
      <c r="TN168" s="131"/>
      <c r="TO168" s="135"/>
      <c r="TP168" s="514"/>
      <c r="TQ168" s="168"/>
      <c r="TU168" s="168"/>
      <c r="TV168" s="168"/>
      <c r="TW168" s="205"/>
      <c r="TX168" s="144"/>
      <c r="TY168" s="514"/>
      <c r="TZ168" s="514"/>
      <c r="UA168" s="169"/>
      <c r="UB168" s="205"/>
      <c r="UE168" s="514"/>
      <c r="UI168" s="199"/>
      <c r="UJ168" s="200"/>
      <c r="UK168" s="200"/>
      <c r="UL168" s="39"/>
      <c r="UM168" s="182"/>
      <c r="UN168" s="39"/>
      <c r="UO168" s="200"/>
      <c r="UQ168" s="204"/>
      <c r="UR168" s="204"/>
      <c r="US168" s="200"/>
      <c r="UT168" s="200"/>
      <c r="UU168" s="200"/>
      <c r="UV168" s="200"/>
      <c r="UW168" s="200"/>
      <c r="UX168" s="200"/>
      <c r="UY168" s="200"/>
      <c r="UZ168" s="200"/>
      <c r="VA168" s="200"/>
      <c r="VB168" s="200"/>
      <c r="VC168" s="200"/>
      <c r="VD168" s="200"/>
      <c r="VE168" s="200"/>
      <c r="VF168" s="182"/>
      <c r="VG168" s="200"/>
      <c r="VH168" s="200"/>
      <c r="VK168" s="200"/>
      <c r="VL168" s="200"/>
      <c r="VM168" s="182"/>
      <c r="VN168" s="200"/>
      <c r="VO168" s="200"/>
      <c r="VP168" s="200"/>
      <c r="VQ168" s="200"/>
      <c r="VR168" s="200"/>
      <c r="VS168" s="200"/>
      <c r="VT168" s="200"/>
      <c r="VU168" s="200"/>
      <c r="VV168" s="200"/>
      <c r="VW168" s="182"/>
      <c r="VX168" s="200"/>
      <c r="WC168" s="131"/>
      <c r="WD168" s="461"/>
      <c r="WE168" s="893"/>
      <c r="WF168" s="893"/>
      <c r="WG168" s="893"/>
      <c r="WH168" s="893"/>
      <c r="WI168" s="893"/>
      <c r="WJ168" s="893"/>
      <c r="WK168" s="200"/>
      <c r="WL168" s="39"/>
      <c r="WM168" s="39"/>
      <c r="WN168" s="39"/>
      <c r="WO168" s="39"/>
      <c r="WP168" s="182"/>
      <c r="WQ168" s="39"/>
      <c r="WT168" s="200"/>
      <c r="WU168" s="131"/>
      <c r="XP168" s="199"/>
      <c r="XQ168" s="199"/>
      <c r="XR168" s="199"/>
      <c r="XS168" s="199"/>
      <c r="XT168" s="199"/>
      <c r="XU168" s="199"/>
      <c r="XV168" s="199"/>
      <c r="XW168" s="199"/>
      <c r="XX168" s="199"/>
      <c r="XY168" s="199"/>
      <c r="XZ168" s="199"/>
      <c r="YA168" s="131"/>
      <c r="YB168" s="199"/>
      <c r="YC168" s="221"/>
      <c r="YD168" s="199"/>
      <c r="YE168" s="199"/>
      <c r="YF168" s="200"/>
      <c r="YG168" s="199"/>
      <c r="YH168" s="199"/>
    </row>
    <row r="169" spans="1:658">
      <c r="SH169" s="25"/>
      <c r="UO169" s="466"/>
      <c r="WL169" s="4"/>
      <c r="WM169" s="4"/>
    </row>
    <row r="170" spans="1:658">
      <c r="UO170" s="466"/>
      <c r="WL170" s="4"/>
      <c r="WM170" s="4"/>
      <c r="XQ170" t="s">
        <v>2769</v>
      </c>
      <c r="XR170" s="200">
        <f>-SUMIF(XR9:XR167, "&lt;0", XR9:XR167)</f>
        <v>0</v>
      </c>
    </row>
    <row r="171" spans="1:658">
      <c r="RR171" s="190"/>
      <c r="RV171" s="727" t="s">
        <v>2712</v>
      </c>
      <c r="RY171" s="190">
        <f>SUM(RV10:RY163)</f>
        <v>2583896318</v>
      </c>
      <c r="UO171" s="466"/>
      <c r="WL171" s="4"/>
      <c r="WM171" s="4"/>
      <c r="WX171" s="199"/>
      <c r="XQ171" t="s">
        <v>2788</v>
      </c>
      <c r="XR171" s="466">
        <f>XR170/SUMIF(XR8:XR163, "&gt;0", $ST$8:$ST$163)</f>
        <v>0</v>
      </c>
    </row>
    <row r="172" spans="1:658">
      <c r="RR172" s="2"/>
      <c r="RS172" s="1"/>
      <c r="RT172" s="402"/>
      <c r="RU172" s="1"/>
      <c r="RV172" s="2"/>
      <c r="RW172" s="1"/>
      <c r="RX172" s="2"/>
      <c r="RY172" s="1"/>
      <c r="RZ172" s="2"/>
      <c r="SA172" s="403"/>
      <c r="SB172" s="2"/>
      <c r="SC172" s="2"/>
      <c r="SD172" s="1"/>
      <c r="SE172" s="2"/>
      <c r="SF172" s="1"/>
      <c r="SG172" s="1"/>
      <c r="SH172" s="2"/>
      <c r="SM172" s="187"/>
      <c r="UO172" s="466"/>
      <c r="VT172" s="199"/>
      <c r="WL172" s="4"/>
      <c r="WM172" s="4"/>
      <c r="XR172" s="199"/>
      <c r="XS172" s="199"/>
    </row>
    <row r="173" spans="1:658">
      <c r="UO173" s="466"/>
      <c r="VT173" s="199"/>
      <c r="WL173" s="4"/>
      <c r="WM173" s="4"/>
    </row>
    <row r="174" spans="1:658">
      <c r="SD174" s="4" t="s">
        <v>266</v>
      </c>
      <c r="SE174" s="4" t="s">
        <v>1462</v>
      </c>
      <c r="WL174" s="4"/>
      <c r="WM174" s="4"/>
    </row>
    <row r="175" spans="1:658">
      <c r="RR175" s="4" t="s">
        <v>1463</v>
      </c>
      <c r="RV175" s="39">
        <f>SUMIF($RC$10:$RC$163,2,RV$10:RV$163)</f>
        <v>8180188</v>
      </c>
      <c r="RW175" s="39">
        <f t="shared" ref="RW175:RY175" si="344">SUMIF($RC$10:$RC$163,2,RW$10:RW$163)</f>
        <v>97419271</v>
      </c>
      <c r="RX175" s="39">
        <f t="shared" si="344"/>
        <v>9087268</v>
      </c>
      <c r="RY175" s="39">
        <f t="shared" si="344"/>
        <v>19530614</v>
      </c>
      <c r="RZ175" s="4">
        <f>SUMIF($RC$10:$RC$154,2,RZ$10:RZ$154)</f>
        <v>0</v>
      </c>
      <c r="SD175" s="39">
        <f>SUM(RV175:RY175)</f>
        <v>134217341</v>
      </c>
      <c r="SE175" s="486">
        <f>SD175/ST160</f>
        <v>224443.71404682274</v>
      </c>
      <c r="SF175" s="486">
        <f>SE176-SE175</f>
        <v>3173169.2915010275</v>
      </c>
      <c r="SG175" s="486"/>
      <c r="ST175" s="728"/>
      <c r="WL175" s="4"/>
      <c r="WM175" s="4"/>
    </row>
    <row r="176" spans="1:658">
      <c r="RR176" s="4" t="s">
        <v>1464</v>
      </c>
      <c r="RV176" s="39">
        <f>SUMIF($RC$10:$RC$163,"",RV$10:RV$163)</f>
        <v>240577721</v>
      </c>
      <c r="RW176" s="39">
        <f t="shared" ref="RW176:RY176" si="345">SUMIF($RC$10:$RC$163,"",RW$10:RW$163)</f>
        <v>1454905806</v>
      </c>
      <c r="RX176" s="39">
        <f t="shared" si="345"/>
        <v>573319330</v>
      </c>
      <c r="RY176" s="39">
        <f t="shared" si="345"/>
        <v>180876120</v>
      </c>
      <c r="RZ176" s="4">
        <f>SUMIF($RC$10:$RC$154,"",RZ$10:RZ$154)</f>
        <v>0</v>
      </c>
      <c r="SD176" s="39">
        <f>SUM(RV176:RY176)</f>
        <v>2449678977</v>
      </c>
      <c r="SE176" s="486">
        <f>SD176/ST161</f>
        <v>3397613.0055478504</v>
      </c>
      <c r="SF176" s="486">
        <f>SE176-SE176</f>
        <v>0</v>
      </c>
      <c r="SG176" s="486"/>
      <c r="ST176" s="728"/>
      <c r="WL176" s="4"/>
      <c r="WM176" s="4"/>
    </row>
    <row r="177" spans="486:611">
      <c r="RR177" s="4" t="s">
        <v>1461</v>
      </c>
      <c r="RV177" s="39">
        <f>SUM(RV175:RV176)</f>
        <v>248757909</v>
      </c>
      <c r="RW177" s="39">
        <f>SUM(RW175:RW176)</f>
        <v>1552325077</v>
      </c>
      <c r="RX177" s="39">
        <f>SUM(RX175:RX176)</f>
        <v>582406598</v>
      </c>
      <c r="RY177" s="39">
        <f>SUM(RY175:RY176)</f>
        <v>200406734</v>
      </c>
      <c r="SE177" s="486">
        <f>SE176-SE175</f>
        <v>3173169.2915010275</v>
      </c>
      <c r="ST177" s="134"/>
      <c r="WL177" s="4"/>
      <c r="WM177" s="4"/>
    </row>
    <row r="178" spans="486:611">
      <c r="WL178" s="4"/>
      <c r="WM178" s="4"/>
    </row>
    <row r="179" spans="486:611">
      <c r="RV179" s="39"/>
      <c r="RW179" s="39"/>
      <c r="RX179" s="39"/>
      <c r="RY179" s="39"/>
      <c r="WL179" s="4"/>
      <c r="WM179" s="4"/>
    </row>
    <row r="180" spans="486:611">
      <c r="RV180" s="39"/>
      <c r="RW180" s="39"/>
      <c r="RX180" s="39"/>
      <c r="RY180" s="39"/>
      <c r="WL180" s="4"/>
      <c r="WM180" s="4"/>
    </row>
    <row r="181" spans="486:611">
      <c r="WL181" s="4"/>
      <c r="WM181" s="4"/>
    </row>
    <row r="182" spans="486:611">
      <c r="WL182" s="4"/>
      <c r="WM182" s="4"/>
    </row>
    <row r="183" spans="486:611">
      <c r="WL183" s="4"/>
      <c r="WM183" s="4"/>
    </row>
    <row r="184" spans="486:611">
      <c r="WL184" s="4"/>
      <c r="WM184" s="4"/>
    </row>
    <row r="185" spans="486:611">
      <c r="WL185" s="4"/>
      <c r="WM185" s="4"/>
    </row>
    <row r="186" spans="486:611">
      <c r="WL186" s="4"/>
      <c r="WM186" s="4"/>
    </row>
    <row r="187" spans="486:611">
      <c r="WL187" s="4"/>
      <c r="WM187" s="4"/>
    </row>
    <row r="188" spans="486:611">
      <c r="WL188" s="4"/>
      <c r="WM188" s="4"/>
    </row>
    <row r="189" spans="486:611">
      <c r="WL189" s="4"/>
      <c r="WM189" s="4"/>
    </row>
    <row r="190" spans="486:611">
      <c r="WL190" s="4"/>
      <c r="WM190" s="4"/>
    </row>
    <row r="191" spans="486:611">
      <c r="WL191" s="4"/>
      <c r="WM191" s="4"/>
    </row>
    <row r="192" spans="486:611">
      <c r="WL192" s="4"/>
      <c r="WM192" s="4"/>
    </row>
    <row r="193" spans="610:611">
      <c r="WL193" s="4"/>
      <c r="WM193" s="4"/>
    </row>
    <row r="194" spans="610:611">
      <c r="WL194" s="4"/>
      <c r="WM194" s="4"/>
    </row>
    <row r="195" spans="610:611">
      <c r="WL195" s="4"/>
      <c r="WM195" s="4"/>
    </row>
    <row r="196" spans="610:611">
      <c r="WL196" s="4"/>
      <c r="WM196" s="4"/>
    </row>
    <row r="197" spans="610:611">
      <c r="WL197" s="4"/>
      <c r="WM197" s="4"/>
    </row>
    <row r="198" spans="610:611">
      <c r="WL198" s="4"/>
      <c r="WM198" s="4"/>
    </row>
    <row r="199" spans="610:611">
      <c r="WL199" s="4"/>
      <c r="WM199" s="4"/>
    </row>
    <row r="200" spans="610:611">
      <c r="WL200" s="4"/>
      <c r="WM200" s="4"/>
    </row>
    <row r="201" spans="610:611">
      <c r="WL201" s="4"/>
      <c r="WM201" s="4"/>
    </row>
    <row r="202" spans="610:611">
      <c r="WL202" s="4"/>
      <c r="WM202" s="4"/>
    </row>
    <row r="203" spans="610:611">
      <c r="WL203" s="4"/>
      <c r="WM203" s="4"/>
    </row>
    <row r="204" spans="610:611">
      <c r="WL204" s="4"/>
      <c r="WM204" s="4"/>
    </row>
    <row r="205" spans="610:611">
      <c r="WL205" s="4"/>
      <c r="WM205" s="4"/>
    </row>
    <row r="206" spans="610:611">
      <c r="WL206" s="4"/>
      <c r="WM206" s="4"/>
    </row>
    <row r="207" spans="610:611">
      <c r="WL207" s="4"/>
      <c r="WM207" s="4"/>
    </row>
    <row r="208" spans="610:611">
      <c r="WL208" s="4"/>
      <c r="WM208" s="4"/>
    </row>
    <row r="209" spans="610:611">
      <c r="WL209" s="4"/>
      <c r="WM209" s="4"/>
    </row>
    <row r="210" spans="610:611">
      <c r="WL210" s="4"/>
      <c r="WM210" s="4"/>
    </row>
    <row r="211" spans="610:611">
      <c r="WL211" s="4"/>
      <c r="WM211" s="4"/>
    </row>
    <row r="212" spans="610:611">
      <c r="WL212" s="4"/>
      <c r="WM212" s="4"/>
    </row>
    <row r="213" spans="610:611">
      <c r="WL213" s="4"/>
      <c r="WM213" s="4"/>
    </row>
    <row r="214" spans="610:611">
      <c r="WL214" s="4"/>
      <c r="WM214" s="4"/>
    </row>
    <row r="215" spans="610:611">
      <c r="WL215" s="4"/>
      <c r="WM215" s="4"/>
    </row>
    <row r="216" spans="610:611">
      <c r="WL216" s="4"/>
      <c r="WM216" s="4"/>
    </row>
    <row r="217" spans="610:611">
      <c r="WL217" s="4"/>
      <c r="WM217" s="4"/>
    </row>
    <row r="218" spans="610:611">
      <c r="WL218" s="4"/>
      <c r="WM218" s="4"/>
    </row>
    <row r="219" spans="610:611">
      <c r="WL219" s="4"/>
      <c r="WM219" s="4"/>
    </row>
    <row r="220" spans="610:611">
      <c r="WL220" s="4"/>
      <c r="WM220" s="4"/>
    </row>
    <row r="221" spans="610:611">
      <c r="WL221" s="4"/>
      <c r="WM221" s="4"/>
    </row>
    <row r="222" spans="610:611">
      <c r="WL222" s="4"/>
      <c r="WM222" s="4"/>
    </row>
    <row r="223" spans="610:611">
      <c r="WL223" s="4"/>
      <c r="WM223" s="4"/>
    </row>
    <row r="224" spans="610:611">
      <c r="WL224" s="4"/>
      <c r="WM224" s="4"/>
    </row>
    <row r="225" spans="610:611">
      <c r="WL225" s="4"/>
      <c r="WM225" s="4"/>
    </row>
    <row r="226" spans="610:611">
      <c r="WL226" s="4"/>
      <c r="WM226" s="4"/>
    </row>
    <row r="227" spans="610:611">
      <c r="WL227" s="4"/>
      <c r="WM227" s="4"/>
    </row>
    <row r="228" spans="610:611">
      <c r="WL228" s="4"/>
      <c r="WM228" s="4"/>
    </row>
    <row r="229" spans="610:611">
      <c r="WL229" s="4"/>
      <c r="WM229" s="4"/>
    </row>
    <row r="230" spans="610:611">
      <c r="WL230" s="4"/>
      <c r="WM230" s="4"/>
    </row>
    <row r="231" spans="610:611">
      <c r="WL231" s="4"/>
      <c r="WM231" s="4"/>
    </row>
    <row r="232" spans="610:611">
      <c r="WL232" s="4"/>
      <c r="WM232" s="4"/>
    </row>
    <row r="233" spans="610:611">
      <c r="WL233" s="4"/>
      <c r="WM233" s="4"/>
    </row>
    <row r="234" spans="610:611">
      <c r="WL234" s="4"/>
      <c r="WM234" s="4"/>
    </row>
    <row r="235" spans="610:611">
      <c r="WL235" s="4"/>
      <c r="WM235" s="4"/>
    </row>
    <row r="236" spans="610:611">
      <c r="WL236" s="4"/>
      <c r="WM236" s="4"/>
    </row>
    <row r="237" spans="610:611">
      <c r="WL237" s="4"/>
      <c r="WM237" s="4"/>
    </row>
    <row r="238" spans="610:611">
      <c r="WL238" s="4"/>
      <c r="WM238" s="4"/>
    </row>
    <row r="239" spans="610:611">
      <c r="WL239" s="4"/>
      <c r="WM239" s="4"/>
    </row>
    <row r="240" spans="610:611">
      <c r="WL240" s="4"/>
      <c r="WM240" s="4"/>
    </row>
    <row r="241" spans="610:611">
      <c r="WL241" s="4"/>
      <c r="WM241" s="4"/>
    </row>
    <row r="242" spans="610:611">
      <c r="WL242" s="4"/>
      <c r="WM242" s="4"/>
    </row>
    <row r="243" spans="610:611">
      <c r="WL243" s="4"/>
      <c r="WM243" s="4"/>
    </row>
    <row r="244" spans="610:611">
      <c r="WL244" s="4"/>
      <c r="WM244" s="4"/>
    </row>
    <row r="245" spans="610:611">
      <c r="WL245" s="4"/>
      <c r="WM245" s="4"/>
    </row>
    <row r="246" spans="610:611">
      <c r="WL246" s="4"/>
      <c r="WM246" s="4"/>
    </row>
    <row r="247" spans="610:611">
      <c r="WL247" s="4"/>
      <c r="WM247" s="4"/>
    </row>
    <row r="248" spans="610:611">
      <c r="WL248" s="4"/>
      <c r="WM248" s="4"/>
    </row>
    <row r="249" spans="610:611">
      <c r="WL249" s="4"/>
      <c r="WM249" s="4"/>
    </row>
    <row r="250" spans="610:611">
      <c r="WL250" s="4"/>
      <c r="WM250" s="4"/>
    </row>
    <row r="251" spans="610:611">
      <c r="WL251" s="4"/>
      <c r="WM251" s="4"/>
    </row>
    <row r="252" spans="610:611">
      <c r="WL252" s="4"/>
      <c r="WM252" s="4"/>
    </row>
    <row r="253" spans="610:611">
      <c r="WL253" s="4"/>
      <c r="WM253" s="4"/>
    </row>
    <row r="254" spans="610:611">
      <c r="WL254" s="4"/>
      <c r="WM254" s="4"/>
    </row>
    <row r="255" spans="610:611">
      <c r="WL255" s="4"/>
      <c r="WM255" s="4"/>
    </row>
    <row r="256" spans="610:611">
      <c r="WL256" s="4"/>
      <c r="WM256" s="4"/>
    </row>
    <row r="257" spans="610:611">
      <c r="WL257" s="4"/>
      <c r="WM257" s="4"/>
    </row>
    <row r="258" spans="610:611">
      <c r="WL258" s="4"/>
      <c r="WM258" s="4"/>
    </row>
    <row r="259" spans="610:611">
      <c r="WL259" s="4"/>
      <c r="WM259" s="4"/>
    </row>
    <row r="260" spans="610:611">
      <c r="WL260" s="4"/>
      <c r="WM260" s="4"/>
    </row>
    <row r="261" spans="610:611">
      <c r="WL261" s="4"/>
      <c r="WM261" s="4"/>
    </row>
    <row r="262" spans="610:611">
      <c r="WL262" s="4"/>
      <c r="WM262" s="4"/>
    </row>
    <row r="263" spans="610:611">
      <c r="WL263" s="4"/>
      <c r="WM263" s="4"/>
    </row>
    <row r="264" spans="610:611">
      <c r="WL264" s="4"/>
      <c r="WM264" s="4"/>
    </row>
    <row r="265" spans="610:611">
      <c r="WL265" s="4"/>
      <c r="WM265" s="4"/>
    </row>
    <row r="266" spans="610:611">
      <c r="WL266" s="4"/>
      <c r="WM266" s="4"/>
    </row>
    <row r="267" spans="610:611">
      <c r="WL267" s="4"/>
      <c r="WM267" s="4"/>
    </row>
    <row r="268" spans="610:611">
      <c r="WL268" s="4"/>
      <c r="WM268" s="4"/>
    </row>
    <row r="269" spans="610:611">
      <c r="WL269" s="4"/>
      <c r="WM269" s="4"/>
    </row>
    <row r="270" spans="610:611">
      <c r="WL270" s="4"/>
      <c r="WM270" s="4"/>
    </row>
    <row r="271" spans="610:611">
      <c r="WL271" s="4"/>
      <c r="WM271" s="4"/>
    </row>
    <row r="272" spans="610:611">
      <c r="WL272" s="4"/>
      <c r="WM272" s="4"/>
    </row>
    <row r="273" spans="610:611">
      <c r="WL273" s="4"/>
      <c r="WM273" s="4"/>
    </row>
    <row r="274" spans="610:611">
      <c r="WL274" s="4"/>
      <c r="WM274" s="4"/>
    </row>
    <row r="275" spans="610:611">
      <c r="WL275" s="4"/>
      <c r="WM275" s="4"/>
    </row>
    <row r="276" spans="610:611">
      <c r="WL276" s="4"/>
      <c r="WM276" s="4"/>
    </row>
    <row r="277" spans="610:611">
      <c r="WL277" s="4"/>
      <c r="WM277" s="4"/>
    </row>
    <row r="278" spans="610:611">
      <c r="WL278" s="4"/>
      <c r="WM278" s="4"/>
    </row>
    <row r="279" spans="610:611">
      <c r="WL279" s="4"/>
      <c r="WM279" s="4"/>
    </row>
    <row r="280" spans="610:611">
      <c r="WL280" s="4"/>
      <c r="WM280" s="4"/>
    </row>
    <row r="281" spans="610:611">
      <c r="WL281" s="4"/>
      <c r="WM281" s="4"/>
    </row>
    <row r="282" spans="610:611">
      <c r="WL282" s="4"/>
      <c r="WM282" s="4"/>
    </row>
    <row r="283" spans="610:611">
      <c r="WL283" s="4"/>
      <c r="WM283" s="4"/>
    </row>
    <row r="284" spans="610:611">
      <c r="WL284" s="4"/>
      <c r="WM284" s="4"/>
    </row>
    <row r="285" spans="610:611">
      <c r="WL285" s="4"/>
      <c r="WM285" s="4"/>
    </row>
    <row r="286" spans="610:611">
      <c r="WL286" s="4"/>
      <c r="WM286" s="4"/>
    </row>
    <row r="287" spans="610:611">
      <c r="WL287" s="4"/>
      <c r="WM287" s="4"/>
    </row>
    <row r="288" spans="610:611">
      <c r="WL288" s="4"/>
      <c r="WM288" s="4"/>
    </row>
    <row r="289" spans="610:611">
      <c r="WL289" s="4"/>
      <c r="WM289" s="4"/>
    </row>
    <row r="290" spans="610:611">
      <c r="WL290" s="4"/>
      <c r="WM290" s="4"/>
    </row>
    <row r="291" spans="610:611">
      <c r="WL291" s="4"/>
      <c r="WM291" s="4"/>
    </row>
    <row r="292" spans="610:611">
      <c r="WL292" s="4"/>
      <c r="WM292" s="4"/>
    </row>
    <row r="293" spans="610:611">
      <c r="WL293" s="4"/>
      <c r="WM293" s="4"/>
    </row>
    <row r="294" spans="610:611">
      <c r="WL294" s="4"/>
      <c r="WM294" s="4"/>
    </row>
    <row r="295" spans="610:611">
      <c r="WL295" s="4"/>
      <c r="WM295" s="4"/>
    </row>
    <row r="296" spans="610:611">
      <c r="WL296" s="4"/>
      <c r="WM296" s="4"/>
    </row>
    <row r="297" spans="610:611">
      <c r="WL297" s="4"/>
      <c r="WM297" s="4"/>
    </row>
    <row r="298" spans="610:611">
      <c r="WL298" s="4"/>
      <c r="WM298" s="4"/>
    </row>
    <row r="299" spans="610:611">
      <c r="WL299" s="4"/>
      <c r="WM299" s="4"/>
    </row>
    <row r="300" spans="610:611">
      <c r="WL300" s="4"/>
      <c r="WM300" s="4"/>
    </row>
    <row r="301" spans="610:611">
      <c r="WL301" s="4"/>
      <c r="WM301" s="4"/>
    </row>
    <row r="302" spans="610:611">
      <c r="WL302" s="4"/>
      <c r="WM302" s="4"/>
    </row>
    <row r="303" spans="610:611">
      <c r="WL303" s="4"/>
      <c r="WM303" s="4"/>
    </row>
    <row r="304" spans="610:611">
      <c r="WL304" s="4"/>
      <c r="WM304" s="4"/>
    </row>
    <row r="305" spans="610:611">
      <c r="WL305" s="4"/>
      <c r="WM305" s="4"/>
    </row>
    <row r="306" spans="610:611">
      <c r="WL306" s="4"/>
      <c r="WM306" s="4"/>
    </row>
    <row r="307" spans="610:611">
      <c r="WL307" s="4"/>
      <c r="WM307" s="4"/>
    </row>
    <row r="308" spans="610:611">
      <c r="WL308" s="4"/>
      <c r="WM308" s="4"/>
    </row>
    <row r="309" spans="610:611">
      <c r="WL309" s="4"/>
      <c r="WM309" s="4"/>
    </row>
    <row r="310" spans="610:611">
      <c r="WL310" s="4"/>
      <c r="WM310" s="4"/>
    </row>
    <row r="311" spans="610:611">
      <c r="WL311" s="4"/>
      <c r="WM311" s="4"/>
    </row>
    <row r="312" spans="610:611">
      <c r="WL312" s="4"/>
      <c r="WM312" s="4"/>
    </row>
    <row r="313" spans="610:611">
      <c r="WL313" s="4"/>
      <c r="WM313" s="4"/>
    </row>
    <row r="314" spans="610:611">
      <c r="WL314" s="4"/>
      <c r="WM314" s="4"/>
    </row>
    <row r="315" spans="610:611">
      <c r="WL315" s="4"/>
      <c r="WM315" s="4"/>
    </row>
    <row r="316" spans="610:611">
      <c r="WL316" s="4"/>
      <c r="WM316" s="4"/>
    </row>
    <row r="317" spans="610:611">
      <c r="WL317" s="4"/>
      <c r="WM317" s="4"/>
    </row>
    <row r="318" spans="610:611">
      <c r="WL318" s="4"/>
      <c r="WM318" s="4"/>
    </row>
    <row r="319" spans="610:611">
      <c r="WL319" s="4"/>
      <c r="WM319" s="4"/>
    </row>
    <row r="320" spans="610:611">
      <c r="WL320" s="4"/>
      <c r="WM320" s="4"/>
    </row>
    <row r="321" spans="610:611">
      <c r="WL321" s="4"/>
      <c r="WM321" s="4"/>
    </row>
    <row r="322" spans="610:611">
      <c r="WL322" s="4"/>
      <c r="WM322" s="4"/>
    </row>
    <row r="323" spans="610:611">
      <c r="WL323" s="4"/>
      <c r="WM323" s="4"/>
    </row>
    <row r="324" spans="610:611">
      <c r="WL324" s="4"/>
      <c r="WM324" s="4"/>
    </row>
    <row r="325" spans="610:611">
      <c r="WL325" s="4"/>
      <c r="WM325" s="4"/>
    </row>
    <row r="326" spans="610:611">
      <c r="WL326" s="4"/>
      <c r="WM326" s="4"/>
    </row>
    <row r="327" spans="610:611">
      <c r="WL327" s="4"/>
      <c r="WM327" s="4"/>
    </row>
    <row r="328" spans="610:611">
      <c r="WL328" s="4"/>
      <c r="WM328" s="4"/>
    </row>
    <row r="329" spans="610:611">
      <c r="WL329" s="4"/>
      <c r="WM329" s="4"/>
    </row>
    <row r="330" spans="610:611">
      <c r="WL330" s="4"/>
      <c r="WM330" s="4"/>
    </row>
    <row r="331" spans="610:611">
      <c r="WL331" s="4"/>
      <c r="WM331" s="4"/>
    </row>
    <row r="332" spans="610:611">
      <c r="WL332" s="4"/>
      <c r="WM332" s="4"/>
    </row>
    <row r="333" spans="610:611">
      <c r="WL333" s="4"/>
      <c r="WM333" s="4"/>
    </row>
    <row r="334" spans="610:611">
      <c r="WL334" s="4"/>
      <c r="WM334" s="4"/>
    </row>
    <row r="335" spans="610:611">
      <c r="WL335" s="4"/>
      <c r="WM335" s="4"/>
    </row>
    <row r="336" spans="610:611">
      <c r="WL336" s="4"/>
      <c r="WM336" s="4"/>
    </row>
    <row r="337" spans="610:611">
      <c r="WL337" s="4"/>
      <c r="WM337" s="4"/>
    </row>
    <row r="338" spans="610:611">
      <c r="WL338" s="4"/>
      <c r="WM338" s="4"/>
    </row>
    <row r="339" spans="610:611">
      <c r="WL339" s="4"/>
      <c r="WM339" s="4"/>
    </row>
    <row r="340" spans="610:611">
      <c r="WL340" s="4"/>
      <c r="WM340" s="4"/>
    </row>
    <row r="341" spans="610:611">
      <c r="WL341" s="4"/>
      <c r="WM341" s="4"/>
    </row>
    <row r="342" spans="610:611">
      <c r="WL342" s="4"/>
      <c r="WM342" s="4"/>
    </row>
    <row r="343" spans="610:611">
      <c r="WL343" s="4"/>
      <c r="WM343" s="4"/>
    </row>
    <row r="344" spans="610:611">
      <c r="WL344" s="4"/>
      <c r="WM344" s="4"/>
    </row>
    <row r="345" spans="610:611">
      <c r="WL345" s="4"/>
      <c r="WM345" s="4"/>
    </row>
    <row r="346" spans="610:611">
      <c r="WL346" s="4"/>
      <c r="WM346" s="4"/>
    </row>
    <row r="347" spans="610:611">
      <c r="WL347" s="4"/>
      <c r="WM347" s="4"/>
    </row>
    <row r="348" spans="610:611">
      <c r="WL348" s="4"/>
      <c r="WM348" s="4"/>
    </row>
    <row r="349" spans="610:611">
      <c r="WL349" s="4"/>
      <c r="WM349" s="4"/>
    </row>
    <row r="350" spans="610:611">
      <c r="WL350" s="4"/>
      <c r="WM350" s="4"/>
    </row>
    <row r="351" spans="610:611">
      <c r="WL351" s="4"/>
      <c r="WM351" s="4"/>
    </row>
    <row r="352" spans="610:611">
      <c r="WL352" s="4"/>
      <c r="WM352" s="4"/>
    </row>
    <row r="353" spans="610:611">
      <c r="WL353" s="4"/>
      <c r="WM353" s="4"/>
    </row>
    <row r="354" spans="610:611">
      <c r="WL354" s="4"/>
      <c r="WM354" s="4"/>
    </row>
    <row r="355" spans="610:611">
      <c r="WL355" s="4"/>
      <c r="WM355" s="4"/>
    </row>
    <row r="356" spans="610:611">
      <c r="WL356" s="4"/>
      <c r="WM356" s="4"/>
    </row>
    <row r="357" spans="610:611">
      <c r="WL357" s="4"/>
      <c r="WM357" s="4"/>
    </row>
    <row r="358" spans="610:611">
      <c r="WL358" s="4"/>
      <c r="WM358" s="4"/>
    </row>
    <row r="359" spans="610:611">
      <c r="WL359" s="4"/>
      <c r="WM359" s="4"/>
    </row>
    <row r="360" spans="610:611">
      <c r="WL360" s="4"/>
      <c r="WM360" s="4"/>
    </row>
    <row r="361" spans="610:611">
      <c r="WL361" s="4"/>
      <c r="WM361" s="4"/>
    </row>
    <row r="362" spans="610:611">
      <c r="WL362" s="4"/>
      <c r="WM362" s="4"/>
    </row>
    <row r="363" spans="610:611">
      <c r="WL363" s="4"/>
      <c r="WM363" s="4"/>
    </row>
    <row r="364" spans="610:611">
      <c r="WL364" s="4"/>
      <c r="WM364" s="4"/>
    </row>
    <row r="365" spans="610:611">
      <c r="WL365" s="4"/>
      <c r="WM365" s="4"/>
    </row>
    <row r="366" spans="610:611">
      <c r="WL366" s="4"/>
      <c r="WM366" s="4"/>
    </row>
    <row r="367" spans="610:611">
      <c r="WL367" s="4"/>
      <c r="WM367" s="4"/>
    </row>
    <row r="368" spans="610:611">
      <c r="WL368" s="4"/>
      <c r="WM368" s="4"/>
    </row>
    <row r="369" spans="610:611">
      <c r="WL369" s="4"/>
      <c r="WM369" s="4"/>
    </row>
    <row r="370" spans="610:611">
      <c r="WL370" s="4"/>
      <c r="WM370" s="4"/>
    </row>
    <row r="371" spans="610:611">
      <c r="WL371" s="4"/>
      <c r="WM371" s="4"/>
    </row>
    <row r="372" spans="610:611">
      <c r="WL372" s="4"/>
      <c r="WM372" s="4"/>
    </row>
    <row r="373" spans="610:611">
      <c r="WL373" s="4"/>
      <c r="WM373" s="4"/>
    </row>
    <row r="374" spans="610:611">
      <c r="WL374" s="4"/>
      <c r="WM374" s="4"/>
    </row>
    <row r="375" spans="610:611">
      <c r="WL375" s="4"/>
      <c r="WM375" s="4"/>
    </row>
    <row r="376" spans="610:611">
      <c r="WL376" s="4"/>
      <c r="WM376" s="4"/>
    </row>
    <row r="377" spans="610:611">
      <c r="WL377" s="4"/>
      <c r="WM377" s="4"/>
    </row>
    <row r="378" spans="610:611">
      <c r="WL378" s="4"/>
      <c r="WM378" s="4"/>
    </row>
    <row r="379" spans="610:611">
      <c r="WL379" s="4"/>
      <c r="WM379" s="4"/>
    </row>
    <row r="380" spans="610:611">
      <c r="WL380" s="4"/>
      <c r="WM380" s="4"/>
    </row>
    <row r="381" spans="610:611">
      <c r="WL381" s="4"/>
      <c r="WM381" s="4"/>
    </row>
    <row r="382" spans="610:611">
      <c r="WL382" s="4"/>
      <c r="WM382" s="4"/>
    </row>
    <row r="383" spans="610:611">
      <c r="WL383" s="4"/>
      <c r="WM383" s="4"/>
    </row>
    <row r="384" spans="610:611">
      <c r="WL384" s="4"/>
      <c r="WM384" s="4"/>
    </row>
    <row r="385" spans="1:611">
      <c r="WL385" s="4"/>
      <c r="WM385" s="4"/>
    </row>
    <row r="386" spans="1:611">
      <c r="WL386" s="4"/>
      <c r="WM386" s="4"/>
    </row>
    <row r="387" spans="1:611">
      <c r="WL387" s="4"/>
      <c r="WM387" s="4"/>
    </row>
    <row r="388" spans="1:611">
      <c r="WL388" s="4"/>
      <c r="WM388" s="4"/>
    </row>
    <row r="389" spans="1:611">
      <c r="WL389" s="4"/>
      <c r="WM389" s="4"/>
    </row>
    <row r="390" spans="1:611">
      <c r="WL390" s="4"/>
      <c r="WM390" s="4"/>
    </row>
    <row r="391" spans="1:611">
      <c r="A391" s="27"/>
      <c r="WL391" s="4"/>
      <c r="WM391" s="4"/>
    </row>
    <row r="392" spans="1:611">
      <c r="A392" s="27"/>
      <c r="WL392" s="4"/>
      <c r="WM392" s="4"/>
    </row>
    <row r="393" spans="1:611">
      <c r="A393" s="27"/>
      <c r="WL393" s="4"/>
      <c r="WM393" s="4"/>
    </row>
    <row r="394" spans="1:611">
      <c r="A394" s="27"/>
      <c r="WL394" s="4"/>
      <c r="WM394" s="4"/>
    </row>
    <row r="395" spans="1:611">
      <c r="A395" s="27"/>
      <c r="WL395" s="4"/>
      <c r="WM395" s="4"/>
    </row>
    <row r="396" spans="1:611">
      <c r="A396" s="27"/>
      <c r="WL396" s="4"/>
      <c r="WM396" s="4"/>
    </row>
    <row r="397" spans="1:611">
      <c r="A397" s="27"/>
      <c r="WL397" s="4"/>
      <c r="WM397" s="4"/>
    </row>
    <row r="398" spans="1:611">
      <c r="A398" s="27"/>
      <c r="WL398" s="4"/>
      <c r="WM398" s="4"/>
    </row>
    <row r="399" spans="1:611">
      <c r="A399" s="27"/>
      <c r="WL399" s="4"/>
      <c r="WM399" s="4"/>
    </row>
    <row r="400" spans="1:611">
      <c r="A400" s="27"/>
      <c r="WL400" s="4"/>
      <c r="WM400" s="4"/>
    </row>
    <row r="401" spans="1:611">
      <c r="A401" s="27"/>
      <c r="WL401" s="4"/>
      <c r="WM401" s="4"/>
    </row>
    <row r="402" spans="1:611">
      <c r="A402" s="27"/>
      <c r="WL402" s="4"/>
      <c r="WM402" s="4"/>
    </row>
    <row r="403" spans="1:611">
      <c r="A403" s="27"/>
      <c r="WL403" s="4"/>
      <c r="WM403" s="4"/>
    </row>
    <row r="404" spans="1:611">
      <c r="A404" s="27"/>
      <c r="WL404" s="4"/>
      <c r="WM404" s="4"/>
    </row>
    <row r="405" spans="1:611">
      <c r="A405" s="27"/>
      <c r="WL405" s="4"/>
      <c r="WM405" s="4"/>
    </row>
    <row r="406" spans="1:611">
      <c r="A406" s="27"/>
      <c r="WL406" s="4"/>
      <c r="WM406" s="4"/>
    </row>
    <row r="407" spans="1:611">
      <c r="A407" s="27"/>
      <c r="WL407" s="4"/>
      <c r="WM407" s="4"/>
    </row>
    <row r="408" spans="1:611">
      <c r="A408" s="27"/>
      <c r="WL408" s="4"/>
      <c r="WM408" s="4"/>
    </row>
    <row r="409" spans="1:611">
      <c r="A409" s="27"/>
      <c r="WL409" s="4"/>
      <c r="WM409" s="4"/>
    </row>
    <row r="410" spans="1:611">
      <c r="A410" s="27"/>
      <c r="WL410" s="4"/>
      <c r="WM410" s="4"/>
    </row>
    <row r="411" spans="1:611">
      <c r="A411" s="27"/>
      <c r="WL411" s="4"/>
      <c r="WM411" s="4"/>
    </row>
    <row r="412" spans="1:611">
      <c r="A412" s="27"/>
      <c r="WL412" s="4"/>
      <c r="WM412" s="4"/>
    </row>
    <row r="413" spans="1:611">
      <c r="A413" s="27"/>
      <c r="WL413" s="4"/>
      <c r="WM413" s="4"/>
    </row>
    <row r="414" spans="1:611">
      <c r="A414" s="27"/>
      <c r="WL414" s="4"/>
      <c r="WM414" s="4"/>
    </row>
    <row r="415" spans="1:611">
      <c r="A415" s="27"/>
      <c r="WL415" s="4"/>
      <c r="WM415" s="4"/>
    </row>
    <row r="416" spans="1:611">
      <c r="A416" s="27"/>
      <c r="WL416" s="4"/>
      <c r="WM416" s="4"/>
    </row>
    <row r="417" spans="1:611">
      <c r="A417" s="27"/>
      <c r="WL417" s="4"/>
      <c r="WM417" s="4"/>
    </row>
    <row r="418" spans="1:611">
      <c r="A418" s="27"/>
      <c r="WL418" s="4"/>
      <c r="WM418" s="4"/>
    </row>
    <row r="419" spans="1:611">
      <c r="A419" s="27"/>
      <c r="WL419" s="4"/>
      <c r="WM419" s="4"/>
    </row>
    <row r="420" spans="1:611">
      <c r="A420" s="27"/>
      <c r="WL420" s="4"/>
      <c r="WM420" s="4"/>
    </row>
    <row r="421" spans="1:611">
      <c r="A421" s="27"/>
      <c r="WL421" s="4"/>
      <c r="WM421" s="4"/>
    </row>
    <row r="422" spans="1:611">
      <c r="A422" s="27"/>
      <c r="WL422" s="4"/>
      <c r="WM422" s="4"/>
    </row>
    <row r="423" spans="1:611">
      <c r="A423" s="27"/>
      <c r="WL423" s="4"/>
      <c r="WM423" s="4"/>
    </row>
    <row r="424" spans="1:611">
      <c r="A424" s="27"/>
      <c r="WL424" s="4"/>
      <c r="WM424" s="4"/>
    </row>
    <row r="425" spans="1:611">
      <c r="A425" s="27"/>
      <c r="WL425" s="4"/>
      <c r="WM425" s="4"/>
    </row>
    <row r="426" spans="1:611">
      <c r="A426" s="27"/>
      <c r="WL426" s="4"/>
      <c r="WM426" s="4"/>
    </row>
    <row r="427" spans="1:611">
      <c r="A427" s="27"/>
      <c r="WL427" s="4"/>
      <c r="WM427" s="4"/>
    </row>
    <row r="428" spans="1:611">
      <c r="A428" s="27"/>
      <c r="WL428" s="4"/>
      <c r="WM428" s="4"/>
    </row>
    <row r="429" spans="1:611">
      <c r="A429" s="27"/>
      <c r="WL429" s="4"/>
      <c r="WM429" s="4"/>
    </row>
    <row r="430" spans="1:611">
      <c r="A430" s="27"/>
      <c r="WL430" s="4"/>
      <c r="WM430" s="4"/>
    </row>
    <row r="431" spans="1:611">
      <c r="A431" s="27"/>
      <c r="WL431" s="4"/>
      <c r="WM431" s="4"/>
    </row>
    <row r="432" spans="1:611">
      <c r="A432" s="27"/>
      <c r="WL432" s="4"/>
      <c r="WM432" s="4"/>
    </row>
    <row r="433" spans="1:611">
      <c r="A433" s="27"/>
      <c r="WL433" s="4"/>
      <c r="WM433" s="4"/>
    </row>
    <row r="434" spans="1:611">
      <c r="A434" s="27"/>
      <c r="WL434" s="4"/>
      <c r="WM434" s="4"/>
    </row>
    <row r="435" spans="1:611">
      <c r="A435" s="27"/>
      <c r="WL435" s="4"/>
      <c r="WM435" s="4"/>
    </row>
    <row r="436" spans="1:611">
      <c r="A436" s="27"/>
      <c r="WL436" s="4"/>
      <c r="WM436" s="4"/>
    </row>
    <row r="437" spans="1:611">
      <c r="A437" s="27"/>
      <c r="WL437" s="4"/>
      <c r="WM437" s="4"/>
    </row>
    <row r="438" spans="1:611">
      <c r="A438" s="27"/>
      <c r="WL438" s="4"/>
      <c r="WM438" s="4"/>
    </row>
    <row r="439" spans="1:611">
      <c r="A439" s="27"/>
      <c r="WL439" s="4"/>
      <c r="WM439" s="4"/>
    </row>
    <row r="440" spans="1:611">
      <c r="A440" s="27"/>
      <c r="WL440" s="4"/>
      <c r="WM440" s="4"/>
    </row>
    <row r="441" spans="1:611">
      <c r="A441" s="27"/>
      <c r="WL441" s="4"/>
      <c r="WM441" s="4"/>
    </row>
    <row r="442" spans="1:611">
      <c r="A442" s="27"/>
      <c r="WL442" s="4"/>
      <c r="WM442" s="4"/>
    </row>
    <row r="443" spans="1:611">
      <c r="A443" s="27"/>
      <c r="WL443" s="4"/>
      <c r="WM443" s="4"/>
    </row>
    <row r="444" spans="1:611">
      <c r="A444" s="27"/>
      <c r="WL444" s="4"/>
      <c r="WM444" s="4"/>
    </row>
    <row r="445" spans="1:611">
      <c r="A445" s="27"/>
      <c r="WL445" s="4"/>
      <c r="WM445" s="4"/>
    </row>
    <row r="446" spans="1:611">
      <c r="A446" s="27"/>
      <c r="WL446" s="4"/>
      <c r="WM446" s="4"/>
    </row>
    <row r="447" spans="1:611">
      <c r="A447" s="27"/>
      <c r="WL447" s="4"/>
      <c r="WM447" s="4"/>
    </row>
    <row r="448" spans="1:611">
      <c r="A448" s="27"/>
      <c r="WL448" s="4"/>
      <c r="WM448" s="4"/>
    </row>
    <row r="449" spans="1:611">
      <c r="A449" s="27"/>
      <c r="WL449" s="4"/>
      <c r="WM449" s="4"/>
    </row>
    <row r="450" spans="1:611">
      <c r="A450" s="27"/>
      <c r="WL450" s="4"/>
      <c r="WM450" s="4"/>
    </row>
    <row r="451" spans="1:611">
      <c r="A451" s="27"/>
      <c r="WL451" s="4"/>
      <c r="WM451" s="4"/>
    </row>
    <row r="452" spans="1:611">
      <c r="A452" s="27"/>
      <c r="WL452" s="4"/>
      <c r="WM452" s="4"/>
    </row>
    <row r="453" spans="1:611">
      <c r="A453" s="27"/>
      <c r="WL453" s="4"/>
      <c r="WM453" s="4"/>
    </row>
    <row r="454" spans="1:611">
      <c r="A454" s="27"/>
      <c r="WL454" s="4"/>
      <c r="WM454" s="4"/>
    </row>
    <row r="455" spans="1:611">
      <c r="A455" s="27"/>
      <c r="WL455" s="4"/>
      <c r="WM455" s="4"/>
    </row>
    <row r="456" spans="1:611">
      <c r="A456" s="27"/>
      <c r="WL456" s="4"/>
      <c r="WM456" s="4"/>
    </row>
    <row r="457" spans="1:611">
      <c r="A457" s="27"/>
      <c r="WL457" s="4"/>
      <c r="WM457" s="4"/>
    </row>
    <row r="458" spans="1:611">
      <c r="A458" s="27"/>
      <c r="WL458" s="4"/>
      <c r="WM458" s="4"/>
    </row>
    <row r="459" spans="1:611">
      <c r="A459" s="27"/>
      <c r="WL459" s="4"/>
      <c r="WM459" s="4"/>
    </row>
    <row r="460" spans="1:611">
      <c r="A460" s="27"/>
      <c r="WL460" s="4"/>
      <c r="WM460" s="4"/>
    </row>
    <row r="461" spans="1:611">
      <c r="A461" s="27"/>
      <c r="WL461" s="4"/>
      <c r="WM461" s="4"/>
    </row>
    <row r="462" spans="1:611">
      <c r="A462" s="27"/>
      <c r="WL462" s="4"/>
      <c r="WM462" s="4"/>
    </row>
    <row r="463" spans="1:611">
      <c r="A463" s="27"/>
      <c r="WL463" s="4"/>
      <c r="WM463" s="4"/>
    </row>
    <row r="464" spans="1:611">
      <c r="A464" s="27"/>
      <c r="WL464" s="4"/>
      <c r="WM464" s="4"/>
    </row>
    <row r="465" spans="1:611">
      <c r="A465" s="27"/>
      <c r="WL465" s="4"/>
      <c r="WM465" s="4"/>
    </row>
    <row r="466" spans="1:611">
      <c r="A466" s="27"/>
      <c r="WL466" s="4"/>
      <c r="WM466" s="4"/>
    </row>
    <row r="467" spans="1:611">
      <c r="A467" s="27"/>
      <c r="WL467" s="4"/>
      <c r="WM467" s="4"/>
    </row>
    <row r="468" spans="1:611">
      <c r="A468" s="27"/>
      <c r="WL468" s="4"/>
      <c r="WM468" s="4"/>
    </row>
    <row r="469" spans="1:611">
      <c r="A469" s="27"/>
      <c r="WL469" s="4"/>
      <c r="WM469" s="4"/>
    </row>
    <row r="470" spans="1:611">
      <c r="A470" s="27"/>
      <c r="WL470" s="4"/>
      <c r="WM470" s="4"/>
    </row>
    <row r="471" spans="1:611">
      <c r="A471" s="27"/>
      <c r="WL471" s="4"/>
      <c r="WM471" s="4"/>
    </row>
    <row r="472" spans="1:611">
      <c r="A472" s="27"/>
      <c r="WL472" s="4"/>
      <c r="WM472" s="4"/>
    </row>
    <row r="473" spans="1:611">
      <c r="A473" s="27"/>
      <c r="WL473" s="4"/>
      <c r="WM473" s="4"/>
    </row>
    <row r="474" spans="1:611">
      <c r="A474" s="27"/>
      <c r="WL474" s="4"/>
      <c r="WM474" s="4"/>
    </row>
    <row r="475" spans="1:611">
      <c r="A475" s="27"/>
      <c r="WL475" s="4"/>
      <c r="WM475" s="4"/>
    </row>
    <row r="476" spans="1:611">
      <c r="A476" s="27"/>
      <c r="WL476" s="4"/>
      <c r="WM476" s="4"/>
    </row>
    <row r="477" spans="1:611">
      <c r="A477" s="27"/>
      <c r="WL477" s="4"/>
      <c r="WM477" s="4"/>
    </row>
    <row r="478" spans="1:611">
      <c r="A478" s="27"/>
      <c r="WL478" s="4"/>
      <c r="WM478" s="4"/>
    </row>
    <row r="479" spans="1:611">
      <c r="A479" s="27"/>
      <c r="WL479" s="4"/>
      <c r="WM479" s="4"/>
    </row>
    <row r="480" spans="1:611">
      <c r="A480" s="27"/>
      <c r="WL480" s="4"/>
      <c r="WM480" s="4"/>
    </row>
    <row r="481" spans="1:611">
      <c r="A481" s="27"/>
      <c r="WL481" s="4"/>
      <c r="WM481" s="4"/>
    </row>
    <row r="482" spans="1:611">
      <c r="A482" s="27"/>
      <c r="WL482" s="4"/>
      <c r="WM482" s="4"/>
    </row>
    <row r="483" spans="1:611">
      <c r="A483" s="27"/>
      <c r="WL483" s="4"/>
      <c r="WM483" s="4"/>
    </row>
    <row r="484" spans="1:611">
      <c r="A484" s="27"/>
      <c r="WL484" s="4"/>
      <c r="WM484" s="4"/>
    </row>
    <row r="485" spans="1:611">
      <c r="A485" s="27"/>
      <c r="WL485" s="4"/>
      <c r="WM485" s="4"/>
    </row>
    <row r="486" spans="1:611">
      <c r="A486" s="27"/>
      <c r="WL486" s="4"/>
      <c r="WM486" s="4"/>
    </row>
    <row r="487" spans="1:611">
      <c r="A487" s="27"/>
      <c r="WL487" s="4"/>
      <c r="WM487" s="4"/>
    </row>
    <row r="488" spans="1:611">
      <c r="A488" s="27"/>
      <c r="WL488" s="4"/>
      <c r="WM488" s="4"/>
    </row>
    <row r="489" spans="1:611">
      <c r="A489" s="27"/>
      <c r="WL489" s="4"/>
      <c r="WM489" s="4"/>
    </row>
    <row r="490" spans="1:611">
      <c r="A490" s="27"/>
      <c r="WL490" s="4"/>
      <c r="WM490" s="4"/>
    </row>
    <row r="491" spans="1:611">
      <c r="A491" s="27"/>
      <c r="WL491" s="4"/>
      <c r="WM491" s="4"/>
    </row>
    <row r="492" spans="1:611">
      <c r="A492" s="27"/>
      <c r="WL492" s="4"/>
      <c r="WM492" s="4"/>
    </row>
    <row r="493" spans="1:611">
      <c r="A493" s="27"/>
      <c r="WL493" s="4"/>
      <c r="WM493" s="4"/>
    </row>
    <row r="494" spans="1:611">
      <c r="A494" s="27"/>
      <c r="WL494" s="4"/>
      <c r="WM494" s="4"/>
    </row>
    <row r="495" spans="1:611">
      <c r="A495" s="27"/>
      <c r="WL495" s="4"/>
      <c r="WM495" s="4"/>
    </row>
    <row r="496" spans="1:611">
      <c r="A496" s="27"/>
      <c r="WL496" s="4"/>
      <c r="WM496" s="4"/>
    </row>
    <row r="497" spans="1:611">
      <c r="A497" s="27"/>
      <c r="WL497" s="4"/>
      <c r="WM497" s="4"/>
    </row>
    <row r="498" spans="1:611">
      <c r="A498" s="27"/>
      <c r="WL498" s="4"/>
      <c r="WM498" s="4"/>
    </row>
    <row r="499" spans="1:611">
      <c r="A499" s="27"/>
      <c r="WL499" s="4"/>
      <c r="WM499" s="4"/>
    </row>
    <row r="500" spans="1:611">
      <c r="A500" s="27"/>
      <c r="WL500" s="4"/>
      <c r="WM500" s="4"/>
    </row>
    <row r="501" spans="1:611">
      <c r="A501" s="27"/>
      <c r="WL501" s="4"/>
      <c r="WM501" s="4"/>
    </row>
    <row r="502" spans="1:611">
      <c r="A502" s="27"/>
      <c r="WL502" s="4"/>
      <c r="WM502" s="4"/>
    </row>
    <row r="503" spans="1:611">
      <c r="A503" s="27"/>
      <c r="WL503" s="4"/>
      <c r="WM503" s="4"/>
    </row>
    <row r="504" spans="1:611">
      <c r="A504" s="27"/>
      <c r="WL504" s="4"/>
      <c r="WM504" s="4"/>
    </row>
    <row r="505" spans="1:611">
      <c r="A505" s="27"/>
      <c r="WL505" s="4"/>
      <c r="WM505" s="4"/>
    </row>
    <row r="506" spans="1:611">
      <c r="A506" s="27"/>
      <c r="WL506" s="4"/>
      <c r="WM506" s="4"/>
    </row>
    <row r="507" spans="1:611">
      <c r="A507" s="27"/>
      <c r="WL507" s="4"/>
      <c r="WM507" s="4"/>
    </row>
    <row r="508" spans="1:611">
      <c r="A508" s="27"/>
      <c r="WL508" s="4"/>
      <c r="WM508" s="4"/>
    </row>
    <row r="509" spans="1:611">
      <c r="A509" s="27"/>
      <c r="WL509" s="4"/>
      <c r="WM509" s="4"/>
    </row>
    <row r="510" spans="1:611">
      <c r="A510" s="27"/>
      <c r="WL510" s="4"/>
      <c r="WM510" s="4"/>
    </row>
    <row r="511" spans="1:611">
      <c r="A511" s="27"/>
      <c r="WL511" s="4"/>
      <c r="WM511" s="4"/>
    </row>
    <row r="512" spans="1:611">
      <c r="A512" s="27"/>
      <c r="WL512" s="4"/>
      <c r="WM512" s="4"/>
    </row>
    <row r="513" spans="1:611">
      <c r="A513" s="27"/>
      <c r="WL513" s="4"/>
      <c r="WM513" s="4"/>
    </row>
    <row r="514" spans="1:611">
      <c r="A514" s="27"/>
      <c r="WL514" s="4"/>
      <c r="WM514" s="4"/>
    </row>
    <row r="515" spans="1:611">
      <c r="A515" s="27"/>
      <c r="WL515" s="4"/>
      <c r="WM515" s="4"/>
    </row>
    <row r="516" spans="1:611">
      <c r="A516" s="27"/>
      <c r="WL516" s="4"/>
      <c r="WM516" s="4"/>
    </row>
    <row r="517" spans="1:611">
      <c r="A517" s="27"/>
      <c r="WL517" s="4"/>
      <c r="WM517" s="4"/>
    </row>
    <row r="518" spans="1:611">
      <c r="A518" s="27"/>
      <c r="WL518" s="4"/>
      <c r="WM518" s="4"/>
    </row>
    <row r="519" spans="1:611">
      <c r="A519" s="27"/>
      <c r="WL519" s="4"/>
      <c r="WM519" s="4"/>
    </row>
    <row r="520" spans="1:611">
      <c r="A520" s="27"/>
      <c r="WL520" s="4"/>
      <c r="WM520" s="4"/>
    </row>
    <row r="521" spans="1:611">
      <c r="A521" s="27"/>
      <c r="WL521" s="4"/>
      <c r="WM521" s="4"/>
    </row>
    <row r="522" spans="1:611">
      <c r="A522" s="27"/>
      <c r="WL522" s="4"/>
      <c r="WM522" s="4"/>
    </row>
    <row r="523" spans="1:611">
      <c r="A523" s="27"/>
      <c r="WL523" s="4"/>
      <c r="WM523" s="4"/>
    </row>
    <row r="524" spans="1:611">
      <c r="A524" s="27"/>
      <c r="WL524" s="4"/>
      <c r="WM524" s="4"/>
    </row>
    <row r="525" spans="1:611">
      <c r="A525" s="27"/>
      <c r="WL525" s="4"/>
      <c r="WM525" s="4"/>
    </row>
    <row r="526" spans="1:611">
      <c r="A526" s="27"/>
      <c r="WL526" s="4"/>
      <c r="WM526" s="4"/>
    </row>
    <row r="527" spans="1:611">
      <c r="A527" s="27"/>
      <c r="WL527" s="4"/>
      <c r="WM527" s="4"/>
    </row>
    <row r="528" spans="1:611">
      <c r="A528" s="27"/>
      <c r="WL528" s="4"/>
      <c r="WM528" s="4"/>
    </row>
    <row r="529" spans="1:611">
      <c r="A529" s="27"/>
      <c r="WL529" s="4"/>
      <c r="WM529" s="4"/>
    </row>
    <row r="530" spans="1:611">
      <c r="A530" s="27"/>
      <c r="WL530" s="4"/>
      <c r="WM530" s="4"/>
    </row>
    <row r="531" spans="1:611">
      <c r="A531" s="27"/>
      <c r="WL531" s="4"/>
      <c r="WM531" s="4"/>
    </row>
    <row r="532" spans="1:611">
      <c r="A532" s="27"/>
      <c r="WL532" s="4"/>
      <c r="WM532" s="4"/>
    </row>
    <row r="533" spans="1:611">
      <c r="A533" s="27"/>
      <c r="WL533" s="4"/>
      <c r="WM533" s="4"/>
    </row>
    <row r="534" spans="1:611">
      <c r="A534" s="27"/>
      <c r="WL534" s="4"/>
      <c r="WM534" s="4"/>
    </row>
    <row r="535" spans="1:611">
      <c r="A535" s="27"/>
      <c r="WL535" s="4"/>
      <c r="WM535" s="4"/>
    </row>
    <row r="536" spans="1:611">
      <c r="A536" s="27"/>
      <c r="WL536" s="4"/>
      <c r="WM536" s="4"/>
    </row>
    <row r="537" spans="1:611">
      <c r="A537" s="27"/>
      <c r="WL537" s="4"/>
      <c r="WM537" s="4"/>
    </row>
    <row r="538" spans="1:611">
      <c r="A538" s="27"/>
      <c r="WL538" s="4"/>
      <c r="WM538" s="4"/>
    </row>
    <row r="539" spans="1:611">
      <c r="A539" s="27"/>
      <c r="WL539" s="4"/>
      <c r="WM539" s="4"/>
    </row>
    <row r="540" spans="1:611">
      <c r="A540" s="27"/>
      <c r="WL540" s="4"/>
      <c r="WM540" s="4"/>
    </row>
    <row r="541" spans="1:611">
      <c r="A541" s="27"/>
      <c r="WL541" s="4"/>
      <c r="WM541" s="4"/>
    </row>
    <row r="542" spans="1:611">
      <c r="A542" s="27"/>
      <c r="WL542" s="4"/>
      <c r="WM542" s="4"/>
    </row>
    <row r="543" spans="1:611">
      <c r="A543" s="27"/>
      <c r="WL543" s="4"/>
      <c r="WM543" s="4"/>
    </row>
    <row r="544" spans="1:611">
      <c r="A544" s="27"/>
      <c r="WL544" s="4"/>
      <c r="WM544" s="4"/>
    </row>
    <row r="545" spans="1:611">
      <c r="A545" s="27"/>
      <c r="WL545" s="4"/>
      <c r="WM545" s="4"/>
    </row>
    <row r="546" spans="1:611">
      <c r="A546" s="27"/>
      <c r="WL546" s="4"/>
      <c r="WM546" s="4"/>
    </row>
    <row r="547" spans="1:611">
      <c r="A547" s="27"/>
      <c r="WL547" s="4"/>
      <c r="WM547" s="4"/>
    </row>
    <row r="548" spans="1:611">
      <c r="A548" s="27"/>
      <c r="WL548" s="4"/>
      <c r="WM548" s="4"/>
    </row>
    <row r="549" spans="1:611">
      <c r="A549" s="27"/>
      <c r="WL549" s="4"/>
      <c r="WM549" s="4"/>
    </row>
    <row r="550" spans="1:611">
      <c r="A550" s="27"/>
      <c r="WL550" s="4"/>
      <c r="WM550" s="4"/>
    </row>
    <row r="551" spans="1:611">
      <c r="A551" s="27"/>
      <c r="WL551" s="4"/>
      <c r="WM551" s="4"/>
    </row>
    <row r="552" spans="1:611">
      <c r="A552" s="27"/>
      <c r="WL552" s="4"/>
      <c r="WM552" s="4"/>
    </row>
    <row r="553" spans="1:611">
      <c r="A553" s="27"/>
      <c r="WL553" s="4"/>
      <c r="WM553" s="4"/>
    </row>
    <row r="554" spans="1:611">
      <c r="A554" s="27"/>
      <c r="WL554" s="4"/>
      <c r="WM554" s="4"/>
    </row>
    <row r="555" spans="1:611">
      <c r="A555" s="27"/>
      <c r="WL555" s="4"/>
      <c r="WM555" s="4"/>
    </row>
    <row r="556" spans="1:611">
      <c r="A556" s="27"/>
      <c r="WL556" s="4"/>
      <c r="WM556" s="4"/>
    </row>
    <row r="557" spans="1:611">
      <c r="A557" s="27"/>
      <c r="WL557" s="4"/>
      <c r="WM557" s="4"/>
    </row>
    <row r="558" spans="1:611">
      <c r="A558" s="27"/>
      <c r="WL558" s="4"/>
      <c r="WM558" s="4"/>
    </row>
    <row r="559" spans="1:611">
      <c r="A559" s="27"/>
      <c r="WL559" s="4"/>
      <c r="WM559" s="4"/>
    </row>
    <row r="560" spans="1:611">
      <c r="A560" s="27"/>
      <c r="WL560" s="4"/>
      <c r="WM560" s="4"/>
    </row>
    <row r="561" spans="1:611">
      <c r="A561" s="27"/>
      <c r="WL561" s="4"/>
      <c r="WM561" s="4"/>
    </row>
    <row r="562" spans="1:611">
      <c r="A562" s="27"/>
      <c r="WL562" s="4"/>
      <c r="WM562" s="4"/>
    </row>
    <row r="563" spans="1:611">
      <c r="A563" s="27"/>
      <c r="WL563" s="4"/>
      <c r="WM563" s="4"/>
    </row>
    <row r="564" spans="1:611">
      <c r="A564" s="27"/>
      <c r="WL564" s="4"/>
      <c r="WM564" s="4"/>
    </row>
    <row r="565" spans="1:611">
      <c r="A565" s="27"/>
      <c r="WL565" s="4"/>
      <c r="WM565" s="4"/>
    </row>
    <row r="566" spans="1:611">
      <c r="A566" s="27"/>
      <c r="WL566" s="4"/>
      <c r="WM566" s="4"/>
    </row>
    <row r="567" spans="1:611">
      <c r="A567" s="27"/>
      <c r="WL567" s="4"/>
      <c r="WM567" s="4"/>
    </row>
    <row r="568" spans="1:611">
      <c r="A568" s="27"/>
      <c r="WL568" s="4"/>
      <c r="WM568" s="4"/>
    </row>
    <row r="569" spans="1:611">
      <c r="A569" s="27"/>
      <c r="WL569" s="4"/>
      <c r="WM569" s="4"/>
    </row>
    <row r="570" spans="1:611">
      <c r="A570" s="27"/>
      <c r="WL570" s="4"/>
      <c r="WM570" s="4"/>
    </row>
    <row r="571" spans="1:611">
      <c r="A571" s="27"/>
      <c r="WL571" s="4"/>
      <c r="WM571" s="4"/>
    </row>
    <row r="572" spans="1:611">
      <c r="A572" s="27"/>
      <c r="WL572" s="4"/>
      <c r="WM572" s="4"/>
    </row>
    <row r="573" spans="1:611">
      <c r="A573" s="27"/>
      <c r="WL573" s="4"/>
      <c r="WM573" s="4"/>
    </row>
    <row r="574" spans="1:611">
      <c r="A574" s="27"/>
      <c r="WL574" s="4"/>
      <c r="WM574" s="4"/>
    </row>
    <row r="575" spans="1:611">
      <c r="A575" s="27"/>
      <c r="WL575" s="4"/>
      <c r="WM575" s="4"/>
    </row>
    <row r="576" spans="1:611">
      <c r="A576" s="27"/>
      <c r="WL576" s="4"/>
      <c r="WM576" s="4"/>
    </row>
    <row r="577" spans="1:611">
      <c r="A577" s="27"/>
      <c r="WL577" s="4"/>
      <c r="WM577" s="4"/>
    </row>
    <row r="578" spans="1:611">
      <c r="A578" s="27"/>
      <c r="WL578" s="4"/>
      <c r="WM578" s="4"/>
    </row>
    <row r="579" spans="1:611">
      <c r="A579" s="27"/>
      <c r="WL579" s="4"/>
      <c r="WM579" s="4"/>
    </row>
    <row r="580" spans="1:611">
      <c r="A580" s="27"/>
      <c r="WL580" s="4"/>
      <c r="WM580" s="4"/>
    </row>
    <row r="581" spans="1:611">
      <c r="A581" s="27"/>
      <c r="WL581" s="4"/>
      <c r="WM581" s="4"/>
    </row>
    <row r="582" spans="1:611">
      <c r="A582" s="27"/>
      <c r="WL582" s="4"/>
      <c r="WM582" s="4"/>
    </row>
    <row r="583" spans="1:611">
      <c r="A583" s="27"/>
      <c r="WL583" s="4"/>
      <c r="WM583" s="4"/>
    </row>
    <row r="584" spans="1:611">
      <c r="A584" s="27"/>
      <c r="WL584" s="4"/>
      <c r="WM584" s="4"/>
    </row>
    <row r="585" spans="1:611">
      <c r="A585" s="27"/>
      <c r="WL585" s="4"/>
      <c r="WM585" s="4"/>
    </row>
    <row r="586" spans="1:611">
      <c r="A586" s="27"/>
      <c r="WL586" s="4"/>
      <c r="WM586" s="4"/>
    </row>
    <row r="587" spans="1:611">
      <c r="A587" s="27"/>
      <c r="WL587" s="4"/>
      <c r="WM587" s="4"/>
    </row>
    <row r="588" spans="1:611">
      <c r="A588" s="27"/>
      <c r="WL588" s="4"/>
      <c r="WM588" s="4"/>
    </row>
    <row r="589" spans="1:611">
      <c r="A589" s="27"/>
      <c r="WL589" s="4"/>
      <c r="WM589" s="4"/>
    </row>
    <row r="590" spans="1:611">
      <c r="A590" s="27"/>
      <c r="WL590" s="4"/>
      <c r="WM590" s="4"/>
    </row>
    <row r="591" spans="1:611">
      <c r="A591" s="27"/>
      <c r="WL591" s="4"/>
      <c r="WM591" s="4"/>
    </row>
    <row r="592" spans="1:611">
      <c r="A592" s="27"/>
      <c r="WL592" s="4"/>
      <c r="WM592" s="4"/>
    </row>
    <row r="593" spans="1:611">
      <c r="A593" s="27"/>
      <c r="WL593" s="4"/>
      <c r="WM593" s="4"/>
    </row>
    <row r="594" spans="1:611">
      <c r="A594" s="27"/>
      <c r="WL594" s="4"/>
      <c r="WM594" s="4"/>
    </row>
    <row r="595" spans="1:611">
      <c r="A595" s="27"/>
      <c r="WL595" s="4"/>
      <c r="WM595" s="4"/>
    </row>
    <row r="596" spans="1:611">
      <c r="A596" s="27"/>
      <c r="WL596" s="4"/>
      <c r="WM596" s="4"/>
    </row>
    <row r="597" spans="1:611">
      <c r="A597" s="27"/>
      <c r="WL597" s="4"/>
      <c r="WM597" s="4"/>
    </row>
    <row r="598" spans="1:611">
      <c r="A598" s="27"/>
      <c r="WL598" s="4"/>
      <c r="WM598" s="4"/>
    </row>
    <row r="599" spans="1:611">
      <c r="A599" s="27"/>
      <c r="WL599" s="4"/>
      <c r="WM599" s="4"/>
    </row>
    <row r="600" spans="1:611">
      <c r="A600" s="27"/>
      <c r="WL600" s="4"/>
      <c r="WM600" s="4"/>
    </row>
    <row r="601" spans="1:611">
      <c r="A601" s="27"/>
      <c r="WL601" s="4"/>
      <c r="WM601" s="4"/>
    </row>
    <row r="602" spans="1:611">
      <c r="A602" s="27"/>
      <c r="WL602" s="4"/>
      <c r="WM602" s="4"/>
    </row>
    <row r="603" spans="1:611">
      <c r="A603" s="27"/>
      <c r="WL603" s="4"/>
      <c r="WM603" s="4"/>
    </row>
    <row r="604" spans="1:611">
      <c r="A604" s="27"/>
      <c r="WL604" s="4"/>
      <c r="WM604" s="4"/>
    </row>
    <row r="605" spans="1:611">
      <c r="A605" s="27"/>
      <c r="WL605" s="4"/>
      <c r="WM605" s="4"/>
    </row>
    <row r="606" spans="1:611">
      <c r="A606" s="27"/>
      <c r="WL606" s="4"/>
      <c r="WM606" s="4"/>
    </row>
    <row r="607" spans="1:611">
      <c r="A607" s="27"/>
      <c r="WL607" s="4"/>
      <c r="WM607" s="4"/>
    </row>
    <row r="608" spans="1:611">
      <c r="A608" s="27"/>
      <c r="WL608" s="4"/>
      <c r="WM608" s="4"/>
    </row>
    <row r="609" spans="1:611">
      <c r="A609" s="27"/>
      <c r="WL609" s="4"/>
      <c r="WM609" s="4"/>
    </row>
    <row r="610" spans="1:611">
      <c r="A610" s="27"/>
      <c r="WL610" s="4"/>
      <c r="WM610" s="4"/>
    </row>
    <row r="611" spans="1:611">
      <c r="A611" s="27"/>
      <c r="WL611" s="4"/>
      <c r="WM611" s="4"/>
    </row>
    <row r="612" spans="1:611">
      <c r="A612" s="27"/>
      <c r="WL612" s="4"/>
      <c r="WM612" s="4"/>
    </row>
    <row r="613" spans="1:611">
      <c r="A613" s="27"/>
      <c r="WL613" s="4"/>
      <c r="WM613" s="4"/>
    </row>
    <row r="614" spans="1:611">
      <c r="A614" s="27"/>
      <c r="WL614" s="4"/>
      <c r="WM614" s="4"/>
    </row>
    <row r="615" spans="1:611">
      <c r="A615" s="27"/>
      <c r="WL615" s="4"/>
      <c r="WM615" s="4"/>
    </row>
    <row r="616" spans="1:611">
      <c r="A616" s="27"/>
      <c r="WL616" s="4"/>
      <c r="WM616" s="4"/>
    </row>
    <row r="617" spans="1:611">
      <c r="A617" s="27"/>
      <c r="WL617" s="4"/>
      <c r="WM617" s="4"/>
    </row>
    <row r="618" spans="1:611">
      <c r="A618" s="27"/>
      <c r="WL618" s="4"/>
      <c r="WM618" s="4"/>
    </row>
    <row r="619" spans="1:611">
      <c r="A619" s="27"/>
      <c r="WL619" s="4"/>
      <c r="WM619" s="4"/>
    </row>
    <row r="620" spans="1:611">
      <c r="A620" s="27"/>
      <c r="WL620" s="4"/>
      <c r="WM620" s="4"/>
    </row>
    <row r="621" spans="1:611">
      <c r="A621" s="27"/>
      <c r="WL621" s="4"/>
      <c r="WM621" s="4"/>
    </row>
    <row r="622" spans="1:611">
      <c r="A622" s="27"/>
      <c r="WL622" s="4"/>
      <c r="WM622" s="4"/>
    </row>
    <row r="623" spans="1:611">
      <c r="A623" s="27"/>
      <c r="WL623" s="4"/>
      <c r="WM623" s="4"/>
    </row>
    <row r="624" spans="1:611">
      <c r="A624" s="27"/>
      <c r="WL624" s="4"/>
      <c r="WM624" s="4"/>
    </row>
    <row r="625" spans="1:611">
      <c r="A625" s="27"/>
      <c r="WL625" s="4"/>
      <c r="WM625" s="4"/>
    </row>
    <row r="626" spans="1:611">
      <c r="A626" s="27"/>
      <c r="WL626" s="4"/>
      <c r="WM626" s="4"/>
    </row>
    <row r="627" spans="1:611">
      <c r="A627" s="27"/>
      <c r="WL627" s="4"/>
      <c r="WM627" s="4"/>
    </row>
    <row r="628" spans="1:611">
      <c r="A628" s="27"/>
      <c r="WL628" s="4"/>
      <c r="WM628" s="4"/>
    </row>
    <row r="629" spans="1:611">
      <c r="A629" s="27"/>
      <c r="WL629" s="4"/>
      <c r="WM629" s="4"/>
    </row>
    <row r="630" spans="1:611">
      <c r="A630" s="27"/>
      <c r="WL630" s="4"/>
      <c r="WM630" s="4"/>
    </row>
    <row r="631" spans="1:611">
      <c r="A631" s="27"/>
      <c r="WL631" s="4"/>
      <c r="WM631" s="4"/>
    </row>
    <row r="632" spans="1:611">
      <c r="A632" s="27"/>
      <c r="WL632" s="4"/>
      <c r="WM632" s="4"/>
    </row>
    <row r="633" spans="1:611">
      <c r="A633" s="27"/>
      <c r="WL633" s="4"/>
      <c r="WM633" s="4"/>
    </row>
    <row r="634" spans="1:611">
      <c r="A634" s="27"/>
      <c r="WL634" s="4"/>
      <c r="WM634" s="4"/>
    </row>
    <row r="635" spans="1:611">
      <c r="A635" s="27"/>
      <c r="WL635" s="4"/>
      <c r="WM635" s="4"/>
    </row>
    <row r="636" spans="1:611">
      <c r="A636" s="27"/>
      <c r="WL636" s="4"/>
      <c r="WM636" s="4"/>
    </row>
    <row r="637" spans="1:611">
      <c r="A637" s="27"/>
      <c r="WL637" s="4"/>
      <c r="WM637" s="4"/>
    </row>
    <row r="638" spans="1:611">
      <c r="A638" s="27"/>
      <c r="WL638" s="4"/>
      <c r="WM638" s="4"/>
    </row>
    <row r="639" spans="1:611">
      <c r="A639" s="27"/>
      <c r="WL639" s="4"/>
      <c r="WM639" s="4"/>
    </row>
    <row r="640" spans="1:611">
      <c r="A640" s="27"/>
      <c r="WL640" s="4"/>
      <c r="WM640" s="4"/>
    </row>
    <row r="641" spans="1:611">
      <c r="A641" s="27"/>
      <c r="WL641" s="4"/>
      <c r="WM641" s="4"/>
    </row>
    <row r="642" spans="1:611">
      <c r="A642" s="27"/>
      <c r="WL642" s="4"/>
      <c r="WM642" s="4"/>
    </row>
    <row r="643" spans="1:611">
      <c r="A643" s="27"/>
      <c r="WL643" s="4"/>
      <c r="WM643" s="4"/>
    </row>
    <row r="644" spans="1:611">
      <c r="A644" s="27"/>
      <c r="WL644" s="4"/>
      <c r="WM644" s="4"/>
    </row>
    <row r="645" spans="1:611">
      <c r="A645" s="27"/>
      <c r="WL645" s="4"/>
      <c r="WM645" s="4"/>
    </row>
    <row r="646" spans="1:611">
      <c r="A646" s="27"/>
      <c r="WL646" s="4"/>
      <c r="WM646" s="4"/>
    </row>
    <row r="647" spans="1:611">
      <c r="A647" s="27"/>
      <c r="WL647" s="4"/>
      <c r="WM647" s="4"/>
    </row>
    <row r="648" spans="1:611">
      <c r="A648" s="27"/>
      <c r="WL648" s="4"/>
      <c r="WM648" s="4"/>
    </row>
    <row r="649" spans="1:611">
      <c r="A649" s="27"/>
      <c r="WL649" s="4"/>
      <c r="WM649" s="4"/>
    </row>
    <row r="650" spans="1:611">
      <c r="A650" s="27"/>
      <c r="WL650" s="4"/>
      <c r="WM650" s="4"/>
    </row>
    <row r="651" spans="1:611">
      <c r="A651" s="27"/>
      <c r="WL651" s="4"/>
      <c r="WM651" s="4"/>
    </row>
    <row r="652" spans="1:611">
      <c r="A652" s="27"/>
      <c r="WL652" s="4"/>
      <c r="WM652" s="4"/>
    </row>
    <row r="653" spans="1:611">
      <c r="A653" s="27"/>
      <c r="WL653" s="4"/>
      <c r="WM653" s="4"/>
    </row>
    <row r="654" spans="1:611">
      <c r="A654" s="27"/>
      <c r="WL654" s="4"/>
      <c r="WM654" s="4"/>
    </row>
    <row r="655" spans="1:611">
      <c r="A655" s="27"/>
      <c r="WL655" s="4"/>
      <c r="WM655" s="4"/>
    </row>
    <row r="656" spans="1:611">
      <c r="A656" s="27"/>
      <c r="WL656" s="4"/>
      <c r="WM656" s="4"/>
    </row>
    <row r="657" spans="1:611">
      <c r="A657" s="27"/>
      <c r="WL657" s="4"/>
      <c r="WM657" s="4"/>
    </row>
    <row r="658" spans="1:611">
      <c r="A658" s="27"/>
      <c r="WL658" s="4"/>
      <c r="WM658" s="4"/>
    </row>
    <row r="659" spans="1:611">
      <c r="A659" s="27"/>
      <c r="WL659" s="4"/>
      <c r="WM659" s="4"/>
    </row>
    <row r="660" spans="1:611">
      <c r="A660" s="27"/>
      <c r="WL660" s="4"/>
      <c r="WM660" s="4"/>
    </row>
    <row r="661" spans="1:611">
      <c r="A661" s="27"/>
      <c r="WL661" s="4"/>
      <c r="WM661" s="4"/>
    </row>
    <row r="662" spans="1:611">
      <c r="A662" s="27"/>
      <c r="WL662" s="4"/>
      <c r="WM662" s="4"/>
    </row>
    <row r="663" spans="1:611">
      <c r="A663" s="27"/>
      <c r="WL663" s="4"/>
      <c r="WM663" s="4"/>
    </row>
    <row r="664" spans="1:611">
      <c r="A664" s="27"/>
      <c r="WL664" s="4"/>
      <c r="WM664" s="4"/>
    </row>
    <row r="665" spans="1:611">
      <c r="A665" s="27"/>
      <c r="WL665" s="4"/>
      <c r="WM665" s="4"/>
    </row>
    <row r="666" spans="1:611">
      <c r="A666" s="27"/>
      <c r="WL666" s="4"/>
      <c r="WM666" s="4"/>
    </row>
    <row r="667" spans="1:611">
      <c r="A667" s="27"/>
      <c r="WL667" s="4"/>
      <c r="WM667" s="4"/>
    </row>
    <row r="668" spans="1:611">
      <c r="A668" s="27"/>
      <c r="WL668" s="4"/>
      <c r="WM668" s="4"/>
    </row>
    <row r="669" spans="1:611">
      <c r="A669" s="27"/>
      <c r="WL669" s="4"/>
      <c r="WM669" s="4"/>
    </row>
    <row r="670" spans="1:611">
      <c r="A670" s="27"/>
      <c r="WL670" s="4"/>
      <c r="WM670" s="4"/>
    </row>
    <row r="671" spans="1:611">
      <c r="A671" s="27"/>
      <c r="WL671" s="4"/>
      <c r="WM671" s="4"/>
    </row>
    <row r="672" spans="1:611">
      <c r="A672" s="27"/>
      <c r="WL672" s="4"/>
      <c r="WM672" s="4"/>
    </row>
    <row r="673" spans="1:611">
      <c r="A673" s="27"/>
      <c r="WL673" s="4"/>
      <c r="WM673" s="4"/>
    </row>
    <row r="674" spans="1:611">
      <c r="A674" s="27"/>
      <c r="WL674" s="4"/>
      <c r="WM674" s="4"/>
    </row>
    <row r="675" spans="1:611">
      <c r="A675" s="27"/>
      <c r="WL675" s="4"/>
      <c r="WM675" s="4"/>
    </row>
    <row r="676" spans="1:611">
      <c r="A676" s="27"/>
      <c r="WL676" s="4"/>
      <c r="WM676" s="4"/>
    </row>
    <row r="677" spans="1:611">
      <c r="A677" s="27"/>
      <c r="WL677" s="4"/>
      <c r="WM677" s="4"/>
    </row>
    <row r="678" spans="1:611">
      <c r="A678" s="27"/>
      <c r="WL678" s="4"/>
      <c r="WM678" s="4"/>
    </row>
    <row r="679" spans="1:611">
      <c r="A679" s="27"/>
      <c r="WL679" s="4"/>
      <c r="WM679" s="4"/>
    </row>
    <row r="680" spans="1:611">
      <c r="A680" s="27"/>
      <c r="WL680" s="4"/>
      <c r="WM680" s="4"/>
    </row>
    <row r="681" spans="1:611">
      <c r="A681" s="27"/>
      <c r="WL681" s="4"/>
      <c r="WM681" s="4"/>
    </row>
    <row r="682" spans="1:611">
      <c r="A682" s="27"/>
      <c r="WL682" s="4"/>
      <c r="WM682" s="4"/>
    </row>
    <row r="683" spans="1:611">
      <c r="A683" s="27"/>
      <c r="WL683" s="4"/>
      <c r="WM683" s="4"/>
    </row>
    <row r="684" spans="1:611">
      <c r="A684" s="27"/>
      <c r="WL684" s="4"/>
      <c r="WM684" s="4"/>
    </row>
    <row r="685" spans="1:611">
      <c r="A685" s="27"/>
      <c r="WL685" s="4"/>
      <c r="WM685" s="4"/>
    </row>
    <row r="686" spans="1:611">
      <c r="A686" s="27"/>
    </row>
    <row r="687" spans="1:611">
      <c r="A687" s="27"/>
    </row>
    <row r="688" spans="1:611">
      <c r="A688" s="27"/>
    </row>
    <row r="689" spans="1:1">
      <c r="A689" s="27"/>
    </row>
    <row r="690" spans="1:1">
      <c r="A690" s="27"/>
    </row>
    <row r="691" spans="1:1">
      <c r="A691" s="27"/>
    </row>
    <row r="692" spans="1:1">
      <c r="A692" s="27"/>
    </row>
    <row r="693" spans="1:1">
      <c r="A693" s="27"/>
    </row>
    <row r="694" spans="1:1">
      <c r="A694" s="27"/>
    </row>
    <row r="695" spans="1:1">
      <c r="A695" s="27"/>
    </row>
    <row r="696" spans="1:1">
      <c r="A696" s="27"/>
    </row>
    <row r="697" spans="1:1">
      <c r="A697" s="27"/>
    </row>
    <row r="698" spans="1:1">
      <c r="A698" s="27"/>
    </row>
    <row r="699" spans="1:1">
      <c r="A699" s="27"/>
    </row>
    <row r="700" spans="1:1">
      <c r="A700" s="27"/>
    </row>
    <row r="701" spans="1:1">
      <c r="A701" s="27"/>
    </row>
    <row r="702" spans="1:1">
      <c r="A702" s="27"/>
    </row>
    <row r="703" spans="1:1">
      <c r="A703" s="27"/>
    </row>
    <row r="704" spans="1:1">
      <c r="A704" s="27"/>
    </row>
    <row r="705" spans="1:1">
      <c r="A705" s="27"/>
    </row>
    <row r="706" spans="1:1">
      <c r="A706" s="27"/>
    </row>
    <row r="707" spans="1:1">
      <c r="A707" s="27"/>
    </row>
    <row r="708" spans="1:1">
      <c r="A708" s="27"/>
    </row>
    <row r="709" spans="1:1">
      <c r="A709" s="27"/>
    </row>
    <row r="710" spans="1:1">
      <c r="A710" s="27"/>
    </row>
    <row r="711" spans="1:1">
      <c r="A711" s="27"/>
    </row>
    <row r="712" spans="1:1">
      <c r="A712" s="27"/>
    </row>
    <row r="713" spans="1:1">
      <c r="A713" s="27"/>
    </row>
    <row r="714" spans="1:1">
      <c r="A714" s="27"/>
    </row>
    <row r="715" spans="1:1">
      <c r="A715" s="27"/>
    </row>
    <row r="716" spans="1:1">
      <c r="A716" s="27"/>
    </row>
    <row r="717" spans="1:1">
      <c r="A717" s="27"/>
    </row>
    <row r="718" spans="1:1">
      <c r="A718" s="27"/>
    </row>
    <row r="719" spans="1:1">
      <c r="A719" s="27"/>
    </row>
    <row r="720" spans="1:1">
      <c r="A720" s="27"/>
    </row>
    <row r="721" spans="1:1">
      <c r="A721" s="27"/>
    </row>
    <row r="722" spans="1:1">
      <c r="A722" s="27"/>
    </row>
    <row r="723" spans="1:1">
      <c r="A723" s="27"/>
    </row>
    <row r="724" spans="1:1">
      <c r="A724" s="27"/>
    </row>
    <row r="725" spans="1:1">
      <c r="A725" s="27"/>
    </row>
    <row r="726" spans="1:1">
      <c r="A726" s="27"/>
    </row>
    <row r="727" spans="1:1">
      <c r="A727" s="27"/>
    </row>
    <row r="728" spans="1:1">
      <c r="A728" s="27"/>
    </row>
    <row r="729" spans="1:1">
      <c r="A729" s="27"/>
    </row>
    <row r="730" spans="1:1">
      <c r="A730" s="27"/>
    </row>
    <row r="731" spans="1:1">
      <c r="A731" s="27"/>
    </row>
    <row r="732" spans="1:1">
      <c r="A732" s="27"/>
    </row>
    <row r="733" spans="1:1">
      <c r="A733" s="27"/>
    </row>
    <row r="734" spans="1:1">
      <c r="A734" s="27"/>
    </row>
    <row r="735" spans="1:1">
      <c r="A735" s="27"/>
    </row>
    <row r="736" spans="1:1">
      <c r="A736" s="27"/>
    </row>
    <row r="737" spans="1:1">
      <c r="A737" s="27"/>
    </row>
    <row r="738" spans="1:1">
      <c r="A738" s="27"/>
    </row>
    <row r="739" spans="1:1">
      <c r="A739" s="27"/>
    </row>
    <row r="740" spans="1:1">
      <c r="A740" s="27"/>
    </row>
    <row r="741" spans="1:1">
      <c r="A741" s="27"/>
    </row>
    <row r="742" spans="1:1">
      <c r="A742" s="27"/>
    </row>
    <row r="743" spans="1:1">
      <c r="A743" s="27"/>
    </row>
    <row r="744" spans="1:1">
      <c r="A744" s="27"/>
    </row>
    <row r="745" spans="1:1">
      <c r="A745" s="27"/>
    </row>
    <row r="746" spans="1:1">
      <c r="A746" s="27"/>
    </row>
    <row r="747" spans="1:1">
      <c r="A747" s="27"/>
    </row>
    <row r="748" spans="1:1">
      <c r="A748" s="27"/>
    </row>
    <row r="749" spans="1:1">
      <c r="A749" s="27"/>
    </row>
    <row r="750" spans="1:1">
      <c r="A750" s="27"/>
    </row>
    <row r="751" spans="1:1">
      <c r="A751" s="27"/>
    </row>
    <row r="752" spans="1:1">
      <c r="A752" s="27"/>
    </row>
    <row r="753" spans="1:1">
      <c r="A753" s="27"/>
    </row>
    <row r="754" spans="1:1">
      <c r="A754" s="27"/>
    </row>
    <row r="755" spans="1:1">
      <c r="A755" s="27"/>
    </row>
    <row r="756" spans="1:1">
      <c r="A756" s="27"/>
    </row>
    <row r="757" spans="1:1">
      <c r="A757" s="27"/>
    </row>
    <row r="758" spans="1:1">
      <c r="A758" s="27"/>
    </row>
    <row r="759" spans="1:1">
      <c r="A759" s="27"/>
    </row>
    <row r="760" spans="1:1">
      <c r="A760" s="27"/>
    </row>
    <row r="761" spans="1:1">
      <c r="A761" s="27"/>
    </row>
    <row r="762" spans="1:1">
      <c r="A762" s="27"/>
    </row>
    <row r="763" spans="1:1">
      <c r="A763" s="27"/>
    </row>
    <row r="764" spans="1:1">
      <c r="A764" s="27"/>
    </row>
    <row r="765" spans="1:1">
      <c r="A765" s="27"/>
    </row>
    <row r="766" spans="1:1">
      <c r="A766" s="27"/>
    </row>
    <row r="767" spans="1:1">
      <c r="A767" s="27"/>
    </row>
    <row r="768" spans="1:1">
      <c r="A768" s="27"/>
    </row>
    <row r="769" spans="1:1">
      <c r="A769" s="27"/>
    </row>
    <row r="770" spans="1:1">
      <c r="A770" s="27"/>
    </row>
    <row r="771" spans="1:1">
      <c r="A771" s="27"/>
    </row>
    <row r="772" spans="1:1">
      <c r="A772" s="27"/>
    </row>
    <row r="773" spans="1:1">
      <c r="A773" s="27"/>
    </row>
    <row r="774" spans="1:1">
      <c r="A774" s="27"/>
    </row>
    <row r="775" spans="1:1">
      <c r="A775" s="27"/>
    </row>
    <row r="776" spans="1:1">
      <c r="A776" s="27"/>
    </row>
    <row r="777" spans="1:1">
      <c r="A777" s="27"/>
    </row>
    <row r="778" spans="1:1">
      <c r="A778" s="27"/>
    </row>
    <row r="779" spans="1:1">
      <c r="A779" s="27"/>
    </row>
    <row r="780" spans="1:1">
      <c r="A780" s="27"/>
    </row>
    <row r="781" spans="1:1">
      <c r="A781" s="27"/>
    </row>
    <row r="782" spans="1:1">
      <c r="A782" s="27"/>
    </row>
    <row r="783" spans="1:1">
      <c r="A783" s="27"/>
    </row>
    <row r="784" spans="1:1">
      <c r="A784" s="27"/>
    </row>
    <row r="785" spans="1:1">
      <c r="A785" s="27"/>
    </row>
    <row r="786" spans="1:1">
      <c r="A786" s="27"/>
    </row>
    <row r="787" spans="1:1">
      <c r="A787" s="27"/>
    </row>
    <row r="788" spans="1:1">
      <c r="A788" s="27"/>
    </row>
    <row r="789" spans="1:1">
      <c r="A789" s="27"/>
    </row>
    <row r="790" spans="1:1">
      <c r="A790" s="27"/>
    </row>
    <row r="791" spans="1:1">
      <c r="A791" s="27"/>
    </row>
    <row r="792" spans="1:1">
      <c r="A792" s="27"/>
    </row>
    <row r="793" spans="1:1">
      <c r="A793" s="27"/>
    </row>
    <row r="794" spans="1:1">
      <c r="A794" s="27"/>
    </row>
    <row r="795" spans="1:1">
      <c r="A795" s="27"/>
    </row>
    <row r="796" spans="1:1">
      <c r="A796" s="27"/>
    </row>
    <row r="797" spans="1:1">
      <c r="A797" s="27"/>
    </row>
    <row r="798" spans="1:1">
      <c r="A798" s="27"/>
    </row>
    <row r="799" spans="1:1">
      <c r="A799" s="27"/>
    </row>
    <row r="800" spans="1:1">
      <c r="A800" s="27"/>
    </row>
    <row r="801" spans="1:1">
      <c r="A801" s="27"/>
    </row>
    <row r="802" spans="1:1">
      <c r="A802" s="27"/>
    </row>
    <row r="803" spans="1:1">
      <c r="A803" s="27"/>
    </row>
    <row r="804" spans="1:1">
      <c r="A804" s="27"/>
    </row>
    <row r="805" spans="1:1">
      <c r="A805" s="27"/>
    </row>
    <row r="806" spans="1:1">
      <c r="A806" s="27"/>
    </row>
    <row r="807" spans="1:1">
      <c r="A807" s="27"/>
    </row>
    <row r="808" spans="1:1">
      <c r="A808" s="27"/>
    </row>
    <row r="809" spans="1:1">
      <c r="A809" s="27"/>
    </row>
    <row r="810" spans="1:1">
      <c r="A810" s="27"/>
    </row>
    <row r="811" spans="1:1">
      <c r="A811" s="27"/>
    </row>
    <row r="812" spans="1:1">
      <c r="A812" s="27"/>
    </row>
    <row r="813" spans="1:1">
      <c r="A813" s="27"/>
    </row>
    <row r="814" spans="1:1">
      <c r="A814" s="27"/>
    </row>
    <row r="815" spans="1:1">
      <c r="A815" s="27"/>
    </row>
    <row r="816" spans="1:1">
      <c r="A816" s="27"/>
    </row>
    <row r="817" spans="1:1">
      <c r="A817" s="27"/>
    </row>
    <row r="818" spans="1:1">
      <c r="A818" s="27"/>
    </row>
    <row r="819" spans="1:1">
      <c r="A819" s="27"/>
    </row>
    <row r="820" spans="1:1">
      <c r="A820" s="27"/>
    </row>
    <row r="821" spans="1:1">
      <c r="A821" s="27"/>
    </row>
    <row r="822" spans="1:1">
      <c r="A822" s="27"/>
    </row>
    <row r="823" spans="1:1">
      <c r="A823" s="27"/>
    </row>
    <row r="824" spans="1:1">
      <c r="A824" s="27"/>
    </row>
    <row r="825" spans="1:1">
      <c r="A825" s="27"/>
    </row>
    <row r="826" spans="1:1">
      <c r="A826" s="27"/>
    </row>
    <row r="827" spans="1:1">
      <c r="A827" s="27"/>
    </row>
    <row r="828" spans="1:1">
      <c r="A828" s="27"/>
    </row>
    <row r="829" spans="1:1">
      <c r="A829" s="27"/>
    </row>
    <row r="830" spans="1:1">
      <c r="A830" s="27"/>
    </row>
    <row r="831" spans="1:1">
      <c r="A831" s="27"/>
    </row>
    <row r="832" spans="1:1">
      <c r="A832" s="27"/>
    </row>
    <row r="833" spans="1:1">
      <c r="A833" s="27"/>
    </row>
    <row r="834" spans="1:1">
      <c r="A834" s="27"/>
    </row>
    <row r="835" spans="1:1">
      <c r="A835" s="27"/>
    </row>
    <row r="836" spans="1:1">
      <c r="A836" s="27"/>
    </row>
    <row r="837" spans="1:1">
      <c r="A837" s="27"/>
    </row>
    <row r="838" spans="1:1">
      <c r="A838" s="27"/>
    </row>
    <row r="839" spans="1:1">
      <c r="A839" s="27"/>
    </row>
    <row r="840" spans="1:1">
      <c r="A840" s="27"/>
    </row>
    <row r="841" spans="1:1">
      <c r="A841" s="27"/>
    </row>
    <row r="842" spans="1:1">
      <c r="A842" s="27"/>
    </row>
    <row r="843" spans="1:1">
      <c r="A843" s="27"/>
    </row>
    <row r="844" spans="1:1">
      <c r="A844" s="27"/>
    </row>
    <row r="845" spans="1:1">
      <c r="A845" s="27"/>
    </row>
    <row r="846" spans="1:1">
      <c r="A846" s="27"/>
    </row>
    <row r="847" spans="1:1">
      <c r="A847" s="27"/>
    </row>
    <row r="848" spans="1:1">
      <c r="A848" s="27"/>
    </row>
    <row r="849" spans="1:1">
      <c r="A849" s="27"/>
    </row>
    <row r="850" spans="1:1">
      <c r="A850" s="27"/>
    </row>
    <row r="851" spans="1:1">
      <c r="A851" s="27"/>
    </row>
    <row r="852" spans="1:1">
      <c r="A852" s="27"/>
    </row>
    <row r="853" spans="1:1">
      <c r="A853" s="27"/>
    </row>
    <row r="854" spans="1:1">
      <c r="A854" s="27"/>
    </row>
    <row r="855" spans="1:1">
      <c r="A855" s="27"/>
    </row>
    <row r="856" spans="1:1">
      <c r="A856" s="27"/>
    </row>
    <row r="857" spans="1:1">
      <c r="A857" s="27"/>
    </row>
    <row r="858" spans="1:1">
      <c r="A858" s="27"/>
    </row>
    <row r="859" spans="1:1">
      <c r="A859" s="27"/>
    </row>
    <row r="860" spans="1:1">
      <c r="A860" s="27"/>
    </row>
    <row r="861" spans="1:1">
      <c r="A861" s="27"/>
    </row>
    <row r="862" spans="1:1">
      <c r="A862" s="27"/>
    </row>
    <row r="863" spans="1:1">
      <c r="A863" s="27"/>
    </row>
    <row r="864" spans="1:1">
      <c r="A864" s="27"/>
    </row>
    <row r="865" spans="1:1">
      <c r="A865" s="27"/>
    </row>
    <row r="866" spans="1:1">
      <c r="A866" s="27"/>
    </row>
    <row r="867" spans="1:1">
      <c r="A867" s="27"/>
    </row>
    <row r="868" spans="1:1">
      <c r="A868" s="27"/>
    </row>
    <row r="869" spans="1:1">
      <c r="A869" s="27"/>
    </row>
    <row r="870" spans="1:1">
      <c r="A870" s="27"/>
    </row>
    <row r="871" spans="1:1">
      <c r="A871" s="27"/>
    </row>
    <row r="872" spans="1:1">
      <c r="A872" s="27"/>
    </row>
    <row r="873" spans="1:1">
      <c r="A873" s="27"/>
    </row>
    <row r="874" spans="1:1">
      <c r="A874" s="27"/>
    </row>
    <row r="875" spans="1:1">
      <c r="A875" s="27"/>
    </row>
    <row r="876" spans="1:1">
      <c r="A876" s="27"/>
    </row>
    <row r="877" spans="1:1">
      <c r="A877" s="27"/>
    </row>
    <row r="878" spans="1:1">
      <c r="A878" s="27"/>
    </row>
    <row r="879" spans="1:1">
      <c r="A879" s="27"/>
    </row>
    <row r="880" spans="1:1">
      <c r="A880" s="27"/>
    </row>
    <row r="881" spans="1:1">
      <c r="A881" s="27"/>
    </row>
    <row r="882" spans="1:1">
      <c r="A882" s="27"/>
    </row>
    <row r="883" spans="1:1">
      <c r="A883" s="27"/>
    </row>
    <row r="884" spans="1:1">
      <c r="A884" s="27"/>
    </row>
    <row r="885" spans="1:1">
      <c r="A885" s="27"/>
    </row>
    <row r="886" spans="1:1">
      <c r="A886" s="27"/>
    </row>
    <row r="887" spans="1:1">
      <c r="A887" s="27"/>
    </row>
    <row r="888" spans="1:1">
      <c r="A888" s="27"/>
    </row>
    <row r="889" spans="1:1">
      <c r="A889" s="27"/>
    </row>
    <row r="890" spans="1:1">
      <c r="A890" s="27"/>
    </row>
    <row r="891" spans="1:1">
      <c r="A891" s="27"/>
    </row>
    <row r="892" spans="1:1">
      <c r="A892" s="27"/>
    </row>
    <row r="893" spans="1:1">
      <c r="A893" s="27"/>
    </row>
    <row r="894" spans="1:1">
      <c r="A894" s="27"/>
    </row>
    <row r="895" spans="1:1">
      <c r="A895" s="27"/>
    </row>
    <row r="896" spans="1:1">
      <c r="A896" s="27"/>
    </row>
    <row r="897" spans="1:1">
      <c r="A897" s="27"/>
    </row>
    <row r="898" spans="1:1">
      <c r="A898" s="27"/>
    </row>
    <row r="899" spans="1:1">
      <c r="A899" s="27"/>
    </row>
    <row r="900" spans="1:1">
      <c r="A900" s="27"/>
    </row>
    <row r="901" spans="1:1">
      <c r="A901" s="27"/>
    </row>
    <row r="902" spans="1:1">
      <c r="A902" s="27"/>
    </row>
    <row r="903" spans="1:1">
      <c r="A903" s="27"/>
    </row>
    <row r="904" spans="1:1">
      <c r="A904" s="27"/>
    </row>
    <row r="905" spans="1:1">
      <c r="A905" s="27"/>
    </row>
    <row r="906" spans="1:1">
      <c r="A906" s="27"/>
    </row>
    <row r="907" spans="1:1">
      <c r="A907" s="27"/>
    </row>
    <row r="908" spans="1:1">
      <c r="A908" s="27"/>
    </row>
    <row r="909" spans="1:1">
      <c r="A909" s="27"/>
    </row>
    <row r="910" spans="1:1">
      <c r="A910" s="27"/>
    </row>
    <row r="911" spans="1:1">
      <c r="A911" s="27"/>
    </row>
    <row r="912" spans="1:1">
      <c r="A912" s="27"/>
    </row>
    <row r="913" spans="1:1">
      <c r="A913" s="27"/>
    </row>
    <row r="914" spans="1:1">
      <c r="A914" s="27"/>
    </row>
    <row r="915" spans="1:1">
      <c r="A915" s="27"/>
    </row>
    <row r="916" spans="1:1">
      <c r="A916" s="27"/>
    </row>
    <row r="917" spans="1:1">
      <c r="A917" s="27"/>
    </row>
    <row r="918" spans="1:1">
      <c r="A918" s="27"/>
    </row>
    <row r="919" spans="1:1">
      <c r="A919" s="27"/>
    </row>
    <row r="920" spans="1:1">
      <c r="A920" s="27"/>
    </row>
    <row r="921" spans="1:1">
      <c r="A921" s="27"/>
    </row>
    <row r="922" spans="1:1">
      <c r="A922" s="27"/>
    </row>
    <row r="923" spans="1:1">
      <c r="A923" s="27"/>
    </row>
    <row r="924" spans="1:1">
      <c r="A924" s="27"/>
    </row>
    <row r="925" spans="1:1">
      <c r="A925" s="27"/>
    </row>
    <row r="926" spans="1:1">
      <c r="A926" s="27"/>
    </row>
    <row r="927" spans="1:1">
      <c r="A927" s="27"/>
    </row>
    <row r="928" spans="1:1">
      <c r="A928" s="27"/>
    </row>
    <row r="929" spans="1:1">
      <c r="A929" s="27"/>
    </row>
    <row r="930" spans="1:1">
      <c r="A930" s="27"/>
    </row>
    <row r="931" spans="1:1">
      <c r="A931" s="27"/>
    </row>
    <row r="932" spans="1:1">
      <c r="A932" s="27"/>
    </row>
    <row r="933" spans="1:1">
      <c r="A933" s="27"/>
    </row>
    <row r="934" spans="1:1">
      <c r="A934" s="27"/>
    </row>
    <row r="935" spans="1:1">
      <c r="A935" s="27"/>
    </row>
    <row r="936" spans="1:1">
      <c r="A936" s="27"/>
    </row>
    <row r="937" spans="1:1">
      <c r="A937" s="27"/>
    </row>
    <row r="938" spans="1:1">
      <c r="A938" s="27"/>
    </row>
    <row r="939" spans="1:1">
      <c r="A939" s="27"/>
    </row>
    <row r="940" spans="1:1">
      <c r="A940" s="27"/>
    </row>
    <row r="941" spans="1:1">
      <c r="A941" s="27"/>
    </row>
    <row r="942" spans="1:1">
      <c r="A942" s="27"/>
    </row>
    <row r="943" spans="1:1">
      <c r="A943" s="27"/>
    </row>
    <row r="944" spans="1:1">
      <c r="A944" s="27"/>
    </row>
    <row r="945" spans="1:1">
      <c r="A945" s="27"/>
    </row>
    <row r="946" spans="1:1">
      <c r="A946" s="27"/>
    </row>
    <row r="947" spans="1:1">
      <c r="A947" s="27"/>
    </row>
    <row r="948" spans="1:1">
      <c r="A948" s="27"/>
    </row>
    <row r="949" spans="1:1">
      <c r="A949" s="27"/>
    </row>
    <row r="950" spans="1:1">
      <c r="A950" s="27"/>
    </row>
    <row r="951" spans="1:1">
      <c r="A951" s="27"/>
    </row>
    <row r="952" spans="1:1">
      <c r="A952" s="27"/>
    </row>
    <row r="953" spans="1:1">
      <c r="A953" s="27"/>
    </row>
    <row r="954" spans="1:1">
      <c r="A954" s="27"/>
    </row>
    <row r="955" spans="1:1">
      <c r="A955" s="27"/>
    </row>
    <row r="956" spans="1:1">
      <c r="A956" s="27"/>
    </row>
    <row r="957" spans="1:1">
      <c r="A957" s="27"/>
    </row>
    <row r="958" spans="1:1">
      <c r="A958" s="27"/>
    </row>
    <row r="959" spans="1:1">
      <c r="A959" s="27"/>
    </row>
    <row r="960" spans="1:1">
      <c r="A960" s="27"/>
    </row>
    <row r="961" spans="1:1">
      <c r="A961" s="27"/>
    </row>
    <row r="962" spans="1:1">
      <c r="A962" s="27"/>
    </row>
    <row r="963" spans="1:1">
      <c r="A963" s="27"/>
    </row>
    <row r="964" spans="1:1">
      <c r="A964" s="27"/>
    </row>
    <row r="965" spans="1:1">
      <c r="A965" s="27"/>
    </row>
    <row r="966" spans="1:1">
      <c r="A966" s="27"/>
    </row>
    <row r="967" spans="1:1">
      <c r="A967" s="27"/>
    </row>
    <row r="968" spans="1:1">
      <c r="A968" s="27"/>
    </row>
    <row r="969" spans="1:1">
      <c r="A969" s="27"/>
    </row>
    <row r="970" spans="1:1">
      <c r="A970" s="27"/>
    </row>
    <row r="971" spans="1:1">
      <c r="A971" s="27"/>
    </row>
    <row r="972" spans="1:1">
      <c r="A972" s="27"/>
    </row>
    <row r="973" spans="1:1">
      <c r="A973" s="27"/>
    </row>
    <row r="974" spans="1:1">
      <c r="A974" s="27"/>
    </row>
    <row r="975" spans="1:1">
      <c r="A975" s="27"/>
    </row>
    <row r="976" spans="1:1">
      <c r="A976" s="27"/>
    </row>
    <row r="977" spans="1:1">
      <c r="A977" s="27"/>
    </row>
    <row r="978" spans="1:1">
      <c r="A978" s="27"/>
    </row>
    <row r="979" spans="1:1">
      <c r="A979" s="27"/>
    </row>
    <row r="980" spans="1:1">
      <c r="A980" s="27"/>
    </row>
    <row r="981" spans="1:1">
      <c r="A981" s="27"/>
    </row>
    <row r="982" spans="1:1">
      <c r="A982" s="27"/>
    </row>
    <row r="983" spans="1:1">
      <c r="A983" s="27"/>
    </row>
    <row r="984" spans="1:1">
      <c r="A984" s="27"/>
    </row>
    <row r="985" spans="1:1">
      <c r="A985" s="27"/>
    </row>
    <row r="986" spans="1:1">
      <c r="A986" s="27"/>
    </row>
    <row r="987" spans="1:1">
      <c r="A987" s="27"/>
    </row>
    <row r="988" spans="1:1">
      <c r="A988" s="27"/>
    </row>
    <row r="989" spans="1:1">
      <c r="A989" s="27"/>
    </row>
    <row r="990" spans="1:1">
      <c r="A990" s="27"/>
    </row>
    <row r="991" spans="1:1">
      <c r="A991" s="27"/>
    </row>
    <row r="992" spans="1:1">
      <c r="A992" s="27"/>
    </row>
    <row r="993" spans="1:1">
      <c r="A993" s="27"/>
    </row>
    <row r="994" spans="1:1">
      <c r="A994" s="27"/>
    </row>
    <row r="995" spans="1:1">
      <c r="A995" s="27"/>
    </row>
    <row r="996" spans="1:1">
      <c r="A996" s="27"/>
    </row>
    <row r="997" spans="1:1">
      <c r="A997" s="27"/>
    </row>
    <row r="998" spans="1:1">
      <c r="A998" s="27"/>
    </row>
    <row r="999" spans="1:1">
      <c r="A999" s="27"/>
    </row>
    <row r="1000" spans="1:1">
      <c r="A1000" s="27"/>
    </row>
    <row r="1001" spans="1:1">
      <c r="A1001" s="27"/>
    </row>
    <row r="1002" spans="1:1">
      <c r="A1002" s="27"/>
    </row>
    <row r="1003" spans="1:1">
      <c r="A1003" s="27"/>
    </row>
    <row r="1004" spans="1:1">
      <c r="A1004" s="27"/>
    </row>
    <row r="1005" spans="1:1">
      <c r="A1005" s="27"/>
    </row>
    <row r="1006" spans="1:1">
      <c r="A1006" s="27"/>
    </row>
    <row r="1007" spans="1:1">
      <c r="A1007" s="27"/>
    </row>
    <row r="1008" spans="1:1">
      <c r="A1008" s="27"/>
    </row>
    <row r="1009" spans="1:1">
      <c r="A1009" s="27"/>
    </row>
    <row r="1010" spans="1:1">
      <c r="A1010" s="27"/>
    </row>
    <row r="1011" spans="1:1">
      <c r="A1011" s="27"/>
    </row>
    <row r="1012" spans="1:1">
      <c r="A1012" s="27"/>
    </row>
    <row r="1013" spans="1:1">
      <c r="A1013" s="27"/>
    </row>
    <row r="1014" spans="1:1">
      <c r="A1014" s="27"/>
    </row>
    <row r="1015" spans="1:1">
      <c r="A1015" s="27"/>
    </row>
    <row r="1016" spans="1:1">
      <c r="A1016" s="27"/>
    </row>
    <row r="1017" spans="1:1">
      <c r="A1017" s="27"/>
    </row>
    <row r="1018" spans="1:1">
      <c r="A1018" s="27"/>
    </row>
    <row r="1019" spans="1:1">
      <c r="A1019" s="27"/>
    </row>
    <row r="1020" spans="1:1">
      <c r="A1020" s="27"/>
    </row>
    <row r="1021" spans="1:1">
      <c r="A1021" s="27"/>
    </row>
    <row r="1022" spans="1:1">
      <c r="A1022" s="27"/>
    </row>
    <row r="1023" spans="1:1">
      <c r="A1023" s="27"/>
    </row>
    <row r="1024" spans="1:1">
      <c r="A1024" s="27"/>
    </row>
    <row r="1025" spans="1:1">
      <c r="A1025" s="27"/>
    </row>
    <row r="1026" spans="1:1">
      <c r="A1026" s="27"/>
    </row>
    <row r="1027" spans="1:1">
      <c r="A1027" s="27"/>
    </row>
    <row r="1028" spans="1:1">
      <c r="A1028" s="27"/>
    </row>
    <row r="1029" spans="1:1">
      <c r="A1029" s="27"/>
    </row>
    <row r="1030" spans="1:1">
      <c r="A1030" s="27"/>
    </row>
    <row r="1031" spans="1:1">
      <c r="A1031" s="27"/>
    </row>
    <row r="1032" spans="1:1">
      <c r="A1032" s="27"/>
    </row>
    <row r="1033" spans="1:1">
      <c r="A1033" s="27"/>
    </row>
    <row r="1034" spans="1:1">
      <c r="A1034" s="27"/>
    </row>
    <row r="1035" spans="1:1">
      <c r="A1035" s="27"/>
    </row>
    <row r="1036" spans="1:1">
      <c r="A1036" s="27"/>
    </row>
    <row r="1037" spans="1:1">
      <c r="A1037" s="27"/>
    </row>
    <row r="1038" spans="1:1">
      <c r="A1038" s="27"/>
    </row>
    <row r="1039" spans="1:1">
      <c r="A1039" s="27"/>
    </row>
    <row r="1040" spans="1:1">
      <c r="A1040" s="27"/>
    </row>
    <row r="1041" spans="1:1">
      <c r="A1041" s="27"/>
    </row>
    <row r="1042" spans="1:1">
      <c r="A1042" s="27"/>
    </row>
    <row r="1043" spans="1:1">
      <c r="A1043" s="27"/>
    </row>
    <row r="1044" spans="1:1">
      <c r="A1044" s="27"/>
    </row>
    <row r="1045" spans="1:1">
      <c r="A1045" s="27"/>
    </row>
    <row r="1046" spans="1:1">
      <c r="A1046" s="27"/>
    </row>
    <row r="1047" spans="1:1">
      <c r="A1047" s="27"/>
    </row>
    <row r="1048" spans="1:1">
      <c r="A1048" s="27"/>
    </row>
    <row r="1049" spans="1:1">
      <c r="A1049" s="27"/>
    </row>
    <row r="1050" spans="1:1">
      <c r="A1050" s="27"/>
    </row>
    <row r="1051" spans="1:1">
      <c r="A1051" s="27"/>
    </row>
    <row r="1052" spans="1:1">
      <c r="A1052" s="27"/>
    </row>
    <row r="1053" spans="1:1">
      <c r="A1053" s="27"/>
    </row>
    <row r="1054" spans="1:1">
      <c r="A1054" s="27"/>
    </row>
    <row r="1055" spans="1:1">
      <c r="A1055" s="27"/>
    </row>
    <row r="1056" spans="1:1">
      <c r="A1056" s="27"/>
    </row>
    <row r="1057" spans="1:1">
      <c r="A1057" s="27"/>
    </row>
    <row r="1058" spans="1:1">
      <c r="A1058" s="27"/>
    </row>
    <row r="1059" spans="1:1">
      <c r="A1059" s="27"/>
    </row>
    <row r="1060" spans="1:1">
      <c r="A1060" s="27"/>
    </row>
    <row r="1061" spans="1:1">
      <c r="A1061" s="27"/>
    </row>
    <row r="1062" spans="1:1">
      <c r="A1062" s="27"/>
    </row>
    <row r="1063" spans="1:1">
      <c r="A1063" s="27"/>
    </row>
    <row r="1064" spans="1:1">
      <c r="A1064" s="27"/>
    </row>
    <row r="1065" spans="1:1">
      <c r="A1065" s="27"/>
    </row>
    <row r="1066" spans="1:1">
      <c r="A1066" s="27"/>
    </row>
    <row r="1067" spans="1:1">
      <c r="A1067" s="27"/>
    </row>
    <row r="1068" spans="1:1">
      <c r="A1068" s="27"/>
    </row>
    <row r="1069" spans="1:1">
      <c r="A1069" s="27"/>
    </row>
    <row r="1070" spans="1:1">
      <c r="A1070" s="27"/>
    </row>
    <row r="1071" spans="1:1">
      <c r="A1071" s="27"/>
    </row>
    <row r="1072" spans="1:1">
      <c r="A1072" s="27"/>
    </row>
    <row r="1073" spans="1:1">
      <c r="A1073" s="27"/>
    </row>
    <row r="1074" spans="1:1">
      <c r="A1074" s="27"/>
    </row>
    <row r="1075" spans="1:1">
      <c r="A1075" s="27"/>
    </row>
    <row r="1076" spans="1:1">
      <c r="A1076" s="27"/>
    </row>
    <row r="1077" spans="1:1">
      <c r="A1077" s="27"/>
    </row>
    <row r="1078" spans="1:1">
      <c r="A1078" s="27"/>
    </row>
    <row r="1079" spans="1:1">
      <c r="A1079" s="27"/>
    </row>
    <row r="1080" spans="1:1">
      <c r="A1080" s="27"/>
    </row>
    <row r="1081" spans="1:1">
      <c r="A1081" s="27"/>
    </row>
    <row r="1082" spans="1:1">
      <c r="A1082" s="27"/>
    </row>
    <row r="1083" spans="1:1">
      <c r="A1083" s="27"/>
    </row>
    <row r="1084" spans="1:1">
      <c r="A1084" s="27"/>
    </row>
    <row r="1085" spans="1:1">
      <c r="A1085" s="27"/>
    </row>
    <row r="1086" spans="1:1">
      <c r="A1086" s="27"/>
    </row>
    <row r="1087" spans="1:1">
      <c r="A1087" s="27"/>
    </row>
    <row r="1088" spans="1:1">
      <c r="A1088" s="27"/>
    </row>
    <row r="1089" spans="1:1">
      <c r="A1089" s="27"/>
    </row>
    <row r="1090" spans="1:1">
      <c r="A1090" s="27"/>
    </row>
    <row r="1091" spans="1:1">
      <c r="A1091" s="27"/>
    </row>
    <row r="1092" spans="1:1">
      <c r="A1092" s="27"/>
    </row>
    <row r="1093" spans="1:1">
      <c r="A1093" s="27"/>
    </row>
    <row r="1094" spans="1:1">
      <c r="A1094" s="27"/>
    </row>
    <row r="1095" spans="1:1">
      <c r="A1095" s="27"/>
    </row>
    <row r="1096" spans="1:1">
      <c r="A1096" s="27"/>
    </row>
    <row r="1097" spans="1:1">
      <c r="A1097" s="27"/>
    </row>
    <row r="1098" spans="1:1">
      <c r="A1098" s="27"/>
    </row>
    <row r="1099" spans="1:1">
      <c r="A1099" s="27"/>
    </row>
    <row r="1100" spans="1:1">
      <c r="A1100" s="27"/>
    </row>
    <row r="1101" spans="1:1">
      <c r="A1101" s="27"/>
    </row>
    <row r="1102" spans="1:1">
      <c r="A1102" s="27"/>
    </row>
    <row r="1103" spans="1:1">
      <c r="A1103" s="27"/>
    </row>
    <row r="1104" spans="1:1">
      <c r="A1104" s="27"/>
    </row>
    <row r="1105" spans="1:1">
      <c r="A1105" s="27"/>
    </row>
    <row r="1106" spans="1:1">
      <c r="A1106" s="27"/>
    </row>
    <row r="1107" spans="1:1">
      <c r="A1107" s="27"/>
    </row>
    <row r="1108" spans="1:1">
      <c r="A1108" s="27"/>
    </row>
    <row r="1109" spans="1:1">
      <c r="A1109" s="27"/>
    </row>
    <row r="1110" spans="1:1">
      <c r="A1110" s="27"/>
    </row>
    <row r="1111" spans="1:1">
      <c r="A1111" s="27"/>
    </row>
    <row r="1112" spans="1:1">
      <c r="A1112" s="27"/>
    </row>
    <row r="1113" spans="1:1">
      <c r="A1113" s="27"/>
    </row>
    <row r="1114" spans="1:1">
      <c r="A1114" s="27"/>
    </row>
    <row r="1115" spans="1:1">
      <c r="A1115" s="27"/>
    </row>
    <row r="1116" spans="1:1">
      <c r="A1116" s="27"/>
    </row>
    <row r="1117" spans="1:1">
      <c r="A1117" s="27"/>
    </row>
    <row r="1118" spans="1:1">
      <c r="A1118" s="27"/>
    </row>
    <row r="1119" spans="1:1">
      <c r="A1119" s="27"/>
    </row>
    <row r="1120" spans="1:1">
      <c r="A1120" s="27"/>
    </row>
    <row r="1121" spans="1:1">
      <c r="A1121" s="27"/>
    </row>
    <row r="1122" spans="1:1">
      <c r="A1122" s="27"/>
    </row>
    <row r="1123" spans="1:1">
      <c r="A1123" s="27"/>
    </row>
    <row r="1124" spans="1:1">
      <c r="A1124" s="27"/>
    </row>
    <row r="1125" spans="1:1">
      <c r="A1125" s="27"/>
    </row>
    <row r="1126" spans="1:1">
      <c r="A1126" s="27"/>
    </row>
    <row r="1127" spans="1:1">
      <c r="A1127" s="27"/>
    </row>
    <row r="1128" spans="1:1">
      <c r="A1128" s="27"/>
    </row>
    <row r="1129" spans="1:1">
      <c r="A1129" s="27"/>
    </row>
    <row r="1130" spans="1:1">
      <c r="A1130" s="27"/>
    </row>
    <row r="1131" spans="1:1">
      <c r="A1131" s="27"/>
    </row>
    <row r="1132" spans="1:1">
      <c r="A1132" s="27"/>
    </row>
    <row r="1133" spans="1:1">
      <c r="A1133" s="27"/>
    </row>
    <row r="1134" spans="1:1">
      <c r="A1134" s="27"/>
    </row>
    <row r="1135" spans="1:1">
      <c r="A1135" s="27"/>
    </row>
    <row r="1136" spans="1:1">
      <c r="A1136" s="27"/>
    </row>
    <row r="1137" spans="1:1">
      <c r="A1137" s="27"/>
    </row>
    <row r="1138" spans="1:1">
      <c r="A1138" s="27"/>
    </row>
    <row r="1139" spans="1:1">
      <c r="A1139" s="27"/>
    </row>
    <row r="1140" spans="1:1">
      <c r="A1140" s="27"/>
    </row>
    <row r="1141" spans="1:1">
      <c r="A1141" s="27"/>
    </row>
    <row r="1142" spans="1:1">
      <c r="A1142" s="27"/>
    </row>
    <row r="1143" spans="1:1">
      <c r="A1143" s="27"/>
    </row>
    <row r="1144" spans="1:1">
      <c r="A1144" s="27"/>
    </row>
    <row r="1145" spans="1:1">
      <c r="A1145" s="27"/>
    </row>
    <row r="1146" spans="1:1">
      <c r="A1146" s="27"/>
    </row>
    <row r="1147" spans="1:1">
      <c r="A1147" s="27"/>
    </row>
    <row r="1148" spans="1:1">
      <c r="A1148" s="27"/>
    </row>
    <row r="1149" spans="1:1">
      <c r="A1149" s="27"/>
    </row>
    <row r="1150" spans="1:1">
      <c r="A1150" s="27"/>
    </row>
    <row r="1151" spans="1:1">
      <c r="A1151" s="27"/>
    </row>
    <row r="1152" spans="1:1">
      <c r="A1152" s="27"/>
    </row>
    <row r="1153" spans="1:1">
      <c r="A1153" s="27"/>
    </row>
    <row r="1154" spans="1:1">
      <c r="A1154" s="27"/>
    </row>
    <row r="1155" spans="1:1">
      <c r="A1155" s="27"/>
    </row>
    <row r="1156" spans="1:1">
      <c r="A1156" s="27"/>
    </row>
    <row r="1157" spans="1:1">
      <c r="A1157" s="27"/>
    </row>
    <row r="1158" spans="1:1">
      <c r="A1158" s="27"/>
    </row>
    <row r="1159" spans="1:1">
      <c r="A1159" s="27"/>
    </row>
    <row r="1160" spans="1:1">
      <c r="A1160" s="27"/>
    </row>
    <row r="1161" spans="1:1">
      <c r="A1161" s="27"/>
    </row>
    <row r="1162" spans="1:1">
      <c r="A1162" s="27"/>
    </row>
    <row r="1163" spans="1:1">
      <c r="A1163" s="27"/>
    </row>
    <row r="1164" spans="1:1">
      <c r="A1164" s="27"/>
    </row>
    <row r="1165" spans="1:1">
      <c r="A1165" s="27"/>
    </row>
    <row r="1166" spans="1:1">
      <c r="A1166" s="27"/>
    </row>
    <row r="1167" spans="1:1">
      <c r="A1167" s="27"/>
    </row>
    <row r="1168" spans="1:1">
      <c r="A1168" s="27"/>
    </row>
    <row r="1169" spans="1:1">
      <c r="A1169" s="27"/>
    </row>
    <row r="1170" spans="1:1">
      <c r="A1170" s="27"/>
    </row>
    <row r="1171" spans="1:1">
      <c r="A1171" s="27"/>
    </row>
    <row r="1172" spans="1:1">
      <c r="A1172" s="27"/>
    </row>
    <row r="1173" spans="1:1">
      <c r="A1173" s="27"/>
    </row>
    <row r="1174" spans="1:1">
      <c r="A1174" s="27"/>
    </row>
    <row r="1175" spans="1:1">
      <c r="A1175" s="27"/>
    </row>
    <row r="1176" spans="1:1">
      <c r="A1176" s="27"/>
    </row>
    <row r="1177" spans="1:1">
      <c r="A1177" s="27"/>
    </row>
    <row r="1178" spans="1:1">
      <c r="A1178" s="27"/>
    </row>
    <row r="1179" spans="1:1">
      <c r="A1179" s="27"/>
    </row>
    <row r="1180" spans="1:1">
      <c r="A1180" s="27"/>
    </row>
    <row r="1181" spans="1:1">
      <c r="A1181" s="27"/>
    </row>
    <row r="1182" spans="1:1">
      <c r="A1182" s="27"/>
    </row>
    <row r="1183" spans="1:1">
      <c r="A1183" s="27"/>
    </row>
    <row r="1184" spans="1:1">
      <c r="A1184" s="27"/>
    </row>
    <row r="1185" spans="1:1">
      <c r="A1185" s="27"/>
    </row>
    <row r="1186" spans="1:1">
      <c r="A1186" s="27"/>
    </row>
    <row r="1187" spans="1:1">
      <c r="A1187" s="27"/>
    </row>
    <row r="1188" spans="1:1">
      <c r="A1188" s="27"/>
    </row>
    <row r="1189" spans="1:1">
      <c r="A1189" s="27"/>
    </row>
    <row r="1190" spans="1:1">
      <c r="A1190" s="27"/>
    </row>
    <row r="1191" spans="1:1">
      <c r="A1191" s="27"/>
    </row>
    <row r="1192" spans="1:1">
      <c r="A1192" s="27"/>
    </row>
    <row r="1193" spans="1:1">
      <c r="A1193" s="27"/>
    </row>
    <row r="1194" spans="1:1">
      <c r="A1194" s="27"/>
    </row>
    <row r="1195" spans="1:1">
      <c r="A1195" s="27"/>
    </row>
    <row r="1196" spans="1:1">
      <c r="A1196" s="27"/>
    </row>
    <row r="1197" spans="1:1">
      <c r="A1197" s="27"/>
    </row>
    <row r="1198" spans="1:1">
      <c r="A1198" s="27"/>
    </row>
    <row r="1199" spans="1:1">
      <c r="A1199" s="27"/>
    </row>
    <row r="1200" spans="1:1">
      <c r="A1200" s="27"/>
    </row>
    <row r="1201" spans="1:1">
      <c r="A1201" s="27"/>
    </row>
    <row r="1202" spans="1:1">
      <c r="A1202" s="27"/>
    </row>
    <row r="1203" spans="1:1">
      <c r="A1203" s="27"/>
    </row>
    <row r="1204" spans="1:1">
      <c r="A1204" s="27"/>
    </row>
    <row r="1205" spans="1:1">
      <c r="A1205" s="27"/>
    </row>
    <row r="1206" spans="1:1">
      <c r="A1206" s="27"/>
    </row>
    <row r="1207" spans="1:1">
      <c r="A1207" s="27"/>
    </row>
    <row r="1208" spans="1:1">
      <c r="A1208" s="27"/>
    </row>
    <row r="1209" spans="1:1">
      <c r="A1209" s="27"/>
    </row>
    <row r="1210" spans="1:1">
      <c r="A1210" s="27"/>
    </row>
    <row r="1211" spans="1:1">
      <c r="A1211" s="27"/>
    </row>
    <row r="1212" spans="1:1">
      <c r="A1212" s="27"/>
    </row>
    <row r="1213" spans="1:1">
      <c r="A1213" s="27"/>
    </row>
    <row r="1214" spans="1:1">
      <c r="A1214" s="27"/>
    </row>
    <row r="1215" spans="1:1">
      <c r="A1215" s="27"/>
    </row>
    <row r="1216" spans="1:1">
      <c r="A1216" s="27"/>
    </row>
    <row r="1217" spans="1:1">
      <c r="A1217" s="27"/>
    </row>
    <row r="1218" spans="1:1">
      <c r="A1218" s="27"/>
    </row>
    <row r="1219" spans="1:1">
      <c r="A1219" s="27"/>
    </row>
    <row r="1220" spans="1:1">
      <c r="A1220" s="27"/>
    </row>
    <row r="1221" spans="1:1">
      <c r="A1221" s="27"/>
    </row>
    <row r="1222" spans="1:1">
      <c r="A1222" s="27"/>
    </row>
    <row r="1223" spans="1:1">
      <c r="A1223" s="27"/>
    </row>
    <row r="1224" spans="1:1">
      <c r="A1224" s="27"/>
    </row>
    <row r="1225" spans="1:1">
      <c r="A1225" s="27"/>
    </row>
    <row r="1226" spans="1:1">
      <c r="A1226" s="27"/>
    </row>
    <row r="1227" spans="1:1">
      <c r="A1227" s="27"/>
    </row>
    <row r="1228" spans="1:1">
      <c r="A1228" s="27"/>
    </row>
    <row r="1229" spans="1:1">
      <c r="A1229" s="27"/>
    </row>
    <row r="1230" spans="1:1">
      <c r="A1230" s="27"/>
    </row>
    <row r="1231" spans="1:1">
      <c r="A1231" s="27"/>
    </row>
    <row r="1232" spans="1:1">
      <c r="A1232" s="27"/>
    </row>
    <row r="1233" spans="1:1">
      <c r="A1233" s="27"/>
    </row>
    <row r="1234" spans="1:1">
      <c r="A1234" s="27"/>
    </row>
    <row r="1235" spans="1:1">
      <c r="A1235" s="27"/>
    </row>
    <row r="1236" spans="1:1">
      <c r="A1236" s="27"/>
    </row>
    <row r="1237" spans="1:1">
      <c r="A1237" s="27"/>
    </row>
    <row r="1238" spans="1:1">
      <c r="A1238" s="27"/>
    </row>
    <row r="1239" spans="1:1">
      <c r="A1239" s="27"/>
    </row>
    <row r="1240" spans="1:1">
      <c r="A1240" s="27"/>
    </row>
    <row r="1241" spans="1:1">
      <c r="A1241" s="27"/>
    </row>
    <row r="1242" spans="1:1">
      <c r="A1242" s="27"/>
    </row>
    <row r="1243" spans="1:1">
      <c r="A1243" s="27"/>
    </row>
    <row r="1244" spans="1:1">
      <c r="A1244" s="27"/>
    </row>
    <row r="1245" spans="1:1">
      <c r="A1245" s="27"/>
    </row>
    <row r="1246" spans="1:1">
      <c r="A1246" s="27"/>
    </row>
    <row r="1247" spans="1:1">
      <c r="A1247" s="27"/>
    </row>
    <row r="1248" spans="1:1">
      <c r="A1248" s="27"/>
    </row>
    <row r="1249" spans="1:1">
      <c r="A1249" s="27"/>
    </row>
    <row r="1250" spans="1:1">
      <c r="A1250" s="27"/>
    </row>
    <row r="1251" spans="1:1">
      <c r="A1251" s="27"/>
    </row>
    <row r="1252" spans="1:1">
      <c r="A1252" s="27"/>
    </row>
    <row r="1253" spans="1:1">
      <c r="A1253" s="27"/>
    </row>
    <row r="1254" spans="1:1">
      <c r="A1254" s="27"/>
    </row>
    <row r="1255" spans="1:1">
      <c r="A1255" s="27"/>
    </row>
    <row r="1256" spans="1:1">
      <c r="A1256" s="27"/>
    </row>
    <row r="1257" spans="1:1">
      <c r="A1257" s="27"/>
    </row>
    <row r="1258" spans="1:1">
      <c r="A1258" s="27"/>
    </row>
    <row r="1259" spans="1:1">
      <c r="A1259" s="27"/>
    </row>
    <row r="1260" spans="1:1">
      <c r="A1260" s="27"/>
    </row>
    <row r="1261" spans="1:1">
      <c r="A1261" s="27"/>
    </row>
    <row r="1262" spans="1:1">
      <c r="A1262" s="27"/>
    </row>
    <row r="1263" spans="1:1">
      <c r="A1263" s="27"/>
    </row>
    <row r="1264" spans="1:1">
      <c r="A1264" s="27"/>
    </row>
    <row r="1265" spans="1:1">
      <c r="A1265" s="27"/>
    </row>
    <row r="1266" spans="1:1">
      <c r="A1266" s="27"/>
    </row>
    <row r="1267" spans="1:1">
      <c r="A1267" s="27"/>
    </row>
    <row r="1268" spans="1:1">
      <c r="A1268" s="27"/>
    </row>
    <row r="1269" spans="1:1">
      <c r="A1269" s="27"/>
    </row>
    <row r="1270" spans="1:1">
      <c r="A1270" s="27"/>
    </row>
    <row r="1271" spans="1:1">
      <c r="A1271" s="27"/>
    </row>
    <row r="1272" spans="1:1">
      <c r="A1272" s="27"/>
    </row>
    <row r="1273" spans="1:1">
      <c r="A1273" s="27"/>
    </row>
    <row r="1274" spans="1:1">
      <c r="A1274" s="27"/>
    </row>
    <row r="1275" spans="1:1">
      <c r="A1275" s="27"/>
    </row>
    <row r="1276" spans="1:1">
      <c r="A1276" s="27"/>
    </row>
    <row r="1277" spans="1:1">
      <c r="A1277" s="27"/>
    </row>
    <row r="1278" spans="1:1">
      <c r="A1278" s="27"/>
    </row>
    <row r="1279" spans="1:1">
      <c r="A1279" s="27"/>
    </row>
    <row r="1280" spans="1:1">
      <c r="A1280" s="27"/>
    </row>
    <row r="1281" spans="1:1">
      <c r="A1281" s="27"/>
    </row>
    <row r="1282" spans="1:1">
      <c r="A1282" s="27"/>
    </row>
    <row r="1283" spans="1:1">
      <c r="A1283" s="27"/>
    </row>
    <row r="1284" spans="1:1">
      <c r="A1284" s="27"/>
    </row>
    <row r="1285" spans="1:1">
      <c r="A1285" s="27"/>
    </row>
    <row r="1286" spans="1:1">
      <c r="A1286" s="27"/>
    </row>
    <row r="1287" spans="1:1">
      <c r="A1287" s="27"/>
    </row>
    <row r="1288" spans="1:1">
      <c r="A1288" s="27"/>
    </row>
    <row r="1289" spans="1:1">
      <c r="A1289" s="27"/>
    </row>
    <row r="1290" spans="1:1">
      <c r="A1290" s="27"/>
    </row>
    <row r="1291" spans="1:1">
      <c r="A1291" s="27"/>
    </row>
    <row r="1292" spans="1:1">
      <c r="A1292" s="27"/>
    </row>
    <row r="1293" spans="1:1">
      <c r="A1293" s="27"/>
    </row>
    <row r="1294" spans="1:1">
      <c r="A1294" s="27"/>
    </row>
    <row r="1295" spans="1:1">
      <c r="A1295" s="27"/>
    </row>
    <row r="1296" spans="1:1">
      <c r="A1296" s="27"/>
    </row>
    <row r="1297" spans="1:1">
      <c r="A1297" s="27"/>
    </row>
    <row r="1298" spans="1:1">
      <c r="A1298" s="27"/>
    </row>
    <row r="1299" spans="1:1">
      <c r="A1299" s="27"/>
    </row>
    <row r="1300" spans="1:1">
      <c r="A1300" s="27"/>
    </row>
    <row r="1301" spans="1:1">
      <c r="A1301" s="27"/>
    </row>
    <row r="1302" spans="1:1">
      <c r="A1302" s="27"/>
    </row>
    <row r="1303" spans="1:1">
      <c r="A1303" s="27"/>
    </row>
    <row r="1304" spans="1:1">
      <c r="A1304" s="27"/>
    </row>
    <row r="1305" spans="1:1">
      <c r="A1305" s="27"/>
    </row>
    <row r="1306" spans="1:1">
      <c r="A1306" s="27"/>
    </row>
    <row r="1307" spans="1:1">
      <c r="A1307" s="27"/>
    </row>
    <row r="1308" spans="1:1">
      <c r="A1308" s="27"/>
    </row>
    <row r="1309" spans="1:1">
      <c r="A1309" s="27"/>
    </row>
    <row r="1310" spans="1:1">
      <c r="A1310" s="27"/>
    </row>
    <row r="1311" spans="1:1">
      <c r="A1311" s="27"/>
    </row>
    <row r="1312" spans="1:1">
      <c r="A1312" s="27"/>
    </row>
    <row r="1313" spans="1:1">
      <c r="A1313" s="27"/>
    </row>
    <row r="1314" spans="1:1">
      <c r="A1314" s="27"/>
    </row>
    <row r="1315" spans="1:1">
      <c r="A1315" s="27"/>
    </row>
    <row r="1316" spans="1:1">
      <c r="A1316" s="27"/>
    </row>
    <row r="1317" spans="1:1">
      <c r="A1317" s="27"/>
    </row>
    <row r="1318" spans="1:1">
      <c r="A1318" s="27"/>
    </row>
    <row r="1319" spans="1:1">
      <c r="A1319" s="27"/>
    </row>
    <row r="1320" spans="1:1">
      <c r="A1320" s="27"/>
    </row>
    <row r="1321" spans="1:1">
      <c r="A1321" s="27"/>
    </row>
    <row r="1322" spans="1:1">
      <c r="A1322" s="27"/>
    </row>
    <row r="1323" spans="1:1">
      <c r="A1323" s="27"/>
    </row>
    <row r="1324" spans="1:1">
      <c r="A1324" s="27"/>
    </row>
    <row r="1325" spans="1:1">
      <c r="A1325" s="27"/>
    </row>
    <row r="1326" spans="1:1">
      <c r="A1326" s="27"/>
    </row>
    <row r="1327" spans="1:1">
      <c r="A1327" s="27"/>
    </row>
    <row r="1328" spans="1:1">
      <c r="A1328" s="27"/>
    </row>
    <row r="1329" spans="1:1">
      <c r="A1329" s="27"/>
    </row>
    <row r="1330" spans="1:1">
      <c r="A1330" s="27"/>
    </row>
    <row r="1331" spans="1:1">
      <c r="A1331" s="27"/>
    </row>
    <row r="1332" spans="1:1">
      <c r="A1332" s="27"/>
    </row>
    <row r="1333" spans="1:1">
      <c r="A1333" s="27"/>
    </row>
    <row r="1334" spans="1:1">
      <c r="A1334" s="27"/>
    </row>
    <row r="1335" spans="1:1">
      <c r="A1335" s="27"/>
    </row>
    <row r="1336" spans="1:1">
      <c r="A1336" s="27"/>
    </row>
    <row r="1337" spans="1:1">
      <c r="A1337" s="27"/>
    </row>
    <row r="1338" spans="1:1">
      <c r="A1338" s="27"/>
    </row>
    <row r="1339" spans="1:1">
      <c r="A1339" s="27"/>
    </row>
    <row r="1340" spans="1:1">
      <c r="A1340" s="27"/>
    </row>
    <row r="1341" spans="1:1">
      <c r="A1341" s="27"/>
    </row>
    <row r="1342" spans="1:1">
      <c r="A1342" s="27"/>
    </row>
    <row r="1343" spans="1:1">
      <c r="A1343" s="27"/>
    </row>
    <row r="1344" spans="1:1">
      <c r="A1344" s="27"/>
    </row>
    <row r="1345" spans="1:1">
      <c r="A1345" s="27"/>
    </row>
    <row r="1346" spans="1:1">
      <c r="A1346" s="27"/>
    </row>
    <row r="1347" spans="1:1">
      <c r="A1347" s="27"/>
    </row>
    <row r="1348" spans="1:1">
      <c r="A1348" s="27"/>
    </row>
    <row r="1349" spans="1:1">
      <c r="A1349" s="27"/>
    </row>
    <row r="1350" spans="1:1">
      <c r="A1350" s="27"/>
    </row>
    <row r="1351" spans="1:1">
      <c r="A1351" s="27"/>
    </row>
    <row r="1352" spans="1:1">
      <c r="A1352" s="27"/>
    </row>
    <row r="1353" spans="1:1">
      <c r="A1353" s="27"/>
    </row>
    <row r="1354" spans="1:1">
      <c r="A1354" s="27"/>
    </row>
    <row r="1355" spans="1:1">
      <c r="A1355" s="27"/>
    </row>
    <row r="1356" spans="1:1">
      <c r="A1356" s="27"/>
    </row>
    <row r="1357" spans="1:1">
      <c r="A1357" s="27"/>
    </row>
    <row r="1358" spans="1:1">
      <c r="A1358" s="27"/>
    </row>
    <row r="1359" spans="1:1">
      <c r="A1359" s="27"/>
    </row>
    <row r="1360" spans="1:1">
      <c r="A1360" s="27"/>
    </row>
    <row r="1361" spans="1:1">
      <c r="A1361" s="27"/>
    </row>
    <row r="1362" spans="1:1">
      <c r="A1362" s="27"/>
    </row>
    <row r="1363" spans="1:1">
      <c r="A1363" s="27"/>
    </row>
    <row r="1364" spans="1:1">
      <c r="A1364" s="27"/>
    </row>
    <row r="1365" spans="1:1">
      <c r="A1365" s="27"/>
    </row>
    <row r="1366" spans="1:1">
      <c r="A1366" s="27"/>
    </row>
    <row r="1367" spans="1:1">
      <c r="A1367" s="27"/>
    </row>
    <row r="1368" spans="1:1">
      <c r="A1368" s="27"/>
    </row>
    <row r="1369" spans="1:1">
      <c r="A1369" s="27"/>
    </row>
    <row r="1370" spans="1:1">
      <c r="A1370" s="27"/>
    </row>
    <row r="1371" spans="1:1">
      <c r="A1371" s="27"/>
    </row>
    <row r="1372" spans="1:1">
      <c r="A1372" s="27"/>
    </row>
    <row r="1373" spans="1:1">
      <c r="A1373" s="27"/>
    </row>
    <row r="1374" spans="1:1">
      <c r="A1374" s="27"/>
    </row>
    <row r="1375" spans="1:1">
      <c r="A1375" s="27"/>
    </row>
    <row r="1376" spans="1:1">
      <c r="A1376" s="27"/>
    </row>
    <row r="1377" spans="1:1">
      <c r="A1377" s="27"/>
    </row>
    <row r="1378" spans="1:1">
      <c r="A1378" s="27"/>
    </row>
    <row r="1379" spans="1:1">
      <c r="A1379" s="27"/>
    </row>
    <row r="1380" spans="1:1">
      <c r="A1380" s="27"/>
    </row>
    <row r="1381" spans="1:1">
      <c r="A1381" s="27"/>
    </row>
    <row r="1382" spans="1:1">
      <c r="A1382" s="27"/>
    </row>
    <row r="1383" spans="1:1">
      <c r="A1383" s="27"/>
    </row>
    <row r="1384" spans="1:1">
      <c r="A1384" s="27"/>
    </row>
    <row r="1385" spans="1:1">
      <c r="A1385" s="27"/>
    </row>
    <row r="1386" spans="1:1">
      <c r="A1386" s="27"/>
    </row>
    <row r="1387" spans="1:1">
      <c r="A1387" s="27"/>
    </row>
    <row r="1388" spans="1:1">
      <c r="A1388" s="27"/>
    </row>
    <row r="1389" spans="1:1">
      <c r="A1389" s="27"/>
    </row>
    <row r="1390" spans="1:1">
      <c r="A1390" s="27"/>
    </row>
    <row r="1391" spans="1:1">
      <c r="A1391" s="27"/>
    </row>
    <row r="1392" spans="1:1">
      <c r="A1392" s="27"/>
    </row>
    <row r="1393" spans="1:1">
      <c r="A1393" s="27"/>
    </row>
    <row r="1394" spans="1:1">
      <c r="A1394" s="27"/>
    </row>
    <row r="1395" spans="1:1">
      <c r="A1395" s="27"/>
    </row>
    <row r="1396" spans="1:1">
      <c r="A1396" s="27"/>
    </row>
    <row r="1397" spans="1:1">
      <c r="A1397" s="27"/>
    </row>
    <row r="1398" spans="1:1">
      <c r="A1398" s="27"/>
    </row>
    <row r="1399" spans="1:1">
      <c r="A1399" s="27"/>
    </row>
    <row r="1400" spans="1:1">
      <c r="A1400" s="27"/>
    </row>
    <row r="1401" spans="1:1">
      <c r="A1401" s="27"/>
    </row>
    <row r="1402" spans="1:1">
      <c r="A1402" s="27"/>
    </row>
    <row r="1403" spans="1:1">
      <c r="A1403" s="27"/>
    </row>
    <row r="1404" spans="1:1">
      <c r="A1404" s="27"/>
    </row>
    <row r="1405" spans="1:1">
      <c r="A1405" s="27"/>
    </row>
    <row r="1406" spans="1:1">
      <c r="A1406" s="27"/>
    </row>
    <row r="1407" spans="1:1">
      <c r="A1407" s="27"/>
    </row>
    <row r="1408" spans="1:1">
      <c r="A1408" s="27"/>
    </row>
    <row r="1409" spans="1:1">
      <c r="A1409" s="27"/>
    </row>
    <row r="1410" spans="1:1">
      <c r="A1410" s="27"/>
    </row>
    <row r="1411" spans="1:1">
      <c r="A1411" s="27"/>
    </row>
    <row r="1412" spans="1:1">
      <c r="A1412" s="27"/>
    </row>
    <row r="1413" spans="1:1">
      <c r="A1413" s="27"/>
    </row>
    <row r="1414" spans="1:1">
      <c r="A1414" s="27"/>
    </row>
    <row r="1415" spans="1:1">
      <c r="A1415" s="27"/>
    </row>
    <row r="1416" spans="1:1">
      <c r="A1416" s="27"/>
    </row>
    <row r="1417" spans="1:1">
      <c r="A1417" s="27"/>
    </row>
    <row r="1418" spans="1:1">
      <c r="A1418" s="27"/>
    </row>
    <row r="1419" spans="1:1">
      <c r="A1419" s="27"/>
    </row>
    <row r="1420" spans="1:1">
      <c r="A1420" s="27"/>
    </row>
    <row r="1421" spans="1:1">
      <c r="A1421" s="27"/>
    </row>
    <row r="1422" spans="1:1">
      <c r="A1422" s="27"/>
    </row>
    <row r="1423" spans="1:1">
      <c r="A1423" s="27"/>
    </row>
    <row r="1424" spans="1:1">
      <c r="A1424" s="27"/>
    </row>
    <row r="1425" spans="1:1">
      <c r="A1425" s="27"/>
    </row>
    <row r="1426" spans="1:1">
      <c r="A1426" s="27"/>
    </row>
    <row r="1427" spans="1:1">
      <c r="A1427" s="27"/>
    </row>
    <row r="1428" spans="1:1">
      <c r="A1428" s="27"/>
    </row>
    <row r="1429" spans="1:1">
      <c r="A1429" s="27"/>
    </row>
    <row r="1430" spans="1:1">
      <c r="A1430" s="27"/>
    </row>
    <row r="1431" spans="1:1">
      <c r="A1431" s="27"/>
    </row>
    <row r="1432" spans="1:1">
      <c r="A1432" s="27"/>
    </row>
    <row r="1433" spans="1:1">
      <c r="A1433" s="27"/>
    </row>
    <row r="1434" spans="1:1">
      <c r="A1434" s="27"/>
    </row>
    <row r="1435" spans="1:1">
      <c r="A1435" s="27"/>
    </row>
    <row r="1436" spans="1:1">
      <c r="A1436" s="27"/>
    </row>
    <row r="1437" spans="1:1">
      <c r="A1437" s="27"/>
    </row>
    <row r="1438" spans="1:1">
      <c r="A1438" s="27"/>
    </row>
    <row r="1439" spans="1:1">
      <c r="A1439" s="27"/>
    </row>
    <row r="1440" spans="1:1">
      <c r="A1440" s="27"/>
    </row>
    <row r="1441" spans="1:1">
      <c r="A1441" s="27"/>
    </row>
    <row r="1442" spans="1:1">
      <c r="A1442" s="27"/>
    </row>
    <row r="1443" spans="1:1">
      <c r="A1443" s="27"/>
    </row>
    <row r="1444" spans="1:1">
      <c r="A1444" s="27"/>
    </row>
    <row r="1445" spans="1:1">
      <c r="A1445" s="27"/>
    </row>
    <row r="1446" spans="1:1">
      <c r="A1446" s="27"/>
    </row>
    <row r="1447" spans="1:1">
      <c r="A1447" s="27"/>
    </row>
    <row r="1448" spans="1:1">
      <c r="A1448" s="27"/>
    </row>
    <row r="1449" spans="1:1">
      <c r="A1449" s="27"/>
    </row>
    <row r="1450" spans="1:1">
      <c r="A1450" s="27"/>
    </row>
    <row r="1451" spans="1:1">
      <c r="A1451" s="27"/>
    </row>
    <row r="1452" spans="1:1">
      <c r="A1452" s="27"/>
    </row>
    <row r="1453" spans="1:1">
      <c r="A1453" s="27"/>
    </row>
    <row r="1454" spans="1:1">
      <c r="A1454" s="27"/>
    </row>
    <row r="1455" spans="1:1">
      <c r="A1455" s="27"/>
    </row>
    <row r="1456" spans="1:1">
      <c r="A1456" s="27"/>
    </row>
    <row r="1457" spans="1:1">
      <c r="A1457" s="27"/>
    </row>
    <row r="1458" spans="1:1">
      <c r="A1458" s="27"/>
    </row>
    <row r="1459" spans="1:1">
      <c r="A1459" s="27"/>
    </row>
    <row r="1460" spans="1:1">
      <c r="A1460" s="27"/>
    </row>
    <row r="1461" spans="1:1">
      <c r="A1461" s="27"/>
    </row>
    <row r="1462" spans="1:1">
      <c r="A1462" s="27"/>
    </row>
    <row r="1463" spans="1:1">
      <c r="A1463" s="27"/>
    </row>
    <row r="1464" spans="1:1">
      <c r="A1464" s="27"/>
    </row>
    <row r="1465" spans="1:1">
      <c r="A1465" s="27"/>
    </row>
    <row r="1466" spans="1:1">
      <c r="A1466" s="27"/>
    </row>
    <row r="1467" spans="1:1">
      <c r="A1467" s="27"/>
    </row>
    <row r="1468" spans="1:1">
      <c r="A1468" s="27"/>
    </row>
    <row r="1469" spans="1:1">
      <c r="A1469" s="27"/>
    </row>
    <row r="1470" spans="1:1">
      <c r="A1470" s="27"/>
    </row>
    <row r="1471" spans="1:1">
      <c r="A1471" s="27"/>
    </row>
    <row r="1472" spans="1:1">
      <c r="A1472" s="27"/>
    </row>
    <row r="1473" spans="1:1">
      <c r="A1473" s="27"/>
    </row>
    <row r="1474" spans="1:1">
      <c r="A1474" s="27"/>
    </row>
    <row r="1475" spans="1:1">
      <c r="A1475" s="27"/>
    </row>
    <row r="1476" spans="1:1">
      <c r="A1476" s="27"/>
    </row>
    <row r="1477" spans="1:1">
      <c r="A1477" s="27"/>
    </row>
    <row r="1478" spans="1:1">
      <c r="A1478" s="27"/>
    </row>
    <row r="1479" spans="1:1">
      <c r="A1479" s="27"/>
    </row>
    <row r="1480" spans="1:1">
      <c r="A1480" s="27"/>
    </row>
    <row r="1481" spans="1:1">
      <c r="A1481" s="27"/>
    </row>
    <row r="1482" spans="1:1">
      <c r="A1482" s="27"/>
    </row>
    <row r="1483" spans="1:1">
      <c r="A1483" s="27"/>
    </row>
    <row r="1484" spans="1:1">
      <c r="A1484" s="27"/>
    </row>
    <row r="1485" spans="1:1">
      <c r="A1485" s="27"/>
    </row>
    <row r="1486" spans="1:1">
      <c r="A1486" s="27"/>
    </row>
    <row r="1487" spans="1:1">
      <c r="A1487" s="27"/>
    </row>
    <row r="1488" spans="1:1">
      <c r="A1488" s="27"/>
    </row>
    <row r="1489" spans="1:1">
      <c r="A1489" s="27"/>
    </row>
    <row r="1490" spans="1:1">
      <c r="A1490" s="27"/>
    </row>
    <row r="1491" spans="1:1">
      <c r="A1491" s="27"/>
    </row>
    <row r="1492" spans="1:1">
      <c r="A1492" s="27"/>
    </row>
    <row r="1493" spans="1:1">
      <c r="A1493" s="27"/>
    </row>
    <row r="1494" spans="1:1">
      <c r="A1494" s="27"/>
    </row>
    <row r="1495" spans="1:1">
      <c r="A1495" s="27"/>
    </row>
    <row r="1496" spans="1:1">
      <c r="A1496" s="27"/>
    </row>
    <row r="1497" spans="1:1">
      <c r="A1497" s="27"/>
    </row>
    <row r="1498" spans="1:1">
      <c r="A1498" s="27"/>
    </row>
    <row r="1499" spans="1:1">
      <c r="A1499" s="27"/>
    </row>
    <row r="1500" spans="1:1">
      <c r="A1500" s="27"/>
    </row>
    <row r="1501" spans="1:1">
      <c r="A1501" s="27"/>
    </row>
    <row r="1502" spans="1:1">
      <c r="A1502" s="27"/>
    </row>
    <row r="1503" spans="1:1">
      <c r="A1503" s="27"/>
    </row>
    <row r="1504" spans="1:1">
      <c r="A1504" s="27"/>
    </row>
    <row r="1505" spans="1:1">
      <c r="A1505" s="27"/>
    </row>
    <row r="1506" spans="1:1">
      <c r="A1506" s="27"/>
    </row>
    <row r="1507" spans="1:1">
      <c r="A1507" s="27"/>
    </row>
    <row r="1508" spans="1:1">
      <c r="A1508" s="27"/>
    </row>
    <row r="1509" spans="1:1">
      <c r="A1509" s="27"/>
    </row>
    <row r="1510" spans="1:1">
      <c r="A1510" s="27"/>
    </row>
    <row r="1511" spans="1:1">
      <c r="A1511" s="27"/>
    </row>
    <row r="1512" spans="1:1">
      <c r="A1512" s="27"/>
    </row>
    <row r="1513" spans="1:1">
      <c r="A1513" s="27"/>
    </row>
    <row r="1514" spans="1:1">
      <c r="A1514" s="27"/>
    </row>
    <row r="1515" spans="1:1">
      <c r="A1515" s="27"/>
    </row>
    <row r="1516" spans="1:1">
      <c r="A1516" s="27"/>
    </row>
    <row r="1517" spans="1:1">
      <c r="A1517" s="27"/>
    </row>
    <row r="1518" spans="1:1">
      <c r="A1518" s="27"/>
    </row>
    <row r="1519" spans="1:1">
      <c r="A1519" s="27"/>
    </row>
    <row r="1520" spans="1:1">
      <c r="A1520" s="27"/>
    </row>
    <row r="1521" spans="1:1">
      <c r="A1521" s="27"/>
    </row>
    <row r="1522" spans="1:1">
      <c r="A1522" s="27"/>
    </row>
    <row r="1523" spans="1:1">
      <c r="A1523" s="27"/>
    </row>
    <row r="1524" spans="1:1">
      <c r="A1524" s="27"/>
    </row>
    <row r="1525" spans="1:1">
      <c r="A1525" s="27"/>
    </row>
    <row r="1526" spans="1:1">
      <c r="A1526" s="27"/>
    </row>
    <row r="1527" spans="1:1">
      <c r="A1527" s="27"/>
    </row>
    <row r="1528" spans="1:1">
      <c r="A1528" s="27"/>
    </row>
    <row r="1529" spans="1:1">
      <c r="A1529" s="27"/>
    </row>
    <row r="1530" spans="1:1">
      <c r="A1530" s="27"/>
    </row>
    <row r="1531" spans="1:1">
      <c r="A1531" s="27"/>
    </row>
    <row r="1532" spans="1:1">
      <c r="A1532" s="27"/>
    </row>
    <row r="1533" spans="1:1">
      <c r="A1533" s="27"/>
    </row>
    <row r="1534" spans="1:1">
      <c r="A1534" s="27"/>
    </row>
    <row r="1535" spans="1:1">
      <c r="A1535" s="27"/>
    </row>
    <row r="1536" spans="1:1">
      <c r="A1536" s="27"/>
    </row>
    <row r="1537" spans="1:1">
      <c r="A1537" s="27"/>
    </row>
    <row r="1538" spans="1:1">
      <c r="A1538" s="27"/>
    </row>
    <row r="1539" spans="1:1">
      <c r="A1539" s="27"/>
    </row>
    <row r="1540" spans="1:1">
      <c r="A1540" s="27"/>
    </row>
    <row r="1541" spans="1:1">
      <c r="A1541" s="27"/>
    </row>
    <row r="1542" spans="1:1">
      <c r="A1542" s="27"/>
    </row>
    <row r="1543" spans="1:1">
      <c r="A1543" s="27"/>
    </row>
    <row r="1544" spans="1:1">
      <c r="A1544" s="27"/>
    </row>
    <row r="1545" spans="1:1">
      <c r="A1545" s="27"/>
    </row>
    <row r="1546" spans="1:1">
      <c r="A1546" s="27"/>
    </row>
    <row r="1547" spans="1:1">
      <c r="A1547" s="27"/>
    </row>
    <row r="1548" spans="1:1">
      <c r="A1548" s="27"/>
    </row>
    <row r="1549" spans="1:1">
      <c r="A1549" s="27"/>
    </row>
    <row r="1550" spans="1:1">
      <c r="A1550" s="27"/>
    </row>
    <row r="1551" spans="1:1">
      <c r="A1551" s="27"/>
    </row>
    <row r="1552" spans="1:1">
      <c r="A1552" s="27"/>
    </row>
    <row r="1553" spans="1:1">
      <c r="A1553" s="27"/>
    </row>
    <row r="1554" spans="1:1">
      <c r="A1554" s="27"/>
    </row>
    <row r="1555" spans="1:1">
      <c r="A1555" s="27"/>
    </row>
    <row r="1556" spans="1:1">
      <c r="A1556" s="27"/>
    </row>
    <row r="1557" spans="1:1">
      <c r="A1557" s="27"/>
    </row>
    <row r="1558" spans="1:1">
      <c r="A1558" s="27"/>
    </row>
    <row r="1559" spans="1:1">
      <c r="A1559" s="27"/>
    </row>
    <row r="1560" spans="1:1">
      <c r="A1560" s="27"/>
    </row>
    <row r="1561" spans="1:1">
      <c r="A1561" s="27"/>
    </row>
    <row r="1562" spans="1:1">
      <c r="A1562" s="27"/>
    </row>
    <row r="1563" spans="1:1">
      <c r="A1563" s="27"/>
    </row>
    <row r="1564" spans="1:1">
      <c r="A1564" s="27"/>
    </row>
    <row r="1565" spans="1:1">
      <c r="A1565" s="27"/>
    </row>
    <row r="1566" spans="1:1">
      <c r="A1566" s="27"/>
    </row>
    <row r="1567" spans="1:1">
      <c r="A1567" s="27"/>
    </row>
    <row r="1568" spans="1:1">
      <c r="A1568" s="27"/>
    </row>
    <row r="1569" spans="1:1">
      <c r="A1569" s="27"/>
    </row>
    <row r="1570" spans="1:1">
      <c r="A1570" s="27"/>
    </row>
    <row r="1571" spans="1:1">
      <c r="A1571" s="27"/>
    </row>
    <row r="1572" spans="1:1">
      <c r="A1572" s="27"/>
    </row>
    <row r="1573" spans="1:1">
      <c r="A1573" s="27"/>
    </row>
    <row r="1574" spans="1:1">
      <c r="A1574" s="27"/>
    </row>
    <row r="1575" spans="1:1">
      <c r="A1575" s="27"/>
    </row>
    <row r="1576" spans="1:1">
      <c r="A1576" s="27"/>
    </row>
    <row r="1577" spans="1:1">
      <c r="A1577" s="27"/>
    </row>
    <row r="1578" spans="1:1">
      <c r="A1578" s="27"/>
    </row>
    <row r="1579" spans="1:1">
      <c r="A1579" s="27"/>
    </row>
    <row r="1580" spans="1:1">
      <c r="A1580" s="27"/>
    </row>
    <row r="1581" spans="1:1">
      <c r="A1581" s="27"/>
    </row>
    <row r="1582" spans="1:1">
      <c r="A1582" s="27"/>
    </row>
    <row r="1583" spans="1:1">
      <c r="A1583" s="27"/>
    </row>
    <row r="1584" spans="1:1">
      <c r="A1584" s="27"/>
    </row>
    <row r="1585" spans="1:1">
      <c r="A1585" s="27"/>
    </row>
    <row r="1586" spans="1:1">
      <c r="A1586" s="27"/>
    </row>
    <row r="1587" spans="1:1">
      <c r="A1587" s="27"/>
    </row>
    <row r="1588" spans="1:1">
      <c r="A1588" s="27"/>
    </row>
    <row r="1589" spans="1:1">
      <c r="A1589" s="27"/>
    </row>
    <row r="1590" spans="1:1">
      <c r="A1590" s="27"/>
    </row>
    <row r="1591" spans="1:1">
      <c r="A1591" s="27"/>
    </row>
    <row r="1592" spans="1:1">
      <c r="A1592" s="27"/>
    </row>
    <row r="1593" spans="1:1">
      <c r="A1593" s="27"/>
    </row>
    <row r="1594" spans="1:1">
      <c r="A1594" s="27"/>
    </row>
    <row r="1595" spans="1:1">
      <c r="A1595" s="27"/>
    </row>
    <row r="1596" spans="1:1">
      <c r="A1596" s="27"/>
    </row>
    <row r="1597" spans="1:1">
      <c r="A1597" s="27"/>
    </row>
    <row r="1598" spans="1:1">
      <c r="A1598" s="27"/>
    </row>
    <row r="1599" spans="1:1">
      <c r="A1599" s="27"/>
    </row>
    <row r="1600" spans="1:1">
      <c r="A1600" s="27"/>
    </row>
    <row r="1601" spans="1:1">
      <c r="A1601" s="27"/>
    </row>
    <row r="1602" spans="1:1">
      <c r="A1602" s="27"/>
    </row>
    <row r="1603" spans="1:1">
      <c r="A1603" s="27"/>
    </row>
    <row r="1604" spans="1:1">
      <c r="A1604" s="27"/>
    </row>
    <row r="1605" spans="1:1">
      <c r="A1605" s="27"/>
    </row>
    <row r="1606" spans="1:1">
      <c r="A1606" s="27"/>
    </row>
    <row r="1607" spans="1:1">
      <c r="A1607" s="27"/>
    </row>
    <row r="1608" spans="1:1">
      <c r="A1608" s="27"/>
    </row>
    <row r="1609" spans="1:1">
      <c r="A1609" s="27"/>
    </row>
    <row r="1610" spans="1:1">
      <c r="A1610" s="27"/>
    </row>
    <row r="1611" spans="1:1">
      <c r="A1611" s="27"/>
    </row>
    <row r="1612" spans="1:1">
      <c r="A1612" s="27"/>
    </row>
    <row r="1613" spans="1:1">
      <c r="A1613" s="27"/>
    </row>
    <row r="1614" spans="1:1">
      <c r="A1614" s="27"/>
    </row>
    <row r="1615" spans="1:1">
      <c r="A1615" s="27"/>
    </row>
    <row r="1616" spans="1:1">
      <c r="A1616" s="27"/>
    </row>
    <row r="1617" spans="1:1">
      <c r="A1617" s="27"/>
    </row>
    <row r="1618" spans="1:1">
      <c r="A1618" s="27"/>
    </row>
    <row r="1619" spans="1:1">
      <c r="A1619" s="27"/>
    </row>
    <row r="1620" spans="1:1">
      <c r="A1620" s="27"/>
    </row>
    <row r="1621" spans="1:1">
      <c r="A1621" s="27"/>
    </row>
    <row r="1622" spans="1:1">
      <c r="A1622" s="27"/>
    </row>
    <row r="1623" spans="1:1">
      <c r="A1623" s="27"/>
    </row>
    <row r="1624" spans="1:1">
      <c r="A1624" s="27"/>
    </row>
    <row r="1625" spans="1:1">
      <c r="A1625" s="27"/>
    </row>
    <row r="1626" spans="1:1">
      <c r="A1626" s="27"/>
    </row>
    <row r="1627" spans="1:1">
      <c r="A1627" s="27"/>
    </row>
    <row r="1628" spans="1:1">
      <c r="A1628" s="27"/>
    </row>
    <row r="1629" spans="1:1">
      <c r="A1629" s="27"/>
    </row>
    <row r="1630" spans="1:1">
      <c r="A1630" s="27"/>
    </row>
    <row r="1631" spans="1:1">
      <c r="A1631" s="27"/>
    </row>
    <row r="1632" spans="1:1">
      <c r="A1632" s="27"/>
    </row>
    <row r="1633" spans="1:1">
      <c r="A1633" s="27"/>
    </row>
    <row r="1634" spans="1:1">
      <c r="A1634" s="27"/>
    </row>
    <row r="1635" spans="1:1">
      <c r="A1635" s="27"/>
    </row>
    <row r="1636" spans="1:1">
      <c r="A1636" s="27"/>
    </row>
    <row r="1637" spans="1:1">
      <c r="A1637" s="27"/>
    </row>
    <row r="1638" spans="1:1">
      <c r="A1638" s="27"/>
    </row>
    <row r="1639" spans="1:1">
      <c r="A1639" s="27"/>
    </row>
    <row r="1640" spans="1:1">
      <c r="A1640" s="27"/>
    </row>
    <row r="1641" spans="1:1">
      <c r="A1641" s="27"/>
    </row>
    <row r="1642" spans="1:1">
      <c r="A1642" s="27"/>
    </row>
    <row r="1643" spans="1:1">
      <c r="A1643" s="27"/>
    </row>
    <row r="1644" spans="1:1">
      <c r="A1644" s="27"/>
    </row>
    <row r="1645" spans="1:1">
      <c r="A1645" s="27"/>
    </row>
    <row r="1646" spans="1:1">
      <c r="A1646" s="27"/>
    </row>
    <row r="1647" spans="1:1">
      <c r="A1647" s="27"/>
    </row>
    <row r="1648" spans="1:1">
      <c r="A1648" s="27"/>
    </row>
    <row r="1649" spans="1:1">
      <c r="A1649" s="27"/>
    </row>
    <row r="1650" spans="1:1">
      <c r="A1650" s="27"/>
    </row>
    <row r="1651" spans="1:1">
      <c r="A1651" s="27"/>
    </row>
    <row r="1652" spans="1:1">
      <c r="A1652" s="27"/>
    </row>
    <row r="1653" spans="1:1">
      <c r="A1653" s="27"/>
    </row>
    <row r="1654" spans="1:1">
      <c r="A1654" s="27"/>
    </row>
    <row r="1655" spans="1:1">
      <c r="A1655" s="27"/>
    </row>
    <row r="1656" spans="1:1">
      <c r="A1656" s="27"/>
    </row>
    <row r="1657" spans="1:1">
      <c r="A1657" s="27"/>
    </row>
    <row r="1658" spans="1:1">
      <c r="A1658" s="27"/>
    </row>
    <row r="1659" spans="1:1">
      <c r="A1659" s="27"/>
    </row>
    <row r="1660" spans="1:1">
      <c r="A1660" s="27"/>
    </row>
    <row r="1661" spans="1:1">
      <c r="A1661" s="27"/>
    </row>
    <row r="1662" spans="1:1">
      <c r="A1662" s="27"/>
    </row>
    <row r="1663" spans="1:1">
      <c r="A1663" s="27"/>
    </row>
    <row r="1664" spans="1:1">
      <c r="A1664" s="27"/>
    </row>
    <row r="1665" spans="1:1">
      <c r="A1665" s="27"/>
    </row>
    <row r="1666" spans="1:1">
      <c r="A1666" s="27"/>
    </row>
    <row r="1667" spans="1:1">
      <c r="A1667" s="27"/>
    </row>
    <row r="1668" spans="1:1">
      <c r="A1668" s="27"/>
    </row>
    <row r="1669" spans="1:1">
      <c r="A1669" s="27"/>
    </row>
    <row r="1670" spans="1:1">
      <c r="A1670" s="27"/>
    </row>
    <row r="1671" spans="1:1">
      <c r="A1671" s="27"/>
    </row>
    <row r="1672" spans="1:1">
      <c r="A1672" s="27"/>
    </row>
    <row r="1673" spans="1:1">
      <c r="A1673" s="27"/>
    </row>
    <row r="1674" spans="1:1">
      <c r="A1674" s="27"/>
    </row>
    <row r="1675" spans="1:1">
      <c r="A1675" s="27"/>
    </row>
    <row r="1676" spans="1:1">
      <c r="A1676" s="27"/>
    </row>
    <row r="1677" spans="1:1">
      <c r="A1677" s="27"/>
    </row>
    <row r="1678" spans="1:1">
      <c r="A1678" s="27"/>
    </row>
    <row r="1679" spans="1:1">
      <c r="A1679" s="27"/>
    </row>
    <row r="1680" spans="1:1">
      <c r="A1680" s="27"/>
    </row>
    <row r="1681" spans="1:1">
      <c r="A1681" s="27"/>
    </row>
    <row r="1682" spans="1:1">
      <c r="A1682" s="27"/>
    </row>
    <row r="1683" spans="1:1">
      <c r="A1683" s="27"/>
    </row>
    <row r="1684" spans="1:1">
      <c r="A1684" s="27"/>
    </row>
    <row r="1685" spans="1:1">
      <c r="A1685" s="27"/>
    </row>
    <row r="1686" spans="1:1">
      <c r="A1686" s="27"/>
    </row>
    <row r="1687" spans="1:1">
      <c r="A1687" s="27"/>
    </row>
    <row r="1688" spans="1:1">
      <c r="A1688" s="27"/>
    </row>
    <row r="1689" spans="1:1">
      <c r="A1689" s="27"/>
    </row>
    <row r="1690" spans="1:1">
      <c r="A1690" s="27"/>
    </row>
    <row r="1691" spans="1:1">
      <c r="A1691" s="27"/>
    </row>
    <row r="1692" spans="1:1">
      <c r="A1692" s="27"/>
    </row>
    <row r="1693" spans="1:1">
      <c r="A1693" s="27"/>
    </row>
    <row r="1694" spans="1:1">
      <c r="A1694" s="27"/>
    </row>
    <row r="1695" spans="1:1">
      <c r="A1695" s="27"/>
    </row>
    <row r="1696" spans="1:1">
      <c r="A1696" s="27"/>
    </row>
    <row r="1697" spans="1:1">
      <c r="A1697" s="27"/>
    </row>
    <row r="1698" spans="1:1">
      <c r="A1698" s="27"/>
    </row>
    <row r="1699" spans="1:1">
      <c r="A1699" s="27"/>
    </row>
    <row r="1700" spans="1:1">
      <c r="A1700" s="27"/>
    </row>
    <row r="1701" spans="1:1">
      <c r="A1701" s="27"/>
    </row>
    <row r="1702" spans="1:1">
      <c r="A1702" s="27"/>
    </row>
    <row r="1703" spans="1:1">
      <c r="A1703" s="27"/>
    </row>
    <row r="1704" spans="1:1">
      <c r="A1704" s="27"/>
    </row>
    <row r="1705" spans="1:1">
      <c r="A1705" s="27"/>
    </row>
    <row r="1706" spans="1:1">
      <c r="A1706" s="27"/>
    </row>
    <row r="1707" spans="1:1">
      <c r="A1707" s="27"/>
    </row>
    <row r="1708" spans="1:1">
      <c r="A1708" s="27"/>
    </row>
    <row r="1709" spans="1:1">
      <c r="A1709" s="27"/>
    </row>
    <row r="1710" spans="1:1">
      <c r="A1710" s="27"/>
    </row>
    <row r="1711" spans="1:1">
      <c r="A1711" s="27"/>
    </row>
    <row r="1712" spans="1:1">
      <c r="A1712" s="27"/>
    </row>
    <row r="1713" spans="1:1">
      <c r="A1713" s="27"/>
    </row>
    <row r="1714" spans="1:1">
      <c r="A1714" s="27"/>
    </row>
    <row r="1715" spans="1:1">
      <c r="A1715" s="27"/>
    </row>
    <row r="1716" spans="1:1">
      <c r="A1716" s="27"/>
    </row>
    <row r="1717" spans="1:1">
      <c r="A1717" s="27"/>
    </row>
    <row r="1718" spans="1:1">
      <c r="A1718" s="27"/>
    </row>
    <row r="1719" spans="1:1">
      <c r="A1719" s="27"/>
    </row>
    <row r="1720" spans="1:1">
      <c r="A1720" s="27"/>
    </row>
    <row r="1721" spans="1:1">
      <c r="A1721" s="27"/>
    </row>
    <row r="1722" spans="1:1">
      <c r="A1722" s="27"/>
    </row>
    <row r="1723" spans="1:1">
      <c r="A1723" s="27"/>
    </row>
    <row r="1724" spans="1:1">
      <c r="A1724" s="27"/>
    </row>
    <row r="1725" spans="1:1">
      <c r="A1725" s="27"/>
    </row>
    <row r="1726" spans="1:1">
      <c r="A1726" s="27"/>
    </row>
    <row r="1727" spans="1:1">
      <c r="A1727" s="27"/>
    </row>
    <row r="1728" spans="1:1">
      <c r="A1728" s="27"/>
    </row>
    <row r="1729" spans="1:1">
      <c r="A1729" s="27"/>
    </row>
    <row r="1730" spans="1:1">
      <c r="A1730" s="27"/>
    </row>
    <row r="1731" spans="1:1">
      <c r="A1731" s="27"/>
    </row>
    <row r="1732" spans="1:1">
      <c r="A1732" s="27"/>
    </row>
    <row r="1733" spans="1:1">
      <c r="A1733" s="27"/>
    </row>
    <row r="1734" spans="1:1">
      <c r="A1734" s="27"/>
    </row>
    <row r="1735" spans="1:1">
      <c r="A1735" s="27"/>
    </row>
    <row r="1736" spans="1:1">
      <c r="A1736" s="27"/>
    </row>
    <row r="1737" spans="1:1">
      <c r="A1737" s="27"/>
    </row>
    <row r="1738" spans="1:1">
      <c r="A1738" s="27"/>
    </row>
    <row r="1739" spans="1:1">
      <c r="A1739" s="27"/>
    </row>
    <row r="1740" spans="1:1">
      <c r="A1740" s="27"/>
    </row>
    <row r="1741" spans="1:1">
      <c r="A1741" s="27"/>
    </row>
    <row r="1742" spans="1:1">
      <c r="A1742" s="27"/>
    </row>
    <row r="1743" spans="1:1">
      <c r="A1743" s="27"/>
    </row>
    <row r="1744" spans="1:1">
      <c r="A1744" s="27"/>
    </row>
    <row r="1745" spans="1:1">
      <c r="A1745" s="27"/>
    </row>
    <row r="1746" spans="1:1">
      <c r="A1746" s="27"/>
    </row>
    <row r="1747" spans="1:1">
      <c r="A1747" s="27"/>
    </row>
    <row r="1748" spans="1:1">
      <c r="A1748" s="27"/>
    </row>
    <row r="1749" spans="1:1">
      <c r="A1749" s="27"/>
    </row>
    <row r="1750" spans="1:1">
      <c r="A1750" s="27"/>
    </row>
    <row r="1751" spans="1:1">
      <c r="A1751" s="27"/>
    </row>
    <row r="1752" spans="1:1">
      <c r="A1752" s="27"/>
    </row>
    <row r="1753" spans="1:1">
      <c r="A1753" s="27"/>
    </row>
    <row r="1754" spans="1:1">
      <c r="A1754" s="27"/>
    </row>
    <row r="1755" spans="1:1">
      <c r="A1755" s="27"/>
    </row>
    <row r="1756" spans="1:1">
      <c r="A1756" s="27"/>
    </row>
    <row r="1757" spans="1:1">
      <c r="A1757" s="27"/>
    </row>
    <row r="1758" spans="1:1">
      <c r="A1758" s="27"/>
    </row>
    <row r="1759" spans="1:1">
      <c r="A1759" s="27"/>
    </row>
    <row r="1760" spans="1:1">
      <c r="A1760" s="27"/>
    </row>
    <row r="1761" spans="1:1">
      <c r="A1761" s="27"/>
    </row>
    <row r="1762" spans="1:1">
      <c r="A1762" s="27"/>
    </row>
    <row r="1763" spans="1:1">
      <c r="A1763" s="27"/>
    </row>
    <row r="1764" spans="1:1">
      <c r="A1764" s="27"/>
    </row>
    <row r="1765" spans="1:1">
      <c r="A1765" s="27"/>
    </row>
    <row r="1766" spans="1:1">
      <c r="A1766" s="27"/>
    </row>
    <row r="1767" spans="1:1">
      <c r="A1767" s="27"/>
    </row>
    <row r="1768" spans="1:1">
      <c r="A1768" s="27"/>
    </row>
    <row r="1769" spans="1:1">
      <c r="A1769" s="27"/>
    </row>
    <row r="1770" spans="1:1">
      <c r="A1770" s="27"/>
    </row>
    <row r="1771" spans="1:1">
      <c r="A1771" s="27"/>
    </row>
    <row r="1772" spans="1:1">
      <c r="A1772" s="27"/>
    </row>
    <row r="1773" spans="1:1">
      <c r="A1773" s="27"/>
    </row>
    <row r="1774" spans="1:1">
      <c r="A1774" s="27"/>
    </row>
    <row r="1775" spans="1:1">
      <c r="A1775" s="27"/>
    </row>
    <row r="1776" spans="1:1">
      <c r="A1776" s="27"/>
    </row>
    <row r="1777" spans="1:1">
      <c r="A1777" s="27"/>
    </row>
    <row r="1778" spans="1:1">
      <c r="A1778" s="27"/>
    </row>
    <row r="1779" spans="1:1">
      <c r="A1779" s="27"/>
    </row>
    <row r="1780" spans="1:1">
      <c r="A1780" s="27"/>
    </row>
    <row r="1781" spans="1:1">
      <c r="A1781" s="27"/>
    </row>
    <row r="1782" spans="1:1">
      <c r="A1782" s="27"/>
    </row>
    <row r="1783" spans="1:1">
      <c r="A1783" s="27"/>
    </row>
    <row r="1784" spans="1:1">
      <c r="A1784" s="27"/>
    </row>
    <row r="1785" spans="1:1">
      <c r="A1785" s="27"/>
    </row>
    <row r="1786" spans="1:1">
      <c r="A1786" s="27"/>
    </row>
    <row r="1787" spans="1:1">
      <c r="A1787" s="27"/>
    </row>
    <row r="1788" spans="1:1">
      <c r="A1788" s="27"/>
    </row>
    <row r="1789" spans="1:1">
      <c r="A1789" s="27"/>
    </row>
    <row r="1790" spans="1:1">
      <c r="A1790" s="27"/>
    </row>
    <row r="1791" spans="1:1">
      <c r="A1791" s="27"/>
    </row>
    <row r="1792" spans="1:1">
      <c r="A1792" s="27"/>
    </row>
    <row r="1793" spans="1:1">
      <c r="A1793" s="27"/>
    </row>
    <row r="1794" spans="1:1">
      <c r="A1794" s="27"/>
    </row>
    <row r="1795" spans="1:1">
      <c r="A1795" s="27"/>
    </row>
    <row r="1796" spans="1:1">
      <c r="A1796" s="27"/>
    </row>
    <row r="1797" spans="1:1">
      <c r="A1797" s="27"/>
    </row>
    <row r="1798" spans="1:1">
      <c r="A1798" s="27"/>
    </row>
    <row r="1799" spans="1:1">
      <c r="A1799" s="27"/>
    </row>
    <row r="1800" spans="1:1">
      <c r="A1800" s="27"/>
    </row>
    <row r="1801" spans="1:1">
      <c r="A1801" s="27"/>
    </row>
    <row r="1802" spans="1:1">
      <c r="A1802" s="27"/>
    </row>
    <row r="1803" spans="1:1">
      <c r="A1803" s="27"/>
    </row>
    <row r="1804" spans="1:1">
      <c r="A1804" s="27"/>
    </row>
    <row r="1805" spans="1:1">
      <c r="A1805" s="27"/>
    </row>
    <row r="1806" spans="1:1">
      <c r="A1806" s="27"/>
    </row>
    <row r="1807" spans="1:1">
      <c r="A1807" s="27"/>
    </row>
    <row r="1808" spans="1:1">
      <c r="A1808" s="27"/>
    </row>
    <row r="1809" spans="1:1">
      <c r="A1809" s="27"/>
    </row>
    <row r="1810" spans="1:1">
      <c r="A1810" s="27"/>
    </row>
    <row r="1811" spans="1:1">
      <c r="A1811" s="27"/>
    </row>
    <row r="1812" spans="1:1">
      <c r="A1812" s="27"/>
    </row>
    <row r="1813" spans="1:1">
      <c r="A1813" s="27"/>
    </row>
    <row r="1814" spans="1:1">
      <c r="A1814" s="27"/>
    </row>
    <row r="1815" spans="1:1">
      <c r="A1815" s="27"/>
    </row>
    <row r="1816" spans="1:1">
      <c r="A1816" s="27"/>
    </row>
    <row r="1817" spans="1:1">
      <c r="A1817" s="27"/>
    </row>
    <row r="1818" spans="1:1">
      <c r="A1818" s="27"/>
    </row>
    <row r="1819" spans="1:1">
      <c r="A1819" s="27"/>
    </row>
    <row r="1820" spans="1:1">
      <c r="A1820" s="27"/>
    </row>
    <row r="1821" spans="1:1">
      <c r="A1821" s="27"/>
    </row>
    <row r="1822" spans="1:1">
      <c r="A1822" s="27"/>
    </row>
    <row r="1823" spans="1:1">
      <c r="A1823" s="27"/>
    </row>
    <row r="1824" spans="1:1">
      <c r="A1824" s="27"/>
    </row>
    <row r="1825" spans="1:1">
      <c r="A1825" s="27"/>
    </row>
    <row r="1826" spans="1:1">
      <c r="A1826" s="27"/>
    </row>
    <row r="1827" spans="1:1">
      <c r="A1827" s="27"/>
    </row>
    <row r="1828" spans="1:1">
      <c r="A1828" s="27"/>
    </row>
    <row r="1829" spans="1:1">
      <c r="A1829" s="27"/>
    </row>
    <row r="1830" spans="1:1">
      <c r="A1830" s="27"/>
    </row>
    <row r="1831" spans="1:1">
      <c r="A1831" s="27"/>
    </row>
    <row r="1832" spans="1:1">
      <c r="A1832" s="27"/>
    </row>
    <row r="1833" spans="1:1">
      <c r="A1833" s="27"/>
    </row>
    <row r="1834" spans="1:1">
      <c r="A1834" s="27"/>
    </row>
    <row r="1835" spans="1:1">
      <c r="A1835" s="27"/>
    </row>
    <row r="1836" spans="1:1">
      <c r="A1836" s="27"/>
    </row>
    <row r="1837" spans="1:1">
      <c r="A1837" s="27"/>
    </row>
    <row r="1838" spans="1:1">
      <c r="A1838" s="27"/>
    </row>
    <row r="1839" spans="1:1">
      <c r="A1839" s="27"/>
    </row>
    <row r="1840" spans="1:1">
      <c r="A1840" s="27"/>
    </row>
    <row r="1841" spans="1:1">
      <c r="A1841" s="27"/>
    </row>
    <row r="1842" spans="1:1">
      <c r="A1842" s="27"/>
    </row>
    <row r="1843" spans="1:1">
      <c r="A1843" s="27"/>
    </row>
    <row r="1844" spans="1:1">
      <c r="A1844" s="27"/>
    </row>
    <row r="1845" spans="1:1">
      <c r="A1845" s="27"/>
    </row>
    <row r="1846" spans="1:1">
      <c r="A1846" s="27"/>
    </row>
    <row r="1847" spans="1:1">
      <c r="A1847" s="27"/>
    </row>
    <row r="1848" spans="1:1">
      <c r="A1848" s="27"/>
    </row>
    <row r="1849" spans="1:1">
      <c r="A1849" s="27"/>
    </row>
    <row r="1850" spans="1:1">
      <c r="A1850" s="27"/>
    </row>
    <row r="1851" spans="1:1">
      <c r="A1851" s="27"/>
    </row>
    <row r="1852" spans="1:1">
      <c r="A1852" s="27"/>
    </row>
    <row r="1853" spans="1:1">
      <c r="A1853" s="27"/>
    </row>
    <row r="1854" spans="1:1">
      <c r="A1854" s="27"/>
    </row>
    <row r="1855" spans="1:1">
      <c r="A1855" s="27"/>
    </row>
    <row r="1856" spans="1:1">
      <c r="A1856" s="27"/>
    </row>
    <row r="1857" spans="1:1">
      <c r="A1857" s="27"/>
    </row>
    <row r="1858" spans="1:1">
      <c r="A1858" s="27"/>
    </row>
    <row r="1859" spans="1:1">
      <c r="A1859" s="27"/>
    </row>
    <row r="1860" spans="1:1">
      <c r="A1860" s="27"/>
    </row>
    <row r="1861" spans="1:1">
      <c r="A1861" s="27"/>
    </row>
    <row r="1862" spans="1:1">
      <c r="A1862" s="27"/>
    </row>
    <row r="1863" spans="1:1">
      <c r="A1863" s="27"/>
    </row>
    <row r="1864" spans="1:1">
      <c r="A1864" s="27"/>
    </row>
    <row r="1865" spans="1:1">
      <c r="A1865" s="27"/>
    </row>
    <row r="1866" spans="1:1">
      <c r="A1866" s="27"/>
    </row>
    <row r="1867" spans="1:1">
      <c r="A1867" s="27"/>
    </row>
    <row r="1868" spans="1:1">
      <c r="A1868" s="27"/>
    </row>
    <row r="1869" spans="1:1">
      <c r="A1869" s="27"/>
    </row>
    <row r="1870" spans="1:1">
      <c r="A1870" s="27"/>
    </row>
    <row r="1871" spans="1:1">
      <c r="A1871" s="27"/>
    </row>
    <row r="1872" spans="1:1">
      <c r="A1872" s="27"/>
    </row>
    <row r="1873" spans="1:1">
      <c r="A1873" s="27"/>
    </row>
    <row r="1874" spans="1:1">
      <c r="A1874" s="27"/>
    </row>
    <row r="1875" spans="1:1">
      <c r="A1875" s="27"/>
    </row>
    <row r="1876" spans="1:1">
      <c r="A1876" s="27"/>
    </row>
    <row r="1877" spans="1:1">
      <c r="A1877" s="27"/>
    </row>
    <row r="1878" spans="1:1">
      <c r="A1878" s="27"/>
    </row>
    <row r="1879" spans="1:1">
      <c r="A1879" s="27"/>
    </row>
    <row r="1880" spans="1:1">
      <c r="A1880" s="27"/>
    </row>
    <row r="1881" spans="1:1">
      <c r="A1881" s="27"/>
    </row>
    <row r="1882" spans="1:1">
      <c r="A1882" s="27"/>
    </row>
    <row r="1883" spans="1:1">
      <c r="A1883" s="27"/>
    </row>
    <row r="1884" spans="1:1">
      <c r="A1884" s="27"/>
    </row>
    <row r="1885" spans="1:1">
      <c r="A1885" s="27"/>
    </row>
    <row r="1886" spans="1:1">
      <c r="A1886" s="27"/>
    </row>
    <row r="1887" spans="1:1">
      <c r="A1887" s="27"/>
    </row>
    <row r="1888" spans="1:1">
      <c r="A1888" s="27"/>
    </row>
    <row r="1889" spans="1:1">
      <c r="A1889" s="27"/>
    </row>
    <row r="1890" spans="1:1">
      <c r="A1890" s="27"/>
    </row>
    <row r="1891" spans="1:1">
      <c r="A1891" s="27"/>
    </row>
    <row r="1892" spans="1:1">
      <c r="A1892" s="27"/>
    </row>
    <row r="1893" spans="1:1">
      <c r="A1893" s="27"/>
    </row>
    <row r="1894" spans="1:1">
      <c r="A1894" s="27"/>
    </row>
    <row r="1895" spans="1:1">
      <c r="A1895" s="27"/>
    </row>
    <row r="1896" spans="1:1">
      <c r="A1896" s="27"/>
    </row>
    <row r="1897" spans="1:1">
      <c r="A1897" s="27"/>
    </row>
    <row r="1898" spans="1:1">
      <c r="A1898" s="27"/>
    </row>
    <row r="1899" spans="1:1">
      <c r="A1899" s="27"/>
    </row>
    <row r="1900" spans="1:1">
      <c r="A1900" s="27"/>
    </row>
    <row r="1901" spans="1:1">
      <c r="A1901" s="27"/>
    </row>
    <row r="1902" spans="1:1">
      <c r="A1902" s="27"/>
    </row>
    <row r="1903" spans="1:1">
      <c r="A1903" s="27"/>
    </row>
    <row r="1904" spans="1:1">
      <c r="A1904" s="27"/>
    </row>
    <row r="1905" spans="1:1">
      <c r="A1905" s="27"/>
    </row>
    <row r="1906" spans="1:1">
      <c r="A1906" s="27"/>
    </row>
    <row r="1907" spans="1:1">
      <c r="A1907" s="27"/>
    </row>
    <row r="1908" spans="1:1">
      <c r="A1908" s="27"/>
    </row>
    <row r="1909" spans="1:1">
      <c r="A1909" s="27"/>
    </row>
    <row r="1910" spans="1:1">
      <c r="A1910" s="27"/>
    </row>
    <row r="1911" spans="1:1">
      <c r="A1911" s="27"/>
    </row>
    <row r="1912" spans="1:1">
      <c r="A1912" s="27"/>
    </row>
    <row r="1913" spans="1:1">
      <c r="A1913" s="27"/>
    </row>
    <row r="1914" spans="1:1">
      <c r="A1914" s="27"/>
    </row>
    <row r="1915" spans="1:1">
      <c r="A1915" s="27"/>
    </row>
    <row r="1916" spans="1:1">
      <c r="A1916" s="27"/>
    </row>
    <row r="1917" spans="1:1">
      <c r="A1917" s="27"/>
    </row>
    <row r="1918" spans="1:1">
      <c r="A1918" s="27"/>
    </row>
    <row r="1919" spans="1:1">
      <c r="A1919" s="27"/>
    </row>
    <row r="1920" spans="1:1">
      <c r="A1920" s="27"/>
    </row>
    <row r="1921" spans="1:1">
      <c r="A1921" s="27"/>
    </row>
    <row r="1922" spans="1:1">
      <c r="A1922" s="27"/>
    </row>
    <row r="1923" spans="1:1">
      <c r="A1923" s="27"/>
    </row>
    <row r="1924" spans="1:1">
      <c r="A1924" s="27"/>
    </row>
    <row r="1925" spans="1:1">
      <c r="A1925" s="27"/>
    </row>
    <row r="1926" spans="1:1">
      <c r="A1926" s="27"/>
    </row>
    <row r="1927" spans="1:1">
      <c r="A1927" s="27"/>
    </row>
    <row r="1928" spans="1:1">
      <c r="A1928" s="27"/>
    </row>
    <row r="1929" spans="1:1">
      <c r="A1929" s="27"/>
    </row>
    <row r="1930" spans="1:1">
      <c r="A1930" s="27"/>
    </row>
    <row r="1931" spans="1:1">
      <c r="A1931" s="27"/>
    </row>
    <row r="1932" spans="1:1">
      <c r="A1932" s="27"/>
    </row>
    <row r="1933" spans="1:1">
      <c r="A1933" s="27"/>
    </row>
    <row r="1934" spans="1:1">
      <c r="A1934" s="27"/>
    </row>
    <row r="1935" spans="1:1">
      <c r="A1935" s="27"/>
    </row>
    <row r="1936" spans="1:1">
      <c r="A1936" s="27"/>
    </row>
    <row r="1937" spans="1:1">
      <c r="A1937" s="27"/>
    </row>
    <row r="1938" spans="1:1">
      <c r="A1938" s="27"/>
    </row>
    <row r="1939" spans="1:1">
      <c r="A1939" s="27"/>
    </row>
    <row r="1940" spans="1:1">
      <c r="A1940" s="27"/>
    </row>
    <row r="1941" spans="1:1">
      <c r="A1941" s="27"/>
    </row>
    <row r="1942" spans="1:1">
      <c r="A1942" s="27"/>
    </row>
    <row r="1943" spans="1:1">
      <c r="A1943" s="27"/>
    </row>
    <row r="1944" spans="1:1">
      <c r="A1944" s="27"/>
    </row>
    <row r="1945" spans="1:1">
      <c r="A1945" s="27"/>
    </row>
    <row r="1946" spans="1:1">
      <c r="A1946" s="27"/>
    </row>
    <row r="1947" spans="1:1">
      <c r="A1947" s="27"/>
    </row>
    <row r="1948" spans="1:1">
      <c r="A1948" s="27"/>
    </row>
    <row r="1949" spans="1:1">
      <c r="A1949" s="27"/>
    </row>
    <row r="1950" spans="1:1">
      <c r="A1950" s="27"/>
    </row>
    <row r="1951" spans="1:1">
      <c r="A1951" s="27"/>
    </row>
    <row r="1952" spans="1:1">
      <c r="A1952" s="27"/>
    </row>
    <row r="1953" spans="1:1">
      <c r="A1953" s="27"/>
    </row>
    <row r="1954" spans="1:1">
      <c r="A1954" s="27"/>
    </row>
    <row r="1955" spans="1:1">
      <c r="A1955" s="27"/>
    </row>
    <row r="1956" spans="1:1">
      <c r="A1956" s="27"/>
    </row>
    <row r="1957" spans="1:1">
      <c r="A1957" s="27"/>
    </row>
    <row r="1958" spans="1:1">
      <c r="A1958" s="27"/>
    </row>
    <row r="1959" spans="1:1">
      <c r="A1959" s="27"/>
    </row>
    <row r="1960" spans="1:1">
      <c r="A1960" s="27"/>
    </row>
    <row r="1961" spans="1:1">
      <c r="A1961" s="27"/>
    </row>
    <row r="1962" spans="1:1">
      <c r="A1962" s="27"/>
    </row>
    <row r="1963" spans="1:1">
      <c r="A1963" s="27"/>
    </row>
    <row r="1964" spans="1:1">
      <c r="A1964" s="27"/>
    </row>
    <row r="1965" spans="1:1">
      <c r="A1965" s="27"/>
    </row>
    <row r="1966" spans="1:1">
      <c r="A1966" s="27"/>
    </row>
    <row r="1967" spans="1:1">
      <c r="A1967" s="27"/>
    </row>
    <row r="1968" spans="1:1">
      <c r="A1968" s="27"/>
    </row>
    <row r="1969" spans="1:1">
      <c r="A1969" s="27"/>
    </row>
    <row r="1970" spans="1:1">
      <c r="A1970" s="27"/>
    </row>
    <row r="1971" spans="1:1">
      <c r="A1971" s="27"/>
    </row>
    <row r="1972" spans="1:1">
      <c r="A1972" s="27"/>
    </row>
    <row r="1973" spans="1:1">
      <c r="A1973" s="27"/>
    </row>
    <row r="1974" spans="1:1">
      <c r="A1974" s="27"/>
    </row>
    <row r="1975" spans="1:1">
      <c r="A1975" s="27"/>
    </row>
    <row r="1976" spans="1:1">
      <c r="A1976" s="27"/>
    </row>
    <row r="1977" spans="1:1">
      <c r="A1977" s="27"/>
    </row>
    <row r="1978" spans="1:1">
      <c r="A1978" s="27"/>
    </row>
    <row r="1979" spans="1:1">
      <c r="A1979" s="27"/>
    </row>
    <row r="1980" spans="1:1">
      <c r="A1980" s="27"/>
    </row>
    <row r="1981" spans="1:1">
      <c r="A1981" s="27"/>
    </row>
    <row r="1982" spans="1:1">
      <c r="A1982" s="27"/>
    </row>
    <row r="1983" spans="1:1">
      <c r="A1983" s="27"/>
    </row>
    <row r="1984" spans="1:1">
      <c r="A1984" s="27"/>
    </row>
    <row r="1985" spans="1:1">
      <c r="A1985" s="27"/>
    </row>
    <row r="1986" spans="1:1">
      <c r="A1986" s="27"/>
    </row>
    <row r="1987" spans="1:1">
      <c r="A1987" s="27"/>
    </row>
    <row r="1988" spans="1:1">
      <c r="A1988" s="27"/>
    </row>
    <row r="1989" spans="1:1">
      <c r="A1989" s="27"/>
    </row>
    <row r="1990" spans="1:1">
      <c r="A1990" s="27"/>
    </row>
    <row r="1991" spans="1:1">
      <c r="A1991" s="27"/>
    </row>
    <row r="1992" spans="1:1">
      <c r="A1992" s="27"/>
    </row>
    <row r="1993" spans="1:1">
      <c r="A1993" s="27"/>
    </row>
    <row r="1994" spans="1:1">
      <c r="A1994" s="27"/>
    </row>
    <row r="1995" spans="1:1">
      <c r="A1995" s="27"/>
    </row>
    <row r="1996" spans="1:1">
      <c r="A1996" s="27"/>
    </row>
    <row r="1997" spans="1:1">
      <c r="A1997" s="27"/>
    </row>
    <row r="1998" spans="1:1">
      <c r="A1998" s="27"/>
    </row>
    <row r="1999" spans="1:1">
      <c r="A1999" s="27"/>
    </row>
    <row r="2000" spans="1:1">
      <c r="A2000" s="27"/>
    </row>
    <row r="2001" spans="1:1">
      <c r="A2001" s="27"/>
    </row>
    <row r="2002" spans="1:1">
      <c r="A2002" s="27"/>
    </row>
    <row r="2003" spans="1:1">
      <c r="A2003" s="27"/>
    </row>
    <row r="2004" spans="1:1">
      <c r="A2004" s="27"/>
    </row>
    <row r="2005" spans="1:1">
      <c r="A2005" s="27"/>
    </row>
    <row r="2006" spans="1:1">
      <c r="A2006" s="27"/>
    </row>
    <row r="2007" spans="1:1">
      <c r="A2007" s="27"/>
    </row>
    <row r="2008" spans="1:1">
      <c r="A2008" s="27"/>
    </row>
    <row r="2009" spans="1:1">
      <c r="A2009" s="27"/>
    </row>
    <row r="2010" spans="1:1">
      <c r="A2010" s="27"/>
    </row>
    <row r="2011" spans="1:1">
      <c r="A2011" s="27"/>
    </row>
    <row r="2012" spans="1:1">
      <c r="A2012" s="27"/>
    </row>
    <row r="2013" spans="1:1">
      <c r="A2013" s="27"/>
    </row>
    <row r="2014" spans="1:1">
      <c r="A2014" s="27"/>
    </row>
    <row r="2015" spans="1:1">
      <c r="A2015" s="27"/>
    </row>
    <row r="2016" spans="1:1">
      <c r="A2016" s="27"/>
    </row>
    <row r="2017" spans="1:1">
      <c r="A2017" s="27"/>
    </row>
    <row r="2018" spans="1:1">
      <c r="A2018" s="27"/>
    </row>
    <row r="2019" spans="1:1">
      <c r="A2019" s="27"/>
    </row>
    <row r="2020" spans="1:1">
      <c r="A2020" s="27"/>
    </row>
    <row r="2021" spans="1:1">
      <c r="A2021" s="27"/>
    </row>
    <row r="2022" spans="1:1">
      <c r="A2022" s="27"/>
    </row>
    <row r="2023" spans="1:1">
      <c r="A2023" s="27"/>
    </row>
    <row r="2024" spans="1:1">
      <c r="A2024" s="27"/>
    </row>
    <row r="2025" spans="1:1">
      <c r="A2025" s="27"/>
    </row>
    <row r="2026" spans="1:1">
      <c r="A2026" s="27"/>
    </row>
    <row r="2027" spans="1:1">
      <c r="A2027" s="27"/>
    </row>
    <row r="2028" spans="1:1">
      <c r="A2028" s="27"/>
    </row>
    <row r="2029" spans="1:1">
      <c r="A2029" s="27"/>
    </row>
    <row r="2030" spans="1:1">
      <c r="A2030" s="27"/>
    </row>
    <row r="2031" spans="1:1">
      <c r="A2031" s="27"/>
    </row>
    <row r="2032" spans="1:1">
      <c r="A2032" s="27"/>
    </row>
    <row r="2033" spans="1:1">
      <c r="A2033" s="27"/>
    </row>
    <row r="2034" spans="1:1">
      <c r="A2034" s="27"/>
    </row>
    <row r="2035" spans="1:1">
      <c r="A2035" s="27"/>
    </row>
    <row r="2036" spans="1:1">
      <c r="A2036" s="27"/>
    </row>
    <row r="2037" spans="1:1">
      <c r="A2037" s="27"/>
    </row>
    <row r="2038" spans="1:1">
      <c r="A2038" s="27"/>
    </row>
    <row r="2039" spans="1:1">
      <c r="A2039" s="27"/>
    </row>
    <row r="2040" spans="1:1">
      <c r="A2040" s="27"/>
    </row>
    <row r="2041" spans="1:1">
      <c r="A2041" s="27"/>
    </row>
    <row r="2042" spans="1:1">
      <c r="A2042" s="27"/>
    </row>
    <row r="2043" spans="1:1">
      <c r="A2043" s="27"/>
    </row>
    <row r="2044" spans="1:1">
      <c r="A2044" s="27"/>
    </row>
    <row r="2045" spans="1:1">
      <c r="A2045" s="27"/>
    </row>
    <row r="2046" spans="1:1">
      <c r="A2046" s="27"/>
    </row>
    <row r="2047" spans="1:1">
      <c r="A2047" s="27"/>
    </row>
    <row r="2048" spans="1:1">
      <c r="A2048" s="27"/>
    </row>
    <row r="2049" spans="1:1">
      <c r="A2049" s="27"/>
    </row>
    <row r="2050" spans="1:1">
      <c r="A2050" s="27"/>
    </row>
    <row r="2051" spans="1:1">
      <c r="A2051" s="27"/>
    </row>
    <row r="2052" spans="1:1">
      <c r="A2052" s="27"/>
    </row>
    <row r="2053" spans="1:1">
      <c r="A2053" s="27"/>
    </row>
    <row r="2054" spans="1:1">
      <c r="A2054" s="27"/>
    </row>
    <row r="2055" spans="1:1">
      <c r="A2055" s="27"/>
    </row>
    <row r="2056" spans="1:1">
      <c r="A2056" s="27"/>
    </row>
    <row r="2057" spans="1:1">
      <c r="A2057" s="27"/>
    </row>
    <row r="2058" spans="1:1">
      <c r="A2058" s="27"/>
    </row>
    <row r="2059" spans="1:1">
      <c r="A2059" s="27"/>
    </row>
    <row r="2060" spans="1:1">
      <c r="A2060" s="27"/>
    </row>
    <row r="2061" spans="1:1">
      <c r="A2061" s="27"/>
    </row>
    <row r="2062" spans="1:1">
      <c r="A2062" s="27"/>
    </row>
    <row r="2063" spans="1:1">
      <c r="A2063" s="27"/>
    </row>
    <row r="2064" spans="1:1">
      <c r="A2064" s="27"/>
    </row>
    <row r="2065" spans="1:1">
      <c r="A2065" s="27"/>
    </row>
    <row r="2066" spans="1:1">
      <c r="A2066" s="27"/>
    </row>
    <row r="2067" spans="1:1">
      <c r="A2067" s="27"/>
    </row>
    <row r="2068" spans="1:1">
      <c r="A2068" s="27"/>
    </row>
    <row r="2069" spans="1:1">
      <c r="A2069" s="27"/>
    </row>
    <row r="2070" spans="1:1">
      <c r="A2070" s="27"/>
    </row>
    <row r="2071" spans="1:1">
      <c r="A2071" s="27"/>
    </row>
    <row r="2072" spans="1:1">
      <c r="A2072" s="27"/>
    </row>
    <row r="2073" spans="1:1">
      <c r="A2073" s="27"/>
    </row>
    <row r="2074" spans="1:1">
      <c r="A2074" s="27"/>
    </row>
    <row r="2075" spans="1:1">
      <c r="A2075" s="27"/>
    </row>
    <row r="2076" spans="1:1">
      <c r="A2076" s="27"/>
    </row>
    <row r="2077" spans="1:1">
      <c r="A2077" s="27"/>
    </row>
    <row r="2078" spans="1:1">
      <c r="A2078" s="27"/>
    </row>
    <row r="2079" spans="1:1">
      <c r="A2079" s="27"/>
    </row>
    <row r="2080" spans="1:1">
      <c r="A2080" s="27"/>
    </row>
    <row r="2081" spans="1:1">
      <c r="A2081" s="27"/>
    </row>
    <row r="2082" spans="1:1">
      <c r="A2082" s="27"/>
    </row>
    <row r="2083" spans="1:1">
      <c r="A2083" s="27"/>
    </row>
    <row r="2084" spans="1:1">
      <c r="A2084" s="27"/>
    </row>
    <row r="2085" spans="1:1">
      <c r="A2085" s="27"/>
    </row>
    <row r="2086" spans="1:1">
      <c r="A2086" s="27"/>
    </row>
    <row r="2087" spans="1:1">
      <c r="A2087" s="27"/>
    </row>
    <row r="2088" spans="1:1">
      <c r="A2088" s="27"/>
    </row>
    <row r="2089" spans="1:1">
      <c r="A2089" s="27"/>
    </row>
    <row r="2090" spans="1:1">
      <c r="A2090" s="27"/>
    </row>
    <row r="2091" spans="1:1">
      <c r="A2091" s="27"/>
    </row>
    <row r="2092" spans="1:1">
      <c r="A2092" s="27"/>
    </row>
    <row r="2093" spans="1:1">
      <c r="A2093" s="27"/>
    </row>
    <row r="2094" spans="1:1">
      <c r="A2094" s="27"/>
    </row>
    <row r="2095" spans="1:1">
      <c r="A2095" s="27"/>
    </row>
    <row r="2096" spans="1:1">
      <c r="A2096" s="27"/>
    </row>
    <row r="2097" spans="1:1">
      <c r="A2097" s="27"/>
    </row>
    <row r="2098" spans="1:1">
      <c r="A2098" s="27"/>
    </row>
    <row r="2099" spans="1:1">
      <c r="A2099" s="27"/>
    </row>
    <row r="2100" spans="1:1">
      <c r="A2100" s="27"/>
    </row>
    <row r="2101" spans="1:1">
      <c r="A2101" s="27"/>
    </row>
    <row r="2102" spans="1:1">
      <c r="A2102" s="27"/>
    </row>
    <row r="2103" spans="1:1">
      <c r="A2103" s="27"/>
    </row>
    <row r="2104" spans="1:1">
      <c r="A2104" s="27"/>
    </row>
    <row r="2105" spans="1:1">
      <c r="A2105" s="27"/>
    </row>
    <row r="2106" spans="1:1">
      <c r="A2106" s="27"/>
    </row>
    <row r="2107" spans="1:1">
      <c r="A2107" s="27"/>
    </row>
    <row r="2108" spans="1:1">
      <c r="A2108" s="27"/>
    </row>
    <row r="2109" spans="1:1">
      <c r="A2109" s="27"/>
    </row>
    <row r="2110" spans="1:1">
      <c r="A2110" s="27"/>
    </row>
    <row r="2111" spans="1:1">
      <c r="A2111" s="27"/>
    </row>
    <row r="2112" spans="1:1">
      <c r="A2112" s="27"/>
    </row>
    <row r="2113" spans="1:1">
      <c r="A2113" s="27"/>
    </row>
    <row r="2114" spans="1:1">
      <c r="A2114" s="27"/>
    </row>
    <row r="2115" spans="1:1">
      <c r="A2115" s="27"/>
    </row>
    <row r="2116" spans="1:1">
      <c r="A2116" s="27"/>
    </row>
    <row r="2117" spans="1:1">
      <c r="A2117" s="27"/>
    </row>
    <row r="2118" spans="1:1">
      <c r="A2118" s="27"/>
    </row>
    <row r="2119" spans="1:1">
      <c r="A2119" s="27"/>
    </row>
    <row r="2120" spans="1:1">
      <c r="A2120" s="27"/>
    </row>
    <row r="2121" spans="1:1">
      <c r="A2121" s="27"/>
    </row>
    <row r="2122" spans="1:1">
      <c r="A2122" s="27"/>
    </row>
    <row r="2123" spans="1:1">
      <c r="A2123" s="27"/>
    </row>
    <row r="2124" spans="1:1">
      <c r="A2124" s="27"/>
    </row>
    <row r="2125" spans="1:1">
      <c r="A2125" s="27"/>
    </row>
    <row r="2126" spans="1:1">
      <c r="A2126" s="27"/>
    </row>
    <row r="2127" spans="1:1">
      <c r="A2127" s="27"/>
    </row>
    <row r="2128" spans="1:1">
      <c r="A2128" s="27"/>
    </row>
    <row r="2129" spans="1:1">
      <c r="A2129" s="27"/>
    </row>
    <row r="2130" spans="1:1">
      <c r="A2130" s="27"/>
    </row>
    <row r="2131" spans="1:1">
      <c r="A2131" s="27"/>
    </row>
    <row r="2132" spans="1:1">
      <c r="A2132" s="27"/>
    </row>
    <row r="2133" spans="1:1">
      <c r="A2133" s="27"/>
    </row>
    <row r="2134" spans="1:1">
      <c r="A2134" s="27"/>
    </row>
    <row r="2135" spans="1:1">
      <c r="A2135" s="27"/>
    </row>
    <row r="2136" spans="1:1">
      <c r="A2136" s="27"/>
    </row>
    <row r="2137" spans="1:1">
      <c r="A2137" s="27"/>
    </row>
    <row r="2138" spans="1:1">
      <c r="A2138" s="27"/>
    </row>
    <row r="2139" spans="1:1">
      <c r="A2139" s="27"/>
    </row>
    <row r="2140" spans="1:1">
      <c r="A2140" s="27"/>
    </row>
    <row r="2141" spans="1:1">
      <c r="A2141" s="27"/>
    </row>
    <row r="2142" spans="1:1">
      <c r="A2142" s="27"/>
    </row>
    <row r="2143" spans="1:1">
      <c r="A2143" s="27"/>
    </row>
    <row r="2144" spans="1:1">
      <c r="A2144" s="27"/>
    </row>
    <row r="2145" spans="1:1">
      <c r="A2145" s="27"/>
    </row>
    <row r="2146" spans="1:1">
      <c r="A2146" s="27"/>
    </row>
    <row r="2147" spans="1:1">
      <c r="A2147" s="27"/>
    </row>
    <row r="2148" spans="1:1">
      <c r="A2148" s="27"/>
    </row>
    <row r="2149" spans="1:1">
      <c r="A2149" s="27"/>
    </row>
    <row r="2150" spans="1:1">
      <c r="A2150" s="27"/>
    </row>
    <row r="2151" spans="1:1">
      <c r="A2151" s="27"/>
    </row>
    <row r="2152" spans="1:1">
      <c r="A2152" s="27"/>
    </row>
    <row r="2153" spans="1:1">
      <c r="A2153" s="27"/>
    </row>
    <row r="2154" spans="1:1">
      <c r="A2154" s="27"/>
    </row>
    <row r="2155" spans="1:1">
      <c r="A2155" s="27"/>
    </row>
    <row r="2156" spans="1:1">
      <c r="A2156" s="27"/>
    </row>
    <row r="2157" spans="1:1">
      <c r="A2157" s="27"/>
    </row>
    <row r="2158" spans="1:1">
      <c r="A2158" s="27"/>
    </row>
    <row r="2159" spans="1:1">
      <c r="A2159" s="27"/>
    </row>
    <row r="2160" spans="1:1">
      <c r="A2160" s="27"/>
    </row>
    <row r="2161" spans="1:1">
      <c r="A2161" s="27"/>
    </row>
    <row r="2162" spans="1:1">
      <c r="A2162" s="27"/>
    </row>
    <row r="2163" spans="1:1">
      <c r="A2163" s="27"/>
    </row>
    <row r="2164" spans="1:1">
      <c r="A2164" s="27"/>
    </row>
    <row r="2165" spans="1:1">
      <c r="A2165" s="27"/>
    </row>
    <row r="2166" spans="1:1">
      <c r="A2166" s="27"/>
    </row>
    <row r="2167" spans="1:1">
      <c r="A2167" s="27"/>
    </row>
    <row r="2168" spans="1:1">
      <c r="A2168" s="27"/>
    </row>
    <row r="2169" spans="1:1">
      <c r="A2169" s="27"/>
    </row>
    <row r="2170" spans="1:1">
      <c r="A2170" s="27"/>
    </row>
    <row r="2171" spans="1:1">
      <c r="A2171" s="27"/>
    </row>
    <row r="2172" spans="1:1">
      <c r="A2172" s="27"/>
    </row>
    <row r="2173" spans="1:1">
      <c r="A2173" s="27"/>
    </row>
    <row r="2174" spans="1:1">
      <c r="A2174" s="27"/>
    </row>
    <row r="2175" spans="1:1">
      <c r="A2175" s="27"/>
    </row>
    <row r="2176" spans="1:1">
      <c r="A2176" s="27"/>
    </row>
    <row r="2177" spans="1:1">
      <c r="A2177" s="27"/>
    </row>
    <row r="2178" spans="1:1">
      <c r="A2178" s="27"/>
    </row>
    <row r="2179" spans="1:1">
      <c r="A2179" s="27"/>
    </row>
    <row r="2180" spans="1:1">
      <c r="A2180" s="27"/>
    </row>
    <row r="2181" spans="1:1">
      <c r="A2181" s="27"/>
    </row>
    <row r="2182" spans="1:1">
      <c r="A2182" s="27"/>
    </row>
    <row r="2183" spans="1:1">
      <c r="A2183" s="27"/>
    </row>
    <row r="2184" spans="1:1">
      <c r="A2184" s="27"/>
    </row>
    <row r="2185" spans="1:1">
      <c r="A2185" s="27"/>
    </row>
    <row r="2186" spans="1:1">
      <c r="A2186" s="27"/>
    </row>
    <row r="2187" spans="1:1">
      <c r="A2187" s="27"/>
    </row>
    <row r="2188" spans="1:1">
      <c r="A2188" s="27"/>
    </row>
    <row r="2189" spans="1:1">
      <c r="A2189" s="27"/>
    </row>
    <row r="2190" spans="1:1">
      <c r="A2190" s="27"/>
    </row>
    <row r="2191" spans="1:1">
      <c r="A2191" s="27"/>
    </row>
    <row r="2192" spans="1:1">
      <c r="A2192" s="27"/>
    </row>
    <row r="2193" spans="1:1">
      <c r="A2193" s="27"/>
    </row>
    <row r="2194" spans="1:1">
      <c r="A2194" s="27"/>
    </row>
    <row r="2195" spans="1:1">
      <c r="A2195" s="27"/>
    </row>
    <row r="2196" spans="1:1">
      <c r="A2196" s="27"/>
    </row>
    <row r="2197" spans="1:1">
      <c r="A2197" s="27"/>
    </row>
    <row r="2198" spans="1:1">
      <c r="A2198" s="27"/>
    </row>
    <row r="2199" spans="1:1">
      <c r="A2199" s="27"/>
    </row>
    <row r="2200" spans="1:1">
      <c r="A2200" s="27"/>
    </row>
    <row r="2201" spans="1:1">
      <c r="A2201" s="27"/>
    </row>
    <row r="2202" spans="1:1">
      <c r="A2202" s="27"/>
    </row>
    <row r="2203" spans="1:1">
      <c r="A2203" s="27"/>
    </row>
    <row r="2204" spans="1:1">
      <c r="A2204" s="27"/>
    </row>
    <row r="2205" spans="1:1">
      <c r="A2205" s="27"/>
    </row>
    <row r="2206" spans="1:1">
      <c r="A2206" s="27"/>
    </row>
    <row r="2207" spans="1:1">
      <c r="A2207" s="27"/>
    </row>
    <row r="2208" spans="1:1">
      <c r="A2208" s="27"/>
    </row>
    <row r="2209" spans="1:1">
      <c r="A2209" s="27"/>
    </row>
    <row r="2210" spans="1:1">
      <c r="A2210" s="27"/>
    </row>
    <row r="2211" spans="1:1">
      <c r="A2211" s="27"/>
    </row>
    <row r="2212" spans="1:1">
      <c r="A2212" s="27"/>
    </row>
    <row r="2213" spans="1:1">
      <c r="A2213" s="27"/>
    </row>
    <row r="2214" spans="1:1">
      <c r="A2214" s="27"/>
    </row>
    <row r="2215" spans="1:1">
      <c r="A2215" s="27"/>
    </row>
    <row r="2216" spans="1:1">
      <c r="A2216" s="27"/>
    </row>
    <row r="2217" spans="1:1">
      <c r="A2217" s="27"/>
    </row>
    <row r="2218" spans="1:1">
      <c r="A2218" s="27"/>
    </row>
    <row r="2219" spans="1:1">
      <c r="A2219" s="27"/>
    </row>
    <row r="2220" spans="1:1">
      <c r="A2220" s="27"/>
    </row>
    <row r="2221" spans="1:1">
      <c r="A2221" s="27"/>
    </row>
    <row r="2222" spans="1:1">
      <c r="A2222" s="27"/>
    </row>
    <row r="2223" spans="1:1">
      <c r="A2223" s="27"/>
    </row>
    <row r="2224" spans="1:1">
      <c r="A2224" s="27"/>
    </row>
    <row r="2225" spans="1:1">
      <c r="A2225" s="27"/>
    </row>
    <row r="2226" spans="1:1">
      <c r="A2226" s="27"/>
    </row>
    <row r="2227" spans="1:1">
      <c r="A2227" s="27"/>
    </row>
    <row r="2228" spans="1:1">
      <c r="A2228" s="27"/>
    </row>
    <row r="2229" spans="1:1">
      <c r="A2229" s="27"/>
    </row>
    <row r="2230" spans="1:1">
      <c r="A2230" s="27"/>
    </row>
    <row r="2231" spans="1:1">
      <c r="A2231" s="27"/>
    </row>
    <row r="2232" spans="1:1">
      <c r="A2232" s="27"/>
    </row>
    <row r="2233" spans="1:1">
      <c r="A2233" s="27"/>
    </row>
    <row r="2234" spans="1:1">
      <c r="A2234" s="27"/>
    </row>
    <row r="2235" spans="1:1">
      <c r="A2235" s="27"/>
    </row>
    <row r="2236" spans="1:1">
      <c r="A2236" s="27"/>
    </row>
    <row r="2237" spans="1:1">
      <c r="A2237" s="27"/>
    </row>
    <row r="2238" spans="1:1">
      <c r="A2238" s="27"/>
    </row>
    <row r="2239" spans="1:1">
      <c r="A2239" s="27"/>
    </row>
    <row r="2240" spans="1:1">
      <c r="A2240" s="27"/>
    </row>
    <row r="2241" spans="1:1">
      <c r="A2241" s="27"/>
    </row>
    <row r="2242" spans="1:1">
      <c r="A2242" s="27"/>
    </row>
    <row r="2243" spans="1:1">
      <c r="A2243" s="27"/>
    </row>
    <row r="2244" spans="1:1">
      <c r="A2244" s="27"/>
    </row>
    <row r="2245" spans="1:1">
      <c r="A2245" s="27"/>
    </row>
    <row r="2246" spans="1:1">
      <c r="A2246" s="27"/>
    </row>
    <row r="2247" spans="1:1">
      <c r="A2247" s="27"/>
    </row>
    <row r="2248" spans="1:1">
      <c r="A2248" s="27"/>
    </row>
    <row r="2249" spans="1:1">
      <c r="A2249" s="27"/>
    </row>
    <row r="2250" spans="1:1">
      <c r="A2250" s="27"/>
    </row>
    <row r="2251" spans="1:1">
      <c r="A2251" s="27"/>
    </row>
    <row r="2252" spans="1:1">
      <c r="A2252" s="27"/>
    </row>
    <row r="2253" spans="1:1">
      <c r="A2253" s="27"/>
    </row>
    <row r="2254" spans="1:1">
      <c r="A2254" s="27"/>
    </row>
    <row r="2255" spans="1:1">
      <c r="A2255" s="27"/>
    </row>
    <row r="2256" spans="1:1">
      <c r="A2256" s="27"/>
    </row>
    <row r="2257" spans="1:1">
      <c r="A2257" s="27"/>
    </row>
    <row r="2258" spans="1:1">
      <c r="A2258" s="27"/>
    </row>
    <row r="2259" spans="1:1">
      <c r="A2259" s="27"/>
    </row>
    <row r="2260" spans="1:1">
      <c r="A2260" s="27"/>
    </row>
    <row r="2261" spans="1:1">
      <c r="A2261" s="27"/>
    </row>
    <row r="2262" spans="1:1">
      <c r="A2262" s="27"/>
    </row>
    <row r="2263" spans="1:1">
      <c r="A2263" s="27"/>
    </row>
    <row r="2264" spans="1:1">
      <c r="A2264" s="27"/>
    </row>
    <row r="2265" spans="1:1">
      <c r="A2265" s="27"/>
    </row>
    <row r="2266" spans="1:1">
      <c r="A2266" s="27"/>
    </row>
    <row r="2267" spans="1:1">
      <c r="A2267" s="27"/>
    </row>
    <row r="2268" spans="1:1">
      <c r="A2268" s="27"/>
    </row>
    <row r="2269" spans="1:1">
      <c r="A2269" s="27"/>
    </row>
    <row r="2270" spans="1:1">
      <c r="A2270" s="27"/>
    </row>
    <row r="2271" spans="1:1">
      <c r="A2271" s="27"/>
    </row>
    <row r="2272" spans="1:1">
      <c r="A2272" s="27"/>
    </row>
    <row r="2273" spans="1:1">
      <c r="A2273" s="27"/>
    </row>
    <row r="2274" spans="1:1">
      <c r="A2274" s="27"/>
    </row>
    <row r="2275" spans="1:1">
      <c r="A2275" s="27"/>
    </row>
    <row r="2276" spans="1:1">
      <c r="A2276" s="27"/>
    </row>
    <row r="2277" spans="1:1">
      <c r="A2277" s="27"/>
    </row>
    <row r="2278" spans="1:1">
      <c r="A2278" s="27"/>
    </row>
    <row r="2279" spans="1:1">
      <c r="A2279" s="27"/>
    </row>
    <row r="2280" spans="1:1">
      <c r="A2280" s="27"/>
    </row>
    <row r="2281" spans="1:1">
      <c r="A2281" s="27"/>
    </row>
    <row r="2282" spans="1:1">
      <c r="A2282" s="27"/>
    </row>
    <row r="2283" spans="1:1">
      <c r="A2283" s="27"/>
    </row>
    <row r="2284" spans="1:1">
      <c r="A2284" s="27"/>
    </row>
    <row r="2285" spans="1:1">
      <c r="A2285" s="27"/>
    </row>
    <row r="2286" spans="1:1">
      <c r="A2286" s="27"/>
    </row>
    <row r="2287" spans="1:1">
      <c r="A2287" s="27"/>
    </row>
    <row r="2288" spans="1:1">
      <c r="A2288" s="27"/>
    </row>
    <row r="2289" spans="1:1">
      <c r="A2289" s="27"/>
    </row>
    <row r="2290" spans="1:1">
      <c r="A2290" s="27"/>
    </row>
    <row r="2291" spans="1:1">
      <c r="A2291" s="27"/>
    </row>
    <row r="2292" spans="1:1">
      <c r="A2292" s="27"/>
    </row>
    <row r="2293" spans="1:1">
      <c r="A2293" s="27"/>
    </row>
    <row r="2294" spans="1:1">
      <c r="A2294" s="27"/>
    </row>
    <row r="2295" spans="1:1">
      <c r="A2295" s="27"/>
    </row>
    <row r="2296" spans="1:1">
      <c r="A2296" s="27"/>
    </row>
    <row r="2297" spans="1:1">
      <c r="A2297" s="27"/>
    </row>
    <row r="2298" spans="1:1">
      <c r="A2298" s="27"/>
    </row>
    <row r="2299" spans="1:1">
      <c r="A2299" s="27"/>
    </row>
    <row r="2300" spans="1:1">
      <c r="A2300" s="27"/>
    </row>
    <row r="2301" spans="1:1">
      <c r="A2301" s="27"/>
    </row>
    <row r="2302" spans="1:1">
      <c r="A2302" s="27"/>
    </row>
    <row r="2303" spans="1:1">
      <c r="A2303" s="27"/>
    </row>
    <row r="2304" spans="1:1">
      <c r="A2304" s="27"/>
    </row>
    <row r="2305" spans="1:1">
      <c r="A2305" s="27"/>
    </row>
    <row r="2306" spans="1:1">
      <c r="A2306" s="27"/>
    </row>
    <row r="2307" spans="1:1">
      <c r="A2307" s="27"/>
    </row>
    <row r="2308" spans="1:1">
      <c r="A2308" s="27"/>
    </row>
    <row r="2309" spans="1:1">
      <c r="A2309" s="27"/>
    </row>
    <row r="2310" spans="1:1">
      <c r="A2310" s="27"/>
    </row>
    <row r="2311" spans="1:1">
      <c r="A2311" s="27"/>
    </row>
    <row r="2312" spans="1:1">
      <c r="A2312" s="27"/>
    </row>
    <row r="2313" spans="1:1">
      <c r="A2313" s="27"/>
    </row>
    <row r="2314" spans="1:1">
      <c r="A2314" s="27"/>
    </row>
    <row r="2315" spans="1:1">
      <c r="A2315" s="27"/>
    </row>
    <row r="2316" spans="1:1">
      <c r="A2316" s="27"/>
    </row>
    <row r="2317" spans="1:1">
      <c r="A2317" s="27"/>
    </row>
    <row r="2318" spans="1:1">
      <c r="A2318" s="27"/>
    </row>
    <row r="2319" spans="1:1">
      <c r="A2319" s="27"/>
    </row>
    <row r="2320" spans="1:1">
      <c r="A2320" s="27"/>
    </row>
    <row r="2321" spans="1:1">
      <c r="A2321" s="27"/>
    </row>
    <row r="2322" spans="1:1">
      <c r="A2322" s="27"/>
    </row>
    <row r="2323" spans="1:1">
      <c r="A2323" s="27"/>
    </row>
    <row r="2324" spans="1:1">
      <c r="A2324" s="27"/>
    </row>
    <row r="2325" spans="1:1">
      <c r="A2325" s="27"/>
    </row>
    <row r="2326" spans="1:1">
      <c r="A2326" s="27"/>
    </row>
    <row r="2327" spans="1:1">
      <c r="A2327" s="27"/>
    </row>
    <row r="2328" spans="1:1">
      <c r="A2328" s="27"/>
    </row>
    <row r="2329" spans="1:1">
      <c r="A2329" s="27"/>
    </row>
    <row r="2330" spans="1:1">
      <c r="A2330" s="27"/>
    </row>
    <row r="2331" spans="1:1">
      <c r="A2331" s="27"/>
    </row>
    <row r="2332" spans="1:1">
      <c r="A2332" s="27"/>
    </row>
    <row r="2333" spans="1:1">
      <c r="A2333" s="27"/>
    </row>
    <row r="2334" spans="1:1">
      <c r="A2334" s="27"/>
    </row>
    <row r="2335" spans="1:1">
      <c r="A2335" s="27"/>
    </row>
    <row r="2336" spans="1:1">
      <c r="A2336" s="27"/>
    </row>
    <row r="2337" spans="1:1">
      <c r="A2337" s="27"/>
    </row>
    <row r="2338" spans="1:1">
      <c r="A2338" s="27"/>
    </row>
    <row r="2339" spans="1:1">
      <c r="A2339" s="27"/>
    </row>
    <row r="2340" spans="1:1">
      <c r="A2340" s="27"/>
    </row>
    <row r="2341" spans="1:1">
      <c r="A2341" s="27"/>
    </row>
    <row r="2342" spans="1:1">
      <c r="A2342" s="27"/>
    </row>
    <row r="2343" spans="1:1">
      <c r="A2343" s="27"/>
    </row>
    <row r="2344" spans="1:1">
      <c r="A2344" s="27"/>
    </row>
    <row r="2345" spans="1:1">
      <c r="A2345" s="27"/>
    </row>
    <row r="2346" spans="1:1">
      <c r="A2346" s="27"/>
    </row>
    <row r="2347" spans="1:1">
      <c r="A2347" s="27"/>
    </row>
    <row r="2348" spans="1:1">
      <c r="A2348" s="27"/>
    </row>
    <row r="2349" spans="1:1">
      <c r="A2349" s="27"/>
    </row>
    <row r="2350" spans="1:1">
      <c r="A2350" s="27"/>
    </row>
    <row r="2351" spans="1:1">
      <c r="A2351" s="27"/>
    </row>
    <row r="2352" spans="1:1">
      <c r="A2352" s="27"/>
    </row>
    <row r="2353" spans="1:1">
      <c r="A2353" s="27"/>
    </row>
    <row r="2354" spans="1:1">
      <c r="A2354" s="27"/>
    </row>
    <row r="2355" spans="1:1">
      <c r="A2355" s="27"/>
    </row>
    <row r="2356" spans="1:1">
      <c r="A2356" s="27"/>
    </row>
    <row r="2357" spans="1:1">
      <c r="A2357" s="27"/>
    </row>
    <row r="2358" spans="1:1">
      <c r="A2358" s="27"/>
    </row>
    <row r="2359" spans="1:1">
      <c r="A2359" s="27"/>
    </row>
    <row r="2360" spans="1:1">
      <c r="A2360" s="27"/>
    </row>
    <row r="2361" spans="1:1">
      <c r="A2361" s="27"/>
    </row>
    <row r="2362" spans="1:1">
      <c r="A2362" s="27"/>
    </row>
    <row r="2363" spans="1:1">
      <c r="A2363" s="27"/>
    </row>
    <row r="2364" spans="1:1">
      <c r="A2364" s="27"/>
    </row>
    <row r="2365" spans="1:1">
      <c r="A2365" s="27"/>
    </row>
    <row r="2366" spans="1:1">
      <c r="A2366" s="27"/>
    </row>
    <row r="2367" spans="1:1">
      <c r="A2367" s="27"/>
    </row>
    <row r="2368" spans="1:1">
      <c r="A2368" s="27"/>
    </row>
    <row r="2369" spans="1:1">
      <c r="A2369" s="27"/>
    </row>
    <row r="2370" spans="1:1">
      <c r="A2370" s="27"/>
    </row>
    <row r="2371" spans="1:1">
      <c r="A2371" s="27"/>
    </row>
    <row r="2372" spans="1:1">
      <c r="A2372" s="27"/>
    </row>
    <row r="2373" spans="1:1">
      <c r="A2373" s="27"/>
    </row>
    <row r="2374" spans="1:1">
      <c r="A2374" s="27"/>
    </row>
    <row r="2375" spans="1:1">
      <c r="A2375" s="27"/>
    </row>
    <row r="2376" spans="1:1">
      <c r="A2376" s="27"/>
    </row>
    <row r="2377" spans="1:1">
      <c r="A2377" s="27"/>
    </row>
    <row r="2378" spans="1:1">
      <c r="A2378" s="27"/>
    </row>
    <row r="2379" spans="1:1">
      <c r="A2379" s="27"/>
    </row>
    <row r="2380" spans="1:1">
      <c r="A2380" s="27"/>
    </row>
    <row r="2381" spans="1:1">
      <c r="A2381" s="27"/>
    </row>
    <row r="2382" spans="1:1">
      <c r="A2382" s="27"/>
    </row>
    <row r="2383" spans="1:1">
      <c r="A2383" s="27"/>
    </row>
    <row r="2384" spans="1:1">
      <c r="A2384" s="27"/>
    </row>
    <row r="2385" spans="1:1">
      <c r="A2385" s="27"/>
    </row>
    <row r="2386" spans="1:1">
      <c r="A2386" s="27"/>
    </row>
    <row r="2387" spans="1:1">
      <c r="A2387" s="27"/>
    </row>
    <row r="2388" spans="1:1">
      <c r="A2388" s="27"/>
    </row>
    <row r="2389" spans="1:1">
      <c r="A2389" s="27"/>
    </row>
    <row r="2390" spans="1:1">
      <c r="A2390" s="27"/>
    </row>
    <row r="2391" spans="1:1">
      <c r="A2391" s="27"/>
    </row>
    <row r="2392" spans="1:1">
      <c r="A2392" s="27"/>
    </row>
    <row r="2393" spans="1:1">
      <c r="A2393" s="27"/>
    </row>
    <row r="2394" spans="1:1">
      <c r="A2394" s="27"/>
    </row>
    <row r="2395" spans="1:1">
      <c r="A2395" s="27"/>
    </row>
    <row r="2396" spans="1:1">
      <c r="A2396" s="27"/>
    </row>
    <row r="2397" spans="1:1">
      <c r="A2397" s="27"/>
    </row>
    <row r="2398" spans="1:1">
      <c r="A2398" s="27"/>
    </row>
    <row r="2399" spans="1:1">
      <c r="A2399" s="27"/>
    </row>
    <row r="2400" spans="1:1">
      <c r="A2400" s="27"/>
    </row>
    <row r="2401" spans="1:1">
      <c r="A2401" s="27"/>
    </row>
    <row r="2402" spans="1:1">
      <c r="A2402" s="27"/>
    </row>
    <row r="2403" spans="1:1">
      <c r="A2403" s="27"/>
    </row>
    <row r="2404" spans="1:1">
      <c r="A2404" s="27"/>
    </row>
    <row r="2405" spans="1:1">
      <c r="A2405" s="27"/>
    </row>
    <row r="2406" spans="1:1">
      <c r="A2406" s="27"/>
    </row>
    <row r="2407" spans="1:1">
      <c r="A2407" s="27"/>
    </row>
    <row r="2408" spans="1:1">
      <c r="A2408" s="27"/>
    </row>
    <row r="2409" spans="1:1">
      <c r="A2409" s="27"/>
    </row>
    <row r="2410" spans="1:1">
      <c r="A2410" s="27"/>
    </row>
    <row r="2411" spans="1:1">
      <c r="A2411" s="27"/>
    </row>
    <row r="2412" spans="1:1">
      <c r="A2412" s="27"/>
    </row>
    <row r="2413" spans="1:1">
      <c r="A2413" s="27"/>
    </row>
    <row r="2414" spans="1:1">
      <c r="A2414" s="27"/>
    </row>
    <row r="2415" spans="1:1">
      <c r="A2415" s="27"/>
    </row>
    <row r="2416" spans="1:1">
      <c r="A2416" s="27"/>
    </row>
    <row r="2417" spans="1:1">
      <c r="A2417" s="27"/>
    </row>
    <row r="2418" spans="1:1">
      <c r="A2418" s="27"/>
    </row>
    <row r="2419" spans="1:1">
      <c r="A2419" s="27"/>
    </row>
    <row r="2420" spans="1:1">
      <c r="A2420" s="27"/>
    </row>
    <row r="2421" spans="1:1">
      <c r="A2421" s="27"/>
    </row>
    <row r="2422" spans="1:1">
      <c r="A2422" s="27"/>
    </row>
    <row r="2423" spans="1:1">
      <c r="A2423" s="27"/>
    </row>
    <row r="2424" spans="1:1">
      <c r="A2424" s="27"/>
    </row>
    <row r="2425" spans="1:1">
      <c r="A2425" s="27"/>
    </row>
    <row r="2426" spans="1:1">
      <c r="A2426" s="27"/>
    </row>
    <row r="2427" spans="1:1">
      <c r="A2427" s="27"/>
    </row>
    <row r="2428" spans="1:1">
      <c r="A2428" s="27"/>
    </row>
    <row r="2429" spans="1:1">
      <c r="A2429" s="27"/>
    </row>
    <row r="2430" spans="1:1">
      <c r="A2430" s="27"/>
    </row>
    <row r="2431" spans="1:1">
      <c r="A2431" s="27"/>
    </row>
    <row r="2432" spans="1:1">
      <c r="A2432" s="27"/>
    </row>
    <row r="2433" spans="1:1">
      <c r="A2433" s="27"/>
    </row>
    <row r="2434" spans="1:1">
      <c r="A2434" s="27"/>
    </row>
    <row r="2435" spans="1:1">
      <c r="A2435" s="27"/>
    </row>
    <row r="2436" spans="1:1">
      <c r="A2436" s="27"/>
    </row>
    <row r="2437" spans="1:1">
      <c r="A2437" s="27"/>
    </row>
    <row r="2438" spans="1:1">
      <c r="A2438" s="27"/>
    </row>
    <row r="2439" spans="1:1">
      <c r="A2439" s="27"/>
    </row>
    <row r="2440" spans="1:1">
      <c r="A2440" s="27"/>
    </row>
    <row r="2441" spans="1:1">
      <c r="A2441" s="27"/>
    </row>
    <row r="2442" spans="1:1">
      <c r="A2442" s="27"/>
    </row>
    <row r="2443" spans="1:1">
      <c r="A2443" s="27"/>
    </row>
    <row r="2444" spans="1:1">
      <c r="A2444" s="27"/>
    </row>
    <row r="2445" spans="1:1">
      <c r="A2445" s="27"/>
    </row>
    <row r="2446" spans="1:1">
      <c r="A2446" s="27"/>
    </row>
    <row r="2447" spans="1:1">
      <c r="A2447" s="27"/>
    </row>
    <row r="2448" spans="1:1">
      <c r="A2448" s="27"/>
    </row>
    <row r="2449" spans="1:1">
      <c r="A2449" s="27"/>
    </row>
    <row r="2450" spans="1:1">
      <c r="A2450" s="27"/>
    </row>
    <row r="2451" spans="1:1">
      <c r="A2451" s="27"/>
    </row>
    <row r="2452" spans="1:1">
      <c r="A2452" s="27"/>
    </row>
    <row r="2453" spans="1:1">
      <c r="A2453" s="27"/>
    </row>
    <row r="2454" spans="1:1">
      <c r="A2454" s="27"/>
    </row>
    <row r="2455" spans="1:1">
      <c r="A2455" s="27"/>
    </row>
    <row r="2456" spans="1:1">
      <c r="A2456" s="27"/>
    </row>
    <row r="2457" spans="1:1">
      <c r="A2457" s="27"/>
    </row>
    <row r="2458" spans="1:1">
      <c r="A2458" s="27"/>
    </row>
    <row r="2459" spans="1:1">
      <c r="A2459" s="27"/>
    </row>
    <row r="2460" spans="1:1">
      <c r="A2460" s="27"/>
    </row>
    <row r="2461" spans="1:1">
      <c r="A2461" s="27"/>
    </row>
    <row r="2462" spans="1:1">
      <c r="A2462" s="27"/>
    </row>
    <row r="2463" spans="1:1">
      <c r="A2463" s="27"/>
    </row>
    <row r="2464" spans="1:1">
      <c r="A2464" s="27"/>
    </row>
    <row r="2465" spans="1:1">
      <c r="A2465" s="27"/>
    </row>
    <row r="2466" spans="1:1">
      <c r="A2466" s="27"/>
    </row>
    <row r="2467" spans="1:1">
      <c r="A2467" s="27"/>
    </row>
    <row r="2468" spans="1:1">
      <c r="A2468" s="27"/>
    </row>
    <row r="2469" spans="1:1">
      <c r="A2469" s="27"/>
    </row>
    <row r="2470" spans="1:1">
      <c r="A2470" s="27"/>
    </row>
    <row r="2471" spans="1:1">
      <c r="A2471" s="27"/>
    </row>
    <row r="2472" spans="1:1">
      <c r="A2472" s="27"/>
    </row>
    <row r="2473" spans="1:1">
      <c r="A2473" s="27"/>
    </row>
    <row r="2474" spans="1:1">
      <c r="A2474" s="27"/>
    </row>
    <row r="2475" spans="1:1">
      <c r="A2475" s="27"/>
    </row>
    <row r="2476" spans="1:1">
      <c r="A2476" s="27"/>
    </row>
    <row r="2477" spans="1:1">
      <c r="A2477" s="27"/>
    </row>
    <row r="2478" spans="1:1">
      <c r="A2478" s="27"/>
    </row>
    <row r="2479" spans="1:1">
      <c r="A2479" s="27"/>
    </row>
    <row r="2480" spans="1:1">
      <c r="A2480" s="27"/>
    </row>
    <row r="2481" spans="1:1">
      <c r="A2481" s="27"/>
    </row>
    <row r="2482" spans="1:1">
      <c r="A2482" s="27"/>
    </row>
    <row r="2483" spans="1:1">
      <c r="A2483" s="27"/>
    </row>
    <row r="2484" spans="1:1">
      <c r="A2484" s="27"/>
    </row>
    <row r="2485" spans="1:1">
      <c r="A2485" s="27"/>
    </row>
    <row r="2486" spans="1:1">
      <c r="A2486" s="27"/>
    </row>
    <row r="2487" spans="1:1">
      <c r="A2487" s="27"/>
    </row>
    <row r="2488" spans="1:1">
      <c r="A2488" s="27"/>
    </row>
    <row r="2489" spans="1:1">
      <c r="A2489" s="27"/>
    </row>
    <row r="2490" spans="1:1">
      <c r="A2490" s="27"/>
    </row>
    <row r="2491" spans="1:1">
      <c r="A2491" s="27"/>
    </row>
    <row r="2492" spans="1:1">
      <c r="A2492" s="27"/>
    </row>
    <row r="2493" spans="1:1">
      <c r="A2493" s="27"/>
    </row>
    <row r="2494" spans="1:1">
      <c r="A2494" s="27"/>
    </row>
    <row r="2495" spans="1:1">
      <c r="A2495" s="27"/>
    </row>
    <row r="2496" spans="1:1">
      <c r="A2496" s="27"/>
    </row>
    <row r="2497" spans="1:1">
      <c r="A2497" s="27"/>
    </row>
    <row r="2498" spans="1:1">
      <c r="A2498" s="27"/>
    </row>
    <row r="2499" spans="1:1">
      <c r="A2499" s="27"/>
    </row>
    <row r="2500" spans="1:1">
      <c r="A2500" s="27"/>
    </row>
    <row r="2501" spans="1:1">
      <c r="A2501" s="27"/>
    </row>
    <row r="2502" spans="1:1">
      <c r="A2502" s="27"/>
    </row>
    <row r="2503" spans="1:1">
      <c r="A2503" s="27"/>
    </row>
    <row r="2504" spans="1:1">
      <c r="A2504" s="27"/>
    </row>
    <row r="2505" spans="1:1">
      <c r="A2505" s="27"/>
    </row>
    <row r="2506" spans="1:1">
      <c r="A2506" s="27"/>
    </row>
    <row r="2507" spans="1:1">
      <c r="A2507" s="27"/>
    </row>
    <row r="2508" spans="1:1">
      <c r="A2508" s="27"/>
    </row>
    <row r="2509" spans="1:1">
      <c r="A2509" s="27"/>
    </row>
    <row r="2510" spans="1:1">
      <c r="A2510" s="27"/>
    </row>
    <row r="2511" spans="1:1">
      <c r="A2511" s="27"/>
    </row>
    <row r="2512" spans="1:1">
      <c r="A2512" s="27"/>
    </row>
    <row r="2513" spans="1:1">
      <c r="A2513" s="27"/>
    </row>
    <row r="2514" spans="1:1">
      <c r="A2514" s="27"/>
    </row>
    <row r="2515" spans="1:1">
      <c r="A2515" s="27"/>
    </row>
    <row r="2516" spans="1:1">
      <c r="A2516" s="27"/>
    </row>
    <row r="2517" spans="1:1">
      <c r="A2517" s="27"/>
    </row>
    <row r="2518" spans="1:1">
      <c r="A2518" s="27"/>
    </row>
    <row r="2519" spans="1:1">
      <c r="A2519" s="27"/>
    </row>
    <row r="2520" spans="1:1">
      <c r="A2520" s="27"/>
    </row>
    <row r="2521" spans="1:1">
      <c r="A2521" s="27"/>
    </row>
    <row r="2522" spans="1:1">
      <c r="A2522" s="27"/>
    </row>
    <row r="2523" spans="1:1">
      <c r="A2523" s="27"/>
    </row>
    <row r="2524" spans="1:1">
      <c r="A2524" s="27"/>
    </row>
    <row r="2525" spans="1:1">
      <c r="A2525" s="27"/>
    </row>
    <row r="2526" spans="1:1">
      <c r="A2526" s="27"/>
    </row>
    <row r="2527" spans="1:1">
      <c r="A2527" s="27"/>
    </row>
    <row r="2528" spans="1:1">
      <c r="A2528" s="27"/>
    </row>
    <row r="2529" spans="1:1">
      <c r="A2529" s="27"/>
    </row>
    <row r="2530" spans="1:1">
      <c r="A2530" s="27"/>
    </row>
    <row r="2531" spans="1:1">
      <c r="A2531" s="27"/>
    </row>
    <row r="2532" spans="1:1">
      <c r="A2532" s="27"/>
    </row>
    <row r="2533" spans="1:1">
      <c r="A2533" s="27"/>
    </row>
    <row r="2534" spans="1:1">
      <c r="A2534" s="27"/>
    </row>
    <row r="2535" spans="1:1">
      <c r="A2535" s="27"/>
    </row>
    <row r="2536" spans="1:1">
      <c r="A2536" s="27"/>
    </row>
    <row r="2537" spans="1:1">
      <c r="A2537" s="27"/>
    </row>
    <row r="2538" spans="1:1">
      <c r="A2538" s="27"/>
    </row>
    <row r="2539" spans="1:1">
      <c r="A2539" s="27"/>
    </row>
    <row r="2540" spans="1:1">
      <c r="A2540" s="27"/>
    </row>
    <row r="2541" spans="1:1">
      <c r="A2541" s="27"/>
    </row>
    <row r="2542" spans="1:1">
      <c r="A2542" s="27"/>
    </row>
    <row r="2543" spans="1:1">
      <c r="A2543" s="27"/>
    </row>
    <row r="2544" spans="1:1">
      <c r="A2544" s="27"/>
    </row>
    <row r="2545" spans="1:1">
      <c r="A2545" s="27"/>
    </row>
    <row r="2546" spans="1:1">
      <c r="A2546" s="27"/>
    </row>
    <row r="2547" spans="1:1">
      <c r="A2547" s="27"/>
    </row>
    <row r="2548" spans="1:1">
      <c r="A2548" s="27"/>
    </row>
    <row r="2549" spans="1:1">
      <c r="A2549" s="27"/>
    </row>
    <row r="2550" spans="1:1">
      <c r="A2550" s="27"/>
    </row>
    <row r="2551" spans="1:1">
      <c r="A2551" s="27"/>
    </row>
    <row r="2552" spans="1:1">
      <c r="A2552" s="27"/>
    </row>
    <row r="2553" spans="1:1">
      <c r="A2553" s="27"/>
    </row>
    <row r="2554" spans="1:1">
      <c r="A2554" s="27"/>
    </row>
    <row r="2555" spans="1:1">
      <c r="A2555" s="27"/>
    </row>
    <row r="2556" spans="1:1">
      <c r="A2556" s="27"/>
    </row>
    <row r="2557" spans="1:1">
      <c r="A2557" s="27"/>
    </row>
    <row r="2558" spans="1:1">
      <c r="A2558" s="27"/>
    </row>
    <row r="2559" spans="1:1">
      <c r="A2559" s="27"/>
    </row>
    <row r="2560" spans="1:1">
      <c r="A2560" s="27"/>
    </row>
    <row r="2561" spans="1:1">
      <c r="A2561" s="27"/>
    </row>
    <row r="2562" spans="1:1">
      <c r="A2562" s="27"/>
    </row>
    <row r="2563" spans="1:1">
      <c r="A2563" s="27"/>
    </row>
    <row r="2564" spans="1:1">
      <c r="A2564" s="27"/>
    </row>
    <row r="2565" spans="1:1">
      <c r="A2565" s="27"/>
    </row>
    <row r="2566" spans="1:1">
      <c r="A2566" s="27"/>
    </row>
    <row r="2567" spans="1:1">
      <c r="A2567" s="27"/>
    </row>
    <row r="2568" spans="1:1">
      <c r="A2568" s="27"/>
    </row>
    <row r="2569" spans="1:1">
      <c r="A2569" s="27"/>
    </row>
    <row r="2570" spans="1:1">
      <c r="A2570" s="27"/>
    </row>
    <row r="2571" spans="1:1">
      <c r="A2571" s="27"/>
    </row>
    <row r="2572" spans="1:1">
      <c r="A2572" s="27"/>
    </row>
    <row r="2573" spans="1:1">
      <c r="A2573" s="27"/>
    </row>
    <row r="2574" spans="1:1">
      <c r="A2574" s="27"/>
    </row>
    <row r="2575" spans="1:1">
      <c r="A2575" s="27"/>
    </row>
    <row r="2576" spans="1:1">
      <c r="A2576" s="27"/>
    </row>
    <row r="2577" spans="1:1">
      <c r="A2577" s="27"/>
    </row>
    <row r="2578" spans="1:1">
      <c r="A2578" s="27"/>
    </row>
    <row r="2579" spans="1:1">
      <c r="A2579" s="27"/>
    </row>
    <row r="2580" spans="1:1">
      <c r="A2580" s="27"/>
    </row>
    <row r="2581" spans="1:1">
      <c r="A2581" s="27"/>
    </row>
    <row r="2582" spans="1:1">
      <c r="A2582" s="27"/>
    </row>
    <row r="2583" spans="1:1">
      <c r="A2583" s="27"/>
    </row>
    <row r="2584" spans="1:1">
      <c r="A2584" s="27"/>
    </row>
    <row r="2585" spans="1:1">
      <c r="A2585" s="27"/>
    </row>
    <row r="2586" spans="1:1">
      <c r="A2586" s="27"/>
    </row>
    <row r="2587" spans="1:1">
      <c r="A2587" s="27"/>
    </row>
    <row r="2588" spans="1:1">
      <c r="A2588" s="27"/>
    </row>
    <row r="2589" spans="1:1">
      <c r="A2589" s="27"/>
    </row>
    <row r="2590" spans="1:1">
      <c r="A2590" s="27"/>
    </row>
    <row r="2591" spans="1:1">
      <c r="A2591" s="27"/>
    </row>
    <row r="2592" spans="1:1">
      <c r="A2592" s="27"/>
    </row>
    <row r="2593" spans="1:1">
      <c r="A2593" s="27"/>
    </row>
    <row r="2594" spans="1:1">
      <c r="A2594" s="27"/>
    </row>
    <row r="2595" spans="1:1">
      <c r="A2595" s="27"/>
    </row>
    <row r="2596" spans="1:1">
      <c r="A2596" s="27"/>
    </row>
    <row r="2597" spans="1:1">
      <c r="A2597" s="27"/>
    </row>
    <row r="2598" spans="1:1">
      <c r="A2598" s="27"/>
    </row>
    <row r="2599" spans="1:1">
      <c r="A2599" s="27"/>
    </row>
    <row r="2600" spans="1:1">
      <c r="A2600" s="27"/>
    </row>
    <row r="2601" spans="1:1">
      <c r="A2601" s="27"/>
    </row>
    <row r="2602" spans="1:1">
      <c r="A2602" s="27"/>
    </row>
    <row r="2603" spans="1:1">
      <c r="A2603" s="27"/>
    </row>
    <row r="2604" spans="1:1">
      <c r="A2604" s="27"/>
    </row>
    <row r="2605" spans="1:1">
      <c r="A2605" s="27"/>
    </row>
    <row r="2606" spans="1:1">
      <c r="A2606" s="27"/>
    </row>
    <row r="2607" spans="1:1">
      <c r="A2607" s="27"/>
    </row>
    <row r="2608" spans="1:1">
      <c r="A2608" s="27"/>
    </row>
    <row r="2609" spans="1:1">
      <c r="A2609" s="27"/>
    </row>
    <row r="2610" spans="1:1">
      <c r="A2610" s="27"/>
    </row>
    <row r="2611" spans="1:1">
      <c r="A2611" s="27"/>
    </row>
    <row r="2612" spans="1:1">
      <c r="A2612" s="27"/>
    </row>
    <row r="2613" spans="1:1">
      <c r="A2613" s="27"/>
    </row>
    <row r="2614" spans="1:1">
      <c r="A2614" s="27"/>
    </row>
    <row r="2615" spans="1:1">
      <c r="A2615" s="27"/>
    </row>
    <row r="2616" spans="1:1">
      <c r="A2616" s="27"/>
    </row>
    <row r="2617" spans="1:1">
      <c r="A2617" s="27"/>
    </row>
    <row r="2618" spans="1:1">
      <c r="A2618" s="27"/>
    </row>
    <row r="2619" spans="1:1">
      <c r="A2619" s="27"/>
    </row>
    <row r="2620" spans="1:1">
      <c r="A2620" s="27"/>
    </row>
    <row r="2621" spans="1:1">
      <c r="A2621" s="27"/>
    </row>
    <row r="2622" spans="1:1">
      <c r="A2622" s="27"/>
    </row>
    <row r="2623" spans="1:1">
      <c r="A2623" s="27"/>
    </row>
    <row r="2624" spans="1:1">
      <c r="A2624" s="27"/>
    </row>
    <row r="2625" spans="1:1">
      <c r="A2625" s="27"/>
    </row>
    <row r="2626" spans="1:1">
      <c r="A2626" s="27"/>
    </row>
    <row r="2627" spans="1:1">
      <c r="A2627" s="27"/>
    </row>
    <row r="2628" spans="1:1">
      <c r="A2628" s="27"/>
    </row>
    <row r="2629" spans="1:1">
      <c r="A2629" s="27"/>
    </row>
    <row r="2630" spans="1:1">
      <c r="A2630" s="27"/>
    </row>
    <row r="2631" spans="1:1">
      <c r="A2631" s="27"/>
    </row>
    <row r="2632" spans="1:1">
      <c r="A2632" s="27"/>
    </row>
    <row r="2633" spans="1:1">
      <c r="A2633" s="27"/>
    </row>
    <row r="2634" spans="1:1">
      <c r="A2634" s="27"/>
    </row>
    <row r="2635" spans="1:1">
      <c r="A2635" s="27"/>
    </row>
    <row r="2636" spans="1:1">
      <c r="A2636" s="27"/>
    </row>
    <row r="2637" spans="1:1">
      <c r="A2637" s="27"/>
    </row>
    <row r="2638" spans="1:1">
      <c r="A2638" s="27"/>
    </row>
    <row r="2639" spans="1:1">
      <c r="A2639" s="27"/>
    </row>
    <row r="2640" spans="1:1">
      <c r="A2640" s="27"/>
    </row>
    <row r="2641" spans="1:1">
      <c r="A2641" s="27"/>
    </row>
    <row r="2642" spans="1:1">
      <c r="A2642" s="27"/>
    </row>
    <row r="2643" spans="1:1">
      <c r="A2643" s="27"/>
    </row>
    <row r="2644" spans="1:1">
      <c r="A2644" s="27"/>
    </row>
    <row r="2645" spans="1:1">
      <c r="A2645" s="27"/>
    </row>
    <row r="2646" spans="1:1">
      <c r="A2646" s="27"/>
    </row>
    <row r="2647" spans="1:1">
      <c r="A2647" s="27"/>
    </row>
    <row r="2648" spans="1:1">
      <c r="A2648" s="27"/>
    </row>
    <row r="2649" spans="1:1">
      <c r="A2649" s="27"/>
    </row>
    <row r="2650" spans="1:1">
      <c r="A2650" s="27"/>
    </row>
    <row r="2651" spans="1:1">
      <c r="A2651" s="27"/>
    </row>
    <row r="2652" spans="1:1">
      <c r="A2652" s="27"/>
    </row>
    <row r="2653" spans="1:1">
      <c r="A2653" s="27"/>
    </row>
    <row r="2654" spans="1:1">
      <c r="A2654" s="27"/>
    </row>
    <row r="2655" spans="1:1">
      <c r="A2655" s="27"/>
    </row>
    <row r="2656" spans="1:1">
      <c r="A2656" s="27"/>
    </row>
    <row r="2657" spans="1:1">
      <c r="A2657" s="27"/>
    </row>
    <row r="2658" spans="1:1">
      <c r="A2658" s="27"/>
    </row>
    <row r="2659" spans="1:1">
      <c r="A2659" s="27"/>
    </row>
    <row r="2660" spans="1:1">
      <c r="A2660" s="27"/>
    </row>
    <row r="2661" spans="1:1">
      <c r="A2661" s="27"/>
    </row>
    <row r="2662" spans="1:1">
      <c r="A2662" s="27"/>
    </row>
    <row r="2663" spans="1:1">
      <c r="A2663" s="27"/>
    </row>
    <row r="2664" spans="1:1">
      <c r="A2664" s="27"/>
    </row>
    <row r="2665" spans="1:1">
      <c r="A2665" s="27"/>
    </row>
    <row r="2666" spans="1:1">
      <c r="A2666" s="27"/>
    </row>
    <row r="2667" spans="1:1">
      <c r="A2667" s="27"/>
    </row>
    <row r="2668" spans="1:1">
      <c r="A2668" s="27"/>
    </row>
    <row r="2669" spans="1:1">
      <c r="A2669" s="27"/>
    </row>
    <row r="2670" spans="1:1">
      <c r="A2670" s="27"/>
    </row>
    <row r="2671" spans="1:1">
      <c r="A2671" s="27"/>
    </row>
    <row r="2672" spans="1:1">
      <c r="A2672" s="27"/>
    </row>
    <row r="2673" spans="1:1">
      <c r="A2673" s="27"/>
    </row>
    <row r="2674" spans="1:1">
      <c r="A2674" s="27"/>
    </row>
    <row r="2675" spans="1:1">
      <c r="A2675" s="27"/>
    </row>
    <row r="2676" spans="1:1">
      <c r="A2676" s="27"/>
    </row>
    <row r="2677" spans="1:1">
      <c r="A2677" s="27"/>
    </row>
    <row r="2678" spans="1:1">
      <c r="A2678" s="27"/>
    </row>
    <row r="2679" spans="1:1">
      <c r="A2679" s="27"/>
    </row>
    <row r="2680" spans="1:1">
      <c r="A2680" s="27"/>
    </row>
    <row r="2681" spans="1:1">
      <c r="A2681" s="27"/>
    </row>
    <row r="2682" spans="1:1">
      <c r="A2682" s="27"/>
    </row>
    <row r="2683" spans="1:1">
      <c r="A2683" s="27"/>
    </row>
    <row r="2684" spans="1:1">
      <c r="A2684" s="27"/>
    </row>
    <row r="2685" spans="1:1">
      <c r="A2685" s="27"/>
    </row>
    <row r="2686" spans="1:1">
      <c r="A2686" s="27"/>
    </row>
    <row r="2687" spans="1:1">
      <c r="A2687" s="27"/>
    </row>
    <row r="2688" spans="1:1">
      <c r="A2688" s="27"/>
    </row>
    <row r="2689" spans="1:1">
      <c r="A2689" s="27"/>
    </row>
    <row r="2690" spans="1:1">
      <c r="A2690" s="27"/>
    </row>
    <row r="2691" spans="1:1">
      <c r="A2691" s="27"/>
    </row>
    <row r="2692" spans="1:1">
      <c r="A2692" s="27"/>
    </row>
    <row r="2693" spans="1:1">
      <c r="A2693" s="27"/>
    </row>
    <row r="2694" spans="1:1">
      <c r="A2694" s="27"/>
    </row>
    <row r="2695" spans="1:1">
      <c r="A2695" s="27"/>
    </row>
    <row r="2696" spans="1:1">
      <c r="A2696" s="27"/>
    </row>
    <row r="2697" spans="1:1">
      <c r="A2697" s="27"/>
    </row>
    <row r="2698" spans="1:1">
      <c r="A2698" s="27"/>
    </row>
    <row r="2699" spans="1:1">
      <c r="A2699" s="27"/>
    </row>
    <row r="2700" spans="1:1">
      <c r="A2700" s="27"/>
    </row>
    <row r="2701" spans="1:1">
      <c r="A2701" s="27"/>
    </row>
    <row r="2702" spans="1:1">
      <c r="A2702" s="27"/>
    </row>
    <row r="2703" spans="1:1">
      <c r="A2703" s="27"/>
    </row>
    <row r="2704" spans="1:1">
      <c r="A2704" s="27"/>
    </row>
    <row r="2705" spans="1:1">
      <c r="A2705" s="27"/>
    </row>
    <row r="2706" spans="1:1">
      <c r="A2706" s="27"/>
    </row>
    <row r="2707" spans="1:1">
      <c r="A2707" s="27"/>
    </row>
    <row r="2708" spans="1:1">
      <c r="A2708" s="27"/>
    </row>
    <row r="2709" spans="1:1">
      <c r="A2709" s="27"/>
    </row>
    <row r="2710" spans="1:1">
      <c r="A2710" s="27"/>
    </row>
    <row r="2711" spans="1:1">
      <c r="A2711" s="27"/>
    </row>
    <row r="2712" spans="1:1">
      <c r="A2712" s="27"/>
    </row>
    <row r="2713" spans="1:1">
      <c r="A2713" s="27"/>
    </row>
    <row r="2714" spans="1:1">
      <c r="A2714" s="27"/>
    </row>
    <row r="2715" spans="1:1">
      <c r="A2715" s="27"/>
    </row>
    <row r="2716" spans="1:1">
      <c r="A2716" s="27"/>
    </row>
    <row r="2717" spans="1:1">
      <c r="A2717" s="27"/>
    </row>
    <row r="2718" spans="1:1">
      <c r="A2718" s="27"/>
    </row>
    <row r="2719" spans="1:1">
      <c r="A2719" s="27"/>
    </row>
    <row r="2720" spans="1:1">
      <c r="A2720" s="27"/>
    </row>
    <row r="2721" spans="1:1">
      <c r="A2721" s="27"/>
    </row>
    <row r="2722" spans="1:1">
      <c r="A2722" s="27"/>
    </row>
    <row r="2723" spans="1:1">
      <c r="A2723" s="27"/>
    </row>
    <row r="2724" spans="1:1">
      <c r="A2724" s="27"/>
    </row>
    <row r="2725" spans="1:1">
      <c r="A2725" s="27"/>
    </row>
    <row r="2726" spans="1:1">
      <c r="A2726" s="27"/>
    </row>
    <row r="2727" spans="1:1">
      <c r="A2727" s="27"/>
    </row>
    <row r="2728" spans="1:1">
      <c r="A2728" s="27"/>
    </row>
    <row r="2729" spans="1:1">
      <c r="A2729" s="27"/>
    </row>
    <row r="2730" spans="1:1">
      <c r="A2730" s="27"/>
    </row>
    <row r="2731" spans="1:1">
      <c r="A2731" s="27"/>
    </row>
    <row r="2732" spans="1:1">
      <c r="A2732" s="27"/>
    </row>
    <row r="2733" spans="1:1">
      <c r="A2733" s="27"/>
    </row>
    <row r="2734" spans="1:1">
      <c r="A2734" s="27"/>
    </row>
    <row r="2735" spans="1:1">
      <c r="A2735" s="27"/>
    </row>
    <row r="2736" spans="1:1">
      <c r="A2736" s="27"/>
    </row>
    <row r="2737" spans="1:1">
      <c r="A2737" s="27"/>
    </row>
    <row r="2738" spans="1:1">
      <c r="A2738" s="27"/>
    </row>
    <row r="2739" spans="1:1">
      <c r="A2739" s="27"/>
    </row>
    <row r="2740" spans="1:1">
      <c r="A2740" s="27"/>
    </row>
    <row r="2741" spans="1:1">
      <c r="A2741" s="27"/>
    </row>
    <row r="2742" spans="1:1">
      <c r="A2742" s="27"/>
    </row>
    <row r="2743" spans="1:1">
      <c r="A2743" s="27"/>
    </row>
    <row r="2744" spans="1:1">
      <c r="A2744" s="27"/>
    </row>
    <row r="2745" spans="1:1">
      <c r="A2745" s="27"/>
    </row>
    <row r="2746" spans="1:1">
      <c r="A2746" s="27"/>
    </row>
    <row r="2747" spans="1:1">
      <c r="A2747" s="27"/>
    </row>
    <row r="2748" spans="1:1">
      <c r="A2748" s="27"/>
    </row>
    <row r="2749" spans="1:1">
      <c r="A2749" s="27"/>
    </row>
    <row r="2750" spans="1:1">
      <c r="A2750" s="27"/>
    </row>
    <row r="2751" spans="1:1">
      <c r="A2751" s="27"/>
    </row>
    <row r="2752" spans="1:1">
      <c r="A2752" s="27"/>
    </row>
    <row r="2753" spans="1:1">
      <c r="A2753" s="27"/>
    </row>
    <row r="2754" spans="1:1">
      <c r="A2754" s="27"/>
    </row>
    <row r="2755" spans="1:1">
      <c r="A2755" s="27"/>
    </row>
    <row r="2756" spans="1:1">
      <c r="A2756" s="27"/>
    </row>
    <row r="2757" spans="1:1">
      <c r="A2757" s="27"/>
    </row>
    <row r="2758" spans="1:1">
      <c r="A2758" s="27"/>
    </row>
    <row r="2759" spans="1:1">
      <c r="A2759" s="27"/>
    </row>
    <row r="2760" spans="1:1">
      <c r="A2760" s="27"/>
    </row>
    <row r="2761" spans="1:1">
      <c r="A2761" s="27"/>
    </row>
    <row r="2762" spans="1:1">
      <c r="A2762" s="27"/>
    </row>
    <row r="2763" spans="1:1">
      <c r="A2763" s="27"/>
    </row>
    <row r="2764" spans="1:1">
      <c r="A2764" s="27"/>
    </row>
    <row r="2765" spans="1:1">
      <c r="A2765" s="27"/>
    </row>
    <row r="2766" spans="1:1">
      <c r="A2766" s="27"/>
    </row>
    <row r="2767" spans="1:1">
      <c r="A2767" s="27"/>
    </row>
    <row r="2768" spans="1:1">
      <c r="A2768" s="27"/>
    </row>
    <row r="2769" spans="1:1">
      <c r="A2769" s="27"/>
    </row>
    <row r="2770" spans="1:1">
      <c r="A2770" s="27"/>
    </row>
    <row r="2771" spans="1:1">
      <c r="A2771" s="27"/>
    </row>
    <row r="2772" spans="1:1">
      <c r="A2772" s="27"/>
    </row>
    <row r="2773" spans="1:1">
      <c r="A2773" s="27"/>
    </row>
    <row r="2774" spans="1:1">
      <c r="A2774" s="27"/>
    </row>
    <row r="2775" spans="1:1">
      <c r="A2775" s="27"/>
    </row>
    <row r="2776" spans="1:1">
      <c r="A2776" s="27"/>
    </row>
    <row r="2777" spans="1:1">
      <c r="A2777" s="27"/>
    </row>
    <row r="2778" spans="1:1">
      <c r="A2778" s="27"/>
    </row>
    <row r="2779" spans="1:1">
      <c r="A2779" s="27"/>
    </row>
    <row r="2780" spans="1:1">
      <c r="A2780" s="27"/>
    </row>
    <row r="2781" spans="1:1">
      <c r="A2781" s="27"/>
    </row>
    <row r="2782" spans="1:1">
      <c r="A2782" s="27"/>
    </row>
    <row r="2783" spans="1:1">
      <c r="A2783" s="27"/>
    </row>
    <row r="2784" spans="1:1">
      <c r="A2784" s="27"/>
    </row>
    <row r="2785" spans="1:1">
      <c r="A2785" s="27"/>
    </row>
    <row r="2786" spans="1:1">
      <c r="A2786" s="27"/>
    </row>
    <row r="2787" spans="1:1">
      <c r="A2787" s="27"/>
    </row>
    <row r="2788" spans="1:1">
      <c r="A2788" s="27"/>
    </row>
    <row r="2789" spans="1:1">
      <c r="A2789" s="27"/>
    </row>
    <row r="2790" spans="1:1">
      <c r="A2790" s="27"/>
    </row>
    <row r="2791" spans="1:1">
      <c r="A2791" s="27"/>
    </row>
    <row r="2792" spans="1:1">
      <c r="A2792" s="27"/>
    </row>
    <row r="2793" spans="1:1">
      <c r="A2793" s="27"/>
    </row>
    <row r="2794" spans="1:1">
      <c r="A2794" s="27"/>
    </row>
    <row r="2795" spans="1:1">
      <c r="A2795" s="27"/>
    </row>
    <row r="2796" spans="1:1">
      <c r="A2796" s="27"/>
    </row>
    <row r="2797" spans="1:1">
      <c r="A2797" s="27"/>
    </row>
    <row r="2798" spans="1:1">
      <c r="A2798" s="27"/>
    </row>
    <row r="2799" spans="1:1">
      <c r="A2799" s="27"/>
    </row>
    <row r="2800" spans="1:1">
      <c r="A2800" s="27"/>
    </row>
    <row r="2801" spans="1:1">
      <c r="A2801" s="27"/>
    </row>
    <row r="2802" spans="1:1">
      <c r="A2802" s="27"/>
    </row>
    <row r="2803" spans="1:1">
      <c r="A2803" s="27"/>
    </row>
    <row r="2804" spans="1:1">
      <c r="A2804" s="27"/>
    </row>
    <row r="2805" spans="1:1">
      <c r="A2805" s="27"/>
    </row>
    <row r="2806" spans="1:1">
      <c r="A2806" s="27"/>
    </row>
    <row r="2807" spans="1:1">
      <c r="A2807" s="27"/>
    </row>
    <row r="2808" spans="1:1">
      <c r="A2808" s="27"/>
    </row>
    <row r="2809" spans="1:1">
      <c r="A2809" s="27"/>
    </row>
    <row r="2810" spans="1:1">
      <c r="A2810" s="27"/>
    </row>
    <row r="2811" spans="1:1">
      <c r="A2811" s="27"/>
    </row>
    <row r="2812" spans="1:1">
      <c r="A2812" s="27"/>
    </row>
    <row r="2813" spans="1:1">
      <c r="A2813" s="27"/>
    </row>
    <row r="2814" spans="1:1">
      <c r="A2814" s="27"/>
    </row>
    <row r="2815" spans="1:1">
      <c r="A2815" s="27"/>
    </row>
    <row r="2816" spans="1:1">
      <c r="A2816" s="27"/>
    </row>
    <row r="2817" spans="1:1">
      <c r="A2817" s="27"/>
    </row>
    <row r="2818" spans="1:1">
      <c r="A2818" s="27"/>
    </row>
    <row r="2819" spans="1:1">
      <c r="A2819" s="27"/>
    </row>
    <row r="2820" spans="1:1">
      <c r="A2820" s="27"/>
    </row>
    <row r="2821" spans="1:1">
      <c r="A2821" s="27"/>
    </row>
    <row r="2822" spans="1:1">
      <c r="A2822" s="27"/>
    </row>
    <row r="2823" spans="1:1">
      <c r="A2823" s="27"/>
    </row>
    <row r="2824" spans="1:1">
      <c r="A2824" s="27"/>
    </row>
    <row r="2825" spans="1:1">
      <c r="A2825" s="27"/>
    </row>
    <row r="2826" spans="1:1">
      <c r="A2826" s="27"/>
    </row>
    <row r="2827" spans="1:1">
      <c r="A2827" s="27"/>
    </row>
    <row r="2828" spans="1:1">
      <c r="A2828" s="27"/>
    </row>
    <row r="2829" spans="1:1">
      <c r="A2829" s="27"/>
    </row>
    <row r="2830" spans="1:1">
      <c r="A2830" s="27"/>
    </row>
    <row r="2831" spans="1:1">
      <c r="A2831" s="27"/>
    </row>
    <row r="2832" spans="1:1">
      <c r="A2832" s="27"/>
    </row>
    <row r="2833" spans="1:1">
      <c r="A2833" s="27"/>
    </row>
    <row r="2834" spans="1:1">
      <c r="A2834" s="27"/>
    </row>
    <row r="2835" spans="1:1">
      <c r="A2835" s="27"/>
    </row>
    <row r="2836" spans="1:1">
      <c r="A2836" s="27"/>
    </row>
    <row r="2837" spans="1:1">
      <c r="A2837" s="27"/>
    </row>
    <row r="2838" spans="1:1">
      <c r="A2838" s="27"/>
    </row>
    <row r="2839" spans="1:1">
      <c r="A2839" s="27"/>
    </row>
    <row r="2840" spans="1:1">
      <c r="A2840" s="27"/>
    </row>
    <row r="2841" spans="1:1">
      <c r="A2841" s="27"/>
    </row>
    <row r="2842" spans="1:1">
      <c r="A2842" s="27"/>
    </row>
    <row r="2843" spans="1:1">
      <c r="A2843" s="27"/>
    </row>
    <row r="2844" spans="1:1">
      <c r="A2844" s="27"/>
    </row>
    <row r="2845" spans="1:1">
      <c r="A2845" s="27"/>
    </row>
    <row r="2846" spans="1:1">
      <c r="A2846" s="27"/>
    </row>
    <row r="2847" spans="1:1">
      <c r="A2847" s="27"/>
    </row>
    <row r="2848" spans="1:1">
      <c r="A2848" s="27"/>
    </row>
    <row r="2849" spans="1:1">
      <c r="A2849" s="27"/>
    </row>
    <row r="2850" spans="1:1">
      <c r="A2850" s="27"/>
    </row>
    <row r="2851" spans="1:1">
      <c r="A2851" s="27"/>
    </row>
    <row r="2852" spans="1:1">
      <c r="A2852" s="27"/>
    </row>
    <row r="2853" spans="1:1">
      <c r="A2853" s="27"/>
    </row>
    <row r="2854" spans="1:1">
      <c r="A2854" s="27"/>
    </row>
    <row r="2855" spans="1:1">
      <c r="A2855" s="27"/>
    </row>
    <row r="2856" spans="1:1">
      <c r="A2856" s="27"/>
    </row>
    <row r="2857" spans="1:1">
      <c r="A2857" s="27"/>
    </row>
    <row r="2858" spans="1:1">
      <c r="A2858" s="27"/>
    </row>
    <row r="2859" spans="1:1">
      <c r="A2859" s="27"/>
    </row>
    <row r="2860" spans="1:1">
      <c r="A2860" s="27"/>
    </row>
    <row r="2861" spans="1:1">
      <c r="A2861" s="27"/>
    </row>
    <row r="2862" spans="1:1">
      <c r="A2862" s="27"/>
    </row>
    <row r="2863" spans="1:1">
      <c r="A2863" s="27"/>
    </row>
    <row r="2864" spans="1:1">
      <c r="A2864" s="27"/>
    </row>
    <row r="2865" spans="1:1">
      <c r="A2865" s="27"/>
    </row>
    <row r="2866" spans="1:1">
      <c r="A2866" s="27"/>
    </row>
    <row r="2867" spans="1:1">
      <c r="A2867" s="27"/>
    </row>
    <row r="2868" spans="1:1">
      <c r="A2868" s="27"/>
    </row>
    <row r="2869" spans="1:1">
      <c r="A2869" s="27"/>
    </row>
    <row r="2870" spans="1:1">
      <c r="A2870" s="27"/>
    </row>
    <row r="2871" spans="1:1">
      <c r="A2871" s="27"/>
    </row>
    <row r="2872" spans="1:1">
      <c r="A2872" s="27"/>
    </row>
    <row r="2873" spans="1:1">
      <c r="A2873" s="27"/>
    </row>
    <row r="2874" spans="1:1">
      <c r="A2874" s="27"/>
    </row>
    <row r="2875" spans="1:1">
      <c r="A2875" s="27"/>
    </row>
    <row r="2876" spans="1:1">
      <c r="A2876" s="27"/>
    </row>
    <row r="2877" spans="1:1">
      <c r="A2877" s="27"/>
    </row>
    <row r="2878" spans="1:1">
      <c r="A2878" s="27"/>
    </row>
    <row r="2879" spans="1:1">
      <c r="A2879" s="27"/>
    </row>
    <row r="2880" spans="1:1">
      <c r="A2880" s="27"/>
    </row>
    <row r="2881" spans="1:1">
      <c r="A2881" s="27"/>
    </row>
    <row r="2882" spans="1:1">
      <c r="A2882" s="27"/>
    </row>
    <row r="2883" spans="1:1">
      <c r="A2883" s="27"/>
    </row>
    <row r="2884" spans="1:1">
      <c r="A2884" s="27"/>
    </row>
    <row r="2885" spans="1:1">
      <c r="A2885" s="27"/>
    </row>
    <row r="2886" spans="1:1">
      <c r="A2886" s="27"/>
    </row>
    <row r="2887" spans="1:1">
      <c r="A2887" s="27"/>
    </row>
    <row r="2888" spans="1:1">
      <c r="A2888" s="27"/>
    </row>
    <row r="2889" spans="1:1">
      <c r="A2889" s="27"/>
    </row>
    <row r="2890" spans="1:1">
      <c r="A2890" s="27"/>
    </row>
    <row r="2891" spans="1:1">
      <c r="A2891" s="27"/>
    </row>
    <row r="2892" spans="1:1">
      <c r="A2892" s="27"/>
    </row>
    <row r="2893" spans="1:1">
      <c r="A2893" s="27"/>
    </row>
    <row r="2894" spans="1:1">
      <c r="A2894" s="27"/>
    </row>
    <row r="2895" spans="1:1">
      <c r="A2895" s="27"/>
    </row>
    <row r="2896" spans="1:1">
      <c r="A2896" s="27"/>
    </row>
    <row r="2897" spans="1:1">
      <c r="A2897" s="27"/>
    </row>
    <row r="2898" spans="1:1">
      <c r="A2898" s="27"/>
    </row>
    <row r="2899" spans="1:1">
      <c r="A2899" s="27"/>
    </row>
    <row r="2900" spans="1:1">
      <c r="A2900" s="27"/>
    </row>
    <row r="2901" spans="1:1">
      <c r="A2901" s="27"/>
    </row>
    <row r="2902" spans="1:1">
      <c r="A2902" s="27"/>
    </row>
    <row r="2903" spans="1:1">
      <c r="A2903" s="27"/>
    </row>
    <row r="2904" spans="1:1">
      <c r="A2904" s="27"/>
    </row>
    <row r="2905" spans="1:1">
      <c r="A2905" s="27"/>
    </row>
    <row r="2906" spans="1:1">
      <c r="A2906" s="27"/>
    </row>
    <row r="2907" spans="1:1">
      <c r="A2907" s="27"/>
    </row>
    <row r="2908" spans="1:1">
      <c r="A2908" s="27"/>
    </row>
    <row r="2909" spans="1:1">
      <c r="A2909" s="27"/>
    </row>
    <row r="2910" spans="1:1">
      <c r="A2910" s="27"/>
    </row>
    <row r="2911" spans="1:1">
      <c r="A2911" s="27"/>
    </row>
    <row r="2912" spans="1:1">
      <c r="A2912" s="27"/>
    </row>
    <row r="2913" spans="1:1">
      <c r="A2913" s="27"/>
    </row>
    <row r="2914" spans="1:1">
      <c r="A2914" s="27"/>
    </row>
    <row r="2915" spans="1:1">
      <c r="A2915" s="27"/>
    </row>
    <row r="2916" spans="1:1">
      <c r="A2916" s="27"/>
    </row>
    <row r="2917" spans="1:1">
      <c r="A2917" s="27"/>
    </row>
    <row r="2918" spans="1:1">
      <c r="A2918" s="27"/>
    </row>
    <row r="2919" spans="1:1">
      <c r="A2919" s="27"/>
    </row>
    <row r="2920" spans="1:1">
      <c r="A2920" s="27"/>
    </row>
    <row r="2921" spans="1:1">
      <c r="A2921" s="27"/>
    </row>
    <row r="2922" spans="1:1">
      <c r="A2922" s="27"/>
    </row>
    <row r="2923" spans="1:1">
      <c r="A2923" s="27"/>
    </row>
    <row r="2924" spans="1:1">
      <c r="A2924" s="27"/>
    </row>
    <row r="2925" spans="1:1">
      <c r="A2925" s="27"/>
    </row>
    <row r="2926" spans="1:1">
      <c r="A2926" s="27"/>
    </row>
    <row r="2927" spans="1:1">
      <c r="A2927" s="27"/>
    </row>
    <row r="2928" spans="1:1">
      <c r="A2928" s="27"/>
    </row>
    <row r="2929" spans="1:1">
      <c r="A2929" s="27"/>
    </row>
    <row r="2930" spans="1:1">
      <c r="A2930" s="27"/>
    </row>
    <row r="2931" spans="1:1">
      <c r="A2931" s="27"/>
    </row>
    <row r="2932" spans="1:1">
      <c r="A2932" s="27"/>
    </row>
    <row r="2933" spans="1:1">
      <c r="A2933" s="27"/>
    </row>
    <row r="2934" spans="1:1">
      <c r="A2934" s="27"/>
    </row>
    <row r="2935" spans="1:1">
      <c r="A2935" s="27"/>
    </row>
    <row r="2936" spans="1:1">
      <c r="A2936" s="27"/>
    </row>
    <row r="2937" spans="1:1">
      <c r="A2937" s="27"/>
    </row>
    <row r="2938" spans="1:1">
      <c r="A2938" s="27"/>
    </row>
    <row r="2939" spans="1:1">
      <c r="A2939" s="27"/>
    </row>
    <row r="2940" spans="1:1">
      <c r="A2940" s="27"/>
    </row>
    <row r="2941" spans="1:1">
      <c r="A2941" s="27"/>
    </row>
    <row r="2942" spans="1:1">
      <c r="A2942" s="27"/>
    </row>
    <row r="2943" spans="1:1">
      <c r="A2943" s="27"/>
    </row>
    <row r="2944" spans="1:1">
      <c r="A2944" s="27"/>
    </row>
    <row r="2945" spans="1:1">
      <c r="A2945" s="27"/>
    </row>
    <row r="2946" spans="1:1">
      <c r="A2946" s="27"/>
    </row>
    <row r="2947" spans="1:1">
      <c r="A2947" s="27"/>
    </row>
    <row r="2948" spans="1:1">
      <c r="A2948" s="27"/>
    </row>
    <row r="2949" spans="1:1">
      <c r="A2949" s="27"/>
    </row>
    <row r="2950" spans="1:1">
      <c r="A2950" s="27"/>
    </row>
    <row r="2951" spans="1:1">
      <c r="A2951" s="27"/>
    </row>
    <row r="2952" spans="1:1">
      <c r="A2952" s="27"/>
    </row>
    <row r="2953" spans="1:1">
      <c r="A2953" s="27"/>
    </row>
    <row r="2954" spans="1:1">
      <c r="A2954" s="27"/>
    </row>
    <row r="2955" spans="1:1">
      <c r="A2955" s="27"/>
    </row>
    <row r="2956" spans="1:1">
      <c r="A2956" s="27"/>
    </row>
    <row r="2957" spans="1:1">
      <c r="A2957" s="27"/>
    </row>
    <row r="2958" spans="1:1">
      <c r="A2958" s="27"/>
    </row>
    <row r="2959" spans="1:1">
      <c r="A2959" s="27"/>
    </row>
    <row r="2960" spans="1:1">
      <c r="A2960" s="27"/>
    </row>
    <row r="2961" spans="1:1">
      <c r="A2961" s="27"/>
    </row>
    <row r="2962" spans="1:1">
      <c r="A2962" s="27"/>
    </row>
    <row r="2963" spans="1:1">
      <c r="A2963" s="27"/>
    </row>
    <row r="2964" spans="1:1">
      <c r="A2964" s="27"/>
    </row>
    <row r="2965" spans="1:1">
      <c r="A2965" s="27"/>
    </row>
    <row r="2966" spans="1:1">
      <c r="A2966" s="27"/>
    </row>
    <row r="2967" spans="1:1">
      <c r="A2967" s="27"/>
    </row>
    <row r="2968" spans="1:1">
      <c r="A2968" s="27"/>
    </row>
    <row r="2969" spans="1:1">
      <c r="A2969" s="27"/>
    </row>
    <row r="2970" spans="1:1">
      <c r="A2970" s="27"/>
    </row>
    <row r="2971" spans="1:1">
      <c r="A2971" s="27"/>
    </row>
    <row r="2972" spans="1:1">
      <c r="A2972" s="27"/>
    </row>
    <row r="2973" spans="1:1">
      <c r="A2973" s="27"/>
    </row>
    <row r="2974" spans="1:1">
      <c r="A2974" s="27"/>
    </row>
    <row r="2975" spans="1:1">
      <c r="A2975" s="27"/>
    </row>
    <row r="2976" spans="1:1">
      <c r="A2976" s="27"/>
    </row>
    <row r="2977" spans="1:1">
      <c r="A2977" s="27"/>
    </row>
    <row r="2978" spans="1:1">
      <c r="A2978" s="27"/>
    </row>
    <row r="2979" spans="1:1">
      <c r="A2979" s="27"/>
    </row>
    <row r="2980" spans="1:1">
      <c r="A2980" s="27"/>
    </row>
    <row r="2981" spans="1:1">
      <c r="A2981" s="27"/>
    </row>
    <row r="2982" spans="1:1">
      <c r="A2982" s="27"/>
    </row>
    <row r="2983" spans="1:1">
      <c r="A2983" s="27"/>
    </row>
    <row r="2984" spans="1:1">
      <c r="A2984" s="27"/>
    </row>
    <row r="2985" spans="1:1">
      <c r="A2985" s="27"/>
    </row>
    <row r="2986" spans="1:1">
      <c r="A2986" s="27"/>
    </row>
    <row r="2987" spans="1:1">
      <c r="A2987" s="27"/>
    </row>
    <row r="2988" spans="1:1">
      <c r="A2988" s="27"/>
    </row>
    <row r="2989" spans="1:1">
      <c r="A2989" s="27"/>
    </row>
    <row r="2990" spans="1:1">
      <c r="A2990" s="27"/>
    </row>
    <row r="2991" spans="1:1">
      <c r="A2991" s="27"/>
    </row>
    <row r="2992" spans="1:1">
      <c r="A2992" s="27"/>
    </row>
    <row r="2993" spans="1:1">
      <c r="A2993" s="27"/>
    </row>
    <row r="2994" spans="1:1">
      <c r="A2994" s="27"/>
    </row>
    <row r="2995" spans="1:1">
      <c r="A2995" s="27"/>
    </row>
    <row r="2996" spans="1:1">
      <c r="A2996" s="27"/>
    </row>
    <row r="2997" spans="1:1">
      <c r="A2997" s="27"/>
    </row>
    <row r="2998" spans="1:1">
      <c r="A2998" s="27"/>
    </row>
    <row r="2999" spans="1:1">
      <c r="A2999" s="27"/>
    </row>
    <row r="3000" spans="1:1">
      <c r="A3000" s="27"/>
    </row>
    <row r="3001" spans="1:1">
      <c r="A3001" s="27"/>
    </row>
    <row r="3002" spans="1:1">
      <c r="A3002" s="27"/>
    </row>
    <row r="3003" spans="1:1">
      <c r="A3003" s="27"/>
    </row>
    <row r="3004" spans="1:1">
      <c r="A3004" s="27"/>
    </row>
    <row r="3005" spans="1:1">
      <c r="A3005" s="27"/>
    </row>
    <row r="3006" spans="1:1">
      <c r="A3006" s="27"/>
    </row>
    <row r="3007" spans="1:1">
      <c r="A3007" s="27"/>
    </row>
    <row r="3008" spans="1:1">
      <c r="A3008" s="27"/>
    </row>
    <row r="3009" spans="1:1">
      <c r="A3009" s="27"/>
    </row>
    <row r="3010" spans="1:1">
      <c r="A3010" s="27"/>
    </row>
    <row r="3011" spans="1:1">
      <c r="A3011" s="27"/>
    </row>
    <row r="3012" spans="1:1">
      <c r="A3012" s="27"/>
    </row>
    <row r="3013" spans="1:1">
      <c r="A3013" s="27"/>
    </row>
    <row r="3014" spans="1:1">
      <c r="A3014" s="27"/>
    </row>
    <row r="3015" spans="1:1">
      <c r="A3015" s="27"/>
    </row>
    <row r="3016" spans="1:1">
      <c r="A3016" s="27"/>
    </row>
    <row r="3017" spans="1:1">
      <c r="A3017" s="27"/>
    </row>
    <row r="3018" spans="1:1">
      <c r="A3018" s="27"/>
    </row>
    <row r="3019" spans="1:1">
      <c r="A3019" s="27"/>
    </row>
    <row r="3020" spans="1:1">
      <c r="A3020" s="27"/>
    </row>
    <row r="3021" spans="1:1">
      <c r="A3021" s="27"/>
    </row>
    <row r="3022" spans="1:1">
      <c r="A3022" s="27"/>
    </row>
    <row r="3023" spans="1:1">
      <c r="A3023" s="27"/>
    </row>
    <row r="3024" spans="1:1">
      <c r="A3024" s="27"/>
    </row>
    <row r="3025" spans="1:1">
      <c r="A3025" s="27"/>
    </row>
    <row r="3026" spans="1:1">
      <c r="A3026" s="27"/>
    </row>
    <row r="3027" spans="1:1">
      <c r="A3027" s="27"/>
    </row>
    <row r="3028" spans="1:1">
      <c r="A3028" s="27"/>
    </row>
    <row r="3029" spans="1:1">
      <c r="A3029" s="27"/>
    </row>
    <row r="3030" spans="1:1">
      <c r="A3030" s="27"/>
    </row>
    <row r="3031" spans="1:1">
      <c r="A3031" s="27"/>
    </row>
    <row r="3032" spans="1:1">
      <c r="A3032" s="27"/>
    </row>
    <row r="3033" spans="1:1">
      <c r="A3033" s="27"/>
    </row>
    <row r="3034" spans="1:1">
      <c r="A3034" s="27"/>
    </row>
    <row r="3035" spans="1:1">
      <c r="A3035" s="27"/>
    </row>
    <row r="3036" spans="1:1">
      <c r="A3036" s="27"/>
    </row>
    <row r="3037" spans="1:1">
      <c r="A3037" s="27"/>
    </row>
    <row r="3038" spans="1:1">
      <c r="A3038" s="27"/>
    </row>
    <row r="3039" spans="1:1">
      <c r="A3039" s="27"/>
    </row>
    <row r="3040" spans="1:1">
      <c r="A3040" s="27"/>
    </row>
    <row r="3041" spans="1:1">
      <c r="A3041" s="27"/>
    </row>
    <row r="3042" spans="1:1">
      <c r="A3042" s="27"/>
    </row>
    <row r="3043" spans="1:1">
      <c r="A3043" s="27"/>
    </row>
    <row r="3044" spans="1:1">
      <c r="A3044" s="27"/>
    </row>
    <row r="3045" spans="1:1">
      <c r="A3045" s="27"/>
    </row>
    <row r="3046" spans="1:1">
      <c r="A3046" s="27"/>
    </row>
    <row r="3047" spans="1:1">
      <c r="A3047" s="27"/>
    </row>
    <row r="3048" spans="1:1">
      <c r="A3048" s="27"/>
    </row>
    <row r="3049" spans="1:1">
      <c r="A3049" s="27"/>
    </row>
    <row r="3050" spans="1:1">
      <c r="A3050" s="27"/>
    </row>
    <row r="3051" spans="1:1">
      <c r="A3051" s="27"/>
    </row>
    <row r="3052" spans="1:1">
      <c r="A3052" s="27"/>
    </row>
    <row r="3053" spans="1:1">
      <c r="A3053" s="27"/>
    </row>
    <row r="3054" spans="1:1">
      <c r="A3054" s="27"/>
    </row>
    <row r="3055" spans="1:1">
      <c r="A3055" s="27"/>
    </row>
    <row r="3056" spans="1:1">
      <c r="A3056" s="27"/>
    </row>
    <row r="3057" spans="1:1">
      <c r="A3057" s="27"/>
    </row>
    <row r="3058" spans="1:1">
      <c r="A3058" s="27"/>
    </row>
    <row r="3059" spans="1:1">
      <c r="A3059" s="27"/>
    </row>
    <row r="3060" spans="1:1">
      <c r="A3060" s="27"/>
    </row>
    <row r="3061" spans="1:1">
      <c r="A3061" s="27"/>
    </row>
    <row r="3062" spans="1:1">
      <c r="A3062" s="27"/>
    </row>
    <row r="3063" spans="1:1">
      <c r="A3063" s="27"/>
    </row>
    <row r="3064" spans="1:1">
      <c r="A3064" s="27"/>
    </row>
    <row r="3065" spans="1:1">
      <c r="A3065" s="27"/>
    </row>
    <row r="3066" spans="1:1">
      <c r="A3066" s="27"/>
    </row>
    <row r="3067" spans="1:1">
      <c r="A3067" s="27"/>
    </row>
    <row r="3068" spans="1:1">
      <c r="A3068" s="27"/>
    </row>
    <row r="3069" spans="1:1">
      <c r="A3069" s="27"/>
    </row>
    <row r="3070" spans="1:1">
      <c r="A3070" s="27"/>
    </row>
    <row r="3071" spans="1:1">
      <c r="A3071" s="27"/>
    </row>
    <row r="3072" spans="1:1">
      <c r="A3072" s="27"/>
    </row>
    <row r="3073" spans="1:1">
      <c r="A3073" s="27"/>
    </row>
    <row r="3074" spans="1:1">
      <c r="A3074" s="27"/>
    </row>
    <row r="3075" spans="1:1">
      <c r="A3075" s="27"/>
    </row>
    <row r="3076" spans="1:1">
      <c r="A3076" s="27"/>
    </row>
    <row r="3077" spans="1:1">
      <c r="A3077" s="27"/>
    </row>
    <row r="3078" spans="1:1">
      <c r="A3078" s="27"/>
    </row>
    <row r="3079" spans="1:1">
      <c r="A3079" s="27"/>
    </row>
    <row r="3080" spans="1:1">
      <c r="A3080" s="27"/>
    </row>
    <row r="3081" spans="1:1">
      <c r="A3081" s="27"/>
    </row>
    <row r="3082" spans="1:1">
      <c r="A3082" s="27"/>
    </row>
    <row r="3083" spans="1:1">
      <c r="A3083" s="27"/>
    </row>
    <row r="3084" spans="1:1">
      <c r="A3084" s="27"/>
    </row>
    <row r="3085" spans="1:1">
      <c r="A3085" s="27"/>
    </row>
    <row r="3086" spans="1:1">
      <c r="A3086" s="27"/>
    </row>
    <row r="3087" spans="1:1">
      <c r="A3087" s="27"/>
    </row>
    <row r="3088" spans="1:1">
      <c r="A3088" s="27"/>
    </row>
    <row r="3089" spans="1:1">
      <c r="A3089" s="27"/>
    </row>
    <row r="3090" spans="1:1">
      <c r="A3090" s="27"/>
    </row>
    <row r="3091" spans="1:1">
      <c r="A3091" s="27"/>
    </row>
    <row r="3092" spans="1:1">
      <c r="A3092" s="27"/>
    </row>
    <row r="3093" spans="1:1">
      <c r="A3093" s="27"/>
    </row>
    <row r="3094" spans="1:1">
      <c r="A3094" s="27"/>
    </row>
    <row r="3095" spans="1:1">
      <c r="A3095" s="27"/>
    </row>
    <row r="3096" spans="1:1">
      <c r="A3096" s="27"/>
    </row>
    <row r="3097" spans="1:1">
      <c r="A3097" s="27"/>
    </row>
    <row r="3098" spans="1:1">
      <c r="A3098" s="27"/>
    </row>
    <row r="3099" spans="1:1">
      <c r="A3099" s="27"/>
    </row>
    <row r="3100" spans="1:1">
      <c r="A3100" s="27"/>
    </row>
    <row r="3101" spans="1:1">
      <c r="A3101" s="27"/>
    </row>
    <row r="3102" spans="1:1">
      <c r="A3102" s="27"/>
    </row>
    <row r="3103" spans="1:1">
      <c r="A3103" s="27"/>
    </row>
    <row r="3104" spans="1:1">
      <c r="A3104" s="27"/>
    </row>
    <row r="3105" spans="1:1">
      <c r="A3105" s="27"/>
    </row>
    <row r="3106" spans="1:1">
      <c r="A3106" s="27"/>
    </row>
    <row r="3107" spans="1:1">
      <c r="A3107" s="27"/>
    </row>
    <row r="3108" spans="1:1">
      <c r="A3108" s="27"/>
    </row>
    <row r="3109" spans="1:1">
      <c r="A3109" s="27"/>
    </row>
    <row r="3110" spans="1:1">
      <c r="A3110" s="27"/>
    </row>
    <row r="3111" spans="1:1">
      <c r="A3111" s="27"/>
    </row>
    <row r="3112" spans="1:1">
      <c r="A3112" s="27"/>
    </row>
    <row r="3113" spans="1:1">
      <c r="A3113" s="27"/>
    </row>
    <row r="3114" spans="1:1">
      <c r="A3114" s="27"/>
    </row>
    <row r="3115" spans="1:1">
      <c r="A3115" s="27"/>
    </row>
    <row r="3116" spans="1:1">
      <c r="A3116" s="27"/>
    </row>
    <row r="3117" spans="1:1">
      <c r="A3117" s="27"/>
    </row>
    <row r="3118" spans="1:1">
      <c r="A3118" s="27"/>
    </row>
    <row r="3119" spans="1:1">
      <c r="A3119" s="27"/>
    </row>
    <row r="3120" spans="1:1">
      <c r="A3120" s="27"/>
    </row>
    <row r="3121" spans="1:1">
      <c r="A3121" s="27"/>
    </row>
    <row r="3122" spans="1:1">
      <c r="A3122" s="27"/>
    </row>
    <row r="3123" spans="1:1">
      <c r="A3123" s="27"/>
    </row>
    <row r="3124" spans="1:1">
      <c r="A3124" s="27"/>
    </row>
    <row r="3125" spans="1:1">
      <c r="A3125" s="27"/>
    </row>
    <row r="3126" spans="1:1">
      <c r="A3126" s="27"/>
    </row>
    <row r="3127" spans="1:1">
      <c r="A3127" s="27"/>
    </row>
    <row r="3128" spans="1:1">
      <c r="A3128" s="27"/>
    </row>
    <row r="3129" spans="1:1">
      <c r="A3129" s="27"/>
    </row>
    <row r="3130" spans="1:1">
      <c r="A3130" s="27"/>
    </row>
    <row r="3131" spans="1:1">
      <c r="A3131" s="27"/>
    </row>
    <row r="3132" spans="1:1">
      <c r="A3132" s="27"/>
    </row>
    <row r="3133" spans="1:1">
      <c r="A3133" s="27"/>
    </row>
    <row r="3134" spans="1:1">
      <c r="A3134" s="27"/>
    </row>
    <row r="3135" spans="1:1">
      <c r="A3135" s="27"/>
    </row>
    <row r="3136" spans="1:1">
      <c r="A3136" s="27"/>
    </row>
    <row r="3137" spans="1:1">
      <c r="A3137" s="27"/>
    </row>
    <row r="3138" spans="1:1">
      <c r="A3138" s="27"/>
    </row>
    <row r="3139" spans="1:1">
      <c r="A3139" s="27"/>
    </row>
    <row r="3140" spans="1:1">
      <c r="A3140" s="27"/>
    </row>
    <row r="3141" spans="1:1">
      <c r="A3141" s="27"/>
    </row>
    <row r="3142" spans="1:1">
      <c r="A3142" s="27"/>
    </row>
    <row r="3143" spans="1:1">
      <c r="A3143" s="27"/>
    </row>
    <row r="3144" spans="1:1">
      <c r="A3144" s="27"/>
    </row>
    <row r="3145" spans="1:1">
      <c r="A3145" s="27"/>
    </row>
    <row r="3146" spans="1:1">
      <c r="A3146" s="27"/>
    </row>
    <row r="3147" spans="1:1">
      <c r="A3147" s="27"/>
    </row>
    <row r="3148" spans="1:1">
      <c r="A3148" s="27"/>
    </row>
    <row r="3149" spans="1:1">
      <c r="A3149" s="27"/>
    </row>
    <row r="3150" spans="1:1">
      <c r="A3150" s="27"/>
    </row>
    <row r="3151" spans="1:1">
      <c r="A3151" s="27"/>
    </row>
    <row r="3152" spans="1:1">
      <c r="A3152" s="27"/>
    </row>
    <row r="3153" spans="1:1">
      <c r="A3153" s="27"/>
    </row>
    <row r="3154" spans="1:1">
      <c r="A3154" s="27"/>
    </row>
    <row r="3155" spans="1:1">
      <c r="A3155" s="27"/>
    </row>
    <row r="3156" spans="1:1">
      <c r="A3156" s="27"/>
    </row>
    <row r="3157" spans="1:1">
      <c r="A3157" s="27"/>
    </row>
    <row r="3158" spans="1:1">
      <c r="A3158" s="27"/>
    </row>
    <row r="3159" spans="1:1">
      <c r="A3159" s="27"/>
    </row>
    <row r="3160" spans="1:1">
      <c r="A3160" s="27"/>
    </row>
    <row r="3161" spans="1:1">
      <c r="A3161" s="27"/>
    </row>
    <row r="3162" spans="1:1">
      <c r="A3162" s="27"/>
    </row>
    <row r="3163" spans="1:1">
      <c r="A3163" s="27"/>
    </row>
    <row r="3164" spans="1:1">
      <c r="A3164" s="27"/>
    </row>
    <row r="3165" spans="1:1">
      <c r="A3165" s="27"/>
    </row>
    <row r="3166" spans="1:1">
      <c r="A3166" s="27"/>
    </row>
    <row r="3167" spans="1:1">
      <c r="A3167" s="27"/>
    </row>
    <row r="3168" spans="1:1">
      <c r="A3168" s="27"/>
    </row>
    <row r="3169" spans="1:1">
      <c r="A3169" s="27"/>
    </row>
    <row r="3170" spans="1:1">
      <c r="A3170" s="27"/>
    </row>
    <row r="3171" spans="1:1">
      <c r="A3171" s="27"/>
    </row>
    <row r="3172" spans="1:1">
      <c r="A3172" s="27"/>
    </row>
    <row r="3173" spans="1:1">
      <c r="A3173" s="27"/>
    </row>
    <row r="3174" spans="1:1">
      <c r="A3174" s="27"/>
    </row>
    <row r="3175" spans="1:1">
      <c r="A3175" s="27"/>
    </row>
    <row r="3176" spans="1:1">
      <c r="A3176" s="27"/>
    </row>
    <row r="3177" spans="1:1">
      <c r="A3177" s="27"/>
    </row>
    <row r="3178" spans="1:1">
      <c r="A3178" s="27"/>
    </row>
    <row r="3179" spans="1:1">
      <c r="A3179" s="27"/>
    </row>
    <row r="3180" spans="1:1">
      <c r="A3180" s="27"/>
    </row>
    <row r="3181" spans="1:1">
      <c r="A3181" s="27"/>
    </row>
    <row r="3182" spans="1:1">
      <c r="A3182" s="27"/>
    </row>
    <row r="3183" spans="1:1">
      <c r="A3183" s="27"/>
    </row>
    <row r="3184" spans="1:1">
      <c r="A3184" s="27"/>
    </row>
    <row r="3185" spans="1:1">
      <c r="A3185" s="27"/>
    </row>
    <row r="3186" spans="1:1">
      <c r="A3186" s="27"/>
    </row>
    <row r="3187" spans="1:1">
      <c r="A3187" s="27"/>
    </row>
    <row r="3188" spans="1:1">
      <c r="A3188" s="27"/>
    </row>
    <row r="3189" spans="1:1">
      <c r="A3189" s="27"/>
    </row>
    <row r="3190" spans="1:1">
      <c r="A3190" s="27"/>
    </row>
    <row r="3191" spans="1:1">
      <c r="A3191" s="27"/>
    </row>
    <row r="3192" spans="1:1">
      <c r="A3192" s="27"/>
    </row>
    <row r="3193" spans="1:1">
      <c r="A3193" s="27"/>
    </row>
    <row r="3194" spans="1:1">
      <c r="A3194" s="27"/>
    </row>
    <row r="3195" spans="1:1">
      <c r="A3195" s="27"/>
    </row>
    <row r="3196" spans="1:1">
      <c r="A3196" s="27"/>
    </row>
    <row r="3197" spans="1:1">
      <c r="A3197" s="27"/>
    </row>
    <row r="3198" spans="1:1">
      <c r="A3198" s="27"/>
    </row>
    <row r="3199" spans="1:1">
      <c r="A3199" s="27"/>
    </row>
    <row r="3200" spans="1:1">
      <c r="A3200" s="27"/>
    </row>
    <row r="3201" spans="1:1">
      <c r="A3201" s="27"/>
    </row>
    <row r="3202" spans="1:1">
      <c r="A3202" s="27"/>
    </row>
    <row r="3203" spans="1:1">
      <c r="A3203" s="27"/>
    </row>
    <row r="3204" spans="1:1">
      <c r="A3204" s="27"/>
    </row>
    <row r="3205" spans="1:1">
      <c r="A3205" s="27"/>
    </row>
    <row r="3206" spans="1:1">
      <c r="A3206" s="27"/>
    </row>
    <row r="3207" spans="1:1">
      <c r="A3207" s="27"/>
    </row>
    <row r="3208" spans="1:1">
      <c r="A3208" s="27"/>
    </row>
    <row r="3209" spans="1:1">
      <c r="A3209" s="27"/>
    </row>
    <row r="3210" spans="1:1">
      <c r="A3210" s="27"/>
    </row>
    <row r="3211" spans="1:1">
      <c r="A3211" s="27"/>
    </row>
    <row r="3212" spans="1:1">
      <c r="A3212" s="27"/>
    </row>
    <row r="3213" spans="1:1">
      <c r="A3213" s="27"/>
    </row>
    <row r="3214" spans="1:1">
      <c r="A3214" s="27"/>
    </row>
    <row r="3215" spans="1:1">
      <c r="A3215" s="27"/>
    </row>
    <row r="3216" spans="1:1">
      <c r="A3216" s="27"/>
    </row>
    <row r="3217" spans="1:1">
      <c r="A3217" s="27"/>
    </row>
    <row r="3218" spans="1:1">
      <c r="A3218" s="27"/>
    </row>
    <row r="3219" spans="1:1">
      <c r="A3219" s="27"/>
    </row>
    <row r="3220" spans="1:1">
      <c r="A3220" s="27"/>
    </row>
    <row r="3221" spans="1:1">
      <c r="A3221" s="27"/>
    </row>
    <row r="3222" spans="1:1">
      <c r="A3222" s="27"/>
    </row>
    <row r="3223" spans="1:1">
      <c r="A3223" s="27"/>
    </row>
    <row r="3224" spans="1:1">
      <c r="A3224" s="27"/>
    </row>
    <row r="3225" spans="1:1">
      <c r="A3225" s="27"/>
    </row>
    <row r="3226" spans="1:1">
      <c r="A3226" s="27"/>
    </row>
    <row r="3227" spans="1:1">
      <c r="A3227" s="27"/>
    </row>
    <row r="3228" spans="1:1">
      <c r="A3228" s="27"/>
    </row>
    <row r="3229" spans="1:1">
      <c r="A3229" s="27"/>
    </row>
    <row r="3230" spans="1:1">
      <c r="A3230" s="27"/>
    </row>
    <row r="3231" spans="1:1">
      <c r="A3231" s="27"/>
    </row>
    <row r="3232" spans="1:1">
      <c r="A3232" s="27"/>
    </row>
    <row r="3233" spans="1:1">
      <c r="A3233" s="27"/>
    </row>
    <row r="3234" spans="1:1">
      <c r="A3234" s="27"/>
    </row>
    <row r="3235" spans="1:1">
      <c r="A3235" s="27"/>
    </row>
    <row r="3236" spans="1:1">
      <c r="A3236" s="27"/>
    </row>
    <row r="3237" spans="1:1">
      <c r="A3237" s="27"/>
    </row>
    <row r="3238" spans="1:1">
      <c r="A3238" s="27"/>
    </row>
    <row r="3239" spans="1:1">
      <c r="A3239" s="27"/>
    </row>
    <row r="3240" spans="1:1">
      <c r="A3240" s="27"/>
    </row>
    <row r="3241" spans="1:1">
      <c r="A3241" s="27"/>
    </row>
    <row r="3242" spans="1:1">
      <c r="A3242" s="27"/>
    </row>
    <row r="3243" spans="1:1">
      <c r="A3243" s="27"/>
    </row>
    <row r="3244" spans="1:1">
      <c r="A3244" s="27"/>
    </row>
    <row r="3245" spans="1:1">
      <c r="A3245" s="27"/>
    </row>
    <row r="3246" spans="1:1">
      <c r="A3246" s="27"/>
    </row>
    <row r="3247" spans="1:1">
      <c r="A3247" s="27"/>
    </row>
    <row r="3248" spans="1:1">
      <c r="A3248" s="27"/>
    </row>
    <row r="3249" spans="1:1">
      <c r="A3249" s="27"/>
    </row>
    <row r="3250" spans="1:1">
      <c r="A3250" s="27"/>
    </row>
    <row r="3251" spans="1:1">
      <c r="A3251" s="27"/>
    </row>
    <row r="3252" spans="1:1">
      <c r="A3252" s="27"/>
    </row>
    <row r="3253" spans="1:1">
      <c r="A3253" s="27"/>
    </row>
    <row r="3254" spans="1:1">
      <c r="A3254" s="27"/>
    </row>
    <row r="3255" spans="1:1">
      <c r="A3255" s="27"/>
    </row>
    <row r="3256" spans="1:1">
      <c r="A3256" s="27"/>
    </row>
    <row r="3257" spans="1:1">
      <c r="A3257" s="27"/>
    </row>
    <row r="3258" spans="1:1">
      <c r="A3258" s="27"/>
    </row>
    <row r="3259" spans="1:1">
      <c r="A3259" s="27"/>
    </row>
    <row r="3260" spans="1:1">
      <c r="A3260" s="27"/>
    </row>
    <row r="3261" spans="1:1">
      <c r="A3261" s="27"/>
    </row>
    <row r="3262" spans="1:1">
      <c r="A3262" s="27"/>
    </row>
    <row r="3263" spans="1:1">
      <c r="A3263" s="27"/>
    </row>
    <row r="3264" spans="1:1">
      <c r="A3264" s="27"/>
    </row>
    <row r="3265" spans="1:1">
      <c r="A3265" s="27"/>
    </row>
    <row r="3266" spans="1:1">
      <c r="A3266" s="27"/>
    </row>
    <row r="3267" spans="1:1">
      <c r="A3267" s="27"/>
    </row>
    <row r="3268" spans="1:1">
      <c r="A3268" s="27"/>
    </row>
    <row r="3269" spans="1:1">
      <c r="A3269" s="27"/>
    </row>
    <row r="3270" spans="1:1">
      <c r="A3270" s="27"/>
    </row>
    <row r="3271" spans="1:1">
      <c r="A3271" s="27"/>
    </row>
    <row r="3272" spans="1:1">
      <c r="A3272" s="27"/>
    </row>
    <row r="3273" spans="1:1">
      <c r="A3273" s="27"/>
    </row>
    <row r="3274" spans="1:1">
      <c r="A3274" s="27"/>
    </row>
    <row r="3275" spans="1:1">
      <c r="A3275" s="27"/>
    </row>
    <row r="3276" spans="1:1">
      <c r="A3276" s="27"/>
    </row>
    <row r="3277" spans="1:1">
      <c r="A3277" s="27"/>
    </row>
    <row r="3278" spans="1:1">
      <c r="A3278" s="27"/>
    </row>
    <row r="3279" spans="1:1">
      <c r="A3279" s="27"/>
    </row>
    <row r="3280" spans="1:1">
      <c r="A3280" s="27"/>
    </row>
    <row r="3281" spans="1:1">
      <c r="A3281" s="27"/>
    </row>
    <row r="3282" spans="1:1">
      <c r="A3282" s="27"/>
    </row>
    <row r="3283" spans="1:1">
      <c r="A3283" s="27"/>
    </row>
    <row r="3284" spans="1:1">
      <c r="A3284" s="27"/>
    </row>
    <row r="3285" spans="1:1">
      <c r="A3285" s="27"/>
    </row>
    <row r="3286" spans="1:1">
      <c r="A3286" s="27"/>
    </row>
    <row r="3287" spans="1:1">
      <c r="A3287" s="27"/>
    </row>
    <row r="3288" spans="1:1">
      <c r="A3288" s="27"/>
    </row>
    <row r="3289" spans="1:1">
      <c r="A3289" s="27"/>
    </row>
    <row r="3290" spans="1:1">
      <c r="A3290" s="27"/>
    </row>
    <row r="3291" spans="1:1">
      <c r="A3291" s="27"/>
    </row>
    <row r="3292" spans="1:1">
      <c r="A3292" s="27"/>
    </row>
    <row r="3293" spans="1:1">
      <c r="A3293" s="27"/>
    </row>
    <row r="3294" spans="1:1">
      <c r="A3294" s="27"/>
    </row>
    <row r="3295" spans="1:1">
      <c r="A3295" s="27"/>
    </row>
    <row r="3296" spans="1:1">
      <c r="A3296" s="27"/>
    </row>
    <row r="3297" spans="1:1">
      <c r="A3297" s="27"/>
    </row>
    <row r="3298" spans="1:1">
      <c r="A3298" s="27"/>
    </row>
    <row r="3299" spans="1:1">
      <c r="A3299" s="27"/>
    </row>
    <row r="3300" spans="1:1">
      <c r="A3300" s="27"/>
    </row>
    <row r="3301" spans="1:1">
      <c r="A3301" s="27"/>
    </row>
    <row r="3302" spans="1:1">
      <c r="A3302" s="27"/>
    </row>
    <row r="3303" spans="1:1">
      <c r="A3303" s="27"/>
    </row>
    <row r="3304" spans="1:1">
      <c r="A3304" s="27"/>
    </row>
    <row r="3305" spans="1:1">
      <c r="A3305" s="27"/>
    </row>
    <row r="3306" spans="1:1">
      <c r="A3306" s="27"/>
    </row>
    <row r="3307" spans="1:1">
      <c r="A3307" s="27"/>
    </row>
    <row r="3308" spans="1:1">
      <c r="A3308" s="27"/>
    </row>
    <row r="3309" spans="1:1">
      <c r="A3309" s="27"/>
    </row>
    <row r="3310" spans="1:1">
      <c r="A3310" s="27"/>
    </row>
    <row r="3311" spans="1:1">
      <c r="A3311" s="27"/>
    </row>
    <row r="3312" spans="1:1">
      <c r="A3312" s="27"/>
    </row>
    <row r="3313" spans="1:1">
      <c r="A3313" s="27"/>
    </row>
    <row r="3314" spans="1:1">
      <c r="A3314" s="27"/>
    </row>
    <row r="3315" spans="1:1">
      <c r="A3315" s="27"/>
    </row>
    <row r="3316" spans="1:1">
      <c r="A3316" s="27"/>
    </row>
    <row r="3317" spans="1:1">
      <c r="A3317" s="27"/>
    </row>
    <row r="3318" spans="1:1">
      <c r="A3318" s="27"/>
    </row>
    <row r="3319" spans="1:1">
      <c r="A3319" s="27"/>
    </row>
    <row r="3320" spans="1:1">
      <c r="A3320" s="27"/>
    </row>
    <row r="3321" spans="1:1">
      <c r="A3321" s="27"/>
    </row>
    <row r="3322" spans="1:1">
      <c r="A3322" s="27"/>
    </row>
    <row r="3323" spans="1:1">
      <c r="A3323" s="27"/>
    </row>
    <row r="3324" spans="1:1">
      <c r="A3324" s="27"/>
    </row>
    <row r="3325" spans="1:1">
      <c r="A3325" s="27"/>
    </row>
    <row r="3326" spans="1:1">
      <c r="A3326" s="27"/>
    </row>
    <row r="3327" spans="1:1">
      <c r="A3327" s="27"/>
    </row>
    <row r="3328" spans="1:1">
      <c r="A3328" s="27"/>
    </row>
    <row r="3329" spans="1:1">
      <c r="A3329" s="27"/>
    </row>
    <row r="3330" spans="1:1">
      <c r="A3330" s="27"/>
    </row>
    <row r="3331" spans="1:1">
      <c r="A3331" s="27"/>
    </row>
    <row r="3332" spans="1:1">
      <c r="A3332" s="27"/>
    </row>
    <row r="3333" spans="1:1">
      <c r="A3333" s="27"/>
    </row>
    <row r="3334" spans="1:1">
      <c r="A3334" s="27"/>
    </row>
    <row r="3335" spans="1:1">
      <c r="A3335" s="27"/>
    </row>
    <row r="3336" spans="1:1">
      <c r="A3336" s="27"/>
    </row>
    <row r="3337" spans="1:1">
      <c r="A3337" s="27"/>
    </row>
    <row r="3338" spans="1:1">
      <c r="A3338" s="27"/>
    </row>
    <row r="3339" spans="1:1">
      <c r="A3339" s="27"/>
    </row>
    <row r="3340" spans="1:1">
      <c r="A3340" s="27"/>
    </row>
    <row r="3341" spans="1:1">
      <c r="A3341" s="27"/>
    </row>
    <row r="3342" spans="1:1">
      <c r="A3342" s="27"/>
    </row>
    <row r="3343" spans="1:1">
      <c r="A3343" s="27"/>
    </row>
    <row r="3344" spans="1:1">
      <c r="A3344" s="27"/>
    </row>
    <row r="3345" spans="1:1">
      <c r="A3345" s="27"/>
    </row>
    <row r="3346" spans="1:1">
      <c r="A3346" s="27"/>
    </row>
    <row r="3347" spans="1:1">
      <c r="A3347" s="27"/>
    </row>
    <row r="3348" spans="1:1">
      <c r="A3348" s="27"/>
    </row>
    <row r="3349" spans="1:1">
      <c r="A3349" s="27"/>
    </row>
    <row r="3350" spans="1:1">
      <c r="A3350" s="27"/>
    </row>
    <row r="3351" spans="1:1">
      <c r="A3351" s="27"/>
    </row>
    <row r="3352" spans="1:1">
      <c r="A3352" s="27"/>
    </row>
    <row r="3353" spans="1:1">
      <c r="A3353" s="27"/>
    </row>
    <row r="3354" spans="1:1">
      <c r="A3354" s="27"/>
    </row>
    <row r="3355" spans="1:1">
      <c r="A3355" s="27"/>
    </row>
    <row r="3356" spans="1:1">
      <c r="A3356" s="27"/>
    </row>
    <row r="3357" spans="1:1">
      <c r="A3357" s="27"/>
    </row>
    <row r="3358" spans="1:1">
      <c r="A3358" s="27"/>
    </row>
    <row r="3359" spans="1:1">
      <c r="A3359" s="27"/>
    </row>
    <row r="3360" spans="1:1">
      <c r="A3360" s="27"/>
    </row>
    <row r="3361" spans="1:1">
      <c r="A3361" s="27"/>
    </row>
    <row r="3362" spans="1:1">
      <c r="A3362" s="27"/>
    </row>
    <row r="3363" spans="1:1">
      <c r="A3363" s="27"/>
    </row>
    <row r="3364" spans="1:1">
      <c r="A3364" s="27"/>
    </row>
    <row r="3365" spans="1:1">
      <c r="A3365" s="27"/>
    </row>
    <row r="3366" spans="1:1">
      <c r="A3366" s="27"/>
    </row>
    <row r="3367" spans="1:1">
      <c r="A3367" s="27"/>
    </row>
    <row r="3368" spans="1:1">
      <c r="A3368" s="27"/>
    </row>
    <row r="3369" spans="1:1">
      <c r="A3369" s="27"/>
    </row>
    <row r="3370" spans="1:1">
      <c r="A3370" s="27"/>
    </row>
    <row r="3371" spans="1:1">
      <c r="A3371" s="27"/>
    </row>
    <row r="3372" spans="1:1">
      <c r="A3372" s="27"/>
    </row>
    <row r="3373" spans="1:1">
      <c r="A3373" s="27"/>
    </row>
    <row r="3374" spans="1:1">
      <c r="A3374" s="27"/>
    </row>
    <row r="3375" spans="1:1">
      <c r="A3375" s="27"/>
    </row>
    <row r="3376" spans="1:1">
      <c r="A3376" s="27"/>
    </row>
    <row r="3377" spans="1:1">
      <c r="A3377" s="27"/>
    </row>
    <row r="3378" spans="1:1">
      <c r="A3378" s="27"/>
    </row>
    <row r="3379" spans="1:1">
      <c r="A3379" s="27"/>
    </row>
    <row r="3380" spans="1:1">
      <c r="A3380" s="27"/>
    </row>
    <row r="3381" spans="1:1">
      <c r="A3381" s="27"/>
    </row>
    <row r="3382" spans="1:1">
      <c r="A3382" s="27"/>
    </row>
    <row r="3383" spans="1:1">
      <c r="A3383" s="27"/>
    </row>
    <row r="3384" spans="1:1">
      <c r="A3384" s="27"/>
    </row>
    <row r="3385" spans="1:1">
      <c r="A3385" s="27"/>
    </row>
    <row r="3386" spans="1:1">
      <c r="A3386" s="27"/>
    </row>
    <row r="3387" spans="1:1">
      <c r="A3387" s="27"/>
    </row>
    <row r="3388" spans="1:1">
      <c r="A3388" s="27"/>
    </row>
    <row r="3389" spans="1:1">
      <c r="A3389" s="27"/>
    </row>
    <row r="3390" spans="1:1">
      <c r="A3390" s="27"/>
    </row>
    <row r="3391" spans="1:1">
      <c r="A3391" s="27"/>
    </row>
    <row r="3392" spans="1:1">
      <c r="A3392" s="27"/>
    </row>
    <row r="3393" spans="1:1">
      <c r="A3393" s="27"/>
    </row>
    <row r="3394" spans="1:1">
      <c r="A3394" s="27"/>
    </row>
    <row r="3395" spans="1:1">
      <c r="A3395" s="27"/>
    </row>
    <row r="3396" spans="1:1">
      <c r="A3396" s="27"/>
    </row>
    <row r="3397" spans="1:1">
      <c r="A3397" s="27"/>
    </row>
    <row r="3398" spans="1:1">
      <c r="A3398" s="27"/>
    </row>
    <row r="3399" spans="1:1">
      <c r="A3399" s="27"/>
    </row>
    <row r="3400" spans="1:1">
      <c r="A3400" s="27"/>
    </row>
    <row r="3401" spans="1:1">
      <c r="A3401" s="27"/>
    </row>
    <row r="3402" spans="1:1">
      <c r="A3402" s="27"/>
    </row>
    <row r="3403" spans="1:1">
      <c r="A3403" s="27"/>
    </row>
    <row r="3404" spans="1:1">
      <c r="A3404" s="27"/>
    </row>
    <row r="3405" spans="1:1">
      <c r="A3405" s="27"/>
    </row>
    <row r="3406" spans="1:1">
      <c r="A3406" s="27"/>
    </row>
    <row r="3407" spans="1:1">
      <c r="A3407" s="27"/>
    </row>
    <row r="3408" spans="1:1">
      <c r="A3408" s="27"/>
    </row>
    <row r="3409" spans="1:1">
      <c r="A3409" s="27"/>
    </row>
    <row r="3410" spans="1:1">
      <c r="A3410" s="27"/>
    </row>
    <row r="3411" spans="1:1">
      <c r="A3411" s="27"/>
    </row>
    <row r="3412" spans="1:1">
      <c r="A3412" s="27"/>
    </row>
    <row r="3413" spans="1:1">
      <c r="A3413" s="27"/>
    </row>
    <row r="3414" spans="1:1">
      <c r="A3414" s="27"/>
    </row>
    <row r="3415" spans="1:1">
      <c r="A3415" s="27"/>
    </row>
    <row r="3416" spans="1:1">
      <c r="A3416" s="27"/>
    </row>
    <row r="3417" spans="1:1">
      <c r="A3417" s="27"/>
    </row>
    <row r="3418" spans="1:1">
      <c r="A3418" s="27"/>
    </row>
    <row r="3419" spans="1:1">
      <c r="A3419" s="27"/>
    </row>
    <row r="3420" spans="1:1">
      <c r="A3420" s="27"/>
    </row>
    <row r="3421" spans="1:1">
      <c r="A3421" s="27"/>
    </row>
    <row r="3422" spans="1:1">
      <c r="A3422" s="27"/>
    </row>
    <row r="3423" spans="1:1">
      <c r="A3423" s="27"/>
    </row>
    <row r="3424" spans="1:1">
      <c r="A3424" s="27"/>
    </row>
    <row r="3425" spans="1:1">
      <c r="A3425" s="27"/>
    </row>
    <row r="3426" spans="1:1">
      <c r="A3426" s="27"/>
    </row>
    <row r="3427" spans="1:1">
      <c r="A3427" s="27"/>
    </row>
    <row r="3428" spans="1:1">
      <c r="A3428" s="27"/>
    </row>
    <row r="3429" spans="1:1">
      <c r="A3429" s="27"/>
    </row>
    <row r="3430" spans="1:1">
      <c r="A3430" s="27"/>
    </row>
    <row r="3431" spans="1:1">
      <c r="A3431" s="27"/>
    </row>
    <row r="3432" spans="1:1">
      <c r="A3432" s="27"/>
    </row>
    <row r="3433" spans="1:1">
      <c r="A3433" s="27"/>
    </row>
    <row r="3434" spans="1:1">
      <c r="A3434" s="27"/>
    </row>
    <row r="3435" spans="1:1">
      <c r="A3435" s="27"/>
    </row>
    <row r="3436" spans="1:1">
      <c r="A3436" s="27"/>
    </row>
    <row r="3437" spans="1:1">
      <c r="A3437" s="27"/>
    </row>
    <row r="3438" spans="1:1">
      <c r="A3438" s="27"/>
    </row>
    <row r="3439" spans="1:1">
      <c r="A3439" s="27"/>
    </row>
    <row r="3440" spans="1:1">
      <c r="A3440" s="27"/>
    </row>
    <row r="3441" spans="1:1">
      <c r="A3441" s="27"/>
    </row>
    <row r="3442" spans="1:1">
      <c r="A3442" s="27"/>
    </row>
    <row r="3443" spans="1:1">
      <c r="A3443" s="27"/>
    </row>
    <row r="3444" spans="1:1">
      <c r="A3444" s="27"/>
    </row>
    <row r="3445" spans="1:1">
      <c r="A3445" s="27"/>
    </row>
    <row r="3446" spans="1:1">
      <c r="A3446" s="27"/>
    </row>
    <row r="3447" spans="1:1">
      <c r="A3447" s="27"/>
    </row>
    <row r="3448" spans="1:1">
      <c r="A3448" s="27"/>
    </row>
    <row r="3449" spans="1:1">
      <c r="A3449" s="27"/>
    </row>
    <row r="3450" spans="1:1">
      <c r="A3450" s="27"/>
    </row>
    <row r="3451" spans="1:1">
      <c r="A3451" s="27"/>
    </row>
    <row r="3452" spans="1:1">
      <c r="A3452" s="27"/>
    </row>
    <row r="3453" spans="1:1">
      <c r="A3453" s="27"/>
    </row>
    <row r="3454" spans="1:1">
      <c r="A3454" s="27"/>
    </row>
    <row r="3455" spans="1:1">
      <c r="A3455" s="27"/>
    </row>
    <row r="3456" spans="1:1">
      <c r="A3456" s="27"/>
    </row>
    <row r="3457" spans="1:1">
      <c r="A3457" s="27"/>
    </row>
    <row r="3458" spans="1:1">
      <c r="A3458" s="27"/>
    </row>
    <row r="3459" spans="1:1">
      <c r="A3459" s="27"/>
    </row>
    <row r="3460" spans="1:1">
      <c r="A3460" s="27"/>
    </row>
    <row r="3461" spans="1:1">
      <c r="A3461" s="27"/>
    </row>
    <row r="3462" spans="1:1">
      <c r="A3462" s="27"/>
    </row>
    <row r="3463" spans="1:1">
      <c r="A3463" s="27"/>
    </row>
    <row r="3464" spans="1:1">
      <c r="A3464" s="27"/>
    </row>
    <row r="3465" spans="1:1">
      <c r="A3465" s="27"/>
    </row>
    <row r="3466" spans="1:1">
      <c r="A3466" s="27"/>
    </row>
    <row r="3467" spans="1:1">
      <c r="A3467" s="27"/>
    </row>
    <row r="3468" spans="1:1">
      <c r="A3468" s="27"/>
    </row>
    <row r="3469" spans="1:1">
      <c r="A3469" s="27"/>
    </row>
    <row r="3470" spans="1:1">
      <c r="A3470" s="27"/>
    </row>
    <row r="3471" spans="1:1">
      <c r="A3471" s="27"/>
    </row>
    <row r="3472" spans="1:1">
      <c r="A3472" s="27"/>
    </row>
    <row r="3473" spans="1:1">
      <c r="A3473" s="27"/>
    </row>
    <row r="3474" spans="1:1">
      <c r="A3474" s="27"/>
    </row>
    <row r="3475" spans="1:1">
      <c r="A3475" s="27"/>
    </row>
    <row r="3476" spans="1:1">
      <c r="A3476" s="27"/>
    </row>
    <row r="3477" spans="1:1">
      <c r="A3477" s="27"/>
    </row>
    <row r="3478" spans="1:1">
      <c r="A3478" s="27"/>
    </row>
    <row r="3479" spans="1:1">
      <c r="A3479" s="27"/>
    </row>
    <row r="3480" spans="1:1">
      <c r="A3480" s="27"/>
    </row>
    <row r="3481" spans="1:1">
      <c r="A3481" s="27"/>
    </row>
    <row r="3482" spans="1:1">
      <c r="A3482" s="27"/>
    </row>
    <row r="3483" spans="1:1">
      <c r="A3483" s="27"/>
    </row>
    <row r="3484" spans="1:1">
      <c r="A3484" s="27"/>
    </row>
    <row r="3485" spans="1:1">
      <c r="A3485" s="27"/>
    </row>
    <row r="3486" spans="1:1">
      <c r="A3486" s="27"/>
    </row>
    <row r="3487" spans="1:1">
      <c r="A3487" s="27"/>
    </row>
    <row r="3488" spans="1:1">
      <c r="A3488" s="27"/>
    </row>
    <row r="3489" spans="1:1">
      <c r="A3489" s="27"/>
    </row>
    <row r="3490" spans="1:1">
      <c r="A3490" s="27"/>
    </row>
    <row r="3491" spans="1:1">
      <c r="A3491" s="27"/>
    </row>
    <row r="3492" spans="1:1">
      <c r="A3492" s="27"/>
    </row>
    <row r="3493" spans="1:1">
      <c r="A3493" s="27"/>
    </row>
    <row r="3494" spans="1:1">
      <c r="A3494" s="27"/>
    </row>
    <row r="3495" spans="1:1">
      <c r="A3495" s="27"/>
    </row>
    <row r="3496" spans="1:1">
      <c r="A3496" s="27"/>
    </row>
    <row r="3497" spans="1:1">
      <c r="A3497" s="27"/>
    </row>
    <row r="3498" spans="1:1">
      <c r="A3498" s="27"/>
    </row>
    <row r="3499" spans="1:1">
      <c r="A3499" s="27"/>
    </row>
    <row r="3500" spans="1:1">
      <c r="A3500" s="27"/>
    </row>
    <row r="3501" spans="1:1">
      <c r="A3501" s="27"/>
    </row>
    <row r="3502" spans="1:1">
      <c r="A3502" s="27"/>
    </row>
    <row r="3503" spans="1:1">
      <c r="A3503" s="27"/>
    </row>
    <row r="3504" spans="1:1">
      <c r="A3504" s="27"/>
    </row>
    <row r="3505" spans="1:1">
      <c r="A3505" s="27"/>
    </row>
    <row r="3506" spans="1:1">
      <c r="A3506" s="27"/>
    </row>
    <row r="3507" spans="1:1">
      <c r="A3507" s="27"/>
    </row>
    <row r="3508" spans="1:1">
      <c r="A3508" s="27"/>
    </row>
    <row r="3509" spans="1:1">
      <c r="A3509" s="27"/>
    </row>
    <row r="3510" spans="1:1">
      <c r="A3510" s="27"/>
    </row>
    <row r="3511" spans="1:1">
      <c r="A3511" s="27"/>
    </row>
    <row r="3512" spans="1:1">
      <c r="A3512" s="27"/>
    </row>
    <row r="3513" spans="1:1">
      <c r="A3513" s="27"/>
    </row>
    <row r="3514" spans="1:1">
      <c r="A3514" s="27"/>
    </row>
    <row r="3515" spans="1:1">
      <c r="A3515" s="27"/>
    </row>
    <row r="3516" spans="1:1">
      <c r="A3516" s="27"/>
    </row>
    <row r="3517" spans="1:1">
      <c r="A3517" s="27"/>
    </row>
    <row r="3518" spans="1:1">
      <c r="A3518" s="27"/>
    </row>
    <row r="3519" spans="1:1">
      <c r="A3519" s="27"/>
    </row>
    <row r="3520" spans="1:1">
      <c r="A3520" s="27"/>
    </row>
    <row r="3521" spans="1:1">
      <c r="A3521" s="27"/>
    </row>
    <row r="3522" spans="1:1">
      <c r="A3522" s="27"/>
    </row>
    <row r="3523" spans="1:1">
      <c r="A3523" s="27"/>
    </row>
    <row r="3524" spans="1:1">
      <c r="A3524" s="27"/>
    </row>
    <row r="3525" spans="1:1">
      <c r="A3525" s="27"/>
    </row>
    <row r="3526" spans="1:1">
      <c r="A3526" s="27"/>
    </row>
    <row r="3527" spans="1:1">
      <c r="A3527" s="27"/>
    </row>
    <row r="3528" spans="1:1">
      <c r="A3528" s="27"/>
    </row>
    <row r="3529" spans="1:1">
      <c r="A3529" s="27"/>
    </row>
    <row r="3530" spans="1:1">
      <c r="A3530" s="27"/>
    </row>
    <row r="3531" spans="1:1">
      <c r="A3531" s="27"/>
    </row>
    <row r="3532" spans="1:1">
      <c r="A3532" s="27"/>
    </row>
    <row r="3533" spans="1:1">
      <c r="A3533" s="27"/>
    </row>
    <row r="3534" spans="1:1">
      <c r="A3534" s="27"/>
    </row>
    <row r="3535" spans="1:1">
      <c r="A3535" s="27"/>
    </row>
    <row r="3536" spans="1:1">
      <c r="A3536" s="27"/>
    </row>
    <row r="3537" spans="1:1">
      <c r="A3537" s="27"/>
    </row>
    <row r="3538" spans="1:1">
      <c r="A3538" s="27"/>
    </row>
    <row r="3539" spans="1:1">
      <c r="A3539" s="27"/>
    </row>
    <row r="3540" spans="1:1">
      <c r="A3540" s="27"/>
    </row>
    <row r="3541" spans="1:1">
      <c r="A3541" s="27"/>
    </row>
    <row r="3542" spans="1:1">
      <c r="A3542" s="27"/>
    </row>
    <row r="3543" spans="1:1">
      <c r="A3543" s="27"/>
    </row>
    <row r="3544" spans="1:1">
      <c r="A3544" s="27"/>
    </row>
    <row r="3545" spans="1:1">
      <c r="A3545" s="27"/>
    </row>
    <row r="3546" spans="1:1">
      <c r="A3546" s="27"/>
    </row>
    <row r="3547" spans="1:1">
      <c r="A3547" s="27"/>
    </row>
    <row r="3548" spans="1:1">
      <c r="A3548" s="27"/>
    </row>
    <row r="3549" spans="1:1">
      <c r="A3549" s="27"/>
    </row>
    <row r="3550" spans="1:1">
      <c r="A3550" s="27"/>
    </row>
    <row r="3551" spans="1:1">
      <c r="A3551" s="27"/>
    </row>
    <row r="3552" spans="1:1">
      <c r="A3552" s="27"/>
    </row>
    <row r="3553" spans="1:1">
      <c r="A3553" s="27"/>
    </row>
    <row r="3554" spans="1:1">
      <c r="A3554" s="27"/>
    </row>
    <row r="3555" spans="1:1">
      <c r="A3555" s="27"/>
    </row>
    <row r="3556" spans="1:1">
      <c r="A3556" s="27"/>
    </row>
    <row r="3557" spans="1:1">
      <c r="A3557" s="27"/>
    </row>
    <row r="3558" spans="1:1">
      <c r="A3558" s="27"/>
    </row>
    <row r="3559" spans="1:1">
      <c r="A3559" s="27"/>
    </row>
    <row r="3560" spans="1:1">
      <c r="A3560" s="27"/>
    </row>
    <row r="3561" spans="1:1">
      <c r="A3561" s="27"/>
    </row>
    <row r="3562" spans="1:1">
      <c r="A3562" s="27"/>
    </row>
    <row r="3563" spans="1:1">
      <c r="A3563" s="27"/>
    </row>
    <row r="3564" spans="1:1">
      <c r="A3564" s="27"/>
    </row>
    <row r="3565" spans="1:1">
      <c r="A3565" s="27"/>
    </row>
    <row r="3566" spans="1:1">
      <c r="A3566" s="27"/>
    </row>
    <row r="3567" spans="1:1">
      <c r="A3567" s="27"/>
    </row>
    <row r="3568" spans="1:1">
      <c r="A3568" s="27"/>
    </row>
    <row r="3569" spans="1:1">
      <c r="A3569" s="27"/>
    </row>
    <row r="3570" spans="1:1">
      <c r="A3570" s="27"/>
    </row>
    <row r="3571" spans="1:1">
      <c r="A3571" s="27"/>
    </row>
    <row r="3572" spans="1:1">
      <c r="A3572" s="27"/>
    </row>
    <row r="3573" spans="1:1">
      <c r="A3573" s="27"/>
    </row>
    <row r="3574" spans="1:1">
      <c r="A3574" s="27"/>
    </row>
    <row r="3575" spans="1:1">
      <c r="A3575" s="27"/>
    </row>
    <row r="3576" spans="1:1">
      <c r="A3576" s="27"/>
    </row>
    <row r="3577" spans="1:1">
      <c r="A3577" s="27"/>
    </row>
    <row r="3578" spans="1:1">
      <c r="A3578" s="27"/>
    </row>
    <row r="3579" spans="1:1">
      <c r="A3579" s="27"/>
    </row>
    <row r="3580" spans="1:1">
      <c r="A3580" s="27"/>
    </row>
    <row r="3581" spans="1:1">
      <c r="A3581" s="27"/>
    </row>
    <row r="3582" spans="1:1">
      <c r="A3582" s="27"/>
    </row>
    <row r="3583" spans="1:1">
      <c r="A3583" s="27"/>
    </row>
    <row r="3584" spans="1:1">
      <c r="A3584" s="27"/>
    </row>
    <row r="3585" spans="1:1">
      <c r="A3585" s="27"/>
    </row>
    <row r="3586" spans="1:1">
      <c r="A3586" s="27"/>
    </row>
    <row r="3587" spans="1:1">
      <c r="A3587" s="27"/>
    </row>
    <row r="3588" spans="1:1">
      <c r="A3588" s="27"/>
    </row>
    <row r="3589" spans="1:1">
      <c r="A3589" s="27"/>
    </row>
    <row r="3590" spans="1:1">
      <c r="A3590" s="27"/>
    </row>
    <row r="3591" spans="1:1">
      <c r="A3591" s="27"/>
    </row>
    <row r="3592" spans="1:1">
      <c r="A3592" s="27"/>
    </row>
    <row r="3593" spans="1:1">
      <c r="A3593" s="27"/>
    </row>
    <row r="3594" spans="1:1">
      <c r="A3594" s="27"/>
    </row>
    <row r="3595" spans="1:1">
      <c r="A3595" s="27"/>
    </row>
    <row r="3596" spans="1:1">
      <c r="A3596" s="27"/>
    </row>
    <row r="3597" spans="1:1">
      <c r="A3597" s="27"/>
    </row>
    <row r="3598" spans="1:1">
      <c r="A3598" s="27"/>
    </row>
    <row r="3599" spans="1:1">
      <c r="A3599" s="27"/>
    </row>
    <row r="3600" spans="1:1">
      <c r="A3600" s="27"/>
    </row>
    <row r="3601" spans="1:1">
      <c r="A3601" s="27"/>
    </row>
    <row r="3602" spans="1:1">
      <c r="A3602" s="27"/>
    </row>
    <row r="3603" spans="1:1">
      <c r="A3603" s="27"/>
    </row>
    <row r="3604" spans="1:1">
      <c r="A3604" s="27"/>
    </row>
    <row r="3605" spans="1:1">
      <c r="A3605" s="27"/>
    </row>
    <row r="3606" spans="1:1">
      <c r="A3606" s="27"/>
    </row>
    <row r="3607" spans="1:1">
      <c r="A3607" s="27"/>
    </row>
    <row r="3608" spans="1:1">
      <c r="A3608" s="27"/>
    </row>
    <row r="3609" spans="1:1">
      <c r="A3609" s="27"/>
    </row>
    <row r="3610" spans="1:1">
      <c r="A3610" s="27"/>
    </row>
    <row r="3611" spans="1:1">
      <c r="A3611" s="27"/>
    </row>
    <row r="3612" spans="1:1">
      <c r="A3612" s="27"/>
    </row>
    <row r="3613" spans="1:1">
      <c r="A3613" s="27"/>
    </row>
    <row r="3614" spans="1:1">
      <c r="A3614" s="27"/>
    </row>
    <row r="3615" spans="1:1">
      <c r="A3615" s="27"/>
    </row>
    <row r="3616" spans="1:1">
      <c r="A3616" s="27"/>
    </row>
    <row r="3617" spans="1:1">
      <c r="A3617" s="27"/>
    </row>
    <row r="3618" spans="1:1">
      <c r="A3618" s="27"/>
    </row>
    <row r="3619" spans="1:1">
      <c r="A3619" s="27"/>
    </row>
    <row r="3620" spans="1:1">
      <c r="A3620" s="27"/>
    </row>
    <row r="3621" spans="1:1">
      <c r="A3621" s="27"/>
    </row>
    <row r="3622" spans="1:1">
      <c r="A3622" s="27"/>
    </row>
    <row r="3623" spans="1:1">
      <c r="A3623" s="27"/>
    </row>
    <row r="3624" spans="1:1">
      <c r="A3624" s="27"/>
    </row>
    <row r="3625" spans="1:1">
      <c r="A3625" s="27"/>
    </row>
    <row r="3626" spans="1:1">
      <c r="A3626" s="27"/>
    </row>
    <row r="3627" spans="1:1">
      <c r="A3627" s="27"/>
    </row>
    <row r="3628" spans="1:1">
      <c r="A3628" s="27"/>
    </row>
    <row r="3629" spans="1:1">
      <c r="A3629" s="27"/>
    </row>
    <row r="3630" spans="1:1">
      <c r="A3630" s="27"/>
    </row>
    <row r="3631" spans="1:1">
      <c r="A3631" s="27"/>
    </row>
    <row r="3632" spans="1:1">
      <c r="A3632" s="27"/>
    </row>
    <row r="3633" spans="1:1">
      <c r="A3633" s="27"/>
    </row>
    <row r="3634" spans="1:1">
      <c r="A3634" s="27"/>
    </row>
    <row r="3635" spans="1:1">
      <c r="A3635" s="27"/>
    </row>
    <row r="3636" spans="1:1">
      <c r="A3636" s="27"/>
    </row>
    <row r="3637" spans="1:1">
      <c r="A3637" s="27"/>
    </row>
    <row r="3638" spans="1:1">
      <c r="A3638" s="27"/>
    </row>
    <row r="3639" spans="1:1">
      <c r="A3639" s="27"/>
    </row>
    <row r="3640" spans="1:1">
      <c r="A3640" s="27"/>
    </row>
    <row r="3641" spans="1:1">
      <c r="A3641" s="27"/>
    </row>
    <row r="3642" spans="1:1">
      <c r="A3642" s="27"/>
    </row>
    <row r="3643" spans="1:1">
      <c r="A3643" s="27"/>
    </row>
    <row r="3644" spans="1:1">
      <c r="A3644" s="27"/>
    </row>
    <row r="3645" spans="1:1">
      <c r="A3645" s="27"/>
    </row>
    <row r="3646" spans="1:1">
      <c r="A3646" s="27"/>
    </row>
    <row r="3647" spans="1:1">
      <c r="A3647" s="27"/>
    </row>
    <row r="3648" spans="1:1">
      <c r="A3648" s="27"/>
    </row>
    <row r="3649" spans="1:1">
      <c r="A3649" s="27"/>
    </row>
    <row r="3650" spans="1:1">
      <c r="A3650" s="27"/>
    </row>
    <row r="3651" spans="1:1">
      <c r="A3651" s="27"/>
    </row>
    <row r="3652" spans="1:1">
      <c r="A3652" s="27"/>
    </row>
    <row r="3653" spans="1:1">
      <c r="A3653" s="27"/>
    </row>
    <row r="3654" spans="1:1">
      <c r="A3654" s="27"/>
    </row>
    <row r="3655" spans="1:1">
      <c r="A3655" s="27"/>
    </row>
    <row r="3656" spans="1:1">
      <c r="A3656" s="27"/>
    </row>
    <row r="3657" spans="1:1">
      <c r="A3657" s="27"/>
    </row>
    <row r="3658" spans="1:1">
      <c r="A3658" s="27"/>
    </row>
    <row r="3659" spans="1:1">
      <c r="A3659" s="27"/>
    </row>
    <row r="3660" spans="1:1">
      <c r="A3660" s="27"/>
    </row>
    <row r="3661" spans="1:1">
      <c r="A3661" s="27"/>
    </row>
    <row r="3662" spans="1:1">
      <c r="A3662" s="27"/>
    </row>
    <row r="3663" spans="1:1">
      <c r="A3663" s="27"/>
    </row>
    <row r="3664" spans="1:1">
      <c r="A3664" s="27"/>
    </row>
    <row r="3665" spans="1:1">
      <c r="A3665" s="27"/>
    </row>
    <row r="3666" spans="1:1">
      <c r="A3666" s="27"/>
    </row>
    <row r="3667" spans="1:1">
      <c r="A3667" s="27"/>
    </row>
    <row r="3668" spans="1:1">
      <c r="A3668" s="27"/>
    </row>
    <row r="3669" spans="1:1">
      <c r="A3669" s="27"/>
    </row>
    <row r="3670" spans="1:1">
      <c r="A3670" s="27"/>
    </row>
    <row r="3671" spans="1:1">
      <c r="A3671" s="27"/>
    </row>
    <row r="3672" spans="1:1">
      <c r="A3672" s="27"/>
    </row>
    <row r="3673" spans="1:1">
      <c r="A3673" s="27"/>
    </row>
    <row r="3674" spans="1:1">
      <c r="A3674" s="27"/>
    </row>
    <row r="3675" spans="1:1">
      <c r="A3675" s="27"/>
    </row>
    <row r="3676" spans="1:1">
      <c r="A3676" s="27"/>
    </row>
    <row r="3677" spans="1:1">
      <c r="A3677" s="27"/>
    </row>
    <row r="3678" spans="1:1">
      <c r="A3678" s="27"/>
    </row>
    <row r="3679" spans="1:1">
      <c r="A3679" s="27"/>
    </row>
    <row r="3680" spans="1:1">
      <c r="A3680" s="27"/>
    </row>
    <row r="3681" spans="1:1">
      <c r="A3681" s="27"/>
    </row>
    <row r="3682" spans="1:1">
      <c r="A3682" s="27"/>
    </row>
    <row r="3683" spans="1:1">
      <c r="A3683" s="27"/>
    </row>
    <row r="3684" spans="1:1">
      <c r="A3684" s="27"/>
    </row>
    <row r="3685" spans="1:1">
      <c r="A3685" s="27"/>
    </row>
    <row r="3686" spans="1:1">
      <c r="A3686" s="27"/>
    </row>
    <row r="3687" spans="1:1">
      <c r="A3687" s="27"/>
    </row>
    <row r="3688" spans="1:1">
      <c r="A3688" s="27"/>
    </row>
    <row r="3689" spans="1:1">
      <c r="A3689" s="27"/>
    </row>
    <row r="3690" spans="1:1">
      <c r="A3690" s="27"/>
    </row>
    <row r="3691" spans="1:1">
      <c r="A3691" s="27"/>
    </row>
    <row r="3692" spans="1:1">
      <c r="A3692" s="27"/>
    </row>
    <row r="3693" spans="1:1">
      <c r="A3693" s="27"/>
    </row>
    <row r="3694" spans="1:1">
      <c r="A3694" s="27"/>
    </row>
    <row r="3695" spans="1:1">
      <c r="A3695" s="27"/>
    </row>
    <row r="3696" spans="1:1">
      <c r="A3696" s="27"/>
    </row>
    <row r="3697" spans="1:1">
      <c r="A3697" s="27"/>
    </row>
    <row r="3698" spans="1:1">
      <c r="A3698" s="27"/>
    </row>
    <row r="3699" spans="1:1">
      <c r="A3699" s="27"/>
    </row>
    <row r="3700" spans="1:1">
      <c r="A3700" s="27"/>
    </row>
    <row r="3701" spans="1:1">
      <c r="A3701" s="27"/>
    </row>
    <row r="3702" spans="1:1">
      <c r="A3702" s="27"/>
    </row>
    <row r="3703" spans="1:1">
      <c r="A3703" s="27"/>
    </row>
    <row r="3704" spans="1:1">
      <c r="A3704" s="27"/>
    </row>
    <row r="3705" spans="1:1">
      <c r="A3705" s="27"/>
    </row>
    <row r="3706" spans="1:1">
      <c r="A3706" s="27"/>
    </row>
    <row r="3707" spans="1:1">
      <c r="A3707" s="27"/>
    </row>
    <row r="3708" spans="1:1">
      <c r="A3708" s="27"/>
    </row>
    <row r="3709" spans="1:1">
      <c r="A3709" s="27"/>
    </row>
    <row r="3710" spans="1:1">
      <c r="A3710" s="27"/>
    </row>
    <row r="3711" spans="1:1">
      <c r="A3711" s="27"/>
    </row>
    <row r="3712" spans="1:1">
      <c r="A3712" s="27"/>
    </row>
    <row r="3713" spans="1:1">
      <c r="A3713" s="27"/>
    </row>
    <row r="3714" spans="1:1">
      <c r="A3714" s="27"/>
    </row>
    <row r="3715" spans="1:1">
      <c r="A3715" s="27"/>
    </row>
    <row r="3716" spans="1:1">
      <c r="A3716" s="27"/>
    </row>
    <row r="3717" spans="1:1">
      <c r="A3717" s="27"/>
    </row>
    <row r="3718" spans="1:1">
      <c r="A3718" s="27"/>
    </row>
    <row r="3719" spans="1:1">
      <c r="A3719" s="27"/>
    </row>
    <row r="3720" spans="1:1">
      <c r="A3720" s="27"/>
    </row>
    <row r="3721" spans="1:1">
      <c r="A3721" s="27"/>
    </row>
    <row r="3722" spans="1:1">
      <c r="A3722" s="27"/>
    </row>
    <row r="3723" spans="1:1">
      <c r="A3723" s="27"/>
    </row>
    <row r="3724" spans="1:1">
      <c r="A3724" s="27"/>
    </row>
    <row r="3725" spans="1:1">
      <c r="A3725" s="27"/>
    </row>
    <row r="3726" spans="1:1">
      <c r="A3726" s="27"/>
    </row>
    <row r="3727" spans="1:1">
      <c r="A3727" s="27"/>
    </row>
    <row r="3728" spans="1:1">
      <c r="A3728" s="27"/>
    </row>
    <row r="3729" spans="1:1">
      <c r="A3729" s="27"/>
    </row>
    <row r="3730" spans="1:1">
      <c r="A3730" s="27"/>
    </row>
    <row r="3731" spans="1:1">
      <c r="A3731" s="27"/>
    </row>
    <row r="3732" spans="1:1">
      <c r="A3732" s="27"/>
    </row>
    <row r="3733" spans="1:1">
      <c r="A3733" s="27"/>
    </row>
    <row r="3734" spans="1:1">
      <c r="A3734" s="27"/>
    </row>
    <row r="3735" spans="1:1">
      <c r="A3735" s="27"/>
    </row>
    <row r="3736" spans="1:1">
      <c r="A3736" s="27"/>
    </row>
    <row r="3737" spans="1:1">
      <c r="A3737" s="27"/>
    </row>
    <row r="3738" spans="1:1">
      <c r="A3738" s="27"/>
    </row>
    <row r="3739" spans="1:1">
      <c r="A3739" s="27"/>
    </row>
    <row r="3740" spans="1:1">
      <c r="A3740" s="27"/>
    </row>
    <row r="3741" spans="1:1">
      <c r="A3741" s="27"/>
    </row>
    <row r="3742" spans="1:1">
      <c r="A3742" s="27"/>
    </row>
    <row r="3743" spans="1:1">
      <c r="A3743" s="27"/>
    </row>
    <row r="3744" spans="1:1">
      <c r="A3744" s="27"/>
    </row>
    <row r="3745" spans="1:1">
      <c r="A3745" s="27"/>
    </row>
    <row r="3746" spans="1:1">
      <c r="A3746" s="27"/>
    </row>
    <row r="3747" spans="1:1">
      <c r="A3747" s="27"/>
    </row>
    <row r="3748" spans="1:1">
      <c r="A3748" s="27"/>
    </row>
    <row r="3749" spans="1:1">
      <c r="A3749" s="27"/>
    </row>
    <row r="3750" spans="1:1">
      <c r="A3750" s="27"/>
    </row>
    <row r="3751" spans="1:1">
      <c r="A3751" s="27"/>
    </row>
    <row r="3752" spans="1:1">
      <c r="A3752" s="27"/>
    </row>
    <row r="3753" spans="1:1">
      <c r="A3753" s="27"/>
    </row>
    <row r="3754" spans="1:1">
      <c r="A3754" s="27"/>
    </row>
    <row r="3755" spans="1:1">
      <c r="A3755" s="27"/>
    </row>
    <row r="3756" spans="1:1">
      <c r="A3756" s="27"/>
    </row>
    <row r="3757" spans="1:1">
      <c r="A3757" s="27"/>
    </row>
    <row r="3758" spans="1:1">
      <c r="A3758" s="27"/>
    </row>
    <row r="3759" spans="1:1">
      <c r="A3759" s="27"/>
    </row>
    <row r="3760" spans="1:1">
      <c r="A3760" s="27"/>
    </row>
    <row r="3761" spans="1:1">
      <c r="A3761" s="27"/>
    </row>
    <row r="3762" spans="1:1">
      <c r="A3762" s="27"/>
    </row>
    <row r="3763" spans="1:1">
      <c r="A3763" s="27"/>
    </row>
    <row r="3764" spans="1:1">
      <c r="A3764" s="27"/>
    </row>
    <row r="3765" spans="1:1">
      <c r="A3765" s="27"/>
    </row>
    <row r="3766" spans="1:1">
      <c r="A3766" s="27"/>
    </row>
    <row r="3767" spans="1:1">
      <c r="A3767" s="27"/>
    </row>
    <row r="3768" spans="1:1">
      <c r="A3768" s="27"/>
    </row>
    <row r="3769" spans="1:1">
      <c r="A3769" s="27"/>
    </row>
    <row r="3770" spans="1:1">
      <c r="A3770" s="27"/>
    </row>
    <row r="3771" spans="1:1">
      <c r="A3771" s="27"/>
    </row>
    <row r="3772" spans="1:1">
      <c r="A3772" s="27"/>
    </row>
    <row r="3773" spans="1:1">
      <c r="A3773" s="27"/>
    </row>
    <row r="3774" spans="1:1">
      <c r="A3774" s="27"/>
    </row>
    <row r="3775" spans="1:1">
      <c r="A3775" s="27"/>
    </row>
    <row r="3776" spans="1:1">
      <c r="A3776" s="27"/>
    </row>
    <row r="3777" spans="1:1">
      <c r="A3777" s="27"/>
    </row>
    <row r="3778" spans="1:1">
      <c r="A3778" s="27"/>
    </row>
    <row r="3779" spans="1:1">
      <c r="A3779" s="27"/>
    </row>
    <row r="3780" spans="1:1">
      <c r="A3780" s="27"/>
    </row>
    <row r="3781" spans="1:1">
      <c r="A3781" s="27"/>
    </row>
    <row r="3782" spans="1:1">
      <c r="A3782" s="27"/>
    </row>
    <row r="3783" spans="1:1">
      <c r="A3783" s="27"/>
    </row>
    <row r="3784" spans="1:1">
      <c r="A3784" s="27"/>
    </row>
    <row r="3785" spans="1:1">
      <c r="A3785" s="27"/>
    </row>
    <row r="3786" spans="1:1">
      <c r="A3786" s="27"/>
    </row>
    <row r="3787" spans="1:1">
      <c r="A3787" s="27"/>
    </row>
    <row r="3788" spans="1:1">
      <c r="A3788" s="27"/>
    </row>
    <row r="3789" spans="1:1">
      <c r="A3789" s="27"/>
    </row>
    <row r="3790" spans="1:1">
      <c r="A3790" s="27"/>
    </row>
    <row r="3791" spans="1:1">
      <c r="A3791" s="27"/>
    </row>
    <row r="3792" spans="1:1">
      <c r="A3792" s="27"/>
    </row>
    <row r="3793" spans="1:1">
      <c r="A3793" s="27"/>
    </row>
    <row r="3794" spans="1:1">
      <c r="A3794" s="27"/>
    </row>
    <row r="3795" spans="1:1">
      <c r="A3795" s="27"/>
    </row>
    <row r="3796" spans="1:1">
      <c r="A3796" s="27"/>
    </row>
    <row r="3797" spans="1:1">
      <c r="A3797" s="27"/>
    </row>
    <row r="3798" spans="1:1">
      <c r="A3798" s="27"/>
    </row>
    <row r="3799" spans="1:1">
      <c r="A3799" s="27"/>
    </row>
    <row r="3800" spans="1:1">
      <c r="A3800" s="27"/>
    </row>
    <row r="3801" spans="1:1">
      <c r="A3801" s="27"/>
    </row>
    <row r="3802" spans="1:1">
      <c r="A3802" s="27"/>
    </row>
    <row r="3803" spans="1:1">
      <c r="A3803" s="27"/>
    </row>
    <row r="3804" spans="1:1">
      <c r="A3804" s="27"/>
    </row>
    <row r="3805" spans="1:1">
      <c r="A3805" s="27"/>
    </row>
    <row r="3806" spans="1:1">
      <c r="A3806" s="27"/>
    </row>
    <row r="3807" spans="1:1">
      <c r="A3807" s="27"/>
    </row>
    <row r="3808" spans="1:1">
      <c r="A3808" s="27"/>
    </row>
    <row r="3809" spans="1:1">
      <c r="A3809" s="27"/>
    </row>
    <row r="3810" spans="1:1">
      <c r="A3810" s="27"/>
    </row>
    <row r="3811" spans="1:1">
      <c r="A3811" s="27"/>
    </row>
    <row r="3812" spans="1:1">
      <c r="A3812" s="27"/>
    </row>
    <row r="3813" spans="1:1">
      <c r="A3813" s="27"/>
    </row>
    <row r="3814" spans="1:1">
      <c r="A3814" s="27"/>
    </row>
    <row r="3815" spans="1:1">
      <c r="A3815" s="27"/>
    </row>
    <row r="3816" spans="1:1">
      <c r="A3816" s="27"/>
    </row>
    <row r="3817" spans="1:1">
      <c r="A3817" s="27"/>
    </row>
    <row r="3818" spans="1:1">
      <c r="A3818" s="27"/>
    </row>
    <row r="3819" spans="1:1">
      <c r="A3819" s="27"/>
    </row>
    <row r="3820" spans="1:1">
      <c r="A3820" s="27"/>
    </row>
    <row r="3821" spans="1:1">
      <c r="A3821" s="27"/>
    </row>
    <row r="3822" spans="1:1">
      <c r="A3822" s="27"/>
    </row>
    <row r="3823" spans="1:1">
      <c r="A3823" s="27"/>
    </row>
    <row r="3824" spans="1:1">
      <c r="A3824" s="27"/>
    </row>
    <row r="3825" spans="1:1">
      <c r="A3825" s="27"/>
    </row>
    <row r="3826" spans="1:1">
      <c r="A3826" s="27"/>
    </row>
    <row r="3827" spans="1:1">
      <c r="A3827" s="27"/>
    </row>
    <row r="3828" spans="1:1">
      <c r="A3828" s="27"/>
    </row>
    <row r="3829" spans="1:1">
      <c r="A3829" s="27"/>
    </row>
    <row r="3830" spans="1:1">
      <c r="A3830" s="27"/>
    </row>
    <row r="3831" spans="1:1">
      <c r="A3831" s="27"/>
    </row>
    <row r="3832" spans="1:1">
      <c r="A3832" s="27"/>
    </row>
    <row r="3833" spans="1:1">
      <c r="A3833" s="27"/>
    </row>
    <row r="3834" spans="1:1">
      <c r="A3834" s="27"/>
    </row>
    <row r="3835" spans="1:1">
      <c r="A3835" s="27"/>
    </row>
    <row r="3836" spans="1:1">
      <c r="A3836" s="27"/>
    </row>
    <row r="3837" spans="1:1">
      <c r="A3837" s="27"/>
    </row>
    <row r="3838" spans="1:1">
      <c r="A3838" s="27"/>
    </row>
    <row r="3839" spans="1:1">
      <c r="A3839" s="27"/>
    </row>
    <row r="3840" spans="1:1">
      <c r="A3840" s="27"/>
    </row>
    <row r="3841" spans="1:1">
      <c r="A3841" s="27"/>
    </row>
    <row r="3842" spans="1:1">
      <c r="A3842" s="27"/>
    </row>
    <row r="3843" spans="1:1">
      <c r="A3843" s="27"/>
    </row>
    <row r="3844" spans="1:1">
      <c r="A3844" s="27"/>
    </row>
    <row r="3845" spans="1:1">
      <c r="A3845" s="27"/>
    </row>
    <row r="3846" spans="1:1">
      <c r="A3846" s="27"/>
    </row>
    <row r="3847" spans="1:1">
      <c r="A3847" s="27"/>
    </row>
    <row r="3848" spans="1:1">
      <c r="A3848" s="27"/>
    </row>
    <row r="3849" spans="1:1">
      <c r="A3849" s="27"/>
    </row>
    <row r="3850" spans="1:1">
      <c r="A3850" s="27"/>
    </row>
    <row r="3851" spans="1:1">
      <c r="A3851" s="27"/>
    </row>
    <row r="3852" spans="1:1">
      <c r="A3852" s="27"/>
    </row>
    <row r="3853" spans="1:1">
      <c r="A3853" s="27"/>
    </row>
    <row r="3854" spans="1:1">
      <c r="A3854" s="27"/>
    </row>
    <row r="3855" spans="1:1">
      <c r="A3855" s="27"/>
    </row>
    <row r="3856" spans="1:1">
      <c r="A3856" s="27"/>
    </row>
    <row r="3857" spans="1:1">
      <c r="A3857" s="27"/>
    </row>
    <row r="3858" spans="1:1">
      <c r="A3858" s="27"/>
    </row>
    <row r="3859" spans="1:1">
      <c r="A3859" s="27"/>
    </row>
    <row r="3860" spans="1:1">
      <c r="A3860" s="27"/>
    </row>
    <row r="3861" spans="1:1">
      <c r="A3861" s="27"/>
    </row>
    <row r="3862" spans="1:1">
      <c r="A3862" s="27"/>
    </row>
    <row r="3863" spans="1:1">
      <c r="A3863" s="27"/>
    </row>
    <row r="3864" spans="1:1">
      <c r="A3864" s="27"/>
    </row>
    <row r="3865" spans="1:1">
      <c r="A3865" s="27"/>
    </row>
    <row r="3866" spans="1:1">
      <c r="A3866" s="27"/>
    </row>
    <row r="3867" spans="1:1">
      <c r="A3867" s="27"/>
    </row>
    <row r="3868" spans="1:1">
      <c r="A3868" s="27"/>
    </row>
    <row r="3869" spans="1:1">
      <c r="A3869" s="27"/>
    </row>
    <row r="3870" spans="1:1">
      <c r="A3870" s="27"/>
    </row>
    <row r="3871" spans="1:1">
      <c r="A3871" s="27"/>
    </row>
    <row r="3872" spans="1:1">
      <c r="A3872" s="27"/>
    </row>
    <row r="3873" spans="1:1">
      <c r="A3873" s="27"/>
    </row>
    <row r="3874" spans="1:1">
      <c r="A3874" s="27"/>
    </row>
    <row r="3875" spans="1:1">
      <c r="A3875" s="27"/>
    </row>
    <row r="3876" spans="1:1">
      <c r="A3876" s="27"/>
    </row>
    <row r="3877" spans="1:1">
      <c r="A3877" s="27"/>
    </row>
    <row r="3878" spans="1:1">
      <c r="A3878" s="27"/>
    </row>
    <row r="3879" spans="1:1">
      <c r="A3879" s="27"/>
    </row>
    <row r="3880" spans="1:1">
      <c r="A3880" s="27"/>
    </row>
    <row r="3881" spans="1:1">
      <c r="A3881" s="27"/>
    </row>
    <row r="3882" spans="1:1">
      <c r="A3882" s="27"/>
    </row>
    <row r="3883" spans="1:1">
      <c r="A3883" s="27"/>
    </row>
    <row r="3884" spans="1:1">
      <c r="A3884" s="27"/>
    </row>
    <row r="3885" spans="1:1">
      <c r="A3885" s="27"/>
    </row>
    <row r="3886" spans="1:1">
      <c r="A3886" s="27"/>
    </row>
    <row r="3887" spans="1:1">
      <c r="A3887" s="27"/>
    </row>
    <row r="3888" spans="1:1">
      <c r="A3888" s="27"/>
    </row>
    <row r="3889" spans="1:1">
      <c r="A3889" s="27"/>
    </row>
    <row r="3890" spans="1:1">
      <c r="A3890" s="27"/>
    </row>
    <row r="3891" spans="1:1">
      <c r="A3891" s="27"/>
    </row>
    <row r="3892" spans="1:1">
      <c r="A3892" s="27"/>
    </row>
    <row r="3893" spans="1:1">
      <c r="A3893" s="27"/>
    </row>
    <row r="3894" spans="1:1">
      <c r="A3894" s="27"/>
    </row>
    <row r="3895" spans="1:1">
      <c r="A3895" s="27"/>
    </row>
    <row r="3896" spans="1:1">
      <c r="A3896" s="27"/>
    </row>
    <row r="3897" spans="1:1">
      <c r="A3897" s="27"/>
    </row>
    <row r="3898" spans="1:1">
      <c r="A3898" s="27"/>
    </row>
    <row r="3899" spans="1:1">
      <c r="A3899" s="27"/>
    </row>
    <row r="3900" spans="1:1">
      <c r="A3900" s="27"/>
    </row>
    <row r="3901" spans="1:1">
      <c r="A3901" s="27"/>
    </row>
    <row r="3902" spans="1:1">
      <c r="A3902" s="27"/>
    </row>
    <row r="3903" spans="1:1">
      <c r="A3903" s="27"/>
    </row>
    <row r="3904" spans="1:1">
      <c r="A3904" s="27"/>
    </row>
    <row r="3905" spans="1:1">
      <c r="A3905" s="27"/>
    </row>
    <row r="3906" spans="1:1">
      <c r="A3906" s="27"/>
    </row>
    <row r="3907" spans="1:1">
      <c r="A3907" s="27"/>
    </row>
    <row r="3908" spans="1:1">
      <c r="A3908" s="27"/>
    </row>
    <row r="3909" spans="1:1">
      <c r="A3909" s="27"/>
    </row>
    <row r="3910" spans="1:1">
      <c r="A3910" s="27"/>
    </row>
    <row r="3911" spans="1:1">
      <c r="A3911" s="27"/>
    </row>
    <row r="3912" spans="1:1">
      <c r="A3912" s="27"/>
    </row>
    <row r="3913" spans="1:1">
      <c r="A3913" s="27"/>
    </row>
    <row r="3914" spans="1:1">
      <c r="A3914" s="27"/>
    </row>
    <row r="3915" spans="1:1">
      <c r="A3915" s="27"/>
    </row>
    <row r="3916" spans="1:1">
      <c r="A3916" s="27"/>
    </row>
    <row r="3917" spans="1:1">
      <c r="A3917" s="27"/>
    </row>
    <row r="3918" spans="1:1">
      <c r="A3918" s="27"/>
    </row>
    <row r="3919" spans="1:1">
      <c r="A3919" s="27"/>
    </row>
    <row r="3920" spans="1:1">
      <c r="A3920" s="27"/>
    </row>
    <row r="3921" spans="1:1">
      <c r="A3921" s="27"/>
    </row>
    <row r="3922" spans="1:1">
      <c r="A3922" s="27"/>
    </row>
    <row r="3923" spans="1:1">
      <c r="A3923" s="27"/>
    </row>
    <row r="3924" spans="1:1">
      <c r="A3924" s="27"/>
    </row>
    <row r="3925" spans="1:1">
      <c r="A3925" s="27"/>
    </row>
    <row r="3926" spans="1:1">
      <c r="A3926" s="27"/>
    </row>
    <row r="3927" spans="1:1">
      <c r="A3927" s="27"/>
    </row>
    <row r="3928" spans="1:1">
      <c r="A3928" s="27"/>
    </row>
    <row r="3929" spans="1:1">
      <c r="A3929" s="27"/>
    </row>
    <row r="3930" spans="1:1">
      <c r="A3930" s="27"/>
    </row>
    <row r="3931" spans="1:1">
      <c r="A3931" s="27"/>
    </row>
    <row r="3932" spans="1:1">
      <c r="A3932" s="27"/>
    </row>
    <row r="3933" spans="1:1">
      <c r="A3933" s="27"/>
    </row>
    <row r="3934" spans="1:1">
      <c r="A3934" s="27"/>
    </row>
    <row r="3935" spans="1:1">
      <c r="A3935" s="27"/>
    </row>
    <row r="3936" spans="1:1">
      <c r="A3936" s="27"/>
    </row>
    <row r="3937" spans="1:1">
      <c r="A3937" s="27"/>
    </row>
    <row r="3938" spans="1:1">
      <c r="A3938" s="27"/>
    </row>
    <row r="3939" spans="1:1">
      <c r="A3939" s="27"/>
    </row>
    <row r="3940" spans="1:1">
      <c r="A3940" s="27"/>
    </row>
    <row r="3941" spans="1:1">
      <c r="A3941" s="27"/>
    </row>
    <row r="3942" spans="1:1">
      <c r="A3942" s="27"/>
    </row>
    <row r="3943" spans="1:1">
      <c r="A3943" s="27"/>
    </row>
    <row r="3944" spans="1:1">
      <c r="A3944" s="27"/>
    </row>
    <row r="3945" spans="1:1">
      <c r="A3945" s="27"/>
    </row>
    <row r="3946" spans="1:1">
      <c r="A3946" s="27"/>
    </row>
    <row r="3947" spans="1:1">
      <c r="A3947" s="27"/>
    </row>
    <row r="3948" spans="1:1">
      <c r="A3948" s="27"/>
    </row>
    <row r="3949" spans="1:1">
      <c r="A3949" s="27"/>
    </row>
    <row r="3950" spans="1:1">
      <c r="A3950" s="27"/>
    </row>
    <row r="3951" spans="1:1">
      <c r="A3951" s="27"/>
    </row>
    <row r="3952" spans="1:1">
      <c r="A3952" s="27"/>
    </row>
    <row r="3953" spans="1:1">
      <c r="A3953" s="27"/>
    </row>
    <row r="3954" spans="1:1">
      <c r="A3954" s="27"/>
    </row>
    <row r="3955" spans="1:1">
      <c r="A3955" s="27"/>
    </row>
    <row r="3956" spans="1:1">
      <c r="A3956" s="27"/>
    </row>
    <row r="3957" spans="1:1">
      <c r="A3957" s="27"/>
    </row>
    <row r="3958" spans="1:1">
      <c r="A3958" s="27"/>
    </row>
    <row r="3959" spans="1:1">
      <c r="A3959" s="27"/>
    </row>
    <row r="3960" spans="1:1">
      <c r="A3960" s="27"/>
    </row>
    <row r="3961" spans="1:1">
      <c r="A3961" s="27"/>
    </row>
    <row r="3962" spans="1:1">
      <c r="A3962" s="27"/>
    </row>
    <row r="3963" spans="1:1">
      <c r="A3963" s="27"/>
    </row>
    <row r="3964" spans="1:1">
      <c r="A3964" s="27"/>
    </row>
    <row r="3965" spans="1:1">
      <c r="A3965" s="27"/>
    </row>
    <row r="3966" spans="1:1">
      <c r="A3966" s="27"/>
    </row>
    <row r="3967" spans="1:1">
      <c r="A3967" s="27"/>
    </row>
    <row r="3968" spans="1:1">
      <c r="A3968" s="27"/>
    </row>
    <row r="3969" spans="1:1">
      <c r="A3969" s="27"/>
    </row>
    <row r="3970" spans="1:1">
      <c r="A3970" s="27"/>
    </row>
    <row r="3971" spans="1:1">
      <c r="A3971" s="27"/>
    </row>
    <row r="3972" spans="1:1">
      <c r="A3972" s="27"/>
    </row>
    <row r="3973" spans="1:1">
      <c r="A3973" s="27"/>
    </row>
    <row r="3974" spans="1:1">
      <c r="A3974" s="27"/>
    </row>
    <row r="3975" spans="1:1">
      <c r="A3975" s="27"/>
    </row>
    <row r="3976" spans="1:1">
      <c r="A3976" s="27"/>
    </row>
    <row r="3977" spans="1:1">
      <c r="A3977" s="27"/>
    </row>
    <row r="3978" spans="1:1">
      <c r="A3978" s="27"/>
    </row>
    <row r="3979" spans="1:1">
      <c r="A3979" s="27"/>
    </row>
    <row r="3980" spans="1:1">
      <c r="A3980" s="27"/>
    </row>
    <row r="3981" spans="1:1">
      <c r="A3981" s="27"/>
    </row>
    <row r="3982" spans="1:1">
      <c r="A3982" s="27"/>
    </row>
    <row r="3983" spans="1:1">
      <c r="A3983" s="27"/>
    </row>
    <row r="3984" spans="1:1">
      <c r="A3984" s="27"/>
    </row>
    <row r="3985" spans="1:1">
      <c r="A3985" s="27"/>
    </row>
    <row r="3986" spans="1:1">
      <c r="A3986" s="27"/>
    </row>
    <row r="3987" spans="1:1">
      <c r="A3987" s="27"/>
    </row>
    <row r="3988" spans="1:1">
      <c r="A3988" s="27"/>
    </row>
    <row r="3989" spans="1:1">
      <c r="A3989" s="27"/>
    </row>
    <row r="3990" spans="1:1">
      <c r="A3990" s="27"/>
    </row>
    <row r="3991" spans="1:1">
      <c r="A3991" s="27"/>
    </row>
    <row r="3992" spans="1:1">
      <c r="A3992" s="27"/>
    </row>
    <row r="3993" spans="1:1">
      <c r="A3993" s="27"/>
    </row>
    <row r="3994" spans="1:1">
      <c r="A3994" s="27"/>
    </row>
    <row r="3995" spans="1:1">
      <c r="A3995" s="27"/>
    </row>
    <row r="3996" spans="1:1">
      <c r="A3996" s="27"/>
    </row>
    <row r="3997" spans="1:1">
      <c r="A3997" s="27"/>
    </row>
    <row r="3998" spans="1:1">
      <c r="A3998" s="27"/>
    </row>
    <row r="3999" spans="1:1">
      <c r="A3999" s="27"/>
    </row>
    <row r="4000" spans="1:1">
      <c r="A4000" s="27"/>
    </row>
    <row r="4001" spans="1:1">
      <c r="A4001" s="27"/>
    </row>
    <row r="4002" spans="1:1">
      <c r="A4002" s="27"/>
    </row>
    <row r="4003" spans="1:1">
      <c r="A4003" s="27"/>
    </row>
    <row r="4004" spans="1:1">
      <c r="A4004" s="27"/>
    </row>
    <row r="4005" spans="1:1">
      <c r="A4005" s="27"/>
    </row>
    <row r="4006" spans="1:1">
      <c r="A4006" s="27"/>
    </row>
    <row r="4007" spans="1:1">
      <c r="A4007" s="27"/>
    </row>
    <row r="4008" spans="1:1">
      <c r="A4008" s="27"/>
    </row>
    <row r="4009" spans="1:1">
      <c r="A4009" s="27"/>
    </row>
    <row r="4010" spans="1:1">
      <c r="A4010" s="27"/>
    </row>
    <row r="4011" spans="1:1">
      <c r="A4011" s="27"/>
    </row>
    <row r="4012" spans="1:1">
      <c r="A4012" s="27"/>
    </row>
    <row r="4013" spans="1:1">
      <c r="A4013" s="27"/>
    </row>
    <row r="4014" spans="1:1">
      <c r="A4014" s="27"/>
    </row>
    <row r="4015" spans="1:1">
      <c r="A4015" s="27"/>
    </row>
    <row r="4016" spans="1:1">
      <c r="A4016" s="27"/>
    </row>
    <row r="4017" spans="1:1">
      <c r="A4017" s="27"/>
    </row>
    <row r="4018" spans="1:1">
      <c r="A4018" s="27"/>
    </row>
    <row r="4019" spans="1:1">
      <c r="A4019" s="27"/>
    </row>
    <row r="4020" spans="1:1">
      <c r="A4020" s="27"/>
    </row>
    <row r="4021" spans="1:1">
      <c r="A4021" s="27"/>
    </row>
    <row r="4022" spans="1:1">
      <c r="A4022" s="27"/>
    </row>
    <row r="4023" spans="1:1">
      <c r="A4023" s="27"/>
    </row>
    <row r="4024" spans="1:1">
      <c r="A4024" s="27"/>
    </row>
    <row r="4025" spans="1:1">
      <c r="A4025" s="27"/>
    </row>
    <row r="4026" spans="1:1">
      <c r="A4026" s="27"/>
    </row>
    <row r="4027" spans="1:1">
      <c r="A4027" s="27"/>
    </row>
    <row r="4028" spans="1:1">
      <c r="A4028" s="27"/>
    </row>
    <row r="4029" spans="1:1">
      <c r="A4029" s="27"/>
    </row>
    <row r="4030" spans="1:1">
      <c r="A4030" s="27"/>
    </row>
    <row r="4031" spans="1:1">
      <c r="A4031" s="27"/>
    </row>
    <row r="4032" spans="1:1">
      <c r="A4032" s="27"/>
    </row>
    <row r="4033" spans="1:1">
      <c r="A4033" s="27"/>
    </row>
    <row r="4034" spans="1:1">
      <c r="A4034" s="27"/>
    </row>
    <row r="4035" spans="1:1">
      <c r="A4035" s="27"/>
    </row>
    <row r="4036" spans="1:1">
      <c r="A4036" s="27"/>
    </row>
    <row r="4037" spans="1:1">
      <c r="A4037" s="27"/>
    </row>
    <row r="4038" spans="1:1">
      <c r="A4038" s="27"/>
    </row>
    <row r="4039" spans="1:1">
      <c r="A4039" s="27"/>
    </row>
    <row r="4040" spans="1:1">
      <c r="A4040" s="27"/>
    </row>
    <row r="4041" spans="1:1">
      <c r="A4041" s="27"/>
    </row>
    <row r="4042" spans="1:1">
      <c r="A4042" s="27"/>
    </row>
    <row r="4043" spans="1:1">
      <c r="A4043" s="27"/>
    </row>
    <row r="4044" spans="1:1">
      <c r="A4044" s="27"/>
    </row>
    <row r="4045" spans="1:1">
      <c r="A4045" s="27"/>
    </row>
    <row r="4046" spans="1:1">
      <c r="A4046" s="27"/>
    </row>
    <row r="4047" spans="1:1">
      <c r="A4047" s="27"/>
    </row>
    <row r="4048" spans="1:1">
      <c r="A4048" s="27"/>
    </row>
    <row r="4049" spans="1:1">
      <c r="A4049" s="27"/>
    </row>
    <row r="4050" spans="1:1">
      <c r="A4050" s="27"/>
    </row>
    <row r="4051" spans="1:1">
      <c r="A4051" s="27"/>
    </row>
    <row r="4052" spans="1:1">
      <c r="A4052" s="27"/>
    </row>
    <row r="4053" spans="1:1">
      <c r="A4053" s="27"/>
    </row>
    <row r="4054" spans="1:1">
      <c r="A4054" s="27"/>
    </row>
    <row r="4055" spans="1:1">
      <c r="A4055" s="27"/>
    </row>
    <row r="4056" spans="1:1">
      <c r="A4056" s="27"/>
    </row>
    <row r="4057" spans="1:1">
      <c r="A4057" s="27"/>
    </row>
    <row r="4058" spans="1:1">
      <c r="A4058" s="27"/>
    </row>
    <row r="4059" spans="1:1">
      <c r="A4059" s="27"/>
    </row>
    <row r="4060" spans="1:1">
      <c r="A4060" s="27"/>
    </row>
    <row r="4061" spans="1:1">
      <c r="A4061" s="27"/>
    </row>
    <row r="4062" spans="1:1">
      <c r="A4062" s="27"/>
    </row>
    <row r="4063" spans="1:1">
      <c r="A4063" s="27"/>
    </row>
    <row r="4064" spans="1:1">
      <c r="A4064" s="27"/>
    </row>
    <row r="4065" spans="1:1">
      <c r="A4065" s="27"/>
    </row>
    <row r="4066" spans="1:1">
      <c r="A4066" s="27"/>
    </row>
    <row r="4067" spans="1:1">
      <c r="A4067" s="27"/>
    </row>
    <row r="4068" spans="1:1">
      <c r="A4068" s="27"/>
    </row>
    <row r="4069" spans="1:1">
      <c r="A4069" s="27"/>
    </row>
    <row r="4070" spans="1:1">
      <c r="A4070" s="27"/>
    </row>
    <row r="4071" spans="1:1">
      <c r="A4071" s="27"/>
    </row>
    <row r="4072" spans="1:1">
      <c r="A4072" s="27"/>
    </row>
    <row r="4073" spans="1:1">
      <c r="A4073" s="27"/>
    </row>
    <row r="4074" spans="1:1">
      <c r="A4074" s="27"/>
    </row>
    <row r="4075" spans="1:1">
      <c r="A4075" s="27"/>
    </row>
    <row r="4076" spans="1:1">
      <c r="A4076" s="27"/>
    </row>
    <row r="4077" spans="1:1">
      <c r="A4077" s="27"/>
    </row>
    <row r="4078" spans="1:1">
      <c r="A4078" s="27"/>
    </row>
    <row r="4079" spans="1:1">
      <c r="A4079" s="27"/>
    </row>
    <row r="4080" spans="1:1">
      <c r="A4080" s="27"/>
    </row>
    <row r="4081" spans="1:1">
      <c r="A4081" s="27"/>
    </row>
    <row r="4082" spans="1:1">
      <c r="A4082" s="27"/>
    </row>
    <row r="4083" spans="1:1">
      <c r="A4083" s="27"/>
    </row>
    <row r="4084" spans="1:1">
      <c r="A4084" s="27"/>
    </row>
    <row r="4085" spans="1:1">
      <c r="A4085" s="27"/>
    </row>
    <row r="4086" spans="1:1">
      <c r="A4086" s="27"/>
    </row>
    <row r="4087" spans="1:1">
      <c r="A4087" s="27"/>
    </row>
    <row r="4088" spans="1:1">
      <c r="A4088" s="27"/>
    </row>
    <row r="4089" spans="1:1">
      <c r="A4089" s="27"/>
    </row>
    <row r="4090" spans="1:1">
      <c r="A4090" s="27"/>
    </row>
    <row r="4091" spans="1:1">
      <c r="A4091" s="27"/>
    </row>
    <row r="4092" spans="1:1">
      <c r="A4092" s="27"/>
    </row>
    <row r="4093" spans="1:1">
      <c r="A4093" s="27"/>
    </row>
    <row r="4094" spans="1:1">
      <c r="A4094" s="27"/>
    </row>
    <row r="4095" spans="1:1">
      <c r="A4095" s="27"/>
    </row>
    <row r="4096" spans="1:1">
      <c r="A4096" s="27"/>
    </row>
    <row r="4097" spans="1:1">
      <c r="A4097" s="27"/>
    </row>
    <row r="4098" spans="1:1">
      <c r="A4098" s="27"/>
    </row>
    <row r="4099" spans="1:1">
      <c r="A4099" s="27"/>
    </row>
    <row r="4100" spans="1:1">
      <c r="A4100" s="27"/>
    </row>
    <row r="4101" spans="1:1">
      <c r="A4101" s="27"/>
    </row>
    <row r="4102" spans="1:1">
      <c r="A4102" s="27"/>
    </row>
    <row r="4103" spans="1:1">
      <c r="A4103" s="27"/>
    </row>
    <row r="4104" spans="1:1">
      <c r="A4104" s="27"/>
    </row>
    <row r="4105" spans="1:1">
      <c r="A4105" s="27"/>
    </row>
    <row r="4106" spans="1:1">
      <c r="A4106" s="27"/>
    </row>
    <row r="4107" spans="1:1">
      <c r="A4107" s="27"/>
    </row>
    <row r="4108" spans="1:1">
      <c r="A4108" s="27"/>
    </row>
    <row r="4109" spans="1:1">
      <c r="A4109" s="27"/>
    </row>
    <row r="4110" spans="1:1">
      <c r="A4110" s="27"/>
    </row>
    <row r="4111" spans="1:1">
      <c r="A4111" s="27"/>
    </row>
    <row r="4112" spans="1:1">
      <c r="A4112" s="27"/>
    </row>
    <row r="4113" spans="1:1">
      <c r="A4113" s="27"/>
    </row>
    <row r="4114" spans="1:1">
      <c r="A4114" s="27"/>
    </row>
    <row r="4115" spans="1:1">
      <c r="A4115" s="27"/>
    </row>
    <row r="4116" spans="1:1">
      <c r="A4116" s="27"/>
    </row>
    <row r="4117" spans="1:1">
      <c r="A4117" s="27"/>
    </row>
    <row r="4118" spans="1:1">
      <c r="A4118" s="27"/>
    </row>
    <row r="4119" spans="1:1">
      <c r="A4119" s="27"/>
    </row>
    <row r="4120" spans="1:1">
      <c r="A4120" s="27"/>
    </row>
    <row r="4121" spans="1:1">
      <c r="A4121" s="27"/>
    </row>
    <row r="4122" spans="1:1">
      <c r="A4122" s="27"/>
    </row>
    <row r="4123" spans="1:1">
      <c r="A4123" s="27"/>
    </row>
    <row r="4124" spans="1:1">
      <c r="A4124" s="27"/>
    </row>
    <row r="4125" spans="1:1">
      <c r="A4125" s="27"/>
    </row>
    <row r="4126" spans="1:1">
      <c r="A4126" s="27"/>
    </row>
    <row r="4127" spans="1:1">
      <c r="A4127" s="27"/>
    </row>
    <row r="4128" spans="1:1">
      <c r="A4128" s="27"/>
    </row>
    <row r="4129" spans="1:1">
      <c r="A4129" s="27"/>
    </row>
    <row r="4130" spans="1:1">
      <c r="A4130" s="27"/>
    </row>
    <row r="4131" spans="1:1">
      <c r="A4131" s="27"/>
    </row>
    <row r="4132" spans="1:1">
      <c r="A4132" s="27"/>
    </row>
    <row r="4133" spans="1:1">
      <c r="A4133" s="27"/>
    </row>
    <row r="4134" spans="1:1">
      <c r="A4134" s="27"/>
    </row>
    <row r="4135" spans="1:1">
      <c r="A4135" s="27"/>
    </row>
    <row r="4136" spans="1:1">
      <c r="A4136" s="27"/>
    </row>
    <row r="4137" spans="1:1">
      <c r="A4137" s="27"/>
    </row>
    <row r="4138" spans="1:1">
      <c r="A4138" s="27"/>
    </row>
    <row r="4139" spans="1:1">
      <c r="A4139" s="27"/>
    </row>
    <row r="4140" spans="1:1">
      <c r="A4140" s="27"/>
    </row>
    <row r="4141" spans="1:1">
      <c r="A4141" s="27"/>
    </row>
    <row r="4142" spans="1:1">
      <c r="A4142" s="27"/>
    </row>
    <row r="4143" spans="1:1">
      <c r="A4143" s="27"/>
    </row>
    <row r="4144" spans="1:1">
      <c r="A4144" s="27"/>
    </row>
    <row r="4145" spans="1:1">
      <c r="A4145" s="27"/>
    </row>
    <row r="4146" spans="1:1">
      <c r="A4146" s="27"/>
    </row>
    <row r="4147" spans="1:1">
      <c r="A4147" s="27"/>
    </row>
    <row r="4148" spans="1:1">
      <c r="A4148" s="27"/>
    </row>
    <row r="4149" spans="1:1">
      <c r="A4149" s="27"/>
    </row>
    <row r="4150" spans="1:1">
      <c r="A4150" s="27"/>
    </row>
    <row r="4151" spans="1:1">
      <c r="A4151" s="27"/>
    </row>
    <row r="4152" spans="1:1">
      <c r="A4152" s="27"/>
    </row>
    <row r="4153" spans="1:1">
      <c r="A4153" s="27"/>
    </row>
    <row r="4154" spans="1:1">
      <c r="A4154" s="27"/>
    </row>
    <row r="4155" spans="1:1">
      <c r="A4155" s="27"/>
    </row>
    <row r="4156" spans="1:1">
      <c r="A4156" s="27"/>
    </row>
    <row r="4157" spans="1:1">
      <c r="A4157" s="27"/>
    </row>
    <row r="4158" spans="1:1">
      <c r="A4158" s="27"/>
    </row>
    <row r="4159" spans="1:1">
      <c r="A4159" s="27"/>
    </row>
    <row r="4160" spans="1:1">
      <c r="A4160" s="27"/>
    </row>
    <row r="4161" spans="1:1">
      <c r="A4161" s="27"/>
    </row>
    <row r="4162" spans="1:1">
      <c r="A4162" s="27"/>
    </row>
    <row r="4163" spans="1:1">
      <c r="A4163" s="27"/>
    </row>
    <row r="4164" spans="1:1">
      <c r="A4164" s="27"/>
    </row>
    <row r="4165" spans="1:1">
      <c r="A4165" s="27"/>
    </row>
    <row r="4166" spans="1:1">
      <c r="A4166" s="27"/>
    </row>
    <row r="4167" spans="1:1">
      <c r="A4167" s="27"/>
    </row>
    <row r="4168" spans="1:1">
      <c r="A4168" s="27"/>
    </row>
    <row r="4169" spans="1:1">
      <c r="A4169" s="27"/>
    </row>
    <row r="4170" spans="1:1">
      <c r="A4170" s="27"/>
    </row>
    <row r="4171" spans="1:1">
      <c r="A4171" s="27"/>
    </row>
    <row r="4172" spans="1:1">
      <c r="A4172" s="27"/>
    </row>
    <row r="4173" spans="1:1">
      <c r="A4173" s="27"/>
    </row>
    <row r="4174" spans="1:1">
      <c r="A4174" s="27"/>
    </row>
    <row r="4175" spans="1:1">
      <c r="A4175" s="27"/>
    </row>
    <row r="4176" spans="1:1">
      <c r="A4176" s="27"/>
    </row>
    <row r="4177" spans="1:1">
      <c r="A4177" s="27"/>
    </row>
    <row r="4178" spans="1:1">
      <c r="A4178" s="27"/>
    </row>
    <row r="4179" spans="1:1">
      <c r="A4179" s="27"/>
    </row>
    <row r="4180" spans="1:1">
      <c r="A4180" s="27"/>
    </row>
    <row r="4181" spans="1:1">
      <c r="A4181" s="27"/>
    </row>
    <row r="4182" spans="1:1">
      <c r="A4182" s="27"/>
    </row>
    <row r="4183" spans="1:1">
      <c r="A4183" s="27"/>
    </row>
    <row r="4184" spans="1:1">
      <c r="A4184" s="27"/>
    </row>
    <row r="4185" spans="1:1">
      <c r="A4185" s="27"/>
    </row>
    <row r="4186" spans="1:1">
      <c r="A4186" s="27"/>
    </row>
    <row r="4187" spans="1:1">
      <c r="A4187" s="27"/>
    </row>
    <row r="4188" spans="1:1">
      <c r="A4188" s="27"/>
    </row>
    <row r="4189" spans="1:1">
      <c r="A4189" s="27"/>
    </row>
    <row r="4190" spans="1:1">
      <c r="A4190" s="27"/>
    </row>
    <row r="4191" spans="1:1">
      <c r="A4191" s="27"/>
    </row>
    <row r="4192" spans="1:1">
      <c r="A4192" s="27"/>
    </row>
    <row r="4193" spans="1:1">
      <c r="A4193" s="27"/>
    </row>
    <row r="4194" spans="1:1">
      <c r="A4194" s="27"/>
    </row>
    <row r="4195" spans="1:1">
      <c r="A4195" s="27"/>
    </row>
    <row r="4196" spans="1:1">
      <c r="A4196" s="27"/>
    </row>
    <row r="4197" spans="1:1">
      <c r="A4197" s="27"/>
    </row>
    <row r="4198" spans="1:1">
      <c r="A4198" s="27"/>
    </row>
    <row r="4199" spans="1:1">
      <c r="A4199" s="27"/>
    </row>
    <row r="4200" spans="1:1">
      <c r="A4200" s="27"/>
    </row>
    <row r="4201" spans="1:1">
      <c r="A4201" s="27"/>
    </row>
    <row r="4202" spans="1:1">
      <c r="A4202" s="27"/>
    </row>
    <row r="4203" spans="1:1">
      <c r="A4203" s="27"/>
    </row>
    <row r="4204" spans="1:1">
      <c r="A4204" s="27"/>
    </row>
    <row r="4205" spans="1:1">
      <c r="A4205" s="27"/>
    </row>
    <row r="4206" spans="1:1">
      <c r="A4206" s="27"/>
    </row>
    <row r="4207" spans="1:1">
      <c r="A4207" s="27"/>
    </row>
    <row r="4208" spans="1:1">
      <c r="A4208" s="27"/>
    </row>
    <row r="4209" spans="1:1">
      <c r="A4209" s="27"/>
    </row>
    <row r="4210" spans="1:1">
      <c r="A4210" s="27"/>
    </row>
    <row r="4211" spans="1:1">
      <c r="A4211" s="27"/>
    </row>
    <row r="4212" spans="1:1">
      <c r="A4212" s="27"/>
    </row>
    <row r="4213" spans="1:1">
      <c r="A4213" s="27"/>
    </row>
    <row r="4214" spans="1:1">
      <c r="A4214" s="27"/>
    </row>
    <row r="4215" spans="1:1">
      <c r="A4215" s="27"/>
    </row>
    <row r="4216" spans="1:1">
      <c r="A4216" s="27"/>
    </row>
    <row r="4217" spans="1:1">
      <c r="A4217" s="27"/>
    </row>
    <row r="4218" spans="1:1">
      <c r="A4218" s="27"/>
    </row>
    <row r="4219" spans="1:1">
      <c r="A4219" s="27"/>
    </row>
    <row r="4220" spans="1:1">
      <c r="A4220" s="27"/>
    </row>
    <row r="4221" spans="1:1">
      <c r="A4221" s="27"/>
    </row>
    <row r="4222" spans="1:1">
      <c r="A4222" s="27"/>
    </row>
    <row r="4223" spans="1:1">
      <c r="A4223" s="27"/>
    </row>
    <row r="4224" spans="1:1">
      <c r="A4224" s="27"/>
    </row>
    <row r="4225" spans="1:1">
      <c r="A4225" s="27"/>
    </row>
    <row r="4226" spans="1:1">
      <c r="A4226" s="27"/>
    </row>
    <row r="4227" spans="1:1">
      <c r="A4227" s="27"/>
    </row>
    <row r="4228" spans="1:1">
      <c r="A4228" s="27"/>
    </row>
    <row r="4229" spans="1:1">
      <c r="A4229" s="27"/>
    </row>
    <row r="4230" spans="1:1">
      <c r="A4230" s="27"/>
    </row>
    <row r="4231" spans="1:1">
      <c r="A4231" s="27"/>
    </row>
    <row r="4232" spans="1:1">
      <c r="A4232" s="27"/>
    </row>
    <row r="4233" spans="1:1">
      <c r="A4233" s="27"/>
    </row>
    <row r="4234" spans="1:1">
      <c r="A4234" s="27"/>
    </row>
    <row r="4235" spans="1:1">
      <c r="A4235" s="27"/>
    </row>
    <row r="4236" spans="1:1">
      <c r="A4236" s="27"/>
    </row>
    <row r="4237" spans="1:1">
      <c r="A4237" s="27"/>
    </row>
    <row r="4238" spans="1:1">
      <c r="A4238" s="27"/>
    </row>
    <row r="4239" spans="1:1">
      <c r="A4239" s="27"/>
    </row>
    <row r="4240" spans="1:1">
      <c r="A4240" s="27"/>
    </row>
    <row r="4241" spans="1:1">
      <c r="A4241" s="27"/>
    </row>
    <row r="4242" spans="1:1">
      <c r="A4242" s="27"/>
    </row>
    <row r="4243" spans="1:1">
      <c r="A4243" s="27"/>
    </row>
    <row r="4244" spans="1:1">
      <c r="A4244" s="27"/>
    </row>
    <row r="4245" spans="1:1">
      <c r="A4245" s="27"/>
    </row>
    <row r="4246" spans="1:1">
      <c r="A4246" s="27"/>
    </row>
    <row r="4247" spans="1:1">
      <c r="A4247" s="27"/>
    </row>
    <row r="4248" spans="1:1">
      <c r="A4248" s="27"/>
    </row>
    <row r="4249" spans="1:1">
      <c r="A4249" s="27"/>
    </row>
    <row r="4250" spans="1:1">
      <c r="A4250" s="27"/>
    </row>
    <row r="4251" spans="1:1">
      <c r="A4251" s="27"/>
    </row>
    <row r="4252" spans="1:1">
      <c r="A4252" s="27"/>
    </row>
    <row r="4253" spans="1:1">
      <c r="A4253" s="27"/>
    </row>
    <row r="4254" spans="1:1">
      <c r="A4254" s="27"/>
    </row>
    <row r="4255" spans="1:1">
      <c r="A4255" s="27"/>
    </row>
    <row r="4256" spans="1:1">
      <c r="A4256" s="27"/>
    </row>
    <row r="4257" spans="1:1">
      <c r="A4257" s="27"/>
    </row>
    <row r="4258" spans="1:1">
      <c r="A4258" s="27"/>
    </row>
    <row r="4259" spans="1:1">
      <c r="A4259" s="27"/>
    </row>
    <row r="4260" spans="1:1">
      <c r="A4260" s="27"/>
    </row>
    <row r="4261" spans="1:1">
      <c r="A4261" s="27"/>
    </row>
    <row r="4262" spans="1:1">
      <c r="A4262" s="27"/>
    </row>
    <row r="4263" spans="1:1">
      <c r="A4263" s="27"/>
    </row>
    <row r="4264" spans="1:1">
      <c r="A4264" s="27"/>
    </row>
    <row r="4265" spans="1:1">
      <c r="A4265" s="27"/>
    </row>
    <row r="4266" spans="1:1">
      <c r="A4266" s="27"/>
    </row>
    <row r="4267" spans="1:1">
      <c r="A4267" s="27"/>
    </row>
    <row r="4268" spans="1:1">
      <c r="A4268" s="27"/>
    </row>
    <row r="4269" spans="1:1">
      <c r="A4269" s="27"/>
    </row>
    <row r="4270" spans="1:1">
      <c r="A4270" s="27"/>
    </row>
    <row r="4271" spans="1:1">
      <c r="A4271" s="27"/>
    </row>
    <row r="4272" spans="1:1">
      <c r="A4272" s="27"/>
    </row>
    <row r="4273" spans="1:1">
      <c r="A4273" s="27"/>
    </row>
    <row r="4274" spans="1:1">
      <c r="A4274" s="27"/>
    </row>
    <row r="4275" spans="1:1">
      <c r="A4275" s="27"/>
    </row>
    <row r="4276" spans="1:1">
      <c r="A4276" s="27"/>
    </row>
    <row r="4277" spans="1:1">
      <c r="A4277" s="27"/>
    </row>
    <row r="4278" spans="1:1">
      <c r="A4278" s="27"/>
    </row>
    <row r="4279" spans="1:1">
      <c r="A4279" s="27"/>
    </row>
    <row r="4280" spans="1:1">
      <c r="A4280" s="27"/>
    </row>
    <row r="4281" spans="1:1">
      <c r="A4281" s="27"/>
    </row>
    <row r="4282" spans="1:1">
      <c r="A4282" s="27"/>
    </row>
    <row r="4283" spans="1:1">
      <c r="A4283" s="27"/>
    </row>
    <row r="4284" spans="1:1">
      <c r="A4284" s="27"/>
    </row>
    <row r="4285" spans="1:1">
      <c r="A4285" s="27"/>
    </row>
    <row r="4286" spans="1:1">
      <c r="A4286" s="27"/>
    </row>
    <row r="4287" spans="1:1">
      <c r="A4287" s="27"/>
    </row>
    <row r="4288" spans="1:1">
      <c r="A4288" s="27"/>
    </row>
    <row r="4289" spans="1:1">
      <c r="A4289" s="27"/>
    </row>
    <row r="4290" spans="1:1">
      <c r="A4290" s="27"/>
    </row>
    <row r="4291" spans="1:1">
      <c r="A4291" s="27"/>
    </row>
    <row r="4292" spans="1:1">
      <c r="A4292" s="27"/>
    </row>
    <row r="4293" spans="1:1">
      <c r="A4293" s="27"/>
    </row>
    <row r="4294" spans="1:1">
      <c r="A4294" s="27"/>
    </row>
    <row r="4295" spans="1:1">
      <c r="A4295" s="27"/>
    </row>
    <row r="4296" spans="1:1">
      <c r="A4296" s="27"/>
    </row>
    <row r="4297" spans="1:1">
      <c r="A4297" s="27"/>
    </row>
    <row r="4298" spans="1:1">
      <c r="A4298" s="27"/>
    </row>
    <row r="4299" spans="1:1">
      <c r="A4299" s="27"/>
    </row>
    <row r="4300" spans="1:1">
      <c r="A4300" s="27"/>
    </row>
    <row r="4301" spans="1:1">
      <c r="A4301" s="27"/>
    </row>
    <row r="4302" spans="1:1">
      <c r="A4302" s="27"/>
    </row>
    <row r="4303" spans="1:1">
      <c r="A4303" s="27"/>
    </row>
    <row r="4304" spans="1:1">
      <c r="A4304" s="27"/>
    </row>
    <row r="4305" spans="1:1">
      <c r="A4305" s="27"/>
    </row>
    <row r="4306" spans="1:1">
      <c r="A4306" s="27"/>
    </row>
    <row r="4307" spans="1:1">
      <c r="A4307" s="27"/>
    </row>
    <row r="4308" spans="1:1">
      <c r="A4308" s="27"/>
    </row>
    <row r="4309" spans="1:1">
      <c r="A4309" s="27"/>
    </row>
    <row r="4310" spans="1:1">
      <c r="A4310" s="27"/>
    </row>
    <row r="4311" spans="1:1">
      <c r="A4311" s="27"/>
    </row>
    <row r="4312" spans="1:1">
      <c r="A4312" s="27"/>
    </row>
    <row r="4313" spans="1:1">
      <c r="A4313" s="27"/>
    </row>
    <row r="4314" spans="1:1">
      <c r="A4314" s="27"/>
    </row>
    <row r="4315" spans="1:1">
      <c r="A4315" s="27"/>
    </row>
    <row r="4316" spans="1:1">
      <c r="A4316" s="27"/>
    </row>
    <row r="4317" spans="1:1">
      <c r="A4317" s="27"/>
    </row>
    <row r="4318" spans="1:1">
      <c r="A4318" s="27"/>
    </row>
    <row r="4319" spans="1:1">
      <c r="A4319" s="27"/>
    </row>
    <row r="4320" spans="1:1">
      <c r="A4320" s="27"/>
    </row>
    <row r="4321" spans="1:1">
      <c r="A4321" s="27"/>
    </row>
    <row r="4322" spans="1:1">
      <c r="A4322" s="27"/>
    </row>
    <row r="4323" spans="1:1">
      <c r="A4323" s="27"/>
    </row>
    <row r="4324" spans="1:1">
      <c r="A4324" s="27"/>
    </row>
    <row r="4325" spans="1:1">
      <c r="A4325" s="27"/>
    </row>
    <row r="4326" spans="1:1">
      <c r="A4326" s="27"/>
    </row>
    <row r="4327" spans="1:1">
      <c r="A4327" s="27"/>
    </row>
    <row r="4328" spans="1:1">
      <c r="A4328" s="27"/>
    </row>
    <row r="4329" spans="1:1">
      <c r="A4329" s="27"/>
    </row>
    <row r="4330" spans="1:1">
      <c r="A4330" s="27"/>
    </row>
    <row r="4331" spans="1:1">
      <c r="A4331" s="27"/>
    </row>
    <row r="4332" spans="1:1">
      <c r="A4332" s="27"/>
    </row>
    <row r="4333" spans="1:1">
      <c r="A4333" s="27"/>
    </row>
    <row r="4334" spans="1:1">
      <c r="A4334" s="27"/>
    </row>
    <row r="4335" spans="1:1">
      <c r="A4335" s="27"/>
    </row>
    <row r="4336" spans="1:1">
      <c r="A4336" s="27"/>
    </row>
    <row r="4337" spans="1:1">
      <c r="A4337" s="27"/>
    </row>
    <row r="4338" spans="1:1">
      <c r="A4338" s="27"/>
    </row>
    <row r="4339" spans="1:1">
      <c r="A4339" s="27"/>
    </row>
    <row r="4340" spans="1:1">
      <c r="A4340" s="27"/>
    </row>
    <row r="4341" spans="1:1">
      <c r="A4341" s="27"/>
    </row>
    <row r="4342" spans="1:1">
      <c r="A4342" s="27"/>
    </row>
    <row r="4343" spans="1:1">
      <c r="A4343" s="27"/>
    </row>
    <row r="4344" spans="1:1">
      <c r="A4344" s="27"/>
    </row>
    <row r="4345" spans="1:1">
      <c r="A4345" s="27"/>
    </row>
    <row r="4346" spans="1:1">
      <c r="A4346" s="27"/>
    </row>
    <row r="4347" spans="1:1">
      <c r="A4347" s="27"/>
    </row>
    <row r="4348" spans="1:1">
      <c r="A4348" s="27"/>
    </row>
    <row r="4349" spans="1:1">
      <c r="A4349" s="27"/>
    </row>
    <row r="4350" spans="1:1">
      <c r="A4350" s="27"/>
    </row>
    <row r="4351" spans="1:1">
      <c r="A4351" s="27"/>
    </row>
    <row r="4352" spans="1:1">
      <c r="A4352" s="27"/>
    </row>
    <row r="4353" spans="1:1">
      <c r="A4353" s="27"/>
    </row>
    <row r="4354" spans="1:1">
      <c r="A4354" s="27"/>
    </row>
    <row r="4355" spans="1:1">
      <c r="A4355" s="27"/>
    </row>
    <row r="4356" spans="1:1">
      <c r="A4356" s="27"/>
    </row>
    <row r="4357" spans="1:1">
      <c r="A4357" s="27"/>
    </row>
    <row r="4358" spans="1:1">
      <c r="A4358" s="27"/>
    </row>
    <row r="4359" spans="1:1">
      <c r="A4359" s="27"/>
    </row>
    <row r="4360" spans="1:1">
      <c r="A4360" s="27"/>
    </row>
    <row r="4361" spans="1:1">
      <c r="A4361" s="27"/>
    </row>
    <row r="4362" spans="1:1">
      <c r="A4362" s="27"/>
    </row>
    <row r="4363" spans="1:1">
      <c r="A4363" s="27"/>
    </row>
    <row r="4364" spans="1:1">
      <c r="A4364" s="27"/>
    </row>
    <row r="4365" spans="1:1">
      <c r="A4365" s="27"/>
    </row>
    <row r="4366" spans="1:1">
      <c r="A4366" s="27"/>
    </row>
    <row r="4367" spans="1:1">
      <c r="A4367" s="27"/>
    </row>
    <row r="4368" spans="1:1">
      <c r="A4368" s="27"/>
    </row>
    <row r="4369" spans="1:1">
      <c r="A4369" s="27"/>
    </row>
    <row r="4370" spans="1:1">
      <c r="A4370" s="27"/>
    </row>
    <row r="4371" spans="1:1">
      <c r="A4371" s="27"/>
    </row>
    <row r="4372" spans="1:1">
      <c r="A4372" s="27"/>
    </row>
    <row r="4373" spans="1:1">
      <c r="A4373" s="27"/>
    </row>
    <row r="4374" spans="1:1">
      <c r="A4374" s="27"/>
    </row>
    <row r="4375" spans="1:1">
      <c r="A4375" s="27"/>
    </row>
    <row r="4376" spans="1:1">
      <c r="A4376" s="27"/>
    </row>
    <row r="4377" spans="1:1">
      <c r="A4377" s="27"/>
    </row>
    <row r="4378" spans="1:1">
      <c r="A4378" s="27"/>
    </row>
    <row r="4379" spans="1:1">
      <c r="A4379" s="27"/>
    </row>
    <row r="4380" spans="1:1">
      <c r="A4380" s="27"/>
    </row>
    <row r="4381" spans="1:1">
      <c r="A4381" s="27"/>
    </row>
    <row r="4382" spans="1:1">
      <c r="A4382" s="27"/>
    </row>
    <row r="4383" spans="1:1">
      <c r="A4383" s="27"/>
    </row>
    <row r="4384" spans="1:1">
      <c r="A4384" s="27"/>
    </row>
    <row r="4385" spans="1:1">
      <c r="A4385" s="27"/>
    </row>
    <row r="4386" spans="1:1">
      <c r="A4386" s="27"/>
    </row>
    <row r="4387" spans="1:1">
      <c r="A4387" s="27"/>
    </row>
    <row r="4388" spans="1:1">
      <c r="A4388" s="27"/>
    </row>
    <row r="4389" spans="1:1">
      <c r="A4389" s="27"/>
    </row>
    <row r="4390" spans="1:1">
      <c r="A4390" s="27"/>
    </row>
    <row r="4391" spans="1:1">
      <c r="A4391" s="27"/>
    </row>
    <row r="4392" spans="1:1">
      <c r="A4392" s="27"/>
    </row>
    <row r="4393" spans="1:1">
      <c r="A4393" s="27"/>
    </row>
    <row r="4394" spans="1:1">
      <c r="A4394" s="27"/>
    </row>
    <row r="4395" spans="1:1">
      <c r="A4395" s="27"/>
    </row>
    <row r="4396" spans="1:1">
      <c r="A4396" s="27"/>
    </row>
    <row r="4397" spans="1:1">
      <c r="A4397" s="27"/>
    </row>
    <row r="4398" spans="1:1">
      <c r="A4398" s="27"/>
    </row>
    <row r="4399" spans="1:1">
      <c r="A4399" s="27"/>
    </row>
    <row r="4400" spans="1:1">
      <c r="A4400" s="27"/>
    </row>
    <row r="4401" spans="1:1">
      <c r="A4401" s="27"/>
    </row>
    <row r="4402" spans="1:1">
      <c r="A4402" s="27"/>
    </row>
    <row r="4403" spans="1:1">
      <c r="A4403" s="27"/>
    </row>
    <row r="4404" spans="1:1">
      <c r="A4404" s="27"/>
    </row>
    <row r="4405" spans="1:1">
      <c r="A4405" s="27"/>
    </row>
    <row r="4406" spans="1:1">
      <c r="A4406" s="27"/>
    </row>
    <row r="4407" spans="1:1">
      <c r="A4407" s="27"/>
    </row>
    <row r="4408" spans="1:1">
      <c r="A4408" s="27"/>
    </row>
    <row r="4409" spans="1:1">
      <c r="A4409" s="27"/>
    </row>
    <row r="4410" spans="1:1">
      <c r="A4410" s="27"/>
    </row>
    <row r="4411" spans="1:1">
      <c r="A4411" s="27"/>
    </row>
    <row r="4412" spans="1:1">
      <c r="A4412" s="27"/>
    </row>
    <row r="4413" spans="1:1">
      <c r="A4413" s="27"/>
    </row>
    <row r="4414" spans="1:1">
      <c r="A4414" s="27"/>
    </row>
    <row r="4415" spans="1:1">
      <c r="A4415" s="27"/>
    </row>
    <row r="4416" spans="1:1">
      <c r="A4416" s="27"/>
    </row>
    <row r="4417" spans="1:1">
      <c r="A4417" s="27"/>
    </row>
    <row r="4418" spans="1:1">
      <c r="A4418" s="27"/>
    </row>
    <row r="4419" spans="1:1">
      <c r="A4419" s="27"/>
    </row>
    <row r="4420" spans="1:1">
      <c r="A4420" s="27"/>
    </row>
    <row r="4421" spans="1:1">
      <c r="A4421" s="27"/>
    </row>
    <row r="4422" spans="1:1">
      <c r="A4422" s="27"/>
    </row>
    <row r="4423" spans="1:1">
      <c r="A4423" s="27"/>
    </row>
    <row r="4424" spans="1:1">
      <c r="A4424" s="27"/>
    </row>
    <row r="4425" spans="1:1">
      <c r="A4425" s="27"/>
    </row>
    <row r="4426" spans="1:1">
      <c r="A4426" s="27"/>
    </row>
    <row r="4427" spans="1:1">
      <c r="A4427" s="27"/>
    </row>
    <row r="4428" spans="1:1">
      <c r="A4428" s="27"/>
    </row>
    <row r="4429" spans="1:1">
      <c r="A4429" s="27"/>
    </row>
    <row r="4430" spans="1:1">
      <c r="A4430" s="27"/>
    </row>
    <row r="4431" spans="1:1">
      <c r="A4431" s="27"/>
    </row>
    <row r="4432" spans="1:1">
      <c r="A4432" s="27"/>
    </row>
    <row r="4433" spans="1:1">
      <c r="A4433" s="27"/>
    </row>
    <row r="4434" spans="1:1">
      <c r="A4434" s="27"/>
    </row>
    <row r="4435" spans="1:1">
      <c r="A4435" s="27"/>
    </row>
    <row r="4436" spans="1:1">
      <c r="A4436" s="27"/>
    </row>
    <row r="4437" spans="1:1">
      <c r="A4437" s="27"/>
    </row>
    <row r="4438" spans="1:1">
      <c r="A4438" s="27"/>
    </row>
    <row r="4439" spans="1:1">
      <c r="A4439" s="27"/>
    </row>
    <row r="4440" spans="1:1">
      <c r="A4440" s="27"/>
    </row>
    <row r="4441" spans="1:1">
      <c r="A4441" s="27"/>
    </row>
    <row r="4442" spans="1:1">
      <c r="A4442" s="27"/>
    </row>
    <row r="4443" spans="1:1">
      <c r="A4443" s="27"/>
    </row>
    <row r="4444" spans="1:1">
      <c r="A4444" s="27"/>
    </row>
    <row r="4445" spans="1:1">
      <c r="A4445" s="27"/>
    </row>
    <row r="4446" spans="1:1">
      <c r="A4446" s="27"/>
    </row>
    <row r="4447" spans="1:1">
      <c r="A4447" s="27"/>
    </row>
    <row r="4448" spans="1:1">
      <c r="A4448" s="27"/>
    </row>
    <row r="4449" spans="1:1">
      <c r="A4449" s="27"/>
    </row>
    <row r="4450" spans="1:1">
      <c r="A4450" s="27"/>
    </row>
    <row r="4451" spans="1:1">
      <c r="A4451" s="27"/>
    </row>
    <row r="4452" spans="1:1">
      <c r="A4452" s="27"/>
    </row>
    <row r="4453" spans="1:1">
      <c r="A4453" s="27"/>
    </row>
    <row r="4454" spans="1:1">
      <c r="A4454" s="27"/>
    </row>
    <row r="4455" spans="1:1">
      <c r="A4455" s="27"/>
    </row>
    <row r="4456" spans="1:1">
      <c r="A4456" s="27"/>
    </row>
    <row r="4457" spans="1:1">
      <c r="A4457" s="27"/>
    </row>
    <row r="4458" spans="1:1">
      <c r="A4458" s="27"/>
    </row>
    <row r="4459" spans="1:1">
      <c r="A4459" s="27"/>
    </row>
    <row r="4460" spans="1:1">
      <c r="A4460" s="27"/>
    </row>
    <row r="4461" spans="1:1">
      <c r="A4461" s="27"/>
    </row>
    <row r="4462" spans="1:1">
      <c r="A4462" s="27"/>
    </row>
    <row r="4463" spans="1:1">
      <c r="A4463" s="27"/>
    </row>
    <row r="4464" spans="1:1">
      <c r="A4464" s="27"/>
    </row>
    <row r="4465" spans="1:1">
      <c r="A4465" s="27"/>
    </row>
    <row r="4466" spans="1:1">
      <c r="A4466" s="27"/>
    </row>
    <row r="4467" spans="1:1">
      <c r="A4467" s="27"/>
    </row>
    <row r="4468" spans="1:1">
      <c r="A4468" s="27"/>
    </row>
    <row r="4469" spans="1:1">
      <c r="A4469" s="27"/>
    </row>
    <row r="4470" spans="1:1">
      <c r="A4470" s="27"/>
    </row>
    <row r="4471" spans="1:1">
      <c r="A4471" s="27"/>
    </row>
    <row r="4472" spans="1:1">
      <c r="A4472" s="27"/>
    </row>
    <row r="4473" spans="1:1">
      <c r="A4473" s="27"/>
    </row>
    <row r="4474" spans="1:1">
      <c r="A4474" s="27"/>
    </row>
    <row r="4475" spans="1:1">
      <c r="A4475" s="27"/>
    </row>
    <row r="4476" spans="1:1">
      <c r="A4476" s="27"/>
    </row>
    <row r="4477" spans="1:1">
      <c r="A4477" s="27"/>
    </row>
    <row r="4478" spans="1:1">
      <c r="A4478" s="27"/>
    </row>
    <row r="4479" spans="1:1">
      <c r="A4479" s="27"/>
    </row>
    <row r="4480" spans="1:1">
      <c r="A4480" s="27"/>
    </row>
    <row r="4481" spans="1:1">
      <c r="A4481" s="27"/>
    </row>
    <row r="4482" spans="1:1">
      <c r="A4482" s="27"/>
    </row>
    <row r="4483" spans="1:1">
      <c r="A4483" s="27"/>
    </row>
    <row r="4484" spans="1:1">
      <c r="A4484" s="27"/>
    </row>
    <row r="4485" spans="1:1">
      <c r="A4485" s="27"/>
    </row>
    <row r="4486" spans="1:1">
      <c r="A4486" s="27"/>
    </row>
    <row r="4487" spans="1:1">
      <c r="A4487" s="27"/>
    </row>
    <row r="4488" spans="1:1">
      <c r="A4488" s="27"/>
    </row>
    <row r="4489" spans="1:1">
      <c r="A4489" s="27"/>
    </row>
    <row r="4490" spans="1:1">
      <c r="A4490" s="27"/>
    </row>
    <row r="4491" spans="1:1">
      <c r="A4491" s="27"/>
    </row>
    <row r="4492" spans="1:1">
      <c r="A4492" s="27"/>
    </row>
    <row r="4493" spans="1:1">
      <c r="A4493" s="27"/>
    </row>
    <row r="4494" spans="1:1">
      <c r="A4494" s="27"/>
    </row>
    <row r="4495" spans="1:1">
      <c r="A4495" s="27"/>
    </row>
    <row r="4496" spans="1:1">
      <c r="A4496" s="27"/>
    </row>
    <row r="4497" spans="1:1">
      <c r="A4497" s="27"/>
    </row>
    <row r="4498" spans="1:1">
      <c r="A4498" s="27"/>
    </row>
    <row r="4499" spans="1:1">
      <c r="A4499" s="27"/>
    </row>
    <row r="4500" spans="1:1">
      <c r="A4500" s="27"/>
    </row>
    <row r="4501" spans="1:1">
      <c r="A4501" s="27"/>
    </row>
    <row r="4502" spans="1:1">
      <c r="A4502" s="27"/>
    </row>
    <row r="4503" spans="1:1">
      <c r="A4503" s="27"/>
    </row>
    <row r="4504" spans="1:1">
      <c r="A4504" s="27"/>
    </row>
    <row r="4505" spans="1:1">
      <c r="A4505" s="27"/>
    </row>
    <row r="4506" spans="1:1">
      <c r="A4506" s="27"/>
    </row>
    <row r="4507" spans="1:1">
      <c r="A4507" s="27"/>
    </row>
    <row r="4508" spans="1:1">
      <c r="A4508" s="27"/>
    </row>
    <row r="4509" spans="1:1">
      <c r="A4509" s="27"/>
    </row>
    <row r="4510" spans="1:1">
      <c r="A4510" s="27"/>
    </row>
    <row r="4511" spans="1:1">
      <c r="A4511" s="27"/>
    </row>
    <row r="4512" spans="1:1">
      <c r="A4512" s="27"/>
    </row>
    <row r="4513" spans="1:1">
      <c r="A4513" s="27"/>
    </row>
    <row r="4514" spans="1:1">
      <c r="A4514" s="27"/>
    </row>
    <row r="4515" spans="1:1">
      <c r="A4515" s="27"/>
    </row>
    <row r="4516" spans="1:1">
      <c r="A4516" s="27"/>
    </row>
    <row r="4517" spans="1:1">
      <c r="A4517" s="27"/>
    </row>
    <row r="4518" spans="1:1">
      <c r="A4518" s="27"/>
    </row>
    <row r="4519" spans="1:1">
      <c r="A4519" s="27"/>
    </row>
    <row r="4520" spans="1:1">
      <c r="A4520" s="27"/>
    </row>
    <row r="4521" spans="1:1">
      <c r="A4521" s="27"/>
    </row>
    <row r="4522" spans="1:1">
      <c r="A4522" s="27"/>
    </row>
    <row r="4523" spans="1:1">
      <c r="A4523" s="27"/>
    </row>
    <row r="4524" spans="1:1">
      <c r="A4524" s="27"/>
    </row>
    <row r="4525" spans="1:1">
      <c r="A4525" s="27"/>
    </row>
    <row r="4526" spans="1:1">
      <c r="A4526" s="27"/>
    </row>
    <row r="4527" spans="1:1">
      <c r="A4527" s="27"/>
    </row>
    <row r="4528" spans="1:1">
      <c r="A4528" s="27"/>
    </row>
    <row r="4529" spans="1:1">
      <c r="A4529" s="27"/>
    </row>
    <row r="4530" spans="1:1">
      <c r="A4530" s="27"/>
    </row>
    <row r="4531" spans="1:1">
      <c r="A4531" s="27"/>
    </row>
    <row r="4532" spans="1:1">
      <c r="A4532" s="27"/>
    </row>
    <row r="4533" spans="1:1">
      <c r="A4533" s="27"/>
    </row>
    <row r="4534" spans="1:1">
      <c r="A4534" s="27"/>
    </row>
    <row r="4535" spans="1:1">
      <c r="A4535" s="27"/>
    </row>
    <row r="4536" spans="1:1">
      <c r="A4536" s="27"/>
    </row>
    <row r="4537" spans="1:1">
      <c r="A4537" s="27"/>
    </row>
    <row r="4538" spans="1:1">
      <c r="A4538" s="27"/>
    </row>
    <row r="4539" spans="1:1">
      <c r="A4539" s="27"/>
    </row>
    <row r="4540" spans="1:1">
      <c r="A4540" s="27"/>
    </row>
    <row r="4541" spans="1:1">
      <c r="A4541" s="27"/>
    </row>
    <row r="4542" spans="1:1">
      <c r="A4542" s="27"/>
    </row>
    <row r="4543" spans="1:1">
      <c r="A4543" s="27"/>
    </row>
    <row r="4544" spans="1:1">
      <c r="A4544" s="27"/>
    </row>
    <row r="4545" spans="1:1">
      <c r="A4545" s="27"/>
    </row>
    <row r="4546" spans="1:1">
      <c r="A4546" s="27"/>
    </row>
    <row r="4547" spans="1:1">
      <c r="A4547" s="27"/>
    </row>
    <row r="4548" spans="1:1">
      <c r="A4548" s="27"/>
    </row>
    <row r="4549" spans="1:1">
      <c r="A4549" s="27"/>
    </row>
    <row r="4550" spans="1:1">
      <c r="A4550" s="27"/>
    </row>
    <row r="4551" spans="1:1">
      <c r="A4551" s="27"/>
    </row>
    <row r="4552" spans="1:1">
      <c r="A4552" s="27"/>
    </row>
    <row r="4553" spans="1:1">
      <c r="A4553" s="27"/>
    </row>
    <row r="4554" spans="1:1">
      <c r="A4554" s="27"/>
    </row>
    <row r="4555" spans="1:1">
      <c r="A4555" s="27"/>
    </row>
    <row r="4556" spans="1:1">
      <c r="A4556" s="27"/>
    </row>
    <row r="4557" spans="1:1">
      <c r="A4557" s="27"/>
    </row>
    <row r="4558" spans="1:1">
      <c r="A4558" s="27"/>
    </row>
    <row r="4559" spans="1:1">
      <c r="A4559" s="27"/>
    </row>
    <row r="4560" spans="1:1">
      <c r="A4560" s="27"/>
    </row>
    <row r="4561" spans="1:1">
      <c r="A4561" s="27"/>
    </row>
    <row r="4562" spans="1:1">
      <c r="A4562" s="27"/>
    </row>
    <row r="4563" spans="1:1">
      <c r="A4563" s="27"/>
    </row>
    <row r="4564" spans="1:1">
      <c r="A4564" s="27"/>
    </row>
    <row r="4565" spans="1:1">
      <c r="A4565" s="27"/>
    </row>
    <row r="4566" spans="1:1">
      <c r="A4566" s="27"/>
    </row>
    <row r="4567" spans="1:1">
      <c r="A4567" s="27"/>
    </row>
    <row r="4568" spans="1:1">
      <c r="A4568" s="27"/>
    </row>
    <row r="4569" spans="1:1">
      <c r="A4569" s="27"/>
    </row>
    <row r="4570" spans="1:1">
      <c r="A4570" s="27"/>
    </row>
    <row r="4571" spans="1:1">
      <c r="A4571" s="27"/>
    </row>
    <row r="4572" spans="1:1">
      <c r="A4572" s="27"/>
    </row>
    <row r="4573" spans="1:1">
      <c r="A4573" s="27"/>
    </row>
    <row r="4574" spans="1:1">
      <c r="A4574" s="27"/>
    </row>
    <row r="4575" spans="1:1">
      <c r="A4575" s="27"/>
    </row>
    <row r="4576" spans="1:1">
      <c r="A4576" s="27"/>
    </row>
    <row r="4577" spans="1:1">
      <c r="A4577" s="27"/>
    </row>
    <row r="4578" spans="1:1">
      <c r="A4578" s="27"/>
    </row>
    <row r="4579" spans="1:1">
      <c r="A4579" s="27"/>
    </row>
    <row r="4580" spans="1:1">
      <c r="A4580" s="27"/>
    </row>
    <row r="4581" spans="1:1">
      <c r="A4581" s="27"/>
    </row>
    <row r="4582" spans="1:1">
      <c r="A4582" s="27"/>
    </row>
    <row r="4583" spans="1:1">
      <c r="A4583" s="27"/>
    </row>
    <row r="4584" spans="1:1">
      <c r="A4584" s="27"/>
    </row>
    <row r="4585" spans="1:1">
      <c r="A4585" s="27"/>
    </row>
    <row r="4586" spans="1:1">
      <c r="A4586" s="27"/>
    </row>
    <row r="4587" spans="1:1">
      <c r="A4587" s="27"/>
    </row>
    <row r="4588" spans="1:1">
      <c r="A4588" s="27"/>
    </row>
    <row r="4589" spans="1:1">
      <c r="A4589" s="27"/>
    </row>
    <row r="4590" spans="1:1">
      <c r="A4590" s="27"/>
    </row>
    <row r="4591" spans="1:1">
      <c r="A4591" s="27"/>
    </row>
    <row r="4592" spans="1:1">
      <c r="A4592" s="27"/>
    </row>
    <row r="4593" spans="1:1">
      <c r="A4593" s="27"/>
    </row>
    <row r="4594" spans="1:1">
      <c r="A4594" s="27"/>
    </row>
    <row r="4595" spans="1:1">
      <c r="A4595" s="27"/>
    </row>
    <row r="4596" spans="1:1">
      <c r="A4596" s="27"/>
    </row>
    <row r="4597" spans="1:1">
      <c r="A4597" s="27"/>
    </row>
    <row r="4598" spans="1:1">
      <c r="A4598" s="27"/>
    </row>
    <row r="4599" spans="1:1">
      <c r="A4599" s="27"/>
    </row>
    <row r="4600" spans="1:1">
      <c r="A4600" s="27"/>
    </row>
    <row r="4601" spans="1:1">
      <c r="A4601" s="27"/>
    </row>
    <row r="4602" spans="1:1">
      <c r="A4602" s="27"/>
    </row>
    <row r="4603" spans="1:1">
      <c r="A4603" s="27"/>
    </row>
    <row r="4604" spans="1:1">
      <c r="A4604" s="27"/>
    </row>
    <row r="4605" spans="1:1">
      <c r="A4605" s="27"/>
    </row>
    <row r="4606" spans="1:1">
      <c r="A4606" s="27"/>
    </row>
    <row r="4607" spans="1:1">
      <c r="A4607" s="27"/>
    </row>
    <row r="4608" spans="1:1">
      <c r="A4608" s="27"/>
    </row>
    <row r="4609" spans="1:1">
      <c r="A4609" s="27"/>
    </row>
    <row r="4610" spans="1:1">
      <c r="A4610" s="27"/>
    </row>
    <row r="4611" spans="1:1">
      <c r="A4611" s="27"/>
    </row>
    <row r="4612" spans="1:1">
      <c r="A4612" s="27"/>
    </row>
    <row r="4613" spans="1:1">
      <c r="A4613" s="27"/>
    </row>
    <row r="4614" spans="1:1">
      <c r="A4614" s="27"/>
    </row>
    <row r="4615" spans="1:1">
      <c r="A4615" s="27"/>
    </row>
    <row r="4616" spans="1:1">
      <c r="A4616" s="27"/>
    </row>
    <row r="4617" spans="1:1">
      <c r="A4617" s="27"/>
    </row>
    <row r="4618" spans="1:1">
      <c r="A4618" s="27"/>
    </row>
    <row r="4619" spans="1:1">
      <c r="A4619" s="27"/>
    </row>
    <row r="4620" spans="1:1">
      <c r="A4620" s="27"/>
    </row>
    <row r="4621" spans="1:1">
      <c r="A4621" s="27"/>
    </row>
    <row r="4622" spans="1:1">
      <c r="A4622" s="27"/>
    </row>
    <row r="4623" spans="1:1">
      <c r="A4623" s="27"/>
    </row>
    <row r="4624" spans="1:1">
      <c r="A4624" s="27"/>
    </row>
    <row r="4625" spans="1:1">
      <c r="A4625" s="27"/>
    </row>
    <row r="4626" spans="1:1">
      <c r="A4626" s="27"/>
    </row>
    <row r="4627" spans="1:1">
      <c r="A4627" s="27"/>
    </row>
    <row r="4628" spans="1:1">
      <c r="A4628" s="27"/>
    </row>
    <row r="4629" spans="1:1">
      <c r="A4629" s="27"/>
    </row>
    <row r="4630" spans="1:1">
      <c r="A4630" s="27"/>
    </row>
    <row r="4631" spans="1:1">
      <c r="A4631" s="27"/>
    </row>
    <row r="4632" spans="1:1">
      <c r="A4632" s="27"/>
    </row>
    <row r="4633" spans="1:1">
      <c r="A4633" s="27"/>
    </row>
    <row r="4634" spans="1:1">
      <c r="A4634" s="27"/>
    </row>
    <row r="4635" spans="1:1">
      <c r="A4635" s="27"/>
    </row>
    <row r="4636" spans="1:1">
      <c r="A4636" s="27"/>
    </row>
    <row r="4637" spans="1:1">
      <c r="A4637" s="27"/>
    </row>
    <row r="4638" spans="1:1">
      <c r="A4638" s="27"/>
    </row>
    <row r="4639" spans="1:1">
      <c r="A4639" s="27"/>
    </row>
    <row r="4640" spans="1:1">
      <c r="A4640" s="27"/>
    </row>
    <row r="4641" spans="1:1">
      <c r="A4641" s="27"/>
    </row>
    <row r="4642" spans="1:1">
      <c r="A4642" s="27"/>
    </row>
    <row r="4643" spans="1:1">
      <c r="A4643" s="27"/>
    </row>
    <row r="4644" spans="1:1">
      <c r="A4644" s="27"/>
    </row>
    <row r="4645" spans="1:1">
      <c r="A4645" s="27"/>
    </row>
    <row r="4646" spans="1:1">
      <c r="A4646" s="27"/>
    </row>
    <row r="4647" spans="1:1">
      <c r="A4647" s="27"/>
    </row>
    <row r="4648" spans="1:1">
      <c r="A4648" s="27"/>
    </row>
    <row r="4649" spans="1:1">
      <c r="A4649" s="27"/>
    </row>
    <row r="4650" spans="1:1">
      <c r="A4650" s="27"/>
    </row>
    <row r="4651" spans="1:1">
      <c r="A4651" s="27"/>
    </row>
    <row r="4652" spans="1:1">
      <c r="A4652" s="27"/>
    </row>
    <row r="4653" spans="1:1">
      <c r="A4653" s="27"/>
    </row>
    <row r="4654" spans="1:1">
      <c r="A4654" s="27"/>
    </row>
    <row r="4655" spans="1:1">
      <c r="A4655" s="27"/>
    </row>
    <row r="4656" spans="1:1">
      <c r="A4656" s="27"/>
    </row>
    <row r="4657" spans="1:1">
      <c r="A4657" s="27"/>
    </row>
    <row r="4658" spans="1:1">
      <c r="A4658" s="27"/>
    </row>
    <row r="4659" spans="1:1">
      <c r="A4659" s="27"/>
    </row>
    <row r="4660" spans="1:1">
      <c r="A4660" s="27"/>
    </row>
    <row r="4661" spans="1:1">
      <c r="A4661" s="27"/>
    </row>
    <row r="4662" spans="1:1">
      <c r="A4662" s="27"/>
    </row>
    <row r="4663" spans="1:1">
      <c r="A4663" s="27"/>
    </row>
    <row r="4664" spans="1:1">
      <c r="A4664" s="27"/>
    </row>
    <row r="4665" spans="1:1">
      <c r="A4665" s="27"/>
    </row>
    <row r="4666" spans="1:1">
      <c r="A4666" s="27"/>
    </row>
    <row r="4667" spans="1:1">
      <c r="A4667" s="27"/>
    </row>
    <row r="4668" spans="1:1">
      <c r="A4668" s="27"/>
    </row>
    <row r="4669" spans="1:1">
      <c r="A4669" s="27"/>
    </row>
    <row r="4670" spans="1:1">
      <c r="A4670" s="27"/>
    </row>
    <row r="4671" spans="1:1">
      <c r="A4671" s="27"/>
    </row>
    <row r="4672" spans="1:1">
      <c r="A4672" s="27"/>
    </row>
    <row r="4673" spans="1:1">
      <c r="A4673" s="27"/>
    </row>
    <row r="4674" spans="1:1">
      <c r="A4674" s="27"/>
    </row>
    <row r="4675" spans="1:1">
      <c r="A4675" s="27"/>
    </row>
    <row r="4676" spans="1:1">
      <c r="A4676" s="27"/>
    </row>
    <row r="4677" spans="1:1">
      <c r="A4677" s="27"/>
    </row>
    <row r="4678" spans="1:1">
      <c r="A4678" s="27"/>
    </row>
    <row r="4679" spans="1:1">
      <c r="A4679" s="27"/>
    </row>
    <row r="4680" spans="1:1">
      <c r="A4680" s="27"/>
    </row>
    <row r="4681" spans="1:1">
      <c r="A4681" s="27"/>
    </row>
    <row r="4682" spans="1:1">
      <c r="A4682" s="27"/>
    </row>
    <row r="4683" spans="1:1">
      <c r="A4683" s="27"/>
    </row>
    <row r="4684" spans="1:1">
      <c r="A4684" s="27"/>
    </row>
    <row r="4685" spans="1:1">
      <c r="A4685" s="27"/>
    </row>
    <row r="4686" spans="1:1">
      <c r="A4686" s="27"/>
    </row>
    <row r="4687" spans="1:1">
      <c r="A4687" s="27"/>
    </row>
    <row r="4688" spans="1:1">
      <c r="A4688" s="27"/>
    </row>
    <row r="4689" spans="1:1">
      <c r="A4689" s="27"/>
    </row>
    <row r="4690" spans="1:1">
      <c r="A4690" s="27"/>
    </row>
    <row r="4691" spans="1:1">
      <c r="A4691" s="27"/>
    </row>
    <row r="4692" spans="1:1">
      <c r="A4692" s="27"/>
    </row>
    <row r="4693" spans="1:1">
      <c r="A4693" s="27"/>
    </row>
    <row r="4694" spans="1:1">
      <c r="A4694" s="27"/>
    </row>
    <row r="4695" spans="1:1">
      <c r="A4695" s="27"/>
    </row>
    <row r="4696" spans="1:1">
      <c r="A4696" s="27"/>
    </row>
    <row r="4697" spans="1:1">
      <c r="A4697" s="27"/>
    </row>
    <row r="4698" spans="1:1">
      <c r="A4698" s="27"/>
    </row>
    <row r="4699" spans="1:1">
      <c r="A4699" s="27"/>
    </row>
    <row r="4700" spans="1:1">
      <c r="A4700" s="27"/>
    </row>
    <row r="4701" spans="1:1">
      <c r="A4701" s="27"/>
    </row>
    <row r="4702" spans="1:1">
      <c r="A4702" s="27"/>
    </row>
    <row r="4703" spans="1:1">
      <c r="A4703" s="27"/>
    </row>
    <row r="4704" spans="1:1">
      <c r="A4704" s="27"/>
    </row>
    <row r="4705" spans="1:1">
      <c r="A4705" s="27"/>
    </row>
    <row r="4706" spans="1:1">
      <c r="A4706" s="27"/>
    </row>
    <row r="4707" spans="1:1">
      <c r="A4707" s="27"/>
    </row>
    <row r="4708" spans="1:1">
      <c r="A4708" s="27"/>
    </row>
    <row r="4709" spans="1:1">
      <c r="A4709" s="27"/>
    </row>
    <row r="4710" spans="1:1">
      <c r="A4710" s="27"/>
    </row>
    <row r="4711" spans="1:1">
      <c r="A4711" s="27"/>
    </row>
    <row r="4712" spans="1:1">
      <c r="A4712" s="27"/>
    </row>
    <row r="4713" spans="1:1">
      <c r="A4713" s="27"/>
    </row>
    <row r="4714" spans="1:1">
      <c r="A4714" s="27"/>
    </row>
    <row r="4715" spans="1:1">
      <c r="A4715" s="27"/>
    </row>
    <row r="4716" spans="1:1">
      <c r="A4716" s="27"/>
    </row>
    <row r="4717" spans="1:1">
      <c r="A4717" s="27"/>
    </row>
    <row r="4718" spans="1:1">
      <c r="A4718" s="27"/>
    </row>
    <row r="4719" spans="1:1">
      <c r="A4719" s="27"/>
    </row>
    <row r="4720" spans="1:1">
      <c r="A4720" s="27"/>
    </row>
    <row r="4721" spans="1:1">
      <c r="A4721" s="27"/>
    </row>
    <row r="4722" spans="1:1">
      <c r="A4722" s="27"/>
    </row>
    <row r="4723" spans="1:1">
      <c r="A4723" s="27"/>
    </row>
    <row r="4724" spans="1:1">
      <c r="A4724" s="27"/>
    </row>
    <row r="4725" spans="1:1">
      <c r="A4725" s="27"/>
    </row>
    <row r="4726" spans="1:1">
      <c r="A4726" s="27"/>
    </row>
    <row r="4727" spans="1:1">
      <c r="A4727" s="27"/>
    </row>
    <row r="4728" spans="1:1">
      <c r="A4728" s="27"/>
    </row>
    <row r="4729" spans="1:1">
      <c r="A4729" s="27"/>
    </row>
    <row r="4730" spans="1:1">
      <c r="A4730" s="27"/>
    </row>
    <row r="4731" spans="1:1">
      <c r="A4731" s="27"/>
    </row>
    <row r="4732" spans="1:1">
      <c r="A4732" s="27"/>
    </row>
    <row r="4733" spans="1:1">
      <c r="A4733" s="27"/>
    </row>
    <row r="4734" spans="1:1">
      <c r="A4734" s="27"/>
    </row>
    <row r="4735" spans="1:1">
      <c r="A4735" s="27"/>
    </row>
    <row r="4736" spans="1:1">
      <c r="A4736" s="27"/>
    </row>
    <row r="4737" spans="1:1">
      <c r="A4737" s="27"/>
    </row>
    <row r="4738" spans="1:1">
      <c r="A4738" s="27"/>
    </row>
    <row r="4739" spans="1:1">
      <c r="A4739" s="27"/>
    </row>
    <row r="4740" spans="1:1">
      <c r="A4740" s="27"/>
    </row>
    <row r="4741" spans="1:1">
      <c r="A4741" s="27"/>
    </row>
    <row r="4742" spans="1:1">
      <c r="A4742" s="27"/>
    </row>
    <row r="4743" spans="1:1">
      <c r="A4743" s="27"/>
    </row>
    <row r="4744" spans="1:1">
      <c r="A4744" s="27"/>
    </row>
    <row r="4745" spans="1:1">
      <c r="A4745" s="27"/>
    </row>
    <row r="4746" spans="1:1">
      <c r="A4746" s="27"/>
    </row>
    <row r="4747" spans="1:1">
      <c r="A4747" s="27"/>
    </row>
    <row r="4748" spans="1:1">
      <c r="A4748" s="27"/>
    </row>
    <row r="4749" spans="1:1">
      <c r="A4749" s="27"/>
    </row>
    <row r="4750" spans="1:1">
      <c r="A4750" s="27"/>
    </row>
    <row r="4751" spans="1:1">
      <c r="A4751" s="27"/>
    </row>
    <row r="4752" spans="1:1">
      <c r="A4752" s="27"/>
    </row>
    <row r="4753" spans="1:1">
      <c r="A4753" s="27"/>
    </row>
    <row r="4754" spans="1:1">
      <c r="A4754" s="27"/>
    </row>
    <row r="4755" spans="1:1">
      <c r="A4755" s="27"/>
    </row>
    <row r="4756" spans="1:1">
      <c r="A4756" s="27"/>
    </row>
    <row r="4757" spans="1:1">
      <c r="A4757" s="27"/>
    </row>
    <row r="4758" spans="1:1">
      <c r="A4758" s="27"/>
    </row>
    <row r="4759" spans="1:1">
      <c r="A4759" s="27"/>
    </row>
    <row r="4760" spans="1:1">
      <c r="A4760" s="27"/>
    </row>
    <row r="4761" spans="1:1">
      <c r="A4761" s="27"/>
    </row>
    <row r="4762" spans="1:1">
      <c r="A4762" s="27"/>
    </row>
    <row r="4763" spans="1:1">
      <c r="A4763" s="27"/>
    </row>
    <row r="4764" spans="1:1">
      <c r="A4764" s="27"/>
    </row>
    <row r="4765" spans="1:1">
      <c r="A4765" s="27"/>
    </row>
    <row r="4766" spans="1:1">
      <c r="A4766" s="27"/>
    </row>
    <row r="4767" spans="1:1">
      <c r="A4767" s="27"/>
    </row>
    <row r="4768" spans="1:1">
      <c r="A4768" s="27"/>
    </row>
    <row r="4769" spans="1:1">
      <c r="A4769" s="27"/>
    </row>
    <row r="4770" spans="1:1">
      <c r="A4770" s="27"/>
    </row>
    <row r="4771" spans="1:1">
      <c r="A4771" s="27"/>
    </row>
    <row r="4772" spans="1:1">
      <c r="A4772" s="27"/>
    </row>
    <row r="4773" spans="1:1">
      <c r="A4773" s="27"/>
    </row>
    <row r="4774" spans="1:1">
      <c r="A4774" s="27"/>
    </row>
    <row r="4775" spans="1:1">
      <c r="A4775" s="27"/>
    </row>
    <row r="4776" spans="1:1">
      <c r="A4776" s="27"/>
    </row>
    <row r="4777" spans="1:1">
      <c r="A4777" s="27"/>
    </row>
    <row r="4778" spans="1:1">
      <c r="A4778" s="27"/>
    </row>
    <row r="4779" spans="1:1">
      <c r="A4779" s="27"/>
    </row>
    <row r="4780" spans="1:1">
      <c r="A4780" s="27"/>
    </row>
    <row r="4781" spans="1:1">
      <c r="A4781" s="27"/>
    </row>
    <row r="4782" spans="1:1">
      <c r="A4782" s="27"/>
    </row>
    <row r="4783" spans="1:1">
      <c r="A4783" s="27"/>
    </row>
    <row r="4784" spans="1:1">
      <c r="A4784" s="27"/>
    </row>
    <row r="4785" spans="1:1">
      <c r="A4785" s="27"/>
    </row>
    <row r="4786" spans="1:1">
      <c r="A4786" s="27"/>
    </row>
    <row r="4787" spans="1:1">
      <c r="A4787" s="27"/>
    </row>
    <row r="4788" spans="1:1">
      <c r="A4788" s="27"/>
    </row>
    <row r="4789" spans="1:1">
      <c r="A4789" s="27"/>
    </row>
    <row r="4790" spans="1:1">
      <c r="A4790" s="27"/>
    </row>
    <row r="4791" spans="1:1">
      <c r="A4791" s="27"/>
    </row>
    <row r="4792" spans="1:1">
      <c r="A4792" s="27"/>
    </row>
    <row r="4793" spans="1:1">
      <c r="A4793" s="27"/>
    </row>
    <row r="4794" spans="1:1">
      <c r="A4794" s="27"/>
    </row>
    <row r="4795" spans="1:1">
      <c r="A4795" s="27"/>
    </row>
    <row r="4796" spans="1:1">
      <c r="A4796" s="27"/>
    </row>
    <row r="4797" spans="1:1">
      <c r="A4797" s="27"/>
    </row>
    <row r="4798" spans="1:1">
      <c r="A4798" s="27"/>
    </row>
    <row r="4799" spans="1:1">
      <c r="A4799" s="27"/>
    </row>
    <row r="4800" spans="1:1">
      <c r="A4800" s="27"/>
    </row>
    <row r="4801" spans="1:1">
      <c r="A4801" s="27"/>
    </row>
    <row r="4802" spans="1:1">
      <c r="A4802" s="27"/>
    </row>
    <row r="4803" spans="1:1">
      <c r="A4803" s="27"/>
    </row>
    <row r="4804" spans="1:1">
      <c r="A4804" s="27"/>
    </row>
    <row r="4805" spans="1:1">
      <c r="A4805" s="27"/>
    </row>
    <row r="4806" spans="1:1">
      <c r="A4806" s="27"/>
    </row>
    <row r="4807" spans="1:1">
      <c r="A4807" s="27"/>
    </row>
    <row r="4808" spans="1:1">
      <c r="A4808" s="27"/>
    </row>
    <row r="4809" spans="1:1">
      <c r="A4809" s="27"/>
    </row>
    <row r="4810" spans="1:1">
      <c r="A4810" s="27"/>
    </row>
    <row r="4811" spans="1:1">
      <c r="A4811" s="27"/>
    </row>
    <row r="4812" spans="1:1">
      <c r="A4812" s="27"/>
    </row>
    <row r="4813" spans="1:1">
      <c r="A4813" s="27"/>
    </row>
    <row r="4814" spans="1:1">
      <c r="A4814" s="27"/>
    </row>
    <row r="4815" spans="1:1">
      <c r="A4815" s="27"/>
    </row>
    <row r="4816" spans="1:1">
      <c r="A4816" s="27"/>
    </row>
    <row r="4817" spans="1:1">
      <c r="A4817" s="27"/>
    </row>
    <row r="4818" spans="1:1">
      <c r="A4818" s="27"/>
    </row>
    <row r="4819" spans="1:1">
      <c r="A4819" s="27"/>
    </row>
    <row r="4820" spans="1:1">
      <c r="A4820" s="27"/>
    </row>
    <row r="4821" spans="1:1">
      <c r="A4821" s="27"/>
    </row>
    <row r="4822" spans="1:1">
      <c r="A4822" s="27"/>
    </row>
    <row r="4823" spans="1:1">
      <c r="A4823" s="27"/>
    </row>
    <row r="4824" spans="1:1">
      <c r="A4824" s="27"/>
    </row>
    <row r="4825" spans="1:1">
      <c r="A4825" s="27"/>
    </row>
    <row r="4826" spans="1:1">
      <c r="A4826" s="27"/>
    </row>
    <row r="4827" spans="1:1">
      <c r="A4827" s="27"/>
    </row>
    <row r="4828" spans="1:1">
      <c r="A4828" s="27"/>
    </row>
    <row r="4829" spans="1:1">
      <c r="A4829" s="27"/>
    </row>
    <row r="4830" spans="1:1">
      <c r="A4830" s="27"/>
    </row>
    <row r="4831" spans="1:1">
      <c r="A4831" s="27"/>
    </row>
    <row r="4832" spans="1:1">
      <c r="A4832" s="27"/>
    </row>
    <row r="4833" spans="1:1">
      <c r="A4833" s="27"/>
    </row>
    <row r="4834" spans="1:1">
      <c r="A4834" s="27"/>
    </row>
    <row r="4835" spans="1:1">
      <c r="A4835" s="27"/>
    </row>
    <row r="4836" spans="1:1">
      <c r="A4836" s="27"/>
    </row>
    <row r="4837" spans="1:1">
      <c r="A4837" s="27"/>
    </row>
    <row r="4838" spans="1:1">
      <c r="A4838" s="27"/>
    </row>
    <row r="4839" spans="1:1">
      <c r="A4839" s="27"/>
    </row>
    <row r="4840" spans="1:1">
      <c r="A4840" s="27"/>
    </row>
    <row r="4841" spans="1:1">
      <c r="A4841" s="27"/>
    </row>
    <row r="4842" spans="1:1">
      <c r="A4842" s="27"/>
    </row>
    <row r="4843" spans="1:1">
      <c r="A4843" s="27"/>
    </row>
    <row r="4844" spans="1:1">
      <c r="A4844" s="27"/>
    </row>
    <row r="4845" spans="1:1">
      <c r="A4845" s="27"/>
    </row>
    <row r="4846" spans="1:1">
      <c r="A4846" s="27"/>
    </row>
    <row r="4847" spans="1:1">
      <c r="A4847" s="27"/>
    </row>
    <row r="4848" spans="1:1">
      <c r="A4848" s="27"/>
    </row>
    <row r="4849" spans="1:1">
      <c r="A4849" s="27"/>
    </row>
    <row r="4850" spans="1:1">
      <c r="A4850" s="27"/>
    </row>
    <row r="4851" spans="1:1">
      <c r="A4851" s="27"/>
    </row>
    <row r="4852" spans="1:1">
      <c r="A4852" s="27"/>
    </row>
    <row r="4853" spans="1:1">
      <c r="A4853" s="27"/>
    </row>
    <row r="4854" spans="1:1">
      <c r="A4854" s="27"/>
    </row>
    <row r="4855" spans="1:1">
      <c r="A4855" s="27"/>
    </row>
    <row r="4856" spans="1:1">
      <c r="A4856" s="27"/>
    </row>
    <row r="4857" spans="1:1">
      <c r="A4857" s="27"/>
    </row>
    <row r="4858" spans="1:1">
      <c r="A4858" s="27"/>
    </row>
    <row r="4859" spans="1:1">
      <c r="A4859" s="27"/>
    </row>
    <row r="4860" spans="1:1">
      <c r="A4860" s="27"/>
    </row>
    <row r="4861" spans="1:1">
      <c r="A4861" s="27"/>
    </row>
    <row r="4862" spans="1:1">
      <c r="A4862" s="27"/>
    </row>
    <row r="4863" spans="1:1">
      <c r="A4863" s="27"/>
    </row>
    <row r="4864" spans="1:1">
      <c r="A4864" s="27"/>
    </row>
    <row r="4865" spans="1:1">
      <c r="A4865" s="27"/>
    </row>
    <row r="4866" spans="1:1">
      <c r="A4866" s="27"/>
    </row>
    <row r="4867" spans="1:1">
      <c r="A4867" s="27"/>
    </row>
    <row r="4868" spans="1:1">
      <c r="A4868" s="27"/>
    </row>
    <row r="4869" spans="1:1">
      <c r="A4869" s="27"/>
    </row>
    <row r="4870" spans="1:1">
      <c r="A4870" s="27"/>
    </row>
    <row r="4871" spans="1:1">
      <c r="A4871" s="27"/>
    </row>
    <row r="4872" spans="1:1">
      <c r="A4872" s="27"/>
    </row>
    <row r="4873" spans="1:1">
      <c r="A4873" s="27"/>
    </row>
    <row r="4874" spans="1:1">
      <c r="A4874" s="27"/>
    </row>
    <row r="4875" spans="1:1">
      <c r="A4875" s="27"/>
    </row>
    <row r="4876" spans="1:1">
      <c r="A4876" s="27"/>
    </row>
    <row r="4877" spans="1:1">
      <c r="A4877" s="27"/>
    </row>
    <row r="4878" spans="1:1">
      <c r="A4878" s="27"/>
    </row>
    <row r="4879" spans="1:1">
      <c r="A4879" s="27"/>
    </row>
    <row r="4880" spans="1:1">
      <c r="A4880" s="27"/>
    </row>
    <row r="4881" spans="1:1">
      <c r="A4881" s="27"/>
    </row>
    <row r="4882" spans="1:1">
      <c r="A4882" s="27"/>
    </row>
    <row r="4883" spans="1:1">
      <c r="A4883" s="27"/>
    </row>
    <row r="4884" spans="1:1">
      <c r="A4884" s="27"/>
    </row>
    <row r="4885" spans="1:1">
      <c r="A4885" s="27"/>
    </row>
    <row r="4886" spans="1:1">
      <c r="A4886" s="27"/>
    </row>
    <row r="4887" spans="1:1">
      <c r="A4887" s="27"/>
    </row>
    <row r="4888" spans="1:1">
      <c r="A4888" s="27"/>
    </row>
    <row r="4889" spans="1:1">
      <c r="A4889" s="27"/>
    </row>
    <row r="4890" spans="1:1">
      <c r="A4890" s="27"/>
    </row>
    <row r="4891" spans="1:1">
      <c r="A4891" s="27"/>
    </row>
    <row r="4892" spans="1:1">
      <c r="A4892" s="27"/>
    </row>
    <row r="4893" spans="1:1">
      <c r="A4893" s="27"/>
    </row>
    <row r="4894" spans="1:1">
      <c r="A4894" s="27"/>
    </row>
    <row r="4895" spans="1:1">
      <c r="A4895" s="27"/>
    </row>
    <row r="4896" spans="1:1">
      <c r="A4896" s="27"/>
    </row>
    <row r="4897" spans="1:1">
      <c r="A4897" s="27"/>
    </row>
    <row r="4898" spans="1:1">
      <c r="A4898" s="27"/>
    </row>
    <row r="4899" spans="1:1">
      <c r="A4899" s="27"/>
    </row>
    <row r="4900" spans="1:1">
      <c r="A4900" s="27"/>
    </row>
    <row r="4901" spans="1:1">
      <c r="A4901" s="27"/>
    </row>
    <row r="4902" spans="1:1">
      <c r="A4902" s="27"/>
    </row>
    <row r="4903" spans="1:1">
      <c r="A4903" s="27"/>
    </row>
    <row r="4904" spans="1:1">
      <c r="A4904" s="27"/>
    </row>
    <row r="4905" spans="1:1">
      <c r="A4905" s="27"/>
    </row>
    <row r="4906" spans="1:1">
      <c r="A4906" s="27"/>
    </row>
    <row r="4907" spans="1:1">
      <c r="A4907" s="27"/>
    </row>
    <row r="4908" spans="1:1">
      <c r="A4908" s="27"/>
    </row>
    <row r="4909" spans="1:1">
      <c r="A4909" s="27"/>
    </row>
    <row r="4910" spans="1:1">
      <c r="A4910" s="27"/>
    </row>
    <row r="4911" spans="1:1">
      <c r="A4911" s="27"/>
    </row>
    <row r="4912" spans="1:1">
      <c r="A4912" s="27"/>
    </row>
    <row r="4913" spans="1:1">
      <c r="A4913" s="27"/>
    </row>
    <row r="4914" spans="1:1">
      <c r="A4914" s="27"/>
    </row>
    <row r="4915" spans="1:1">
      <c r="A4915" s="27"/>
    </row>
    <row r="4916" spans="1:1">
      <c r="A4916" s="27"/>
    </row>
    <row r="4917" spans="1:1">
      <c r="A4917" s="27"/>
    </row>
    <row r="4918" spans="1:1">
      <c r="A4918" s="27"/>
    </row>
    <row r="4919" spans="1:1">
      <c r="A4919" s="27"/>
    </row>
    <row r="4920" spans="1:1">
      <c r="A4920" s="27"/>
    </row>
    <row r="4921" spans="1:1">
      <c r="A4921" s="27"/>
    </row>
    <row r="4922" spans="1:1">
      <c r="A4922" s="27"/>
    </row>
    <row r="4923" spans="1:1">
      <c r="A4923" s="27"/>
    </row>
    <row r="4924" spans="1:1">
      <c r="A4924" s="27"/>
    </row>
    <row r="4925" spans="1:1">
      <c r="A4925" s="27"/>
    </row>
    <row r="4926" spans="1:1">
      <c r="A4926" s="27"/>
    </row>
    <row r="4927" spans="1:1">
      <c r="A4927" s="27"/>
    </row>
    <row r="4928" spans="1:1">
      <c r="A4928" s="27"/>
    </row>
    <row r="4929" spans="1:1">
      <c r="A4929" s="27"/>
    </row>
    <row r="4930" spans="1:1">
      <c r="A4930" s="27"/>
    </row>
    <row r="4931" spans="1:1">
      <c r="A4931" s="27"/>
    </row>
    <row r="4932" spans="1:1">
      <c r="A4932" s="27"/>
    </row>
    <row r="4933" spans="1:1">
      <c r="A4933" s="27"/>
    </row>
    <row r="4934" spans="1:1">
      <c r="A4934" s="27"/>
    </row>
    <row r="4935" spans="1:1">
      <c r="A4935" s="27"/>
    </row>
    <row r="4936" spans="1:1">
      <c r="A4936" s="27"/>
    </row>
    <row r="4937" spans="1:1">
      <c r="A4937" s="27"/>
    </row>
    <row r="4938" spans="1:1">
      <c r="A4938" s="27"/>
    </row>
    <row r="4939" spans="1:1">
      <c r="A4939" s="27"/>
    </row>
    <row r="4940" spans="1:1">
      <c r="A4940" s="27"/>
    </row>
    <row r="4941" spans="1:1">
      <c r="A4941" s="27"/>
    </row>
    <row r="4942" spans="1:1">
      <c r="A4942" s="27"/>
    </row>
    <row r="4943" spans="1:1">
      <c r="A4943" s="27"/>
    </row>
    <row r="4944" spans="1:1">
      <c r="A4944" s="27"/>
    </row>
    <row r="4945" spans="1:1">
      <c r="A4945" s="27"/>
    </row>
    <row r="4946" spans="1:1">
      <c r="A4946" s="27"/>
    </row>
    <row r="4947" spans="1:1">
      <c r="A4947" s="27"/>
    </row>
    <row r="4948" spans="1:1">
      <c r="A4948" s="27"/>
    </row>
    <row r="4949" spans="1:1">
      <c r="A4949" s="27"/>
    </row>
    <row r="4950" spans="1:1">
      <c r="A4950" s="27"/>
    </row>
    <row r="4951" spans="1:1">
      <c r="A4951" s="27"/>
    </row>
    <row r="4952" spans="1:1">
      <c r="A4952" s="27"/>
    </row>
    <row r="4953" spans="1:1">
      <c r="A4953" s="27"/>
    </row>
    <row r="4954" spans="1:1">
      <c r="A4954" s="27"/>
    </row>
    <row r="4955" spans="1:1">
      <c r="A4955" s="27"/>
    </row>
    <row r="4956" spans="1:1">
      <c r="A4956" s="27"/>
    </row>
    <row r="4957" spans="1:1">
      <c r="A4957" s="27"/>
    </row>
    <row r="4958" spans="1:1">
      <c r="A4958" s="27"/>
    </row>
    <row r="4959" spans="1:1">
      <c r="A4959" s="27"/>
    </row>
    <row r="4960" spans="1:1">
      <c r="A4960" s="27"/>
    </row>
    <row r="4961" spans="1:1">
      <c r="A4961" s="27"/>
    </row>
    <row r="4962" spans="1:1">
      <c r="A4962" s="27"/>
    </row>
    <row r="4963" spans="1:1">
      <c r="A4963" s="27"/>
    </row>
    <row r="4964" spans="1:1">
      <c r="A4964" s="27"/>
    </row>
    <row r="4965" spans="1:1">
      <c r="A4965" s="27"/>
    </row>
    <row r="4966" spans="1:1">
      <c r="A4966" s="27"/>
    </row>
    <row r="4967" spans="1:1">
      <c r="A4967" s="27"/>
    </row>
    <row r="4968" spans="1:1">
      <c r="A4968" s="27"/>
    </row>
    <row r="4969" spans="1:1">
      <c r="A4969" s="27"/>
    </row>
    <row r="4970" spans="1:1">
      <c r="A4970" s="27"/>
    </row>
    <row r="4971" spans="1:1">
      <c r="A4971" s="27"/>
    </row>
    <row r="4972" spans="1:1">
      <c r="A4972" s="27"/>
    </row>
    <row r="4973" spans="1:1">
      <c r="A4973" s="27"/>
    </row>
    <row r="4974" spans="1:1">
      <c r="A4974" s="27"/>
    </row>
    <row r="4975" spans="1:1">
      <c r="A4975" s="27"/>
    </row>
    <row r="4976" spans="1:1">
      <c r="A4976" s="27"/>
    </row>
    <row r="4977" spans="1:1">
      <c r="A4977" s="27"/>
    </row>
    <row r="4978" spans="1:1">
      <c r="A4978" s="27"/>
    </row>
    <row r="4979" spans="1:1">
      <c r="A4979" s="27"/>
    </row>
    <row r="4980" spans="1:1">
      <c r="A4980" s="27"/>
    </row>
    <row r="4981" spans="1:1">
      <c r="A4981" s="27"/>
    </row>
    <row r="4982" spans="1:1">
      <c r="A4982" s="27"/>
    </row>
    <row r="4983" spans="1:1">
      <c r="A4983" s="27"/>
    </row>
    <row r="4984" spans="1:1">
      <c r="A4984" s="27"/>
    </row>
    <row r="4985" spans="1:1">
      <c r="A4985" s="27"/>
    </row>
    <row r="4986" spans="1:1">
      <c r="A4986" s="27"/>
    </row>
    <row r="4987" spans="1:1">
      <c r="A4987" s="27"/>
    </row>
    <row r="4988" spans="1:1">
      <c r="A4988" s="27"/>
    </row>
    <row r="4989" spans="1:1">
      <c r="A4989" s="27"/>
    </row>
    <row r="4990" spans="1:1">
      <c r="A4990" s="27"/>
    </row>
    <row r="4991" spans="1:1">
      <c r="A4991" s="27"/>
    </row>
    <row r="4992" spans="1:1">
      <c r="A4992" s="27"/>
    </row>
    <row r="4993" spans="1:1">
      <c r="A4993" s="27"/>
    </row>
    <row r="4994" spans="1:1">
      <c r="A4994" s="27"/>
    </row>
    <row r="4995" spans="1:1">
      <c r="A4995" s="27"/>
    </row>
    <row r="4996" spans="1:1">
      <c r="A4996" s="27"/>
    </row>
    <row r="4997" spans="1:1">
      <c r="A4997" s="27"/>
    </row>
    <row r="4998" spans="1:1">
      <c r="A4998" s="27"/>
    </row>
    <row r="4999" spans="1:1">
      <c r="A4999" s="27"/>
    </row>
    <row r="5000" spans="1:1">
      <c r="A5000" s="27"/>
    </row>
    <row r="5001" spans="1:1">
      <c r="A5001" s="27"/>
    </row>
    <row r="5002" spans="1:1">
      <c r="A5002" s="27"/>
    </row>
    <row r="5003" spans="1:1">
      <c r="A5003" s="27"/>
    </row>
    <row r="5004" spans="1:1">
      <c r="A5004" s="27"/>
    </row>
    <row r="5005" spans="1:1">
      <c r="A5005" s="27"/>
    </row>
    <row r="5006" spans="1:1">
      <c r="A5006" s="27"/>
    </row>
    <row r="5007" spans="1:1">
      <c r="A5007" s="27"/>
    </row>
    <row r="5008" spans="1:1">
      <c r="A5008" s="27"/>
    </row>
    <row r="5009" spans="1:1">
      <c r="A5009" s="27"/>
    </row>
    <row r="5010" spans="1:1">
      <c r="A5010" s="27"/>
    </row>
    <row r="5011" spans="1:1">
      <c r="A5011" s="27"/>
    </row>
    <row r="5012" spans="1:1">
      <c r="A5012" s="27"/>
    </row>
    <row r="5013" spans="1:1">
      <c r="A5013" s="27"/>
    </row>
    <row r="5014" spans="1:1">
      <c r="A5014" s="27"/>
    </row>
    <row r="5015" spans="1:1">
      <c r="A5015" s="27"/>
    </row>
    <row r="5016" spans="1:1">
      <c r="A5016" s="27"/>
    </row>
    <row r="5017" spans="1:1">
      <c r="A5017" s="27"/>
    </row>
    <row r="5018" spans="1:1">
      <c r="A5018" s="27"/>
    </row>
    <row r="5019" spans="1:1">
      <c r="A5019" s="27"/>
    </row>
    <row r="5020" spans="1:1">
      <c r="A5020" s="27"/>
    </row>
    <row r="5021" spans="1:1">
      <c r="A5021" s="27"/>
    </row>
    <row r="5022" spans="1:1">
      <c r="A5022" s="27"/>
    </row>
    <row r="5023" spans="1:1">
      <c r="A5023" s="27"/>
    </row>
    <row r="5024" spans="1:1">
      <c r="A5024" s="27"/>
    </row>
    <row r="5025" spans="1:1">
      <c r="A5025" s="27"/>
    </row>
    <row r="5026" spans="1:1">
      <c r="A5026" s="27"/>
    </row>
    <row r="5027" spans="1:1">
      <c r="A5027" s="27"/>
    </row>
    <row r="5028" spans="1:1">
      <c r="A5028" s="27"/>
    </row>
    <row r="5029" spans="1:1">
      <c r="A5029" s="27"/>
    </row>
    <row r="5030" spans="1:1">
      <c r="A5030" s="27"/>
    </row>
    <row r="5031" spans="1:1">
      <c r="A5031" s="27"/>
    </row>
    <row r="5032" spans="1:1">
      <c r="A5032" s="27"/>
    </row>
    <row r="5033" spans="1:1">
      <c r="A5033" s="27"/>
    </row>
    <row r="5034" spans="1:1">
      <c r="A5034" s="27"/>
    </row>
    <row r="5035" spans="1:1">
      <c r="A5035" s="27"/>
    </row>
    <row r="5036" spans="1:1">
      <c r="A5036" s="27"/>
    </row>
    <row r="5037" spans="1:1">
      <c r="A5037" s="27"/>
    </row>
    <row r="5038" spans="1:1">
      <c r="A5038" s="27"/>
    </row>
    <row r="5039" spans="1:1">
      <c r="A5039" s="27"/>
    </row>
    <row r="5040" spans="1:1">
      <c r="A5040" s="27"/>
    </row>
    <row r="5041" spans="1:1">
      <c r="A5041" s="27"/>
    </row>
    <row r="5042" spans="1:1">
      <c r="A5042" s="27"/>
    </row>
    <row r="5043" spans="1:1">
      <c r="A5043" s="27"/>
    </row>
    <row r="5044" spans="1:1">
      <c r="A5044" s="27"/>
    </row>
    <row r="5045" spans="1:1">
      <c r="A5045" s="27"/>
    </row>
    <row r="5046" spans="1:1">
      <c r="A5046" s="27"/>
    </row>
    <row r="5047" spans="1:1">
      <c r="A5047" s="27"/>
    </row>
    <row r="5048" spans="1:1">
      <c r="A5048" s="27"/>
    </row>
    <row r="5049" spans="1:1">
      <c r="A5049" s="27"/>
    </row>
    <row r="5050" spans="1:1">
      <c r="A5050" s="27"/>
    </row>
    <row r="5051" spans="1:1">
      <c r="A5051" s="27"/>
    </row>
    <row r="5052" spans="1:1">
      <c r="A5052" s="27"/>
    </row>
    <row r="5053" spans="1:1">
      <c r="A5053" s="27"/>
    </row>
    <row r="5054" spans="1:1">
      <c r="A5054" s="27"/>
    </row>
    <row r="5055" spans="1:1">
      <c r="A5055" s="27"/>
    </row>
    <row r="5056" spans="1:1">
      <c r="A5056" s="27"/>
    </row>
    <row r="5057" spans="1:1">
      <c r="A5057" s="27"/>
    </row>
    <row r="5058" spans="1:1">
      <c r="A5058" s="27"/>
    </row>
    <row r="5059" spans="1:1">
      <c r="A5059" s="27"/>
    </row>
    <row r="5060" spans="1:1">
      <c r="A5060" s="27"/>
    </row>
    <row r="5061" spans="1:1">
      <c r="A5061" s="27"/>
    </row>
    <row r="5062" spans="1:1">
      <c r="A5062" s="27"/>
    </row>
    <row r="5063" spans="1:1">
      <c r="A5063" s="27"/>
    </row>
    <row r="5064" spans="1:1">
      <c r="A5064" s="27"/>
    </row>
    <row r="5065" spans="1:1">
      <c r="A5065" s="27"/>
    </row>
    <row r="5066" spans="1:1">
      <c r="A5066" s="27"/>
    </row>
    <row r="5067" spans="1:1">
      <c r="A5067" s="27"/>
    </row>
    <row r="5068" spans="1:1">
      <c r="A5068" s="27"/>
    </row>
    <row r="5069" spans="1:1">
      <c r="A5069" s="27"/>
    </row>
    <row r="5070" spans="1:1">
      <c r="A5070" s="27"/>
    </row>
    <row r="5071" spans="1:1">
      <c r="A5071" s="27"/>
    </row>
    <row r="5072" spans="1:1">
      <c r="A5072" s="27"/>
    </row>
    <row r="5073" spans="1:1">
      <c r="A5073" s="27"/>
    </row>
    <row r="5074" spans="1:1">
      <c r="A5074" s="27"/>
    </row>
    <row r="5075" spans="1:1">
      <c r="A5075" s="27"/>
    </row>
    <row r="5076" spans="1:1">
      <c r="A5076" s="27"/>
    </row>
    <row r="5077" spans="1:1">
      <c r="A5077" s="27"/>
    </row>
    <row r="5078" spans="1:1">
      <c r="A5078" s="27"/>
    </row>
    <row r="5079" spans="1:1">
      <c r="A5079" s="27"/>
    </row>
    <row r="5080" spans="1:1">
      <c r="A5080" s="27"/>
    </row>
    <row r="5081" spans="1:1">
      <c r="A5081" s="27"/>
    </row>
    <row r="5082" spans="1:1">
      <c r="A5082" s="27"/>
    </row>
    <row r="5083" spans="1:1">
      <c r="A5083" s="27"/>
    </row>
    <row r="5084" spans="1:1">
      <c r="A5084" s="27"/>
    </row>
    <row r="5085" spans="1:1">
      <c r="A5085" s="27"/>
    </row>
    <row r="5086" spans="1:1">
      <c r="A5086" s="27"/>
    </row>
    <row r="5087" spans="1:1">
      <c r="A5087" s="27"/>
    </row>
    <row r="5088" spans="1:1">
      <c r="A5088" s="27"/>
    </row>
    <row r="5089" spans="1:1">
      <c r="A5089" s="27"/>
    </row>
    <row r="5090" spans="1:1">
      <c r="A5090" s="27"/>
    </row>
    <row r="5091" spans="1:1">
      <c r="A5091" s="27"/>
    </row>
    <row r="5092" spans="1:1">
      <c r="A5092" s="27"/>
    </row>
    <row r="5093" spans="1:1">
      <c r="A5093" s="27"/>
    </row>
    <row r="5094" spans="1:1">
      <c r="A5094" s="27"/>
    </row>
    <row r="5095" spans="1:1">
      <c r="A5095" s="27"/>
    </row>
    <row r="5096" spans="1:1">
      <c r="A5096" s="27"/>
    </row>
    <row r="5097" spans="1:1">
      <c r="A5097" s="27"/>
    </row>
    <row r="5098" spans="1:1">
      <c r="A5098" s="27"/>
    </row>
    <row r="5099" spans="1:1">
      <c r="A5099" s="27"/>
    </row>
    <row r="5100" spans="1:1">
      <c r="A5100" s="27"/>
    </row>
    <row r="5101" spans="1:1">
      <c r="A5101" s="27"/>
    </row>
    <row r="5102" spans="1:1">
      <c r="A5102" s="27"/>
    </row>
    <row r="5103" spans="1:1">
      <c r="A5103" s="27"/>
    </row>
    <row r="5104" spans="1:1">
      <c r="A5104" s="27"/>
    </row>
    <row r="5105" spans="1:1">
      <c r="A5105" s="27"/>
    </row>
    <row r="5106" spans="1:1">
      <c r="A5106" s="27"/>
    </row>
    <row r="5107" spans="1:1">
      <c r="A5107" s="27"/>
    </row>
    <row r="5108" spans="1:1">
      <c r="A5108" s="27"/>
    </row>
    <row r="5109" spans="1:1">
      <c r="A5109" s="27"/>
    </row>
    <row r="5110" spans="1:1">
      <c r="A5110" s="27"/>
    </row>
    <row r="5111" spans="1:1">
      <c r="A5111" s="27"/>
    </row>
    <row r="5112" spans="1:1">
      <c r="A5112" s="27"/>
    </row>
    <row r="5113" spans="1:1">
      <c r="A5113" s="27"/>
    </row>
    <row r="5114" spans="1:1">
      <c r="A5114" s="27"/>
    </row>
    <row r="5115" spans="1:1">
      <c r="A5115" s="27"/>
    </row>
    <row r="5116" spans="1:1">
      <c r="A5116" s="27"/>
    </row>
    <row r="5117" spans="1:1">
      <c r="A5117" s="27"/>
    </row>
    <row r="5118" spans="1:1">
      <c r="A5118" s="27"/>
    </row>
    <row r="5119" spans="1:1">
      <c r="A5119" s="27"/>
    </row>
    <row r="5120" spans="1:1">
      <c r="A5120" s="27"/>
    </row>
    <row r="5121" spans="1:1">
      <c r="A5121" s="27"/>
    </row>
    <row r="5122" spans="1:1">
      <c r="A5122" s="27"/>
    </row>
    <row r="5123" spans="1:1">
      <c r="A5123" s="27"/>
    </row>
    <row r="5124" spans="1:1">
      <c r="A5124" s="27"/>
    </row>
    <row r="5125" spans="1:1">
      <c r="A5125" s="27"/>
    </row>
    <row r="5126" spans="1:1">
      <c r="A5126" s="27"/>
    </row>
    <row r="5127" spans="1:1">
      <c r="A5127" s="27"/>
    </row>
    <row r="5128" spans="1:1">
      <c r="A5128" s="27"/>
    </row>
    <row r="5129" spans="1:1">
      <c r="A5129" s="27"/>
    </row>
    <row r="5130" spans="1:1">
      <c r="A5130" s="27"/>
    </row>
    <row r="5131" spans="1:1">
      <c r="A5131" s="27"/>
    </row>
    <row r="5132" spans="1:1">
      <c r="A5132" s="27"/>
    </row>
    <row r="5133" spans="1:1">
      <c r="A5133" s="27"/>
    </row>
    <row r="5134" spans="1:1">
      <c r="A5134" s="27"/>
    </row>
    <row r="5135" spans="1:1">
      <c r="A5135" s="27"/>
    </row>
    <row r="5136" spans="1:1">
      <c r="A5136" s="27"/>
    </row>
    <row r="5137" spans="1:1">
      <c r="A5137" s="27"/>
    </row>
    <row r="5138" spans="1:1">
      <c r="A5138" s="27"/>
    </row>
    <row r="5139" spans="1:1">
      <c r="A5139" s="27"/>
    </row>
    <row r="5140" spans="1:1">
      <c r="A5140" s="27"/>
    </row>
    <row r="5141" spans="1:1">
      <c r="A5141" s="27"/>
    </row>
    <row r="5142" spans="1:1">
      <c r="A5142" s="27"/>
    </row>
    <row r="5143" spans="1:1">
      <c r="A5143" s="27"/>
    </row>
    <row r="5144" spans="1:1">
      <c r="A5144" s="27"/>
    </row>
    <row r="5145" spans="1:1">
      <c r="A5145" s="27"/>
    </row>
    <row r="5146" spans="1:1">
      <c r="A5146" s="27"/>
    </row>
    <row r="5147" spans="1:1">
      <c r="A5147" s="27"/>
    </row>
    <row r="5148" spans="1:1">
      <c r="A5148" s="27"/>
    </row>
    <row r="5149" spans="1:1">
      <c r="A5149" s="27"/>
    </row>
    <row r="5150" spans="1:1">
      <c r="A5150" s="27"/>
    </row>
    <row r="5151" spans="1:1">
      <c r="A5151" s="27"/>
    </row>
    <row r="5152" spans="1:1">
      <c r="A5152" s="27"/>
    </row>
    <row r="5153" spans="1:1">
      <c r="A5153" s="27"/>
    </row>
    <row r="5154" spans="1:1">
      <c r="A5154" s="27"/>
    </row>
    <row r="5155" spans="1:1">
      <c r="A5155" s="27"/>
    </row>
    <row r="5156" spans="1:1">
      <c r="A5156" s="27"/>
    </row>
    <row r="5157" spans="1:1">
      <c r="A5157" s="27"/>
    </row>
    <row r="5158" spans="1:1">
      <c r="A5158" s="27"/>
    </row>
    <row r="5159" spans="1:1">
      <c r="A5159" s="27"/>
    </row>
    <row r="5160" spans="1:1">
      <c r="A5160" s="27"/>
    </row>
    <row r="5161" spans="1:1">
      <c r="A5161" s="27"/>
    </row>
    <row r="5162" spans="1:1">
      <c r="A5162" s="27"/>
    </row>
    <row r="5163" spans="1:1">
      <c r="A5163" s="27"/>
    </row>
    <row r="5164" spans="1:1">
      <c r="A5164" s="27"/>
    </row>
    <row r="5165" spans="1:1">
      <c r="A5165" s="27"/>
    </row>
    <row r="5166" spans="1:1">
      <c r="A5166" s="27"/>
    </row>
    <row r="5167" spans="1:1">
      <c r="A5167" s="27"/>
    </row>
    <row r="5168" spans="1:1">
      <c r="A5168" s="27"/>
    </row>
    <row r="5169" spans="1:1">
      <c r="A5169" s="27"/>
    </row>
    <row r="5170" spans="1:1">
      <c r="A5170" s="27"/>
    </row>
    <row r="5171" spans="1:1">
      <c r="A5171" s="27"/>
    </row>
    <row r="5172" spans="1:1">
      <c r="A5172" s="27"/>
    </row>
    <row r="5173" spans="1:1">
      <c r="A5173" s="27"/>
    </row>
    <row r="5174" spans="1:1">
      <c r="A5174" s="27"/>
    </row>
    <row r="5175" spans="1:1">
      <c r="A5175" s="27"/>
    </row>
    <row r="5176" spans="1:1">
      <c r="A5176" s="27"/>
    </row>
    <row r="5177" spans="1:1">
      <c r="A5177" s="27"/>
    </row>
    <row r="5178" spans="1:1">
      <c r="A5178" s="27"/>
    </row>
    <row r="5179" spans="1:1">
      <c r="A5179" s="27"/>
    </row>
    <row r="5180" spans="1:1">
      <c r="A5180" s="27"/>
    </row>
    <row r="5181" spans="1:1">
      <c r="A5181" s="27"/>
    </row>
    <row r="5182" spans="1:1">
      <c r="A5182" s="27"/>
    </row>
    <row r="5183" spans="1:1">
      <c r="A5183" s="27"/>
    </row>
    <row r="5184" spans="1:1">
      <c r="A5184" s="27"/>
    </row>
    <row r="5185" spans="1:1">
      <c r="A5185" s="27"/>
    </row>
    <row r="5186" spans="1:1">
      <c r="A5186" s="27"/>
    </row>
    <row r="5187" spans="1:1">
      <c r="A5187" s="27"/>
    </row>
    <row r="5188" spans="1:1">
      <c r="A5188" s="27"/>
    </row>
    <row r="5189" spans="1:1">
      <c r="A5189" s="27"/>
    </row>
    <row r="5190" spans="1:1">
      <c r="A5190" s="27"/>
    </row>
    <row r="5191" spans="1:1">
      <c r="A5191" s="27"/>
    </row>
    <row r="5192" spans="1:1">
      <c r="A5192" s="27"/>
    </row>
    <row r="5193" spans="1:1">
      <c r="A5193" s="27"/>
    </row>
    <row r="5194" spans="1:1">
      <c r="A5194" s="27"/>
    </row>
    <row r="5195" spans="1:1">
      <c r="A5195" s="27"/>
    </row>
    <row r="5196" spans="1:1">
      <c r="A5196" s="27"/>
    </row>
    <row r="5197" spans="1:1">
      <c r="A5197" s="27"/>
    </row>
    <row r="5198" spans="1:1">
      <c r="A5198" s="27"/>
    </row>
    <row r="5199" spans="1:1">
      <c r="A5199" s="27"/>
    </row>
    <row r="5200" spans="1:1">
      <c r="A5200" s="27"/>
    </row>
    <row r="5201" spans="1:1">
      <c r="A5201" s="27"/>
    </row>
    <row r="5202" spans="1:1">
      <c r="A5202" s="27"/>
    </row>
    <row r="5203" spans="1:1">
      <c r="A5203" s="27"/>
    </row>
    <row r="5204" spans="1:1">
      <c r="A5204" s="27"/>
    </row>
    <row r="5205" spans="1:1">
      <c r="A5205" s="27"/>
    </row>
    <row r="5206" spans="1:1">
      <c r="A5206" s="27"/>
    </row>
    <row r="5207" spans="1:1">
      <c r="A5207" s="27"/>
    </row>
    <row r="5208" spans="1:1">
      <c r="A5208" s="27"/>
    </row>
    <row r="5209" spans="1:1">
      <c r="A5209" s="27"/>
    </row>
    <row r="5210" spans="1:1">
      <c r="A5210" s="27"/>
    </row>
    <row r="5211" spans="1:1">
      <c r="A5211" s="27"/>
    </row>
    <row r="5212" spans="1:1">
      <c r="A5212" s="27"/>
    </row>
    <row r="5213" spans="1:1">
      <c r="A5213" s="27"/>
    </row>
    <row r="5214" spans="1:1">
      <c r="A5214" s="27"/>
    </row>
    <row r="5215" spans="1:1">
      <c r="A5215" s="27"/>
    </row>
    <row r="5216" spans="1:1">
      <c r="A5216" s="27"/>
    </row>
    <row r="5217" spans="1:1">
      <c r="A5217" s="27"/>
    </row>
    <row r="5218" spans="1:1">
      <c r="A5218" s="27"/>
    </row>
    <row r="5219" spans="1:1">
      <c r="A5219" s="27"/>
    </row>
    <row r="5220" spans="1:1">
      <c r="A5220" s="27"/>
    </row>
    <row r="5221" spans="1:1">
      <c r="A5221" s="27"/>
    </row>
    <row r="5222" spans="1:1">
      <c r="A5222" s="27"/>
    </row>
    <row r="5223" spans="1:1">
      <c r="A5223" s="27"/>
    </row>
    <row r="5224" spans="1:1">
      <c r="A5224" s="27"/>
    </row>
    <row r="5225" spans="1:1">
      <c r="A5225" s="27"/>
    </row>
    <row r="5226" spans="1:1">
      <c r="A5226" s="27"/>
    </row>
    <row r="5227" spans="1:1">
      <c r="A5227" s="27"/>
    </row>
    <row r="5228" spans="1:1">
      <c r="A5228" s="27"/>
    </row>
    <row r="5229" spans="1:1">
      <c r="A5229" s="27"/>
    </row>
    <row r="5230" spans="1:1">
      <c r="A5230" s="27"/>
    </row>
    <row r="5231" spans="1:1">
      <c r="A5231" s="27"/>
    </row>
    <row r="5232" spans="1:1">
      <c r="A5232" s="27"/>
    </row>
    <row r="5233" spans="1:1">
      <c r="A5233" s="27"/>
    </row>
    <row r="5234" spans="1:1">
      <c r="A5234" s="27"/>
    </row>
    <row r="5235" spans="1:1">
      <c r="A5235" s="27"/>
    </row>
    <row r="5236" spans="1:1">
      <c r="A5236" s="27"/>
    </row>
    <row r="5237" spans="1:1">
      <c r="A5237" s="27"/>
    </row>
    <row r="5238" spans="1:1">
      <c r="A5238" s="27"/>
    </row>
    <row r="5239" spans="1:1">
      <c r="A5239" s="27"/>
    </row>
    <row r="5240" spans="1:1">
      <c r="A5240" s="27"/>
    </row>
    <row r="5241" spans="1:1">
      <c r="A5241" s="27"/>
    </row>
    <row r="5242" spans="1:1">
      <c r="A5242" s="27"/>
    </row>
    <row r="5243" spans="1:1">
      <c r="A5243" s="27"/>
    </row>
    <row r="5244" spans="1:1">
      <c r="A5244" s="27"/>
    </row>
    <row r="5245" spans="1:1">
      <c r="A5245" s="27"/>
    </row>
    <row r="5246" spans="1:1">
      <c r="A5246" s="27"/>
    </row>
    <row r="5247" spans="1:1">
      <c r="A5247" s="27"/>
    </row>
    <row r="5248" spans="1:1">
      <c r="A5248" s="27"/>
    </row>
    <row r="5249" spans="1:1">
      <c r="A5249" s="27"/>
    </row>
    <row r="5250" spans="1:1">
      <c r="A5250" s="27"/>
    </row>
    <row r="5251" spans="1:1">
      <c r="A5251" s="27"/>
    </row>
    <row r="5252" spans="1:1">
      <c r="A5252" s="27"/>
    </row>
    <row r="5253" spans="1:1">
      <c r="A5253" s="27"/>
    </row>
    <row r="5254" spans="1:1">
      <c r="A5254" s="27"/>
    </row>
    <row r="5255" spans="1:1">
      <c r="A5255" s="27"/>
    </row>
    <row r="5256" spans="1:1">
      <c r="A5256" s="27"/>
    </row>
    <row r="5257" spans="1:1">
      <c r="A5257" s="27"/>
    </row>
    <row r="5258" spans="1:1">
      <c r="A5258" s="27"/>
    </row>
    <row r="5259" spans="1:1">
      <c r="A5259" s="27"/>
    </row>
    <row r="5260" spans="1:1">
      <c r="A5260" s="27"/>
    </row>
    <row r="5261" spans="1:1">
      <c r="A5261" s="27"/>
    </row>
    <row r="5262" spans="1:1">
      <c r="A5262" s="27"/>
    </row>
    <row r="5263" spans="1:1">
      <c r="A5263" s="27"/>
    </row>
    <row r="5264" spans="1:1">
      <c r="A5264" s="27"/>
    </row>
    <row r="5265" spans="1:1">
      <c r="A5265" s="27"/>
    </row>
    <row r="5266" spans="1:1">
      <c r="A5266" s="27"/>
    </row>
    <row r="5267" spans="1:1">
      <c r="A5267" s="27"/>
    </row>
    <row r="5268" spans="1:1">
      <c r="A5268" s="27"/>
    </row>
    <row r="5269" spans="1:1">
      <c r="A5269" s="27"/>
    </row>
    <row r="5270" spans="1:1">
      <c r="A5270" s="27"/>
    </row>
    <row r="5271" spans="1:1">
      <c r="A5271" s="27"/>
    </row>
    <row r="5272" spans="1:1">
      <c r="A5272" s="27"/>
    </row>
    <row r="5273" spans="1:1">
      <c r="A5273" s="27"/>
    </row>
    <row r="5274" spans="1:1">
      <c r="A5274" s="27"/>
    </row>
    <row r="5275" spans="1:1">
      <c r="A5275" s="27"/>
    </row>
    <row r="5276" spans="1:1">
      <c r="A5276" s="27"/>
    </row>
    <row r="5277" spans="1:1">
      <c r="A5277" s="27"/>
    </row>
    <row r="5278" spans="1:1">
      <c r="A5278" s="27"/>
    </row>
    <row r="5279" spans="1:1">
      <c r="A5279" s="27"/>
    </row>
    <row r="5280" spans="1:1">
      <c r="A5280" s="27"/>
    </row>
    <row r="5281" spans="1:1">
      <c r="A5281" s="27"/>
    </row>
    <row r="5282" spans="1:1">
      <c r="A5282" s="27"/>
    </row>
    <row r="5283" spans="1:1">
      <c r="A5283" s="27"/>
    </row>
    <row r="5284" spans="1:1">
      <c r="A5284" s="27"/>
    </row>
    <row r="5285" spans="1:1">
      <c r="A5285" s="27"/>
    </row>
    <row r="5286" spans="1:1">
      <c r="A5286" s="27"/>
    </row>
    <row r="5287" spans="1:1">
      <c r="A5287" s="27"/>
    </row>
    <row r="5288" spans="1:1">
      <c r="A5288" s="27"/>
    </row>
    <row r="5289" spans="1:1">
      <c r="A5289" s="27"/>
    </row>
    <row r="5290" spans="1:1">
      <c r="A5290" s="27"/>
    </row>
    <row r="5291" spans="1:1">
      <c r="A5291" s="27"/>
    </row>
    <row r="5292" spans="1:1">
      <c r="A5292" s="27"/>
    </row>
    <row r="5293" spans="1:1">
      <c r="A5293" s="27"/>
    </row>
    <row r="5294" spans="1:1">
      <c r="A5294" s="27"/>
    </row>
    <row r="5295" spans="1:1">
      <c r="A5295" s="27"/>
    </row>
    <row r="5296" spans="1:1">
      <c r="A5296" s="27"/>
    </row>
    <row r="5297" spans="1:1">
      <c r="A5297" s="27"/>
    </row>
    <row r="5298" spans="1:1">
      <c r="A5298" s="27"/>
    </row>
    <row r="5299" spans="1:1">
      <c r="A5299" s="27"/>
    </row>
    <row r="5300" spans="1:1">
      <c r="A5300" s="27"/>
    </row>
    <row r="5301" spans="1:1">
      <c r="A5301" s="27"/>
    </row>
    <row r="5302" spans="1:1">
      <c r="A5302" s="27"/>
    </row>
    <row r="5303" spans="1:1">
      <c r="A5303" s="27"/>
    </row>
    <row r="5304" spans="1:1">
      <c r="A5304" s="27"/>
    </row>
    <row r="5305" spans="1:1">
      <c r="A5305" s="27"/>
    </row>
    <row r="5306" spans="1:1">
      <c r="A5306" s="27"/>
    </row>
    <row r="5307" spans="1:1">
      <c r="A5307" s="27"/>
    </row>
    <row r="5308" spans="1:1">
      <c r="A5308" s="27"/>
    </row>
    <row r="5309" spans="1:1">
      <c r="A5309" s="27"/>
    </row>
    <row r="5310" spans="1:1">
      <c r="A5310" s="27"/>
    </row>
    <row r="5311" spans="1:1">
      <c r="A5311" s="27"/>
    </row>
    <row r="5312" spans="1:1">
      <c r="A5312" s="27"/>
    </row>
    <row r="5313" spans="1:1">
      <c r="A5313" s="27"/>
    </row>
    <row r="5314" spans="1:1">
      <c r="A5314" s="27"/>
    </row>
    <row r="5315" spans="1:1">
      <c r="A5315" s="27"/>
    </row>
    <row r="5316" spans="1:1">
      <c r="A5316" s="27"/>
    </row>
    <row r="5317" spans="1:1">
      <c r="A5317" s="27"/>
    </row>
    <row r="5318" spans="1:1">
      <c r="A5318" s="27"/>
    </row>
    <row r="5319" spans="1:1">
      <c r="A5319" s="27"/>
    </row>
    <row r="5320" spans="1:1">
      <c r="A5320" s="27"/>
    </row>
    <row r="5321" spans="1:1">
      <c r="A5321" s="27"/>
    </row>
    <row r="5322" spans="1:1">
      <c r="A5322" s="27"/>
    </row>
    <row r="5323" spans="1:1">
      <c r="A5323" s="27"/>
    </row>
    <row r="5324" spans="1:1">
      <c r="A5324" s="27"/>
    </row>
    <row r="5325" spans="1:1">
      <c r="A5325" s="27"/>
    </row>
    <row r="5326" spans="1:1">
      <c r="A5326" s="27"/>
    </row>
    <row r="5327" spans="1:1">
      <c r="A5327" s="27"/>
    </row>
    <row r="5328" spans="1:1">
      <c r="A5328" s="27"/>
    </row>
    <row r="5329" spans="1:1">
      <c r="A5329" s="27"/>
    </row>
    <row r="5330" spans="1:1">
      <c r="A5330" s="27"/>
    </row>
    <row r="5331" spans="1:1">
      <c r="A5331" s="27"/>
    </row>
    <row r="5332" spans="1:1">
      <c r="A5332" s="27"/>
    </row>
    <row r="5333" spans="1:1">
      <c r="A5333" s="27"/>
    </row>
    <row r="5334" spans="1:1">
      <c r="A5334" s="27"/>
    </row>
    <row r="5335" spans="1:1">
      <c r="A5335" s="27"/>
    </row>
    <row r="5336" spans="1:1">
      <c r="A5336" s="27"/>
    </row>
    <row r="5337" spans="1:1">
      <c r="A5337" s="27"/>
    </row>
    <row r="5338" spans="1:1">
      <c r="A5338" s="27"/>
    </row>
    <row r="5339" spans="1:1">
      <c r="A5339" s="27"/>
    </row>
    <row r="5340" spans="1:1">
      <c r="A5340" s="27"/>
    </row>
    <row r="5341" spans="1:1">
      <c r="A5341" s="27"/>
    </row>
    <row r="5342" spans="1:1">
      <c r="A5342" s="27"/>
    </row>
    <row r="5343" spans="1:1">
      <c r="A5343" s="27"/>
    </row>
    <row r="5344" spans="1:1">
      <c r="A5344" s="27"/>
    </row>
    <row r="5345" spans="1:1">
      <c r="A5345" s="27"/>
    </row>
    <row r="5346" spans="1:1">
      <c r="A5346" s="27"/>
    </row>
    <row r="5347" spans="1:1">
      <c r="A5347" s="27"/>
    </row>
    <row r="5348" spans="1:1">
      <c r="A5348" s="27"/>
    </row>
    <row r="5349" spans="1:1">
      <c r="A5349" s="27"/>
    </row>
    <row r="5350" spans="1:1">
      <c r="A5350" s="27"/>
    </row>
    <row r="5351" spans="1:1">
      <c r="A5351" s="27"/>
    </row>
    <row r="5352" spans="1:1">
      <c r="A5352" s="27"/>
    </row>
    <row r="5353" spans="1:1">
      <c r="A5353" s="27"/>
    </row>
    <row r="5354" spans="1:1">
      <c r="A5354" s="27"/>
    </row>
    <row r="5355" spans="1:1">
      <c r="A5355" s="27"/>
    </row>
    <row r="5356" spans="1:1">
      <c r="A5356" s="27"/>
    </row>
    <row r="5357" spans="1:1">
      <c r="A5357" s="27"/>
    </row>
    <row r="5358" spans="1:1">
      <c r="A5358" s="27"/>
    </row>
    <row r="5359" spans="1:1">
      <c r="A5359" s="27"/>
    </row>
    <row r="5360" spans="1:1">
      <c r="A5360" s="27"/>
    </row>
    <row r="5361" spans="1:1">
      <c r="A5361" s="27"/>
    </row>
    <row r="5362" spans="1:1">
      <c r="A5362" s="27"/>
    </row>
    <row r="5363" spans="1:1">
      <c r="A5363" s="27"/>
    </row>
    <row r="5364" spans="1:1">
      <c r="A5364" s="27"/>
    </row>
    <row r="5365" spans="1:1">
      <c r="A5365" s="27"/>
    </row>
    <row r="5366" spans="1:1">
      <c r="A5366" s="27"/>
    </row>
    <row r="5367" spans="1:1">
      <c r="A5367" s="27"/>
    </row>
    <row r="5368" spans="1:1">
      <c r="A5368" s="27"/>
    </row>
    <row r="5369" spans="1:1">
      <c r="A5369" s="27"/>
    </row>
    <row r="5370" spans="1:1">
      <c r="A5370" s="27"/>
    </row>
    <row r="5371" spans="1:1">
      <c r="A5371" s="27"/>
    </row>
    <row r="5372" spans="1:1">
      <c r="A5372" s="27"/>
    </row>
    <row r="5373" spans="1:1">
      <c r="A5373" s="27"/>
    </row>
    <row r="5374" spans="1:1">
      <c r="A5374" s="27"/>
    </row>
    <row r="5375" spans="1:1">
      <c r="A5375" s="27"/>
    </row>
    <row r="5376" spans="1:1">
      <c r="A5376" s="27"/>
    </row>
    <row r="5377" spans="1:1">
      <c r="A5377" s="27"/>
    </row>
    <row r="5378" spans="1:1">
      <c r="A5378" s="27"/>
    </row>
    <row r="5379" spans="1:1">
      <c r="A5379" s="27"/>
    </row>
    <row r="5380" spans="1:1">
      <c r="A5380" s="27"/>
    </row>
    <row r="5381" spans="1:1">
      <c r="A5381" s="27"/>
    </row>
    <row r="5382" spans="1:1">
      <c r="A5382" s="27"/>
    </row>
    <row r="5383" spans="1:1">
      <c r="A5383" s="27"/>
    </row>
    <row r="5384" spans="1:1">
      <c r="A5384" s="27"/>
    </row>
    <row r="5385" spans="1:1">
      <c r="A5385" s="27"/>
    </row>
    <row r="5386" spans="1:1">
      <c r="A5386" s="27"/>
    </row>
    <row r="5387" spans="1:1">
      <c r="A5387" s="27"/>
    </row>
    <row r="5388" spans="1:1">
      <c r="A5388" s="27"/>
    </row>
    <row r="5389" spans="1:1">
      <c r="A5389" s="27"/>
    </row>
    <row r="5390" spans="1:1">
      <c r="A5390" s="27"/>
    </row>
    <row r="5391" spans="1:1">
      <c r="A5391" s="27"/>
    </row>
    <row r="5392" spans="1:1">
      <c r="A5392" s="27"/>
    </row>
    <row r="5393" spans="1:1">
      <c r="A5393" s="27"/>
    </row>
    <row r="5394" spans="1:1">
      <c r="A5394" s="27"/>
    </row>
    <row r="5395" spans="1:1">
      <c r="A5395" s="27"/>
    </row>
    <row r="5396" spans="1:1">
      <c r="A5396" s="27"/>
    </row>
    <row r="5397" spans="1:1">
      <c r="A5397" s="27"/>
    </row>
    <row r="5398" spans="1:1">
      <c r="A5398" s="27"/>
    </row>
    <row r="5399" spans="1:1">
      <c r="A5399" s="27"/>
    </row>
    <row r="5400" spans="1:1">
      <c r="A5400" s="27"/>
    </row>
    <row r="5401" spans="1:1">
      <c r="A5401" s="27"/>
    </row>
    <row r="5402" spans="1:1">
      <c r="A5402" s="27"/>
    </row>
    <row r="5403" spans="1:1">
      <c r="A5403" s="27"/>
    </row>
    <row r="5404" spans="1:1">
      <c r="A5404" s="27"/>
    </row>
    <row r="5405" spans="1:1">
      <c r="A5405" s="27"/>
    </row>
    <row r="5406" spans="1:1">
      <c r="A5406" s="27"/>
    </row>
    <row r="5407" spans="1:1">
      <c r="A5407" s="27"/>
    </row>
    <row r="5408" spans="1:1">
      <c r="A5408" s="27"/>
    </row>
    <row r="5409" spans="1:1">
      <c r="A5409" s="27"/>
    </row>
    <row r="5410" spans="1:1">
      <c r="A5410" s="27"/>
    </row>
    <row r="5411" spans="1:1">
      <c r="A5411" s="27"/>
    </row>
    <row r="5412" spans="1:1">
      <c r="A5412" s="27"/>
    </row>
    <row r="5413" spans="1:1">
      <c r="A5413" s="27"/>
    </row>
    <row r="5414" spans="1:1">
      <c r="A5414" s="27"/>
    </row>
    <row r="5415" spans="1:1">
      <c r="A5415" s="27"/>
    </row>
    <row r="5416" spans="1:1">
      <c r="A5416" s="27"/>
    </row>
    <row r="5417" spans="1:1">
      <c r="A5417" s="27"/>
    </row>
    <row r="5418" spans="1:1">
      <c r="A5418" s="27"/>
    </row>
    <row r="5419" spans="1:1">
      <c r="A5419" s="27"/>
    </row>
    <row r="5420" spans="1:1">
      <c r="A5420" s="27"/>
    </row>
    <row r="5421" spans="1:1">
      <c r="A5421" s="27"/>
    </row>
    <row r="5422" spans="1:1">
      <c r="A5422" s="27"/>
    </row>
    <row r="5423" spans="1:1">
      <c r="A5423" s="27"/>
    </row>
    <row r="5424" spans="1:1">
      <c r="A5424" s="27"/>
    </row>
    <row r="5425" spans="1:1">
      <c r="A5425" s="27"/>
    </row>
    <row r="5426" spans="1:1">
      <c r="A5426" s="27"/>
    </row>
    <row r="5427" spans="1:1">
      <c r="A5427" s="27"/>
    </row>
    <row r="5428" spans="1:1">
      <c r="A5428" s="27"/>
    </row>
    <row r="5429" spans="1:1">
      <c r="A5429" s="27"/>
    </row>
    <row r="5430" spans="1:1">
      <c r="A5430" s="27"/>
    </row>
    <row r="5431" spans="1:1">
      <c r="A5431" s="27"/>
    </row>
    <row r="5432" spans="1:1">
      <c r="A5432" s="27"/>
    </row>
    <row r="5433" spans="1:1">
      <c r="A5433" s="27"/>
    </row>
    <row r="5434" spans="1:1">
      <c r="A5434" s="27"/>
    </row>
    <row r="5435" spans="1:1">
      <c r="A5435" s="27"/>
    </row>
    <row r="5436" spans="1:1">
      <c r="A5436" s="27"/>
    </row>
    <row r="5437" spans="1:1">
      <c r="A5437" s="27"/>
    </row>
    <row r="5438" spans="1:1">
      <c r="A5438" s="27"/>
    </row>
    <row r="5439" spans="1:1">
      <c r="A5439" s="27"/>
    </row>
    <row r="5440" spans="1:1">
      <c r="A5440" s="27"/>
    </row>
    <row r="5441" spans="1:1">
      <c r="A5441" s="27"/>
    </row>
    <row r="5442" spans="1:1">
      <c r="A5442" s="27"/>
    </row>
    <row r="5443" spans="1:1">
      <c r="A5443" s="27"/>
    </row>
    <row r="5444" spans="1:1">
      <c r="A5444" s="27"/>
    </row>
    <row r="5445" spans="1:1">
      <c r="A5445" s="27"/>
    </row>
    <row r="5446" spans="1:1">
      <c r="A5446" s="27"/>
    </row>
    <row r="5447" spans="1:1">
      <c r="A5447" s="27"/>
    </row>
    <row r="5448" spans="1:1">
      <c r="A5448" s="27"/>
    </row>
    <row r="5449" spans="1:1">
      <c r="A5449" s="27"/>
    </row>
    <row r="5450" spans="1:1">
      <c r="A5450" s="27"/>
    </row>
    <row r="5451" spans="1:1">
      <c r="A5451" s="27"/>
    </row>
    <row r="5452" spans="1:1">
      <c r="A5452" s="27"/>
    </row>
    <row r="5453" spans="1:1">
      <c r="A5453" s="27"/>
    </row>
    <row r="5454" spans="1:1">
      <c r="A5454" s="27"/>
    </row>
    <row r="5455" spans="1:1">
      <c r="A5455" s="27"/>
    </row>
    <row r="5456" spans="1:1">
      <c r="A5456" s="27"/>
    </row>
    <row r="5457" spans="1:1">
      <c r="A5457" s="27"/>
    </row>
    <row r="5458" spans="1:1">
      <c r="A5458" s="27"/>
    </row>
    <row r="5459" spans="1:1">
      <c r="A5459" s="27"/>
    </row>
    <row r="5460" spans="1:1">
      <c r="A5460" s="27"/>
    </row>
    <row r="5461" spans="1:1">
      <c r="A5461" s="27"/>
    </row>
    <row r="5462" spans="1:1">
      <c r="A5462" s="27"/>
    </row>
    <row r="5463" spans="1:1">
      <c r="A5463" s="27"/>
    </row>
    <row r="5464" spans="1:1">
      <c r="A5464" s="27"/>
    </row>
    <row r="5465" spans="1:1">
      <c r="A5465" s="27"/>
    </row>
    <row r="5466" spans="1:1">
      <c r="A5466" s="27"/>
    </row>
    <row r="5467" spans="1:1">
      <c r="A5467" s="27"/>
    </row>
    <row r="5468" spans="1:1">
      <c r="A5468" s="27"/>
    </row>
    <row r="5469" spans="1:1">
      <c r="A5469" s="27"/>
    </row>
    <row r="5470" spans="1:1">
      <c r="A5470" s="27"/>
    </row>
    <row r="5471" spans="1:1">
      <c r="A5471" s="27"/>
    </row>
    <row r="5472" spans="1:1">
      <c r="A5472" s="27"/>
    </row>
    <row r="5473" spans="1:1">
      <c r="A5473" s="27"/>
    </row>
    <row r="5474" spans="1:1">
      <c r="A5474" s="27"/>
    </row>
    <row r="5475" spans="1:1">
      <c r="A5475" s="27"/>
    </row>
    <row r="5476" spans="1:1">
      <c r="A5476" s="27"/>
    </row>
    <row r="5477" spans="1:1">
      <c r="A5477" s="27"/>
    </row>
    <row r="5478" spans="1:1">
      <c r="A5478" s="27"/>
    </row>
    <row r="5479" spans="1:1">
      <c r="A5479" s="27"/>
    </row>
    <row r="5480" spans="1:1">
      <c r="A5480" s="27"/>
    </row>
    <row r="5481" spans="1:1">
      <c r="A5481" s="27"/>
    </row>
    <row r="5482" spans="1:1">
      <c r="A5482" s="27"/>
    </row>
    <row r="5483" spans="1:1">
      <c r="A5483" s="27"/>
    </row>
    <row r="5484" spans="1:1">
      <c r="A5484" s="27"/>
    </row>
    <row r="5485" spans="1:1">
      <c r="A5485" s="27"/>
    </row>
    <row r="5486" spans="1:1">
      <c r="A5486" s="27"/>
    </row>
    <row r="5487" spans="1:1">
      <c r="A5487" s="27"/>
    </row>
    <row r="5488" spans="1:1">
      <c r="A5488" s="27"/>
    </row>
    <row r="5489" spans="1:1">
      <c r="A5489" s="27"/>
    </row>
    <row r="5490" spans="1:1">
      <c r="A5490" s="27"/>
    </row>
    <row r="5491" spans="1:1">
      <c r="A5491" s="27"/>
    </row>
    <row r="5492" spans="1:1">
      <c r="A5492" s="27"/>
    </row>
    <row r="5493" spans="1:1">
      <c r="A5493" s="27"/>
    </row>
    <row r="5494" spans="1:1">
      <c r="A5494" s="27"/>
    </row>
    <row r="5495" spans="1:1">
      <c r="A5495" s="27"/>
    </row>
    <row r="5496" spans="1:1">
      <c r="A5496" s="27"/>
    </row>
    <row r="5497" spans="1:1">
      <c r="A5497" s="27"/>
    </row>
    <row r="5498" spans="1:1">
      <c r="A5498" s="27"/>
    </row>
    <row r="5499" spans="1:1">
      <c r="A5499" s="27"/>
    </row>
    <row r="5500" spans="1:1">
      <c r="A5500" s="27"/>
    </row>
    <row r="5501" spans="1:1">
      <c r="A5501" s="27"/>
    </row>
    <row r="5502" spans="1:1">
      <c r="A5502" s="27"/>
    </row>
    <row r="5503" spans="1:1">
      <c r="A5503" s="27"/>
    </row>
    <row r="5504" spans="1:1">
      <c r="A5504" s="27"/>
    </row>
    <row r="5505" spans="1:1">
      <c r="A5505" s="27"/>
    </row>
    <row r="5506" spans="1:1">
      <c r="A5506" s="27"/>
    </row>
    <row r="5507" spans="1:1">
      <c r="A5507" s="27"/>
    </row>
    <row r="5508" spans="1:1">
      <c r="A5508" s="27"/>
    </row>
    <row r="5509" spans="1:1">
      <c r="A5509" s="27"/>
    </row>
    <row r="5510" spans="1:1">
      <c r="A5510" s="27"/>
    </row>
    <row r="5511" spans="1:1">
      <c r="A5511" s="27"/>
    </row>
    <row r="5512" spans="1:1">
      <c r="A5512" s="27"/>
    </row>
    <row r="5513" spans="1:1">
      <c r="A5513" s="27"/>
    </row>
    <row r="5514" spans="1:1">
      <c r="A5514" s="27"/>
    </row>
    <row r="5515" spans="1:1">
      <c r="A5515" s="27"/>
    </row>
    <row r="5516" spans="1:1">
      <c r="A5516" s="27"/>
    </row>
    <row r="5517" spans="1:1">
      <c r="A5517" s="27"/>
    </row>
    <row r="5518" spans="1:1">
      <c r="A5518" s="27"/>
    </row>
    <row r="5519" spans="1:1">
      <c r="A5519" s="27"/>
    </row>
    <row r="5520" spans="1:1">
      <c r="A5520" s="27"/>
    </row>
    <row r="5521" spans="1:1">
      <c r="A5521" s="27"/>
    </row>
    <row r="5522" spans="1:1">
      <c r="A5522" s="27"/>
    </row>
    <row r="5523" spans="1:1">
      <c r="A5523" s="27"/>
    </row>
    <row r="5524" spans="1:1">
      <c r="A5524" s="27"/>
    </row>
    <row r="5525" spans="1:1">
      <c r="A5525" s="27"/>
    </row>
    <row r="5526" spans="1:1">
      <c r="A5526" s="27"/>
    </row>
    <row r="5527" spans="1:1">
      <c r="A5527" s="27"/>
    </row>
    <row r="5528" spans="1:1">
      <c r="A5528" s="27"/>
    </row>
    <row r="5529" spans="1:1">
      <c r="A5529" s="27"/>
    </row>
    <row r="5530" spans="1:1">
      <c r="A5530" s="27"/>
    </row>
    <row r="5531" spans="1:1">
      <c r="A5531" s="27"/>
    </row>
    <row r="5532" spans="1:1">
      <c r="A5532" s="27"/>
    </row>
    <row r="5533" spans="1:1">
      <c r="A5533" s="27"/>
    </row>
    <row r="5534" spans="1:1">
      <c r="A5534" s="27"/>
    </row>
    <row r="5535" spans="1:1">
      <c r="A5535" s="27"/>
    </row>
    <row r="5536" spans="1:1">
      <c r="A5536" s="27"/>
    </row>
    <row r="5537" spans="1:1">
      <c r="A5537" s="27"/>
    </row>
    <row r="5538" spans="1:1">
      <c r="A5538" s="27"/>
    </row>
    <row r="5539" spans="1:1">
      <c r="A5539" s="27"/>
    </row>
    <row r="5540" spans="1:1">
      <c r="A5540" s="27"/>
    </row>
    <row r="5541" spans="1:1">
      <c r="A5541" s="27"/>
    </row>
    <row r="5542" spans="1:1">
      <c r="A5542" s="27"/>
    </row>
    <row r="5543" spans="1:1">
      <c r="A5543" s="27"/>
    </row>
    <row r="5544" spans="1:1">
      <c r="A5544" s="27"/>
    </row>
    <row r="5545" spans="1:1">
      <c r="A5545" s="27"/>
    </row>
    <row r="5546" spans="1:1">
      <c r="A5546" s="27"/>
    </row>
    <row r="5547" spans="1:1">
      <c r="A5547" s="27"/>
    </row>
    <row r="5548" spans="1:1">
      <c r="A5548" s="27"/>
    </row>
    <row r="5549" spans="1:1">
      <c r="A5549" s="27"/>
    </row>
    <row r="5550" spans="1:1">
      <c r="A5550" s="27"/>
    </row>
    <row r="5551" spans="1:1">
      <c r="A5551" s="27"/>
    </row>
    <row r="5552" spans="1:1">
      <c r="A5552" s="27"/>
    </row>
    <row r="5553" spans="1:1">
      <c r="A5553" s="27"/>
    </row>
    <row r="5554" spans="1:1">
      <c r="A5554" s="27"/>
    </row>
    <row r="5555" spans="1:1">
      <c r="A5555" s="27"/>
    </row>
    <row r="5556" spans="1:1">
      <c r="A5556" s="27"/>
    </row>
    <row r="5557" spans="1:1">
      <c r="A5557" s="27"/>
    </row>
    <row r="5558" spans="1:1">
      <c r="A5558" s="27"/>
    </row>
    <row r="5559" spans="1:1">
      <c r="A5559" s="27"/>
    </row>
    <row r="5560" spans="1:1">
      <c r="A5560" s="27"/>
    </row>
    <row r="5561" spans="1:1">
      <c r="A5561" s="27"/>
    </row>
    <row r="5562" spans="1:1">
      <c r="A5562" s="27"/>
    </row>
    <row r="5563" spans="1:1">
      <c r="A5563" s="27"/>
    </row>
    <row r="5564" spans="1:1">
      <c r="A5564" s="27"/>
    </row>
    <row r="5565" spans="1:1">
      <c r="A5565" s="27"/>
    </row>
    <row r="5566" spans="1:1">
      <c r="A5566" s="27"/>
    </row>
    <row r="5567" spans="1:1">
      <c r="A5567" s="27"/>
    </row>
    <row r="5568" spans="1:1">
      <c r="A5568" s="27"/>
    </row>
    <row r="5569" spans="1:1">
      <c r="A5569" s="27"/>
    </row>
    <row r="5570" spans="1:1">
      <c r="A5570" s="27"/>
    </row>
    <row r="5571" spans="1:1">
      <c r="A5571" s="27"/>
    </row>
    <row r="5572" spans="1:1">
      <c r="A5572" s="27"/>
    </row>
    <row r="5573" spans="1:1">
      <c r="A5573" s="27"/>
    </row>
    <row r="5574" spans="1:1">
      <c r="A5574" s="27"/>
    </row>
    <row r="5575" spans="1:1">
      <c r="A5575" s="27"/>
    </row>
    <row r="5576" spans="1:1">
      <c r="A5576" s="27"/>
    </row>
    <row r="5577" spans="1:1">
      <c r="A5577" s="27"/>
    </row>
    <row r="5578" spans="1:1">
      <c r="A5578" s="27"/>
    </row>
    <row r="5579" spans="1:1">
      <c r="A5579" s="27"/>
    </row>
    <row r="5580" spans="1:1">
      <c r="A5580" s="27"/>
    </row>
    <row r="5581" spans="1:1">
      <c r="A5581" s="27"/>
    </row>
    <row r="5582" spans="1:1">
      <c r="A5582" s="27"/>
    </row>
    <row r="5583" spans="1:1">
      <c r="A5583" s="27"/>
    </row>
    <row r="5584" spans="1:1">
      <c r="A5584" s="27"/>
    </row>
    <row r="5585" spans="1:1">
      <c r="A5585" s="27"/>
    </row>
    <row r="5586" spans="1:1">
      <c r="A5586" s="27"/>
    </row>
    <row r="5587" spans="1:1">
      <c r="A5587" s="27"/>
    </row>
    <row r="5588" spans="1:1">
      <c r="A5588" s="27"/>
    </row>
    <row r="5589" spans="1:1">
      <c r="A5589" s="27"/>
    </row>
    <row r="5590" spans="1:1">
      <c r="A5590" s="27"/>
    </row>
    <row r="5591" spans="1:1">
      <c r="A5591" s="27"/>
    </row>
    <row r="5592" spans="1:1">
      <c r="A5592" s="27"/>
    </row>
    <row r="5593" spans="1:1">
      <c r="A5593" s="27"/>
    </row>
    <row r="5594" spans="1:1">
      <c r="A5594" s="27"/>
    </row>
    <row r="5595" spans="1:1">
      <c r="A5595" s="27"/>
    </row>
    <row r="5596" spans="1:1">
      <c r="A5596" s="27"/>
    </row>
    <row r="5597" spans="1:1">
      <c r="A5597" s="27"/>
    </row>
    <row r="5598" spans="1:1">
      <c r="A5598" s="27"/>
    </row>
    <row r="5599" spans="1:1">
      <c r="A5599" s="27"/>
    </row>
    <row r="5600" spans="1:1">
      <c r="A5600" s="27"/>
    </row>
    <row r="5601" spans="1:1">
      <c r="A5601" s="27"/>
    </row>
    <row r="5602" spans="1:1">
      <c r="A5602" s="27"/>
    </row>
    <row r="5603" spans="1:1">
      <c r="A5603" s="27"/>
    </row>
    <row r="5604" spans="1:1">
      <c r="A5604" s="27"/>
    </row>
    <row r="5605" spans="1:1">
      <c r="A5605" s="27"/>
    </row>
    <row r="5606" spans="1:1">
      <c r="A5606" s="27"/>
    </row>
    <row r="5607" spans="1:1">
      <c r="A5607" s="27"/>
    </row>
    <row r="5608" spans="1:1">
      <c r="A5608" s="27"/>
    </row>
    <row r="5609" spans="1:1">
      <c r="A5609" s="27"/>
    </row>
    <row r="5610" spans="1:1">
      <c r="A5610" s="27"/>
    </row>
    <row r="5611" spans="1:1">
      <c r="A5611" s="27"/>
    </row>
    <row r="5612" spans="1:1">
      <c r="A5612" s="27"/>
    </row>
    <row r="5613" spans="1:1">
      <c r="A5613" s="27"/>
    </row>
    <row r="5614" spans="1:1">
      <c r="A5614" s="27"/>
    </row>
    <row r="5615" spans="1:1">
      <c r="A5615" s="27"/>
    </row>
    <row r="5616" spans="1:1">
      <c r="A5616" s="27"/>
    </row>
    <row r="5617" spans="1:1">
      <c r="A5617" s="27"/>
    </row>
    <row r="5618" spans="1:1">
      <c r="A5618" s="27"/>
    </row>
    <row r="5619" spans="1:1">
      <c r="A5619" s="27"/>
    </row>
    <row r="5620" spans="1:1">
      <c r="A5620" s="27"/>
    </row>
    <row r="5621" spans="1:1">
      <c r="A5621" s="27"/>
    </row>
    <row r="5622" spans="1:1">
      <c r="A5622" s="27"/>
    </row>
    <row r="5623" spans="1:1">
      <c r="A5623" s="27"/>
    </row>
    <row r="5624" spans="1:1">
      <c r="A5624" s="27"/>
    </row>
    <row r="5625" spans="1:1">
      <c r="A5625" s="27"/>
    </row>
    <row r="5626" spans="1:1">
      <c r="A5626" s="27"/>
    </row>
    <row r="5627" spans="1:1">
      <c r="A5627" s="27"/>
    </row>
    <row r="5628" spans="1:1">
      <c r="A5628" s="27"/>
    </row>
    <row r="5629" spans="1:1">
      <c r="A5629" s="27"/>
    </row>
    <row r="5630" spans="1:1">
      <c r="A5630" s="27"/>
    </row>
    <row r="5631" spans="1:1">
      <c r="A5631" s="27"/>
    </row>
    <row r="5632" spans="1:1">
      <c r="A5632" s="27"/>
    </row>
    <row r="5633" spans="1:1">
      <c r="A5633" s="27"/>
    </row>
    <row r="5634" spans="1:1">
      <c r="A5634" s="27"/>
    </row>
    <row r="5635" spans="1:1">
      <c r="A5635" s="27"/>
    </row>
    <row r="5636" spans="1:1">
      <c r="A5636" s="27"/>
    </row>
    <row r="5637" spans="1:1">
      <c r="A5637" s="27"/>
    </row>
    <row r="5638" spans="1:1">
      <c r="A5638" s="27"/>
    </row>
    <row r="5639" spans="1:1">
      <c r="A5639" s="27"/>
    </row>
    <row r="5640" spans="1:1">
      <c r="A5640" s="27"/>
    </row>
    <row r="5641" spans="1:1">
      <c r="A5641" s="27"/>
    </row>
    <row r="5642" spans="1:1">
      <c r="A5642" s="27"/>
    </row>
    <row r="5643" spans="1:1">
      <c r="A5643" s="27"/>
    </row>
    <row r="5644" spans="1:1">
      <c r="A5644" s="27"/>
    </row>
    <row r="5645" spans="1:1">
      <c r="A5645" s="27"/>
    </row>
    <row r="5646" spans="1:1">
      <c r="A5646" s="27"/>
    </row>
    <row r="5647" spans="1:1">
      <c r="A5647" s="27"/>
    </row>
    <row r="5648" spans="1:1">
      <c r="A5648" s="27"/>
    </row>
    <row r="5649" spans="1:1">
      <c r="A5649" s="27"/>
    </row>
    <row r="5650" spans="1:1">
      <c r="A5650" s="27"/>
    </row>
    <row r="5651" spans="1:1">
      <c r="A5651" s="27"/>
    </row>
    <row r="5652" spans="1:1">
      <c r="A5652" s="27"/>
    </row>
    <row r="5653" spans="1:1">
      <c r="A5653" s="27"/>
    </row>
    <row r="5654" spans="1:1">
      <c r="A5654" s="27"/>
    </row>
    <row r="5655" spans="1:1">
      <c r="A5655" s="27"/>
    </row>
    <row r="5656" spans="1:1">
      <c r="A5656" s="27"/>
    </row>
    <row r="5657" spans="1:1">
      <c r="A5657" s="27"/>
    </row>
    <row r="5658" spans="1:1">
      <c r="A5658" s="27"/>
    </row>
    <row r="5659" spans="1:1">
      <c r="A5659" s="27"/>
    </row>
    <row r="5660" spans="1:1">
      <c r="A5660" s="27"/>
    </row>
    <row r="5661" spans="1:1">
      <c r="A5661" s="27"/>
    </row>
    <row r="5662" spans="1:1">
      <c r="A5662" s="27"/>
    </row>
    <row r="5663" spans="1:1">
      <c r="A5663" s="27"/>
    </row>
    <row r="5664" spans="1:1">
      <c r="A5664" s="27"/>
    </row>
    <row r="5665" spans="1:1">
      <c r="A5665" s="27"/>
    </row>
    <row r="5666" spans="1:1">
      <c r="A5666" s="27"/>
    </row>
    <row r="5667" spans="1:1">
      <c r="A5667" s="27"/>
    </row>
    <row r="5668" spans="1:1">
      <c r="A5668" s="27"/>
    </row>
    <row r="5669" spans="1:1">
      <c r="A5669" s="27"/>
    </row>
    <row r="5670" spans="1:1">
      <c r="A5670" s="27"/>
    </row>
    <row r="5671" spans="1:1">
      <c r="A5671" s="27"/>
    </row>
    <row r="5672" spans="1:1">
      <c r="A5672" s="27"/>
    </row>
    <row r="5673" spans="1:1">
      <c r="A5673" s="27"/>
    </row>
    <row r="5674" spans="1:1">
      <c r="A5674" s="27"/>
    </row>
    <row r="5675" spans="1:1">
      <c r="A5675" s="27"/>
    </row>
    <row r="5676" spans="1:1">
      <c r="A5676" s="27"/>
    </row>
    <row r="5677" spans="1:1">
      <c r="A5677" s="27"/>
    </row>
    <row r="5678" spans="1:1">
      <c r="A5678" s="27"/>
    </row>
    <row r="5679" spans="1:1">
      <c r="A5679" s="27"/>
    </row>
    <row r="5680" spans="1:1">
      <c r="A5680" s="27"/>
    </row>
    <row r="5681" spans="1:1">
      <c r="A5681" s="27"/>
    </row>
    <row r="5682" spans="1:1">
      <c r="A5682" s="27"/>
    </row>
    <row r="5683" spans="1:1">
      <c r="A5683" s="27"/>
    </row>
    <row r="5684" spans="1:1">
      <c r="A5684" s="27"/>
    </row>
    <row r="5685" spans="1:1">
      <c r="A5685" s="27"/>
    </row>
    <row r="5686" spans="1:1">
      <c r="A5686" s="27"/>
    </row>
    <row r="5687" spans="1:1">
      <c r="A5687" s="27"/>
    </row>
    <row r="5688" spans="1:1">
      <c r="A5688" s="27"/>
    </row>
    <row r="5689" spans="1:1">
      <c r="A5689" s="27"/>
    </row>
    <row r="5690" spans="1:1">
      <c r="A5690" s="27"/>
    </row>
    <row r="5691" spans="1:1">
      <c r="A5691" s="27"/>
    </row>
    <row r="5692" spans="1:1">
      <c r="A5692" s="27"/>
    </row>
    <row r="5693" spans="1:1">
      <c r="A5693" s="27"/>
    </row>
    <row r="5694" spans="1:1">
      <c r="A5694" s="27"/>
    </row>
    <row r="5695" spans="1:1">
      <c r="A5695" s="27"/>
    </row>
    <row r="5696" spans="1:1">
      <c r="A5696" s="27"/>
    </row>
    <row r="5697" spans="1:1">
      <c r="A5697" s="27"/>
    </row>
    <row r="5698" spans="1:1">
      <c r="A5698" s="27"/>
    </row>
    <row r="5699" spans="1:1">
      <c r="A5699" s="27"/>
    </row>
    <row r="5700" spans="1:1">
      <c r="A5700" s="27"/>
    </row>
    <row r="5701" spans="1:1">
      <c r="A5701" s="27"/>
    </row>
    <row r="5702" spans="1:1">
      <c r="A5702" s="27"/>
    </row>
    <row r="5703" spans="1:1">
      <c r="A5703" s="27"/>
    </row>
    <row r="5704" spans="1:1">
      <c r="A5704" s="27"/>
    </row>
    <row r="5705" spans="1:1">
      <c r="A5705" s="27"/>
    </row>
    <row r="5706" spans="1:1">
      <c r="A5706" s="27"/>
    </row>
    <row r="5707" spans="1:1">
      <c r="A5707" s="27"/>
    </row>
    <row r="5708" spans="1:1">
      <c r="A5708" s="27"/>
    </row>
    <row r="5709" spans="1:1">
      <c r="A5709" s="27"/>
    </row>
    <row r="5710" spans="1:1">
      <c r="A5710" s="27"/>
    </row>
    <row r="5711" spans="1:1">
      <c r="A5711" s="27"/>
    </row>
    <row r="5712" spans="1:1">
      <c r="A5712" s="27"/>
    </row>
    <row r="5713" spans="1:1">
      <c r="A5713" s="27"/>
    </row>
    <row r="5714" spans="1:1">
      <c r="A5714" s="27"/>
    </row>
    <row r="5715" spans="1:1">
      <c r="A5715" s="27"/>
    </row>
    <row r="5716" spans="1:1">
      <c r="A5716" s="27"/>
    </row>
    <row r="5717" spans="1:1">
      <c r="A5717" s="27"/>
    </row>
    <row r="5718" spans="1:1">
      <c r="A5718" s="27"/>
    </row>
    <row r="5719" spans="1:1">
      <c r="A5719" s="27"/>
    </row>
    <row r="5720" spans="1:1">
      <c r="A5720" s="27"/>
    </row>
    <row r="5721" spans="1:1">
      <c r="A5721" s="27"/>
    </row>
    <row r="5722" spans="1:1">
      <c r="A5722" s="27"/>
    </row>
    <row r="5723" spans="1:1">
      <c r="A5723" s="27"/>
    </row>
    <row r="5724" spans="1:1">
      <c r="A5724" s="27"/>
    </row>
    <row r="5725" spans="1:1">
      <c r="A5725" s="27"/>
    </row>
    <row r="5726" spans="1:1">
      <c r="A5726" s="27"/>
    </row>
    <row r="5727" spans="1:1">
      <c r="A5727" s="27"/>
    </row>
    <row r="5728" spans="1:1">
      <c r="A5728" s="27"/>
    </row>
    <row r="5729" spans="1:1">
      <c r="A5729" s="27"/>
    </row>
    <row r="5730" spans="1:1">
      <c r="A5730" s="27"/>
    </row>
    <row r="5731" spans="1:1">
      <c r="A5731" s="27"/>
    </row>
    <row r="5732" spans="1:1">
      <c r="A5732" s="27"/>
    </row>
    <row r="5733" spans="1:1">
      <c r="A5733" s="27"/>
    </row>
    <row r="5734" spans="1:1">
      <c r="A5734" s="27"/>
    </row>
    <row r="5735" spans="1:1">
      <c r="A5735" s="27"/>
    </row>
    <row r="5736" spans="1:1">
      <c r="A5736" s="27"/>
    </row>
    <row r="5737" spans="1:1">
      <c r="A5737" s="27"/>
    </row>
    <row r="5738" spans="1:1">
      <c r="A5738" s="27"/>
    </row>
    <row r="5739" spans="1:1">
      <c r="A5739" s="27"/>
    </row>
    <row r="5740" spans="1:1">
      <c r="A5740" s="27"/>
    </row>
    <row r="5741" spans="1:1">
      <c r="A5741" s="27"/>
    </row>
    <row r="5742" spans="1:1">
      <c r="A5742" s="27"/>
    </row>
    <row r="5743" spans="1:1">
      <c r="A5743" s="27"/>
    </row>
    <row r="5744" spans="1:1">
      <c r="A5744" s="27"/>
    </row>
    <row r="5745" spans="1:1">
      <c r="A5745" s="27"/>
    </row>
    <row r="5746" spans="1:1">
      <c r="A5746" s="27"/>
    </row>
    <row r="5747" spans="1:1">
      <c r="A5747" s="27"/>
    </row>
    <row r="5748" spans="1:1">
      <c r="A5748" s="27"/>
    </row>
    <row r="5749" spans="1:1">
      <c r="A5749" s="27"/>
    </row>
    <row r="5750" spans="1:1">
      <c r="A5750" s="27"/>
    </row>
    <row r="5751" spans="1:1">
      <c r="A5751" s="27"/>
    </row>
    <row r="5752" spans="1:1">
      <c r="A5752" s="27"/>
    </row>
    <row r="5753" spans="1:1">
      <c r="A5753" s="27"/>
    </row>
    <row r="5754" spans="1:1">
      <c r="A5754" s="27"/>
    </row>
    <row r="5755" spans="1:1">
      <c r="A5755" s="27"/>
    </row>
    <row r="5756" spans="1:1">
      <c r="A5756" s="27"/>
    </row>
    <row r="5757" spans="1:1">
      <c r="A5757" s="27"/>
    </row>
    <row r="5758" spans="1:1">
      <c r="A5758" s="27"/>
    </row>
    <row r="5759" spans="1:1">
      <c r="A5759" s="27"/>
    </row>
    <row r="5760" spans="1:1">
      <c r="A5760" s="27"/>
    </row>
    <row r="5761" spans="1:1">
      <c r="A5761" s="27"/>
    </row>
    <row r="5762" spans="1:1">
      <c r="A5762" s="27"/>
    </row>
    <row r="5763" spans="1:1">
      <c r="A5763" s="27"/>
    </row>
    <row r="5764" spans="1:1">
      <c r="A5764" s="27"/>
    </row>
    <row r="5765" spans="1:1">
      <c r="A5765" s="27"/>
    </row>
    <row r="5766" spans="1:1">
      <c r="A5766" s="27"/>
    </row>
    <row r="5767" spans="1:1">
      <c r="A5767" s="27"/>
    </row>
    <row r="5768" spans="1:1">
      <c r="A5768" s="27"/>
    </row>
    <row r="5769" spans="1:1">
      <c r="A5769" s="27"/>
    </row>
    <row r="5770" spans="1:1">
      <c r="A5770" s="27"/>
    </row>
    <row r="5771" spans="1:1">
      <c r="A5771" s="27"/>
    </row>
    <row r="5772" spans="1:1">
      <c r="A5772" s="27"/>
    </row>
    <row r="5773" spans="1:1">
      <c r="A5773" s="27"/>
    </row>
    <row r="5774" spans="1:1">
      <c r="A5774" s="27"/>
    </row>
    <row r="5775" spans="1:1">
      <c r="A5775" s="27"/>
    </row>
    <row r="5776" spans="1:1">
      <c r="A5776" s="27"/>
    </row>
    <row r="5777" spans="1:1">
      <c r="A5777" s="27"/>
    </row>
    <row r="5778" spans="1:1">
      <c r="A5778" s="27"/>
    </row>
    <row r="5779" spans="1:1">
      <c r="A5779" s="27"/>
    </row>
    <row r="5780" spans="1:1">
      <c r="A5780" s="27"/>
    </row>
    <row r="5781" spans="1:1">
      <c r="A5781" s="27"/>
    </row>
    <row r="5782" spans="1:1">
      <c r="A5782" s="27"/>
    </row>
    <row r="5783" spans="1:1">
      <c r="A5783" s="27"/>
    </row>
    <row r="5784" spans="1:1">
      <c r="A5784" s="27"/>
    </row>
    <row r="5785" spans="1:1">
      <c r="A5785" s="27"/>
    </row>
    <row r="5786" spans="1:1">
      <c r="A5786" s="27"/>
    </row>
    <row r="5787" spans="1:1">
      <c r="A5787" s="27"/>
    </row>
    <row r="5788" spans="1:1">
      <c r="A5788" s="27"/>
    </row>
    <row r="5789" spans="1:1">
      <c r="A5789" s="27"/>
    </row>
    <row r="5790" spans="1:1">
      <c r="A5790" s="27"/>
    </row>
    <row r="5791" spans="1:1">
      <c r="A5791" s="27"/>
    </row>
    <row r="5792" spans="1:1">
      <c r="A5792" s="27"/>
    </row>
    <row r="5793" spans="1:1">
      <c r="A5793" s="27"/>
    </row>
    <row r="5794" spans="1:1">
      <c r="A5794" s="27"/>
    </row>
    <row r="5795" spans="1:1">
      <c r="A5795" s="27"/>
    </row>
    <row r="5796" spans="1:1">
      <c r="A5796" s="27"/>
    </row>
    <row r="5797" spans="1:1">
      <c r="A5797" s="27"/>
    </row>
    <row r="5798" spans="1:1">
      <c r="A5798" s="27"/>
    </row>
    <row r="5799" spans="1:1">
      <c r="A5799" s="27"/>
    </row>
    <row r="5800" spans="1:1">
      <c r="A5800" s="27"/>
    </row>
    <row r="5801" spans="1:1">
      <c r="A5801" s="27"/>
    </row>
    <row r="5802" spans="1:1">
      <c r="A5802" s="27"/>
    </row>
    <row r="5803" spans="1:1">
      <c r="A5803" s="27"/>
    </row>
    <row r="5804" spans="1:1">
      <c r="A5804" s="27"/>
    </row>
    <row r="5805" spans="1:1">
      <c r="A5805" s="27"/>
    </row>
    <row r="5806" spans="1:1">
      <c r="A5806" s="27"/>
    </row>
    <row r="5807" spans="1:1">
      <c r="A5807" s="27"/>
    </row>
    <row r="5808" spans="1:1">
      <c r="A5808" s="27"/>
    </row>
    <row r="5809" spans="1:1">
      <c r="A5809" s="27"/>
    </row>
    <row r="5810" spans="1:1">
      <c r="A5810" s="27"/>
    </row>
    <row r="5811" spans="1:1">
      <c r="A5811" s="27"/>
    </row>
    <row r="5812" spans="1:1">
      <c r="A5812" s="27"/>
    </row>
    <row r="5813" spans="1:1">
      <c r="A5813" s="27"/>
    </row>
    <row r="5814" spans="1:1">
      <c r="A5814" s="27"/>
    </row>
    <row r="5815" spans="1:1">
      <c r="A5815" s="27"/>
    </row>
    <row r="5816" spans="1:1">
      <c r="A5816" s="27"/>
    </row>
    <row r="5817" spans="1:1">
      <c r="A5817" s="27"/>
    </row>
    <row r="5818" spans="1:1">
      <c r="A5818" s="27"/>
    </row>
    <row r="5819" spans="1:1">
      <c r="A5819" s="27"/>
    </row>
    <row r="5820" spans="1:1">
      <c r="A5820" s="27"/>
    </row>
    <row r="5821" spans="1:1">
      <c r="A5821" s="27"/>
    </row>
    <row r="5822" spans="1:1">
      <c r="A5822" s="27"/>
    </row>
    <row r="5823" spans="1:1">
      <c r="A5823" s="27"/>
    </row>
    <row r="5824" spans="1:1">
      <c r="A5824" s="27"/>
    </row>
    <row r="5825" spans="1:1">
      <c r="A5825" s="27"/>
    </row>
    <row r="5826" spans="1:1">
      <c r="A5826" s="27"/>
    </row>
    <row r="5827" spans="1:1">
      <c r="A5827" s="27"/>
    </row>
    <row r="5828" spans="1:1">
      <c r="A5828" s="27"/>
    </row>
    <row r="5829" spans="1:1">
      <c r="A5829" s="27"/>
    </row>
    <row r="5830" spans="1:1">
      <c r="A5830" s="27"/>
    </row>
    <row r="5831" spans="1:1">
      <c r="A5831" s="27"/>
    </row>
    <row r="5832" spans="1:1">
      <c r="A5832" s="27"/>
    </row>
    <row r="5833" spans="1:1">
      <c r="A5833" s="27"/>
    </row>
    <row r="5834" spans="1:1">
      <c r="A5834" s="27"/>
    </row>
    <row r="5835" spans="1:1">
      <c r="A5835" s="27"/>
    </row>
    <row r="5836" spans="1:1">
      <c r="A5836" s="27"/>
    </row>
    <row r="5837" spans="1:1">
      <c r="A5837" s="27"/>
    </row>
    <row r="5838" spans="1:1">
      <c r="A5838" s="27"/>
    </row>
    <row r="5839" spans="1:1">
      <c r="A5839" s="27"/>
    </row>
    <row r="5840" spans="1:1">
      <c r="A5840" s="27"/>
    </row>
    <row r="5841" spans="1:1">
      <c r="A5841" s="27"/>
    </row>
    <row r="5842" spans="1:1">
      <c r="A5842" s="27"/>
    </row>
    <row r="5843" spans="1:1">
      <c r="A5843" s="27"/>
    </row>
    <row r="5844" spans="1:1">
      <c r="A5844" s="27"/>
    </row>
    <row r="5845" spans="1:1">
      <c r="A5845" s="27"/>
    </row>
    <row r="5846" spans="1:1">
      <c r="A5846" s="27"/>
    </row>
    <row r="5847" spans="1:1">
      <c r="A5847" s="27"/>
    </row>
    <row r="5848" spans="1:1">
      <c r="A5848" s="27"/>
    </row>
    <row r="5849" spans="1:1">
      <c r="A5849" s="27"/>
    </row>
    <row r="5850" spans="1:1">
      <c r="A5850" s="27"/>
    </row>
    <row r="5851" spans="1:1">
      <c r="A5851" s="27"/>
    </row>
    <row r="5852" spans="1:1">
      <c r="A5852" s="27"/>
    </row>
    <row r="5853" spans="1:1">
      <c r="A5853" s="27"/>
    </row>
    <row r="5854" spans="1:1">
      <c r="A5854" s="27"/>
    </row>
    <row r="5855" spans="1:1">
      <c r="A5855" s="27"/>
    </row>
    <row r="5856" spans="1:1">
      <c r="A5856" s="27"/>
    </row>
    <row r="5857" spans="1:1">
      <c r="A5857" s="27"/>
    </row>
    <row r="5858" spans="1:1">
      <c r="A5858" s="27"/>
    </row>
    <row r="5859" spans="1:1">
      <c r="A5859" s="27"/>
    </row>
    <row r="5860" spans="1:1">
      <c r="A5860" s="27"/>
    </row>
    <row r="5861" spans="1:1">
      <c r="A5861" s="27"/>
    </row>
    <row r="5862" spans="1:1">
      <c r="A5862" s="27"/>
    </row>
    <row r="5863" spans="1:1">
      <c r="A5863" s="27"/>
    </row>
    <row r="5864" spans="1:1">
      <c r="A5864" s="27"/>
    </row>
    <row r="5865" spans="1:1">
      <c r="A5865" s="27"/>
    </row>
    <row r="5866" spans="1:1">
      <c r="A5866" s="27"/>
    </row>
    <row r="5867" spans="1:1">
      <c r="A5867" s="27"/>
    </row>
    <row r="5868" spans="1:1">
      <c r="A5868" s="27"/>
    </row>
    <row r="5869" spans="1:1">
      <c r="A5869" s="27"/>
    </row>
    <row r="5870" spans="1:1">
      <c r="A5870" s="27"/>
    </row>
    <row r="5871" spans="1:1">
      <c r="A5871" s="27"/>
    </row>
    <row r="5872" spans="1:1">
      <c r="A5872" s="27"/>
    </row>
    <row r="5873" spans="1:1">
      <c r="A5873" s="27"/>
    </row>
    <row r="5874" spans="1:1">
      <c r="A5874" s="27"/>
    </row>
    <row r="5875" spans="1:1">
      <c r="A5875" s="27"/>
    </row>
    <row r="5876" spans="1:1">
      <c r="A5876" s="27"/>
    </row>
    <row r="5877" spans="1:1">
      <c r="A5877" s="27"/>
    </row>
    <row r="5878" spans="1:1">
      <c r="A5878" s="27"/>
    </row>
    <row r="5879" spans="1:1">
      <c r="A5879" s="27"/>
    </row>
    <row r="5880" spans="1:1">
      <c r="A5880" s="27"/>
    </row>
    <row r="5881" spans="1:1">
      <c r="A5881" s="27"/>
    </row>
    <row r="5882" spans="1:1">
      <c r="A5882" s="27"/>
    </row>
    <row r="5883" spans="1:1">
      <c r="A5883" s="27"/>
    </row>
    <row r="5884" spans="1:1">
      <c r="A5884" s="27"/>
    </row>
    <row r="5885" spans="1:1">
      <c r="A5885" s="27"/>
    </row>
    <row r="5886" spans="1:1">
      <c r="A5886" s="27"/>
    </row>
    <row r="5887" spans="1:1">
      <c r="A5887" s="27"/>
    </row>
    <row r="5888" spans="1:1">
      <c r="A5888" s="27"/>
    </row>
    <row r="5889" spans="1:1">
      <c r="A5889" s="27"/>
    </row>
    <row r="5890" spans="1:1">
      <c r="A5890" s="27"/>
    </row>
    <row r="5891" spans="1:1">
      <c r="A5891" s="27"/>
    </row>
    <row r="5892" spans="1:1">
      <c r="A5892" s="27"/>
    </row>
    <row r="5893" spans="1:1">
      <c r="A5893" s="27"/>
    </row>
    <row r="5894" spans="1:1">
      <c r="A5894" s="27"/>
    </row>
    <row r="5895" spans="1:1">
      <c r="A5895" s="27"/>
    </row>
    <row r="5896" spans="1:1">
      <c r="A5896" s="27"/>
    </row>
    <row r="5897" spans="1:1">
      <c r="A5897" s="27"/>
    </row>
    <row r="5898" spans="1:1">
      <c r="A5898" s="27"/>
    </row>
    <row r="5899" spans="1:1">
      <c r="A5899" s="27"/>
    </row>
    <row r="5900" spans="1:1">
      <c r="A5900" s="27"/>
    </row>
    <row r="5901" spans="1:1">
      <c r="A5901" s="27"/>
    </row>
    <row r="5902" spans="1:1">
      <c r="A5902" s="27"/>
    </row>
    <row r="5903" spans="1:1">
      <c r="A5903" s="27"/>
    </row>
    <row r="5904" spans="1:1">
      <c r="A5904" s="27"/>
    </row>
    <row r="5905" spans="1:1">
      <c r="A5905" s="27"/>
    </row>
    <row r="5906" spans="1:1">
      <c r="A5906" s="27"/>
    </row>
    <row r="5907" spans="1:1">
      <c r="A5907" s="27"/>
    </row>
    <row r="5908" spans="1:1">
      <c r="A5908" s="27"/>
    </row>
    <row r="5909" spans="1:1">
      <c r="A5909" s="27"/>
    </row>
    <row r="5910" spans="1:1">
      <c r="A5910" s="27"/>
    </row>
    <row r="5911" spans="1:1">
      <c r="A5911" s="27"/>
    </row>
    <row r="5912" spans="1:1">
      <c r="A5912" s="27"/>
    </row>
    <row r="5913" spans="1:1">
      <c r="A5913" s="27"/>
    </row>
    <row r="5914" spans="1:1">
      <c r="A5914" s="27"/>
    </row>
    <row r="5915" spans="1:1">
      <c r="A5915" s="27"/>
    </row>
    <row r="5916" spans="1:1">
      <c r="A5916" s="27"/>
    </row>
    <row r="5917" spans="1:1">
      <c r="A5917" s="27"/>
    </row>
    <row r="5918" spans="1:1">
      <c r="A5918" s="27"/>
    </row>
    <row r="5919" spans="1:1">
      <c r="A5919" s="27"/>
    </row>
    <row r="5920" spans="1:1">
      <c r="A5920" s="27"/>
    </row>
    <row r="5921" spans="1:1">
      <c r="A5921" s="27"/>
    </row>
    <row r="5922" spans="1:1">
      <c r="A5922" s="27"/>
    </row>
    <row r="5923" spans="1:1">
      <c r="A5923" s="27"/>
    </row>
    <row r="5924" spans="1:1">
      <c r="A5924" s="27"/>
    </row>
    <row r="5925" spans="1:1">
      <c r="A5925" s="27"/>
    </row>
    <row r="5926" spans="1:1">
      <c r="A5926" s="27"/>
    </row>
    <row r="5927" spans="1:1">
      <c r="A5927" s="27"/>
    </row>
    <row r="5928" spans="1:1">
      <c r="A5928" s="27"/>
    </row>
    <row r="5929" spans="1:1">
      <c r="A5929" s="27"/>
    </row>
    <row r="5930" spans="1:1">
      <c r="A5930" s="27"/>
    </row>
    <row r="5931" spans="1:1">
      <c r="A5931" s="27"/>
    </row>
    <row r="5932" spans="1:1">
      <c r="A5932" s="27"/>
    </row>
    <row r="5933" spans="1:1">
      <c r="A5933" s="27"/>
    </row>
    <row r="5934" spans="1:1">
      <c r="A5934" s="27"/>
    </row>
    <row r="5935" spans="1:1">
      <c r="A5935" s="27"/>
    </row>
    <row r="5936" spans="1:1">
      <c r="A5936" s="27"/>
    </row>
    <row r="5937" spans="1:1">
      <c r="A5937" s="27"/>
    </row>
    <row r="5938" spans="1:1">
      <c r="A5938" s="27"/>
    </row>
    <row r="5939" spans="1:1">
      <c r="A5939" s="27"/>
    </row>
    <row r="5940" spans="1:1">
      <c r="A5940" s="27"/>
    </row>
    <row r="5941" spans="1:1">
      <c r="A5941" s="27"/>
    </row>
    <row r="5942" spans="1:1">
      <c r="A5942" s="27"/>
    </row>
    <row r="5943" spans="1:1">
      <c r="A5943" s="27"/>
    </row>
    <row r="5944" spans="1:1">
      <c r="A5944" s="27"/>
    </row>
    <row r="5945" spans="1:1">
      <c r="A5945" s="27"/>
    </row>
    <row r="5946" spans="1:1">
      <c r="A5946" s="27"/>
    </row>
    <row r="5947" spans="1:1">
      <c r="A5947" s="27"/>
    </row>
    <row r="5948" spans="1:1">
      <c r="A5948" s="27"/>
    </row>
    <row r="5949" spans="1:1">
      <c r="A5949" s="27"/>
    </row>
    <row r="5950" spans="1:1">
      <c r="A5950" s="27"/>
    </row>
    <row r="5951" spans="1:1">
      <c r="A5951" s="27"/>
    </row>
    <row r="5952" spans="1:1">
      <c r="A5952" s="27"/>
    </row>
    <row r="5953" spans="1:1">
      <c r="A5953" s="27"/>
    </row>
    <row r="5954" spans="1:1">
      <c r="A5954" s="27"/>
    </row>
    <row r="5955" spans="1:1">
      <c r="A5955" s="27"/>
    </row>
    <row r="5956" spans="1:1">
      <c r="A5956" s="27"/>
    </row>
    <row r="5957" spans="1:1">
      <c r="A5957" s="27"/>
    </row>
    <row r="5958" spans="1:1">
      <c r="A5958" s="27"/>
    </row>
    <row r="5959" spans="1:1">
      <c r="A5959" s="27"/>
    </row>
    <row r="5960" spans="1:1">
      <c r="A5960" s="27"/>
    </row>
    <row r="5961" spans="1:1">
      <c r="A5961" s="27"/>
    </row>
    <row r="5962" spans="1:1">
      <c r="A5962" s="27"/>
    </row>
    <row r="5963" spans="1:1">
      <c r="A5963" s="27"/>
    </row>
    <row r="5964" spans="1:1">
      <c r="A5964" s="27"/>
    </row>
    <row r="5965" spans="1:1">
      <c r="A5965" s="27"/>
    </row>
    <row r="5966" spans="1:1">
      <c r="A5966" s="27"/>
    </row>
    <row r="5967" spans="1:1">
      <c r="A5967" s="27"/>
    </row>
    <row r="5968" spans="1:1">
      <c r="A5968" s="27"/>
    </row>
    <row r="5969" spans="1:1">
      <c r="A5969" s="27"/>
    </row>
    <row r="5970" spans="1:1">
      <c r="A5970" s="27"/>
    </row>
    <row r="5971" spans="1:1">
      <c r="A5971" s="27"/>
    </row>
    <row r="5972" spans="1:1">
      <c r="A5972" s="27"/>
    </row>
    <row r="5973" spans="1:1">
      <c r="A5973" s="27"/>
    </row>
    <row r="5974" spans="1:1">
      <c r="A5974" s="27"/>
    </row>
    <row r="5975" spans="1:1">
      <c r="A5975" s="27"/>
    </row>
    <row r="5976" spans="1:1">
      <c r="A5976" s="27"/>
    </row>
    <row r="5977" spans="1:1">
      <c r="A5977" s="27"/>
    </row>
    <row r="5978" spans="1:1">
      <c r="A5978" s="27"/>
    </row>
    <row r="5979" spans="1:1">
      <c r="A5979" s="27"/>
    </row>
    <row r="5980" spans="1:1">
      <c r="A5980" s="27"/>
    </row>
    <row r="5981" spans="1:1">
      <c r="A5981" s="27"/>
    </row>
    <row r="5982" spans="1:1">
      <c r="A5982" s="27"/>
    </row>
    <row r="5983" spans="1:1">
      <c r="A5983" s="27"/>
    </row>
    <row r="5984" spans="1:1">
      <c r="A5984" s="27"/>
    </row>
    <row r="5985" spans="1:1">
      <c r="A5985" s="27"/>
    </row>
    <row r="5986" spans="1:1">
      <c r="A5986" s="27"/>
    </row>
    <row r="5987" spans="1:1">
      <c r="A5987" s="27"/>
    </row>
    <row r="5988" spans="1:1">
      <c r="A5988" s="27"/>
    </row>
    <row r="5989" spans="1:1">
      <c r="A5989" s="27"/>
    </row>
    <row r="5990" spans="1:1">
      <c r="A5990" s="27"/>
    </row>
    <row r="5991" spans="1:1">
      <c r="A5991" s="27"/>
    </row>
    <row r="5992" spans="1:1">
      <c r="A5992" s="27"/>
    </row>
    <row r="5993" spans="1:1">
      <c r="A5993" s="27"/>
    </row>
    <row r="5994" spans="1:1">
      <c r="A5994" s="27"/>
    </row>
    <row r="5995" spans="1:1">
      <c r="A5995" s="27"/>
    </row>
    <row r="5996" spans="1:1">
      <c r="A5996" s="27"/>
    </row>
    <row r="5997" spans="1:1">
      <c r="A5997" s="27"/>
    </row>
    <row r="5998" spans="1:1">
      <c r="A5998" s="27"/>
    </row>
    <row r="5999" spans="1:1">
      <c r="A5999" s="27"/>
    </row>
    <row r="6000" spans="1:1">
      <c r="A6000" s="27"/>
    </row>
    <row r="6001" spans="1:1">
      <c r="A6001" s="27"/>
    </row>
    <row r="6002" spans="1:1">
      <c r="A6002" s="27"/>
    </row>
    <row r="6003" spans="1:1">
      <c r="A6003" s="27"/>
    </row>
    <row r="6004" spans="1:1">
      <c r="A6004" s="27"/>
    </row>
    <row r="6005" spans="1:1">
      <c r="A6005" s="27"/>
    </row>
    <row r="6006" spans="1:1">
      <c r="A6006" s="27"/>
    </row>
    <row r="6007" spans="1:1">
      <c r="A6007" s="27"/>
    </row>
    <row r="6008" spans="1:1">
      <c r="A6008" s="27"/>
    </row>
    <row r="6009" spans="1:1">
      <c r="A6009" s="27"/>
    </row>
    <row r="6010" spans="1:1">
      <c r="A6010" s="27"/>
    </row>
    <row r="6011" spans="1:1">
      <c r="A6011" s="27"/>
    </row>
    <row r="6012" spans="1:1">
      <c r="A6012" s="27"/>
    </row>
    <row r="6013" spans="1:1">
      <c r="A6013" s="27"/>
    </row>
    <row r="6014" spans="1:1">
      <c r="A6014" s="27"/>
    </row>
    <row r="6015" spans="1:1">
      <c r="A6015" s="27"/>
    </row>
    <row r="6016" spans="1:1">
      <c r="A6016" s="27"/>
    </row>
    <row r="6017" spans="1:1">
      <c r="A6017" s="27"/>
    </row>
    <row r="6018" spans="1:1">
      <c r="A6018" s="27"/>
    </row>
    <row r="6019" spans="1:1">
      <c r="A6019" s="27"/>
    </row>
    <row r="6020" spans="1:1">
      <c r="A6020" s="27"/>
    </row>
    <row r="6021" spans="1:1">
      <c r="A6021" s="27"/>
    </row>
    <row r="6022" spans="1:1">
      <c r="A6022" s="27"/>
    </row>
    <row r="6023" spans="1:1">
      <c r="A6023" s="27"/>
    </row>
    <row r="6024" spans="1:1">
      <c r="A6024" s="27"/>
    </row>
    <row r="6025" spans="1:1">
      <c r="A6025" s="27"/>
    </row>
    <row r="6026" spans="1:1">
      <c r="A6026" s="27"/>
    </row>
    <row r="6027" spans="1:1">
      <c r="A6027" s="27"/>
    </row>
    <row r="6028" spans="1:1">
      <c r="A6028" s="27"/>
    </row>
    <row r="6029" spans="1:1">
      <c r="A6029" s="27"/>
    </row>
    <row r="6030" spans="1:1">
      <c r="A6030" s="27"/>
    </row>
    <row r="6031" spans="1:1">
      <c r="A6031" s="27"/>
    </row>
    <row r="6032" spans="1:1">
      <c r="A6032" s="27"/>
    </row>
    <row r="6033" spans="1:1">
      <c r="A6033" s="27"/>
    </row>
    <row r="6034" spans="1:1">
      <c r="A6034" s="27"/>
    </row>
    <row r="6035" spans="1:1">
      <c r="A6035" s="27"/>
    </row>
    <row r="6036" spans="1:1">
      <c r="A6036" s="27"/>
    </row>
    <row r="6037" spans="1:1">
      <c r="A6037" s="27"/>
    </row>
    <row r="6038" spans="1:1">
      <c r="A6038" s="27"/>
    </row>
    <row r="6039" spans="1:1">
      <c r="A6039" s="27"/>
    </row>
    <row r="6040" spans="1:1">
      <c r="A6040" s="27"/>
    </row>
    <row r="6041" spans="1:1">
      <c r="A6041" s="27"/>
    </row>
    <row r="6042" spans="1:1">
      <c r="A6042" s="27"/>
    </row>
    <row r="6043" spans="1:1">
      <c r="A6043" s="27"/>
    </row>
    <row r="6044" spans="1:1">
      <c r="A6044" s="27"/>
    </row>
    <row r="6045" spans="1:1">
      <c r="A6045" s="27"/>
    </row>
    <row r="6046" spans="1:1">
      <c r="A6046" s="27"/>
    </row>
    <row r="6047" spans="1:1">
      <c r="A6047" s="27"/>
    </row>
    <row r="6048" spans="1:1">
      <c r="A6048" s="27"/>
    </row>
    <row r="6049" spans="1:1">
      <c r="A6049" s="27"/>
    </row>
    <row r="6050" spans="1:1">
      <c r="A6050" s="27"/>
    </row>
    <row r="6051" spans="1:1">
      <c r="A6051" s="27"/>
    </row>
    <row r="6052" spans="1:1">
      <c r="A6052" s="27"/>
    </row>
    <row r="6053" spans="1:1">
      <c r="A6053" s="27"/>
    </row>
    <row r="6054" spans="1:1">
      <c r="A6054" s="27"/>
    </row>
    <row r="6055" spans="1:1">
      <c r="A6055" s="27"/>
    </row>
    <row r="6056" spans="1:1">
      <c r="A6056" s="27"/>
    </row>
    <row r="6057" spans="1:1">
      <c r="A6057" s="27"/>
    </row>
    <row r="6058" spans="1:1">
      <c r="A6058" s="27"/>
    </row>
    <row r="6059" spans="1:1">
      <c r="A6059" s="27"/>
    </row>
    <row r="6060" spans="1:1">
      <c r="A6060" s="27"/>
    </row>
    <row r="6061" spans="1:1">
      <c r="A6061" s="27"/>
    </row>
    <row r="6062" spans="1:1">
      <c r="A6062" s="27"/>
    </row>
    <row r="6063" spans="1:1">
      <c r="A6063" s="27"/>
    </row>
    <row r="6064" spans="1:1">
      <c r="A6064" s="27"/>
    </row>
    <row r="6065" spans="1:1">
      <c r="A6065" s="27"/>
    </row>
    <row r="6066" spans="1:1">
      <c r="A6066" s="27"/>
    </row>
    <row r="6067" spans="1:1">
      <c r="A6067" s="27"/>
    </row>
    <row r="6068" spans="1:1">
      <c r="A6068" s="27"/>
    </row>
    <row r="6069" spans="1:1">
      <c r="A6069" s="27"/>
    </row>
    <row r="6070" spans="1:1">
      <c r="A6070" s="27"/>
    </row>
    <row r="6071" spans="1:1">
      <c r="A6071" s="27"/>
    </row>
    <row r="6072" spans="1:1">
      <c r="A6072" s="27"/>
    </row>
    <row r="6073" spans="1:1">
      <c r="A6073" s="27"/>
    </row>
    <row r="6074" spans="1:1">
      <c r="A6074" s="27"/>
    </row>
    <row r="6075" spans="1:1">
      <c r="A6075" s="27"/>
    </row>
    <row r="6076" spans="1:1">
      <c r="A6076" s="27"/>
    </row>
    <row r="6077" spans="1:1">
      <c r="A6077" s="27"/>
    </row>
    <row r="6078" spans="1:1">
      <c r="A6078" s="27"/>
    </row>
    <row r="6079" spans="1:1">
      <c r="A6079" s="27"/>
    </row>
    <row r="6080" spans="1:1">
      <c r="A6080" s="27"/>
    </row>
    <row r="6081" spans="1:1">
      <c r="A6081" s="27"/>
    </row>
    <row r="6082" spans="1:1">
      <c r="A6082" s="27"/>
    </row>
    <row r="6083" spans="1:1">
      <c r="A6083" s="27"/>
    </row>
    <row r="6084" spans="1:1">
      <c r="A6084" s="27"/>
    </row>
    <row r="6085" spans="1:1">
      <c r="A6085" s="27"/>
    </row>
    <row r="6086" spans="1:1">
      <c r="A6086" s="27"/>
    </row>
    <row r="6087" spans="1:1">
      <c r="A6087" s="27"/>
    </row>
    <row r="6088" spans="1:1">
      <c r="A6088" s="27"/>
    </row>
    <row r="6089" spans="1:1">
      <c r="A6089" s="27"/>
    </row>
    <row r="6090" spans="1:1">
      <c r="A6090" s="27"/>
    </row>
    <row r="6091" spans="1:1">
      <c r="A6091" s="27"/>
    </row>
    <row r="6092" spans="1:1">
      <c r="A6092" s="27"/>
    </row>
    <row r="6093" spans="1:1">
      <c r="A6093" s="27"/>
    </row>
    <row r="6094" spans="1:1">
      <c r="A6094" s="27"/>
    </row>
    <row r="6095" spans="1:1">
      <c r="A6095" s="27"/>
    </row>
    <row r="6096" spans="1:1">
      <c r="A6096" s="27"/>
    </row>
    <row r="6097" spans="1:1">
      <c r="A6097" s="27"/>
    </row>
    <row r="6098" spans="1:1">
      <c r="A6098" s="27"/>
    </row>
    <row r="6099" spans="1:1">
      <c r="A6099" s="27"/>
    </row>
    <row r="6100" spans="1:1">
      <c r="A6100" s="27"/>
    </row>
    <row r="6101" spans="1:1">
      <c r="A6101" s="27"/>
    </row>
    <row r="6102" spans="1:1">
      <c r="A6102" s="27"/>
    </row>
    <row r="6103" spans="1:1">
      <c r="A6103" s="27"/>
    </row>
    <row r="6104" spans="1:1">
      <c r="A6104" s="27"/>
    </row>
    <row r="6105" spans="1:1">
      <c r="A6105" s="27"/>
    </row>
    <row r="6106" spans="1:1">
      <c r="A6106" s="27"/>
    </row>
    <row r="6107" spans="1:1">
      <c r="A6107" s="27"/>
    </row>
    <row r="6108" spans="1:1">
      <c r="A6108" s="27"/>
    </row>
    <row r="6109" spans="1:1">
      <c r="A6109" s="27"/>
    </row>
    <row r="6110" spans="1:1">
      <c r="A6110" s="27"/>
    </row>
    <row r="6111" spans="1:1">
      <c r="A6111" s="27"/>
    </row>
    <row r="6112" spans="1:1">
      <c r="A6112" s="27"/>
    </row>
    <row r="6113" spans="1:1">
      <c r="A6113" s="27"/>
    </row>
    <row r="6114" spans="1:1">
      <c r="A6114" s="27"/>
    </row>
    <row r="6115" spans="1:1">
      <c r="A6115" s="27"/>
    </row>
    <row r="6116" spans="1:1">
      <c r="A6116" s="27"/>
    </row>
    <row r="6117" spans="1:1">
      <c r="A6117" s="27"/>
    </row>
    <row r="6118" spans="1:1">
      <c r="A6118" s="27"/>
    </row>
    <row r="6119" spans="1:1">
      <c r="A6119" s="27"/>
    </row>
    <row r="6120" spans="1:1">
      <c r="A6120" s="27"/>
    </row>
    <row r="6121" spans="1:1">
      <c r="A6121" s="27"/>
    </row>
    <row r="6122" spans="1:1">
      <c r="A6122" s="27"/>
    </row>
    <row r="6123" spans="1:1">
      <c r="A6123" s="27"/>
    </row>
    <row r="6124" spans="1:1">
      <c r="A6124" s="27"/>
    </row>
    <row r="6125" spans="1:1">
      <c r="A6125" s="27"/>
    </row>
    <row r="6126" spans="1:1">
      <c r="A6126" s="27"/>
    </row>
    <row r="6127" spans="1:1">
      <c r="A6127" s="27"/>
    </row>
    <row r="6128" spans="1:1">
      <c r="A6128" s="27"/>
    </row>
    <row r="6129" spans="1:1">
      <c r="A6129" s="27"/>
    </row>
    <row r="6130" spans="1:1">
      <c r="A6130" s="27"/>
    </row>
    <row r="6131" spans="1:1">
      <c r="A6131" s="27"/>
    </row>
    <row r="6132" spans="1:1">
      <c r="A6132" s="27"/>
    </row>
    <row r="6133" spans="1:1">
      <c r="A6133" s="27"/>
    </row>
    <row r="6134" spans="1:1">
      <c r="A6134" s="27"/>
    </row>
    <row r="6135" spans="1:1">
      <c r="A6135" s="27"/>
    </row>
    <row r="6136" spans="1:1">
      <c r="A6136" s="27"/>
    </row>
    <row r="6137" spans="1:1">
      <c r="A6137" s="27"/>
    </row>
    <row r="6138" spans="1:1">
      <c r="A6138" s="27"/>
    </row>
    <row r="6139" spans="1:1">
      <c r="A6139" s="27"/>
    </row>
    <row r="6140" spans="1:1">
      <c r="A6140" s="27"/>
    </row>
    <row r="6141" spans="1:1">
      <c r="A6141" s="27"/>
    </row>
    <row r="6142" spans="1:1">
      <c r="A6142" s="27"/>
    </row>
    <row r="6143" spans="1:1">
      <c r="A6143" s="27"/>
    </row>
    <row r="6144" spans="1:1">
      <c r="A6144" s="27"/>
    </row>
    <row r="6145" spans="1:1">
      <c r="A6145" s="27"/>
    </row>
    <row r="6146" spans="1:1">
      <c r="A6146" s="27"/>
    </row>
    <row r="6147" spans="1:1">
      <c r="A6147" s="27"/>
    </row>
    <row r="6148" spans="1:1">
      <c r="A6148" s="27"/>
    </row>
    <row r="6149" spans="1:1">
      <c r="A6149" s="27"/>
    </row>
    <row r="6150" spans="1:1">
      <c r="A6150" s="27"/>
    </row>
    <row r="6151" spans="1:1">
      <c r="A6151" s="27"/>
    </row>
    <row r="6152" spans="1:1">
      <c r="A6152" s="27"/>
    </row>
    <row r="6153" spans="1:1">
      <c r="A6153" s="27"/>
    </row>
    <row r="6154" spans="1:1">
      <c r="A6154" s="27"/>
    </row>
    <row r="6155" spans="1:1">
      <c r="A6155" s="27"/>
    </row>
    <row r="6156" spans="1:1">
      <c r="A6156" s="27"/>
    </row>
    <row r="6157" spans="1:1">
      <c r="A6157" s="27"/>
    </row>
    <row r="6158" spans="1:1">
      <c r="A6158" s="27"/>
    </row>
    <row r="6159" spans="1:1">
      <c r="A6159" s="27"/>
    </row>
    <row r="6160" spans="1:1">
      <c r="A6160" s="27"/>
    </row>
    <row r="6161" spans="1:1">
      <c r="A6161" s="27"/>
    </row>
    <row r="6162" spans="1:1">
      <c r="A6162" s="27"/>
    </row>
    <row r="6163" spans="1:1">
      <c r="A6163" s="27"/>
    </row>
    <row r="6164" spans="1:1">
      <c r="A6164" s="27"/>
    </row>
    <row r="6165" spans="1:1">
      <c r="A6165" s="27"/>
    </row>
    <row r="6166" spans="1:1">
      <c r="A6166" s="27"/>
    </row>
    <row r="6167" spans="1:1">
      <c r="A6167" s="27"/>
    </row>
    <row r="6168" spans="1:1">
      <c r="A6168" s="27"/>
    </row>
    <row r="6169" spans="1:1">
      <c r="A6169" s="27"/>
    </row>
    <row r="6170" spans="1:1">
      <c r="A6170" s="27"/>
    </row>
    <row r="6171" spans="1:1">
      <c r="A6171" s="27"/>
    </row>
    <row r="6172" spans="1:1">
      <c r="A6172" s="27"/>
    </row>
    <row r="6173" spans="1:1">
      <c r="A6173" s="27"/>
    </row>
    <row r="6174" spans="1:1">
      <c r="A6174" s="27"/>
    </row>
    <row r="6175" spans="1:1">
      <c r="A6175" s="27"/>
    </row>
    <row r="6176" spans="1:1">
      <c r="A6176" s="27"/>
    </row>
    <row r="6177" spans="1:1">
      <c r="A6177" s="27"/>
    </row>
    <row r="6178" spans="1:1">
      <c r="A6178" s="27"/>
    </row>
    <row r="6179" spans="1:1">
      <c r="A6179" s="27"/>
    </row>
    <row r="6180" spans="1:1">
      <c r="A6180" s="27"/>
    </row>
    <row r="6181" spans="1:1">
      <c r="A6181" s="27"/>
    </row>
    <row r="6182" spans="1:1">
      <c r="A6182" s="27"/>
    </row>
    <row r="6183" spans="1:1">
      <c r="A6183" s="27"/>
    </row>
    <row r="6184" spans="1:1">
      <c r="A6184" s="27"/>
    </row>
    <row r="6185" spans="1:1">
      <c r="A6185" s="27"/>
    </row>
    <row r="6186" spans="1:1">
      <c r="A6186" s="27"/>
    </row>
    <row r="6187" spans="1:1">
      <c r="A6187" s="27"/>
    </row>
    <row r="6188" spans="1:1">
      <c r="A6188" s="27"/>
    </row>
    <row r="6189" spans="1:1">
      <c r="A6189" s="27"/>
    </row>
    <row r="6190" spans="1:1">
      <c r="A6190" s="27"/>
    </row>
    <row r="6191" spans="1:1">
      <c r="A6191" s="27"/>
    </row>
    <row r="6192" spans="1:1">
      <c r="A6192" s="27"/>
    </row>
    <row r="6193" spans="1:1">
      <c r="A6193" s="27"/>
    </row>
    <row r="6194" spans="1:1">
      <c r="A6194" s="27"/>
    </row>
    <row r="6195" spans="1:1">
      <c r="A6195" s="27"/>
    </row>
    <row r="6196" spans="1:1">
      <c r="A6196" s="27"/>
    </row>
    <row r="6197" spans="1:1">
      <c r="A6197" s="27"/>
    </row>
    <row r="6198" spans="1:1">
      <c r="A6198" s="27"/>
    </row>
    <row r="6199" spans="1:1">
      <c r="A6199" s="27"/>
    </row>
    <row r="6200" spans="1:1">
      <c r="A6200" s="27"/>
    </row>
    <row r="6201" spans="1:1">
      <c r="A6201" s="27"/>
    </row>
    <row r="6202" spans="1:1">
      <c r="A6202" s="27"/>
    </row>
    <row r="6203" spans="1:1">
      <c r="A6203" s="27"/>
    </row>
    <row r="6204" spans="1:1">
      <c r="A6204" s="27"/>
    </row>
    <row r="6205" spans="1:1">
      <c r="A6205" s="27"/>
    </row>
    <row r="6206" spans="1:1">
      <c r="A6206" s="27"/>
    </row>
    <row r="6207" spans="1:1">
      <c r="A6207" s="27"/>
    </row>
    <row r="6208" spans="1:1">
      <c r="A6208" s="27"/>
    </row>
    <row r="6209" spans="1:1">
      <c r="A6209" s="27"/>
    </row>
    <row r="6210" spans="1:1">
      <c r="A6210" s="27"/>
    </row>
    <row r="6211" spans="1:1">
      <c r="A6211" s="27"/>
    </row>
    <row r="6212" spans="1:1">
      <c r="A6212" s="27"/>
    </row>
    <row r="6213" spans="1:1">
      <c r="A6213" s="27"/>
    </row>
    <row r="6214" spans="1:1">
      <c r="A6214" s="27"/>
    </row>
    <row r="6215" spans="1:1">
      <c r="A6215" s="27"/>
    </row>
    <row r="6216" spans="1:1">
      <c r="A6216" s="27"/>
    </row>
    <row r="6217" spans="1:1">
      <c r="A6217" s="27"/>
    </row>
    <row r="6218" spans="1:1">
      <c r="A6218" s="27"/>
    </row>
    <row r="6219" spans="1:1">
      <c r="A6219" s="27"/>
    </row>
    <row r="6220" spans="1:1">
      <c r="A6220" s="27"/>
    </row>
    <row r="6221" spans="1:1">
      <c r="A6221" s="27"/>
    </row>
    <row r="6222" spans="1:1">
      <c r="A6222" s="27"/>
    </row>
    <row r="6223" spans="1:1">
      <c r="A6223" s="27"/>
    </row>
    <row r="6224" spans="1:1">
      <c r="A6224" s="27"/>
    </row>
    <row r="6225" spans="1:1">
      <c r="A6225" s="27"/>
    </row>
    <row r="6226" spans="1:1">
      <c r="A6226" s="27"/>
    </row>
    <row r="6227" spans="1:1">
      <c r="A6227" s="27"/>
    </row>
    <row r="6228" spans="1:1">
      <c r="A6228" s="27"/>
    </row>
    <row r="6229" spans="1:1">
      <c r="A6229" s="27"/>
    </row>
    <row r="6230" spans="1:1">
      <c r="A6230" s="27"/>
    </row>
    <row r="6231" spans="1:1">
      <c r="A6231" s="27"/>
    </row>
    <row r="6232" spans="1:1">
      <c r="A6232" s="27"/>
    </row>
    <row r="6233" spans="1:1">
      <c r="A6233" s="27"/>
    </row>
    <row r="6234" spans="1:1">
      <c r="A6234" s="27"/>
    </row>
    <row r="6235" spans="1:1">
      <c r="A6235" s="27"/>
    </row>
    <row r="6236" spans="1:1">
      <c r="A6236" s="27"/>
    </row>
    <row r="6237" spans="1:1">
      <c r="A6237" s="27"/>
    </row>
    <row r="6238" spans="1:1">
      <c r="A6238" s="27"/>
    </row>
    <row r="6239" spans="1:1">
      <c r="A6239" s="27"/>
    </row>
    <row r="6240" spans="1:1">
      <c r="A6240" s="27"/>
    </row>
    <row r="6241" spans="1:1">
      <c r="A6241" s="27"/>
    </row>
    <row r="6242" spans="1:1">
      <c r="A6242" s="27"/>
    </row>
    <row r="6243" spans="1:1">
      <c r="A6243" s="27"/>
    </row>
    <row r="6244" spans="1:1">
      <c r="A6244" s="27"/>
    </row>
    <row r="6245" spans="1:1">
      <c r="A6245" s="27"/>
    </row>
    <row r="6246" spans="1:1">
      <c r="A6246" s="27"/>
    </row>
    <row r="6247" spans="1:1">
      <c r="A6247" s="27"/>
    </row>
    <row r="6248" spans="1:1">
      <c r="A6248" s="27"/>
    </row>
    <row r="6249" spans="1:1">
      <c r="A6249" s="27"/>
    </row>
    <row r="6250" spans="1:1">
      <c r="A6250" s="27"/>
    </row>
    <row r="6251" spans="1:1">
      <c r="A6251" s="27"/>
    </row>
    <row r="6252" spans="1:1">
      <c r="A6252" s="27"/>
    </row>
    <row r="6253" spans="1:1">
      <c r="A6253" s="27"/>
    </row>
    <row r="6254" spans="1:1">
      <c r="A6254" s="27"/>
    </row>
    <row r="6255" spans="1:1">
      <c r="A6255" s="27"/>
    </row>
    <row r="6256" spans="1:1">
      <c r="A6256" s="27"/>
    </row>
    <row r="6257" spans="1:1">
      <c r="A6257" s="27"/>
    </row>
    <row r="6258" spans="1:1">
      <c r="A6258" s="27"/>
    </row>
    <row r="6259" spans="1:1">
      <c r="A6259" s="27"/>
    </row>
    <row r="6260" spans="1:1">
      <c r="A6260" s="27"/>
    </row>
    <row r="6261" spans="1:1">
      <c r="A6261" s="27"/>
    </row>
    <row r="6262" spans="1:1">
      <c r="A6262" s="27"/>
    </row>
    <row r="6263" spans="1:1">
      <c r="A6263" s="27"/>
    </row>
    <row r="6264" spans="1:1">
      <c r="A6264" s="27"/>
    </row>
    <row r="6265" spans="1:1">
      <c r="A6265" s="27"/>
    </row>
    <row r="6266" spans="1:1">
      <c r="A6266" s="27"/>
    </row>
    <row r="6267" spans="1:1">
      <c r="A6267" s="27"/>
    </row>
    <row r="6268" spans="1:1">
      <c r="A6268" s="27"/>
    </row>
    <row r="6269" spans="1:1">
      <c r="A6269" s="27"/>
    </row>
    <row r="6270" spans="1:1">
      <c r="A6270" s="27"/>
    </row>
    <row r="6271" spans="1:1">
      <c r="A6271" s="27"/>
    </row>
    <row r="6272" spans="1:1">
      <c r="A6272" s="27"/>
    </row>
    <row r="6273" spans="1:1">
      <c r="A6273" s="27"/>
    </row>
    <row r="6274" spans="1:1">
      <c r="A6274" s="27"/>
    </row>
    <row r="6275" spans="1:1">
      <c r="A6275" s="27"/>
    </row>
    <row r="6276" spans="1:1">
      <c r="A6276" s="27"/>
    </row>
    <row r="6277" spans="1:1">
      <c r="A6277" s="27"/>
    </row>
    <row r="6278" spans="1:1">
      <c r="A6278" s="27"/>
    </row>
    <row r="6279" spans="1:1">
      <c r="A6279" s="27"/>
    </row>
    <row r="6280" spans="1:1">
      <c r="A6280" s="27"/>
    </row>
    <row r="6281" spans="1:1">
      <c r="A6281" s="27"/>
    </row>
    <row r="6282" spans="1:1">
      <c r="A6282" s="27"/>
    </row>
    <row r="6283" spans="1:1">
      <c r="A6283" s="27"/>
    </row>
    <row r="6284" spans="1:1">
      <c r="A6284" s="27"/>
    </row>
    <row r="6285" spans="1:1">
      <c r="A6285" s="27"/>
    </row>
    <row r="6286" spans="1:1">
      <c r="A6286" s="27"/>
    </row>
    <row r="6287" spans="1:1">
      <c r="A6287" s="27"/>
    </row>
    <row r="6288" spans="1:1">
      <c r="A6288" s="27"/>
    </row>
    <row r="6289" spans="1:1">
      <c r="A6289" s="27"/>
    </row>
    <row r="6290" spans="1:1">
      <c r="A6290" s="27"/>
    </row>
    <row r="6291" spans="1:1">
      <c r="A6291" s="27"/>
    </row>
    <row r="6292" spans="1:1">
      <c r="A6292" s="27"/>
    </row>
    <row r="6293" spans="1:1">
      <c r="A6293" s="27"/>
    </row>
    <row r="6294" spans="1:1">
      <c r="A6294" s="27"/>
    </row>
    <row r="6295" spans="1:1">
      <c r="A6295" s="27"/>
    </row>
    <row r="6296" spans="1:1">
      <c r="A6296" s="27"/>
    </row>
    <row r="6297" spans="1:1">
      <c r="A6297" s="27"/>
    </row>
    <row r="6298" spans="1:1">
      <c r="A6298" s="27"/>
    </row>
    <row r="6299" spans="1:1">
      <c r="A6299" s="27"/>
    </row>
    <row r="6300" spans="1:1">
      <c r="A6300" s="27"/>
    </row>
    <row r="6301" spans="1:1">
      <c r="A6301" s="27"/>
    </row>
    <row r="6302" spans="1:1">
      <c r="A6302" s="27"/>
    </row>
    <row r="6303" spans="1:1">
      <c r="A6303" s="27"/>
    </row>
    <row r="6304" spans="1:1">
      <c r="A6304" s="27"/>
    </row>
    <row r="6305" spans="1:1">
      <c r="A6305" s="27"/>
    </row>
    <row r="6306" spans="1:1">
      <c r="A6306" s="27"/>
    </row>
    <row r="6307" spans="1:1">
      <c r="A6307" s="27"/>
    </row>
    <row r="6308" spans="1:1">
      <c r="A6308" s="27"/>
    </row>
    <row r="6309" spans="1:1">
      <c r="A6309" s="27"/>
    </row>
    <row r="6310" spans="1:1">
      <c r="A6310" s="27"/>
    </row>
    <row r="6311" spans="1:1">
      <c r="A6311" s="27"/>
    </row>
    <row r="6312" spans="1:1">
      <c r="A6312" s="27"/>
    </row>
    <row r="6313" spans="1:1">
      <c r="A6313" s="27"/>
    </row>
    <row r="6314" spans="1:1">
      <c r="A6314" s="27"/>
    </row>
    <row r="6315" spans="1:1">
      <c r="A6315" s="27"/>
    </row>
    <row r="6316" spans="1:1">
      <c r="A6316" s="27"/>
    </row>
    <row r="6317" spans="1:1">
      <c r="A6317" s="27"/>
    </row>
    <row r="6318" spans="1:1">
      <c r="A6318" s="27"/>
    </row>
    <row r="6319" spans="1:1">
      <c r="A6319" s="27"/>
    </row>
    <row r="6320" spans="1:1">
      <c r="A6320" s="27"/>
    </row>
    <row r="6321" spans="1:1">
      <c r="A6321" s="27"/>
    </row>
    <row r="6322" spans="1:1">
      <c r="A6322" s="27"/>
    </row>
    <row r="6323" spans="1:1">
      <c r="A6323" s="27"/>
    </row>
    <row r="6324" spans="1:1">
      <c r="A6324" s="27"/>
    </row>
    <row r="6325" spans="1:1">
      <c r="A6325" s="27"/>
    </row>
    <row r="6326" spans="1:1">
      <c r="A6326" s="27"/>
    </row>
    <row r="6327" spans="1:1">
      <c r="A6327" s="27"/>
    </row>
    <row r="6328" spans="1:1">
      <c r="A6328" s="27"/>
    </row>
    <row r="6329" spans="1:1">
      <c r="A6329" s="27"/>
    </row>
    <row r="6330" spans="1:1">
      <c r="A6330" s="27"/>
    </row>
    <row r="6331" spans="1:1">
      <c r="A6331" s="27"/>
    </row>
    <row r="6332" spans="1:1">
      <c r="A6332" s="27"/>
    </row>
    <row r="6333" spans="1:1">
      <c r="A6333" s="27"/>
    </row>
    <row r="6334" spans="1:1">
      <c r="A6334" s="27"/>
    </row>
    <row r="6335" spans="1:1">
      <c r="A6335" s="27"/>
    </row>
    <row r="6336" spans="1:1">
      <c r="A6336" s="27"/>
    </row>
    <row r="6337" spans="1:1">
      <c r="A6337" s="27"/>
    </row>
    <row r="6338" spans="1:1">
      <c r="A6338" s="27"/>
    </row>
    <row r="6339" spans="1:1">
      <c r="A6339" s="27"/>
    </row>
    <row r="6340" spans="1:1">
      <c r="A6340" s="27"/>
    </row>
    <row r="6341" spans="1:1">
      <c r="A6341" s="27"/>
    </row>
    <row r="6342" spans="1:1">
      <c r="A6342" s="27"/>
    </row>
    <row r="6343" spans="1:1">
      <c r="A6343" s="27"/>
    </row>
    <row r="6344" spans="1:1">
      <c r="A6344" s="27"/>
    </row>
    <row r="6345" spans="1:1">
      <c r="A6345" s="27"/>
    </row>
    <row r="6346" spans="1:1">
      <c r="A6346" s="27"/>
    </row>
    <row r="6347" spans="1:1">
      <c r="A6347" s="27"/>
    </row>
    <row r="6348" spans="1:1">
      <c r="A6348" s="27"/>
    </row>
    <row r="6349" spans="1:1">
      <c r="A6349" s="27"/>
    </row>
    <row r="6350" spans="1:1">
      <c r="A6350" s="27"/>
    </row>
    <row r="6351" spans="1:1">
      <c r="A6351" s="27"/>
    </row>
    <row r="6352" spans="1:1">
      <c r="A6352" s="27"/>
    </row>
    <row r="6353" spans="1:1">
      <c r="A6353" s="27"/>
    </row>
    <row r="6354" spans="1:1">
      <c r="A6354" s="27"/>
    </row>
    <row r="6355" spans="1:1">
      <c r="A6355" s="27"/>
    </row>
    <row r="6356" spans="1:1">
      <c r="A6356" s="27"/>
    </row>
    <row r="6357" spans="1:1">
      <c r="A6357" s="27"/>
    </row>
    <row r="6358" spans="1:1">
      <c r="A6358" s="27"/>
    </row>
    <row r="6359" spans="1:1">
      <c r="A6359" s="27"/>
    </row>
    <row r="6360" spans="1:1">
      <c r="A6360" s="27"/>
    </row>
    <row r="6361" spans="1:1">
      <c r="A6361" s="27"/>
    </row>
    <row r="6362" spans="1:1">
      <c r="A6362" s="27"/>
    </row>
    <row r="6363" spans="1:1">
      <c r="A6363" s="27"/>
    </row>
    <row r="6364" spans="1:1">
      <c r="A6364" s="27"/>
    </row>
    <row r="6365" spans="1:1">
      <c r="A6365" s="27"/>
    </row>
    <row r="6366" spans="1:1">
      <c r="A6366" s="27"/>
    </row>
    <row r="6367" spans="1:1">
      <c r="A6367" s="27"/>
    </row>
    <row r="6368" spans="1:1">
      <c r="A6368" s="27"/>
    </row>
    <row r="6369" spans="1:1">
      <c r="A6369" s="27"/>
    </row>
    <row r="6370" spans="1:1">
      <c r="A6370" s="27"/>
    </row>
    <row r="6371" spans="1:1">
      <c r="A6371" s="27"/>
    </row>
    <row r="6372" spans="1:1">
      <c r="A6372" s="27"/>
    </row>
    <row r="6373" spans="1:1">
      <c r="A6373" s="27"/>
    </row>
    <row r="6374" spans="1:1">
      <c r="A6374" s="27"/>
    </row>
    <row r="6375" spans="1:1">
      <c r="A6375" s="27"/>
    </row>
    <row r="6376" spans="1:1">
      <c r="A6376" s="27"/>
    </row>
    <row r="6377" spans="1:1">
      <c r="A6377" s="27"/>
    </row>
    <row r="6378" spans="1:1">
      <c r="A6378" s="27"/>
    </row>
    <row r="6379" spans="1:1">
      <c r="A6379" s="27"/>
    </row>
    <row r="6380" spans="1:1">
      <c r="A6380" s="27"/>
    </row>
    <row r="6381" spans="1:1">
      <c r="A6381" s="27"/>
    </row>
    <row r="6382" spans="1:1">
      <c r="A6382" s="27"/>
    </row>
    <row r="6383" spans="1:1">
      <c r="A6383" s="27"/>
    </row>
    <row r="6384" spans="1:1">
      <c r="A6384" s="27"/>
    </row>
    <row r="6385" spans="1:1">
      <c r="A6385" s="27"/>
    </row>
    <row r="6386" spans="1:1">
      <c r="A6386" s="27"/>
    </row>
    <row r="6387" spans="1:1">
      <c r="A6387" s="27"/>
    </row>
    <row r="6388" spans="1:1">
      <c r="A6388" s="27"/>
    </row>
    <row r="6389" spans="1:1">
      <c r="A6389" s="27"/>
    </row>
    <row r="6390" spans="1:1">
      <c r="A6390" s="27"/>
    </row>
    <row r="6391" spans="1:1">
      <c r="A6391" s="27"/>
    </row>
    <row r="6392" spans="1:1">
      <c r="A6392" s="27"/>
    </row>
    <row r="6393" spans="1:1">
      <c r="A6393" s="27"/>
    </row>
    <row r="6394" spans="1:1">
      <c r="A6394" s="27"/>
    </row>
    <row r="6395" spans="1:1">
      <c r="A6395" s="27"/>
    </row>
    <row r="6396" spans="1:1">
      <c r="A6396" s="27"/>
    </row>
    <row r="6397" spans="1:1">
      <c r="A6397" s="27"/>
    </row>
    <row r="6398" spans="1:1">
      <c r="A6398" s="27"/>
    </row>
    <row r="6399" spans="1:1">
      <c r="A6399" s="27"/>
    </row>
    <row r="6400" spans="1:1">
      <c r="A6400" s="27"/>
    </row>
    <row r="6401" spans="1:1">
      <c r="A6401" s="27"/>
    </row>
    <row r="6402" spans="1:1">
      <c r="A6402" s="27"/>
    </row>
    <row r="6403" spans="1:1">
      <c r="A6403" s="27"/>
    </row>
    <row r="6404" spans="1:1">
      <c r="A6404" s="27"/>
    </row>
    <row r="6405" spans="1:1">
      <c r="A6405" s="27"/>
    </row>
    <row r="6406" spans="1:1">
      <c r="A6406" s="27"/>
    </row>
    <row r="6407" spans="1:1">
      <c r="A6407" s="27"/>
    </row>
    <row r="6408" spans="1:1">
      <c r="A6408" s="27"/>
    </row>
    <row r="6409" spans="1:1">
      <c r="A6409" s="27"/>
    </row>
    <row r="6410" spans="1:1">
      <c r="A6410" s="27"/>
    </row>
    <row r="6411" spans="1:1">
      <c r="A6411" s="27"/>
    </row>
    <row r="6412" spans="1:1">
      <c r="A6412" s="27"/>
    </row>
    <row r="6413" spans="1:1">
      <c r="A6413" s="27"/>
    </row>
    <row r="6414" spans="1:1">
      <c r="A6414" s="27"/>
    </row>
    <row r="6415" spans="1:1">
      <c r="A6415" s="27"/>
    </row>
    <row r="6416" spans="1:1">
      <c r="A6416" s="27"/>
    </row>
    <row r="6417" spans="1:1">
      <c r="A6417" s="27"/>
    </row>
    <row r="6418" spans="1:1">
      <c r="A6418" s="27"/>
    </row>
    <row r="6419" spans="1:1">
      <c r="A6419" s="27"/>
    </row>
    <row r="6420" spans="1:1">
      <c r="A6420" s="27"/>
    </row>
    <row r="6421" spans="1:1">
      <c r="A6421" s="27"/>
    </row>
    <row r="6422" spans="1:1">
      <c r="A6422" s="27"/>
    </row>
    <row r="6423" spans="1:1">
      <c r="A6423" s="27"/>
    </row>
    <row r="6424" spans="1:1">
      <c r="A6424" s="27"/>
    </row>
    <row r="6425" spans="1:1">
      <c r="A6425" s="27"/>
    </row>
    <row r="6426" spans="1:1">
      <c r="A6426" s="27"/>
    </row>
    <row r="6427" spans="1:1">
      <c r="A6427" s="27"/>
    </row>
    <row r="6428" spans="1:1">
      <c r="A6428" s="27"/>
    </row>
    <row r="6429" spans="1:1">
      <c r="A6429" s="27"/>
    </row>
    <row r="6430" spans="1:1">
      <c r="A6430" s="27"/>
    </row>
    <row r="6431" spans="1:1">
      <c r="A6431" s="27"/>
    </row>
    <row r="6432" spans="1:1">
      <c r="A6432" s="27"/>
    </row>
    <row r="6433" spans="1:1">
      <c r="A6433" s="27"/>
    </row>
    <row r="6434" spans="1:1">
      <c r="A6434" s="27"/>
    </row>
    <row r="6435" spans="1:1">
      <c r="A6435" s="27"/>
    </row>
    <row r="6436" spans="1:1">
      <c r="A6436" s="27"/>
    </row>
    <row r="6437" spans="1:1">
      <c r="A6437" s="27"/>
    </row>
    <row r="6438" spans="1:1">
      <c r="A6438" s="27"/>
    </row>
    <row r="6439" spans="1:1">
      <c r="A6439" s="27"/>
    </row>
    <row r="6440" spans="1:1">
      <c r="A6440" s="27"/>
    </row>
    <row r="6441" spans="1:1">
      <c r="A6441" s="27"/>
    </row>
    <row r="6442" spans="1:1">
      <c r="A6442" s="27"/>
    </row>
    <row r="6443" spans="1:1">
      <c r="A6443" s="27"/>
    </row>
    <row r="6444" spans="1:1">
      <c r="A6444" s="27"/>
    </row>
    <row r="6445" spans="1:1">
      <c r="A6445" s="27"/>
    </row>
    <row r="6446" spans="1:1">
      <c r="A6446" s="27"/>
    </row>
    <row r="6447" spans="1:1">
      <c r="A6447" s="27"/>
    </row>
    <row r="6448" spans="1:1">
      <c r="A6448" s="27"/>
    </row>
    <row r="6449" spans="1:1">
      <c r="A6449" s="27"/>
    </row>
    <row r="6450" spans="1:1">
      <c r="A6450" s="27"/>
    </row>
    <row r="6451" spans="1:1">
      <c r="A6451" s="27"/>
    </row>
    <row r="6452" spans="1:1">
      <c r="A6452" s="27"/>
    </row>
    <row r="6453" spans="1:1">
      <c r="A6453" s="27"/>
    </row>
    <row r="6454" spans="1:1">
      <c r="A6454" s="27"/>
    </row>
    <row r="6455" spans="1:1">
      <c r="A6455" s="27"/>
    </row>
    <row r="6456" spans="1:1">
      <c r="A6456" s="27"/>
    </row>
    <row r="6457" spans="1:1">
      <c r="A6457" s="27"/>
    </row>
    <row r="6458" spans="1:1">
      <c r="A6458" s="27"/>
    </row>
    <row r="6459" spans="1:1">
      <c r="A6459" s="27"/>
    </row>
    <row r="6460" spans="1:1">
      <c r="A6460" s="27"/>
    </row>
    <row r="6461" spans="1:1">
      <c r="A6461" s="27"/>
    </row>
    <row r="6462" spans="1:1">
      <c r="A6462" s="27"/>
    </row>
    <row r="6463" spans="1:1">
      <c r="A6463" s="27"/>
    </row>
    <row r="6464" spans="1:1">
      <c r="A6464" s="27"/>
    </row>
    <row r="6465" spans="1:1">
      <c r="A6465" s="27"/>
    </row>
    <row r="6466" spans="1:1">
      <c r="A6466" s="27"/>
    </row>
    <row r="6467" spans="1:1">
      <c r="A6467" s="27"/>
    </row>
    <row r="6468" spans="1:1">
      <c r="A6468" s="27"/>
    </row>
    <row r="6469" spans="1:1">
      <c r="A6469" s="27"/>
    </row>
    <row r="6470" spans="1:1">
      <c r="A6470" s="27"/>
    </row>
    <row r="6471" spans="1:1">
      <c r="A6471" s="27"/>
    </row>
    <row r="6472" spans="1:1">
      <c r="A6472" s="27"/>
    </row>
    <row r="6473" spans="1:1">
      <c r="A6473" s="27"/>
    </row>
    <row r="6474" spans="1:1">
      <c r="A6474" s="27"/>
    </row>
    <row r="6475" spans="1:1">
      <c r="A6475" s="27"/>
    </row>
    <row r="6476" spans="1:1">
      <c r="A6476" s="27"/>
    </row>
    <row r="6477" spans="1:1">
      <c r="A6477" s="27"/>
    </row>
    <row r="6478" spans="1:1">
      <c r="A6478" s="27"/>
    </row>
    <row r="6479" spans="1:1">
      <c r="A6479" s="27"/>
    </row>
    <row r="6480" spans="1:1">
      <c r="A6480" s="27"/>
    </row>
    <row r="6481" spans="1:1">
      <c r="A6481" s="27"/>
    </row>
    <row r="6482" spans="1:1">
      <c r="A6482" s="27"/>
    </row>
    <row r="6483" spans="1:1">
      <c r="A6483" s="27"/>
    </row>
    <row r="6484" spans="1:1">
      <c r="A6484" s="27"/>
    </row>
    <row r="6485" spans="1:1">
      <c r="A6485" s="27"/>
    </row>
    <row r="6486" spans="1:1">
      <c r="A6486" s="27"/>
    </row>
    <row r="6487" spans="1:1">
      <c r="A6487" s="27"/>
    </row>
    <row r="6488" spans="1:1">
      <c r="A6488" s="27"/>
    </row>
    <row r="6489" spans="1:1">
      <c r="A6489" s="27"/>
    </row>
    <row r="6490" spans="1:1">
      <c r="A6490" s="27"/>
    </row>
    <row r="6491" spans="1:1">
      <c r="A6491" s="27"/>
    </row>
    <row r="6492" spans="1:1">
      <c r="A6492" s="27"/>
    </row>
    <row r="6493" spans="1:1">
      <c r="A6493" s="27"/>
    </row>
    <row r="6494" spans="1:1">
      <c r="A6494" s="27"/>
    </row>
    <row r="6495" spans="1:1">
      <c r="A6495" s="27"/>
    </row>
    <row r="6496" spans="1:1">
      <c r="A6496" s="27"/>
    </row>
    <row r="6497" spans="1:1">
      <c r="A6497" s="27"/>
    </row>
    <row r="6498" spans="1:1">
      <c r="A6498" s="27"/>
    </row>
    <row r="6499" spans="1:1">
      <c r="A6499" s="27"/>
    </row>
    <row r="6500" spans="1:1">
      <c r="A6500" s="27"/>
    </row>
    <row r="6501" spans="1:1">
      <c r="A6501" s="27"/>
    </row>
    <row r="6502" spans="1:1">
      <c r="A6502" s="27"/>
    </row>
    <row r="6503" spans="1:1">
      <c r="A6503" s="27"/>
    </row>
    <row r="6504" spans="1:1">
      <c r="A6504" s="27"/>
    </row>
    <row r="6505" spans="1:1">
      <c r="A6505" s="27"/>
    </row>
    <row r="6506" spans="1:1">
      <c r="A6506" s="27"/>
    </row>
    <row r="6507" spans="1:1">
      <c r="A6507" s="27"/>
    </row>
    <row r="6508" spans="1:1">
      <c r="A6508" s="27"/>
    </row>
    <row r="6509" spans="1:1">
      <c r="A6509" s="27"/>
    </row>
    <row r="6510" spans="1:1">
      <c r="A6510" s="27"/>
    </row>
    <row r="6511" spans="1:1">
      <c r="A6511" s="27"/>
    </row>
    <row r="6512" spans="1:1">
      <c r="A6512" s="27"/>
    </row>
    <row r="6513" spans="1:1">
      <c r="A6513" s="27"/>
    </row>
    <row r="6514" spans="1:1">
      <c r="A6514" s="27"/>
    </row>
    <row r="6515" spans="1:1">
      <c r="A6515" s="27"/>
    </row>
    <row r="6516" spans="1:1">
      <c r="A6516" s="27"/>
    </row>
    <row r="6517" spans="1:1">
      <c r="A6517" s="27"/>
    </row>
    <row r="6518" spans="1:1">
      <c r="A6518" s="27"/>
    </row>
    <row r="6519" spans="1:1">
      <c r="A6519" s="27"/>
    </row>
    <row r="6520" spans="1:1">
      <c r="A6520" s="27"/>
    </row>
    <row r="6521" spans="1:1">
      <c r="A6521" s="27"/>
    </row>
    <row r="6522" spans="1:1">
      <c r="A6522" s="27"/>
    </row>
    <row r="6523" spans="1:1">
      <c r="A6523" s="27"/>
    </row>
    <row r="6524" spans="1:1">
      <c r="A6524" s="27"/>
    </row>
    <row r="6525" spans="1:1">
      <c r="A6525" s="27"/>
    </row>
    <row r="6526" spans="1:1">
      <c r="A6526" s="27"/>
    </row>
    <row r="6527" spans="1:1">
      <c r="A6527" s="27"/>
    </row>
    <row r="6528" spans="1:1">
      <c r="A6528" s="27"/>
    </row>
    <row r="6529" spans="1:1">
      <c r="A6529" s="27"/>
    </row>
    <row r="6530" spans="1:1">
      <c r="A6530" s="27"/>
    </row>
    <row r="6531" spans="1:1">
      <c r="A6531" s="27"/>
    </row>
    <row r="6532" spans="1:1">
      <c r="A6532" s="27"/>
    </row>
    <row r="6533" spans="1:1">
      <c r="A6533" s="27"/>
    </row>
    <row r="6534" spans="1:1">
      <c r="A6534" s="27"/>
    </row>
    <row r="6535" spans="1:1">
      <c r="A6535" s="27"/>
    </row>
    <row r="6536" spans="1:1">
      <c r="A6536" s="27"/>
    </row>
    <row r="6537" spans="1:1">
      <c r="A6537" s="27"/>
    </row>
    <row r="6538" spans="1:1">
      <c r="A6538" s="27"/>
    </row>
    <row r="6539" spans="1:1">
      <c r="A6539" s="27"/>
    </row>
    <row r="6540" spans="1:1">
      <c r="A6540" s="27"/>
    </row>
    <row r="6541" spans="1:1">
      <c r="A6541" s="27"/>
    </row>
    <row r="6542" spans="1:1">
      <c r="A6542" s="27"/>
    </row>
    <row r="6543" spans="1:1">
      <c r="A6543" s="27"/>
    </row>
    <row r="6544" spans="1:1">
      <c r="A6544" s="27"/>
    </row>
    <row r="6545" spans="1:1">
      <c r="A6545" s="27"/>
    </row>
    <row r="6546" spans="1:1">
      <c r="A6546" s="27"/>
    </row>
    <row r="6547" spans="1:1">
      <c r="A6547" s="27"/>
    </row>
    <row r="6548" spans="1:1">
      <c r="A6548" s="27"/>
    </row>
    <row r="6549" spans="1:1">
      <c r="A6549" s="27"/>
    </row>
    <row r="6550" spans="1:1">
      <c r="A6550" s="27"/>
    </row>
    <row r="6551" spans="1:1">
      <c r="A6551" s="27"/>
    </row>
    <row r="6552" spans="1:1">
      <c r="A6552" s="27"/>
    </row>
    <row r="6553" spans="1:1">
      <c r="A6553" s="27"/>
    </row>
    <row r="6554" spans="1:1">
      <c r="A6554" s="27"/>
    </row>
    <row r="6555" spans="1:1">
      <c r="A6555" s="27"/>
    </row>
    <row r="6556" spans="1:1">
      <c r="A6556" s="27"/>
    </row>
    <row r="6557" spans="1:1">
      <c r="A6557" s="27"/>
    </row>
    <row r="6558" spans="1:1">
      <c r="A6558" s="27"/>
    </row>
    <row r="6559" spans="1:1">
      <c r="A6559" s="27"/>
    </row>
    <row r="6560" spans="1:1">
      <c r="A6560" s="27"/>
    </row>
    <row r="6561" spans="1:1">
      <c r="A6561" s="27"/>
    </row>
    <row r="6562" spans="1:1">
      <c r="A6562" s="27"/>
    </row>
    <row r="6563" spans="1:1">
      <c r="A6563" s="27"/>
    </row>
    <row r="6564" spans="1:1">
      <c r="A6564" s="27"/>
    </row>
    <row r="6565" spans="1:1">
      <c r="A6565" s="27"/>
    </row>
    <row r="6566" spans="1:1">
      <c r="A6566" s="27"/>
    </row>
    <row r="6567" spans="1:1">
      <c r="A6567" s="27"/>
    </row>
    <row r="6568" spans="1:1">
      <c r="A6568" s="27"/>
    </row>
    <row r="6569" spans="1:1">
      <c r="A6569" s="27"/>
    </row>
    <row r="6570" spans="1:1">
      <c r="A6570" s="27"/>
    </row>
    <row r="6571" spans="1:1">
      <c r="A6571" s="27"/>
    </row>
    <row r="6572" spans="1:1">
      <c r="A6572" s="27"/>
    </row>
    <row r="6573" spans="1:1">
      <c r="A6573" s="27"/>
    </row>
    <row r="6574" spans="1:1">
      <c r="A6574" s="27"/>
    </row>
    <row r="6575" spans="1:1">
      <c r="A6575" s="27"/>
    </row>
    <row r="6576" spans="1:1">
      <c r="A6576" s="27"/>
    </row>
    <row r="6577" spans="1:1">
      <c r="A6577" s="27"/>
    </row>
    <row r="6578" spans="1:1">
      <c r="A6578" s="27"/>
    </row>
    <row r="6579" spans="1:1">
      <c r="A6579" s="27"/>
    </row>
    <row r="6580" spans="1:1">
      <c r="A6580" s="27"/>
    </row>
    <row r="6581" spans="1:1">
      <c r="A6581" s="27"/>
    </row>
    <row r="6582" spans="1:1">
      <c r="A6582" s="27"/>
    </row>
    <row r="6583" spans="1:1">
      <c r="A6583" s="27"/>
    </row>
    <row r="6584" spans="1:1">
      <c r="A6584" s="27"/>
    </row>
    <row r="6585" spans="1:1">
      <c r="A6585" s="27"/>
    </row>
    <row r="6586" spans="1:1">
      <c r="A6586" s="27"/>
    </row>
    <row r="6587" spans="1:1">
      <c r="A6587" s="27"/>
    </row>
    <row r="6588" spans="1:1">
      <c r="A6588" s="27"/>
    </row>
    <row r="6589" spans="1:1">
      <c r="A6589" s="27"/>
    </row>
    <row r="6590" spans="1:1">
      <c r="A6590" s="27"/>
    </row>
    <row r="6591" spans="1:1">
      <c r="A6591" s="27"/>
    </row>
    <row r="6592" spans="1:1">
      <c r="A6592" s="27"/>
    </row>
    <row r="6593" spans="1:1">
      <c r="A6593" s="27"/>
    </row>
    <row r="6594" spans="1:1">
      <c r="A6594" s="27"/>
    </row>
    <row r="6595" spans="1:1">
      <c r="A6595" s="27"/>
    </row>
    <row r="6596" spans="1:1">
      <c r="A6596" s="27"/>
    </row>
    <row r="6597" spans="1:1">
      <c r="A6597" s="27"/>
    </row>
    <row r="6598" spans="1:1">
      <c r="A6598" s="27"/>
    </row>
    <row r="6599" spans="1:1">
      <c r="A6599" s="27"/>
    </row>
    <row r="6600" spans="1:1">
      <c r="A6600" s="27"/>
    </row>
    <row r="6601" spans="1:1">
      <c r="A6601" s="27"/>
    </row>
    <row r="6602" spans="1:1">
      <c r="A6602" s="27"/>
    </row>
    <row r="6603" spans="1:1">
      <c r="A6603" s="27"/>
    </row>
    <row r="6604" spans="1:1">
      <c r="A6604" s="27"/>
    </row>
    <row r="6605" spans="1:1">
      <c r="A6605" s="27"/>
    </row>
    <row r="6606" spans="1:1">
      <c r="A6606" s="27"/>
    </row>
    <row r="6607" spans="1:1">
      <c r="A6607" s="27"/>
    </row>
    <row r="6608" spans="1:1">
      <c r="A6608" s="27"/>
    </row>
    <row r="6609" spans="1:1">
      <c r="A6609" s="27"/>
    </row>
    <row r="6610" spans="1:1">
      <c r="A6610" s="27"/>
    </row>
    <row r="6611" spans="1:1">
      <c r="A6611" s="27"/>
    </row>
    <row r="6612" spans="1:1">
      <c r="A6612" s="27"/>
    </row>
    <row r="6613" spans="1:1">
      <c r="A6613" s="27"/>
    </row>
    <row r="6614" spans="1:1">
      <c r="A6614" s="27"/>
    </row>
    <row r="6615" spans="1:1">
      <c r="A6615" s="27"/>
    </row>
    <row r="6616" spans="1:1">
      <c r="A6616" s="27"/>
    </row>
    <row r="6617" spans="1:1">
      <c r="A6617" s="27"/>
    </row>
    <row r="6618" spans="1:1">
      <c r="A6618" s="27"/>
    </row>
    <row r="6619" spans="1:1">
      <c r="A6619" s="27"/>
    </row>
    <row r="6620" spans="1:1">
      <c r="A6620" s="27"/>
    </row>
    <row r="6621" spans="1:1">
      <c r="A6621" s="27"/>
    </row>
    <row r="6622" spans="1:1">
      <c r="A6622" s="27"/>
    </row>
    <row r="6623" spans="1:1">
      <c r="A6623" s="27"/>
    </row>
    <row r="6624" spans="1:1">
      <c r="A6624" s="27"/>
    </row>
    <row r="6625" spans="1:1">
      <c r="A6625" s="27"/>
    </row>
    <row r="6626" spans="1:1">
      <c r="A6626" s="27"/>
    </row>
    <row r="6627" spans="1:1">
      <c r="A6627" s="27"/>
    </row>
    <row r="6628" spans="1:1">
      <c r="A6628" s="27"/>
    </row>
    <row r="6629" spans="1:1">
      <c r="A6629" s="27"/>
    </row>
    <row r="6630" spans="1:1">
      <c r="A6630" s="27"/>
    </row>
    <row r="6631" spans="1:1">
      <c r="A6631" s="27"/>
    </row>
    <row r="6632" spans="1:1">
      <c r="A6632" s="27"/>
    </row>
    <row r="6633" spans="1:1">
      <c r="A6633" s="27"/>
    </row>
    <row r="6634" spans="1:1">
      <c r="A6634" s="27"/>
    </row>
    <row r="6635" spans="1:1">
      <c r="A6635" s="27"/>
    </row>
    <row r="6636" spans="1:1">
      <c r="A6636" s="27"/>
    </row>
    <row r="6637" spans="1:1">
      <c r="A6637" s="27"/>
    </row>
    <row r="6638" spans="1:1">
      <c r="A6638" s="27"/>
    </row>
    <row r="6639" spans="1:1">
      <c r="A6639" s="27"/>
    </row>
    <row r="6640" spans="1:1">
      <c r="A6640" s="27"/>
    </row>
    <row r="6641" spans="1:1">
      <c r="A6641" s="27"/>
    </row>
    <row r="6642" spans="1:1">
      <c r="A6642" s="27"/>
    </row>
    <row r="6643" spans="1:1">
      <c r="A6643" s="27"/>
    </row>
    <row r="6644" spans="1:1">
      <c r="A6644" s="27"/>
    </row>
    <row r="6645" spans="1:1">
      <c r="A6645" s="27"/>
    </row>
    <row r="6646" spans="1:1">
      <c r="A6646" s="27"/>
    </row>
    <row r="6647" spans="1:1">
      <c r="A6647" s="27"/>
    </row>
    <row r="6648" spans="1:1">
      <c r="A6648" s="27"/>
    </row>
    <row r="6649" spans="1:1">
      <c r="A6649" s="27"/>
    </row>
    <row r="6650" spans="1:1">
      <c r="A6650" s="27"/>
    </row>
    <row r="6651" spans="1:1">
      <c r="A6651" s="27"/>
    </row>
    <row r="6652" spans="1:1">
      <c r="A6652" s="27"/>
    </row>
    <row r="6653" spans="1:1">
      <c r="A6653" s="27"/>
    </row>
    <row r="6654" spans="1:1">
      <c r="A6654" s="27"/>
    </row>
    <row r="6655" spans="1:1">
      <c r="A6655" s="27"/>
    </row>
    <row r="6656" spans="1:1">
      <c r="A6656" s="27"/>
    </row>
    <row r="6657" spans="1:1">
      <c r="A6657" s="27"/>
    </row>
    <row r="6658" spans="1:1">
      <c r="A6658" s="27"/>
    </row>
    <row r="6659" spans="1:1">
      <c r="A6659" s="27"/>
    </row>
    <row r="6660" spans="1:1">
      <c r="A6660" s="27"/>
    </row>
    <row r="6661" spans="1:1">
      <c r="A6661" s="27"/>
    </row>
    <row r="6662" spans="1:1">
      <c r="A6662" s="27"/>
    </row>
    <row r="6663" spans="1:1">
      <c r="A6663" s="27"/>
    </row>
    <row r="6664" spans="1:1">
      <c r="A6664" s="27"/>
    </row>
    <row r="6665" spans="1:1">
      <c r="A6665" s="27"/>
    </row>
    <row r="6666" spans="1:1">
      <c r="A6666" s="27"/>
    </row>
    <row r="6667" spans="1:1">
      <c r="A6667" s="27"/>
    </row>
    <row r="6668" spans="1:1">
      <c r="A6668" s="27"/>
    </row>
    <row r="6669" spans="1:1">
      <c r="A6669" s="27"/>
    </row>
    <row r="6670" spans="1:1">
      <c r="A6670" s="27"/>
    </row>
    <row r="6671" spans="1:1">
      <c r="A6671" s="27"/>
    </row>
    <row r="6672" spans="1:1">
      <c r="A6672" s="27"/>
    </row>
    <row r="6673" spans="1:1">
      <c r="A6673" s="27"/>
    </row>
    <row r="6674" spans="1:1">
      <c r="A6674" s="27"/>
    </row>
    <row r="6675" spans="1:1">
      <c r="A6675" s="27"/>
    </row>
    <row r="6676" spans="1:1">
      <c r="A6676" s="27"/>
    </row>
    <row r="6677" spans="1:1">
      <c r="A6677" s="27"/>
    </row>
    <row r="6678" spans="1:1">
      <c r="A6678" s="27"/>
    </row>
    <row r="6679" spans="1:1">
      <c r="A6679" s="27"/>
    </row>
    <row r="6680" spans="1:1">
      <c r="A6680" s="27"/>
    </row>
    <row r="6681" spans="1:1">
      <c r="A6681" s="27"/>
    </row>
    <row r="6682" spans="1:1">
      <c r="A6682" s="27"/>
    </row>
    <row r="6683" spans="1:1">
      <c r="A6683" s="27"/>
    </row>
    <row r="6684" spans="1:1">
      <c r="A6684" s="27"/>
    </row>
    <row r="6685" spans="1:1">
      <c r="A6685" s="27"/>
    </row>
    <row r="6686" spans="1:1">
      <c r="A6686" s="27"/>
    </row>
    <row r="6687" spans="1:1">
      <c r="A6687" s="27"/>
    </row>
    <row r="6688" spans="1:1">
      <c r="A6688" s="27"/>
    </row>
    <row r="6689" spans="1:1">
      <c r="A6689" s="27"/>
    </row>
    <row r="6690" spans="1:1">
      <c r="A6690" s="27"/>
    </row>
    <row r="6691" spans="1:1">
      <c r="A6691" s="27"/>
    </row>
    <row r="6692" spans="1:1">
      <c r="A6692" s="27"/>
    </row>
    <row r="6693" spans="1:1">
      <c r="A6693" s="27"/>
    </row>
    <row r="6694" spans="1:1">
      <c r="A6694" s="27"/>
    </row>
    <row r="6695" spans="1:1">
      <c r="A6695" s="27"/>
    </row>
    <row r="6696" spans="1:1">
      <c r="A6696" s="27"/>
    </row>
    <row r="6697" spans="1:1">
      <c r="A6697" s="27"/>
    </row>
    <row r="6698" spans="1:1">
      <c r="A6698" s="27"/>
    </row>
    <row r="6699" spans="1:1">
      <c r="A6699" s="27"/>
    </row>
    <row r="6700" spans="1:1">
      <c r="A6700" s="27"/>
    </row>
    <row r="6701" spans="1:1">
      <c r="A6701" s="27"/>
    </row>
    <row r="6702" spans="1:1">
      <c r="A6702" s="27"/>
    </row>
    <row r="6703" spans="1:1">
      <c r="A6703" s="27"/>
    </row>
    <row r="6704" spans="1:1">
      <c r="A6704" s="27"/>
    </row>
    <row r="6705" spans="1:1">
      <c r="A6705" s="27"/>
    </row>
    <row r="6706" spans="1:1">
      <c r="A6706" s="27"/>
    </row>
    <row r="6707" spans="1:1">
      <c r="A6707" s="27"/>
    </row>
    <row r="6708" spans="1:1">
      <c r="A6708" s="27"/>
    </row>
    <row r="6709" spans="1:1">
      <c r="A6709" s="27"/>
    </row>
    <row r="6710" spans="1:1">
      <c r="A6710" s="27"/>
    </row>
    <row r="6711" spans="1:1">
      <c r="A6711" s="27"/>
    </row>
    <row r="6712" spans="1:1">
      <c r="A6712" s="27"/>
    </row>
    <row r="6713" spans="1:1">
      <c r="A6713" s="27"/>
    </row>
    <row r="6714" spans="1:1">
      <c r="A6714" s="27"/>
    </row>
    <row r="6715" spans="1:1">
      <c r="A6715" s="27"/>
    </row>
    <row r="6716" spans="1:1">
      <c r="A6716" s="27"/>
    </row>
    <row r="6717" spans="1:1">
      <c r="A6717" s="27"/>
    </row>
    <row r="6718" spans="1:1">
      <c r="A6718" s="27"/>
    </row>
    <row r="6719" spans="1:1">
      <c r="A6719" s="27"/>
    </row>
    <row r="6720" spans="1:1">
      <c r="A6720" s="27"/>
    </row>
    <row r="6721" spans="1:1">
      <c r="A6721" s="27"/>
    </row>
    <row r="6722" spans="1:1">
      <c r="A6722" s="27"/>
    </row>
    <row r="6723" spans="1:1">
      <c r="A6723" s="27"/>
    </row>
    <row r="6724" spans="1:1">
      <c r="A6724" s="27"/>
    </row>
    <row r="6725" spans="1:1">
      <c r="A6725" s="27"/>
    </row>
    <row r="6726" spans="1:1">
      <c r="A6726" s="27"/>
    </row>
    <row r="6727" spans="1:1">
      <c r="A6727" s="27"/>
    </row>
    <row r="6728" spans="1:1">
      <c r="A6728" s="27"/>
    </row>
    <row r="6729" spans="1:1">
      <c r="A6729" s="27"/>
    </row>
    <row r="6730" spans="1:1">
      <c r="A6730" s="27"/>
    </row>
    <row r="6731" spans="1:1">
      <c r="A6731" s="27"/>
    </row>
    <row r="6732" spans="1:1">
      <c r="A6732" s="27"/>
    </row>
    <row r="6733" spans="1:1">
      <c r="A6733" s="27"/>
    </row>
    <row r="6734" spans="1:1">
      <c r="A6734" s="27"/>
    </row>
    <row r="6735" spans="1:1">
      <c r="A6735" s="27"/>
    </row>
    <row r="6736" spans="1:1">
      <c r="A6736" s="27"/>
    </row>
    <row r="6737" spans="1:1">
      <c r="A6737" s="27"/>
    </row>
    <row r="6738" spans="1:1">
      <c r="A6738" s="27"/>
    </row>
    <row r="6739" spans="1:1">
      <c r="A6739" s="27"/>
    </row>
    <row r="6740" spans="1:1">
      <c r="A6740" s="27"/>
    </row>
    <row r="6741" spans="1:1">
      <c r="A6741" s="27"/>
    </row>
    <row r="6742" spans="1:1">
      <c r="A6742" s="27"/>
    </row>
    <row r="6743" spans="1:1">
      <c r="A6743" s="27"/>
    </row>
    <row r="6744" spans="1:1">
      <c r="A6744" s="27"/>
    </row>
    <row r="6745" spans="1:1">
      <c r="A6745" s="27"/>
    </row>
    <row r="6746" spans="1:1">
      <c r="A6746" s="27"/>
    </row>
    <row r="6747" spans="1:1">
      <c r="A6747" s="27"/>
    </row>
    <row r="6748" spans="1:1">
      <c r="A6748" s="27"/>
    </row>
    <row r="6749" spans="1:1">
      <c r="A6749" s="27"/>
    </row>
    <row r="6750" spans="1:1">
      <c r="A6750" s="27"/>
    </row>
    <row r="6751" spans="1:1">
      <c r="A6751" s="27"/>
    </row>
    <row r="6752" spans="1:1">
      <c r="A6752" s="27"/>
    </row>
    <row r="6753" spans="1:1">
      <c r="A6753" s="27"/>
    </row>
    <row r="6754" spans="1:1">
      <c r="A6754" s="27"/>
    </row>
    <row r="6755" spans="1:1">
      <c r="A6755" s="27"/>
    </row>
    <row r="6756" spans="1:1">
      <c r="A6756" s="27"/>
    </row>
    <row r="6757" spans="1:1">
      <c r="A6757" s="27"/>
    </row>
    <row r="6758" spans="1:1">
      <c r="A6758" s="27"/>
    </row>
    <row r="6759" spans="1:1">
      <c r="A6759" s="27"/>
    </row>
    <row r="6760" spans="1:1">
      <c r="A6760" s="27"/>
    </row>
    <row r="6761" spans="1:1">
      <c r="A6761" s="27"/>
    </row>
    <row r="6762" spans="1:1">
      <c r="A6762" s="27"/>
    </row>
    <row r="6763" spans="1:1">
      <c r="A6763" s="27"/>
    </row>
    <row r="6764" spans="1:1">
      <c r="A6764" s="27"/>
    </row>
    <row r="6765" spans="1:1">
      <c r="A6765" s="27"/>
    </row>
    <row r="6766" spans="1:1">
      <c r="A6766" s="27"/>
    </row>
    <row r="6767" spans="1:1">
      <c r="A6767" s="27"/>
    </row>
    <row r="6768" spans="1:1">
      <c r="A6768" s="27"/>
    </row>
    <row r="6769" spans="1:1">
      <c r="A6769" s="27"/>
    </row>
    <row r="6770" spans="1:1">
      <c r="A6770" s="27"/>
    </row>
    <row r="6771" spans="1:1">
      <c r="A6771" s="27"/>
    </row>
    <row r="6772" spans="1:1">
      <c r="A6772" s="27"/>
    </row>
    <row r="6773" spans="1:1">
      <c r="A6773" s="27"/>
    </row>
    <row r="6774" spans="1:1">
      <c r="A6774" s="27"/>
    </row>
    <row r="6775" spans="1:1">
      <c r="A6775" s="27"/>
    </row>
    <row r="6776" spans="1:1">
      <c r="A6776" s="27"/>
    </row>
    <row r="6777" spans="1:1">
      <c r="A6777" s="27"/>
    </row>
    <row r="6778" spans="1:1">
      <c r="A6778" s="27"/>
    </row>
    <row r="6779" spans="1:1">
      <c r="A6779" s="27"/>
    </row>
    <row r="6780" spans="1:1">
      <c r="A6780" s="27"/>
    </row>
    <row r="6781" spans="1:1">
      <c r="A6781" s="27"/>
    </row>
    <row r="6782" spans="1:1">
      <c r="A6782" s="27"/>
    </row>
    <row r="6783" spans="1:1">
      <c r="A6783" s="27"/>
    </row>
    <row r="6784" spans="1:1">
      <c r="A6784" s="27"/>
    </row>
    <row r="6785" spans="1:1">
      <c r="A6785" s="27"/>
    </row>
    <row r="6786" spans="1:1">
      <c r="A6786" s="27"/>
    </row>
    <row r="6787" spans="1:1">
      <c r="A6787" s="27"/>
    </row>
    <row r="6788" spans="1:1">
      <c r="A6788" s="27"/>
    </row>
    <row r="6789" spans="1:1">
      <c r="A6789" s="27"/>
    </row>
    <row r="6790" spans="1:1">
      <c r="A6790" s="27"/>
    </row>
    <row r="6791" spans="1:1">
      <c r="A6791" s="27"/>
    </row>
    <row r="6792" spans="1:1">
      <c r="A6792" s="27"/>
    </row>
    <row r="6793" spans="1:1">
      <c r="A6793" s="27"/>
    </row>
    <row r="6794" spans="1:1">
      <c r="A6794" s="27"/>
    </row>
    <row r="6795" spans="1:1">
      <c r="A6795" s="27"/>
    </row>
    <row r="6796" spans="1:1">
      <c r="A6796" s="27"/>
    </row>
    <row r="6797" spans="1:1">
      <c r="A6797" s="27"/>
    </row>
    <row r="6798" spans="1:1">
      <c r="A6798" s="27"/>
    </row>
    <row r="6799" spans="1:1">
      <c r="A6799" s="27"/>
    </row>
    <row r="6800" spans="1:1">
      <c r="A6800" s="27"/>
    </row>
    <row r="6801" spans="1:1">
      <c r="A6801" s="27"/>
    </row>
    <row r="6802" spans="1:1">
      <c r="A6802" s="27"/>
    </row>
    <row r="6803" spans="1:1">
      <c r="A6803" s="27"/>
    </row>
    <row r="6804" spans="1:1">
      <c r="A6804" s="27"/>
    </row>
    <row r="6805" spans="1:1">
      <c r="A6805" s="27"/>
    </row>
    <row r="6806" spans="1:1">
      <c r="A6806" s="27"/>
    </row>
    <row r="6807" spans="1:1">
      <c r="A6807" s="27"/>
    </row>
    <row r="6808" spans="1:1">
      <c r="A6808" s="27"/>
    </row>
    <row r="6809" spans="1:1">
      <c r="A6809" s="27"/>
    </row>
    <row r="6810" spans="1:1">
      <c r="A6810" s="27"/>
    </row>
    <row r="6811" spans="1:1">
      <c r="A6811" s="27"/>
    </row>
    <row r="6812" spans="1:1">
      <c r="A6812" s="27"/>
    </row>
    <row r="6813" spans="1:1">
      <c r="A6813" s="27"/>
    </row>
    <row r="6814" spans="1:1">
      <c r="A6814" s="27"/>
    </row>
    <row r="6815" spans="1:1">
      <c r="A6815" s="27"/>
    </row>
    <row r="6816" spans="1:1">
      <c r="A6816" s="27"/>
    </row>
    <row r="6817" spans="1:1">
      <c r="A6817" s="27"/>
    </row>
    <row r="6818" spans="1:1">
      <c r="A6818" s="27"/>
    </row>
    <row r="6819" spans="1:1">
      <c r="A6819" s="27"/>
    </row>
    <row r="6820" spans="1:1">
      <c r="A6820" s="27"/>
    </row>
    <row r="6821" spans="1:1">
      <c r="A6821" s="27"/>
    </row>
    <row r="6822" spans="1:1">
      <c r="A6822" s="27"/>
    </row>
    <row r="6823" spans="1:1">
      <c r="A6823" s="27"/>
    </row>
    <row r="6824" spans="1:1">
      <c r="A6824" s="27"/>
    </row>
    <row r="6825" spans="1:1">
      <c r="A6825" s="27"/>
    </row>
    <row r="6826" spans="1:1">
      <c r="A6826" s="27"/>
    </row>
    <row r="6827" spans="1:1">
      <c r="A6827" s="27"/>
    </row>
    <row r="6828" spans="1:1">
      <c r="A6828" s="27"/>
    </row>
    <row r="6829" spans="1:1">
      <c r="A6829" s="27"/>
    </row>
    <row r="6830" spans="1:1">
      <c r="A6830" s="27"/>
    </row>
    <row r="6831" spans="1:1">
      <c r="A6831" s="27"/>
    </row>
    <row r="6832" spans="1:1">
      <c r="A6832" s="27"/>
    </row>
    <row r="6833" spans="1:1">
      <c r="A6833" s="27"/>
    </row>
    <row r="6834" spans="1:1">
      <c r="A6834" s="27"/>
    </row>
    <row r="6835" spans="1:1">
      <c r="A6835" s="27"/>
    </row>
    <row r="6836" spans="1:1">
      <c r="A6836" s="27"/>
    </row>
    <row r="6837" spans="1:1">
      <c r="A6837" s="27"/>
    </row>
    <row r="6838" spans="1:1">
      <c r="A6838" s="27"/>
    </row>
    <row r="6839" spans="1:1">
      <c r="A6839" s="27"/>
    </row>
    <row r="6840" spans="1:1">
      <c r="A6840" s="27"/>
    </row>
    <row r="6841" spans="1:1">
      <c r="A6841" s="27"/>
    </row>
    <row r="6842" spans="1:1">
      <c r="A6842" s="27"/>
    </row>
    <row r="6843" spans="1:1">
      <c r="A6843" s="27"/>
    </row>
    <row r="6844" spans="1:1">
      <c r="A6844" s="27"/>
    </row>
    <row r="6845" spans="1:1">
      <c r="A6845" s="27"/>
    </row>
    <row r="6846" spans="1:1">
      <c r="A6846" s="27"/>
    </row>
    <row r="6847" spans="1:1">
      <c r="A6847" s="27"/>
    </row>
    <row r="6848" spans="1:1">
      <c r="A6848" s="27"/>
    </row>
    <row r="6849" spans="1:1">
      <c r="A6849" s="27"/>
    </row>
    <row r="6850" spans="1:1">
      <c r="A6850" s="27"/>
    </row>
    <row r="6851" spans="1:1">
      <c r="A6851" s="27"/>
    </row>
    <row r="6852" spans="1:1">
      <c r="A6852" s="27"/>
    </row>
    <row r="6853" spans="1:1">
      <c r="A6853" s="27"/>
    </row>
    <row r="6854" spans="1:1">
      <c r="A6854" s="27"/>
    </row>
    <row r="6855" spans="1:1">
      <c r="A6855" s="27"/>
    </row>
    <row r="6856" spans="1:1">
      <c r="A6856" s="27"/>
    </row>
    <row r="6857" spans="1:1">
      <c r="A6857" s="27"/>
    </row>
    <row r="6858" spans="1:1">
      <c r="A6858" s="27"/>
    </row>
    <row r="6859" spans="1:1">
      <c r="A6859" s="27"/>
    </row>
    <row r="6860" spans="1:1">
      <c r="A6860" s="27"/>
    </row>
    <row r="6861" spans="1:1">
      <c r="A6861" s="27"/>
    </row>
    <row r="6862" spans="1:1">
      <c r="A6862" s="27"/>
    </row>
    <row r="6863" spans="1:1">
      <c r="A6863" s="27"/>
    </row>
    <row r="6864" spans="1:1">
      <c r="A6864" s="27"/>
    </row>
    <row r="6865" spans="1:1">
      <c r="A6865" s="27"/>
    </row>
    <row r="6866" spans="1:1">
      <c r="A6866" s="27"/>
    </row>
    <row r="6867" spans="1:1">
      <c r="A6867" s="27"/>
    </row>
    <row r="6868" spans="1:1">
      <c r="A6868" s="27"/>
    </row>
    <row r="6869" spans="1:1">
      <c r="A6869" s="27"/>
    </row>
    <row r="6870" spans="1:1">
      <c r="A6870" s="27"/>
    </row>
    <row r="6871" spans="1:1">
      <c r="A6871" s="27"/>
    </row>
    <row r="6872" spans="1:1">
      <c r="A6872" s="27"/>
    </row>
    <row r="6873" spans="1:1">
      <c r="A6873" s="27"/>
    </row>
    <row r="6874" spans="1:1">
      <c r="A6874" s="27"/>
    </row>
    <row r="6875" spans="1:1">
      <c r="A6875" s="27"/>
    </row>
    <row r="6876" spans="1:1">
      <c r="A6876" s="27"/>
    </row>
    <row r="6877" spans="1:1">
      <c r="A6877" s="27"/>
    </row>
    <row r="6878" spans="1:1">
      <c r="A6878" s="27"/>
    </row>
    <row r="6879" spans="1:1">
      <c r="A6879" s="27"/>
    </row>
    <row r="6880" spans="1:1">
      <c r="A6880" s="27"/>
    </row>
    <row r="6881" spans="1:1">
      <c r="A6881" s="27"/>
    </row>
    <row r="6882" spans="1:1">
      <c r="A6882" s="27"/>
    </row>
    <row r="6883" spans="1:1">
      <c r="A6883" s="27"/>
    </row>
    <row r="6884" spans="1:1">
      <c r="A6884" s="27"/>
    </row>
    <row r="6885" spans="1:1">
      <c r="A6885" s="27"/>
    </row>
    <row r="6886" spans="1:1">
      <c r="A6886" s="27"/>
    </row>
    <row r="6887" spans="1:1">
      <c r="A6887" s="27"/>
    </row>
    <row r="6888" spans="1:1">
      <c r="A6888" s="27"/>
    </row>
    <row r="6889" spans="1:1">
      <c r="A6889" s="27"/>
    </row>
    <row r="6890" spans="1:1">
      <c r="A6890" s="27"/>
    </row>
    <row r="6891" spans="1:1">
      <c r="A6891" s="27"/>
    </row>
    <row r="6892" spans="1:1">
      <c r="A6892" s="27"/>
    </row>
    <row r="6893" spans="1:1">
      <c r="A6893" s="27"/>
    </row>
    <row r="6894" spans="1:1">
      <c r="A6894" s="27"/>
    </row>
    <row r="6895" spans="1:1">
      <c r="A6895" s="27"/>
    </row>
    <row r="6896" spans="1:1">
      <c r="A6896" s="27"/>
    </row>
    <row r="6897" spans="1:1">
      <c r="A6897" s="27"/>
    </row>
    <row r="6898" spans="1:1">
      <c r="A6898" s="27"/>
    </row>
    <row r="6899" spans="1:1">
      <c r="A6899" s="27"/>
    </row>
    <row r="6900" spans="1:1">
      <c r="A6900" s="27"/>
    </row>
    <row r="6901" spans="1:1">
      <c r="A6901" s="27"/>
    </row>
    <row r="6902" spans="1:1">
      <c r="A6902" s="27"/>
    </row>
    <row r="6903" spans="1:1">
      <c r="A6903" s="27"/>
    </row>
    <row r="6904" spans="1:1">
      <c r="A6904" s="27"/>
    </row>
    <row r="6905" spans="1:1">
      <c r="A6905" s="27"/>
    </row>
    <row r="6906" spans="1:1">
      <c r="A6906" s="27"/>
    </row>
    <row r="6907" spans="1:1">
      <c r="A6907" s="27"/>
    </row>
    <row r="6908" spans="1:1">
      <c r="A6908" s="27"/>
    </row>
    <row r="6909" spans="1:1">
      <c r="A6909" s="27"/>
    </row>
    <row r="6910" spans="1:1">
      <c r="A6910" s="27"/>
    </row>
    <row r="6911" spans="1:1">
      <c r="A6911" s="27"/>
    </row>
    <row r="6912" spans="1:1">
      <c r="A6912" s="27"/>
    </row>
    <row r="6913" spans="1:1">
      <c r="A6913" s="27"/>
    </row>
    <row r="6914" spans="1:1">
      <c r="A6914" s="27"/>
    </row>
    <row r="6915" spans="1:1">
      <c r="A6915" s="27"/>
    </row>
    <row r="6916" spans="1:1">
      <c r="A6916" s="27"/>
    </row>
    <row r="6917" spans="1:1">
      <c r="A6917" s="27"/>
    </row>
    <row r="6918" spans="1:1">
      <c r="A6918" s="27"/>
    </row>
    <row r="6919" spans="1:1">
      <c r="A6919" s="27"/>
    </row>
    <row r="6920" spans="1:1">
      <c r="A6920" s="27"/>
    </row>
    <row r="6921" spans="1:1">
      <c r="A6921" s="27"/>
    </row>
    <row r="6922" spans="1:1">
      <c r="A6922" s="27"/>
    </row>
    <row r="6923" spans="1:1">
      <c r="A6923" s="27"/>
    </row>
    <row r="6924" spans="1:1">
      <c r="A6924" s="27"/>
    </row>
    <row r="6925" spans="1:1">
      <c r="A6925" s="27"/>
    </row>
    <row r="6926" spans="1:1">
      <c r="A6926" s="27"/>
    </row>
    <row r="6927" spans="1:1">
      <c r="A6927" s="27"/>
    </row>
    <row r="6928" spans="1:1">
      <c r="A6928" s="27"/>
    </row>
    <row r="6929" spans="1:1">
      <c r="A6929" s="27"/>
    </row>
    <row r="6930" spans="1:1">
      <c r="A6930" s="27"/>
    </row>
    <row r="6931" spans="1:1">
      <c r="A6931" s="27"/>
    </row>
    <row r="6932" spans="1:1">
      <c r="A6932" s="27"/>
    </row>
    <row r="6933" spans="1:1">
      <c r="A6933" s="27"/>
    </row>
    <row r="6934" spans="1:1">
      <c r="A6934" s="27"/>
    </row>
    <row r="6935" spans="1:1">
      <c r="A6935" s="27"/>
    </row>
    <row r="6936" spans="1:1">
      <c r="A6936" s="27"/>
    </row>
    <row r="6937" spans="1:1">
      <c r="A6937" s="27"/>
    </row>
    <row r="6938" spans="1:1">
      <c r="A6938" s="27"/>
    </row>
    <row r="6939" spans="1:1">
      <c r="A6939" s="27"/>
    </row>
    <row r="6940" spans="1:1">
      <c r="A6940" s="27"/>
    </row>
    <row r="6941" spans="1:1">
      <c r="A6941" s="27"/>
    </row>
    <row r="6942" spans="1:1">
      <c r="A6942" s="27"/>
    </row>
    <row r="6943" spans="1:1">
      <c r="A6943" s="27"/>
    </row>
    <row r="6944" spans="1:1">
      <c r="A6944" s="27"/>
    </row>
    <row r="6945" spans="1:1">
      <c r="A6945" s="27"/>
    </row>
    <row r="6946" spans="1:1">
      <c r="A6946" s="27"/>
    </row>
    <row r="6947" spans="1:1">
      <c r="A6947" s="27"/>
    </row>
    <row r="6948" spans="1:1">
      <c r="A6948" s="27"/>
    </row>
    <row r="6949" spans="1:1">
      <c r="A6949" s="27"/>
    </row>
    <row r="6950" spans="1:1">
      <c r="A6950" s="27"/>
    </row>
    <row r="6951" spans="1:1">
      <c r="A6951" s="27"/>
    </row>
    <row r="6952" spans="1:1">
      <c r="A6952" s="27"/>
    </row>
    <row r="6953" spans="1:1">
      <c r="A6953" s="27"/>
    </row>
    <row r="6954" spans="1:1">
      <c r="A6954" s="27"/>
    </row>
    <row r="6955" spans="1:1">
      <c r="A6955" s="27"/>
    </row>
    <row r="6956" spans="1:1">
      <c r="A6956" s="27"/>
    </row>
    <row r="6957" spans="1:1">
      <c r="A6957" s="27"/>
    </row>
    <row r="6958" spans="1:1">
      <c r="A6958" s="27"/>
    </row>
    <row r="6959" spans="1:1">
      <c r="A6959" s="27"/>
    </row>
    <row r="6960" spans="1:1">
      <c r="A6960" s="27"/>
    </row>
    <row r="6961" spans="1:1">
      <c r="A6961" s="27"/>
    </row>
    <row r="6962" spans="1:1">
      <c r="A6962" s="27"/>
    </row>
    <row r="6963" spans="1:1">
      <c r="A6963" s="27"/>
    </row>
    <row r="6964" spans="1:1">
      <c r="A6964" s="27"/>
    </row>
    <row r="6965" spans="1:1">
      <c r="A6965" s="27"/>
    </row>
    <row r="6966" spans="1:1">
      <c r="A6966" s="27"/>
    </row>
    <row r="6967" spans="1:1">
      <c r="A6967" s="27"/>
    </row>
    <row r="6968" spans="1:1">
      <c r="A6968" s="27"/>
    </row>
    <row r="6969" spans="1:1">
      <c r="A6969" s="27"/>
    </row>
    <row r="6970" spans="1:1">
      <c r="A6970" s="27"/>
    </row>
    <row r="6971" spans="1:1">
      <c r="A6971" s="27"/>
    </row>
    <row r="6972" spans="1:1">
      <c r="A6972" s="27"/>
    </row>
    <row r="6973" spans="1:1">
      <c r="A6973" s="27"/>
    </row>
    <row r="6974" spans="1:1">
      <c r="A6974" s="27"/>
    </row>
    <row r="6975" spans="1:1">
      <c r="A6975" s="27"/>
    </row>
    <row r="6976" spans="1:1">
      <c r="A6976" s="27"/>
    </row>
    <row r="6977" spans="1:1">
      <c r="A6977" s="27"/>
    </row>
    <row r="6978" spans="1:1">
      <c r="A6978" s="27"/>
    </row>
    <row r="6979" spans="1:1">
      <c r="A6979" s="27"/>
    </row>
    <row r="6980" spans="1:1">
      <c r="A6980" s="27"/>
    </row>
    <row r="6981" spans="1:1">
      <c r="A6981" s="27"/>
    </row>
    <row r="6982" spans="1:1">
      <c r="A6982" s="27"/>
    </row>
    <row r="6983" spans="1:1">
      <c r="A6983" s="27"/>
    </row>
    <row r="6984" spans="1:1">
      <c r="A6984" s="27"/>
    </row>
    <row r="6985" spans="1:1">
      <c r="A6985" s="27"/>
    </row>
    <row r="6986" spans="1:1">
      <c r="A6986" s="27"/>
    </row>
    <row r="6987" spans="1:1">
      <c r="A6987" s="27"/>
    </row>
    <row r="6988" spans="1:1">
      <c r="A6988" s="27"/>
    </row>
    <row r="6989" spans="1:1">
      <c r="A6989" s="27"/>
    </row>
    <row r="6990" spans="1:1">
      <c r="A6990" s="27"/>
    </row>
    <row r="6991" spans="1:1">
      <c r="A6991" s="27"/>
    </row>
    <row r="6992" spans="1:1">
      <c r="A6992" s="27"/>
    </row>
    <row r="6993" spans="1:1">
      <c r="A6993" s="27"/>
    </row>
    <row r="6994" spans="1:1">
      <c r="A6994" s="27"/>
    </row>
    <row r="6995" spans="1:1">
      <c r="A6995" s="27"/>
    </row>
    <row r="6996" spans="1:1">
      <c r="A6996" s="27"/>
    </row>
    <row r="6997" spans="1:1">
      <c r="A6997" s="27"/>
    </row>
    <row r="6998" spans="1:1">
      <c r="A6998" s="27"/>
    </row>
    <row r="6999" spans="1:1">
      <c r="A6999" s="27"/>
    </row>
    <row r="7000" spans="1:1">
      <c r="A7000" s="27"/>
    </row>
    <row r="7001" spans="1:1">
      <c r="A7001" s="27"/>
    </row>
    <row r="7002" spans="1:1">
      <c r="A7002" s="27"/>
    </row>
    <row r="7003" spans="1:1">
      <c r="A7003" s="27"/>
    </row>
    <row r="7004" spans="1:1">
      <c r="A7004" s="27"/>
    </row>
    <row r="7005" spans="1:1">
      <c r="A7005" s="27"/>
    </row>
    <row r="7006" spans="1:1">
      <c r="A7006" s="27"/>
    </row>
    <row r="7007" spans="1:1">
      <c r="A7007" s="27"/>
    </row>
    <row r="7008" spans="1:1">
      <c r="A7008" s="27"/>
    </row>
    <row r="7009" spans="1:1">
      <c r="A7009" s="27"/>
    </row>
    <row r="7010" spans="1:1">
      <c r="A7010" s="27"/>
    </row>
    <row r="7011" spans="1:1">
      <c r="A7011" s="27"/>
    </row>
    <row r="7012" spans="1:1">
      <c r="A7012" s="27"/>
    </row>
    <row r="7013" spans="1:1">
      <c r="A7013" s="27"/>
    </row>
    <row r="7014" spans="1:1">
      <c r="A7014" s="27"/>
    </row>
    <row r="7015" spans="1:1">
      <c r="A7015" s="27"/>
    </row>
    <row r="7016" spans="1:1">
      <c r="A7016" s="27"/>
    </row>
    <row r="7017" spans="1:1">
      <c r="A7017" s="27"/>
    </row>
    <row r="7018" spans="1:1">
      <c r="A7018" s="27"/>
    </row>
    <row r="7019" spans="1:1">
      <c r="A7019" s="27"/>
    </row>
    <row r="7020" spans="1:1">
      <c r="A7020" s="27"/>
    </row>
    <row r="7021" spans="1:1">
      <c r="A7021" s="27"/>
    </row>
    <row r="7022" spans="1:1">
      <c r="A7022" s="27"/>
    </row>
    <row r="7023" spans="1:1">
      <c r="A7023" s="27"/>
    </row>
    <row r="7024" spans="1:1">
      <c r="A7024" s="27"/>
    </row>
    <row r="7025" spans="1:1">
      <c r="A7025" s="27"/>
    </row>
    <row r="7026" spans="1:1">
      <c r="A7026" s="27"/>
    </row>
    <row r="7027" spans="1:1">
      <c r="A7027" s="27"/>
    </row>
    <row r="7028" spans="1:1">
      <c r="A7028" s="27"/>
    </row>
    <row r="7029" spans="1:1">
      <c r="A7029" s="27"/>
    </row>
    <row r="7030" spans="1:1">
      <c r="A7030" s="27"/>
    </row>
    <row r="7031" spans="1:1">
      <c r="A7031" s="27"/>
    </row>
    <row r="7032" spans="1:1">
      <c r="A7032" s="27"/>
    </row>
    <row r="7033" spans="1:1">
      <c r="A7033" s="27"/>
    </row>
    <row r="7034" spans="1:1">
      <c r="A7034" s="27"/>
    </row>
    <row r="7035" spans="1:1">
      <c r="A7035" s="27"/>
    </row>
    <row r="7036" spans="1:1">
      <c r="A7036" s="27"/>
    </row>
    <row r="7037" spans="1:1">
      <c r="A7037" s="27"/>
    </row>
    <row r="7038" spans="1:1">
      <c r="A7038" s="27"/>
    </row>
    <row r="7039" spans="1:1">
      <c r="A7039" s="27"/>
    </row>
    <row r="7040" spans="1:1">
      <c r="A7040" s="27"/>
    </row>
    <row r="7041" spans="1:1">
      <c r="A7041" s="27"/>
    </row>
    <row r="7042" spans="1:1">
      <c r="A7042" s="27"/>
    </row>
    <row r="7043" spans="1:1">
      <c r="A7043" s="27"/>
    </row>
    <row r="7044" spans="1:1">
      <c r="A7044" s="27"/>
    </row>
    <row r="7045" spans="1:1">
      <c r="A7045" s="27"/>
    </row>
    <row r="7046" spans="1:1">
      <c r="A7046" s="27"/>
    </row>
    <row r="7047" spans="1:1">
      <c r="A7047" s="27"/>
    </row>
    <row r="7048" spans="1:1">
      <c r="A7048" s="27"/>
    </row>
    <row r="7049" spans="1:1">
      <c r="A7049" s="27"/>
    </row>
    <row r="7050" spans="1:1">
      <c r="A7050" s="27"/>
    </row>
    <row r="7051" spans="1:1">
      <c r="A7051" s="27"/>
    </row>
    <row r="7052" spans="1:1">
      <c r="A7052" s="27"/>
    </row>
    <row r="7053" spans="1:1">
      <c r="A7053" s="27"/>
    </row>
    <row r="7054" spans="1:1">
      <c r="A7054" s="27"/>
    </row>
    <row r="7055" spans="1:1">
      <c r="A7055" s="27"/>
    </row>
    <row r="7056" spans="1:1">
      <c r="A7056" s="27"/>
    </row>
    <row r="7057" spans="1:1">
      <c r="A7057" s="27"/>
    </row>
    <row r="7058" spans="1:1">
      <c r="A7058" s="27"/>
    </row>
    <row r="7059" spans="1:1">
      <c r="A7059" s="27"/>
    </row>
    <row r="7060" spans="1:1">
      <c r="A7060" s="27"/>
    </row>
    <row r="7061" spans="1:1">
      <c r="A7061" s="27"/>
    </row>
    <row r="7062" spans="1:1">
      <c r="A7062" s="27"/>
    </row>
    <row r="7063" spans="1:1">
      <c r="A7063" s="27"/>
    </row>
    <row r="7064" spans="1:1">
      <c r="A7064" s="27"/>
    </row>
    <row r="7065" spans="1:1">
      <c r="A7065" s="27"/>
    </row>
    <row r="7066" spans="1:1">
      <c r="A7066" s="27"/>
    </row>
    <row r="7067" spans="1:1">
      <c r="A7067" s="27"/>
    </row>
    <row r="7068" spans="1:1">
      <c r="A7068" s="27"/>
    </row>
    <row r="7069" spans="1:1">
      <c r="A7069" s="27"/>
    </row>
    <row r="7070" spans="1:1">
      <c r="A7070" s="27"/>
    </row>
    <row r="7071" spans="1:1">
      <c r="A7071" s="27"/>
    </row>
    <row r="7072" spans="1:1">
      <c r="A7072" s="27"/>
    </row>
    <row r="7073" spans="1:1">
      <c r="A7073" s="27"/>
    </row>
    <row r="7074" spans="1:1">
      <c r="A7074" s="27"/>
    </row>
    <row r="7075" spans="1:1">
      <c r="A7075" s="27"/>
    </row>
    <row r="7076" spans="1:1">
      <c r="A7076" s="27"/>
    </row>
    <row r="7077" spans="1:1">
      <c r="A7077" s="27"/>
    </row>
    <row r="7078" spans="1:1">
      <c r="A7078" s="27"/>
    </row>
    <row r="7079" spans="1:1">
      <c r="A7079" s="27"/>
    </row>
    <row r="7080" spans="1:1">
      <c r="A7080" s="27"/>
    </row>
    <row r="7081" spans="1:1">
      <c r="A7081" s="27"/>
    </row>
    <row r="7082" spans="1:1">
      <c r="A7082" s="27"/>
    </row>
    <row r="7083" spans="1:1">
      <c r="A7083" s="27"/>
    </row>
    <row r="7084" spans="1:1">
      <c r="A7084" s="27"/>
    </row>
    <row r="7085" spans="1:1">
      <c r="A7085" s="27"/>
    </row>
    <row r="7086" spans="1:1">
      <c r="A7086" s="27"/>
    </row>
    <row r="7087" spans="1:1">
      <c r="A7087" s="27"/>
    </row>
    <row r="7088" spans="1:1">
      <c r="A7088" s="27"/>
    </row>
    <row r="7089" spans="1:1">
      <c r="A7089" s="27"/>
    </row>
    <row r="7090" spans="1:1">
      <c r="A7090" s="27"/>
    </row>
    <row r="7091" spans="1:1">
      <c r="A7091" s="27"/>
    </row>
    <row r="7092" spans="1:1">
      <c r="A7092" s="27"/>
    </row>
    <row r="7093" spans="1:1">
      <c r="A7093" s="27"/>
    </row>
    <row r="7094" spans="1:1">
      <c r="A7094" s="27"/>
    </row>
    <row r="7095" spans="1:1">
      <c r="A7095" s="27"/>
    </row>
    <row r="7096" spans="1:1">
      <c r="A7096" s="27"/>
    </row>
    <row r="7097" spans="1:1">
      <c r="A7097" s="27"/>
    </row>
    <row r="7098" spans="1:1">
      <c r="A7098" s="27"/>
    </row>
    <row r="7099" spans="1:1">
      <c r="A7099" s="27"/>
    </row>
    <row r="7100" spans="1:1">
      <c r="A7100" s="27"/>
    </row>
    <row r="7101" spans="1:1">
      <c r="A7101" s="27"/>
    </row>
    <row r="7102" spans="1:1">
      <c r="A7102" s="27"/>
    </row>
    <row r="7103" spans="1:1">
      <c r="A7103" s="27"/>
    </row>
    <row r="7104" spans="1:1">
      <c r="A7104" s="27"/>
    </row>
    <row r="7105" spans="1:1">
      <c r="A7105" s="27"/>
    </row>
    <row r="7106" spans="1:1">
      <c r="A7106" s="27"/>
    </row>
    <row r="7107" spans="1:1">
      <c r="A7107" s="27"/>
    </row>
    <row r="7108" spans="1:1">
      <c r="A7108" s="27"/>
    </row>
    <row r="7109" spans="1:1">
      <c r="A7109" s="27"/>
    </row>
    <row r="7110" spans="1:1">
      <c r="A7110" s="27"/>
    </row>
    <row r="7111" spans="1:1">
      <c r="A7111" s="27"/>
    </row>
    <row r="7112" spans="1:1">
      <c r="A7112" s="27"/>
    </row>
    <row r="7113" spans="1:1">
      <c r="A7113" s="27"/>
    </row>
    <row r="7114" spans="1:1">
      <c r="A7114" s="27"/>
    </row>
    <row r="7115" spans="1:1">
      <c r="A7115" s="27"/>
    </row>
    <row r="7116" spans="1:1">
      <c r="A7116" s="27"/>
    </row>
    <row r="7117" spans="1:1">
      <c r="A7117" s="27"/>
    </row>
    <row r="7118" spans="1:1">
      <c r="A7118" s="27"/>
    </row>
    <row r="7119" spans="1:1">
      <c r="A7119" s="27"/>
    </row>
    <row r="7120" spans="1:1">
      <c r="A7120" s="27"/>
    </row>
    <row r="7121" spans="1:1">
      <c r="A7121" s="27"/>
    </row>
    <row r="7122" spans="1:1">
      <c r="A7122" s="27"/>
    </row>
    <row r="7123" spans="1:1">
      <c r="A7123" s="27"/>
    </row>
    <row r="7124" spans="1:1">
      <c r="A7124" s="27"/>
    </row>
    <row r="7125" spans="1:1">
      <c r="A7125" s="27"/>
    </row>
    <row r="7126" spans="1:1">
      <c r="A7126" s="27"/>
    </row>
    <row r="7127" spans="1:1">
      <c r="A7127" s="27"/>
    </row>
    <row r="7128" spans="1:1">
      <c r="A7128" s="27"/>
    </row>
    <row r="7129" spans="1:1">
      <c r="A7129" s="27"/>
    </row>
    <row r="7130" spans="1:1">
      <c r="A7130" s="27"/>
    </row>
    <row r="7131" spans="1:1">
      <c r="A7131" s="27"/>
    </row>
    <row r="7132" spans="1:1">
      <c r="A7132" s="27"/>
    </row>
    <row r="7133" spans="1:1">
      <c r="A7133" s="27"/>
    </row>
    <row r="7134" spans="1:1">
      <c r="A7134" s="27"/>
    </row>
    <row r="7135" spans="1:1">
      <c r="A7135" s="27"/>
    </row>
    <row r="7136" spans="1:1">
      <c r="A7136" s="27"/>
    </row>
    <row r="7137" spans="1:1">
      <c r="A7137" s="27"/>
    </row>
    <row r="7138" spans="1:1">
      <c r="A7138" s="27"/>
    </row>
    <row r="7139" spans="1:1">
      <c r="A7139" s="27"/>
    </row>
    <row r="7140" spans="1:1">
      <c r="A7140" s="27"/>
    </row>
    <row r="7141" spans="1:1">
      <c r="A7141" s="27"/>
    </row>
    <row r="7142" spans="1:1">
      <c r="A7142" s="27"/>
    </row>
    <row r="7143" spans="1:1">
      <c r="A7143" s="27"/>
    </row>
    <row r="7144" spans="1:1">
      <c r="A7144" s="27"/>
    </row>
    <row r="7145" spans="1:1">
      <c r="A7145" s="27"/>
    </row>
    <row r="7146" spans="1:1">
      <c r="A7146" s="27"/>
    </row>
    <row r="7147" spans="1:1">
      <c r="A7147" s="27"/>
    </row>
    <row r="7148" spans="1:1">
      <c r="A7148" s="27"/>
    </row>
    <row r="7149" spans="1:1">
      <c r="A7149" s="27"/>
    </row>
    <row r="7150" spans="1:1">
      <c r="A7150" s="27"/>
    </row>
    <row r="7151" spans="1:1">
      <c r="A7151" s="27"/>
    </row>
    <row r="7152" spans="1:1">
      <c r="A7152" s="27"/>
    </row>
    <row r="7153" spans="1:1">
      <c r="A7153" s="27"/>
    </row>
    <row r="7154" spans="1:1">
      <c r="A7154" s="27"/>
    </row>
    <row r="7155" spans="1:1">
      <c r="A7155" s="27"/>
    </row>
    <row r="7156" spans="1:1">
      <c r="A7156" s="27"/>
    </row>
    <row r="7157" spans="1:1">
      <c r="A7157" s="27"/>
    </row>
    <row r="7158" spans="1:1">
      <c r="A7158" s="27"/>
    </row>
    <row r="7159" spans="1:1">
      <c r="A7159" s="27"/>
    </row>
    <row r="7160" spans="1:1">
      <c r="A7160" s="27"/>
    </row>
    <row r="7161" spans="1:1">
      <c r="A7161" s="27"/>
    </row>
    <row r="7162" spans="1:1">
      <c r="A7162" s="27"/>
    </row>
    <row r="7163" spans="1:1">
      <c r="A7163" s="27"/>
    </row>
    <row r="7164" spans="1:1">
      <c r="A7164" s="27"/>
    </row>
    <row r="7165" spans="1:1">
      <c r="A7165" s="27"/>
    </row>
    <row r="7166" spans="1:1">
      <c r="A7166" s="27"/>
    </row>
    <row r="7167" spans="1:1">
      <c r="A7167" s="27"/>
    </row>
    <row r="7168" spans="1:1">
      <c r="A7168" s="27"/>
    </row>
    <row r="7169" spans="1:1">
      <c r="A7169" s="27"/>
    </row>
    <row r="7170" spans="1:1">
      <c r="A7170" s="27"/>
    </row>
    <row r="7171" spans="1:1">
      <c r="A7171" s="27"/>
    </row>
    <row r="7172" spans="1:1">
      <c r="A7172" s="27"/>
    </row>
    <row r="7173" spans="1:1">
      <c r="A7173" s="27"/>
    </row>
    <row r="7174" spans="1:1">
      <c r="A7174" s="27"/>
    </row>
    <row r="7175" spans="1:1">
      <c r="A7175" s="27"/>
    </row>
    <row r="7176" spans="1:1">
      <c r="A7176" s="27"/>
    </row>
    <row r="7177" spans="1:1">
      <c r="A7177" s="27"/>
    </row>
    <row r="7178" spans="1:1">
      <c r="A7178" s="27"/>
    </row>
    <row r="7179" spans="1:1">
      <c r="A7179" s="27"/>
    </row>
    <row r="7180" spans="1:1">
      <c r="A7180" s="27"/>
    </row>
    <row r="7181" spans="1:1">
      <c r="A7181" s="27"/>
    </row>
    <row r="7182" spans="1:1">
      <c r="A7182" s="27"/>
    </row>
    <row r="7183" spans="1:1">
      <c r="A7183" s="27"/>
    </row>
    <row r="7184" spans="1:1">
      <c r="A7184" s="27"/>
    </row>
    <row r="7185" spans="1:1">
      <c r="A7185" s="27"/>
    </row>
    <row r="7186" spans="1:1">
      <c r="A7186" s="27"/>
    </row>
    <row r="7187" spans="1:1">
      <c r="A7187" s="27"/>
    </row>
    <row r="7188" spans="1:1">
      <c r="A7188" s="27"/>
    </row>
    <row r="7189" spans="1:1">
      <c r="A7189" s="27"/>
    </row>
    <row r="7190" spans="1:1">
      <c r="A7190" s="27"/>
    </row>
    <row r="7191" spans="1:1">
      <c r="A7191" s="27"/>
    </row>
    <row r="7192" spans="1:1">
      <c r="A7192" s="27"/>
    </row>
    <row r="7193" spans="1:1">
      <c r="A7193" s="27"/>
    </row>
    <row r="7194" spans="1:1">
      <c r="A7194" s="27"/>
    </row>
    <row r="7195" spans="1:1">
      <c r="A7195" s="27"/>
    </row>
    <row r="7196" spans="1:1">
      <c r="A7196" s="27"/>
    </row>
    <row r="7197" spans="1:1">
      <c r="A7197" s="27"/>
    </row>
    <row r="7198" spans="1:1">
      <c r="A7198" s="27"/>
    </row>
    <row r="7199" spans="1:1">
      <c r="A7199" s="27"/>
    </row>
    <row r="7200" spans="1:1">
      <c r="A7200" s="27"/>
    </row>
    <row r="7201" spans="1:1">
      <c r="A7201" s="27"/>
    </row>
    <row r="7202" spans="1:1">
      <c r="A7202" s="27"/>
    </row>
    <row r="7203" spans="1:1">
      <c r="A7203" s="27"/>
    </row>
    <row r="7204" spans="1:1">
      <c r="A7204" s="27"/>
    </row>
    <row r="7205" spans="1:1">
      <c r="A7205" s="27"/>
    </row>
    <row r="7206" spans="1:1">
      <c r="A7206" s="27"/>
    </row>
    <row r="7207" spans="1:1">
      <c r="A7207" s="27"/>
    </row>
    <row r="7208" spans="1:1">
      <c r="A7208" s="27"/>
    </row>
    <row r="7209" spans="1:1">
      <c r="A7209" s="27"/>
    </row>
    <row r="7210" spans="1:1">
      <c r="A7210" s="27"/>
    </row>
    <row r="7211" spans="1:1">
      <c r="A7211" s="27"/>
    </row>
    <row r="7212" spans="1:1">
      <c r="A7212" s="27"/>
    </row>
    <row r="7213" spans="1:1">
      <c r="A7213" s="27"/>
    </row>
    <row r="7214" spans="1:1">
      <c r="A7214" s="27"/>
    </row>
    <row r="7215" spans="1:1">
      <c r="A7215" s="27"/>
    </row>
    <row r="7216" spans="1:1">
      <c r="A7216" s="27"/>
    </row>
    <row r="7217" spans="1:1">
      <c r="A7217" s="27"/>
    </row>
    <row r="7218" spans="1:1">
      <c r="A7218" s="27"/>
    </row>
    <row r="7219" spans="1:1">
      <c r="A7219" s="27"/>
    </row>
    <row r="7220" spans="1:1">
      <c r="A7220" s="27"/>
    </row>
    <row r="7221" spans="1:1">
      <c r="A7221" s="27"/>
    </row>
    <row r="7222" spans="1:1">
      <c r="A7222" s="27"/>
    </row>
    <row r="7223" spans="1:1">
      <c r="A7223" s="27"/>
    </row>
    <row r="7224" spans="1:1">
      <c r="A7224" s="27"/>
    </row>
    <row r="7225" spans="1:1">
      <c r="A7225" s="27"/>
    </row>
    <row r="7226" spans="1:1">
      <c r="A7226" s="27"/>
    </row>
    <row r="7227" spans="1:1">
      <c r="A7227" s="27"/>
    </row>
    <row r="7228" spans="1:1">
      <c r="A7228" s="27"/>
    </row>
    <row r="7229" spans="1:1">
      <c r="A7229" s="27"/>
    </row>
    <row r="7230" spans="1:1">
      <c r="A7230" s="27"/>
    </row>
    <row r="7231" spans="1:1">
      <c r="A7231" s="27"/>
    </row>
    <row r="7232" spans="1:1">
      <c r="A7232" s="27"/>
    </row>
    <row r="7233" spans="1:1">
      <c r="A7233" s="27"/>
    </row>
    <row r="7234" spans="1:1">
      <c r="A7234" s="27"/>
    </row>
    <row r="7235" spans="1:1">
      <c r="A7235" s="27"/>
    </row>
    <row r="7236" spans="1:1">
      <c r="A7236" s="27"/>
    </row>
    <row r="7237" spans="1:1">
      <c r="A7237" s="27"/>
    </row>
    <row r="7238" spans="1:1">
      <c r="A7238" s="27"/>
    </row>
    <row r="7239" spans="1:1">
      <c r="A7239" s="27"/>
    </row>
    <row r="7240" spans="1:1">
      <c r="A7240" s="27"/>
    </row>
    <row r="7241" spans="1:1">
      <c r="A7241" s="27"/>
    </row>
    <row r="7242" spans="1:1">
      <c r="A7242" s="27"/>
    </row>
    <row r="7243" spans="1:1">
      <c r="A7243" s="27"/>
    </row>
    <row r="7244" spans="1:1">
      <c r="A7244" s="27"/>
    </row>
    <row r="7245" spans="1:1">
      <c r="A7245" s="27"/>
    </row>
    <row r="7246" spans="1:1">
      <c r="A7246" s="27"/>
    </row>
    <row r="7247" spans="1:1">
      <c r="A7247" s="27"/>
    </row>
    <row r="7248" spans="1:1">
      <c r="A7248" s="27"/>
    </row>
    <row r="7249" spans="1:1">
      <c r="A7249" s="27"/>
    </row>
    <row r="7250" spans="1:1">
      <c r="A7250" s="27"/>
    </row>
    <row r="7251" spans="1:1">
      <c r="A7251" s="27"/>
    </row>
    <row r="7252" spans="1:1">
      <c r="A7252" s="27"/>
    </row>
    <row r="7253" spans="1:1">
      <c r="A7253" s="27"/>
    </row>
    <row r="7254" spans="1:1">
      <c r="A7254" s="27"/>
    </row>
    <row r="7255" spans="1:1">
      <c r="A7255" s="27"/>
    </row>
    <row r="7256" spans="1:1">
      <c r="A7256" s="27"/>
    </row>
    <row r="7257" spans="1:1">
      <c r="A7257" s="27"/>
    </row>
    <row r="7258" spans="1:1">
      <c r="A7258" s="27"/>
    </row>
    <row r="7259" spans="1:1">
      <c r="A7259" s="27"/>
    </row>
    <row r="7260" spans="1:1">
      <c r="A7260" s="27"/>
    </row>
    <row r="7261" spans="1:1">
      <c r="A7261" s="27"/>
    </row>
    <row r="7262" spans="1:1">
      <c r="A7262" s="27"/>
    </row>
    <row r="7263" spans="1:1">
      <c r="A7263" s="27"/>
    </row>
    <row r="7264" spans="1:1">
      <c r="A7264" s="27"/>
    </row>
    <row r="7265" spans="1:1">
      <c r="A7265" s="27"/>
    </row>
    <row r="7266" spans="1:1">
      <c r="A7266" s="27"/>
    </row>
    <row r="7267" spans="1:1">
      <c r="A7267" s="27"/>
    </row>
    <row r="7268" spans="1:1">
      <c r="A7268" s="27"/>
    </row>
    <row r="7269" spans="1:1">
      <c r="A7269" s="27"/>
    </row>
    <row r="7270" spans="1:1">
      <c r="A7270" s="27"/>
    </row>
    <row r="7271" spans="1:1">
      <c r="A7271" s="27"/>
    </row>
    <row r="7272" spans="1:1">
      <c r="A7272" s="27"/>
    </row>
    <row r="7273" spans="1:1">
      <c r="A7273" s="27"/>
    </row>
    <row r="7274" spans="1:1">
      <c r="A7274" s="27"/>
    </row>
    <row r="7275" spans="1:1">
      <c r="A7275" s="27"/>
    </row>
    <row r="7276" spans="1:1">
      <c r="A7276" s="27"/>
    </row>
    <row r="7277" spans="1:1">
      <c r="A7277" s="27"/>
    </row>
    <row r="7278" spans="1:1">
      <c r="A7278" s="27"/>
    </row>
    <row r="7279" spans="1:1">
      <c r="A7279" s="27"/>
    </row>
    <row r="7280" spans="1:1">
      <c r="A7280" s="27"/>
    </row>
    <row r="7281" spans="1:1">
      <c r="A7281" s="27"/>
    </row>
    <row r="7282" spans="1:1">
      <c r="A7282" s="27"/>
    </row>
    <row r="7283" spans="1:1">
      <c r="A7283" s="27"/>
    </row>
    <row r="7284" spans="1:1">
      <c r="A7284" s="27"/>
    </row>
    <row r="7285" spans="1:1">
      <c r="A7285" s="27"/>
    </row>
    <row r="7286" spans="1:1">
      <c r="A7286" s="27"/>
    </row>
    <row r="7287" spans="1:1">
      <c r="A7287" s="27"/>
    </row>
    <row r="7288" spans="1:1">
      <c r="A7288" s="27"/>
    </row>
    <row r="7289" spans="1:1">
      <c r="A7289" s="27"/>
    </row>
    <row r="7290" spans="1:1">
      <c r="A7290" s="27"/>
    </row>
    <row r="7291" spans="1:1">
      <c r="A7291" s="27"/>
    </row>
    <row r="7292" spans="1:1">
      <c r="A7292" s="27"/>
    </row>
    <row r="7293" spans="1:1">
      <c r="A7293" s="27"/>
    </row>
    <row r="7294" spans="1:1">
      <c r="A7294" s="27"/>
    </row>
    <row r="7295" spans="1:1">
      <c r="A7295" s="27"/>
    </row>
    <row r="7296" spans="1:1">
      <c r="A7296" s="27"/>
    </row>
    <row r="7297" spans="1:1">
      <c r="A7297" s="27"/>
    </row>
    <row r="7298" spans="1:1">
      <c r="A7298" s="27"/>
    </row>
    <row r="7299" spans="1:1">
      <c r="A7299" s="27"/>
    </row>
    <row r="7300" spans="1:1">
      <c r="A7300" s="27"/>
    </row>
    <row r="7301" spans="1:1">
      <c r="A7301" s="27"/>
    </row>
    <row r="7302" spans="1:1">
      <c r="A7302" s="27"/>
    </row>
    <row r="7303" spans="1:1">
      <c r="A7303" s="27"/>
    </row>
    <row r="7304" spans="1:1">
      <c r="A7304" s="27"/>
    </row>
    <row r="7305" spans="1:1">
      <c r="A7305" s="27"/>
    </row>
    <row r="7306" spans="1:1">
      <c r="A7306" s="27"/>
    </row>
    <row r="7307" spans="1:1">
      <c r="A7307" s="27"/>
    </row>
    <row r="7308" spans="1:1">
      <c r="A7308" s="27"/>
    </row>
    <row r="7309" spans="1:1">
      <c r="A7309" s="27"/>
    </row>
    <row r="7310" spans="1:1">
      <c r="A7310" s="27"/>
    </row>
    <row r="7311" spans="1:1">
      <c r="A7311" s="27"/>
    </row>
    <row r="7312" spans="1:1">
      <c r="A7312" s="27"/>
    </row>
    <row r="7313" spans="1:1">
      <c r="A7313" s="27"/>
    </row>
    <row r="7314" spans="1:1">
      <c r="A7314" s="27"/>
    </row>
    <row r="7315" spans="1:1">
      <c r="A7315" s="27"/>
    </row>
    <row r="7316" spans="1:1">
      <c r="A7316" s="27"/>
    </row>
    <row r="7317" spans="1:1">
      <c r="A7317" s="27"/>
    </row>
    <row r="7318" spans="1:1">
      <c r="A7318" s="27"/>
    </row>
    <row r="7319" spans="1:1">
      <c r="A7319" s="27"/>
    </row>
    <row r="7320" spans="1:1">
      <c r="A7320" s="27"/>
    </row>
    <row r="7321" spans="1:1">
      <c r="A7321" s="27"/>
    </row>
    <row r="7322" spans="1:1">
      <c r="A7322" s="27"/>
    </row>
    <row r="7323" spans="1:1">
      <c r="A7323" s="27"/>
    </row>
    <row r="7324" spans="1:1">
      <c r="A7324" s="27"/>
    </row>
    <row r="7325" spans="1:1">
      <c r="A7325" s="27"/>
    </row>
    <row r="7326" spans="1:1">
      <c r="A7326" s="27"/>
    </row>
    <row r="7327" spans="1:1">
      <c r="A7327" s="27"/>
    </row>
    <row r="7328" spans="1:1">
      <c r="A7328" s="27"/>
    </row>
    <row r="7329" spans="1:1">
      <c r="A7329" s="27"/>
    </row>
    <row r="7330" spans="1:1">
      <c r="A7330" s="27"/>
    </row>
    <row r="7331" spans="1:1">
      <c r="A7331" s="27"/>
    </row>
    <row r="7332" spans="1:1">
      <c r="A7332" s="27"/>
    </row>
    <row r="7333" spans="1:1">
      <c r="A7333" s="27"/>
    </row>
    <row r="7334" spans="1:1">
      <c r="A7334" s="27"/>
    </row>
    <row r="7335" spans="1:1">
      <c r="A7335" s="27"/>
    </row>
    <row r="7336" spans="1:1">
      <c r="A7336" s="27"/>
    </row>
    <row r="7337" spans="1:1">
      <c r="A7337" s="27"/>
    </row>
    <row r="7338" spans="1:1">
      <c r="A7338" s="27"/>
    </row>
    <row r="7339" spans="1:1">
      <c r="A7339" s="27"/>
    </row>
    <row r="7340" spans="1:1">
      <c r="A7340" s="27"/>
    </row>
    <row r="7341" spans="1:1">
      <c r="A7341" s="27"/>
    </row>
    <row r="7342" spans="1:1">
      <c r="A7342" s="27"/>
    </row>
    <row r="7343" spans="1:1">
      <c r="A7343" s="27"/>
    </row>
    <row r="7344" spans="1:1">
      <c r="A7344" s="27"/>
    </row>
    <row r="7345" spans="1:1">
      <c r="A7345" s="27"/>
    </row>
    <row r="7346" spans="1:1">
      <c r="A7346" s="27"/>
    </row>
    <row r="7347" spans="1:1">
      <c r="A7347" s="27"/>
    </row>
    <row r="7348" spans="1:1">
      <c r="A7348" s="27"/>
    </row>
    <row r="7349" spans="1:1">
      <c r="A7349" s="27"/>
    </row>
    <row r="7350" spans="1:1">
      <c r="A7350" s="27"/>
    </row>
    <row r="7351" spans="1:1">
      <c r="A7351" s="27"/>
    </row>
    <row r="7352" spans="1:1">
      <c r="A7352" s="27"/>
    </row>
    <row r="7353" spans="1:1">
      <c r="A7353" s="27"/>
    </row>
    <row r="7354" spans="1:1">
      <c r="A7354" s="27"/>
    </row>
    <row r="7355" spans="1:1">
      <c r="A7355" s="27"/>
    </row>
    <row r="7356" spans="1:1">
      <c r="A7356" s="27"/>
    </row>
    <row r="7357" spans="1:1">
      <c r="A7357" s="27"/>
    </row>
    <row r="7358" spans="1:1">
      <c r="A7358" s="27"/>
    </row>
    <row r="7359" spans="1:1">
      <c r="A7359" s="27"/>
    </row>
    <row r="7360" spans="1:1">
      <c r="A7360" s="27"/>
    </row>
    <row r="7361" spans="1:1">
      <c r="A7361" s="27"/>
    </row>
    <row r="7362" spans="1:1">
      <c r="A7362" s="27"/>
    </row>
    <row r="7363" spans="1:1">
      <c r="A7363" s="27"/>
    </row>
    <row r="7364" spans="1:1">
      <c r="A7364" s="27"/>
    </row>
    <row r="7365" spans="1:1">
      <c r="A7365" s="27"/>
    </row>
    <row r="7366" spans="1:1">
      <c r="A7366" s="27"/>
    </row>
    <row r="7367" spans="1:1">
      <c r="A7367" s="27"/>
    </row>
    <row r="7368" spans="1:1">
      <c r="A7368" s="27"/>
    </row>
    <row r="7369" spans="1:1">
      <c r="A7369" s="27"/>
    </row>
    <row r="7370" spans="1:1">
      <c r="A7370" s="27"/>
    </row>
    <row r="7371" spans="1:1">
      <c r="A7371" s="27"/>
    </row>
    <row r="7372" spans="1:1">
      <c r="A7372" s="27"/>
    </row>
    <row r="7373" spans="1:1">
      <c r="A7373" s="27"/>
    </row>
    <row r="7374" spans="1:1">
      <c r="A7374" s="27"/>
    </row>
    <row r="7375" spans="1:1">
      <c r="A7375" s="27"/>
    </row>
    <row r="7376" spans="1:1">
      <c r="A7376" s="27"/>
    </row>
    <row r="7377" spans="1:1">
      <c r="A7377" s="27"/>
    </row>
    <row r="7378" spans="1:1">
      <c r="A7378" s="27"/>
    </row>
    <row r="7379" spans="1:1">
      <c r="A7379" s="27"/>
    </row>
    <row r="7380" spans="1:1">
      <c r="A7380" s="27"/>
    </row>
    <row r="7381" spans="1:1">
      <c r="A7381" s="27"/>
    </row>
    <row r="7382" spans="1:1">
      <c r="A7382" s="27"/>
    </row>
    <row r="7383" spans="1:1">
      <c r="A7383" s="27"/>
    </row>
    <row r="7384" spans="1:1">
      <c r="A7384" s="27"/>
    </row>
    <row r="7385" spans="1:1">
      <c r="A7385" s="27"/>
    </row>
    <row r="7386" spans="1:1">
      <c r="A7386" s="27"/>
    </row>
    <row r="7387" spans="1:1">
      <c r="A7387" s="27"/>
    </row>
    <row r="7388" spans="1:1">
      <c r="A7388" s="27"/>
    </row>
    <row r="7389" spans="1:1">
      <c r="A7389" s="27"/>
    </row>
    <row r="7390" spans="1:1">
      <c r="A7390" s="27"/>
    </row>
    <row r="7391" spans="1:1">
      <c r="A7391" s="27"/>
    </row>
    <row r="7392" spans="1:1">
      <c r="A7392" s="27"/>
    </row>
    <row r="7393" spans="1:1">
      <c r="A7393" s="27"/>
    </row>
    <row r="7394" spans="1:1">
      <c r="A7394" s="27"/>
    </row>
    <row r="7395" spans="1:1">
      <c r="A7395" s="27"/>
    </row>
    <row r="7396" spans="1:1">
      <c r="A7396" s="27"/>
    </row>
    <row r="7397" spans="1:1">
      <c r="A7397" s="27"/>
    </row>
    <row r="7398" spans="1:1">
      <c r="A7398" s="27"/>
    </row>
    <row r="7399" spans="1:1">
      <c r="A7399" s="27"/>
    </row>
    <row r="7400" spans="1:1">
      <c r="A7400" s="27"/>
    </row>
    <row r="7401" spans="1:1">
      <c r="A7401" s="27"/>
    </row>
    <row r="7402" spans="1:1">
      <c r="A7402" s="27"/>
    </row>
    <row r="7403" spans="1:1">
      <c r="A7403" s="27"/>
    </row>
    <row r="7404" spans="1:1">
      <c r="A7404" s="27"/>
    </row>
    <row r="7405" spans="1:1">
      <c r="A7405" s="27"/>
    </row>
    <row r="7406" spans="1:1">
      <c r="A7406" s="27"/>
    </row>
    <row r="7407" spans="1:1">
      <c r="A7407" s="27"/>
    </row>
    <row r="7408" spans="1:1">
      <c r="A7408" s="27"/>
    </row>
    <row r="7409" spans="1:1">
      <c r="A7409" s="27"/>
    </row>
    <row r="7410" spans="1:1">
      <c r="A7410" s="27"/>
    </row>
    <row r="7411" spans="1:1">
      <c r="A7411" s="27"/>
    </row>
    <row r="7412" spans="1:1">
      <c r="A7412" s="27"/>
    </row>
    <row r="7413" spans="1:1">
      <c r="A7413" s="27"/>
    </row>
    <row r="7414" spans="1:1">
      <c r="A7414" s="27"/>
    </row>
    <row r="7415" spans="1:1">
      <c r="A7415" s="27"/>
    </row>
    <row r="7416" spans="1:1">
      <c r="A7416" s="27"/>
    </row>
    <row r="7417" spans="1:1">
      <c r="A7417" s="27"/>
    </row>
    <row r="7418" spans="1:1">
      <c r="A7418" s="27"/>
    </row>
    <row r="7419" spans="1:1">
      <c r="A7419" s="27"/>
    </row>
    <row r="7420" spans="1:1">
      <c r="A7420" s="27"/>
    </row>
    <row r="7421" spans="1:1">
      <c r="A7421" s="27"/>
    </row>
    <row r="7422" spans="1:1">
      <c r="A7422" s="27"/>
    </row>
    <row r="7423" spans="1:1">
      <c r="A7423" s="27"/>
    </row>
    <row r="7424" spans="1:1">
      <c r="A7424" s="27"/>
    </row>
    <row r="7425" spans="1:1">
      <c r="A7425" s="27"/>
    </row>
    <row r="7426" spans="1:1">
      <c r="A7426" s="27"/>
    </row>
    <row r="7427" spans="1:1">
      <c r="A7427" s="27"/>
    </row>
    <row r="7428" spans="1:1">
      <c r="A7428" s="27"/>
    </row>
    <row r="7429" spans="1:1">
      <c r="A7429" s="27"/>
    </row>
    <row r="7430" spans="1:1">
      <c r="A7430" s="27"/>
    </row>
    <row r="7431" spans="1:1">
      <c r="A7431" s="27"/>
    </row>
    <row r="7432" spans="1:1">
      <c r="A7432" s="27"/>
    </row>
    <row r="7433" spans="1:1">
      <c r="A7433" s="27"/>
    </row>
    <row r="7434" spans="1:1">
      <c r="A7434" s="27"/>
    </row>
    <row r="7435" spans="1:1">
      <c r="A7435" s="27"/>
    </row>
    <row r="7436" spans="1:1">
      <c r="A7436" s="27"/>
    </row>
    <row r="7437" spans="1:1">
      <c r="A7437" s="27"/>
    </row>
    <row r="7438" spans="1:1">
      <c r="A7438" s="27"/>
    </row>
    <row r="7439" spans="1:1">
      <c r="A7439" s="27"/>
    </row>
    <row r="7440" spans="1:1">
      <c r="A7440" s="27"/>
    </row>
    <row r="7441" spans="1:1">
      <c r="A7441" s="27"/>
    </row>
    <row r="7442" spans="1:1">
      <c r="A7442" s="27"/>
    </row>
    <row r="7443" spans="1:1">
      <c r="A7443" s="27"/>
    </row>
    <row r="7444" spans="1:1">
      <c r="A7444" s="27"/>
    </row>
    <row r="7445" spans="1:1">
      <c r="A7445" s="27"/>
    </row>
    <row r="7446" spans="1:1">
      <c r="A7446" s="27"/>
    </row>
    <row r="7447" spans="1:1">
      <c r="A7447" s="27"/>
    </row>
    <row r="7448" spans="1:1">
      <c r="A7448" s="27"/>
    </row>
    <row r="7449" spans="1:1">
      <c r="A7449" s="27"/>
    </row>
    <row r="7450" spans="1:1">
      <c r="A7450" s="27"/>
    </row>
    <row r="7451" spans="1:1">
      <c r="A7451" s="27"/>
    </row>
    <row r="7452" spans="1:1">
      <c r="A7452" s="27"/>
    </row>
    <row r="7453" spans="1:1">
      <c r="A7453" s="27"/>
    </row>
    <row r="7454" spans="1:1">
      <c r="A7454" s="27"/>
    </row>
    <row r="7455" spans="1:1">
      <c r="A7455" s="27"/>
    </row>
    <row r="7456" spans="1:1">
      <c r="A7456" s="27"/>
    </row>
    <row r="7457" spans="1:1">
      <c r="A7457" s="27"/>
    </row>
    <row r="7458" spans="1:1">
      <c r="A7458" s="27"/>
    </row>
    <row r="7459" spans="1:1">
      <c r="A7459" s="27"/>
    </row>
    <row r="7460" spans="1:1">
      <c r="A7460" s="27"/>
    </row>
    <row r="7461" spans="1:1">
      <c r="A7461" s="27"/>
    </row>
    <row r="7462" spans="1:1">
      <c r="A7462" s="27"/>
    </row>
    <row r="7463" spans="1:1">
      <c r="A7463" s="27"/>
    </row>
    <row r="7464" spans="1:1">
      <c r="A7464" s="27"/>
    </row>
    <row r="7465" spans="1:1">
      <c r="A7465" s="27"/>
    </row>
    <row r="7466" spans="1:1">
      <c r="A7466" s="27"/>
    </row>
    <row r="7467" spans="1:1">
      <c r="A7467" s="27"/>
    </row>
    <row r="7468" spans="1:1">
      <c r="A7468" s="27"/>
    </row>
    <row r="7469" spans="1:1">
      <c r="A7469" s="27"/>
    </row>
    <row r="7470" spans="1:1">
      <c r="A7470" s="27"/>
    </row>
    <row r="7471" spans="1:1">
      <c r="A7471" s="27"/>
    </row>
    <row r="7472" spans="1:1">
      <c r="A7472" s="27"/>
    </row>
    <row r="7473" spans="1:1">
      <c r="A7473" s="27"/>
    </row>
    <row r="7474" spans="1:1">
      <c r="A7474" s="27"/>
    </row>
    <row r="7475" spans="1:1">
      <c r="A7475" s="27"/>
    </row>
    <row r="7476" spans="1:1">
      <c r="A7476" s="27"/>
    </row>
    <row r="7477" spans="1:1">
      <c r="A7477" s="27"/>
    </row>
    <row r="7478" spans="1:1">
      <c r="A7478" s="27"/>
    </row>
    <row r="7479" spans="1:1">
      <c r="A7479" s="27"/>
    </row>
    <row r="7480" spans="1:1">
      <c r="A7480" s="27"/>
    </row>
    <row r="7481" spans="1:1">
      <c r="A7481" s="27"/>
    </row>
    <row r="7482" spans="1:1">
      <c r="A7482" s="27"/>
    </row>
    <row r="7483" spans="1:1">
      <c r="A7483" s="27"/>
    </row>
    <row r="7484" spans="1:1">
      <c r="A7484" s="27"/>
    </row>
    <row r="7485" spans="1:1">
      <c r="A7485" s="27"/>
    </row>
    <row r="7486" spans="1:1">
      <c r="A7486" s="27"/>
    </row>
    <row r="7487" spans="1:1">
      <c r="A7487" s="27"/>
    </row>
    <row r="7488" spans="1:1">
      <c r="A7488" s="27"/>
    </row>
    <row r="7489" spans="1:1">
      <c r="A7489" s="27"/>
    </row>
    <row r="7490" spans="1:1">
      <c r="A7490" s="27"/>
    </row>
    <row r="7491" spans="1:1">
      <c r="A7491" s="27"/>
    </row>
    <row r="7492" spans="1:1">
      <c r="A7492" s="27"/>
    </row>
    <row r="7493" spans="1:1">
      <c r="A7493" s="27"/>
    </row>
    <row r="7494" spans="1:1">
      <c r="A7494" s="27"/>
    </row>
    <row r="7495" spans="1:1">
      <c r="A7495" s="27"/>
    </row>
    <row r="7496" spans="1:1">
      <c r="A7496" s="27"/>
    </row>
    <row r="7497" spans="1:1">
      <c r="A7497" s="27"/>
    </row>
    <row r="7498" spans="1:1">
      <c r="A7498" s="27"/>
    </row>
    <row r="7499" spans="1:1">
      <c r="A7499" s="27"/>
    </row>
    <row r="7500" spans="1:1">
      <c r="A7500" s="27"/>
    </row>
    <row r="7501" spans="1:1">
      <c r="A7501" s="27"/>
    </row>
    <row r="7502" spans="1:1">
      <c r="A7502" s="27"/>
    </row>
    <row r="7503" spans="1:1">
      <c r="A7503" s="27"/>
    </row>
    <row r="7504" spans="1:1">
      <c r="A7504" s="27"/>
    </row>
    <row r="7505" spans="1:1">
      <c r="A7505" s="27"/>
    </row>
    <row r="7506" spans="1:1">
      <c r="A7506" s="27"/>
    </row>
    <row r="7507" spans="1:1">
      <c r="A7507" s="27"/>
    </row>
    <row r="7508" spans="1:1">
      <c r="A7508" s="27"/>
    </row>
    <row r="7509" spans="1:1">
      <c r="A7509" s="27"/>
    </row>
    <row r="7510" spans="1:1">
      <c r="A7510" s="27"/>
    </row>
    <row r="7511" spans="1:1">
      <c r="A7511" s="27"/>
    </row>
    <row r="7512" spans="1:1">
      <c r="A7512" s="27"/>
    </row>
    <row r="7513" spans="1:1">
      <c r="A7513" s="27"/>
    </row>
    <row r="7514" spans="1:1">
      <c r="A7514" s="27"/>
    </row>
    <row r="7515" spans="1:1">
      <c r="A7515" s="27"/>
    </row>
    <row r="7516" spans="1:1">
      <c r="A7516" s="27"/>
    </row>
    <row r="7517" spans="1:1">
      <c r="A7517" s="27"/>
    </row>
    <row r="7518" spans="1:1">
      <c r="A7518" s="27"/>
    </row>
    <row r="7519" spans="1:1">
      <c r="A7519" s="27"/>
    </row>
    <row r="7520" spans="1:1">
      <c r="A7520" s="27"/>
    </row>
    <row r="7521" spans="1:1">
      <c r="A7521" s="27"/>
    </row>
    <row r="7522" spans="1:1">
      <c r="A7522" s="27"/>
    </row>
    <row r="7523" spans="1:1">
      <c r="A7523" s="27"/>
    </row>
    <row r="7524" spans="1:1">
      <c r="A7524" s="27"/>
    </row>
    <row r="7525" spans="1:1">
      <c r="A7525" s="27"/>
    </row>
    <row r="7526" spans="1:1">
      <c r="A7526" s="27"/>
    </row>
    <row r="7527" spans="1:1">
      <c r="A7527" s="27"/>
    </row>
    <row r="7528" spans="1:1">
      <c r="A7528" s="27"/>
    </row>
    <row r="7529" spans="1:1">
      <c r="A7529" s="27"/>
    </row>
    <row r="7530" spans="1:1">
      <c r="A7530" s="27"/>
    </row>
    <row r="7531" spans="1:1">
      <c r="A7531" s="27"/>
    </row>
    <row r="7532" spans="1:1">
      <c r="A7532" s="27"/>
    </row>
    <row r="7533" spans="1:1">
      <c r="A7533" s="27"/>
    </row>
    <row r="7534" spans="1:1">
      <c r="A7534" s="27"/>
    </row>
    <row r="7535" spans="1:1">
      <c r="A7535" s="27"/>
    </row>
    <row r="7536" spans="1:1">
      <c r="A7536" s="27"/>
    </row>
    <row r="7537" spans="1:1">
      <c r="A7537" s="27"/>
    </row>
    <row r="7538" spans="1:1">
      <c r="A7538" s="27"/>
    </row>
    <row r="7539" spans="1:1">
      <c r="A7539" s="27"/>
    </row>
    <row r="7540" spans="1:1">
      <c r="A7540" s="27"/>
    </row>
    <row r="7541" spans="1:1">
      <c r="A7541" s="27"/>
    </row>
    <row r="7542" spans="1:1">
      <c r="A7542" s="27"/>
    </row>
    <row r="7543" spans="1:1">
      <c r="A7543" s="27"/>
    </row>
    <row r="7544" spans="1:1">
      <c r="A7544" s="27"/>
    </row>
    <row r="7545" spans="1:1">
      <c r="A7545" s="27"/>
    </row>
    <row r="7546" spans="1:1">
      <c r="A7546" s="27"/>
    </row>
    <row r="7547" spans="1:1">
      <c r="A7547" s="27"/>
    </row>
    <row r="7548" spans="1:1">
      <c r="A7548" s="27"/>
    </row>
    <row r="7549" spans="1:1">
      <c r="A7549" s="27"/>
    </row>
    <row r="7550" spans="1:1">
      <c r="A7550" s="27"/>
    </row>
    <row r="7551" spans="1:1">
      <c r="A7551" s="27"/>
    </row>
    <row r="7552" spans="1:1">
      <c r="A7552" s="27"/>
    </row>
    <row r="7553" spans="1:1">
      <c r="A7553" s="27"/>
    </row>
    <row r="7554" spans="1:1">
      <c r="A7554" s="27"/>
    </row>
    <row r="7555" spans="1:1">
      <c r="A7555" s="27"/>
    </row>
    <row r="7556" spans="1:1">
      <c r="A7556" s="27"/>
    </row>
    <row r="7557" spans="1:1">
      <c r="A7557" s="27"/>
    </row>
    <row r="7558" spans="1:1">
      <c r="A7558" s="27"/>
    </row>
    <row r="7559" spans="1:1">
      <c r="A7559" s="27"/>
    </row>
    <row r="7560" spans="1:1">
      <c r="A7560" s="27"/>
    </row>
    <row r="7561" spans="1:1">
      <c r="A7561" s="27"/>
    </row>
    <row r="7562" spans="1:1">
      <c r="A7562" s="27"/>
    </row>
    <row r="7563" spans="1:1">
      <c r="A7563" s="27"/>
    </row>
    <row r="7564" spans="1:1">
      <c r="A7564" s="27"/>
    </row>
    <row r="7565" spans="1:1">
      <c r="A7565" s="27"/>
    </row>
    <row r="7566" spans="1:1">
      <c r="A7566" s="27"/>
    </row>
    <row r="7567" spans="1:1">
      <c r="A7567" s="27"/>
    </row>
    <row r="7568" spans="1:1">
      <c r="A7568" s="27"/>
    </row>
    <row r="7569" spans="1:1">
      <c r="A7569" s="27"/>
    </row>
    <row r="7570" spans="1:1">
      <c r="A7570" s="27"/>
    </row>
    <row r="7571" spans="1:1">
      <c r="A7571" s="27"/>
    </row>
    <row r="7572" spans="1:1">
      <c r="A7572" s="27"/>
    </row>
    <row r="7573" spans="1:1">
      <c r="A7573" s="27"/>
    </row>
    <row r="7574" spans="1:1">
      <c r="A7574" s="27"/>
    </row>
    <row r="7575" spans="1:1">
      <c r="A7575" s="27"/>
    </row>
    <row r="7576" spans="1:1">
      <c r="A7576" s="27"/>
    </row>
    <row r="7577" spans="1:1">
      <c r="A7577" s="27"/>
    </row>
    <row r="7578" spans="1:1">
      <c r="A7578" s="27"/>
    </row>
    <row r="7579" spans="1:1">
      <c r="A7579" s="27"/>
    </row>
    <row r="7580" spans="1:1">
      <c r="A7580" s="27"/>
    </row>
    <row r="7581" spans="1:1">
      <c r="A7581" s="27"/>
    </row>
    <row r="7582" spans="1:1">
      <c r="A7582" s="27"/>
    </row>
    <row r="7583" spans="1:1">
      <c r="A7583" s="27"/>
    </row>
    <row r="7584" spans="1:1">
      <c r="A7584" s="27"/>
    </row>
    <row r="7585" spans="1:1">
      <c r="A7585" s="27"/>
    </row>
    <row r="7586" spans="1:1">
      <c r="A7586" s="27"/>
    </row>
    <row r="7587" spans="1:1">
      <c r="A7587" s="27"/>
    </row>
    <row r="7588" spans="1:1">
      <c r="A7588" s="27"/>
    </row>
    <row r="7589" spans="1:1">
      <c r="A7589" s="27"/>
    </row>
    <row r="7590" spans="1:1">
      <c r="A7590" s="27"/>
    </row>
    <row r="7591" spans="1:1">
      <c r="A7591" s="27"/>
    </row>
    <row r="7592" spans="1:1">
      <c r="A7592" s="27"/>
    </row>
    <row r="7593" spans="1:1">
      <c r="A7593" s="27"/>
    </row>
    <row r="7594" spans="1:1">
      <c r="A7594" s="27"/>
    </row>
    <row r="7595" spans="1:1">
      <c r="A7595" s="27"/>
    </row>
    <row r="7596" spans="1:1">
      <c r="A7596" s="27"/>
    </row>
    <row r="7597" spans="1:1">
      <c r="A7597" s="27"/>
    </row>
    <row r="7598" spans="1:1">
      <c r="A7598" s="27"/>
    </row>
    <row r="7599" spans="1:1">
      <c r="A7599" s="27"/>
    </row>
    <row r="7600" spans="1:1">
      <c r="A7600" s="27"/>
    </row>
    <row r="7601" spans="1:1">
      <c r="A7601" s="27"/>
    </row>
    <row r="7602" spans="1:1">
      <c r="A7602" s="27"/>
    </row>
    <row r="7603" spans="1:1">
      <c r="A7603" s="27"/>
    </row>
    <row r="7604" spans="1:1">
      <c r="A7604" s="27"/>
    </row>
    <row r="7605" spans="1:1">
      <c r="A7605" s="27"/>
    </row>
    <row r="7606" spans="1:1">
      <c r="A7606" s="27"/>
    </row>
    <row r="7607" spans="1:1">
      <c r="A7607" s="27"/>
    </row>
    <row r="7608" spans="1:1">
      <c r="A7608" s="27"/>
    </row>
    <row r="7609" spans="1:1">
      <c r="A7609" s="27"/>
    </row>
    <row r="7610" spans="1:1">
      <c r="A7610" s="27"/>
    </row>
    <row r="7611" spans="1:1">
      <c r="A7611" s="27"/>
    </row>
    <row r="7612" spans="1:1">
      <c r="A7612" s="27"/>
    </row>
    <row r="7613" spans="1:1">
      <c r="A7613" s="27"/>
    </row>
    <row r="7614" spans="1:1">
      <c r="A7614" s="27"/>
    </row>
    <row r="7615" spans="1:1">
      <c r="A7615" s="27"/>
    </row>
    <row r="7616" spans="1:1">
      <c r="A7616" s="27"/>
    </row>
    <row r="7617" spans="1:1">
      <c r="A7617" s="27"/>
    </row>
    <row r="7618" spans="1:1">
      <c r="A7618" s="27"/>
    </row>
    <row r="7619" spans="1:1">
      <c r="A7619" s="27"/>
    </row>
    <row r="7620" spans="1:1">
      <c r="A7620" s="27"/>
    </row>
    <row r="7621" spans="1:1">
      <c r="A7621" s="27"/>
    </row>
    <row r="7622" spans="1:1">
      <c r="A7622" s="27"/>
    </row>
    <row r="7623" spans="1:1">
      <c r="A7623" s="27"/>
    </row>
    <row r="7624" spans="1:1">
      <c r="A7624" s="27"/>
    </row>
    <row r="7625" spans="1:1">
      <c r="A7625" s="27"/>
    </row>
    <row r="7626" spans="1:1">
      <c r="A7626" s="27"/>
    </row>
    <row r="7627" spans="1:1">
      <c r="A7627" s="27"/>
    </row>
    <row r="7628" spans="1:1">
      <c r="A7628" s="27"/>
    </row>
    <row r="7629" spans="1:1">
      <c r="A7629" s="27"/>
    </row>
    <row r="7630" spans="1:1">
      <c r="A7630" s="27"/>
    </row>
    <row r="7631" spans="1:1">
      <c r="A7631" s="27"/>
    </row>
    <row r="7632" spans="1:1">
      <c r="A7632" s="27"/>
    </row>
    <row r="7633" spans="1:1">
      <c r="A7633" s="27"/>
    </row>
    <row r="7634" spans="1:1">
      <c r="A7634" s="27"/>
    </row>
    <row r="7635" spans="1:1">
      <c r="A7635" s="27"/>
    </row>
    <row r="7636" spans="1:1">
      <c r="A7636" s="27"/>
    </row>
    <row r="7637" spans="1:1">
      <c r="A7637" s="27"/>
    </row>
    <row r="7638" spans="1:1">
      <c r="A7638" s="27"/>
    </row>
    <row r="7639" spans="1:1">
      <c r="A7639" s="27"/>
    </row>
    <row r="7640" spans="1:1">
      <c r="A7640" s="27"/>
    </row>
    <row r="7641" spans="1:1">
      <c r="A7641" s="27"/>
    </row>
    <row r="7642" spans="1:1">
      <c r="A7642" s="27"/>
    </row>
    <row r="7643" spans="1:1">
      <c r="A7643" s="27"/>
    </row>
    <row r="7644" spans="1:1">
      <c r="A7644" s="27"/>
    </row>
    <row r="7645" spans="1:1">
      <c r="A7645" s="27"/>
    </row>
    <row r="7646" spans="1:1">
      <c r="A7646" s="27"/>
    </row>
    <row r="7647" spans="1:1">
      <c r="A7647" s="27"/>
    </row>
    <row r="7648" spans="1:1">
      <c r="A7648" s="27"/>
    </row>
    <row r="7649" spans="1:1">
      <c r="A7649" s="27"/>
    </row>
    <row r="7650" spans="1:1">
      <c r="A7650" s="27"/>
    </row>
    <row r="7651" spans="1:1">
      <c r="A7651" s="27"/>
    </row>
    <row r="7652" spans="1:1">
      <c r="A7652" s="27"/>
    </row>
    <row r="7653" spans="1:1">
      <c r="A7653" s="27"/>
    </row>
    <row r="7654" spans="1:1">
      <c r="A7654" s="27"/>
    </row>
    <row r="7655" spans="1:1">
      <c r="A7655" s="27"/>
    </row>
    <row r="7656" spans="1:1">
      <c r="A7656" s="27"/>
    </row>
    <row r="7657" spans="1:1">
      <c r="A7657" s="27"/>
    </row>
    <row r="7658" spans="1:1">
      <c r="A7658" s="27"/>
    </row>
    <row r="7659" spans="1:1">
      <c r="A7659" s="27"/>
    </row>
    <row r="7660" spans="1:1">
      <c r="A7660" s="27"/>
    </row>
    <row r="7661" spans="1:1">
      <c r="A7661" s="27"/>
    </row>
    <row r="7662" spans="1:1">
      <c r="A7662" s="27"/>
    </row>
    <row r="7663" spans="1:1">
      <c r="A7663" s="27"/>
    </row>
    <row r="7664" spans="1:1">
      <c r="A7664" s="27"/>
    </row>
    <row r="7665" spans="1:1">
      <c r="A7665" s="27"/>
    </row>
    <row r="7666" spans="1:1">
      <c r="A7666" s="27"/>
    </row>
    <row r="7667" spans="1:1">
      <c r="A7667" s="27"/>
    </row>
    <row r="7668" spans="1:1">
      <c r="A7668" s="27"/>
    </row>
    <row r="7669" spans="1:1">
      <c r="A7669" s="27"/>
    </row>
    <row r="7670" spans="1:1">
      <c r="A7670" s="27"/>
    </row>
    <row r="7671" spans="1:1">
      <c r="A7671" s="27"/>
    </row>
    <row r="7672" spans="1:1">
      <c r="A7672" s="27"/>
    </row>
    <row r="7673" spans="1:1">
      <c r="A7673" s="27"/>
    </row>
    <row r="7674" spans="1:1">
      <c r="A7674" s="27"/>
    </row>
    <row r="7675" spans="1:1">
      <c r="A7675" s="27"/>
    </row>
    <row r="7676" spans="1:1">
      <c r="A7676" s="27"/>
    </row>
    <row r="7677" spans="1:1">
      <c r="A7677" s="27"/>
    </row>
    <row r="7678" spans="1:1">
      <c r="A7678" s="27"/>
    </row>
    <row r="7679" spans="1:1">
      <c r="A7679" s="27"/>
    </row>
    <row r="7680" spans="1:1">
      <c r="A7680" s="27"/>
    </row>
    <row r="7681" spans="1:1">
      <c r="A7681" s="27"/>
    </row>
    <row r="7682" spans="1:1">
      <c r="A7682" s="27"/>
    </row>
    <row r="7683" spans="1:1">
      <c r="A7683" s="27"/>
    </row>
    <row r="7684" spans="1:1">
      <c r="A7684" s="27"/>
    </row>
    <row r="7685" spans="1:1">
      <c r="A7685" s="27"/>
    </row>
    <row r="7686" spans="1:1">
      <c r="A7686" s="27"/>
    </row>
    <row r="7687" spans="1:1">
      <c r="A7687" s="27"/>
    </row>
    <row r="7688" spans="1:1">
      <c r="A7688" s="27"/>
    </row>
    <row r="7689" spans="1:1">
      <c r="A7689" s="27"/>
    </row>
    <row r="7690" spans="1:1">
      <c r="A7690" s="27"/>
    </row>
    <row r="7691" spans="1:1">
      <c r="A7691" s="27"/>
    </row>
    <row r="7692" spans="1:1">
      <c r="A7692" s="27"/>
    </row>
    <row r="7693" spans="1:1">
      <c r="A7693" s="27"/>
    </row>
    <row r="7694" spans="1:1">
      <c r="A7694" s="27"/>
    </row>
    <row r="7695" spans="1:1">
      <c r="A7695" s="27"/>
    </row>
    <row r="7696" spans="1:1">
      <c r="A7696" s="27"/>
    </row>
    <row r="7697" spans="1:1">
      <c r="A7697" s="27"/>
    </row>
    <row r="7698" spans="1:1">
      <c r="A7698" s="27"/>
    </row>
    <row r="7699" spans="1:1">
      <c r="A7699" s="27"/>
    </row>
    <row r="7700" spans="1:1">
      <c r="A7700" s="27"/>
    </row>
    <row r="7701" spans="1:1">
      <c r="A7701" s="27"/>
    </row>
    <row r="7702" spans="1:1">
      <c r="A7702" s="27"/>
    </row>
    <row r="7703" spans="1:1">
      <c r="A7703" s="27"/>
    </row>
    <row r="7704" spans="1:1">
      <c r="A7704" s="27"/>
    </row>
    <row r="7705" spans="1:1">
      <c r="A7705" s="27"/>
    </row>
    <row r="7706" spans="1:1">
      <c r="A7706" s="27"/>
    </row>
    <row r="7707" spans="1:1">
      <c r="A7707" s="27"/>
    </row>
    <row r="7708" spans="1:1">
      <c r="A7708" s="27"/>
    </row>
    <row r="7709" spans="1:1">
      <c r="A7709" s="27"/>
    </row>
    <row r="7710" spans="1:1">
      <c r="A7710" s="27"/>
    </row>
    <row r="7711" spans="1:1">
      <c r="A7711" s="27"/>
    </row>
    <row r="7712" spans="1:1">
      <c r="A7712" s="27"/>
    </row>
    <row r="7713" spans="1:1">
      <c r="A7713" s="27"/>
    </row>
    <row r="7714" spans="1:1">
      <c r="A7714" s="27"/>
    </row>
    <row r="7715" spans="1:1">
      <c r="A7715" s="27"/>
    </row>
    <row r="7716" spans="1:1">
      <c r="A7716" s="27"/>
    </row>
    <row r="7717" spans="1:1">
      <c r="A7717" s="27"/>
    </row>
    <row r="7718" spans="1:1">
      <c r="A7718" s="27"/>
    </row>
    <row r="7719" spans="1:1">
      <c r="A7719" s="27"/>
    </row>
    <row r="7720" spans="1:1">
      <c r="A7720" s="27"/>
    </row>
    <row r="7721" spans="1:1">
      <c r="A7721" s="27"/>
    </row>
    <row r="7722" spans="1:1">
      <c r="A7722" s="27"/>
    </row>
    <row r="7723" spans="1:1">
      <c r="A7723" s="27"/>
    </row>
    <row r="7724" spans="1:1">
      <c r="A7724" s="27"/>
    </row>
    <row r="7725" spans="1:1">
      <c r="A7725" s="27"/>
    </row>
    <row r="7726" spans="1:1">
      <c r="A7726" s="27"/>
    </row>
    <row r="7727" spans="1:1">
      <c r="A7727" s="27"/>
    </row>
    <row r="7728" spans="1:1">
      <c r="A7728" s="27"/>
    </row>
    <row r="7729" spans="1:1">
      <c r="A7729" s="27"/>
    </row>
    <row r="7730" spans="1:1">
      <c r="A7730" s="27"/>
    </row>
    <row r="7731" spans="1:1">
      <c r="A7731" s="27"/>
    </row>
    <row r="7732" spans="1:1">
      <c r="A7732" s="27"/>
    </row>
    <row r="7733" spans="1:1">
      <c r="A7733" s="27"/>
    </row>
    <row r="7734" spans="1:1">
      <c r="A7734" s="27"/>
    </row>
    <row r="7735" spans="1:1">
      <c r="A7735" s="27"/>
    </row>
    <row r="7736" spans="1:1">
      <c r="A7736" s="27"/>
    </row>
    <row r="7737" spans="1:1">
      <c r="A7737" s="27"/>
    </row>
    <row r="7738" spans="1:1">
      <c r="A7738" s="27"/>
    </row>
    <row r="7739" spans="1:1">
      <c r="A7739" s="27"/>
    </row>
    <row r="7740" spans="1:1">
      <c r="A7740" s="27"/>
    </row>
    <row r="7741" spans="1:1">
      <c r="A7741" s="27"/>
    </row>
    <row r="7742" spans="1:1">
      <c r="A7742" s="27"/>
    </row>
    <row r="7743" spans="1:1">
      <c r="A7743" s="27"/>
    </row>
    <row r="7744" spans="1:1">
      <c r="A7744" s="27"/>
    </row>
    <row r="7745" spans="1:1">
      <c r="A7745" s="27"/>
    </row>
    <row r="7746" spans="1:1">
      <c r="A7746" s="27"/>
    </row>
    <row r="7747" spans="1:1">
      <c r="A7747" s="27"/>
    </row>
    <row r="7748" spans="1:1">
      <c r="A7748" s="27"/>
    </row>
    <row r="7749" spans="1:1">
      <c r="A7749" s="27"/>
    </row>
    <row r="7750" spans="1:1">
      <c r="A7750" s="27"/>
    </row>
    <row r="7751" spans="1:1">
      <c r="A7751" s="27"/>
    </row>
    <row r="7752" spans="1:1">
      <c r="A7752" s="27"/>
    </row>
    <row r="7753" spans="1:1">
      <c r="A7753" s="27"/>
    </row>
    <row r="7754" spans="1:1">
      <c r="A7754" s="27"/>
    </row>
    <row r="7755" spans="1:1">
      <c r="A7755" s="27"/>
    </row>
    <row r="7756" spans="1:1">
      <c r="A7756" s="27"/>
    </row>
    <row r="7757" spans="1:1">
      <c r="A7757" s="27"/>
    </row>
    <row r="7758" spans="1:1">
      <c r="A7758" s="27"/>
    </row>
    <row r="7759" spans="1:1">
      <c r="A7759" s="27"/>
    </row>
    <row r="7760" spans="1:1">
      <c r="A7760" s="27"/>
    </row>
    <row r="7761" spans="1:1">
      <c r="A7761" s="27"/>
    </row>
    <row r="7762" spans="1:1">
      <c r="A7762" s="27"/>
    </row>
    <row r="7763" spans="1:1">
      <c r="A7763" s="27"/>
    </row>
    <row r="7764" spans="1:1">
      <c r="A7764" s="27"/>
    </row>
    <row r="7765" spans="1:1">
      <c r="A7765" s="27"/>
    </row>
    <row r="7766" spans="1:1">
      <c r="A7766" s="27"/>
    </row>
    <row r="7767" spans="1:1">
      <c r="A7767" s="27"/>
    </row>
    <row r="7768" spans="1:1">
      <c r="A7768" s="27"/>
    </row>
    <row r="7769" spans="1:1">
      <c r="A7769" s="27"/>
    </row>
    <row r="7770" spans="1:1">
      <c r="A7770" s="27"/>
    </row>
    <row r="7771" spans="1:1">
      <c r="A7771" s="27"/>
    </row>
    <row r="7772" spans="1:1">
      <c r="A7772" s="27"/>
    </row>
    <row r="7773" spans="1:1">
      <c r="A7773" s="27"/>
    </row>
    <row r="7774" spans="1:1">
      <c r="A7774" s="27"/>
    </row>
    <row r="7775" spans="1:1">
      <c r="A7775" s="27"/>
    </row>
    <row r="7776" spans="1:1">
      <c r="A7776" s="27"/>
    </row>
    <row r="7777" spans="1:1">
      <c r="A7777" s="27"/>
    </row>
    <row r="7778" spans="1:1">
      <c r="A7778" s="27"/>
    </row>
    <row r="7779" spans="1:1">
      <c r="A7779" s="27"/>
    </row>
    <row r="7780" spans="1:1">
      <c r="A7780" s="27"/>
    </row>
    <row r="7781" spans="1:1">
      <c r="A7781" s="27"/>
    </row>
    <row r="7782" spans="1:1">
      <c r="A7782" s="27"/>
    </row>
    <row r="7783" spans="1:1">
      <c r="A7783" s="27"/>
    </row>
    <row r="7784" spans="1:1">
      <c r="A7784" s="27"/>
    </row>
    <row r="7785" spans="1:1">
      <c r="A7785" s="27"/>
    </row>
    <row r="7786" spans="1:1">
      <c r="A7786" s="27"/>
    </row>
    <row r="7787" spans="1:1">
      <c r="A7787" s="27"/>
    </row>
    <row r="7788" spans="1:1">
      <c r="A7788" s="27"/>
    </row>
    <row r="7789" spans="1:1">
      <c r="A7789" s="27"/>
    </row>
    <row r="7790" spans="1:1">
      <c r="A7790" s="27"/>
    </row>
    <row r="7791" spans="1:1">
      <c r="A7791" s="27"/>
    </row>
    <row r="7792" spans="1:1">
      <c r="A7792" s="27"/>
    </row>
    <row r="7793" spans="1:1">
      <c r="A7793" s="27"/>
    </row>
    <row r="7794" spans="1:1">
      <c r="A7794" s="27"/>
    </row>
    <row r="7795" spans="1:1">
      <c r="A7795" s="27"/>
    </row>
    <row r="7796" spans="1:1">
      <c r="A7796" s="27"/>
    </row>
    <row r="7797" spans="1:1">
      <c r="A7797" s="27"/>
    </row>
    <row r="7798" spans="1:1">
      <c r="A7798" s="27"/>
    </row>
    <row r="7799" spans="1:1">
      <c r="A7799" s="27"/>
    </row>
    <row r="7800" spans="1:1">
      <c r="A7800" s="27"/>
    </row>
    <row r="7801" spans="1:1">
      <c r="A7801" s="27"/>
    </row>
    <row r="7802" spans="1:1">
      <c r="A7802" s="27"/>
    </row>
    <row r="7803" spans="1:1">
      <c r="A7803" s="27"/>
    </row>
    <row r="7804" spans="1:1">
      <c r="A7804" s="27"/>
    </row>
    <row r="7805" spans="1:1">
      <c r="A7805" s="27"/>
    </row>
    <row r="7806" spans="1:1">
      <c r="A7806" s="27"/>
    </row>
    <row r="7807" spans="1:1">
      <c r="A7807" s="27"/>
    </row>
    <row r="7808" spans="1:1">
      <c r="A7808" s="27"/>
    </row>
    <row r="7809" spans="1:1">
      <c r="A7809" s="27"/>
    </row>
    <row r="7810" spans="1:1">
      <c r="A7810" s="27"/>
    </row>
    <row r="7811" spans="1:1">
      <c r="A7811" s="27"/>
    </row>
    <row r="7812" spans="1:1">
      <c r="A7812" s="27"/>
    </row>
    <row r="7813" spans="1:1">
      <c r="A7813" s="27"/>
    </row>
    <row r="7814" spans="1:1">
      <c r="A7814" s="27"/>
    </row>
    <row r="7815" spans="1:1">
      <c r="A7815" s="27"/>
    </row>
    <row r="7816" spans="1:1">
      <c r="A7816" s="27"/>
    </row>
    <row r="7817" spans="1:1">
      <c r="A7817" s="27"/>
    </row>
    <row r="7818" spans="1:1">
      <c r="A7818" s="27"/>
    </row>
    <row r="7819" spans="1:1">
      <c r="A7819" s="27"/>
    </row>
    <row r="7820" spans="1:1">
      <c r="A7820" s="27"/>
    </row>
    <row r="7821" spans="1:1">
      <c r="A7821" s="27"/>
    </row>
    <row r="7822" spans="1:1">
      <c r="A7822" s="27"/>
    </row>
    <row r="7823" spans="1:1">
      <c r="A7823" s="27"/>
    </row>
    <row r="7824" spans="1:1">
      <c r="A7824" s="27"/>
    </row>
    <row r="7825" spans="1:1">
      <c r="A7825" s="27"/>
    </row>
    <row r="7826" spans="1:1">
      <c r="A7826" s="27"/>
    </row>
    <row r="7827" spans="1:1">
      <c r="A7827" s="27"/>
    </row>
    <row r="7828" spans="1:1">
      <c r="A7828" s="27"/>
    </row>
    <row r="7829" spans="1:1">
      <c r="A7829" s="27"/>
    </row>
    <row r="7830" spans="1:1">
      <c r="A7830" s="27"/>
    </row>
    <row r="7831" spans="1:1">
      <c r="A7831" s="27"/>
    </row>
    <row r="7832" spans="1:1">
      <c r="A7832" s="27"/>
    </row>
    <row r="7833" spans="1:1">
      <c r="A7833" s="27"/>
    </row>
    <row r="7834" spans="1:1">
      <c r="A7834" s="27"/>
    </row>
    <row r="7835" spans="1:1">
      <c r="A7835" s="27"/>
    </row>
    <row r="7836" spans="1:1">
      <c r="A7836" s="27"/>
    </row>
    <row r="7837" spans="1:1">
      <c r="A7837" s="27"/>
    </row>
    <row r="7838" spans="1:1">
      <c r="A7838" s="27"/>
    </row>
    <row r="7839" spans="1:1">
      <c r="A7839" s="27"/>
    </row>
    <row r="7840" spans="1:1">
      <c r="A7840" s="27"/>
    </row>
    <row r="7841" spans="1:1">
      <c r="A7841" s="27"/>
    </row>
    <row r="7842" spans="1:1">
      <c r="A7842" s="27"/>
    </row>
    <row r="7843" spans="1:1">
      <c r="A7843" s="27"/>
    </row>
    <row r="7844" spans="1:1">
      <c r="A7844" s="27"/>
    </row>
    <row r="7845" spans="1:1">
      <c r="A7845" s="27"/>
    </row>
    <row r="7846" spans="1:1">
      <c r="A7846" s="27"/>
    </row>
    <row r="7847" spans="1:1">
      <c r="A7847" s="27"/>
    </row>
    <row r="7848" spans="1:1">
      <c r="A7848" s="27"/>
    </row>
    <row r="7849" spans="1:1">
      <c r="A7849" s="27"/>
    </row>
    <row r="7850" spans="1:1">
      <c r="A7850" s="27"/>
    </row>
    <row r="7851" spans="1:1">
      <c r="A7851" s="27"/>
    </row>
    <row r="7852" spans="1:1">
      <c r="A7852" s="27"/>
    </row>
    <row r="7853" spans="1:1">
      <c r="A7853" s="27"/>
    </row>
    <row r="7854" spans="1:1">
      <c r="A7854" s="27"/>
    </row>
    <row r="7855" spans="1:1">
      <c r="A7855" s="27"/>
    </row>
    <row r="7856" spans="1:1">
      <c r="A7856" s="27"/>
    </row>
    <row r="7857" spans="1:1">
      <c r="A7857" s="27"/>
    </row>
    <row r="7858" spans="1:1">
      <c r="A7858" s="27"/>
    </row>
    <row r="7859" spans="1:1">
      <c r="A7859" s="27"/>
    </row>
    <row r="7860" spans="1:1">
      <c r="A7860" s="27"/>
    </row>
    <row r="7861" spans="1:1">
      <c r="A7861" s="27"/>
    </row>
    <row r="7862" spans="1:1">
      <c r="A7862" s="27"/>
    </row>
    <row r="7863" spans="1:1">
      <c r="A7863" s="27"/>
    </row>
    <row r="7864" spans="1:1">
      <c r="A7864" s="27"/>
    </row>
    <row r="7865" spans="1:1">
      <c r="A7865" s="27"/>
    </row>
    <row r="7866" spans="1:1">
      <c r="A7866" s="27"/>
    </row>
    <row r="7867" spans="1:1">
      <c r="A7867" s="27"/>
    </row>
    <row r="7868" spans="1:1">
      <c r="A7868" s="27"/>
    </row>
    <row r="7869" spans="1:1">
      <c r="A7869" s="27"/>
    </row>
    <row r="7870" spans="1:1">
      <c r="A7870" s="27"/>
    </row>
    <row r="7871" spans="1:1">
      <c r="A7871" s="27"/>
    </row>
    <row r="7872" spans="1:1">
      <c r="A7872" s="27"/>
    </row>
    <row r="7873" spans="1:1">
      <c r="A7873" s="27"/>
    </row>
    <row r="7874" spans="1:1">
      <c r="A7874" s="27"/>
    </row>
    <row r="7875" spans="1:1">
      <c r="A7875" s="27"/>
    </row>
    <row r="7876" spans="1:1">
      <c r="A7876" s="27"/>
    </row>
    <row r="7877" spans="1:1">
      <c r="A7877" s="27"/>
    </row>
    <row r="7878" spans="1:1">
      <c r="A7878" s="27"/>
    </row>
    <row r="7879" spans="1:1">
      <c r="A7879" s="27"/>
    </row>
    <row r="7880" spans="1:1">
      <c r="A7880" s="27"/>
    </row>
    <row r="7881" spans="1:1">
      <c r="A7881" s="27"/>
    </row>
    <row r="7882" spans="1:1">
      <c r="A7882" s="27"/>
    </row>
    <row r="7883" spans="1:1">
      <c r="A7883" s="27"/>
    </row>
    <row r="7884" spans="1:1">
      <c r="A7884" s="27"/>
    </row>
    <row r="7885" spans="1:1">
      <c r="A7885" s="27"/>
    </row>
    <row r="7886" spans="1:1">
      <c r="A7886" s="27"/>
    </row>
    <row r="7887" spans="1:1">
      <c r="A7887" s="27"/>
    </row>
    <row r="7888" spans="1:1">
      <c r="A7888" s="27"/>
    </row>
    <row r="7889" spans="1:1">
      <c r="A7889" s="27"/>
    </row>
    <row r="7890" spans="1:1">
      <c r="A7890" s="27"/>
    </row>
    <row r="7891" spans="1:1">
      <c r="A7891" s="27"/>
    </row>
    <row r="7892" spans="1:1">
      <c r="A7892" s="27"/>
    </row>
    <row r="7893" spans="1:1">
      <c r="A7893" s="27"/>
    </row>
    <row r="7894" spans="1:1">
      <c r="A7894" s="27"/>
    </row>
    <row r="7895" spans="1:1">
      <c r="A7895" s="27"/>
    </row>
    <row r="7896" spans="1:1">
      <c r="A7896" s="27"/>
    </row>
    <row r="7897" spans="1:1">
      <c r="A7897" s="27"/>
    </row>
    <row r="7898" spans="1:1">
      <c r="A7898" s="27"/>
    </row>
    <row r="7899" spans="1:1">
      <c r="A7899" s="27"/>
    </row>
    <row r="7900" spans="1:1">
      <c r="A7900" s="27"/>
    </row>
    <row r="7901" spans="1:1">
      <c r="A7901" s="27"/>
    </row>
    <row r="7902" spans="1:1">
      <c r="A7902" s="27"/>
    </row>
    <row r="7903" spans="1:1">
      <c r="A7903" s="27"/>
    </row>
    <row r="7904" spans="1:1">
      <c r="A7904" s="27"/>
    </row>
    <row r="7905" spans="1:1">
      <c r="A7905" s="27"/>
    </row>
    <row r="7906" spans="1:1">
      <c r="A7906" s="27"/>
    </row>
    <row r="7907" spans="1:1">
      <c r="A7907" s="27"/>
    </row>
    <row r="7908" spans="1:1">
      <c r="A7908" s="27"/>
    </row>
    <row r="7909" spans="1:1">
      <c r="A7909" s="27"/>
    </row>
    <row r="7910" spans="1:1">
      <c r="A7910" s="27"/>
    </row>
    <row r="7911" spans="1:1">
      <c r="A7911" s="27"/>
    </row>
    <row r="7912" spans="1:1">
      <c r="A7912" s="27"/>
    </row>
    <row r="7913" spans="1:1">
      <c r="A7913" s="27"/>
    </row>
    <row r="7914" spans="1:1">
      <c r="A7914" s="27"/>
    </row>
    <row r="7915" spans="1:1">
      <c r="A7915" s="27"/>
    </row>
    <row r="7916" spans="1:1">
      <c r="A7916" s="27"/>
    </row>
    <row r="7917" spans="1:1">
      <c r="A7917" s="27"/>
    </row>
    <row r="7918" spans="1:1">
      <c r="A7918" s="27"/>
    </row>
    <row r="7919" spans="1:1">
      <c r="A7919" s="27"/>
    </row>
    <row r="7920" spans="1:1">
      <c r="A7920" s="27"/>
    </row>
    <row r="7921" spans="1:1">
      <c r="A7921" s="27"/>
    </row>
    <row r="7922" spans="1:1">
      <c r="A7922" s="27"/>
    </row>
    <row r="7923" spans="1:1">
      <c r="A7923" s="27"/>
    </row>
    <row r="7924" spans="1:1">
      <c r="A7924" s="27"/>
    </row>
    <row r="7925" spans="1:1">
      <c r="A7925" s="27"/>
    </row>
    <row r="7926" spans="1:1">
      <c r="A7926" s="27"/>
    </row>
    <row r="7927" spans="1:1">
      <c r="A7927" s="27"/>
    </row>
    <row r="7928" spans="1:1">
      <c r="A7928" s="27"/>
    </row>
    <row r="7929" spans="1:1">
      <c r="A7929" s="27"/>
    </row>
    <row r="7930" spans="1:1">
      <c r="A7930" s="27"/>
    </row>
    <row r="7931" spans="1:1">
      <c r="A7931" s="27"/>
    </row>
    <row r="7932" spans="1:1">
      <c r="A7932" s="27"/>
    </row>
    <row r="7933" spans="1:1">
      <c r="A7933" s="27"/>
    </row>
    <row r="7934" spans="1:1">
      <c r="A7934" s="27"/>
    </row>
    <row r="7935" spans="1:1">
      <c r="A7935" s="27"/>
    </row>
    <row r="7936" spans="1:1">
      <c r="A7936" s="27"/>
    </row>
    <row r="7937" spans="1:1">
      <c r="A7937" s="27"/>
    </row>
    <row r="7938" spans="1:1">
      <c r="A7938" s="27"/>
    </row>
    <row r="7939" spans="1:1">
      <c r="A7939" s="27"/>
    </row>
    <row r="7940" spans="1:1">
      <c r="A7940" s="27"/>
    </row>
    <row r="7941" spans="1:1">
      <c r="A7941" s="27"/>
    </row>
    <row r="7942" spans="1:1">
      <c r="A7942" s="27"/>
    </row>
    <row r="7943" spans="1:1">
      <c r="A7943" s="27"/>
    </row>
    <row r="7944" spans="1:1">
      <c r="A7944" s="27"/>
    </row>
    <row r="7945" spans="1:1">
      <c r="A7945" s="27"/>
    </row>
    <row r="7946" spans="1:1">
      <c r="A7946" s="27"/>
    </row>
    <row r="7947" spans="1:1">
      <c r="A7947" s="27"/>
    </row>
    <row r="7948" spans="1:1">
      <c r="A7948" s="27"/>
    </row>
    <row r="7949" spans="1:1">
      <c r="A7949" s="27"/>
    </row>
    <row r="7950" spans="1:1">
      <c r="A7950" s="27"/>
    </row>
    <row r="7951" spans="1:1">
      <c r="A7951" s="27"/>
    </row>
    <row r="7952" spans="1:1">
      <c r="A7952" s="27"/>
    </row>
    <row r="7953" spans="1:1">
      <c r="A7953" s="27"/>
    </row>
    <row r="7954" spans="1:1">
      <c r="A7954" s="27"/>
    </row>
    <row r="7955" spans="1:1">
      <c r="A7955" s="27"/>
    </row>
    <row r="7956" spans="1:1">
      <c r="A7956" s="27"/>
    </row>
    <row r="7957" spans="1:1">
      <c r="A7957" s="27"/>
    </row>
    <row r="7958" spans="1:1">
      <c r="A7958" s="27"/>
    </row>
    <row r="7959" spans="1:1">
      <c r="A7959" s="27"/>
    </row>
    <row r="7960" spans="1:1">
      <c r="A7960" s="27"/>
    </row>
    <row r="7961" spans="1:1">
      <c r="A7961" s="27"/>
    </row>
    <row r="7962" spans="1:1">
      <c r="A7962" s="27"/>
    </row>
    <row r="7963" spans="1:1">
      <c r="A7963" s="27"/>
    </row>
    <row r="7964" spans="1:1">
      <c r="A7964" s="27"/>
    </row>
    <row r="7965" spans="1:1">
      <c r="A7965" s="27"/>
    </row>
    <row r="7966" spans="1:1">
      <c r="A7966" s="27"/>
    </row>
    <row r="7967" spans="1:1">
      <c r="A7967" s="27"/>
    </row>
    <row r="7968" spans="1:1">
      <c r="A7968" s="27"/>
    </row>
    <row r="7969" spans="1:1">
      <c r="A7969" s="27"/>
    </row>
    <row r="7970" spans="1:1">
      <c r="A7970" s="27"/>
    </row>
    <row r="7971" spans="1:1">
      <c r="A7971" s="27"/>
    </row>
    <row r="7972" spans="1:1">
      <c r="A7972" s="27"/>
    </row>
    <row r="7973" spans="1:1">
      <c r="A7973" s="27"/>
    </row>
    <row r="7974" spans="1:1">
      <c r="A7974" s="27"/>
    </row>
    <row r="7975" spans="1:1">
      <c r="A7975" s="27"/>
    </row>
    <row r="7976" spans="1:1">
      <c r="A7976" s="27"/>
    </row>
    <row r="7977" spans="1:1">
      <c r="A7977" s="27"/>
    </row>
    <row r="7978" spans="1:1">
      <c r="A7978" s="27"/>
    </row>
    <row r="7979" spans="1:1">
      <c r="A7979" s="27"/>
    </row>
    <row r="7980" spans="1:1">
      <c r="A7980" s="27"/>
    </row>
    <row r="7981" spans="1:1">
      <c r="A7981" s="27"/>
    </row>
    <row r="7982" spans="1:1">
      <c r="A7982" s="27"/>
    </row>
    <row r="7983" spans="1:1">
      <c r="A7983" s="27"/>
    </row>
    <row r="7984" spans="1:1">
      <c r="A7984" s="27"/>
    </row>
    <row r="7985" spans="1:1">
      <c r="A7985" s="27"/>
    </row>
    <row r="7986" spans="1:1">
      <c r="A7986" s="27"/>
    </row>
    <row r="7987" spans="1:1">
      <c r="A7987" s="27"/>
    </row>
    <row r="7988" spans="1:1">
      <c r="A7988" s="27"/>
    </row>
    <row r="7989" spans="1:1">
      <c r="A7989" s="27"/>
    </row>
    <row r="7990" spans="1:1">
      <c r="A7990" s="27"/>
    </row>
    <row r="7991" spans="1:1">
      <c r="A7991" s="27"/>
    </row>
    <row r="7992" spans="1:1">
      <c r="A7992" s="27"/>
    </row>
    <row r="7993" spans="1:1">
      <c r="A7993" s="27"/>
    </row>
    <row r="7994" spans="1:1">
      <c r="A7994" s="27"/>
    </row>
    <row r="7995" spans="1:1">
      <c r="A7995" s="27"/>
    </row>
    <row r="7996" spans="1:1">
      <c r="A7996" s="27"/>
    </row>
    <row r="7997" spans="1:1">
      <c r="A7997" s="27"/>
    </row>
    <row r="7998" spans="1:1">
      <c r="A7998" s="27"/>
    </row>
    <row r="7999" spans="1:1">
      <c r="A7999" s="27"/>
    </row>
    <row r="8000" spans="1:1">
      <c r="A8000" s="27"/>
    </row>
    <row r="8001" spans="1:1">
      <c r="A8001" s="27"/>
    </row>
    <row r="8002" spans="1:1">
      <c r="A8002" s="27"/>
    </row>
    <row r="8003" spans="1:1">
      <c r="A8003" s="27"/>
    </row>
    <row r="8004" spans="1:1">
      <c r="A8004" s="27"/>
    </row>
    <row r="8005" spans="1:1">
      <c r="A8005" s="27"/>
    </row>
    <row r="8006" spans="1:1">
      <c r="A8006" s="27"/>
    </row>
    <row r="8007" spans="1:1">
      <c r="A8007" s="27"/>
    </row>
    <row r="8008" spans="1:1">
      <c r="A8008" s="27"/>
    </row>
    <row r="8009" spans="1:1">
      <c r="A8009" s="27"/>
    </row>
    <row r="8010" spans="1:1">
      <c r="A8010" s="27"/>
    </row>
    <row r="8011" spans="1:1">
      <c r="A8011" s="27"/>
    </row>
    <row r="8012" spans="1:1">
      <c r="A8012" s="27"/>
    </row>
    <row r="8013" spans="1:1">
      <c r="A8013" s="27"/>
    </row>
    <row r="8014" spans="1:1">
      <c r="A8014" s="27"/>
    </row>
    <row r="8015" spans="1:1">
      <c r="A8015" s="27"/>
    </row>
    <row r="8016" spans="1:1">
      <c r="A8016" s="27"/>
    </row>
    <row r="8017" spans="1:1">
      <c r="A8017" s="27"/>
    </row>
    <row r="8018" spans="1:1">
      <c r="A8018" s="27"/>
    </row>
    <row r="8019" spans="1:1">
      <c r="A8019" s="27"/>
    </row>
    <row r="8020" spans="1:1">
      <c r="A8020" s="27"/>
    </row>
    <row r="8021" spans="1:1">
      <c r="A8021" s="27"/>
    </row>
    <row r="8022" spans="1:1">
      <c r="A8022" s="27"/>
    </row>
    <row r="8023" spans="1:1">
      <c r="A8023" s="27"/>
    </row>
    <row r="8024" spans="1:1">
      <c r="A8024" s="27"/>
    </row>
    <row r="8025" spans="1:1">
      <c r="A8025" s="27"/>
    </row>
    <row r="8026" spans="1:1">
      <c r="A8026" s="27"/>
    </row>
    <row r="8027" spans="1:1">
      <c r="A8027" s="27"/>
    </row>
    <row r="8028" spans="1:1">
      <c r="A8028" s="27"/>
    </row>
    <row r="8029" spans="1:1">
      <c r="A8029" s="27"/>
    </row>
    <row r="8030" spans="1:1">
      <c r="A8030" s="27"/>
    </row>
    <row r="8031" spans="1:1">
      <c r="A8031" s="27"/>
    </row>
    <row r="8032" spans="1:1">
      <c r="A8032" s="27"/>
    </row>
    <row r="8033" spans="1:1">
      <c r="A8033" s="27"/>
    </row>
    <row r="8034" spans="1:1">
      <c r="A8034" s="27"/>
    </row>
    <row r="8035" spans="1:1">
      <c r="A8035" s="27"/>
    </row>
    <row r="8036" spans="1:1">
      <c r="A8036" s="27"/>
    </row>
    <row r="8037" spans="1:1">
      <c r="A8037" s="27"/>
    </row>
    <row r="8038" spans="1:1">
      <c r="A8038" s="27"/>
    </row>
    <row r="8039" spans="1:1">
      <c r="A8039" s="27"/>
    </row>
    <row r="8040" spans="1:1">
      <c r="A8040" s="27"/>
    </row>
    <row r="8041" spans="1:1">
      <c r="A8041" s="27"/>
    </row>
    <row r="8042" spans="1:1">
      <c r="A8042" s="27"/>
    </row>
    <row r="8043" spans="1:1">
      <c r="A8043" s="27"/>
    </row>
    <row r="8044" spans="1:1">
      <c r="A8044" s="27"/>
    </row>
    <row r="8045" spans="1:1">
      <c r="A8045" s="27"/>
    </row>
    <row r="8046" spans="1:1">
      <c r="A8046" s="27"/>
    </row>
    <row r="8047" spans="1:1">
      <c r="A8047" s="27"/>
    </row>
    <row r="8048" spans="1:1">
      <c r="A8048" s="27"/>
    </row>
    <row r="8049" spans="1:1">
      <c r="A8049" s="27"/>
    </row>
    <row r="8050" spans="1:1">
      <c r="A8050" s="27"/>
    </row>
    <row r="8051" spans="1:1">
      <c r="A8051" s="27"/>
    </row>
    <row r="8052" spans="1:1">
      <c r="A8052" s="27"/>
    </row>
    <row r="8053" spans="1:1">
      <c r="A8053" s="27"/>
    </row>
    <row r="8054" spans="1:1">
      <c r="A8054" s="27"/>
    </row>
    <row r="8055" spans="1:1">
      <c r="A8055" s="27"/>
    </row>
    <row r="8056" spans="1:1">
      <c r="A8056" s="27"/>
    </row>
    <row r="8057" spans="1:1">
      <c r="A8057" s="27"/>
    </row>
    <row r="8058" spans="1:1">
      <c r="A8058" s="27"/>
    </row>
    <row r="8059" spans="1:1">
      <c r="A8059" s="27"/>
    </row>
    <row r="8060" spans="1:1">
      <c r="A8060" s="27"/>
    </row>
    <row r="8061" spans="1:1">
      <c r="A8061" s="27"/>
    </row>
    <row r="8062" spans="1:1">
      <c r="A8062" s="27"/>
    </row>
    <row r="8063" spans="1:1">
      <c r="A8063" s="27"/>
    </row>
    <row r="8064" spans="1:1">
      <c r="A8064" s="27"/>
    </row>
    <row r="8065" spans="1:1">
      <c r="A8065" s="27"/>
    </row>
    <row r="8066" spans="1:1">
      <c r="A8066" s="27"/>
    </row>
    <row r="8067" spans="1:1">
      <c r="A8067" s="27"/>
    </row>
    <row r="8068" spans="1:1">
      <c r="A8068" s="27"/>
    </row>
    <row r="8069" spans="1:1">
      <c r="A8069" s="27"/>
    </row>
    <row r="8070" spans="1:1">
      <c r="A8070" s="27"/>
    </row>
    <row r="8071" spans="1:1">
      <c r="A8071" s="27"/>
    </row>
    <row r="8072" spans="1:1">
      <c r="A8072" s="27"/>
    </row>
    <row r="8073" spans="1:1">
      <c r="A8073" s="27"/>
    </row>
    <row r="8074" spans="1:1">
      <c r="A8074" s="27"/>
    </row>
    <row r="8075" spans="1:1">
      <c r="A8075" s="27"/>
    </row>
    <row r="8076" spans="1:1">
      <c r="A8076" s="27"/>
    </row>
    <row r="8077" spans="1:1">
      <c r="A8077" s="27"/>
    </row>
    <row r="8078" spans="1:1">
      <c r="A8078" s="27"/>
    </row>
    <row r="8079" spans="1:1">
      <c r="A8079" s="27"/>
    </row>
    <row r="8080" spans="1:1">
      <c r="A8080" s="27"/>
    </row>
    <row r="8081" spans="1:1">
      <c r="A8081" s="27"/>
    </row>
    <row r="8082" spans="1:1">
      <c r="A8082" s="27"/>
    </row>
    <row r="8083" spans="1:1">
      <c r="A8083" s="27"/>
    </row>
    <row r="8084" spans="1:1">
      <c r="A8084" s="27"/>
    </row>
    <row r="8085" spans="1:1">
      <c r="A8085" s="27"/>
    </row>
    <row r="8086" spans="1:1">
      <c r="A8086" s="27"/>
    </row>
    <row r="8087" spans="1:1">
      <c r="A8087" s="27"/>
    </row>
    <row r="8088" spans="1:1">
      <c r="A8088" s="27"/>
    </row>
    <row r="8089" spans="1:1">
      <c r="A8089" s="27"/>
    </row>
    <row r="8090" spans="1:1">
      <c r="A8090" s="27"/>
    </row>
    <row r="8091" spans="1:1">
      <c r="A8091" s="27"/>
    </row>
    <row r="8092" spans="1:1">
      <c r="A8092" s="27"/>
    </row>
    <row r="8093" spans="1:1">
      <c r="A8093" s="27"/>
    </row>
    <row r="8094" spans="1:1">
      <c r="A8094" s="27"/>
    </row>
    <row r="8095" spans="1:1">
      <c r="A8095" s="27"/>
    </row>
    <row r="8096" spans="1:1">
      <c r="A8096" s="27"/>
    </row>
    <row r="8097" spans="1:1">
      <c r="A8097" s="27"/>
    </row>
    <row r="8098" spans="1:1">
      <c r="A8098" s="27"/>
    </row>
    <row r="8099" spans="1:1">
      <c r="A8099" s="27"/>
    </row>
    <row r="8100" spans="1:1">
      <c r="A8100" s="27"/>
    </row>
    <row r="8101" spans="1:1">
      <c r="A8101" s="27"/>
    </row>
    <row r="8102" spans="1:1">
      <c r="A8102" s="27"/>
    </row>
    <row r="8103" spans="1:1">
      <c r="A8103" s="27"/>
    </row>
    <row r="8104" spans="1:1">
      <c r="A8104" s="27"/>
    </row>
    <row r="8105" spans="1:1">
      <c r="A8105" s="27"/>
    </row>
    <row r="8106" spans="1:1">
      <c r="A8106" s="27"/>
    </row>
    <row r="8107" spans="1:1">
      <c r="A8107" s="27"/>
    </row>
    <row r="8108" spans="1:1">
      <c r="A8108" s="27"/>
    </row>
    <row r="8109" spans="1:1">
      <c r="A8109" s="27"/>
    </row>
    <row r="8110" spans="1:1">
      <c r="A8110" s="27"/>
    </row>
    <row r="8111" spans="1:1">
      <c r="A8111" s="27"/>
    </row>
    <row r="8112" spans="1:1">
      <c r="A8112" s="27"/>
    </row>
    <row r="8113" spans="1:1">
      <c r="A8113" s="27"/>
    </row>
    <row r="8114" spans="1:1">
      <c r="A8114" s="27"/>
    </row>
    <row r="8115" spans="1:1">
      <c r="A8115" s="27"/>
    </row>
    <row r="8116" spans="1:1">
      <c r="A8116" s="27"/>
    </row>
    <row r="8117" spans="1:1">
      <c r="A8117" s="27"/>
    </row>
    <row r="8118" spans="1:1">
      <c r="A8118" s="27"/>
    </row>
    <row r="8119" spans="1:1">
      <c r="A8119" s="27"/>
    </row>
    <row r="8120" spans="1:1">
      <c r="A8120" s="27"/>
    </row>
    <row r="8121" spans="1:1">
      <c r="A8121" s="27"/>
    </row>
    <row r="8122" spans="1:1">
      <c r="A8122" s="27"/>
    </row>
    <row r="8123" spans="1:1">
      <c r="A8123" s="27"/>
    </row>
    <row r="8124" spans="1:1">
      <c r="A8124" s="27"/>
    </row>
    <row r="8125" spans="1:1">
      <c r="A8125" s="27"/>
    </row>
    <row r="8126" spans="1:1">
      <c r="A8126" s="27"/>
    </row>
    <row r="8127" spans="1:1">
      <c r="A8127" s="27"/>
    </row>
    <row r="8128" spans="1:1">
      <c r="A8128" s="27"/>
    </row>
    <row r="8129" spans="1:1">
      <c r="A8129" s="27"/>
    </row>
    <row r="8130" spans="1:1">
      <c r="A8130" s="27"/>
    </row>
    <row r="8131" spans="1:1">
      <c r="A8131" s="27"/>
    </row>
    <row r="8132" spans="1:1">
      <c r="A8132" s="27"/>
    </row>
    <row r="8133" spans="1:1">
      <c r="A8133" s="27"/>
    </row>
    <row r="8134" spans="1:1">
      <c r="A8134" s="27"/>
    </row>
    <row r="8135" spans="1:1">
      <c r="A8135" s="27"/>
    </row>
    <row r="8136" spans="1:1">
      <c r="A8136" s="27"/>
    </row>
    <row r="8137" spans="1:1">
      <c r="A8137" s="27"/>
    </row>
    <row r="8138" spans="1:1">
      <c r="A8138" s="27"/>
    </row>
    <row r="8139" spans="1:1">
      <c r="A8139" s="27"/>
    </row>
    <row r="8140" spans="1:1">
      <c r="A8140" s="27"/>
    </row>
    <row r="8141" spans="1:1">
      <c r="A8141" s="27"/>
    </row>
    <row r="8142" spans="1:1">
      <c r="A8142" s="27"/>
    </row>
    <row r="8143" spans="1:1">
      <c r="A8143" s="27"/>
    </row>
    <row r="8144" spans="1:1">
      <c r="A8144" s="27"/>
    </row>
    <row r="8145" spans="1:1">
      <c r="A8145" s="27"/>
    </row>
    <row r="8146" spans="1:1">
      <c r="A8146" s="27"/>
    </row>
    <row r="8147" spans="1:1">
      <c r="A8147" s="27"/>
    </row>
    <row r="8148" spans="1:1">
      <c r="A8148" s="27"/>
    </row>
    <row r="8149" spans="1:1">
      <c r="A8149" s="27"/>
    </row>
    <row r="8150" spans="1:1">
      <c r="A8150" s="27"/>
    </row>
    <row r="8151" spans="1:1">
      <c r="A8151" s="27"/>
    </row>
    <row r="8152" spans="1:1">
      <c r="A8152" s="27"/>
    </row>
    <row r="8153" spans="1:1">
      <c r="A8153" s="27"/>
    </row>
    <row r="8154" spans="1:1">
      <c r="A8154" s="27"/>
    </row>
    <row r="8155" spans="1:1">
      <c r="A8155" s="27"/>
    </row>
    <row r="8156" spans="1:1">
      <c r="A8156" s="27"/>
    </row>
    <row r="8157" spans="1:1">
      <c r="A8157" s="27"/>
    </row>
    <row r="8158" spans="1:1">
      <c r="A8158" s="27"/>
    </row>
    <row r="8159" spans="1:1">
      <c r="A8159" s="27"/>
    </row>
    <row r="8160" spans="1:1">
      <c r="A8160" s="27"/>
    </row>
    <row r="8161" spans="1:1">
      <c r="A8161" s="27"/>
    </row>
    <row r="8162" spans="1:1">
      <c r="A8162" s="27"/>
    </row>
    <row r="8163" spans="1:1">
      <c r="A8163" s="27"/>
    </row>
    <row r="8164" spans="1:1">
      <c r="A8164" s="27"/>
    </row>
    <row r="8165" spans="1:1">
      <c r="A8165" s="27"/>
    </row>
    <row r="8166" spans="1:1">
      <c r="A8166" s="27"/>
    </row>
    <row r="8167" spans="1:1">
      <c r="A8167" s="27"/>
    </row>
    <row r="8168" spans="1:1">
      <c r="A8168" s="27"/>
    </row>
    <row r="8169" spans="1:1">
      <c r="A8169" s="27"/>
    </row>
    <row r="8170" spans="1:1">
      <c r="A8170" s="27"/>
    </row>
    <row r="8171" spans="1:1">
      <c r="A8171" s="27"/>
    </row>
    <row r="8172" spans="1:1">
      <c r="A8172" s="27"/>
    </row>
    <row r="8173" spans="1:1">
      <c r="A8173" s="27"/>
    </row>
    <row r="8174" spans="1:1">
      <c r="A8174" s="27"/>
    </row>
    <row r="8175" spans="1:1">
      <c r="A8175" s="27"/>
    </row>
    <row r="8176" spans="1:1">
      <c r="A8176" s="27"/>
    </row>
    <row r="8177" spans="1:1">
      <c r="A8177" s="27"/>
    </row>
    <row r="8178" spans="1:1">
      <c r="A8178" s="27"/>
    </row>
    <row r="8179" spans="1:1">
      <c r="A8179" s="27"/>
    </row>
    <row r="8180" spans="1:1">
      <c r="A8180" s="27"/>
    </row>
    <row r="8181" spans="1:1">
      <c r="A8181" s="27"/>
    </row>
    <row r="8182" spans="1:1">
      <c r="A8182" s="27"/>
    </row>
    <row r="8183" spans="1:1">
      <c r="A8183" s="27"/>
    </row>
    <row r="8184" spans="1:1">
      <c r="A8184" s="27"/>
    </row>
    <row r="8185" spans="1:1">
      <c r="A8185" s="27"/>
    </row>
    <row r="8186" spans="1:1">
      <c r="A8186" s="27"/>
    </row>
    <row r="8187" spans="1:1">
      <c r="A8187" s="27"/>
    </row>
    <row r="8188" spans="1:1">
      <c r="A8188" s="27"/>
    </row>
    <row r="8189" spans="1:1">
      <c r="A8189" s="27"/>
    </row>
    <row r="8190" spans="1:1">
      <c r="A8190" s="27"/>
    </row>
    <row r="8191" spans="1:1">
      <c r="A8191" s="27"/>
    </row>
    <row r="8192" spans="1:1">
      <c r="A8192" s="27"/>
    </row>
    <row r="8193" spans="1:1">
      <c r="A8193" s="27"/>
    </row>
    <row r="8194" spans="1:1">
      <c r="A8194" s="27"/>
    </row>
    <row r="8195" spans="1:1">
      <c r="A8195" s="27"/>
    </row>
    <row r="8196" spans="1:1">
      <c r="A8196" s="27"/>
    </row>
    <row r="8197" spans="1:1">
      <c r="A8197" s="27"/>
    </row>
    <row r="8198" spans="1:1">
      <c r="A8198" s="27"/>
    </row>
    <row r="8199" spans="1:1">
      <c r="A8199" s="27"/>
    </row>
    <row r="8200" spans="1:1">
      <c r="A8200" s="27"/>
    </row>
    <row r="8201" spans="1:1">
      <c r="A8201" s="27"/>
    </row>
    <row r="8202" spans="1:1">
      <c r="A8202" s="27"/>
    </row>
    <row r="8203" spans="1:1">
      <c r="A8203" s="27"/>
    </row>
    <row r="8204" spans="1:1">
      <c r="A8204" s="27"/>
    </row>
    <row r="8205" spans="1:1">
      <c r="A8205" s="27"/>
    </row>
    <row r="8206" spans="1:1">
      <c r="A8206" s="27"/>
    </row>
    <row r="8207" spans="1:1">
      <c r="A8207" s="27"/>
    </row>
    <row r="8208" spans="1:1">
      <c r="A8208" s="27"/>
    </row>
    <row r="8209" spans="1:1">
      <c r="A8209" s="27"/>
    </row>
    <row r="8210" spans="1:1">
      <c r="A8210" s="27"/>
    </row>
    <row r="8211" spans="1:1">
      <c r="A8211" s="27"/>
    </row>
    <row r="8212" spans="1:1">
      <c r="A8212" s="27"/>
    </row>
    <row r="8213" spans="1:1">
      <c r="A8213" s="27"/>
    </row>
    <row r="8214" spans="1:1">
      <c r="A8214" s="27"/>
    </row>
    <row r="8215" spans="1:1">
      <c r="A8215" s="27"/>
    </row>
    <row r="8216" spans="1:1">
      <c r="A8216" s="27"/>
    </row>
    <row r="8217" spans="1:1">
      <c r="A8217" s="27"/>
    </row>
    <row r="8218" spans="1:1">
      <c r="A8218" s="27"/>
    </row>
    <row r="8219" spans="1:1">
      <c r="A8219" s="27"/>
    </row>
    <row r="8220" spans="1:1">
      <c r="A8220" s="27"/>
    </row>
    <row r="8221" spans="1:1">
      <c r="A8221" s="27"/>
    </row>
    <row r="8222" spans="1:1">
      <c r="A8222" s="27"/>
    </row>
    <row r="8223" spans="1:1">
      <c r="A8223" s="27"/>
    </row>
    <row r="8224" spans="1:1">
      <c r="A8224" s="27"/>
    </row>
    <row r="8225" spans="1:1">
      <c r="A8225" s="27"/>
    </row>
    <row r="8226" spans="1:1">
      <c r="A8226" s="27"/>
    </row>
    <row r="8227" spans="1:1">
      <c r="A8227" s="27"/>
    </row>
    <row r="8228" spans="1:1">
      <c r="A8228" s="27"/>
    </row>
    <row r="8229" spans="1:1">
      <c r="A8229" s="27"/>
    </row>
    <row r="8230" spans="1:1">
      <c r="A8230" s="27"/>
    </row>
    <row r="8231" spans="1:1">
      <c r="A8231" s="27"/>
    </row>
    <row r="8232" spans="1:1">
      <c r="A8232" s="27"/>
    </row>
    <row r="8233" spans="1:1">
      <c r="A8233" s="27"/>
    </row>
    <row r="8234" spans="1:1">
      <c r="A8234" s="27"/>
    </row>
    <row r="8235" spans="1:1">
      <c r="A8235" s="27"/>
    </row>
    <row r="8236" spans="1:1">
      <c r="A8236" s="27"/>
    </row>
    <row r="8237" spans="1:1">
      <c r="A8237" s="27"/>
    </row>
    <row r="8238" spans="1:1">
      <c r="A8238" s="27"/>
    </row>
    <row r="8239" spans="1:1">
      <c r="A8239" s="27"/>
    </row>
    <row r="8240" spans="1:1">
      <c r="A8240" s="27"/>
    </row>
    <row r="8241" spans="1:1">
      <c r="A8241" s="27"/>
    </row>
    <row r="8242" spans="1:1">
      <c r="A8242" s="27"/>
    </row>
    <row r="8243" spans="1:1">
      <c r="A8243" s="27"/>
    </row>
    <row r="8244" spans="1:1">
      <c r="A8244" s="27"/>
    </row>
    <row r="8245" spans="1:1">
      <c r="A8245" s="27"/>
    </row>
    <row r="8246" spans="1:1">
      <c r="A8246" s="27"/>
    </row>
    <row r="8247" spans="1:1">
      <c r="A8247" s="27"/>
    </row>
    <row r="8248" spans="1:1">
      <c r="A8248" s="27"/>
    </row>
    <row r="8249" spans="1:1">
      <c r="A8249" s="27"/>
    </row>
    <row r="8250" spans="1:1">
      <c r="A8250" s="27"/>
    </row>
    <row r="8251" spans="1:1">
      <c r="A8251" s="27"/>
    </row>
    <row r="8252" spans="1:1">
      <c r="A8252" s="27"/>
    </row>
    <row r="8253" spans="1:1">
      <c r="A8253" s="27"/>
    </row>
    <row r="8254" spans="1:1">
      <c r="A8254" s="27"/>
    </row>
    <row r="8255" spans="1:1">
      <c r="A8255" s="27"/>
    </row>
    <row r="8256" spans="1:1">
      <c r="A8256" s="27"/>
    </row>
    <row r="8257" spans="1:1">
      <c r="A8257" s="27"/>
    </row>
    <row r="8258" spans="1:1">
      <c r="A8258" s="27"/>
    </row>
    <row r="8259" spans="1:1">
      <c r="A8259" s="27"/>
    </row>
    <row r="8260" spans="1:1">
      <c r="A8260" s="27"/>
    </row>
    <row r="8261" spans="1:1">
      <c r="A8261" s="27"/>
    </row>
    <row r="8262" spans="1:1">
      <c r="A8262" s="27"/>
    </row>
    <row r="8263" spans="1:1">
      <c r="A8263" s="27"/>
    </row>
    <row r="8264" spans="1:1">
      <c r="A8264" s="27"/>
    </row>
    <row r="8265" spans="1:1">
      <c r="A8265" s="27"/>
    </row>
    <row r="8266" spans="1:1">
      <c r="A8266" s="27"/>
    </row>
    <row r="8267" spans="1:1">
      <c r="A8267" s="27"/>
    </row>
    <row r="8268" spans="1:1">
      <c r="A8268" s="27"/>
    </row>
    <row r="8269" spans="1:1">
      <c r="A8269" s="27"/>
    </row>
    <row r="8270" spans="1:1">
      <c r="A8270" s="27"/>
    </row>
    <row r="8271" spans="1:1">
      <c r="A8271" s="27"/>
    </row>
    <row r="8272" spans="1:1">
      <c r="A8272" s="27"/>
    </row>
    <row r="8273" spans="1:1">
      <c r="A8273" s="27"/>
    </row>
    <row r="8274" spans="1:1">
      <c r="A8274" s="27"/>
    </row>
    <row r="8275" spans="1:1">
      <c r="A8275" s="27"/>
    </row>
    <row r="8276" spans="1:1">
      <c r="A8276" s="27"/>
    </row>
    <row r="8277" spans="1:1">
      <c r="A8277" s="27"/>
    </row>
    <row r="8278" spans="1:1">
      <c r="A8278" s="27"/>
    </row>
    <row r="8279" spans="1:1">
      <c r="A8279" s="27"/>
    </row>
    <row r="8280" spans="1:1">
      <c r="A8280" s="27"/>
    </row>
    <row r="8281" spans="1:1">
      <c r="A8281" s="27"/>
    </row>
    <row r="8282" spans="1:1">
      <c r="A8282" s="27"/>
    </row>
    <row r="8283" spans="1:1">
      <c r="A8283" s="27"/>
    </row>
    <row r="8284" spans="1:1">
      <c r="A8284" s="27"/>
    </row>
    <row r="8285" spans="1:1">
      <c r="A8285" s="27"/>
    </row>
    <row r="8286" spans="1:1">
      <c r="A8286" s="27"/>
    </row>
    <row r="8287" spans="1:1">
      <c r="A8287" s="27"/>
    </row>
    <row r="8288" spans="1:1">
      <c r="A8288" s="27"/>
    </row>
    <row r="8289" spans="1:1">
      <c r="A8289" s="27"/>
    </row>
    <row r="8290" spans="1:1">
      <c r="A8290" s="27"/>
    </row>
    <row r="8291" spans="1:1">
      <c r="A8291" s="27"/>
    </row>
    <row r="8292" spans="1:1">
      <c r="A8292" s="27"/>
    </row>
    <row r="8293" spans="1:1">
      <c r="A8293" s="27"/>
    </row>
    <row r="8294" spans="1:1">
      <c r="A8294" s="27"/>
    </row>
    <row r="8295" spans="1:1">
      <c r="A8295" s="27"/>
    </row>
    <row r="8296" spans="1:1">
      <c r="A8296" s="27"/>
    </row>
    <row r="8297" spans="1:1">
      <c r="A8297" s="27"/>
    </row>
    <row r="8298" spans="1:1">
      <c r="A8298" s="27"/>
    </row>
    <row r="8299" spans="1:1">
      <c r="A8299" s="27"/>
    </row>
    <row r="8300" spans="1:1">
      <c r="A8300" s="27"/>
    </row>
    <row r="8301" spans="1:1">
      <c r="A8301" s="27"/>
    </row>
    <row r="8302" spans="1:1">
      <c r="A8302" s="27"/>
    </row>
    <row r="8303" spans="1:1">
      <c r="A8303" s="27"/>
    </row>
    <row r="8304" spans="1:1">
      <c r="A8304" s="27"/>
    </row>
    <row r="8305" spans="1:1">
      <c r="A8305" s="27"/>
    </row>
    <row r="8306" spans="1:1">
      <c r="A8306" s="27"/>
    </row>
    <row r="8307" spans="1:1">
      <c r="A8307" s="27"/>
    </row>
    <row r="8308" spans="1:1">
      <c r="A8308" s="27"/>
    </row>
    <row r="8309" spans="1:1">
      <c r="A8309" s="27"/>
    </row>
    <row r="8310" spans="1:1">
      <c r="A8310" s="27"/>
    </row>
    <row r="8311" spans="1:1">
      <c r="A8311" s="27"/>
    </row>
    <row r="8312" spans="1:1">
      <c r="A8312" s="27"/>
    </row>
    <row r="8313" spans="1:1">
      <c r="A8313" s="27"/>
    </row>
    <row r="8314" spans="1:1">
      <c r="A8314" s="27"/>
    </row>
    <row r="8315" spans="1:1">
      <c r="A8315" s="27"/>
    </row>
    <row r="8316" spans="1:1">
      <c r="A8316" s="27"/>
    </row>
    <row r="8317" spans="1:1">
      <c r="A8317" s="27"/>
    </row>
    <row r="8318" spans="1:1">
      <c r="A8318" s="27"/>
    </row>
    <row r="8319" spans="1:1">
      <c r="A8319" s="27"/>
    </row>
    <row r="8320" spans="1:1">
      <c r="A8320" s="27"/>
    </row>
    <row r="8321" spans="1:1">
      <c r="A8321" s="27"/>
    </row>
    <row r="8322" spans="1:1">
      <c r="A8322" s="27"/>
    </row>
    <row r="8323" spans="1:1">
      <c r="A8323" s="27"/>
    </row>
    <row r="8324" spans="1:1">
      <c r="A8324" s="27"/>
    </row>
    <row r="8325" spans="1:1">
      <c r="A8325" s="27"/>
    </row>
    <row r="8326" spans="1:1">
      <c r="A8326" s="27"/>
    </row>
    <row r="8327" spans="1:1">
      <c r="A8327" s="27"/>
    </row>
    <row r="8328" spans="1:1">
      <c r="A8328" s="27"/>
    </row>
    <row r="8329" spans="1:1">
      <c r="A8329" s="27"/>
    </row>
    <row r="8330" spans="1:1">
      <c r="A8330" s="27"/>
    </row>
    <row r="8331" spans="1:1">
      <c r="A8331" s="27"/>
    </row>
    <row r="8332" spans="1:1">
      <c r="A8332" s="27"/>
    </row>
    <row r="8333" spans="1:1">
      <c r="A8333" s="27"/>
    </row>
    <row r="8334" spans="1:1">
      <c r="A8334" s="27"/>
    </row>
    <row r="8335" spans="1:1">
      <c r="A8335" s="27"/>
    </row>
    <row r="8336" spans="1:1">
      <c r="A8336" s="27"/>
    </row>
    <row r="8337" spans="1:1">
      <c r="A8337" s="27"/>
    </row>
    <row r="8338" spans="1:1">
      <c r="A8338" s="27"/>
    </row>
    <row r="8339" spans="1:1">
      <c r="A8339" s="27"/>
    </row>
    <row r="8340" spans="1:1">
      <c r="A8340" s="27"/>
    </row>
    <row r="8341" spans="1:1">
      <c r="A8341" s="27"/>
    </row>
    <row r="8342" spans="1:1">
      <c r="A8342" s="27"/>
    </row>
    <row r="8343" spans="1:1">
      <c r="A8343" s="27"/>
    </row>
    <row r="8344" spans="1:1">
      <c r="A8344" s="27"/>
    </row>
    <row r="8345" spans="1:1">
      <c r="A8345" s="27"/>
    </row>
    <row r="8346" spans="1:1">
      <c r="A8346" s="27"/>
    </row>
    <row r="8347" spans="1:1">
      <c r="A8347" s="27"/>
    </row>
    <row r="8348" spans="1:1">
      <c r="A8348" s="27"/>
    </row>
    <row r="8349" spans="1:1">
      <c r="A8349" s="27"/>
    </row>
    <row r="8350" spans="1:1">
      <c r="A8350" s="27"/>
    </row>
    <row r="8351" spans="1:1">
      <c r="A8351" s="27"/>
    </row>
    <row r="8352" spans="1:1">
      <c r="A8352" s="27"/>
    </row>
    <row r="8353" spans="1:1">
      <c r="A8353" s="27"/>
    </row>
    <row r="8354" spans="1:1">
      <c r="A8354" s="27"/>
    </row>
    <row r="8355" spans="1:1">
      <c r="A8355" s="27"/>
    </row>
    <row r="8356" spans="1:1">
      <c r="A8356" s="27"/>
    </row>
    <row r="8357" spans="1:1">
      <c r="A8357" s="27"/>
    </row>
    <row r="8358" spans="1:1">
      <c r="A8358" s="27"/>
    </row>
    <row r="8359" spans="1:1">
      <c r="A8359" s="27"/>
    </row>
    <row r="8360" spans="1:1">
      <c r="A8360" s="27"/>
    </row>
    <row r="8361" spans="1:1">
      <c r="A8361" s="27"/>
    </row>
    <row r="8362" spans="1:1">
      <c r="A8362" s="27"/>
    </row>
    <row r="8363" spans="1:1">
      <c r="A8363" s="27"/>
    </row>
    <row r="8364" spans="1:1">
      <c r="A8364" s="27"/>
    </row>
    <row r="8365" spans="1:1">
      <c r="A8365" s="27"/>
    </row>
    <row r="8366" spans="1:1">
      <c r="A8366" s="27"/>
    </row>
    <row r="8367" spans="1:1">
      <c r="A8367" s="27"/>
    </row>
    <row r="8368" spans="1:1">
      <c r="A8368" s="27"/>
    </row>
    <row r="8369" spans="1:1">
      <c r="A8369" s="27"/>
    </row>
    <row r="8370" spans="1:1">
      <c r="A8370" s="27"/>
    </row>
    <row r="8371" spans="1:1">
      <c r="A8371" s="27"/>
    </row>
    <row r="8372" spans="1:1">
      <c r="A8372" s="27"/>
    </row>
    <row r="8373" spans="1:1">
      <c r="A8373" s="27"/>
    </row>
    <row r="8374" spans="1:1">
      <c r="A8374" s="27"/>
    </row>
    <row r="8375" spans="1:1">
      <c r="A8375" s="27"/>
    </row>
    <row r="8376" spans="1:1">
      <c r="A8376" s="27"/>
    </row>
    <row r="8377" spans="1:1">
      <c r="A8377" s="27"/>
    </row>
    <row r="8378" spans="1:1">
      <c r="A8378" s="27"/>
    </row>
    <row r="8379" spans="1:1">
      <c r="A8379" s="27"/>
    </row>
    <row r="8380" spans="1:1">
      <c r="A8380" s="27"/>
    </row>
    <row r="8381" spans="1:1">
      <c r="A8381" s="27"/>
    </row>
    <row r="8382" spans="1:1">
      <c r="A8382" s="27"/>
    </row>
    <row r="8383" spans="1:1">
      <c r="A8383" s="27"/>
    </row>
    <row r="8384" spans="1:1">
      <c r="A8384" s="27"/>
    </row>
    <row r="8385" spans="1:1">
      <c r="A8385" s="27"/>
    </row>
    <row r="8386" spans="1:1">
      <c r="A8386" s="27"/>
    </row>
    <row r="8387" spans="1:1">
      <c r="A8387" s="27"/>
    </row>
    <row r="8388" spans="1:1">
      <c r="A8388" s="27"/>
    </row>
    <row r="8389" spans="1:1">
      <c r="A8389" s="27"/>
    </row>
    <row r="8390" spans="1:1">
      <c r="A8390" s="27"/>
    </row>
    <row r="8391" spans="1:1">
      <c r="A8391" s="27"/>
    </row>
    <row r="8392" spans="1:1">
      <c r="A8392" s="27"/>
    </row>
    <row r="8393" spans="1:1">
      <c r="A8393" s="27"/>
    </row>
    <row r="8394" spans="1:1">
      <c r="A8394" s="27"/>
    </row>
    <row r="8395" spans="1:1">
      <c r="A8395" s="27"/>
    </row>
    <row r="8396" spans="1:1">
      <c r="A8396" s="27"/>
    </row>
    <row r="8397" spans="1:1">
      <c r="A8397" s="27"/>
    </row>
    <row r="8398" spans="1:1">
      <c r="A8398" s="27"/>
    </row>
    <row r="8399" spans="1:1">
      <c r="A8399" s="27"/>
    </row>
    <row r="8400" spans="1:1">
      <c r="A8400" s="27"/>
    </row>
    <row r="8401" spans="1:1">
      <c r="A8401" s="27"/>
    </row>
    <row r="8402" spans="1:1">
      <c r="A8402" s="27"/>
    </row>
    <row r="8403" spans="1:1">
      <c r="A8403" s="27"/>
    </row>
    <row r="8404" spans="1:1">
      <c r="A8404" s="27"/>
    </row>
    <row r="8405" spans="1:1">
      <c r="A8405" s="27"/>
    </row>
    <row r="8406" spans="1:1">
      <c r="A8406" s="27"/>
    </row>
    <row r="8407" spans="1:1">
      <c r="A8407" s="27"/>
    </row>
    <row r="8408" spans="1:1">
      <c r="A8408" s="27"/>
    </row>
    <row r="8409" spans="1:1">
      <c r="A8409" s="27"/>
    </row>
    <row r="8410" spans="1:1">
      <c r="A8410" s="27"/>
    </row>
    <row r="8411" spans="1:1">
      <c r="A8411" s="27"/>
    </row>
    <row r="8412" spans="1:1">
      <c r="A8412" s="27"/>
    </row>
    <row r="8413" spans="1:1">
      <c r="A8413" s="27"/>
    </row>
    <row r="8414" spans="1:1">
      <c r="A8414" s="27"/>
    </row>
    <row r="8415" spans="1:1">
      <c r="A8415" s="27"/>
    </row>
    <row r="8416" spans="1:1">
      <c r="A8416" s="27"/>
    </row>
    <row r="8417" spans="1:1">
      <c r="A8417" s="27"/>
    </row>
    <row r="8418" spans="1:1">
      <c r="A8418" s="27"/>
    </row>
    <row r="8419" spans="1:1">
      <c r="A8419" s="27"/>
    </row>
    <row r="8420" spans="1:1">
      <c r="A8420" s="27"/>
    </row>
    <row r="8421" spans="1:1">
      <c r="A8421" s="27"/>
    </row>
    <row r="8422" spans="1:1">
      <c r="A8422" s="27"/>
    </row>
    <row r="8423" spans="1:1">
      <c r="A8423" s="27"/>
    </row>
    <row r="8424" spans="1:1">
      <c r="A8424" s="27"/>
    </row>
    <row r="8425" spans="1:1">
      <c r="A8425" s="27"/>
    </row>
    <row r="8426" spans="1:1">
      <c r="A8426" s="27"/>
    </row>
    <row r="8427" spans="1:1">
      <c r="A8427" s="27"/>
    </row>
    <row r="8428" spans="1:1">
      <c r="A8428" s="27"/>
    </row>
    <row r="8429" spans="1:1">
      <c r="A8429" s="27"/>
    </row>
    <row r="8430" spans="1:1">
      <c r="A8430" s="27"/>
    </row>
    <row r="8431" spans="1:1">
      <c r="A8431" s="27"/>
    </row>
    <row r="8432" spans="1:1">
      <c r="A8432" s="27"/>
    </row>
    <row r="8433" spans="1:1">
      <c r="A8433" s="27"/>
    </row>
    <row r="8434" spans="1:1">
      <c r="A8434" s="27"/>
    </row>
    <row r="8435" spans="1:1">
      <c r="A8435" s="27"/>
    </row>
    <row r="8436" spans="1:1">
      <c r="A8436" s="27"/>
    </row>
    <row r="8437" spans="1:1">
      <c r="A8437" s="27"/>
    </row>
    <row r="8438" spans="1:1">
      <c r="A8438" s="27"/>
    </row>
    <row r="8439" spans="1:1">
      <c r="A8439" s="27"/>
    </row>
    <row r="8440" spans="1:1">
      <c r="A8440" s="27"/>
    </row>
    <row r="8441" spans="1:1">
      <c r="A8441" s="27"/>
    </row>
    <row r="8442" spans="1:1">
      <c r="A8442" s="27"/>
    </row>
    <row r="8443" spans="1:1">
      <c r="A8443" s="27"/>
    </row>
    <row r="8444" spans="1:1">
      <c r="A8444" s="27"/>
    </row>
    <row r="8445" spans="1:1">
      <c r="A8445" s="27"/>
    </row>
    <row r="8446" spans="1:1">
      <c r="A8446" s="27"/>
    </row>
    <row r="8447" spans="1:1">
      <c r="A8447" s="27"/>
    </row>
    <row r="8448" spans="1:1">
      <c r="A8448" s="27"/>
    </row>
    <row r="8449" spans="1:1">
      <c r="A8449" s="27"/>
    </row>
    <row r="8450" spans="1:1">
      <c r="A8450" s="27"/>
    </row>
    <row r="8451" spans="1:1">
      <c r="A8451" s="27"/>
    </row>
    <row r="8452" spans="1:1">
      <c r="A8452" s="27"/>
    </row>
    <row r="8453" spans="1:1">
      <c r="A8453" s="27"/>
    </row>
    <row r="8454" spans="1:1">
      <c r="A8454" s="27"/>
    </row>
    <row r="8455" spans="1:1">
      <c r="A8455" s="27"/>
    </row>
    <row r="8456" spans="1:1">
      <c r="A8456" s="27"/>
    </row>
    <row r="8457" spans="1:1">
      <c r="A8457" s="27"/>
    </row>
    <row r="8458" spans="1:1">
      <c r="A8458" s="27"/>
    </row>
    <row r="8459" spans="1:1">
      <c r="A8459" s="27"/>
    </row>
    <row r="8460" spans="1:1">
      <c r="A8460" s="27"/>
    </row>
    <row r="8461" spans="1:1">
      <c r="A8461" s="27"/>
    </row>
    <row r="8462" spans="1:1">
      <c r="A8462" s="27"/>
    </row>
    <row r="8463" spans="1:1">
      <c r="A8463" s="27"/>
    </row>
    <row r="8464" spans="1:1">
      <c r="A8464" s="27"/>
    </row>
    <row r="8465" spans="1:1">
      <c r="A8465" s="27"/>
    </row>
    <row r="8466" spans="1:1">
      <c r="A8466" s="27"/>
    </row>
    <row r="8467" spans="1:1">
      <c r="A8467" s="27"/>
    </row>
    <row r="8468" spans="1:1">
      <c r="A8468" s="27"/>
    </row>
    <row r="8469" spans="1:1">
      <c r="A8469" s="27"/>
    </row>
    <row r="8470" spans="1:1">
      <c r="A8470" s="27"/>
    </row>
    <row r="8471" spans="1:1">
      <c r="A8471" s="27"/>
    </row>
    <row r="8472" spans="1:1">
      <c r="A8472" s="27"/>
    </row>
    <row r="8473" spans="1:1">
      <c r="A8473" s="27"/>
    </row>
    <row r="8474" spans="1:1">
      <c r="A8474" s="27"/>
    </row>
    <row r="8475" spans="1:1">
      <c r="A8475" s="27"/>
    </row>
    <row r="8476" spans="1:1">
      <c r="A8476" s="27"/>
    </row>
    <row r="8477" spans="1:1">
      <c r="A8477" s="27"/>
    </row>
    <row r="8478" spans="1:1">
      <c r="A8478" s="27"/>
    </row>
    <row r="8479" spans="1:1">
      <c r="A8479" s="27"/>
    </row>
    <row r="8480" spans="1:1">
      <c r="A8480" s="27"/>
    </row>
    <row r="8481" spans="1:1">
      <c r="A8481" s="27"/>
    </row>
    <row r="8482" spans="1:1">
      <c r="A8482" s="27"/>
    </row>
    <row r="8483" spans="1:1">
      <c r="A8483" s="27"/>
    </row>
    <row r="8484" spans="1:1">
      <c r="A8484" s="27"/>
    </row>
    <row r="8485" spans="1:1">
      <c r="A8485" s="27"/>
    </row>
    <row r="8486" spans="1:1">
      <c r="A8486" s="27"/>
    </row>
    <row r="8487" spans="1:1">
      <c r="A8487" s="27"/>
    </row>
    <row r="8488" spans="1:1">
      <c r="A8488" s="27"/>
    </row>
    <row r="8489" spans="1:1">
      <c r="A8489" s="27"/>
    </row>
    <row r="8490" spans="1:1">
      <c r="A8490" s="27"/>
    </row>
    <row r="8491" spans="1:1">
      <c r="A8491" s="27"/>
    </row>
    <row r="8492" spans="1:1">
      <c r="A8492" s="27"/>
    </row>
    <row r="8493" spans="1:1">
      <c r="A8493" s="27"/>
    </row>
    <row r="8494" spans="1:1">
      <c r="A8494" s="27"/>
    </row>
    <row r="8495" spans="1:1">
      <c r="A8495" s="27"/>
    </row>
    <row r="8496" spans="1:1">
      <c r="A8496" s="27"/>
    </row>
    <row r="8497" spans="1:1">
      <c r="A8497" s="27"/>
    </row>
    <row r="8498" spans="1:1">
      <c r="A8498" s="27"/>
    </row>
    <row r="8499" spans="1:1">
      <c r="A8499" s="27"/>
    </row>
    <row r="8500" spans="1:1">
      <c r="A8500" s="27"/>
    </row>
    <row r="8501" spans="1:1">
      <c r="A8501" s="27"/>
    </row>
    <row r="8502" spans="1:1">
      <c r="A8502" s="27"/>
    </row>
    <row r="8503" spans="1:1">
      <c r="A8503" s="27"/>
    </row>
    <row r="8504" spans="1:1">
      <c r="A8504" s="27"/>
    </row>
    <row r="8505" spans="1:1">
      <c r="A8505" s="27"/>
    </row>
    <row r="8506" spans="1:1">
      <c r="A8506" s="27"/>
    </row>
    <row r="8507" spans="1:1">
      <c r="A8507" s="27"/>
    </row>
    <row r="8508" spans="1:1">
      <c r="A8508" s="27"/>
    </row>
    <row r="8509" spans="1:1">
      <c r="A8509" s="27"/>
    </row>
    <row r="8510" spans="1:1">
      <c r="A8510" s="27"/>
    </row>
    <row r="8511" spans="1:1">
      <c r="A8511" s="27"/>
    </row>
    <row r="8512" spans="1:1">
      <c r="A8512" s="27"/>
    </row>
    <row r="8513" spans="1:1">
      <c r="A8513" s="27"/>
    </row>
    <row r="8514" spans="1:1">
      <c r="A8514" s="27"/>
    </row>
    <row r="8515" spans="1:1">
      <c r="A8515" s="27"/>
    </row>
    <row r="8516" spans="1:1">
      <c r="A8516" s="27"/>
    </row>
    <row r="8517" spans="1:1">
      <c r="A8517" s="27"/>
    </row>
    <row r="8518" spans="1:1">
      <c r="A8518" s="27"/>
    </row>
    <row r="8519" spans="1:1">
      <c r="A8519" s="27"/>
    </row>
    <row r="8520" spans="1:1">
      <c r="A8520" s="27"/>
    </row>
    <row r="8521" spans="1:1">
      <c r="A8521" s="27"/>
    </row>
    <row r="8522" spans="1:1">
      <c r="A8522" s="27"/>
    </row>
    <row r="8523" spans="1:1">
      <c r="A8523" s="27"/>
    </row>
    <row r="8524" spans="1:1">
      <c r="A8524" s="27"/>
    </row>
    <row r="8525" spans="1:1">
      <c r="A8525" s="27"/>
    </row>
    <row r="8526" spans="1:1">
      <c r="A8526" s="27"/>
    </row>
    <row r="8527" spans="1:1">
      <c r="A8527" s="27"/>
    </row>
    <row r="8528" spans="1:1">
      <c r="A8528" s="27"/>
    </row>
    <row r="8529" spans="1:1">
      <c r="A8529" s="27"/>
    </row>
    <row r="8530" spans="1:1">
      <c r="A8530" s="27"/>
    </row>
    <row r="8531" spans="1:1">
      <c r="A8531" s="27"/>
    </row>
    <row r="8532" spans="1:1">
      <c r="A8532" s="27"/>
    </row>
    <row r="8533" spans="1:1">
      <c r="A8533" s="27"/>
    </row>
    <row r="8534" spans="1:1">
      <c r="A8534" s="27"/>
    </row>
    <row r="8535" spans="1:1">
      <c r="A8535" s="27"/>
    </row>
    <row r="8536" spans="1:1">
      <c r="A8536" s="27"/>
    </row>
    <row r="8537" spans="1:1">
      <c r="A8537" s="27"/>
    </row>
    <row r="8538" spans="1:1">
      <c r="A8538" s="27"/>
    </row>
    <row r="8539" spans="1:1">
      <c r="A8539" s="27"/>
    </row>
    <row r="8540" spans="1:1">
      <c r="A8540" s="27"/>
    </row>
    <row r="8541" spans="1:1">
      <c r="A8541" s="27"/>
    </row>
    <row r="8542" spans="1:1">
      <c r="A8542" s="27"/>
    </row>
    <row r="8543" spans="1:1">
      <c r="A8543" s="27"/>
    </row>
    <row r="8544" spans="1:1">
      <c r="A8544" s="27"/>
    </row>
    <row r="8545" spans="1:1">
      <c r="A8545" s="27"/>
    </row>
    <row r="8546" spans="1:1">
      <c r="A8546" s="27"/>
    </row>
    <row r="8547" spans="1:1">
      <c r="A8547" s="27"/>
    </row>
    <row r="8548" spans="1:1">
      <c r="A8548" s="27"/>
    </row>
    <row r="8549" spans="1:1">
      <c r="A8549" s="27"/>
    </row>
    <row r="8550" spans="1:1">
      <c r="A8550" s="27"/>
    </row>
    <row r="8551" spans="1:1">
      <c r="A8551" s="27"/>
    </row>
    <row r="8552" spans="1:1">
      <c r="A8552" s="27"/>
    </row>
    <row r="8553" spans="1:1">
      <c r="A8553" s="27"/>
    </row>
    <row r="8554" spans="1:1">
      <c r="A8554" s="27"/>
    </row>
    <row r="8555" spans="1:1">
      <c r="A8555" s="27"/>
    </row>
    <row r="8556" spans="1:1">
      <c r="A8556" s="27"/>
    </row>
    <row r="8557" spans="1:1">
      <c r="A8557" s="27"/>
    </row>
    <row r="8558" spans="1:1">
      <c r="A8558" s="27"/>
    </row>
    <row r="8559" spans="1:1">
      <c r="A8559" s="27"/>
    </row>
    <row r="8560" spans="1:1">
      <c r="A8560" s="27"/>
    </row>
    <row r="8561" spans="1:1">
      <c r="A8561" s="27"/>
    </row>
    <row r="8562" spans="1:1">
      <c r="A8562" s="27"/>
    </row>
    <row r="8563" spans="1:1">
      <c r="A8563" s="27"/>
    </row>
    <row r="8564" spans="1:1">
      <c r="A8564" s="27"/>
    </row>
    <row r="8565" spans="1:1">
      <c r="A8565" s="27"/>
    </row>
    <row r="8566" spans="1:1">
      <c r="A8566" s="27"/>
    </row>
    <row r="8567" spans="1:1">
      <c r="A8567" s="27"/>
    </row>
    <row r="8568" spans="1:1">
      <c r="A8568" s="27"/>
    </row>
    <row r="8569" spans="1:1">
      <c r="A8569" s="27"/>
    </row>
    <row r="8570" spans="1:1">
      <c r="A8570" s="27"/>
    </row>
    <row r="8571" spans="1:1">
      <c r="A8571" s="27"/>
    </row>
    <row r="8572" spans="1:1">
      <c r="A8572" s="27"/>
    </row>
    <row r="8573" spans="1:1">
      <c r="A8573" s="27"/>
    </row>
    <row r="8574" spans="1:1">
      <c r="A8574" s="27"/>
    </row>
    <row r="8575" spans="1:1">
      <c r="A8575" s="27"/>
    </row>
    <row r="8576" spans="1:1">
      <c r="A8576" s="27"/>
    </row>
    <row r="8577" spans="1:1">
      <c r="A8577" s="27"/>
    </row>
    <row r="8578" spans="1:1">
      <c r="A8578" s="27"/>
    </row>
    <row r="8579" spans="1:1">
      <c r="A8579" s="27"/>
    </row>
    <row r="8580" spans="1:1">
      <c r="A8580" s="27"/>
    </row>
    <row r="8581" spans="1:1">
      <c r="A8581" s="27"/>
    </row>
    <row r="8582" spans="1:1">
      <c r="A8582" s="27"/>
    </row>
    <row r="8583" spans="1:1">
      <c r="A8583" s="27"/>
    </row>
    <row r="8584" spans="1:1">
      <c r="A8584" s="27"/>
    </row>
    <row r="8585" spans="1:1">
      <c r="A8585" s="27"/>
    </row>
    <row r="8586" spans="1:1">
      <c r="A8586" s="27"/>
    </row>
    <row r="8587" spans="1:1">
      <c r="A8587" s="27"/>
    </row>
    <row r="8588" spans="1:1">
      <c r="A8588" s="27"/>
    </row>
    <row r="8589" spans="1:1">
      <c r="A8589" s="27"/>
    </row>
    <row r="8590" spans="1:1">
      <c r="A8590" s="27"/>
    </row>
    <row r="8591" spans="1:1">
      <c r="A8591" s="27"/>
    </row>
    <row r="8592" spans="1:1">
      <c r="A8592" s="27"/>
    </row>
    <row r="8593" spans="1:1">
      <c r="A8593" s="27"/>
    </row>
    <row r="8594" spans="1:1">
      <c r="A8594" s="27"/>
    </row>
    <row r="8595" spans="1:1">
      <c r="A8595" s="27"/>
    </row>
    <row r="8596" spans="1:1">
      <c r="A8596" s="27"/>
    </row>
    <row r="8597" spans="1:1">
      <c r="A8597" s="27"/>
    </row>
    <row r="8598" spans="1:1">
      <c r="A8598" s="27"/>
    </row>
    <row r="8599" spans="1:1">
      <c r="A8599" s="27"/>
    </row>
    <row r="8600" spans="1:1">
      <c r="A8600" s="27"/>
    </row>
    <row r="8601" spans="1:1">
      <c r="A8601" s="27"/>
    </row>
    <row r="8602" spans="1:1">
      <c r="A8602" s="27"/>
    </row>
    <row r="8603" spans="1:1">
      <c r="A8603" s="27"/>
    </row>
    <row r="8604" spans="1:1">
      <c r="A8604" s="27"/>
    </row>
    <row r="8605" spans="1:1">
      <c r="A8605" s="27"/>
    </row>
    <row r="8606" spans="1:1">
      <c r="A8606" s="27"/>
    </row>
    <row r="8607" spans="1:1">
      <c r="A8607" s="27"/>
    </row>
    <row r="8608" spans="1:1">
      <c r="A8608" s="27"/>
    </row>
    <row r="8609" spans="1:1">
      <c r="A8609" s="27"/>
    </row>
    <row r="8610" spans="1:1">
      <c r="A8610" s="27"/>
    </row>
    <row r="8611" spans="1:1">
      <c r="A8611" s="27"/>
    </row>
    <row r="8612" spans="1:1">
      <c r="A8612" s="27"/>
    </row>
    <row r="8613" spans="1:1">
      <c r="A8613" s="27"/>
    </row>
    <row r="8614" spans="1:1">
      <c r="A8614" s="27"/>
    </row>
    <row r="8615" spans="1:1">
      <c r="A8615" s="27"/>
    </row>
    <row r="8616" spans="1:1">
      <c r="A8616" s="27"/>
    </row>
    <row r="8617" spans="1:1">
      <c r="A8617" s="27"/>
    </row>
    <row r="8618" spans="1:1">
      <c r="A8618" s="27"/>
    </row>
    <row r="8619" spans="1:1">
      <c r="A8619" s="27"/>
    </row>
    <row r="8620" spans="1:1">
      <c r="A8620" s="27"/>
    </row>
    <row r="8621" spans="1:1">
      <c r="A8621" s="27"/>
    </row>
    <row r="8622" spans="1:1">
      <c r="A8622" s="27"/>
    </row>
    <row r="8623" spans="1:1">
      <c r="A8623" s="27"/>
    </row>
    <row r="8624" spans="1:1">
      <c r="A8624" s="27"/>
    </row>
    <row r="8625" spans="1:1">
      <c r="A8625" s="27"/>
    </row>
    <row r="8626" spans="1:1">
      <c r="A8626" s="27"/>
    </row>
    <row r="8627" spans="1:1">
      <c r="A8627" s="27"/>
    </row>
    <row r="8628" spans="1:1">
      <c r="A8628" s="27"/>
    </row>
    <row r="8629" spans="1:1">
      <c r="A8629" s="27"/>
    </row>
    <row r="8630" spans="1:1">
      <c r="A8630" s="27"/>
    </row>
    <row r="8631" spans="1:1">
      <c r="A8631" s="27"/>
    </row>
    <row r="8632" spans="1:1">
      <c r="A8632" s="27"/>
    </row>
    <row r="8633" spans="1:1">
      <c r="A8633" s="27"/>
    </row>
    <row r="8634" spans="1:1">
      <c r="A8634" s="27"/>
    </row>
    <row r="8635" spans="1:1">
      <c r="A8635" s="27"/>
    </row>
    <row r="8636" spans="1:1">
      <c r="A8636" s="27"/>
    </row>
    <row r="8637" spans="1:1">
      <c r="A8637" s="27"/>
    </row>
    <row r="8638" spans="1:1">
      <c r="A8638" s="27"/>
    </row>
    <row r="8639" spans="1:1">
      <c r="A8639" s="27"/>
    </row>
    <row r="8640" spans="1:1">
      <c r="A8640" s="27"/>
    </row>
    <row r="8641" spans="1:1">
      <c r="A8641" s="27"/>
    </row>
    <row r="8642" spans="1:1">
      <c r="A8642" s="27"/>
    </row>
    <row r="8643" spans="1:1">
      <c r="A8643" s="27"/>
    </row>
    <row r="8644" spans="1:1">
      <c r="A8644" s="27"/>
    </row>
    <row r="8645" spans="1:1">
      <c r="A8645" s="27"/>
    </row>
    <row r="8646" spans="1:1">
      <c r="A8646" s="27"/>
    </row>
    <row r="8647" spans="1:1">
      <c r="A8647" s="27"/>
    </row>
    <row r="8648" spans="1:1">
      <c r="A8648" s="27"/>
    </row>
    <row r="8649" spans="1:1">
      <c r="A8649" s="27"/>
    </row>
    <row r="8650" spans="1:1">
      <c r="A8650" s="27"/>
    </row>
    <row r="8651" spans="1:1">
      <c r="A8651" s="27"/>
    </row>
    <row r="8652" spans="1:1">
      <c r="A8652" s="27"/>
    </row>
    <row r="8653" spans="1:1">
      <c r="A8653" s="27"/>
    </row>
    <row r="8654" spans="1:1">
      <c r="A8654" s="27"/>
    </row>
    <row r="8655" spans="1:1">
      <c r="A8655" s="27"/>
    </row>
    <row r="8656" spans="1:1">
      <c r="A8656" s="27"/>
    </row>
    <row r="8657" spans="1:1">
      <c r="A8657" s="27"/>
    </row>
    <row r="8658" spans="1:1">
      <c r="A8658" s="27"/>
    </row>
    <row r="8659" spans="1:1">
      <c r="A8659" s="27"/>
    </row>
    <row r="8660" spans="1:1">
      <c r="A8660" s="27"/>
    </row>
    <row r="8661" spans="1:1">
      <c r="A8661" s="27"/>
    </row>
    <row r="8662" spans="1:1">
      <c r="A8662" s="27"/>
    </row>
    <row r="8663" spans="1:1">
      <c r="A8663" s="27"/>
    </row>
    <row r="8664" spans="1:1">
      <c r="A8664" s="27"/>
    </row>
    <row r="8665" spans="1:1">
      <c r="A8665" s="27"/>
    </row>
    <row r="8666" spans="1:1">
      <c r="A8666" s="27"/>
    </row>
    <row r="8667" spans="1:1">
      <c r="A8667" s="27"/>
    </row>
    <row r="8668" spans="1:1">
      <c r="A8668" s="27"/>
    </row>
    <row r="8669" spans="1:1">
      <c r="A8669" s="27"/>
    </row>
    <row r="8670" spans="1:1">
      <c r="A8670" s="27"/>
    </row>
    <row r="8671" spans="1:1">
      <c r="A8671" s="27"/>
    </row>
    <row r="8672" spans="1:1">
      <c r="A8672" s="27"/>
    </row>
    <row r="8673" spans="1:1">
      <c r="A8673" s="27"/>
    </row>
    <row r="8674" spans="1:1">
      <c r="A8674" s="27"/>
    </row>
    <row r="8675" spans="1:1">
      <c r="A8675" s="27"/>
    </row>
    <row r="8676" spans="1:1">
      <c r="A8676" s="27"/>
    </row>
    <row r="8677" spans="1:1">
      <c r="A8677" s="27"/>
    </row>
    <row r="8678" spans="1:1">
      <c r="A8678" s="27"/>
    </row>
    <row r="8679" spans="1:1">
      <c r="A8679" s="27"/>
    </row>
    <row r="8680" spans="1:1">
      <c r="A8680" s="27"/>
    </row>
    <row r="8681" spans="1:1">
      <c r="A8681" s="27"/>
    </row>
    <row r="8682" spans="1:1">
      <c r="A8682" s="27"/>
    </row>
    <row r="8683" spans="1:1">
      <c r="A8683" s="27"/>
    </row>
    <row r="8684" spans="1:1">
      <c r="A8684" s="27"/>
    </row>
    <row r="8685" spans="1:1">
      <c r="A8685" s="27"/>
    </row>
    <row r="8686" spans="1:1">
      <c r="A8686" s="27"/>
    </row>
    <row r="8687" spans="1:1">
      <c r="A8687" s="27"/>
    </row>
    <row r="8688" spans="1:1">
      <c r="A8688" s="27"/>
    </row>
    <row r="8689" spans="1:1">
      <c r="A8689" s="27"/>
    </row>
    <row r="8690" spans="1:1">
      <c r="A8690" s="27"/>
    </row>
    <row r="8691" spans="1:1">
      <c r="A8691" s="27"/>
    </row>
    <row r="8692" spans="1:1">
      <c r="A8692" s="27"/>
    </row>
    <row r="8693" spans="1:1">
      <c r="A8693" s="27"/>
    </row>
    <row r="8694" spans="1:1">
      <c r="A8694" s="27"/>
    </row>
    <row r="8695" spans="1:1">
      <c r="A8695" s="27"/>
    </row>
    <row r="8696" spans="1:1">
      <c r="A8696" s="27"/>
    </row>
    <row r="8697" spans="1:1">
      <c r="A8697" s="27"/>
    </row>
    <row r="8698" spans="1:1">
      <c r="A8698" s="27"/>
    </row>
    <row r="8699" spans="1:1">
      <c r="A8699" s="27"/>
    </row>
    <row r="8700" spans="1:1">
      <c r="A8700" s="27"/>
    </row>
    <row r="8701" spans="1:1">
      <c r="A8701" s="27"/>
    </row>
    <row r="8702" spans="1:1">
      <c r="A8702" s="27"/>
    </row>
    <row r="8703" spans="1:1">
      <c r="A8703" s="27"/>
    </row>
    <row r="8704" spans="1:1">
      <c r="A8704" s="27"/>
    </row>
    <row r="8705" spans="1:1">
      <c r="A8705" s="27"/>
    </row>
    <row r="8706" spans="1:1">
      <c r="A8706" s="27"/>
    </row>
    <row r="8707" spans="1:1">
      <c r="A8707" s="27"/>
    </row>
    <row r="8708" spans="1:1">
      <c r="A8708" s="27"/>
    </row>
    <row r="8709" spans="1:1">
      <c r="A8709" s="27"/>
    </row>
    <row r="8710" spans="1:1">
      <c r="A8710" s="27"/>
    </row>
    <row r="8711" spans="1:1">
      <c r="A8711" s="27"/>
    </row>
    <row r="8712" spans="1:1">
      <c r="A8712" s="27"/>
    </row>
    <row r="8713" spans="1:1">
      <c r="A8713" s="27"/>
    </row>
    <row r="8714" spans="1:1">
      <c r="A8714" s="27"/>
    </row>
    <row r="8715" spans="1:1">
      <c r="A8715" s="27"/>
    </row>
    <row r="8716" spans="1:1">
      <c r="A8716" s="27"/>
    </row>
    <row r="8717" spans="1:1">
      <c r="A8717" s="27"/>
    </row>
    <row r="8718" spans="1:1">
      <c r="A8718" s="27"/>
    </row>
    <row r="8719" spans="1:1">
      <c r="A8719" s="27"/>
    </row>
    <row r="8720" spans="1:1">
      <c r="A8720" s="27"/>
    </row>
    <row r="8721" spans="1:1">
      <c r="A8721" s="27"/>
    </row>
    <row r="8722" spans="1:1">
      <c r="A8722" s="27"/>
    </row>
    <row r="8723" spans="1:1">
      <c r="A8723" s="27"/>
    </row>
    <row r="8724" spans="1:1">
      <c r="A8724" s="27"/>
    </row>
    <row r="8725" spans="1:1">
      <c r="A8725" s="27"/>
    </row>
    <row r="8726" spans="1:1">
      <c r="A8726" s="27"/>
    </row>
    <row r="8727" spans="1:1">
      <c r="A8727" s="27"/>
    </row>
    <row r="8728" spans="1:1">
      <c r="A8728" s="27"/>
    </row>
    <row r="8729" spans="1:1">
      <c r="A8729" s="27"/>
    </row>
    <row r="8730" spans="1:1">
      <c r="A8730" s="27"/>
    </row>
    <row r="8731" spans="1:1">
      <c r="A8731" s="27"/>
    </row>
    <row r="8732" spans="1:1">
      <c r="A8732" s="27"/>
    </row>
    <row r="8733" spans="1:1">
      <c r="A8733" s="27"/>
    </row>
    <row r="8734" spans="1:1">
      <c r="A8734" s="27"/>
    </row>
    <row r="8735" spans="1:1">
      <c r="A8735" s="27"/>
    </row>
    <row r="8736" spans="1:1">
      <c r="A8736" s="27"/>
    </row>
    <row r="8737" spans="1:1">
      <c r="A8737" s="27"/>
    </row>
    <row r="8738" spans="1:1">
      <c r="A8738" s="27"/>
    </row>
    <row r="8739" spans="1:1">
      <c r="A8739" s="27"/>
    </row>
    <row r="8740" spans="1:1">
      <c r="A8740" s="27"/>
    </row>
    <row r="8741" spans="1:1">
      <c r="A8741" s="27"/>
    </row>
    <row r="8742" spans="1:1">
      <c r="A8742" s="27"/>
    </row>
    <row r="8743" spans="1:1">
      <c r="A8743" s="27"/>
    </row>
    <row r="8744" spans="1:1">
      <c r="A8744" s="27"/>
    </row>
    <row r="8745" spans="1:1">
      <c r="A8745" s="27"/>
    </row>
    <row r="8746" spans="1:1">
      <c r="A8746" s="27"/>
    </row>
    <row r="8747" spans="1:1">
      <c r="A8747" s="27"/>
    </row>
    <row r="8748" spans="1:1">
      <c r="A8748" s="27"/>
    </row>
    <row r="8749" spans="1:1">
      <c r="A8749" s="27"/>
    </row>
    <row r="8750" spans="1:1">
      <c r="A8750" s="27"/>
    </row>
    <row r="8751" spans="1:1">
      <c r="A8751" s="27"/>
    </row>
    <row r="8752" spans="1:1">
      <c r="A8752" s="27"/>
    </row>
    <row r="8753" spans="1:1">
      <c r="A8753" s="27"/>
    </row>
    <row r="8754" spans="1:1">
      <c r="A8754" s="27"/>
    </row>
    <row r="8755" spans="1:1">
      <c r="A8755" s="27"/>
    </row>
    <row r="8756" spans="1:1">
      <c r="A8756" s="27"/>
    </row>
    <row r="8757" spans="1:1">
      <c r="A8757" s="27"/>
    </row>
    <row r="8758" spans="1:1">
      <c r="A8758" s="27"/>
    </row>
    <row r="8759" spans="1:1">
      <c r="A8759" s="27"/>
    </row>
    <row r="8760" spans="1:1">
      <c r="A8760" s="27"/>
    </row>
    <row r="8761" spans="1:1">
      <c r="A8761" s="27"/>
    </row>
    <row r="8762" spans="1:1">
      <c r="A8762" s="27"/>
    </row>
    <row r="8763" spans="1:1">
      <c r="A8763" s="27"/>
    </row>
    <row r="8764" spans="1:1">
      <c r="A8764" s="27"/>
    </row>
    <row r="8765" spans="1:1">
      <c r="A8765" s="27"/>
    </row>
    <row r="8766" spans="1:1">
      <c r="A8766" s="27"/>
    </row>
    <row r="8767" spans="1:1">
      <c r="A8767" s="27"/>
    </row>
    <row r="8768" spans="1:1">
      <c r="A8768" s="27"/>
    </row>
    <row r="8769" spans="1:1">
      <c r="A8769" s="27"/>
    </row>
    <row r="8770" spans="1:1">
      <c r="A8770" s="27"/>
    </row>
    <row r="8771" spans="1:1">
      <c r="A8771" s="27"/>
    </row>
    <row r="8772" spans="1:1">
      <c r="A8772" s="27"/>
    </row>
    <row r="8773" spans="1:1">
      <c r="A8773" s="27"/>
    </row>
    <row r="8774" spans="1:1">
      <c r="A8774" s="27"/>
    </row>
    <row r="8775" spans="1:1">
      <c r="A8775" s="27"/>
    </row>
    <row r="8776" spans="1:1">
      <c r="A8776" s="27"/>
    </row>
    <row r="8777" spans="1:1">
      <c r="A8777" s="27"/>
    </row>
    <row r="8778" spans="1:1">
      <c r="A8778" s="27"/>
    </row>
    <row r="8779" spans="1:1">
      <c r="A8779" s="27"/>
    </row>
    <row r="8780" spans="1:1">
      <c r="A8780" s="27"/>
    </row>
    <row r="8781" spans="1:1">
      <c r="A8781" s="27"/>
    </row>
    <row r="8782" spans="1:1">
      <c r="A8782" s="27"/>
    </row>
    <row r="8783" spans="1:1">
      <c r="A8783" s="27"/>
    </row>
    <row r="8784" spans="1:1">
      <c r="A8784" s="27"/>
    </row>
    <row r="8785" spans="1:1">
      <c r="A8785" s="27"/>
    </row>
    <row r="8786" spans="1:1">
      <c r="A8786" s="27"/>
    </row>
    <row r="8787" spans="1:1">
      <c r="A8787" s="27"/>
    </row>
    <row r="8788" spans="1:1">
      <c r="A8788" s="27"/>
    </row>
    <row r="8789" spans="1:1">
      <c r="A8789" s="27"/>
    </row>
    <row r="8790" spans="1:1">
      <c r="A8790" s="27"/>
    </row>
    <row r="8791" spans="1:1">
      <c r="A8791" s="27"/>
    </row>
    <row r="8792" spans="1:1">
      <c r="A8792" s="27"/>
    </row>
    <row r="8793" spans="1:1">
      <c r="A8793" s="27"/>
    </row>
    <row r="8794" spans="1:1">
      <c r="A8794" s="27"/>
    </row>
    <row r="8795" spans="1:1">
      <c r="A8795" s="27"/>
    </row>
    <row r="8796" spans="1:1">
      <c r="A8796" s="27"/>
    </row>
    <row r="8797" spans="1:1">
      <c r="A8797" s="27"/>
    </row>
    <row r="8798" spans="1:1">
      <c r="A8798" s="27"/>
    </row>
    <row r="8799" spans="1:1">
      <c r="A8799" s="27"/>
    </row>
    <row r="8800" spans="1:1">
      <c r="A8800" s="27"/>
    </row>
    <row r="8801" spans="1:1">
      <c r="A8801" s="27"/>
    </row>
    <row r="8802" spans="1:1">
      <c r="A8802" s="27"/>
    </row>
    <row r="8803" spans="1:1">
      <c r="A8803" s="27"/>
    </row>
    <row r="8804" spans="1:1">
      <c r="A8804" s="27"/>
    </row>
    <row r="8805" spans="1:1">
      <c r="A8805" s="27"/>
    </row>
    <row r="8806" spans="1:1">
      <c r="A8806" s="27"/>
    </row>
    <row r="8807" spans="1:1">
      <c r="A8807" s="27"/>
    </row>
    <row r="8808" spans="1:1">
      <c r="A8808" s="27"/>
    </row>
    <row r="8809" spans="1:1">
      <c r="A8809" s="27"/>
    </row>
    <row r="8810" spans="1:1">
      <c r="A8810" s="27"/>
    </row>
    <row r="8811" spans="1:1">
      <c r="A8811" s="27"/>
    </row>
    <row r="8812" spans="1:1">
      <c r="A8812" s="27"/>
    </row>
    <row r="8813" spans="1:1">
      <c r="A8813" s="27"/>
    </row>
    <row r="8814" spans="1:1">
      <c r="A8814" s="27"/>
    </row>
    <row r="8815" spans="1:1">
      <c r="A8815" s="27"/>
    </row>
    <row r="8816" spans="1:1">
      <c r="A8816" s="27"/>
    </row>
    <row r="8817" spans="1:1">
      <c r="A8817" s="27"/>
    </row>
    <row r="8818" spans="1:1">
      <c r="A8818" s="27"/>
    </row>
    <row r="8819" spans="1:1">
      <c r="A8819" s="27"/>
    </row>
    <row r="8820" spans="1:1">
      <c r="A8820" s="27"/>
    </row>
    <row r="8821" spans="1:1">
      <c r="A8821" s="27"/>
    </row>
    <row r="8822" spans="1:1">
      <c r="A8822" s="27"/>
    </row>
    <row r="8823" spans="1:1">
      <c r="A8823" s="27"/>
    </row>
    <row r="8824" spans="1:1">
      <c r="A8824" s="27"/>
    </row>
    <row r="8825" spans="1:1">
      <c r="A8825" s="27"/>
    </row>
    <row r="8826" spans="1:1">
      <c r="A8826" s="27"/>
    </row>
    <row r="8827" spans="1:1">
      <c r="A8827" s="27"/>
    </row>
    <row r="8828" spans="1:1">
      <c r="A8828" s="27"/>
    </row>
    <row r="8829" spans="1:1">
      <c r="A8829" s="27"/>
    </row>
    <row r="8830" spans="1:1">
      <c r="A8830" s="27"/>
    </row>
    <row r="8831" spans="1:1">
      <c r="A8831" s="27"/>
    </row>
    <row r="8832" spans="1:1">
      <c r="A8832" s="27"/>
    </row>
    <row r="8833" spans="1:1">
      <c r="A8833" s="27"/>
    </row>
    <row r="8834" spans="1:1">
      <c r="A8834" s="27"/>
    </row>
    <row r="8835" spans="1:1">
      <c r="A8835" s="27"/>
    </row>
    <row r="8836" spans="1:1">
      <c r="A8836" s="27"/>
    </row>
    <row r="8837" spans="1:1">
      <c r="A8837" s="27"/>
    </row>
    <row r="8838" spans="1:1">
      <c r="A8838" s="27"/>
    </row>
    <row r="8839" spans="1:1">
      <c r="A8839" s="27"/>
    </row>
    <row r="8840" spans="1:1">
      <c r="A8840" s="27"/>
    </row>
    <row r="8841" spans="1:1">
      <c r="A8841" s="27"/>
    </row>
    <row r="8842" spans="1:1">
      <c r="A8842" s="27"/>
    </row>
    <row r="8843" spans="1:1">
      <c r="A8843" s="27"/>
    </row>
    <row r="8844" spans="1:1">
      <c r="A8844" s="27"/>
    </row>
    <row r="8845" spans="1:1">
      <c r="A8845" s="27"/>
    </row>
    <row r="8846" spans="1:1">
      <c r="A8846" s="27"/>
    </row>
    <row r="8847" spans="1:1">
      <c r="A8847" s="27"/>
    </row>
    <row r="8848" spans="1:1">
      <c r="A8848" s="27"/>
    </row>
    <row r="8849" spans="1:1">
      <c r="A8849" s="27"/>
    </row>
    <row r="8850" spans="1:1">
      <c r="A8850" s="27"/>
    </row>
    <row r="8851" spans="1:1">
      <c r="A8851" s="27"/>
    </row>
    <row r="8852" spans="1:1">
      <c r="A8852" s="27"/>
    </row>
    <row r="8853" spans="1:1">
      <c r="A8853" s="27"/>
    </row>
    <row r="8854" spans="1:1">
      <c r="A8854" s="27"/>
    </row>
    <row r="8855" spans="1:1">
      <c r="A8855" s="27"/>
    </row>
    <row r="8856" spans="1:1">
      <c r="A8856" s="27"/>
    </row>
    <row r="8857" spans="1:1">
      <c r="A8857" s="27"/>
    </row>
    <row r="8858" spans="1:1">
      <c r="A8858" s="27"/>
    </row>
    <row r="8859" spans="1:1">
      <c r="A8859" s="27"/>
    </row>
    <row r="8860" spans="1:1">
      <c r="A8860" s="27"/>
    </row>
    <row r="8861" spans="1:1">
      <c r="A8861" s="27"/>
    </row>
    <row r="8862" spans="1:1">
      <c r="A8862" s="27"/>
    </row>
    <row r="8863" spans="1:1">
      <c r="A8863" s="27"/>
    </row>
    <row r="8864" spans="1:1">
      <c r="A8864" s="27"/>
    </row>
    <row r="8865" spans="1:1">
      <c r="A8865" s="27"/>
    </row>
    <row r="8866" spans="1:1">
      <c r="A8866" s="27"/>
    </row>
    <row r="8867" spans="1:1">
      <c r="A8867" s="27"/>
    </row>
    <row r="8868" spans="1:1">
      <c r="A8868" s="27"/>
    </row>
    <row r="8869" spans="1:1">
      <c r="A8869" s="27"/>
    </row>
    <row r="8870" spans="1:1">
      <c r="A8870" s="27"/>
    </row>
    <row r="8871" spans="1:1">
      <c r="A8871" s="27"/>
    </row>
    <row r="8872" spans="1:1">
      <c r="A8872" s="27"/>
    </row>
    <row r="8873" spans="1:1">
      <c r="A8873" s="27"/>
    </row>
    <row r="8874" spans="1:1">
      <c r="A8874" s="27"/>
    </row>
    <row r="8875" spans="1:1">
      <c r="A8875" s="27"/>
    </row>
    <row r="8876" spans="1:1">
      <c r="A8876" s="27"/>
    </row>
    <row r="8877" spans="1:1">
      <c r="A8877" s="27"/>
    </row>
    <row r="8878" spans="1:1">
      <c r="A8878" s="27"/>
    </row>
    <row r="8879" spans="1:1">
      <c r="A8879" s="27"/>
    </row>
    <row r="8880" spans="1:1">
      <c r="A8880" s="27"/>
    </row>
    <row r="8881" spans="1:1">
      <c r="A8881" s="27"/>
    </row>
    <row r="8882" spans="1:1">
      <c r="A8882" s="27"/>
    </row>
    <row r="8883" spans="1:1">
      <c r="A8883" s="27"/>
    </row>
    <row r="8884" spans="1:1">
      <c r="A8884" s="27"/>
    </row>
    <row r="8885" spans="1:1">
      <c r="A8885" s="27"/>
    </row>
    <row r="8886" spans="1:1">
      <c r="A8886" s="27"/>
    </row>
    <row r="8887" spans="1:1">
      <c r="A8887" s="27"/>
    </row>
    <row r="8888" spans="1:1">
      <c r="A8888" s="27"/>
    </row>
    <row r="8889" spans="1:1">
      <c r="A8889" s="27"/>
    </row>
    <row r="8890" spans="1:1">
      <c r="A8890" s="27"/>
    </row>
    <row r="8891" spans="1:1">
      <c r="A8891" s="27"/>
    </row>
    <row r="8892" spans="1:1">
      <c r="A8892" s="27"/>
    </row>
    <row r="8893" spans="1:1">
      <c r="A8893" s="27"/>
    </row>
    <row r="8894" spans="1:1">
      <c r="A8894" s="27"/>
    </row>
    <row r="8895" spans="1:1">
      <c r="A8895" s="27"/>
    </row>
    <row r="8896" spans="1:1">
      <c r="A8896" s="27"/>
    </row>
    <row r="8897" spans="1:1">
      <c r="A8897" s="27"/>
    </row>
    <row r="8898" spans="1:1">
      <c r="A8898" s="27"/>
    </row>
    <row r="8899" spans="1:1">
      <c r="A8899" s="27"/>
    </row>
    <row r="8900" spans="1:1">
      <c r="A8900" s="27"/>
    </row>
    <row r="8901" spans="1:1">
      <c r="A8901" s="27"/>
    </row>
    <row r="8902" spans="1:1">
      <c r="A8902" s="27"/>
    </row>
    <row r="8903" spans="1:1">
      <c r="A8903" s="27"/>
    </row>
    <row r="8904" spans="1:1">
      <c r="A8904" s="27"/>
    </row>
    <row r="8905" spans="1:1">
      <c r="A8905" s="27"/>
    </row>
    <row r="8906" spans="1:1">
      <c r="A8906" s="27"/>
    </row>
    <row r="8907" spans="1:1">
      <c r="A8907" s="27"/>
    </row>
    <row r="8908" spans="1:1">
      <c r="A8908" s="27"/>
    </row>
    <row r="8909" spans="1:1">
      <c r="A8909" s="27"/>
    </row>
    <row r="8910" spans="1:1">
      <c r="A8910" s="27"/>
    </row>
    <row r="8911" spans="1:1">
      <c r="A8911" s="27"/>
    </row>
    <row r="8912" spans="1:1">
      <c r="A8912" s="27"/>
    </row>
    <row r="8913" spans="1:1">
      <c r="A8913" s="27"/>
    </row>
    <row r="8914" spans="1:1">
      <c r="A8914" s="27"/>
    </row>
    <row r="8915" spans="1:1">
      <c r="A8915" s="27"/>
    </row>
    <row r="8916" spans="1:1">
      <c r="A8916" s="27"/>
    </row>
    <row r="8917" spans="1:1">
      <c r="A8917" s="27"/>
    </row>
    <row r="8918" spans="1:1">
      <c r="A8918" s="27"/>
    </row>
    <row r="8919" spans="1:1">
      <c r="A8919" s="27"/>
    </row>
    <row r="8920" spans="1:1">
      <c r="A8920" s="27"/>
    </row>
    <row r="8921" spans="1:1">
      <c r="A8921" s="27"/>
    </row>
    <row r="8922" spans="1:1">
      <c r="A8922" s="27"/>
    </row>
    <row r="8923" spans="1:1">
      <c r="A8923" s="27"/>
    </row>
    <row r="8924" spans="1:1">
      <c r="A8924" s="27"/>
    </row>
    <row r="8925" spans="1:1">
      <c r="A8925" s="27"/>
    </row>
    <row r="8926" spans="1:1">
      <c r="A8926" s="27"/>
    </row>
    <row r="8927" spans="1:1">
      <c r="A8927" s="27"/>
    </row>
    <row r="8928" spans="1:1">
      <c r="A8928" s="27"/>
    </row>
    <row r="8929" spans="1:1">
      <c r="A8929" s="27"/>
    </row>
    <row r="8930" spans="1:1">
      <c r="A8930" s="27"/>
    </row>
    <row r="8931" spans="1:1">
      <c r="A8931" s="27"/>
    </row>
    <row r="8932" spans="1:1">
      <c r="A8932" s="27"/>
    </row>
    <row r="8933" spans="1:1">
      <c r="A8933" s="27"/>
    </row>
    <row r="8934" spans="1:1">
      <c r="A8934" s="27"/>
    </row>
    <row r="8935" spans="1:1">
      <c r="A8935" s="27"/>
    </row>
    <row r="8936" spans="1:1">
      <c r="A8936" s="27"/>
    </row>
    <row r="8937" spans="1:1">
      <c r="A8937" s="27"/>
    </row>
    <row r="8938" spans="1:1">
      <c r="A8938" s="27"/>
    </row>
    <row r="8939" spans="1:1">
      <c r="A8939" s="27"/>
    </row>
    <row r="8940" spans="1:1">
      <c r="A8940" s="27"/>
    </row>
    <row r="8941" spans="1:1">
      <c r="A8941" s="27"/>
    </row>
    <row r="8942" spans="1:1">
      <c r="A8942" s="27"/>
    </row>
    <row r="8943" spans="1:1">
      <c r="A8943" s="27"/>
    </row>
    <row r="8944" spans="1:1">
      <c r="A8944" s="27"/>
    </row>
    <row r="8945" spans="1:1">
      <c r="A8945" s="27"/>
    </row>
    <row r="8946" spans="1:1">
      <c r="A8946" s="27"/>
    </row>
    <row r="8947" spans="1:1">
      <c r="A8947" s="27"/>
    </row>
    <row r="8948" spans="1:1">
      <c r="A8948" s="27"/>
    </row>
    <row r="8949" spans="1:1">
      <c r="A8949" s="27"/>
    </row>
    <row r="8950" spans="1:1">
      <c r="A8950" s="27"/>
    </row>
    <row r="8951" spans="1:1">
      <c r="A8951" s="27"/>
    </row>
    <row r="8952" spans="1:1">
      <c r="A8952" s="27"/>
    </row>
    <row r="8953" spans="1:1">
      <c r="A8953" s="27"/>
    </row>
    <row r="8954" spans="1:1">
      <c r="A8954" s="27"/>
    </row>
    <row r="8955" spans="1:1">
      <c r="A8955" s="27"/>
    </row>
    <row r="8956" spans="1:1">
      <c r="A8956" s="27"/>
    </row>
    <row r="8957" spans="1:1">
      <c r="A8957" s="27"/>
    </row>
    <row r="8958" spans="1:1">
      <c r="A8958" s="27"/>
    </row>
    <row r="8959" spans="1:1">
      <c r="A8959" s="27"/>
    </row>
    <row r="8960" spans="1:1">
      <c r="A8960" s="27"/>
    </row>
    <row r="8961" spans="1:1">
      <c r="A8961" s="27"/>
    </row>
    <row r="8962" spans="1:1">
      <c r="A8962" s="27"/>
    </row>
    <row r="8963" spans="1:1">
      <c r="A8963" s="27"/>
    </row>
    <row r="8964" spans="1:1">
      <c r="A8964" s="27"/>
    </row>
    <row r="8965" spans="1:1">
      <c r="A8965" s="27"/>
    </row>
    <row r="8966" spans="1:1">
      <c r="A8966" s="27"/>
    </row>
    <row r="8967" spans="1:1">
      <c r="A8967" s="27"/>
    </row>
    <row r="8968" spans="1:1">
      <c r="A8968" s="27"/>
    </row>
    <row r="8969" spans="1:1">
      <c r="A8969" s="27"/>
    </row>
    <row r="8970" spans="1:1">
      <c r="A8970" s="27"/>
    </row>
    <row r="8971" spans="1:1">
      <c r="A8971" s="27"/>
    </row>
    <row r="8972" spans="1:1">
      <c r="A8972" s="27"/>
    </row>
    <row r="8973" spans="1:1">
      <c r="A8973" s="27"/>
    </row>
    <row r="8974" spans="1:1">
      <c r="A8974" s="27"/>
    </row>
    <row r="8975" spans="1:1">
      <c r="A8975" s="27"/>
    </row>
    <row r="8976" spans="1:1">
      <c r="A8976" s="27"/>
    </row>
    <row r="8977" spans="1:1">
      <c r="A8977" s="27"/>
    </row>
    <row r="8978" spans="1:1">
      <c r="A8978" s="27"/>
    </row>
    <row r="8979" spans="1:1">
      <c r="A8979" s="27"/>
    </row>
    <row r="8980" spans="1:1">
      <c r="A8980" s="27"/>
    </row>
    <row r="8981" spans="1:1">
      <c r="A8981" s="27"/>
    </row>
    <row r="8982" spans="1:1">
      <c r="A8982" s="27"/>
    </row>
    <row r="8983" spans="1:1">
      <c r="A8983" s="27"/>
    </row>
    <row r="8984" spans="1:1">
      <c r="A8984" s="27"/>
    </row>
    <row r="8985" spans="1:1">
      <c r="A8985" s="27"/>
    </row>
    <row r="8986" spans="1:1">
      <c r="A8986" s="27"/>
    </row>
    <row r="8987" spans="1:1">
      <c r="A8987" s="27"/>
    </row>
    <row r="8988" spans="1:1">
      <c r="A8988" s="27"/>
    </row>
    <row r="8989" spans="1:1">
      <c r="A8989" s="27"/>
    </row>
    <row r="8990" spans="1:1">
      <c r="A8990" s="27"/>
    </row>
    <row r="8991" spans="1:1">
      <c r="A8991" s="27"/>
    </row>
    <row r="8992" spans="1:1">
      <c r="A8992" s="27"/>
    </row>
    <row r="8993" spans="1:1">
      <c r="A8993" s="27"/>
    </row>
    <row r="8994" spans="1:1">
      <c r="A8994" s="27"/>
    </row>
    <row r="8995" spans="1:1">
      <c r="A8995" s="27"/>
    </row>
    <row r="8996" spans="1:1">
      <c r="A8996" s="27"/>
    </row>
    <row r="8997" spans="1:1">
      <c r="A8997" s="27"/>
    </row>
    <row r="8998" spans="1:1">
      <c r="A8998" s="27"/>
    </row>
    <row r="8999" spans="1:1">
      <c r="A8999" s="27"/>
    </row>
    <row r="9000" spans="1:1">
      <c r="A9000" s="27"/>
    </row>
    <row r="9001" spans="1:1">
      <c r="A9001" s="27"/>
    </row>
    <row r="9002" spans="1:1">
      <c r="A9002" s="27"/>
    </row>
    <row r="9003" spans="1:1">
      <c r="A9003" s="27"/>
    </row>
    <row r="9004" spans="1:1">
      <c r="A9004" s="27"/>
    </row>
    <row r="9005" spans="1:1">
      <c r="A9005" s="27"/>
    </row>
    <row r="9006" spans="1:1">
      <c r="A9006" s="27"/>
    </row>
    <row r="9007" spans="1:1">
      <c r="A9007" s="27"/>
    </row>
    <row r="9008" spans="1:1">
      <c r="A9008" s="27"/>
    </row>
    <row r="9009" spans="1:1">
      <c r="A9009" s="27"/>
    </row>
    <row r="9010" spans="1:1">
      <c r="A9010" s="27"/>
    </row>
    <row r="9011" spans="1:1">
      <c r="A9011" s="27"/>
    </row>
    <row r="9012" spans="1:1">
      <c r="A9012" s="27"/>
    </row>
    <row r="9013" spans="1:1">
      <c r="A9013" s="27"/>
    </row>
    <row r="9014" spans="1:1">
      <c r="A9014" s="27"/>
    </row>
    <row r="9015" spans="1:1">
      <c r="A9015" s="27"/>
    </row>
    <row r="9016" spans="1:1">
      <c r="A9016" s="27"/>
    </row>
    <row r="9017" spans="1:1">
      <c r="A9017" s="27"/>
    </row>
    <row r="9018" spans="1:1">
      <c r="A9018" s="27"/>
    </row>
    <row r="9019" spans="1:1">
      <c r="A9019" s="27"/>
    </row>
    <row r="9020" spans="1:1">
      <c r="A9020" s="27"/>
    </row>
    <row r="9021" spans="1:1">
      <c r="A9021" s="27"/>
    </row>
    <row r="9022" spans="1:1">
      <c r="A9022" s="27"/>
    </row>
    <row r="9023" spans="1:1">
      <c r="A9023" s="27"/>
    </row>
    <row r="9024" spans="1:1">
      <c r="A9024" s="27"/>
    </row>
    <row r="9025" spans="1:1">
      <c r="A9025" s="27"/>
    </row>
    <row r="9026" spans="1:1">
      <c r="A9026" s="27"/>
    </row>
    <row r="9027" spans="1:1">
      <c r="A9027" s="27"/>
    </row>
    <row r="9028" spans="1:1">
      <c r="A9028" s="27"/>
    </row>
    <row r="9029" spans="1:1">
      <c r="A9029" s="27"/>
    </row>
    <row r="9030" spans="1:1">
      <c r="A9030" s="27"/>
    </row>
    <row r="9031" spans="1:1">
      <c r="A9031" s="27"/>
    </row>
    <row r="9032" spans="1:1">
      <c r="A9032" s="27"/>
    </row>
    <row r="9033" spans="1:1">
      <c r="A9033" s="27"/>
    </row>
    <row r="9034" spans="1:1">
      <c r="A9034" s="27"/>
    </row>
    <row r="9035" spans="1:1">
      <c r="A9035" s="27"/>
    </row>
    <row r="9036" spans="1:1">
      <c r="A9036" s="27"/>
    </row>
    <row r="9037" spans="1:1">
      <c r="A9037" s="27"/>
    </row>
    <row r="9038" spans="1:1">
      <c r="A9038" s="27"/>
    </row>
    <row r="9039" spans="1:1">
      <c r="A9039" s="27"/>
    </row>
    <row r="9040" spans="1:1">
      <c r="A9040" s="27"/>
    </row>
    <row r="9041" spans="1:1">
      <c r="A9041" s="27"/>
    </row>
    <row r="9042" spans="1:1">
      <c r="A9042" s="27"/>
    </row>
    <row r="9043" spans="1:1">
      <c r="A9043" s="27"/>
    </row>
    <row r="9044" spans="1:1">
      <c r="A9044" s="27"/>
    </row>
    <row r="9045" spans="1:1">
      <c r="A9045" s="27"/>
    </row>
    <row r="9046" spans="1:1">
      <c r="A9046" s="27"/>
    </row>
    <row r="9047" spans="1:1">
      <c r="A9047" s="27"/>
    </row>
    <row r="9048" spans="1:1">
      <c r="A9048" s="27"/>
    </row>
    <row r="9049" spans="1:1">
      <c r="A9049" s="27"/>
    </row>
    <row r="9050" spans="1:1">
      <c r="A9050" s="27"/>
    </row>
    <row r="9051" spans="1:1">
      <c r="A9051" s="27"/>
    </row>
    <row r="9052" spans="1:1">
      <c r="A9052" s="27"/>
    </row>
    <row r="9053" spans="1:1">
      <c r="A9053" s="27"/>
    </row>
    <row r="9054" spans="1:1">
      <c r="A9054" s="27"/>
    </row>
    <row r="9055" spans="1:1">
      <c r="A9055" s="27"/>
    </row>
    <row r="9056" spans="1:1">
      <c r="A9056" s="27"/>
    </row>
    <row r="9057" spans="1:1">
      <c r="A9057" s="27"/>
    </row>
    <row r="9058" spans="1:1">
      <c r="A9058" s="27"/>
    </row>
    <row r="9059" spans="1:1">
      <c r="A9059" s="27"/>
    </row>
    <row r="9060" spans="1:1">
      <c r="A9060" s="27"/>
    </row>
    <row r="9061" spans="1:1">
      <c r="A9061" s="27"/>
    </row>
    <row r="9062" spans="1:1">
      <c r="A9062" s="27"/>
    </row>
    <row r="9063" spans="1:1">
      <c r="A9063" s="27"/>
    </row>
    <row r="9064" spans="1:1">
      <c r="A9064" s="27"/>
    </row>
    <row r="9065" spans="1:1">
      <c r="A9065" s="27"/>
    </row>
    <row r="9066" spans="1:1">
      <c r="A9066" s="27"/>
    </row>
    <row r="9067" spans="1:1">
      <c r="A9067" s="27"/>
    </row>
    <row r="9068" spans="1:1">
      <c r="A9068" s="27"/>
    </row>
    <row r="9069" spans="1:1">
      <c r="A9069" s="27"/>
    </row>
    <row r="9070" spans="1:1">
      <c r="A9070" s="27"/>
    </row>
    <row r="9071" spans="1:1">
      <c r="A9071" s="27"/>
    </row>
    <row r="9072" spans="1:1">
      <c r="A9072" s="27"/>
    </row>
    <row r="9073" spans="1:1">
      <c r="A9073" s="27"/>
    </row>
    <row r="9074" spans="1:1">
      <c r="A9074" s="27"/>
    </row>
    <row r="9075" spans="1:1">
      <c r="A9075" s="27"/>
    </row>
    <row r="9076" spans="1:1">
      <c r="A9076" s="27"/>
    </row>
    <row r="9077" spans="1:1">
      <c r="A9077" s="27"/>
    </row>
    <row r="9078" spans="1:1">
      <c r="A9078" s="27"/>
    </row>
    <row r="9079" spans="1:1">
      <c r="A9079" s="27"/>
    </row>
    <row r="9080" spans="1:1">
      <c r="A9080" s="27"/>
    </row>
    <row r="9081" spans="1:1">
      <c r="A9081" s="27"/>
    </row>
    <row r="9082" spans="1:1">
      <c r="A9082" s="27"/>
    </row>
    <row r="9083" spans="1:1">
      <c r="A9083" s="27"/>
    </row>
    <row r="9084" spans="1:1">
      <c r="A9084" s="27"/>
    </row>
    <row r="9085" spans="1:1">
      <c r="A9085" s="27"/>
    </row>
    <row r="9086" spans="1:1">
      <c r="A9086" s="27"/>
    </row>
    <row r="9087" spans="1:1">
      <c r="A9087" s="27"/>
    </row>
    <row r="9088" spans="1:1">
      <c r="A9088" s="27"/>
    </row>
    <row r="9089" spans="1:1">
      <c r="A9089" s="27"/>
    </row>
    <row r="9090" spans="1:1">
      <c r="A9090" s="27"/>
    </row>
    <row r="9091" spans="1:1">
      <c r="A9091" s="27"/>
    </row>
    <row r="9092" spans="1:1">
      <c r="A9092" s="27"/>
    </row>
    <row r="9093" spans="1:1">
      <c r="A9093" s="27"/>
    </row>
    <row r="9094" spans="1:1">
      <c r="A9094" s="27"/>
    </row>
    <row r="9095" spans="1:1">
      <c r="A9095" s="27"/>
    </row>
    <row r="9096" spans="1:1">
      <c r="A9096" s="27"/>
    </row>
    <row r="9097" spans="1:1">
      <c r="A9097" s="27"/>
    </row>
    <row r="9098" spans="1:1">
      <c r="A9098" s="27"/>
    </row>
    <row r="9099" spans="1:1">
      <c r="A9099" s="27"/>
    </row>
    <row r="9100" spans="1:1">
      <c r="A9100" s="27"/>
    </row>
    <row r="9101" spans="1:1">
      <c r="A9101" s="27"/>
    </row>
    <row r="9102" spans="1:1">
      <c r="A9102" s="27"/>
    </row>
    <row r="9103" spans="1:1">
      <c r="A9103" s="27"/>
    </row>
    <row r="9104" spans="1:1">
      <c r="A9104" s="27"/>
    </row>
    <row r="9105" spans="1:1">
      <c r="A9105" s="27"/>
    </row>
    <row r="9106" spans="1:1">
      <c r="A9106" s="27"/>
    </row>
    <row r="9107" spans="1:1">
      <c r="A9107" s="27"/>
    </row>
    <row r="9108" spans="1:1">
      <c r="A9108" s="27"/>
    </row>
    <row r="9109" spans="1:1">
      <c r="A9109" s="27"/>
    </row>
    <row r="9110" spans="1:1">
      <c r="A9110" s="27"/>
    </row>
    <row r="9111" spans="1:1">
      <c r="A9111" s="27"/>
    </row>
    <row r="9112" spans="1:1">
      <c r="A9112" s="27"/>
    </row>
    <row r="9113" spans="1:1">
      <c r="A9113" s="27"/>
    </row>
    <row r="9114" spans="1:1">
      <c r="A9114" s="27"/>
    </row>
    <row r="9115" spans="1:1">
      <c r="A9115" s="27"/>
    </row>
    <row r="9116" spans="1:1">
      <c r="A9116" s="27"/>
    </row>
    <row r="9117" spans="1:1">
      <c r="A9117" s="27"/>
    </row>
    <row r="9118" spans="1:1">
      <c r="A9118" s="27"/>
    </row>
    <row r="9119" spans="1:1">
      <c r="A9119" s="27"/>
    </row>
    <row r="9120" spans="1:1">
      <c r="A9120" s="27"/>
    </row>
    <row r="9121" spans="1:1">
      <c r="A9121" s="27"/>
    </row>
    <row r="9122" spans="1:1">
      <c r="A9122" s="27"/>
    </row>
    <row r="9123" spans="1:1">
      <c r="A9123" s="27"/>
    </row>
    <row r="9124" spans="1:1">
      <c r="A9124" s="27"/>
    </row>
    <row r="9125" spans="1:1">
      <c r="A9125" s="27"/>
    </row>
    <row r="9126" spans="1:1">
      <c r="A9126" s="27"/>
    </row>
    <row r="9127" spans="1:1">
      <c r="A9127" s="27"/>
    </row>
    <row r="9128" spans="1:1">
      <c r="A9128" s="27"/>
    </row>
    <row r="9129" spans="1:1">
      <c r="A9129" s="27"/>
    </row>
    <row r="9130" spans="1:1">
      <c r="A9130" s="27"/>
    </row>
    <row r="9131" spans="1:1">
      <c r="A9131" s="27"/>
    </row>
    <row r="9132" spans="1:1">
      <c r="A9132" s="27"/>
    </row>
    <row r="9133" spans="1:1">
      <c r="A9133" s="27"/>
    </row>
    <row r="9134" spans="1:1">
      <c r="A9134" s="27"/>
    </row>
    <row r="9135" spans="1:1">
      <c r="A9135" s="27"/>
    </row>
    <row r="9136" spans="1:1">
      <c r="A9136" s="27"/>
    </row>
    <row r="9137" spans="1:1">
      <c r="A9137" s="27"/>
    </row>
    <row r="9138" spans="1:1">
      <c r="A9138" s="27"/>
    </row>
    <row r="9139" spans="1:1">
      <c r="A9139" s="27"/>
    </row>
    <row r="9140" spans="1:1">
      <c r="A9140" s="27"/>
    </row>
    <row r="9141" spans="1:1">
      <c r="A9141" s="27"/>
    </row>
    <row r="9142" spans="1:1">
      <c r="A9142" s="27"/>
    </row>
    <row r="9143" spans="1:1">
      <c r="A9143" s="27"/>
    </row>
    <row r="9144" spans="1:1">
      <c r="A9144" s="27"/>
    </row>
    <row r="9145" spans="1:1">
      <c r="A9145" s="27"/>
    </row>
    <row r="9146" spans="1:1">
      <c r="A9146" s="27"/>
    </row>
    <row r="9147" spans="1:1">
      <c r="A9147" s="27"/>
    </row>
    <row r="9148" spans="1:1">
      <c r="A9148" s="27"/>
    </row>
    <row r="9149" spans="1:1">
      <c r="A9149" s="27"/>
    </row>
    <row r="9150" spans="1:1">
      <c r="A9150" s="27"/>
    </row>
    <row r="9151" spans="1:1">
      <c r="A9151" s="27"/>
    </row>
    <row r="9152" spans="1:1">
      <c r="A9152" s="27"/>
    </row>
    <row r="9153" spans="1:1">
      <c r="A9153" s="27"/>
    </row>
    <row r="9154" spans="1:1">
      <c r="A9154" s="27"/>
    </row>
    <row r="9155" spans="1:1">
      <c r="A9155" s="27"/>
    </row>
    <row r="9156" spans="1:1">
      <c r="A9156" s="27"/>
    </row>
    <row r="9157" spans="1:1">
      <c r="A9157" s="27"/>
    </row>
    <row r="9158" spans="1:1">
      <c r="A9158" s="27"/>
    </row>
    <row r="9159" spans="1:1">
      <c r="A9159" s="27"/>
    </row>
    <row r="9160" spans="1:1">
      <c r="A9160" s="27"/>
    </row>
    <row r="9161" spans="1:1">
      <c r="A9161" s="27"/>
    </row>
    <row r="9162" spans="1:1">
      <c r="A9162" s="27"/>
    </row>
    <row r="9163" spans="1:1">
      <c r="A9163" s="27"/>
    </row>
    <row r="9164" spans="1:1">
      <c r="A9164" s="27"/>
    </row>
    <row r="9165" spans="1:1">
      <c r="A9165" s="27"/>
    </row>
    <row r="9166" spans="1:1">
      <c r="A9166" s="27"/>
    </row>
    <row r="9167" spans="1:1">
      <c r="A9167" s="27"/>
    </row>
    <row r="9168" spans="1:1">
      <c r="A9168" s="27"/>
    </row>
    <row r="9169" spans="1:1">
      <c r="A9169" s="27"/>
    </row>
    <row r="9170" spans="1:1">
      <c r="A9170" s="27"/>
    </row>
    <row r="9171" spans="1:1">
      <c r="A9171" s="27"/>
    </row>
    <row r="9172" spans="1:1">
      <c r="A9172" s="27"/>
    </row>
    <row r="9173" spans="1:1">
      <c r="A9173" s="27"/>
    </row>
    <row r="9174" spans="1:1">
      <c r="A9174" s="27"/>
    </row>
    <row r="9175" spans="1:1">
      <c r="A9175" s="27"/>
    </row>
    <row r="9176" spans="1:1">
      <c r="A9176" s="27"/>
    </row>
    <row r="9177" spans="1:1">
      <c r="A9177" s="27"/>
    </row>
    <row r="9178" spans="1:1">
      <c r="A9178" s="27"/>
    </row>
    <row r="9179" spans="1:1">
      <c r="A9179" s="27"/>
    </row>
    <row r="9180" spans="1:1">
      <c r="A9180" s="27"/>
    </row>
    <row r="9181" spans="1:1">
      <c r="A9181" s="27"/>
    </row>
    <row r="9182" spans="1:1">
      <c r="A9182" s="27"/>
    </row>
    <row r="9183" spans="1:1">
      <c r="A9183" s="27"/>
    </row>
    <row r="9184" spans="1:1">
      <c r="A9184" s="27"/>
    </row>
    <row r="9185" spans="1:1">
      <c r="A9185" s="27"/>
    </row>
    <row r="9186" spans="1:1">
      <c r="A9186" s="27"/>
    </row>
    <row r="9187" spans="1:1">
      <c r="A9187" s="27"/>
    </row>
    <row r="9188" spans="1:1">
      <c r="A9188" s="27"/>
    </row>
    <row r="9189" spans="1:1">
      <c r="A9189" s="27"/>
    </row>
    <row r="9190" spans="1:1">
      <c r="A9190" s="27"/>
    </row>
    <row r="9191" spans="1:1">
      <c r="A9191" s="27"/>
    </row>
    <row r="9192" spans="1:1">
      <c r="A9192" s="27"/>
    </row>
    <row r="9193" spans="1:1">
      <c r="A9193" s="27"/>
    </row>
    <row r="9194" spans="1:1">
      <c r="A9194" s="27"/>
    </row>
    <row r="9195" spans="1:1">
      <c r="A9195" s="27"/>
    </row>
    <row r="9196" spans="1:1">
      <c r="A9196" s="27"/>
    </row>
    <row r="9197" spans="1:1">
      <c r="A9197" s="27"/>
    </row>
    <row r="9198" spans="1:1">
      <c r="A9198" s="27"/>
    </row>
    <row r="9199" spans="1:1">
      <c r="A9199" s="27"/>
    </row>
    <row r="9200" spans="1:1">
      <c r="A9200" s="27"/>
    </row>
    <row r="9201" spans="1:1">
      <c r="A9201" s="27"/>
    </row>
    <row r="9202" spans="1:1">
      <c r="A9202" s="27"/>
    </row>
    <row r="9203" spans="1:1">
      <c r="A9203" s="27"/>
    </row>
    <row r="9204" spans="1:1">
      <c r="A9204" s="27"/>
    </row>
    <row r="9205" spans="1:1">
      <c r="A9205" s="27"/>
    </row>
    <row r="9206" spans="1:1">
      <c r="A9206" s="27"/>
    </row>
    <row r="9207" spans="1:1">
      <c r="A9207" s="27"/>
    </row>
    <row r="9208" spans="1:1">
      <c r="A9208" s="27"/>
    </row>
    <row r="9209" spans="1:1">
      <c r="A9209" s="27"/>
    </row>
    <row r="9210" spans="1:1">
      <c r="A9210" s="27"/>
    </row>
    <row r="9211" spans="1:1">
      <c r="A9211" s="27"/>
    </row>
    <row r="9212" spans="1:1">
      <c r="A9212" s="27"/>
    </row>
    <row r="9213" spans="1:1">
      <c r="A9213" s="27"/>
    </row>
    <row r="9214" spans="1:1">
      <c r="A9214" s="27"/>
    </row>
    <row r="9215" spans="1:1">
      <c r="A9215" s="27"/>
    </row>
    <row r="9216" spans="1:1">
      <c r="A9216" s="27"/>
    </row>
    <row r="9217" spans="1:1">
      <c r="A9217" s="27"/>
    </row>
    <row r="9218" spans="1:1">
      <c r="A9218" s="27"/>
    </row>
    <row r="9219" spans="1:1">
      <c r="A9219" s="27"/>
    </row>
    <row r="9220" spans="1:1">
      <c r="A9220" s="27"/>
    </row>
    <row r="9221" spans="1:1">
      <c r="A9221" s="27"/>
    </row>
    <row r="9222" spans="1:1">
      <c r="A9222" s="27"/>
    </row>
    <row r="9223" spans="1:1">
      <c r="A9223" s="27"/>
    </row>
    <row r="9224" spans="1:1">
      <c r="A9224" s="27"/>
    </row>
    <row r="9225" spans="1:1">
      <c r="A9225" s="27"/>
    </row>
    <row r="9226" spans="1:1">
      <c r="A9226" s="27"/>
    </row>
    <row r="9227" spans="1:1">
      <c r="A9227" s="27"/>
    </row>
    <row r="9228" spans="1:1">
      <c r="A9228" s="27"/>
    </row>
    <row r="9229" spans="1:1">
      <c r="A9229" s="27"/>
    </row>
    <row r="9230" spans="1:1">
      <c r="A9230" s="27"/>
    </row>
    <row r="9231" spans="1:1">
      <c r="A9231" s="27"/>
    </row>
    <row r="9232" spans="1:1">
      <c r="A9232" s="27"/>
    </row>
    <row r="9233" spans="1:1">
      <c r="A9233" s="27"/>
    </row>
    <row r="9234" spans="1:1">
      <c r="A9234" s="27"/>
    </row>
    <row r="9235" spans="1:1">
      <c r="A9235" s="27"/>
    </row>
    <row r="9236" spans="1:1">
      <c r="A9236" s="27"/>
    </row>
    <row r="9237" spans="1:1">
      <c r="A9237" s="27"/>
    </row>
    <row r="9238" spans="1:1">
      <c r="A9238" s="27"/>
    </row>
    <row r="9239" spans="1:1">
      <c r="A9239" s="27"/>
    </row>
    <row r="9240" spans="1:1">
      <c r="A9240" s="27"/>
    </row>
    <row r="9241" spans="1:1">
      <c r="A9241" s="27"/>
    </row>
    <row r="9242" spans="1:1">
      <c r="A9242" s="27"/>
    </row>
    <row r="9243" spans="1:1">
      <c r="A9243" s="27"/>
    </row>
    <row r="9244" spans="1:1">
      <c r="A9244" s="27"/>
    </row>
    <row r="9245" spans="1:1">
      <c r="A9245" s="27"/>
    </row>
    <row r="9246" spans="1:1">
      <c r="A9246" s="27"/>
    </row>
    <row r="9247" spans="1:1">
      <c r="A9247" s="27"/>
    </row>
    <row r="9248" spans="1:1">
      <c r="A9248" s="27"/>
    </row>
    <row r="9249" spans="1:1">
      <c r="A9249" s="27"/>
    </row>
    <row r="9250" spans="1:1">
      <c r="A9250" s="27"/>
    </row>
    <row r="9251" spans="1:1">
      <c r="A9251" s="27"/>
    </row>
    <row r="9252" spans="1:1">
      <c r="A9252" s="27"/>
    </row>
    <row r="9253" spans="1:1">
      <c r="A9253" s="27"/>
    </row>
    <row r="9254" spans="1:1">
      <c r="A9254" s="27"/>
    </row>
    <row r="9255" spans="1:1">
      <c r="A9255" s="27"/>
    </row>
    <row r="9256" spans="1:1">
      <c r="A9256" s="27"/>
    </row>
    <row r="9257" spans="1:1">
      <c r="A9257" s="27"/>
    </row>
    <row r="9258" spans="1:1">
      <c r="A9258" s="27"/>
    </row>
    <row r="9259" spans="1:1">
      <c r="A9259" s="27"/>
    </row>
    <row r="9260" spans="1:1">
      <c r="A9260" s="27"/>
    </row>
    <row r="9261" spans="1:1">
      <c r="A9261" s="27"/>
    </row>
    <row r="9262" spans="1:1">
      <c r="A9262" s="27"/>
    </row>
    <row r="9263" spans="1:1">
      <c r="A9263" s="27"/>
    </row>
    <row r="9264" spans="1:1">
      <c r="A9264" s="27"/>
    </row>
    <row r="9265" spans="1:1">
      <c r="A9265" s="27"/>
    </row>
    <row r="9266" spans="1:1">
      <c r="A9266" s="27"/>
    </row>
    <row r="9267" spans="1:1">
      <c r="A9267" s="27"/>
    </row>
    <row r="9268" spans="1:1">
      <c r="A9268" s="27"/>
    </row>
    <row r="9269" spans="1:1">
      <c r="A9269" s="27"/>
    </row>
    <row r="9270" spans="1:1">
      <c r="A9270" s="27"/>
    </row>
    <row r="9271" spans="1:1">
      <c r="A9271" s="27"/>
    </row>
    <row r="9272" spans="1:1">
      <c r="A9272" s="27"/>
    </row>
    <row r="9273" spans="1:1">
      <c r="A9273" s="27"/>
    </row>
    <row r="9274" spans="1:1">
      <c r="A9274" s="27"/>
    </row>
    <row r="9275" spans="1:1">
      <c r="A9275" s="27"/>
    </row>
    <row r="9276" spans="1:1">
      <c r="A9276" s="27"/>
    </row>
    <row r="9277" spans="1:1">
      <c r="A9277" s="27"/>
    </row>
    <row r="9278" spans="1:1">
      <c r="A9278" s="27"/>
    </row>
    <row r="9279" spans="1:1">
      <c r="A9279" s="27"/>
    </row>
    <row r="9280" spans="1:1">
      <c r="A9280" s="27"/>
    </row>
    <row r="9281" spans="1:1">
      <c r="A9281" s="27"/>
    </row>
    <row r="9282" spans="1:1">
      <c r="A9282" s="27"/>
    </row>
    <row r="9283" spans="1:1">
      <c r="A9283" s="27"/>
    </row>
    <row r="9284" spans="1:1">
      <c r="A9284" s="27"/>
    </row>
    <row r="9285" spans="1:1">
      <c r="A9285" s="27"/>
    </row>
    <row r="9286" spans="1:1">
      <c r="A9286" s="27"/>
    </row>
    <row r="9287" spans="1:1">
      <c r="A9287" s="27"/>
    </row>
    <row r="9288" spans="1:1">
      <c r="A9288" s="27"/>
    </row>
    <row r="9289" spans="1:1">
      <c r="A9289" s="27"/>
    </row>
    <row r="9290" spans="1:1">
      <c r="A9290" s="27"/>
    </row>
    <row r="9291" spans="1:1">
      <c r="A9291" s="27"/>
    </row>
    <row r="9292" spans="1:1">
      <c r="A9292" s="27"/>
    </row>
    <row r="9293" spans="1:1">
      <c r="A9293" s="27"/>
    </row>
    <row r="9294" spans="1:1">
      <c r="A9294" s="27"/>
    </row>
    <row r="9295" spans="1:1">
      <c r="A9295" s="27"/>
    </row>
    <row r="9296" spans="1:1">
      <c r="A9296" s="27"/>
    </row>
    <row r="9297" spans="1:1">
      <c r="A9297" s="27"/>
    </row>
    <row r="9298" spans="1:1">
      <c r="A9298" s="27"/>
    </row>
    <row r="9299" spans="1:1">
      <c r="A9299" s="27"/>
    </row>
    <row r="9300" spans="1:1">
      <c r="A9300" s="27"/>
    </row>
    <row r="9301" spans="1:1">
      <c r="A9301" s="27"/>
    </row>
    <row r="9302" spans="1:1">
      <c r="A9302" s="27"/>
    </row>
    <row r="9303" spans="1:1">
      <c r="A9303" s="27"/>
    </row>
    <row r="9304" spans="1:1">
      <c r="A9304" s="27"/>
    </row>
    <row r="9305" spans="1:1">
      <c r="A9305" s="27"/>
    </row>
    <row r="9306" spans="1:1">
      <c r="A9306" s="27"/>
    </row>
    <row r="9307" spans="1:1">
      <c r="A9307" s="27"/>
    </row>
    <row r="9308" spans="1:1">
      <c r="A9308" s="27"/>
    </row>
    <row r="9309" spans="1:1">
      <c r="A9309" s="27"/>
    </row>
    <row r="9310" spans="1:1">
      <c r="A9310" s="27"/>
    </row>
    <row r="9311" spans="1:1">
      <c r="A9311" s="27"/>
    </row>
    <row r="9312" spans="1:1">
      <c r="A9312" s="27"/>
    </row>
    <row r="9313" spans="1:1">
      <c r="A9313" s="27"/>
    </row>
    <row r="9314" spans="1:1">
      <c r="A9314" s="27"/>
    </row>
    <row r="9315" spans="1:1">
      <c r="A9315" s="27"/>
    </row>
    <row r="9316" spans="1:1">
      <c r="A9316" s="27"/>
    </row>
    <row r="9317" spans="1:1">
      <c r="A9317" s="27"/>
    </row>
    <row r="9318" spans="1:1">
      <c r="A9318" s="27"/>
    </row>
    <row r="9319" spans="1:1">
      <c r="A9319" s="27"/>
    </row>
    <row r="9320" spans="1:1">
      <c r="A9320" s="27"/>
    </row>
    <row r="9321" spans="1:1">
      <c r="A9321" s="27"/>
    </row>
    <row r="9322" spans="1:1">
      <c r="A9322" s="27"/>
    </row>
    <row r="9323" spans="1:1">
      <c r="A9323" s="27"/>
    </row>
    <row r="9324" spans="1:1">
      <c r="A9324" s="27"/>
    </row>
    <row r="9325" spans="1:1">
      <c r="A9325" s="27"/>
    </row>
    <row r="9326" spans="1:1">
      <c r="A9326" s="27"/>
    </row>
    <row r="9327" spans="1:1">
      <c r="A9327" s="27"/>
    </row>
    <row r="9328" spans="1:1">
      <c r="A9328" s="27"/>
    </row>
    <row r="9329" spans="1:1">
      <c r="A9329" s="27"/>
    </row>
    <row r="9330" spans="1:1">
      <c r="A9330" s="27"/>
    </row>
    <row r="9331" spans="1:1">
      <c r="A9331" s="27"/>
    </row>
    <row r="9332" spans="1:1">
      <c r="A9332" s="27"/>
    </row>
    <row r="9333" spans="1:1">
      <c r="A9333" s="27"/>
    </row>
    <row r="9334" spans="1:1">
      <c r="A9334" s="27"/>
    </row>
    <row r="9335" spans="1:1">
      <c r="A9335" s="27"/>
    </row>
    <row r="9336" spans="1:1">
      <c r="A9336" s="27"/>
    </row>
    <row r="9337" spans="1:1">
      <c r="A9337" s="27"/>
    </row>
    <row r="9338" spans="1:1">
      <c r="A9338" s="27"/>
    </row>
    <row r="9339" spans="1:1">
      <c r="A9339" s="27"/>
    </row>
    <row r="9340" spans="1:1">
      <c r="A9340" s="27"/>
    </row>
    <row r="9341" spans="1:1">
      <c r="A9341" s="27"/>
    </row>
    <row r="9342" spans="1:1">
      <c r="A9342" s="27"/>
    </row>
    <row r="9343" spans="1:1">
      <c r="A9343" s="27"/>
    </row>
    <row r="9344" spans="1:1">
      <c r="A9344" s="27"/>
    </row>
    <row r="9345" spans="1:1">
      <c r="A9345" s="27"/>
    </row>
    <row r="9346" spans="1:1">
      <c r="A9346" s="27"/>
    </row>
    <row r="9347" spans="1:1">
      <c r="A9347" s="27"/>
    </row>
    <row r="9348" spans="1:1">
      <c r="A9348" s="27"/>
    </row>
    <row r="9349" spans="1:1">
      <c r="A9349" s="27"/>
    </row>
    <row r="9350" spans="1:1">
      <c r="A9350" s="27"/>
    </row>
    <row r="9351" spans="1:1">
      <c r="A9351" s="27"/>
    </row>
    <row r="9352" spans="1:1">
      <c r="A9352" s="27"/>
    </row>
    <row r="9353" spans="1:1">
      <c r="A9353" s="27"/>
    </row>
    <row r="9354" spans="1:1">
      <c r="A9354" s="27"/>
    </row>
    <row r="9355" spans="1:1">
      <c r="A9355" s="27"/>
    </row>
    <row r="9356" spans="1:1">
      <c r="A9356" s="27"/>
    </row>
    <row r="9357" spans="1:1">
      <c r="A9357" s="27"/>
    </row>
    <row r="9358" spans="1:1">
      <c r="A9358" s="27"/>
    </row>
    <row r="9359" spans="1:1">
      <c r="A9359" s="27"/>
    </row>
    <row r="9360" spans="1:1">
      <c r="A9360" s="27"/>
    </row>
    <row r="9361" spans="1:1">
      <c r="A9361" s="27"/>
    </row>
    <row r="9362" spans="1:1">
      <c r="A9362" s="27"/>
    </row>
    <row r="9363" spans="1:1">
      <c r="A9363" s="27"/>
    </row>
    <row r="9364" spans="1:1">
      <c r="A9364" s="27"/>
    </row>
    <row r="9365" spans="1:1">
      <c r="A9365" s="27"/>
    </row>
    <row r="9366" spans="1:1">
      <c r="A9366" s="27"/>
    </row>
    <row r="9367" spans="1:1">
      <c r="A9367" s="27"/>
    </row>
    <row r="9368" spans="1:1">
      <c r="A9368" s="27"/>
    </row>
    <row r="9369" spans="1:1">
      <c r="A9369" s="27"/>
    </row>
    <row r="9370" spans="1:1">
      <c r="A9370" s="27"/>
    </row>
    <row r="9371" spans="1:1">
      <c r="A9371" s="27"/>
    </row>
    <row r="9372" spans="1:1">
      <c r="A9372" s="27"/>
    </row>
    <row r="9373" spans="1:1">
      <c r="A9373" s="27"/>
    </row>
    <row r="9374" spans="1:1">
      <c r="A9374" s="27"/>
    </row>
    <row r="9375" spans="1:1">
      <c r="A9375" s="27"/>
    </row>
    <row r="9376" spans="1:1">
      <c r="A9376" s="27"/>
    </row>
    <row r="9377" spans="1:1">
      <c r="A9377" s="27"/>
    </row>
    <row r="9378" spans="1:1">
      <c r="A9378" s="27"/>
    </row>
    <row r="9379" spans="1:1">
      <c r="A9379" s="27"/>
    </row>
    <row r="9380" spans="1:1">
      <c r="A9380" s="27"/>
    </row>
    <row r="9381" spans="1:1">
      <c r="A9381" s="27"/>
    </row>
    <row r="9382" spans="1:1">
      <c r="A9382" s="27"/>
    </row>
    <row r="9383" spans="1:1">
      <c r="A9383" s="27"/>
    </row>
    <row r="9384" spans="1:1">
      <c r="A9384" s="27"/>
    </row>
    <row r="9385" spans="1:1">
      <c r="A9385" s="27"/>
    </row>
    <row r="9386" spans="1:1">
      <c r="A9386" s="27"/>
    </row>
    <row r="9387" spans="1:1">
      <c r="A9387" s="27"/>
    </row>
    <row r="9388" spans="1:1">
      <c r="A9388" s="27"/>
    </row>
    <row r="9389" spans="1:1">
      <c r="A9389" s="27"/>
    </row>
    <row r="9390" spans="1:1">
      <c r="A9390" s="27"/>
    </row>
    <row r="9391" spans="1:1">
      <c r="A9391" s="27"/>
    </row>
    <row r="9392" spans="1:1">
      <c r="A9392" s="27"/>
    </row>
    <row r="9393" spans="1:1">
      <c r="A9393" s="27"/>
    </row>
    <row r="9394" spans="1:1">
      <c r="A9394" s="27"/>
    </row>
    <row r="9395" spans="1:1">
      <c r="A9395" s="27"/>
    </row>
    <row r="9396" spans="1:1">
      <c r="A9396" s="27"/>
    </row>
    <row r="9397" spans="1:1">
      <c r="A9397" s="27"/>
    </row>
    <row r="9398" spans="1:1">
      <c r="A9398" s="27"/>
    </row>
    <row r="9399" spans="1:1">
      <c r="A9399" s="27"/>
    </row>
    <row r="9400" spans="1:1">
      <c r="A9400" s="27"/>
    </row>
    <row r="9401" spans="1:1">
      <c r="A9401" s="27"/>
    </row>
    <row r="9402" spans="1:1">
      <c r="A9402" s="27"/>
    </row>
    <row r="9403" spans="1:1">
      <c r="A9403" s="27"/>
    </row>
    <row r="9404" spans="1:1">
      <c r="A9404" s="27"/>
    </row>
    <row r="9405" spans="1:1">
      <c r="A9405" s="27"/>
    </row>
    <row r="9406" spans="1:1">
      <c r="A9406" s="27"/>
    </row>
    <row r="9407" spans="1:1">
      <c r="A9407" s="27"/>
    </row>
    <row r="9408" spans="1:1">
      <c r="A9408" s="27"/>
    </row>
    <row r="9409" spans="1:1">
      <c r="A9409" s="27"/>
    </row>
    <row r="9410" spans="1:1">
      <c r="A9410" s="27"/>
    </row>
    <row r="9411" spans="1:1">
      <c r="A9411" s="27"/>
    </row>
    <row r="9412" spans="1:1">
      <c r="A9412" s="27"/>
    </row>
    <row r="9413" spans="1:1">
      <c r="A9413" s="27"/>
    </row>
    <row r="9414" spans="1:1">
      <c r="A9414" s="27"/>
    </row>
    <row r="9415" spans="1:1">
      <c r="A9415" s="27"/>
    </row>
    <row r="9416" spans="1:1">
      <c r="A9416" s="27"/>
    </row>
    <row r="9417" spans="1:1">
      <c r="A9417" s="27"/>
    </row>
    <row r="9418" spans="1:1">
      <c r="A9418" s="27"/>
    </row>
    <row r="9419" spans="1:1">
      <c r="A9419" s="27"/>
    </row>
    <row r="9420" spans="1:1">
      <c r="A9420" s="27"/>
    </row>
    <row r="9421" spans="1:1">
      <c r="A9421" s="27"/>
    </row>
    <row r="9422" spans="1:1">
      <c r="A9422" s="27"/>
    </row>
    <row r="9423" spans="1:1">
      <c r="A9423" s="27"/>
    </row>
    <row r="9424" spans="1:1">
      <c r="A9424" s="27"/>
    </row>
    <row r="9425" spans="1:1">
      <c r="A9425" s="27"/>
    </row>
    <row r="9426" spans="1:1">
      <c r="A9426" s="27"/>
    </row>
    <row r="9427" spans="1:1">
      <c r="A9427" s="27"/>
    </row>
    <row r="9428" spans="1:1">
      <c r="A9428" s="27"/>
    </row>
    <row r="9429" spans="1:1">
      <c r="A9429" s="27"/>
    </row>
    <row r="9430" spans="1:1">
      <c r="A9430" s="27"/>
    </row>
    <row r="9431" spans="1:1">
      <c r="A9431" s="27"/>
    </row>
    <row r="9432" spans="1:1">
      <c r="A9432" s="27"/>
    </row>
    <row r="9433" spans="1:1">
      <c r="A9433" s="27"/>
    </row>
    <row r="9434" spans="1:1">
      <c r="A9434" s="27"/>
    </row>
    <row r="9435" spans="1:1">
      <c r="A9435" s="27"/>
    </row>
    <row r="9436" spans="1:1">
      <c r="A9436" s="27"/>
    </row>
    <row r="9437" spans="1:1">
      <c r="A9437" s="27"/>
    </row>
    <row r="9438" spans="1:1">
      <c r="A9438" s="27"/>
    </row>
    <row r="9439" spans="1:1">
      <c r="A9439" s="27"/>
    </row>
    <row r="9440" spans="1:1">
      <c r="A9440" s="27"/>
    </row>
    <row r="9441" spans="1:1">
      <c r="A9441" s="27"/>
    </row>
    <row r="9442" spans="1:1">
      <c r="A9442" s="27"/>
    </row>
    <row r="9443" spans="1:1">
      <c r="A9443" s="27"/>
    </row>
    <row r="9444" spans="1:1">
      <c r="A9444" s="27"/>
    </row>
    <row r="9445" spans="1:1">
      <c r="A9445" s="27"/>
    </row>
    <row r="9446" spans="1:1">
      <c r="A9446" s="27"/>
    </row>
    <row r="9447" spans="1:1">
      <c r="A9447" s="27"/>
    </row>
    <row r="9448" spans="1:1">
      <c r="A9448" s="27"/>
    </row>
    <row r="9449" spans="1:1">
      <c r="A9449" s="27"/>
    </row>
    <row r="9450" spans="1:1">
      <c r="A9450" s="27"/>
    </row>
    <row r="9451" spans="1:1">
      <c r="A9451" s="27"/>
    </row>
    <row r="9452" spans="1:1">
      <c r="A9452" s="27"/>
    </row>
    <row r="9453" spans="1:1">
      <c r="A9453" s="27"/>
    </row>
    <row r="9454" spans="1:1">
      <c r="A9454" s="27"/>
    </row>
    <row r="9455" spans="1:1">
      <c r="A9455" s="27"/>
    </row>
    <row r="9456" spans="1:1">
      <c r="A9456" s="27"/>
    </row>
    <row r="9457" spans="1:1">
      <c r="A9457" s="27"/>
    </row>
    <row r="9458" spans="1:1">
      <c r="A9458" s="27"/>
    </row>
    <row r="9459" spans="1:1">
      <c r="A9459" s="27"/>
    </row>
    <row r="9460" spans="1:1">
      <c r="A9460" s="27"/>
    </row>
    <row r="9461" spans="1:1">
      <c r="A9461" s="27"/>
    </row>
    <row r="9462" spans="1:1">
      <c r="A9462" s="27"/>
    </row>
    <row r="9463" spans="1:1">
      <c r="A9463" s="27"/>
    </row>
    <row r="9464" spans="1:1">
      <c r="A9464" s="27"/>
    </row>
    <row r="9465" spans="1:1">
      <c r="A9465" s="27"/>
    </row>
    <row r="9466" spans="1:1">
      <c r="A9466" s="27"/>
    </row>
    <row r="9467" spans="1:1">
      <c r="A9467" s="27"/>
    </row>
    <row r="9468" spans="1:1">
      <c r="A9468" s="27"/>
    </row>
    <row r="9469" spans="1:1">
      <c r="A9469" s="27"/>
    </row>
    <row r="9470" spans="1:1">
      <c r="A9470" s="27"/>
    </row>
    <row r="9471" spans="1:1">
      <c r="A9471" s="27"/>
    </row>
    <row r="9472" spans="1:1">
      <c r="A9472" s="27"/>
    </row>
    <row r="9473" spans="1:1">
      <c r="A9473" s="27"/>
    </row>
    <row r="9474" spans="1:1">
      <c r="A9474" s="27"/>
    </row>
    <row r="9475" spans="1:1">
      <c r="A9475" s="27"/>
    </row>
    <row r="9476" spans="1:1">
      <c r="A9476" s="27"/>
    </row>
    <row r="9477" spans="1:1">
      <c r="A9477" s="27"/>
    </row>
    <row r="9478" spans="1:1">
      <c r="A9478" s="27"/>
    </row>
    <row r="9479" spans="1:1">
      <c r="A9479" s="27"/>
    </row>
    <row r="9480" spans="1:1">
      <c r="A9480" s="27"/>
    </row>
    <row r="9481" spans="1:1">
      <c r="A9481" s="27"/>
    </row>
    <row r="9482" spans="1:1">
      <c r="A9482" s="27"/>
    </row>
    <row r="9483" spans="1:1">
      <c r="A9483" s="27"/>
    </row>
    <row r="9484" spans="1:1">
      <c r="A9484" s="27"/>
    </row>
    <row r="9485" spans="1:1">
      <c r="A9485" s="27"/>
    </row>
    <row r="9486" spans="1:1">
      <c r="A9486" s="27"/>
    </row>
    <row r="9487" spans="1:1">
      <c r="A9487" s="27"/>
    </row>
    <row r="9488" spans="1:1">
      <c r="A9488" s="27"/>
    </row>
    <row r="9489" spans="1:1">
      <c r="A9489" s="27"/>
    </row>
    <row r="9490" spans="1:1">
      <c r="A9490" s="27"/>
    </row>
    <row r="9491" spans="1:1">
      <c r="A9491" s="27"/>
    </row>
    <row r="9492" spans="1:1">
      <c r="A9492" s="27"/>
    </row>
    <row r="9493" spans="1:1">
      <c r="A9493" s="27"/>
    </row>
    <row r="9494" spans="1:1">
      <c r="A9494" s="27"/>
    </row>
    <row r="9495" spans="1:1">
      <c r="A9495" s="27"/>
    </row>
    <row r="9496" spans="1:1">
      <c r="A9496" s="27"/>
    </row>
    <row r="9497" spans="1:1">
      <c r="A9497" s="27"/>
    </row>
    <row r="9498" spans="1:1">
      <c r="A9498" s="27"/>
    </row>
    <row r="9499" spans="1:1">
      <c r="A9499" s="27"/>
    </row>
    <row r="9500" spans="1:1">
      <c r="A9500" s="27"/>
    </row>
    <row r="9501" spans="1:1">
      <c r="A9501" s="27"/>
    </row>
    <row r="9502" spans="1:1">
      <c r="A9502" s="27"/>
    </row>
    <row r="9503" spans="1:1">
      <c r="A9503" s="27"/>
    </row>
    <row r="9504" spans="1:1">
      <c r="A9504" s="27"/>
    </row>
    <row r="9505" spans="1:1">
      <c r="A9505" s="27"/>
    </row>
    <row r="9506" spans="1:1">
      <c r="A9506" s="27"/>
    </row>
    <row r="9507" spans="1:1">
      <c r="A9507" s="27"/>
    </row>
    <row r="9508" spans="1:1">
      <c r="A9508" s="27"/>
    </row>
    <row r="9509" spans="1:1">
      <c r="A9509" s="27"/>
    </row>
    <row r="9510" spans="1:1">
      <c r="A9510" s="27"/>
    </row>
    <row r="9511" spans="1:1">
      <c r="A9511" s="27"/>
    </row>
    <row r="9512" spans="1:1">
      <c r="A9512" s="27"/>
    </row>
    <row r="9513" spans="1:1">
      <c r="A9513" s="27"/>
    </row>
    <row r="9514" spans="1:1">
      <c r="A9514" s="27"/>
    </row>
    <row r="9515" spans="1:1">
      <c r="A9515" s="27"/>
    </row>
    <row r="9516" spans="1:1">
      <c r="A9516" s="27"/>
    </row>
    <row r="9517" spans="1:1">
      <c r="A9517" s="27"/>
    </row>
    <row r="9518" spans="1:1">
      <c r="A9518" s="27"/>
    </row>
    <row r="9519" spans="1:1">
      <c r="A9519" s="27"/>
    </row>
    <row r="9520" spans="1:1">
      <c r="A9520" s="27"/>
    </row>
    <row r="9521" spans="1:1">
      <c r="A9521" s="27"/>
    </row>
    <row r="9522" spans="1:1">
      <c r="A9522" s="27"/>
    </row>
    <row r="9523" spans="1:1">
      <c r="A9523" s="27"/>
    </row>
    <row r="9524" spans="1:1">
      <c r="A9524" s="27"/>
    </row>
    <row r="9525" spans="1:1">
      <c r="A9525" s="27"/>
    </row>
    <row r="9526" spans="1:1">
      <c r="A9526" s="27"/>
    </row>
    <row r="9527" spans="1:1">
      <c r="A9527" s="27"/>
    </row>
    <row r="9528" spans="1:1">
      <c r="A9528" s="27"/>
    </row>
    <row r="9529" spans="1:1">
      <c r="A9529" s="27"/>
    </row>
    <row r="9530" spans="1:1">
      <c r="A9530" s="27"/>
    </row>
    <row r="9531" spans="1:1">
      <c r="A9531" s="27"/>
    </row>
    <row r="9532" spans="1:1">
      <c r="A9532" s="27"/>
    </row>
    <row r="9533" spans="1:1">
      <c r="A9533" s="27"/>
    </row>
    <row r="9534" spans="1:1">
      <c r="A9534" s="27"/>
    </row>
    <row r="9535" spans="1:1">
      <c r="A9535" s="27"/>
    </row>
    <row r="9536" spans="1:1">
      <c r="A9536" s="27"/>
    </row>
    <row r="9537" spans="1:1">
      <c r="A9537" s="27"/>
    </row>
    <row r="9538" spans="1:1">
      <c r="A9538" s="27"/>
    </row>
    <row r="9539" spans="1:1">
      <c r="A9539" s="27"/>
    </row>
    <row r="9540" spans="1:1">
      <c r="A9540" s="27"/>
    </row>
    <row r="9541" spans="1:1">
      <c r="A9541" s="27"/>
    </row>
    <row r="9542" spans="1:1">
      <c r="A9542" s="27"/>
    </row>
    <row r="9543" spans="1:1">
      <c r="A9543" s="27"/>
    </row>
    <row r="9544" spans="1:1">
      <c r="A9544" s="27"/>
    </row>
    <row r="9545" spans="1:1">
      <c r="A9545" s="27"/>
    </row>
    <row r="9546" spans="1:1">
      <c r="A9546" s="27"/>
    </row>
    <row r="9547" spans="1:1">
      <c r="A9547" s="27"/>
    </row>
    <row r="9548" spans="1:1">
      <c r="A9548" s="27"/>
    </row>
    <row r="9549" spans="1:1">
      <c r="A9549" s="27"/>
    </row>
    <row r="9550" spans="1:1">
      <c r="A9550" s="27"/>
    </row>
    <row r="9551" spans="1:1">
      <c r="A9551" s="27"/>
    </row>
    <row r="9552" spans="1:1">
      <c r="A9552" s="27"/>
    </row>
    <row r="9553" spans="1:1">
      <c r="A9553" s="27"/>
    </row>
    <row r="9554" spans="1:1">
      <c r="A9554" s="27"/>
    </row>
    <row r="9555" spans="1:1">
      <c r="A9555" s="27"/>
    </row>
    <row r="9556" spans="1:1">
      <c r="A9556" s="27"/>
    </row>
    <row r="9557" spans="1:1">
      <c r="A9557" s="27"/>
    </row>
    <row r="9558" spans="1:1">
      <c r="A9558" s="27"/>
    </row>
    <row r="9559" spans="1:1">
      <c r="A9559" s="27"/>
    </row>
    <row r="9560" spans="1:1">
      <c r="A9560" s="27"/>
    </row>
    <row r="9561" spans="1:1">
      <c r="A9561" s="27"/>
    </row>
    <row r="9562" spans="1:1">
      <c r="A9562" s="27"/>
    </row>
    <row r="9563" spans="1:1">
      <c r="A9563" s="27"/>
    </row>
    <row r="9564" spans="1:1">
      <c r="A9564" s="27"/>
    </row>
    <row r="9565" spans="1:1">
      <c r="A9565" s="27"/>
    </row>
    <row r="9566" spans="1:1">
      <c r="A9566" s="27"/>
    </row>
    <row r="9567" spans="1:1">
      <c r="A9567" s="27"/>
    </row>
    <row r="9568" spans="1:1">
      <c r="A9568" s="27"/>
    </row>
    <row r="9569" spans="1:1">
      <c r="A9569" s="27"/>
    </row>
    <row r="9570" spans="1:1">
      <c r="A9570" s="27"/>
    </row>
    <row r="9571" spans="1:1">
      <c r="A9571" s="27"/>
    </row>
    <row r="9572" spans="1:1">
      <c r="A9572" s="27"/>
    </row>
    <row r="9573" spans="1:1">
      <c r="A9573" s="27"/>
    </row>
    <row r="9574" spans="1:1">
      <c r="A9574" s="27"/>
    </row>
    <row r="9575" spans="1:1">
      <c r="A9575" s="27"/>
    </row>
    <row r="9576" spans="1:1">
      <c r="A9576" s="27"/>
    </row>
    <row r="9577" spans="1:1">
      <c r="A9577" s="27"/>
    </row>
    <row r="9578" spans="1:1">
      <c r="A9578" s="27"/>
    </row>
    <row r="9579" spans="1:1">
      <c r="A9579" s="27"/>
    </row>
    <row r="9580" spans="1:1">
      <c r="A9580" s="27"/>
    </row>
    <row r="9581" spans="1:1">
      <c r="A9581" s="27"/>
    </row>
    <row r="9582" spans="1:1">
      <c r="A9582" s="27"/>
    </row>
    <row r="9583" spans="1:1">
      <c r="A9583" s="27"/>
    </row>
    <row r="9584" spans="1:1">
      <c r="A9584" s="27"/>
    </row>
    <row r="9585" spans="1:1">
      <c r="A9585" s="27"/>
    </row>
    <row r="9586" spans="1:1">
      <c r="A9586" s="27"/>
    </row>
    <row r="9587" spans="1:1">
      <c r="A9587" s="27"/>
    </row>
    <row r="9588" spans="1:1">
      <c r="A9588" s="27"/>
    </row>
    <row r="9589" spans="1:1">
      <c r="A9589" s="27"/>
    </row>
    <row r="9590" spans="1:1">
      <c r="A9590" s="27"/>
    </row>
    <row r="9591" spans="1:1">
      <c r="A9591" s="27"/>
    </row>
    <row r="9592" spans="1:1">
      <c r="A9592" s="27"/>
    </row>
    <row r="9593" spans="1:1">
      <c r="A9593" s="27"/>
    </row>
    <row r="9594" spans="1:1">
      <c r="A9594" s="27"/>
    </row>
    <row r="9595" spans="1:1">
      <c r="A9595" s="27"/>
    </row>
    <row r="9596" spans="1:1">
      <c r="A9596" s="27"/>
    </row>
    <row r="9597" spans="1:1">
      <c r="A9597" s="27"/>
    </row>
    <row r="9598" spans="1:1">
      <c r="A9598" s="27"/>
    </row>
    <row r="9599" spans="1:1">
      <c r="A9599" s="27"/>
    </row>
    <row r="9600" spans="1:1">
      <c r="A9600" s="27"/>
    </row>
    <row r="9601" spans="1:1">
      <c r="A9601" s="27"/>
    </row>
    <row r="9602" spans="1:1">
      <c r="A9602" s="27"/>
    </row>
    <row r="9603" spans="1:1">
      <c r="A9603" s="27"/>
    </row>
    <row r="9604" spans="1:1">
      <c r="A9604" s="27"/>
    </row>
    <row r="9605" spans="1:1">
      <c r="A9605" s="27"/>
    </row>
    <row r="9606" spans="1:1">
      <c r="A9606" s="27"/>
    </row>
    <row r="9607" spans="1:1">
      <c r="A9607" s="27"/>
    </row>
    <row r="9608" spans="1:1">
      <c r="A9608" s="27"/>
    </row>
    <row r="9609" spans="1:1">
      <c r="A9609" s="27"/>
    </row>
    <row r="9610" spans="1:1">
      <c r="A9610" s="27"/>
    </row>
    <row r="9611" spans="1:1">
      <c r="A9611" s="27"/>
    </row>
    <row r="9612" spans="1:1">
      <c r="A9612" s="27"/>
    </row>
    <row r="9613" spans="1:1">
      <c r="A9613" s="27"/>
    </row>
    <row r="9614" spans="1:1">
      <c r="A9614" s="27"/>
    </row>
    <row r="9615" spans="1:1">
      <c r="A9615" s="27"/>
    </row>
    <row r="9616" spans="1:1">
      <c r="A9616" s="27"/>
    </row>
    <row r="9617" spans="1:1">
      <c r="A9617" s="27"/>
    </row>
    <row r="9618" spans="1:1">
      <c r="A9618" s="27"/>
    </row>
    <row r="9619" spans="1:1">
      <c r="A9619" s="27"/>
    </row>
    <row r="9620" spans="1:1">
      <c r="A9620" s="27"/>
    </row>
    <row r="9621" spans="1:1">
      <c r="A9621" s="27"/>
    </row>
    <row r="9622" spans="1:1">
      <c r="A9622" s="27"/>
    </row>
    <row r="9623" spans="1:1">
      <c r="A9623" s="27"/>
    </row>
    <row r="9624" spans="1:1">
      <c r="A9624" s="27"/>
    </row>
    <row r="9625" spans="1:1">
      <c r="A9625" s="27"/>
    </row>
    <row r="9626" spans="1:1">
      <c r="A9626" s="27"/>
    </row>
    <row r="9627" spans="1:1">
      <c r="A9627" s="27"/>
    </row>
    <row r="9628" spans="1:1">
      <c r="A9628" s="27"/>
    </row>
    <row r="9629" spans="1:1">
      <c r="A9629" s="27"/>
    </row>
    <row r="9630" spans="1:1">
      <c r="A9630" s="27"/>
    </row>
    <row r="9631" spans="1:1">
      <c r="A9631" s="27"/>
    </row>
    <row r="9632" spans="1:1">
      <c r="A9632" s="27"/>
    </row>
    <row r="9633" spans="1:1">
      <c r="A9633" s="27"/>
    </row>
    <row r="9634" spans="1:1">
      <c r="A9634" s="27"/>
    </row>
    <row r="9635" spans="1:1">
      <c r="A9635" s="27"/>
    </row>
    <row r="9636" spans="1:1">
      <c r="A9636" s="27"/>
    </row>
    <row r="9637" spans="1:1">
      <c r="A9637" s="27"/>
    </row>
    <row r="9638" spans="1:1">
      <c r="A9638" s="27"/>
    </row>
    <row r="9639" spans="1:1">
      <c r="A9639" s="27"/>
    </row>
    <row r="9640" spans="1:1">
      <c r="A9640" s="27"/>
    </row>
    <row r="9641" spans="1:1">
      <c r="A9641" s="27"/>
    </row>
    <row r="9642" spans="1:1">
      <c r="A9642" s="27"/>
    </row>
    <row r="9643" spans="1:1">
      <c r="A9643" s="27"/>
    </row>
    <row r="9644" spans="1:1">
      <c r="A9644" s="27"/>
    </row>
    <row r="9645" spans="1:1">
      <c r="A9645" s="27"/>
    </row>
    <row r="9646" spans="1:1">
      <c r="A9646" s="27"/>
    </row>
    <row r="9647" spans="1:1">
      <c r="A9647" s="27"/>
    </row>
    <row r="9648" spans="1:1">
      <c r="A9648" s="27"/>
    </row>
    <row r="9649" spans="1:1">
      <c r="A9649" s="27"/>
    </row>
    <row r="9650" spans="1:1">
      <c r="A9650" s="27"/>
    </row>
    <row r="9651" spans="1:1">
      <c r="A9651" s="27"/>
    </row>
    <row r="9652" spans="1:1">
      <c r="A9652" s="27"/>
    </row>
    <row r="9653" spans="1:1">
      <c r="A9653" s="27"/>
    </row>
    <row r="9654" spans="1:1">
      <c r="A9654" s="27"/>
    </row>
    <row r="9655" spans="1:1">
      <c r="A9655" s="27"/>
    </row>
    <row r="9656" spans="1:1">
      <c r="A9656" s="27"/>
    </row>
    <row r="9657" spans="1:1">
      <c r="A9657" s="27"/>
    </row>
    <row r="9658" spans="1:1">
      <c r="A9658" s="27"/>
    </row>
    <row r="9659" spans="1:1">
      <c r="A9659" s="27"/>
    </row>
    <row r="9660" spans="1:1">
      <c r="A9660" s="27"/>
    </row>
    <row r="9661" spans="1:1">
      <c r="A9661" s="27"/>
    </row>
    <row r="9662" spans="1:1">
      <c r="A9662" s="27"/>
    </row>
    <row r="9663" spans="1:1">
      <c r="A9663" s="27"/>
    </row>
    <row r="9664" spans="1:1">
      <c r="A9664" s="27"/>
    </row>
    <row r="9665" spans="1:1">
      <c r="A9665" s="27"/>
    </row>
    <row r="9666" spans="1:1">
      <c r="A9666" s="27"/>
    </row>
    <row r="9667" spans="1:1">
      <c r="A9667" s="27"/>
    </row>
    <row r="9668" spans="1:1">
      <c r="A9668" s="27"/>
    </row>
    <row r="9669" spans="1:1">
      <c r="A9669" s="27"/>
    </row>
    <row r="9670" spans="1:1">
      <c r="A9670" s="27"/>
    </row>
    <row r="9671" spans="1:1">
      <c r="A9671" s="27"/>
    </row>
    <row r="9672" spans="1:1">
      <c r="A9672" s="27"/>
    </row>
    <row r="9673" spans="1:1">
      <c r="A9673" s="27"/>
    </row>
    <row r="9674" spans="1:1">
      <c r="A9674" s="27"/>
    </row>
    <row r="9675" spans="1:1">
      <c r="A9675" s="27"/>
    </row>
    <row r="9676" spans="1:1">
      <c r="A9676" s="27"/>
    </row>
    <row r="9677" spans="1:1">
      <c r="A9677" s="27"/>
    </row>
    <row r="9678" spans="1:1">
      <c r="A9678" s="27"/>
    </row>
    <row r="9679" spans="1:1">
      <c r="A9679" s="27"/>
    </row>
    <row r="9680" spans="1:1">
      <c r="A9680" s="27"/>
    </row>
    <row r="9681" spans="1:1">
      <c r="A9681" s="27"/>
    </row>
    <row r="9682" spans="1:1">
      <c r="A9682" s="27"/>
    </row>
    <row r="9683" spans="1:1">
      <c r="A9683" s="27"/>
    </row>
    <row r="9684" spans="1:1">
      <c r="A9684" s="27"/>
    </row>
    <row r="9685" spans="1:1">
      <c r="A9685" s="27"/>
    </row>
    <row r="9686" spans="1:1">
      <c r="A9686" s="27"/>
    </row>
    <row r="9687" spans="1:1">
      <c r="A9687" s="27"/>
    </row>
    <row r="9688" spans="1:1">
      <c r="A9688" s="27"/>
    </row>
    <row r="9689" spans="1:1">
      <c r="A9689" s="27"/>
    </row>
    <row r="9690" spans="1:1">
      <c r="A9690" s="27"/>
    </row>
    <row r="9691" spans="1:1">
      <c r="A9691" s="27"/>
    </row>
    <row r="9692" spans="1:1">
      <c r="A9692" s="27"/>
    </row>
    <row r="9693" spans="1:1">
      <c r="A9693" s="27"/>
    </row>
    <row r="9694" spans="1:1">
      <c r="A9694" s="27"/>
    </row>
    <row r="9695" spans="1:1">
      <c r="A9695" s="27"/>
    </row>
    <row r="9696" spans="1:1">
      <c r="A9696" s="27"/>
    </row>
    <row r="9697" spans="1:1">
      <c r="A9697" s="27"/>
    </row>
    <row r="9698" spans="1:1">
      <c r="A9698" s="27"/>
    </row>
    <row r="9699" spans="1:1">
      <c r="A9699" s="27"/>
    </row>
    <row r="9700" spans="1:1">
      <c r="A9700" s="27"/>
    </row>
    <row r="9701" spans="1:1">
      <c r="A9701" s="27"/>
    </row>
    <row r="9702" spans="1:1">
      <c r="A9702" s="27"/>
    </row>
    <row r="9703" spans="1:1">
      <c r="A9703" s="27"/>
    </row>
    <row r="9704" spans="1:1">
      <c r="A9704" s="27"/>
    </row>
    <row r="9705" spans="1:1">
      <c r="A9705" s="27"/>
    </row>
    <row r="9706" spans="1:1">
      <c r="A9706" s="27"/>
    </row>
    <row r="9707" spans="1:1">
      <c r="A9707" s="27"/>
    </row>
    <row r="9708" spans="1:1">
      <c r="A9708" s="27"/>
    </row>
    <row r="9709" spans="1:1">
      <c r="A9709" s="27"/>
    </row>
    <row r="9710" spans="1:1">
      <c r="A9710" s="27"/>
    </row>
    <row r="9711" spans="1:1">
      <c r="A9711" s="27"/>
    </row>
    <row r="9712" spans="1:1">
      <c r="A9712" s="27"/>
    </row>
    <row r="9713" spans="1:1">
      <c r="A9713" s="27"/>
    </row>
    <row r="9714" spans="1:1">
      <c r="A9714" s="27"/>
    </row>
    <row r="9715" spans="1:1">
      <c r="A9715" s="27"/>
    </row>
    <row r="9716" spans="1:1">
      <c r="A9716" s="27"/>
    </row>
    <row r="9717" spans="1:1">
      <c r="A9717" s="27"/>
    </row>
    <row r="9718" spans="1:1">
      <c r="A9718" s="27"/>
    </row>
    <row r="9719" spans="1:1">
      <c r="A9719" s="27"/>
    </row>
    <row r="9720" spans="1:1">
      <c r="A9720" s="27"/>
    </row>
    <row r="9721" spans="1:1">
      <c r="A9721" s="27"/>
    </row>
    <row r="9722" spans="1:1">
      <c r="A9722" s="27"/>
    </row>
    <row r="9723" spans="1:1">
      <c r="A9723" s="27"/>
    </row>
    <row r="9724" spans="1:1">
      <c r="A9724" s="27"/>
    </row>
    <row r="9725" spans="1:1">
      <c r="A9725" s="27"/>
    </row>
    <row r="9726" spans="1:1">
      <c r="A9726" s="27"/>
    </row>
    <row r="9727" spans="1:1">
      <c r="A9727" s="27"/>
    </row>
    <row r="9728" spans="1:1">
      <c r="A9728" s="27"/>
    </row>
    <row r="9729" spans="1:1">
      <c r="A9729" s="27"/>
    </row>
    <row r="9730" spans="1:1">
      <c r="A9730" s="27"/>
    </row>
    <row r="9731" spans="1:1">
      <c r="A9731" s="27"/>
    </row>
    <row r="9732" spans="1:1">
      <c r="A9732" s="27"/>
    </row>
    <row r="9733" spans="1:1">
      <c r="A9733" s="27"/>
    </row>
    <row r="9734" spans="1:1">
      <c r="A9734" s="27"/>
    </row>
    <row r="9735" spans="1:1">
      <c r="A9735" s="27"/>
    </row>
    <row r="9736" spans="1:1">
      <c r="A9736" s="27"/>
    </row>
    <row r="9737" spans="1:1">
      <c r="A9737" s="27"/>
    </row>
    <row r="9738" spans="1:1">
      <c r="A9738" s="27"/>
    </row>
    <row r="9739" spans="1:1">
      <c r="A9739" s="27"/>
    </row>
    <row r="9740" spans="1:1">
      <c r="A9740" s="27"/>
    </row>
    <row r="9741" spans="1:1">
      <c r="A9741" s="27"/>
    </row>
    <row r="9742" spans="1:1">
      <c r="A9742" s="27"/>
    </row>
    <row r="9743" spans="1:1">
      <c r="A9743" s="27"/>
    </row>
    <row r="9744" spans="1:1">
      <c r="A9744" s="27"/>
    </row>
    <row r="9745" spans="1:1">
      <c r="A9745" s="27"/>
    </row>
    <row r="9746" spans="1:1">
      <c r="A9746" s="27"/>
    </row>
    <row r="9747" spans="1:1">
      <c r="A9747" s="27"/>
    </row>
    <row r="9748" spans="1:1">
      <c r="A9748" s="27"/>
    </row>
    <row r="9749" spans="1:1">
      <c r="A9749" s="27"/>
    </row>
    <row r="9750" spans="1:1">
      <c r="A9750" s="27"/>
    </row>
    <row r="9751" spans="1:1">
      <c r="A9751" s="27"/>
    </row>
    <row r="9752" spans="1:1">
      <c r="A9752" s="27"/>
    </row>
    <row r="9753" spans="1:1">
      <c r="A9753" s="27"/>
    </row>
    <row r="9754" spans="1:1">
      <c r="A9754" s="27"/>
    </row>
    <row r="9755" spans="1:1">
      <c r="A9755" s="27"/>
    </row>
    <row r="9756" spans="1:1">
      <c r="A9756" s="27"/>
    </row>
    <row r="9757" spans="1:1">
      <c r="A9757" s="27"/>
    </row>
    <row r="9758" spans="1:1">
      <c r="A9758" s="27"/>
    </row>
    <row r="9759" spans="1:1">
      <c r="A9759" s="27"/>
    </row>
    <row r="9760" spans="1:1">
      <c r="A9760" s="27"/>
    </row>
    <row r="9761" spans="1:1">
      <c r="A9761" s="27"/>
    </row>
    <row r="9762" spans="1:1">
      <c r="A9762" s="27"/>
    </row>
    <row r="9763" spans="1:1">
      <c r="A9763" s="27"/>
    </row>
    <row r="9764" spans="1:1">
      <c r="A9764" s="27"/>
    </row>
    <row r="9765" spans="1:1">
      <c r="A9765" s="27"/>
    </row>
    <row r="9766" spans="1:1">
      <c r="A9766" s="27"/>
    </row>
    <row r="9767" spans="1:1">
      <c r="A9767" s="27"/>
    </row>
    <row r="9768" spans="1:1">
      <c r="A9768" s="27"/>
    </row>
    <row r="9769" spans="1:1">
      <c r="A9769" s="27"/>
    </row>
    <row r="9770" spans="1:1">
      <c r="A9770" s="27"/>
    </row>
    <row r="9771" spans="1:1">
      <c r="A9771" s="27"/>
    </row>
    <row r="9772" spans="1:1">
      <c r="A9772" s="27"/>
    </row>
    <row r="9773" spans="1:1">
      <c r="A9773" s="27"/>
    </row>
    <row r="9774" spans="1:1">
      <c r="A9774" s="27"/>
    </row>
    <row r="9775" spans="1:1">
      <c r="A9775" s="27"/>
    </row>
    <row r="9776" spans="1:1">
      <c r="A9776" s="27"/>
    </row>
    <row r="9777" spans="1:1">
      <c r="A9777" s="27"/>
    </row>
    <row r="9778" spans="1:1">
      <c r="A9778" s="27"/>
    </row>
    <row r="9779" spans="1:1">
      <c r="A9779" s="27"/>
    </row>
    <row r="9780" spans="1:1">
      <c r="A9780" s="27"/>
    </row>
    <row r="9781" spans="1:1">
      <c r="A9781" s="27"/>
    </row>
    <row r="9782" spans="1:1">
      <c r="A9782" s="27"/>
    </row>
    <row r="9783" spans="1:1">
      <c r="A9783" s="27"/>
    </row>
    <row r="9784" spans="1:1">
      <c r="A9784" s="27"/>
    </row>
    <row r="9785" spans="1:1">
      <c r="A9785" s="27"/>
    </row>
    <row r="9786" spans="1:1">
      <c r="A9786" s="27"/>
    </row>
    <row r="9787" spans="1:1">
      <c r="A9787" s="27"/>
    </row>
    <row r="9788" spans="1:1">
      <c r="A9788" s="27"/>
    </row>
    <row r="9789" spans="1:1">
      <c r="A9789" s="27"/>
    </row>
    <row r="9790" spans="1:1">
      <c r="A9790" s="27"/>
    </row>
    <row r="9791" spans="1:1">
      <c r="A9791" s="27"/>
    </row>
    <row r="9792" spans="1:1">
      <c r="A9792" s="27"/>
    </row>
    <row r="9793" spans="1:1">
      <c r="A9793" s="27"/>
    </row>
    <row r="9794" spans="1:1">
      <c r="A9794" s="27"/>
    </row>
    <row r="9795" spans="1:1">
      <c r="A9795" s="27"/>
    </row>
    <row r="9796" spans="1:1">
      <c r="A9796" s="27"/>
    </row>
    <row r="9797" spans="1:1">
      <c r="A9797" s="27"/>
    </row>
    <row r="9798" spans="1:1">
      <c r="A9798" s="27"/>
    </row>
    <row r="9799" spans="1:1">
      <c r="A9799" s="27"/>
    </row>
    <row r="9800" spans="1:1">
      <c r="A9800" s="27"/>
    </row>
    <row r="9801" spans="1:1">
      <c r="A9801" s="27"/>
    </row>
    <row r="9802" spans="1:1">
      <c r="A9802" s="27"/>
    </row>
    <row r="9803" spans="1:1">
      <c r="A9803" s="27"/>
    </row>
    <row r="9804" spans="1:1">
      <c r="A9804" s="27"/>
    </row>
    <row r="9805" spans="1:1">
      <c r="A9805" s="27"/>
    </row>
    <row r="9806" spans="1:1">
      <c r="A9806" s="27"/>
    </row>
    <row r="9807" spans="1:1">
      <c r="A9807" s="27"/>
    </row>
    <row r="9808" spans="1:1">
      <c r="A9808" s="27"/>
    </row>
    <row r="9809" spans="1:1">
      <c r="A9809" s="27"/>
    </row>
    <row r="9810" spans="1:1">
      <c r="A9810" s="27"/>
    </row>
    <row r="9811" spans="1:1">
      <c r="A9811" s="27"/>
    </row>
    <row r="9812" spans="1:1">
      <c r="A9812" s="27"/>
    </row>
    <row r="9813" spans="1:1">
      <c r="A9813" s="27"/>
    </row>
    <row r="9814" spans="1:1">
      <c r="A9814" s="27"/>
    </row>
    <row r="9815" spans="1:1">
      <c r="A9815" s="27"/>
    </row>
    <row r="9816" spans="1:1">
      <c r="A9816" s="27"/>
    </row>
    <row r="9817" spans="1:1">
      <c r="A9817" s="27"/>
    </row>
    <row r="9818" spans="1:1">
      <c r="A9818" s="27"/>
    </row>
    <row r="9819" spans="1:1">
      <c r="A9819" s="27"/>
    </row>
    <row r="9820" spans="1:1">
      <c r="A9820" s="27"/>
    </row>
    <row r="9821" spans="1:1">
      <c r="A9821" s="27"/>
    </row>
    <row r="9822" spans="1:1">
      <c r="A9822" s="27"/>
    </row>
    <row r="9823" spans="1:1">
      <c r="A9823" s="27"/>
    </row>
    <row r="9824" spans="1:1">
      <c r="A9824" s="27"/>
    </row>
    <row r="9825" spans="1:1">
      <c r="A9825" s="27"/>
    </row>
    <row r="9826" spans="1:1">
      <c r="A9826" s="27"/>
    </row>
    <row r="9827" spans="1:1">
      <c r="A9827" s="27"/>
    </row>
    <row r="9828" spans="1:1">
      <c r="A9828" s="27"/>
    </row>
    <row r="9829" spans="1:1">
      <c r="A9829" s="27"/>
    </row>
    <row r="9830" spans="1:1">
      <c r="A9830" s="27"/>
    </row>
    <row r="9831" spans="1:1">
      <c r="A9831" s="27"/>
    </row>
    <row r="9832" spans="1:1">
      <c r="A9832" s="27"/>
    </row>
    <row r="9833" spans="1:1">
      <c r="A9833" s="27"/>
    </row>
    <row r="9834" spans="1:1">
      <c r="A9834" s="27"/>
    </row>
    <row r="9835" spans="1:1">
      <c r="A9835" s="27"/>
    </row>
    <row r="9836" spans="1:1">
      <c r="A9836" s="27"/>
    </row>
    <row r="9837" spans="1:1">
      <c r="A9837" s="27"/>
    </row>
    <row r="9838" spans="1:1">
      <c r="A9838" s="27"/>
    </row>
    <row r="9839" spans="1:1">
      <c r="A9839" s="27"/>
    </row>
    <row r="9840" spans="1:1">
      <c r="A9840" s="27"/>
    </row>
    <row r="9841" spans="1:1">
      <c r="A9841" s="27"/>
    </row>
    <row r="9842" spans="1:1">
      <c r="A9842" s="27"/>
    </row>
    <row r="9843" spans="1:1">
      <c r="A9843" s="27"/>
    </row>
    <row r="9844" spans="1:1">
      <c r="A9844" s="27"/>
    </row>
    <row r="9845" spans="1:1">
      <c r="A9845" s="27"/>
    </row>
    <row r="9846" spans="1:1">
      <c r="A9846" s="27"/>
    </row>
    <row r="9847" spans="1:1">
      <c r="A9847" s="27"/>
    </row>
    <row r="9848" spans="1:1">
      <c r="A9848" s="27"/>
    </row>
    <row r="9849" spans="1:1">
      <c r="A9849" s="27"/>
    </row>
    <row r="9850" spans="1:1">
      <c r="A9850" s="27"/>
    </row>
    <row r="9851" spans="1:1">
      <c r="A9851" s="27"/>
    </row>
    <row r="9852" spans="1:1">
      <c r="A9852" s="27"/>
    </row>
    <row r="9853" spans="1:1">
      <c r="A9853" s="27"/>
    </row>
    <row r="9854" spans="1:1">
      <c r="A9854" s="27"/>
    </row>
    <row r="9855" spans="1:1">
      <c r="A9855" s="27"/>
    </row>
    <row r="9856" spans="1:1">
      <c r="A9856" s="27"/>
    </row>
    <row r="9857" spans="1:1">
      <c r="A9857" s="27"/>
    </row>
    <row r="9858" spans="1:1">
      <c r="A9858" s="27"/>
    </row>
    <row r="9859" spans="1:1">
      <c r="A9859" s="27"/>
    </row>
    <row r="9860" spans="1:1">
      <c r="A9860" s="27"/>
    </row>
    <row r="9861" spans="1:1">
      <c r="A9861" s="27"/>
    </row>
    <row r="9862" spans="1:1">
      <c r="A9862" s="27"/>
    </row>
    <row r="9863" spans="1:1">
      <c r="A9863" s="27"/>
    </row>
    <row r="9864" spans="1:1">
      <c r="A9864" s="27"/>
    </row>
    <row r="9865" spans="1:1">
      <c r="A9865" s="27"/>
    </row>
    <row r="9866" spans="1:1">
      <c r="A9866" s="27"/>
    </row>
    <row r="9867" spans="1:1">
      <c r="A9867" s="27"/>
    </row>
    <row r="9868" spans="1:1">
      <c r="A9868" s="27"/>
    </row>
    <row r="9869" spans="1:1">
      <c r="A9869" s="27"/>
    </row>
    <row r="9870" spans="1:1">
      <c r="A9870" s="27"/>
    </row>
    <row r="9871" spans="1:1">
      <c r="A9871" s="27"/>
    </row>
    <row r="9872" spans="1:1">
      <c r="A9872" s="27"/>
    </row>
    <row r="9873" spans="1:1">
      <c r="A9873" s="27"/>
    </row>
    <row r="9874" spans="1:1">
      <c r="A9874" s="27"/>
    </row>
    <row r="9875" spans="1:1">
      <c r="A9875" s="27"/>
    </row>
    <row r="9876" spans="1:1">
      <c r="A9876" s="27"/>
    </row>
    <row r="9877" spans="1:1">
      <c r="A9877" s="27"/>
    </row>
    <row r="9878" spans="1:1">
      <c r="A9878" s="27"/>
    </row>
    <row r="9879" spans="1:1">
      <c r="A9879" s="27"/>
    </row>
    <row r="9880" spans="1:1">
      <c r="A9880" s="27"/>
    </row>
    <row r="9881" spans="1:1">
      <c r="A9881" s="27"/>
    </row>
    <row r="9882" spans="1:1">
      <c r="A9882" s="27"/>
    </row>
    <row r="9883" spans="1:1">
      <c r="A9883" s="27"/>
    </row>
    <row r="9884" spans="1:1">
      <c r="A9884" s="27"/>
    </row>
    <row r="9885" spans="1:1">
      <c r="A9885" s="27"/>
    </row>
    <row r="9886" spans="1:1">
      <c r="A9886" s="27"/>
    </row>
    <row r="9887" spans="1:1">
      <c r="A9887" s="27"/>
    </row>
    <row r="9888" spans="1:1">
      <c r="A9888" s="27"/>
    </row>
    <row r="9889" spans="1:1">
      <c r="A9889" s="27"/>
    </row>
    <row r="9890" spans="1:1">
      <c r="A9890" s="27"/>
    </row>
    <row r="9891" spans="1:1">
      <c r="A9891" s="27"/>
    </row>
    <row r="9892" spans="1:1">
      <c r="A9892" s="27"/>
    </row>
    <row r="9893" spans="1:1">
      <c r="A9893" s="27"/>
    </row>
    <row r="9894" spans="1:1">
      <c r="A9894" s="27"/>
    </row>
    <row r="9895" spans="1:1">
      <c r="A9895" s="27"/>
    </row>
    <row r="9896" spans="1:1">
      <c r="A9896" s="27"/>
    </row>
    <row r="9897" spans="1:1">
      <c r="A9897" s="27"/>
    </row>
    <row r="9898" spans="1:1">
      <c r="A9898" s="27"/>
    </row>
    <row r="9899" spans="1:1">
      <c r="A9899" s="27"/>
    </row>
    <row r="9900" spans="1:1">
      <c r="A9900" s="27"/>
    </row>
    <row r="9901" spans="1:1">
      <c r="A9901" s="27"/>
    </row>
    <row r="9902" spans="1:1">
      <c r="A9902" s="27"/>
    </row>
    <row r="9903" spans="1:1">
      <c r="A9903" s="27"/>
    </row>
    <row r="9904" spans="1:1">
      <c r="A9904" s="27"/>
    </row>
    <row r="9905" spans="1:1">
      <c r="A9905" s="27"/>
    </row>
    <row r="9906" spans="1:1">
      <c r="A9906" s="27"/>
    </row>
    <row r="9907" spans="1:1">
      <c r="A9907" s="27"/>
    </row>
    <row r="9908" spans="1:1">
      <c r="A9908" s="27"/>
    </row>
    <row r="9909" spans="1:1">
      <c r="A9909" s="27"/>
    </row>
    <row r="9910" spans="1:1">
      <c r="A9910" s="27"/>
    </row>
    <row r="9911" spans="1:1">
      <c r="A9911" s="27"/>
    </row>
    <row r="9912" spans="1:1">
      <c r="A9912" s="27"/>
    </row>
    <row r="9913" spans="1:1">
      <c r="A9913" s="27"/>
    </row>
    <row r="9914" spans="1:1">
      <c r="A9914" s="27"/>
    </row>
    <row r="9915" spans="1:1">
      <c r="A9915" s="27"/>
    </row>
    <row r="9916" spans="1:1">
      <c r="A9916" s="27"/>
    </row>
    <row r="9917" spans="1:1">
      <c r="A9917" s="27"/>
    </row>
    <row r="9918" spans="1:1">
      <c r="A9918" s="27"/>
    </row>
    <row r="9919" spans="1:1">
      <c r="A9919" s="27"/>
    </row>
    <row r="9920" spans="1:1">
      <c r="A9920" s="27"/>
    </row>
    <row r="9921" spans="1:1">
      <c r="A9921" s="27"/>
    </row>
    <row r="9922" spans="1:1">
      <c r="A9922" s="27"/>
    </row>
    <row r="9923" spans="1:1">
      <c r="A9923" s="27"/>
    </row>
    <row r="9924" spans="1:1">
      <c r="A9924" s="27"/>
    </row>
    <row r="9925" spans="1:1">
      <c r="A9925" s="27"/>
    </row>
    <row r="9926" spans="1:1">
      <c r="A9926" s="27"/>
    </row>
    <row r="9927" spans="1:1">
      <c r="A9927" s="27"/>
    </row>
    <row r="9928" spans="1:1">
      <c r="A9928" s="27"/>
    </row>
    <row r="9929" spans="1:1">
      <c r="A9929" s="27"/>
    </row>
    <row r="9930" spans="1:1">
      <c r="A9930" s="27"/>
    </row>
    <row r="9931" spans="1:1">
      <c r="A9931" s="27"/>
    </row>
    <row r="9932" spans="1:1">
      <c r="A9932" s="27"/>
    </row>
    <row r="9933" spans="1:1">
      <c r="A9933" s="27"/>
    </row>
    <row r="9934" spans="1:1">
      <c r="A9934" s="27"/>
    </row>
    <row r="9935" spans="1:1">
      <c r="A9935" s="27"/>
    </row>
    <row r="9936" spans="1:1">
      <c r="A9936" s="27"/>
    </row>
    <row r="9937" spans="1:1">
      <c r="A9937" s="27"/>
    </row>
    <row r="9938" spans="1:1">
      <c r="A9938" s="27"/>
    </row>
    <row r="9939" spans="1:1">
      <c r="A9939" s="27"/>
    </row>
    <row r="9940" spans="1:1">
      <c r="A9940" s="27"/>
    </row>
    <row r="9941" spans="1:1">
      <c r="A9941" s="27"/>
    </row>
    <row r="9942" spans="1:1">
      <c r="A9942" s="27"/>
    </row>
    <row r="9943" spans="1:1">
      <c r="A9943" s="27"/>
    </row>
    <row r="9944" spans="1:1">
      <c r="A9944" s="27"/>
    </row>
    <row r="9945" spans="1:1">
      <c r="A9945" s="27"/>
    </row>
    <row r="9946" spans="1:1">
      <c r="A9946" s="27"/>
    </row>
    <row r="9947" spans="1:1">
      <c r="A9947" s="27"/>
    </row>
    <row r="9948" spans="1:1">
      <c r="A9948" s="27"/>
    </row>
    <row r="9949" spans="1:1">
      <c r="A9949" s="27"/>
    </row>
    <row r="9950" spans="1:1">
      <c r="A9950" s="27"/>
    </row>
    <row r="9951" spans="1:1">
      <c r="A9951" s="27"/>
    </row>
    <row r="9952" spans="1:1">
      <c r="A9952" s="27"/>
    </row>
    <row r="9953" spans="1:1">
      <c r="A9953" s="27"/>
    </row>
    <row r="9954" spans="1:1">
      <c r="A9954" s="27"/>
    </row>
    <row r="9955" spans="1:1">
      <c r="A9955" s="27"/>
    </row>
    <row r="9956" spans="1:1">
      <c r="A9956" s="27"/>
    </row>
    <row r="9957" spans="1:1">
      <c r="A9957" s="27"/>
    </row>
    <row r="9958" spans="1:1">
      <c r="A9958" s="27"/>
    </row>
    <row r="9959" spans="1:1">
      <c r="A9959" s="27"/>
    </row>
    <row r="9960" spans="1:1">
      <c r="A9960" s="27"/>
    </row>
    <row r="9961" spans="1:1">
      <c r="A9961" s="27"/>
    </row>
    <row r="9962" spans="1:1">
      <c r="A9962" s="27"/>
    </row>
    <row r="9963" spans="1:1">
      <c r="A9963" s="27"/>
    </row>
    <row r="9964" spans="1:1">
      <c r="A9964" s="27"/>
    </row>
    <row r="9965" spans="1:1">
      <c r="A9965" s="27"/>
    </row>
    <row r="9966" spans="1:1">
      <c r="A9966" s="27"/>
    </row>
    <row r="9967" spans="1:1">
      <c r="A9967" s="27"/>
    </row>
    <row r="9968" spans="1:1">
      <c r="A9968" s="27"/>
    </row>
    <row r="9969" spans="1:1">
      <c r="A9969" s="27"/>
    </row>
    <row r="9970" spans="1:1">
      <c r="A9970" s="27"/>
    </row>
    <row r="9971" spans="1:1">
      <c r="A9971" s="27"/>
    </row>
    <row r="9972" spans="1:1">
      <c r="A9972" s="27"/>
    </row>
    <row r="9973" spans="1:1">
      <c r="A9973" s="27"/>
    </row>
    <row r="9974" spans="1:1">
      <c r="A9974" s="27"/>
    </row>
    <row r="9975" spans="1:1">
      <c r="A9975" s="27"/>
    </row>
    <row r="9976" spans="1:1">
      <c r="A9976" s="27"/>
    </row>
    <row r="9977" spans="1:1">
      <c r="A9977" s="27"/>
    </row>
    <row r="9978" spans="1:1">
      <c r="A9978" s="27"/>
    </row>
    <row r="9979" spans="1:1">
      <c r="A9979" s="27"/>
    </row>
    <row r="9980" spans="1:1">
      <c r="A9980" s="27"/>
    </row>
    <row r="9981" spans="1:1">
      <c r="A9981" s="27"/>
    </row>
    <row r="9982" spans="1:1">
      <c r="A9982" s="27"/>
    </row>
    <row r="9983" spans="1:1">
      <c r="A9983" s="27"/>
    </row>
    <row r="9984" spans="1:1">
      <c r="A9984" s="27"/>
    </row>
    <row r="9985" spans="1:1">
      <c r="A9985" s="27"/>
    </row>
    <row r="9986" spans="1:1">
      <c r="A9986" s="27"/>
    </row>
    <row r="9987" spans="1:1">
      <c r="A9987" s="27"/>
    </row>
    <row r="9988" spans="1:1">
      <c r="A9988" s="27"/>
    </row>
    <row r="9989" spans="1:1">
      <c r="A9989" s="27"/>
    </row>
    <row r="9990" spans="1:1">
      <c r="A9990" s="27"/>
    </row>
    <row r="9991" spans="1:1">
      <c r="A9991" s="27"/>
    </row>
    <row r="9992" spans="1:1">
      <c r="A9992" s="27"/>
    </row>
    <row r="9993" spans="1:1">
      <c r="A9993" s="27"/>
    </row>
    <row r="9994" spans="1:1">
      <c r="A9994" s="27"/>
    </row>
    <row r="9995" spans="1:1">
      <c r="A9995" s="27"/>
    </row>
    <row r="9996" spans="1:1">
      <c r="A9996" s="27"/>
    </row>
    <row r="9997" spans="1:1">
      <c r="A9997" s="27"/>
    </row>
    <row r="9998" spans="1:1">
      <c r="A9998" s="27"/>
    </row>
    <row r="9999" spans="1:1">
      <c r="A9999" s="27"/>
    </row>
    <row r="10000" spans="1:1">
      <c r="A10000" s="27"/>
    </row>
    <row r="10001" spans="1:1">
      <c r="A10001" s="27"/>
    </row>
    <row r="10002" spans="1:1">
      <c r="A10002" s="27"/>
    </row>
    <row r="10003" spans="1:1">
      <c r="A10003" s="27"/>
    </row>
    <row r="10004" spans="1:1">
      <c r="A10004" s="27"/>
    </row>
    <row r="10005" spans="1:1">
      <c r="A10005" s="27"/>
    </row>
    <row r="10006" spans="1:1">
      <c r="A10006" s="27"/>
    </row>
    <row r="10007" spans="1:1">
      <c r="A10007" s="27"/>
    </row>
    <row r="10008" spans="1:1">
      <c r="A10008" s="27"/>
    </row>
    <row r="10009" spans="1:1">
      <c r="A10009" s="27"/>
    </row>
    <row r="10010" spans="1:1">
      <c r="A10010" s="27"/>
    </row>
    <row r="10011" spans="1:1">
      <c r="A10011" s="27"/>
    </row>
    <row r="10012" spans="1:1">
      <c r="A10012" s="27"/>
    </row>
    <row r="10013" spans="1:1">
      <c r="A10013" s="27"/>
    </row>
    <row r="10014" spans="1:1">
      <c r="A10014" s="27"/>
    </row>
    <row r="10015" spans="1:1">
      <c r="A10015" s="27"/>
    </row>
    <row r="10016" spans="1:1">
      <c r="A10016" s="27"/>
    </row>
    <row r="10017" spans="1:1">
      <c r="A10017" s="27"/>
    </row>
    <row r="10018" spans="1:1">
      <c r="A10018" s="27"/>
    </row>
    <row r="10019" spans="1:1">
      <c r="A10019" s="27"/>
    </row>
    <row r="10020" spans="1:1">
      <c r="A10020" s="27"/>
    </row>
    <row r="10021" spans="1:1">
      <c r="A10021" s="27"/>
    </row>
    <row r="10022" spans="1:1">
      <c r="A10022" s="27"/>
    </row>
    <row r="10023" spans="1:1">
      <c r="A10023" s="27"/>
    </row>
    <row r="10024" spans="1:1">
      <c r="A10024" s="27"/>
    </row>
    <row r="10025" spans="1:1">
      <c r="A10025" s="27"/>
    </row>
    <row r="10026" spans="1:1">
      <c r="A10026" s="27"/>
    </row>
    <row r="10027" spans="1:1">
      <c r="A10027" s="27"/>
    </row>
    <row r="10028" spans="1:1">
      <c r="A10028" s="27"/>
    </row>
    <row r="10029" spans="1:1">
      <c r="A10029" s="27"/>
    </row>
    <row r="10030" spans="1:1">
      <c r="A10030" s="27"/>
    </row>
    <row r="10031" spans="1:1">
      <c r="A10031" s="27"/>
    </row>
    <row r="10032" spans="1:1">
      <c r="A10032" s="27"/>
    </row>
    <row r="10033" spans="1:1">
      <c r="A10033" s="27"/>
    </row>
    <row r="10034" spans="1:1">
      <c r="A10034" s="27"/>
    </row>
    <row r="10035" spans="1:1">
      <c r="A10035" s="27"/>
    </row>
    <row r="10036" spans="1:1">
      <c r="A10036" s="27"/>
    </row>
    <row r="10037" spans="1:1">
      <c r="A10037" s="27"/>
    </row>
    <row r="10038" spans="1:1">
      <c r="A10038" s="27"/>
    </row>
    <row r="10039" spans="1:1">
      <c r="A10039" s="27"/>
    </row>
    <row r="10040" spans="1:1">
      <c r="A10040" s="27"/>
    </row>
    <row r="10041" spans="1:1">
      <c r="A10041" s="27"/>
    </row>
    <row r="10042" spans="1:1">
      <c r="A10042" s="27"/>
    </row>
    <row r="10043" spans="1:1">
      <c r="A10043" s="27"/>
    </row>
    <row r="10044" spans="1:1">
      <c r="A10044" s="27"/>
    </row>
    <row r="10045" spans="1:1">
      <c r="A10045" s="27"/>
    </row>
    <row r="10046" spans="1:1">
      <c r="A10046" s="27"/>
    </row>
    <row r="10047" spans="1:1">
      <c r="A10047" s="27"/>
    </row>
    <row r="10048" spans="1:1">
      <c r="A10048" s="27"/>
    </row>
    <row r="10049" spans="1:1">
      <c r="A10049" s="27"/>
    </row>
    <row r="10050" spans="1:1">
      <c r="A10050" s="27"/>
    </row>
    <row r="10051" spans="1:1">
      <c r="A10051" s="27"/>
    </row>
    <row r="10052" spans="1:1">
      <c r="A10052" s="27"/>
    </row>
    <row r="10053" spans="1:1">
      <c r="A10053" s="27"/>
    </row>
    <row r="10054" spans="1:1">
      <c r="A10054" s="27"/>
    </row>
    <row r="10055" spans="1:1">
      <c r="A10055" s="27"/>
    </row>
    <row r="10056" spans="1:1">
      <c r="A10056" s="27"/>
    </row>
    <row r="10057" spans="1:1">
      <c r="A10057" s="27"/>
    </row>
    <row r="10058" spans="1:1">
      <c r="A10058" s="27"/>
    </row>
    <row r="10059" spans="1:1">
      <c r="A10059" s="27"/>
    </row>
    <row r="10060" spans="1:1">
      <c r="A10060" s="27"/>
    </row>
    <row r="10061" spans="1:1">
      <c r="A10061" s="27"/>
    </row>
    <row r="10062" spans="1:1">
      <c r="A10062" s="27"/>
    </row>
    <row r="10063" spans="1:1">
      <c r="A10063" s="27"/>
    </row>
    <row r="10064" spans="1:1">
      <c r="A10064" s="27"/>
    </row>
    <row r="10065" spans="1:1">
      <c r="A10065" s="27"/>
    </row>
    <row r="10066" spans="1:1">
      <c r="A10066" s="27"/>
    </row>
    <row r="10067" spans="1:1">
      <c r="A10067" s="27"/>
    </row>
    <row r="10068" spans="1:1">
      <c r="A10068" s="27"/>
    </row>
    <row r="10069" spans="1:1">
      <c r="A10069" s="27"/>
    </row>
    <row r="10070" spans="1:1">
      <c r="A10070" s="27"/>
    </row>
    <row r="10071" spans="1:1">
      <c r="A10071" s="27"/>
    </row>
    <row r="10072" spans="1:1">
      <c r="A10072" s="27"/>
    </row>
    <row r="10073" spans="1:1">
      <c r="A10073" s="27"/>
    </row>
    <row r="10074" spans="1:1">
      <c r="A10074" s="27"/>
    </row>
    <row r="10075" spans="1:1">
      <c r="A10075" s="27"/>
    </row>
    <row r="10076" spans="1:1">
      <c r="A10076" s="27"/>
    </row>
    <row r="10077" spans="1:1">
      <c r="A10077" s="27"/>
    </row>
    <row r="10078" spans="1:1">
      <c r="A10078" s="27"/>
    </row>
    <row r="10079" spans="1:1">
      <c r="A10079" s="27"/>
    </row>
    <row r="10080" spans="1:1">
      <c r="A10080" s="27"/>
    </row>
    <row r="10081" spans="1:1">
      <c r="A10081" s="27"/>
    </row>
    <row r="10082" spans="1:1">
      <c r="A10082" s="27"/>
    </row>
    <row r="10083" spans="1:1">
      <c r="A10083" s="27"/>
    </row>
    <row r="10084" spans="1:1">
      <c r="A10084" s="27"/>
    </row>
    <row r="10085" spans="1:1">
      <c r="A10085" s="27"/>
    </row>
    <row r="10086" spans="1:1">
      <c r="A10086" s="27"/>
    </row>
    <row r="10087" spans="1:1">
      <c r="A10087" s="27"/>
    </row>
    <row r="10088" spans="1:1">
      <c r="A10088" s="27"/>
    </row>
    <row r="10089" spans="1:1">
      <c r="A10089" s="27"/>
    </row>
    <row r="10090" spans="1:1">
      <c r="A10090" s="27"/>
    </row>
    <row r="10091" spans="1:1">
      <c r="A10091" s="27"/>
    </row>
    <row r="10092" spans="1:1">
      <c r="A10092" s="27"/>
    </row>
    <row r="10093" spans="1:1">
      <c r="A10093" s="27"/>
    </row>
    <row r="10094" spans="1:1">
      <c r="A10094" s="27"/>
    </row>
    <row r="10095" spans="1:1">
      <c r="A10095" s="27"/>
    </row>
    <row r="10096" spans="1:1">
      <c r="A10096" s="27"/>
    </row>
    <row r="10097" spans="1:1">
      <c r="A10097" s="27"/>
    </row>
    <row r="10098" spans="1:1">
      <c r="A10098" s="27"/>
    </row>
    <row r="10099" spans="1:1">
      <c r="A10099" s="27"/>
    </row>
    <row r="10100" spans="1:1">
      <c r="A10100" s="27"/>
    </row>
    <row r="10101" spans="1:1">
      <c r="A10101" s="27"/>
    </row>
    <row r="10102" spans="1:1">
      <c r="A10102" s="27"/>
    </row>
    <row r="10103" spans="1:1">
      <c r="A10103" s="27"/>
    </row>
    <row r="10104" spans="1:1">
      <c r="A10104" s="27"/>
    </row>
    <row r="10105" spans="1:1">
      <c r="A10105" s="27"/>
    </row>
    <row r="10106" spans="1:1">
      <c r="A10106" s="27"/>
    </row>
    <row r="10107" spans="1:1">
      <c r="A10107" s="27"/>
    </row>
    <row r="10108" spans="1:1">
      <c r="A10108" s="27"/>
    </row>
    <row r="10109" spans="1:1">
      <c r="A10109" s="27"/>
    </row>
    <row r="10110" spans="1:1">
      <c r="A10110" s="27"/>
    </row>
    <row r="10111" spans="1:1">
      <c r="A10111" s="27"/>
    </row>
    <row r="10112" spans="1:1">
      <c r="A10112" s="27"/>
    </row>
    <row r="10113" spans="1:1">
      <c r="A10113" s="27"/>
    </row>
    <row r="10114" spans="1:1">
      <c r="A10114" s="27"/>
    </row>
    <row r="10115" spans="1:1">
      <c r="A10115" s="27"/>
    </row>
    <row r="10116" spans="1:1">
      <c r="A10116" s="27"/>
    </row>
    <row r="10117" spans="1:1">
      <c r="A10117" s="27"/>
    </row>
    <row r="10118" spans="1:1">
      <c r="A10118" s="27"/>
    </row>
    <row r="10119" spans="1:1">
      <c r="A10119" s="27"/>
    </row>
    <row r="10120" spans="1:1">
      <c r="A10120" s="27"/>
    </row>
    <row r="10121" spans="1:1">
      <c r="A10121" s="27"/>
    </row>
    <row r="10122" spans="1:1">
      <c r="A10122" s="27"/>
    </row>
    <row r="10123" spans="1:1">
      <c r="A10123" s="27"/>
    </row>
    <row r="10124" spans="1:1">
      <c r="A10124" s="27"/>
    </row>
    <row r="10125" spans="1:1">
      <c r="A10125" s="27"/>
    </row>
    <row r="10126" spans="1:1">
      <c r="A10126" s="27"/>
    </row>
    <row r="10127" spans="1:1">
      <c r="A10127" s="27"/>
    </row>
    <row r="10128" spans="1:1">
      <c r="A10128" s="27"/>
    </row>
    <row r="10129" spans="1:1">
      <c r="A10129" s="27"/>
    </row>
    <row r="10130" spans="1:1">
      <c r="A10130" s="27"/>
    </row>
    <row r="10131" spans="1:1">
      <c r="A10131" s="27"/>
    </row>
    <row r="10132" spans="1:1">
      <c r="A10132" s="27"/>
    </row>
    <row r="10133" spans="1:1">
      <c r="A10133" s="27"/>
    </row>
    <row r="10134" spans="1:1">
      <c r="A10134" s="27"/>
    </row>
    <row r="10135" spans="1:1">
      <c r="A10135" s="27"/>
    </row>
    <row r="10136" spans="1:1">
      <c r="A10136" s="27"/>
    </row>
    <row r="10137" spans="1:1">
      <c r="A10137" s="27"/>
    </row>
    <row r="10138" spans="1:1">
      <c r="A10138" s="27"/>
    </row>
    <row r="10139" spans="1:1">
      <c r="A10139" s="27"/>
    </row>
    <row r="10140" spans="1:1">
      <c r="A10140" s="27"/>
    </row>
    <row r="10141" spans="1:1">
      <c r="A10141" s="27"/>
    </row>
    <row r="10142" spans="1:1">
      <c r="A10142" s="27"/>
    </row>
    <row r="10143" spans="1:1">
      <c r="A10143" s="27"/>
    </row>
    <row r="10144" spans="1:1">
      <c r="A10144" s="27"/>
    </row>
    <row r="10145" spans="1:1">
      <c r="A10145" s="27"/>
    </row>
    <row r="10146" spans="1:1">
      <c r="A10146" s="27"/>
    </row>
    <row r="10147" spans="1:1">
      <c r="A10147" s="27"/>
    </row>
    <row r="10148" spans="1:1">
      <c r="A10148" s="27"/>
    </row>
    <row r="10149" spans="1:1">
      <c r="A10149" s="27"/>
    </row>
    <row r="10150" spans="1:1">
      <c r="A10150" s="27"/>
    </row>
    <row r="10151" spans="1:1">
      <c r="A10151" s="27"/>
    </row>
    <row r="10152" spans="1:1">
      <c r="A10152" s="27"/>
    </row>
    <row r="10153" spans="1:1">
      <c r="A10153" s="27"/>
    </row>
    <row r="10154" spans="1:1">
      <c r="A10154" s="27"/>
    </row>
    <row r="10155" spans="1:1">
      <c r="A10155" s="27"/>
    </row>
    <row r="10156" spans="1:1">
      <c r="A10156" s="27"/>
    </row>
    <row r="10157" spans="1:1">
      <c r="A10157" s="27"/>
    </row>
    <row r="10158" spans="1:1">
      <c r="A10158" s="27"/>
    </row>
    <row r="10159" spans="1:1">
      <c r="A10159" s="27"/>
    </row>
    <row r="10160" spans="1:1">
      <c r="A10160" s="27"/>
    </row>
    <row r="10161" spans="1:1">
      <c r="A10161" s="27"/>
    </row>
    <row r="10162" spans="1:1">
      <c r="A10162" s="27"/>
    </row>
    <row r="10163" spans="1:1">
      <c r="A10163" s="27"/>
    </row>
    <row r="10164" spans="1:1">
      <c r="A10164" s="27"/>
    </row>
    <row r="10165" spans="1:1">
      <c r="A10165" s="27"/>
    </row>
    <row r="10166" spans="1:1">
      <c r="A10166" s="27"/>
    </row>
    <row r="10167" spans="1:1">
      <c r="A10167" s="27"/>
    </row>
    <row r="10168" spans="1:1">
      <c r="A10168" s="27"/>
    </row>
    <row r="10169" spans="1:1">
      <c r="A10169" s="27"/>
    </row>
    <row r="10170" spans="1:1">
      <c r="A10170" s="27"/>
    </row>
    <row r="10171" spans="1:1">
      <c r="A10171" s="27"/>
    </row>
    <row r="10172" spans="1:1">
      <c r="A10172" s="27"/>
    </row>
    <row r="10173" spans="1:1">
      <c r="A10173" s="27"/>
    </row>
    <row r="10174" spans="1:1">
      <c r="A10174" s="27"/>
    </row>
    <row r="10175" spans="1:1">
      <c r="A10175" s="27"/>
    </row>
    <row r="10176" spans="1:1">
      <c r="A10176" s="27"/>
    </row>
    <row r="10177" spans="1:1">
      <c r="A10177" s="27"/>
    </row>
    <row r="10178" spans="1:1">
      <c r="A10178" s="27"/>
    </row>
    <row r="10179" spans="1:1">
      <c r="A10179" s="27"/>
    </row>
    <row r="10180" spans="1:1">
      <c r="A10180" s="27"/>
    </row>
    <row r="10181" spans="1:1">
      <c r="A10181" s="27"/>
    </row>
    <row r="10182" spans="1:1">
      <c r="A10182" s="27"/>
    </row>
    <row r="10183" spans="1:1">
      <c r="A10183" s="27"/>
    </row>
    <row r="10184" spans="1:1">
      <c r="A10184" s="27"/>
    </row>
    <row r="10185" spans="1:1">
      <c r="A10185" s="27"/>
    </row>
    <row r="10186" spans="1:1">
      <c r="A10186" s="27"/>
    </row>
    <row r="10187" spans="1:1">
      <c r="A10187" s="27"/>
    </row>
    <row r="10188" spans="1:1">
      <c r="A10188" s="27"/>
    </row>
    <row r="10189" spans="1:1">
      <c r="A10189" s="27"/>
    </row>
    <row r="10190" spans="1:1">
      <c r="A10190" s="27"/>
    </row>
    <row r="10191" spans="1:1">
      <c r="A10191" s="27"/>
    </row>
    <row r="10192" spans="1:1">
      <c r="A10192" s="27"/>
    </row>
    <row r="10193" spans="1:1">
      <c r="A10193" s="27"/>
    </row>
    <row r="10194" spans="1:1">
      <c r="A10194" s="27"/>
    </row>
    <row r="10195" spans="1:1">
      <c r="A10195" s="27"/>
    </row>
    <row r="10196" spans="1:1">
      <c r="A10196" s="27"/>
    </row>
    <row r="10197" spans="1:1">
      <c r="A10197" s="27"/>
    </row>
    <row r="10198" spans="1:1">
      <c r="A10198" s="27"/>
    </row>
    <row r="10199" spans="1:1">
      <c r="A10199" s="27"/>
    </row>
    <row r="10200" spans="1:1">
      <c r="A10200" s="27"/>
    </row>
    <row r="10201" spans="1:1">
      <c r="A10201" s="27"/>
    </row>
    <row r="10202" spans="1:1">
      <c r="A10202" s="27"/>
    </row>
    <row r="10203" spans="1:1">
      <c r="A10203" s="27"/>
    </row>
    <row r="10204" spans="1:1">
      <c r="A10204" s="27"/>
    </row>
    <row r="10205" spans="1:1">
      <c r="A10205" s="27"/>
    </row>
    <row r="10206" spans="1:1">
      <c r="A10206" s="27"/>
    </row>
    <row r="10207" spans="1:1">
      <c r="A10207" s="27"/>
    </row>
    <row r="10208" spans="1:1">
      <c r="A10208" s="27"/>
    </row>
    <row r="10209" spans="1:1">
      <c r="A10209" s="27"/>
    </row>
    <row r="10210" spans="1:1">
      <c r="A10210" s="27"/>
    </row>
    <row r="10211" spans="1:1">
      <c r="A10211" s="27"/>
    </row>
    <row r="10212" spans="1:1">
      <c r="A10212" s="27"/>
    </row>
    <row r="10213" spans="1:1">
      <c r="A10213" s="27"/>
    </row>
    <row r="10214" spans="1:1">
      <c r="A10214" s="27"/>
    </row>
    <row r="10215" spans="1:1">
      <c r="A10215" s="27"/>
    </row>
    <row r="10216" spans="1:1">
      <c r="A10216" s="27"/>
    </row>
    <row r="10217" spans="1:1">
      <c r="A10217" s="27"/>
    </row>
    <row r="10218" spans="1:1">
      <c r="A10218" s="27"/>
    </row>
    <row r="10219" spans="1:1">
      <c r="A10219" s="27"/>
    </row>
    <row r="10220" spans="1:1">
      <c r="A10220" s="27"/>
    </row>
    <row r="10221" spans="1:1">
      <c r="A10221" s="27"/>
    </row>
    <row r="10222" spans="1:1">
      <c r="A10222" s="27"/>
    </row>
    <row r="10223" spans="1:1">
      <c r="A10223" s="27"/>
    </row>
    <row r="10224" spans="1:1">
      <c r="A10224" s="27"/>
    </row>
    <row r="10225" spans="1:1">
      <c r="A10225" s="27"/>
    </row>
    <row r="10226" spans="1:1">
      <c r="A10226" s="27"/>
    </row>
    <row r="10227" spans="1:1">
      <c r="A10227" s="27"/>
    </row>
    <row r="10228" spans="1:1">
      <c r="A10228" s="27"/>
    </row>
    <row r="10229" spans="1:1">
      <c r="A10229" s="27"/>
    </row>
    <row r="10230" spans="1:1">
      <c r="A10230" s="27"/>
    </row>
    <row r="10231" spans="1:1">
      <c r="A10231" s="27"/>
    </row>
    <row r="10232" spans="1:1">
      <c r="A10232" s="27"/>
    </row>
    <row r="10233" spans="1:1">
      <c r="A10233" s="27"/>
    </row>
    <row r="10234" spans="1:1">
      <c r="A10234" s="27"/>
    </row>
    <row r="10235" spans="1:1">
      <c r="A10235" s="27"/>
    </row>
    <row r="10236" spans="1:1">
      <c r="A10236" s="27"/>
    </row>
    <row r="10237" spans="1:1">
      <c r="A10237" s="27"/>
    </row>
    <row r="10238" spans="1:1">
      <c r="A10238" s="27"/>
    </row>
    <row r="10239" spans="1:1">
      <c r="A10239" s="27"/>
    </row>
    <row r="10240" spans="1:1">
      <c r="A10240" s="27"/>
    </row>
    <row r="10241" spans="1:1">
      <c r="A10241" s="27"/>
    </row>
    <row r="10242" spans="1:1">
      <c r="A10242" s="27"/>
    </row>
    <row r="10243" spans="1:1">
      <c r="A10243" s="27"/>
    </row>
    <row r="10244" spans="1:1">
      <c r="A10244" s="27"/>
    </row>
    <row r="10245" spans="1:1">
      <c r="A10245" s="27"/>
    </row>
    <row r="10246" spans="1:1">
      <c r="A10246" s="27"/>
    </row>
    <row r="10247" spans="1:1">
      <c r="A10247" s="27"/>
    </row>
    <row r="10248" spans="1:1">
      <c r="A10248" s="27"/>
    </row>
    <row r="10249" spans="1:1">
      <c r="A10249" s="27"/>
    </row>
    <row r="10250" spans="1:1">
      <c r="A10250" s="27"/>
    </row>
    <row r="10251" spans="1:1">
      <c r="A10251" s="27"/>
    </row>
    <row r="10252" spans="1:1">
      <c r="A10252" s="27"/>
    </row>
    <row r="10253" spans="1:1">
      <c r="A10253" s="27"/>
    </row>
    <row r="10254" spans="1:1">
      <c r="A10254" s="27"/>
    </row>
    <row r="10255" spans="1:1">
      <c r="A10255" s="27"/>
    </row>
    <row r="10256" spans="1:1">
      <c r="A10256" s="27"/>
    </row>
    <row r="10257" spans="1:1">
      <c r="A10257" s="27"/>
    </row>
    <row r="10258" spans="1:1">
      <c r="A10258" s="27"/>
    </row>
    <row r="10259" spans="1:1">
      <c r="A10259" s="27"/>
    </row>
    <row r="10260" spans="1:1">
      <c r="A10260" s="27"/>
    </row>
    <row r="10261" spans="1:1">
      <c r="A10261" s="27"/>
    </row>
    <row r="10262" spans="1:1">
      <c r="A10262" s="27"/>
    </row>
    <row r="10263" spans="1:1">
      <c r="A10263" s="27"/>
    </row>
    <row r="10264" spans="1:1">
      <c r="A10264" s="27"/>
    </row>
    <row r="10265" spans="1:1">
      <c r="A10265" s="27"/>
    </row>
    <row r="10266" spans="1:1">
      <c r="A10266" s="27"/>
    </row>
    <row r="10267" spans="1:1">
      <c r="A10267" s="27"/>
    </row>
    <row r="10268" spans="1:1">
      <c r="A10268" s="27"/>
    </row>
    <row r="10269" spans="1:1">
      <c r="A10269" s="27"/>
    </row>
    <row r="10270" spans="1:1">
      <c r="A10270" s="27"/>
    </row>
    <row r="10271" spans="1:1">
      <c r="A10271" s="27"/>
    </row>
    <row r="10272" spans="1:1">
      <c r="A10272" s="27"/>
    </row>
    <row r="10273" spans="1:1">
      <c r="A10273" s="27"/>
    </row>
    <row r="10274" spans="1:1">
      <c r="A10274" s="27"/>
    </row>
    <row r="10275" spans="1:1">
      <c r="A10275" s="27"/>
    </row>
    <row r="10276" spans="1:1">
      <c r="A10276" s="27"/>
    </row>
    <row r="10277" spans="1:1">
      <c r="A10277" s="27"/>
    </row>
    <row r="10278" spans="1:1">
      <c r="A10278" s="27"/>
    </row>
    <row r="10279" spans="1:1">
      <c r="A10279" s="27"/>
    </row>
    <row r="10280" spans="1:1">
      <c r="A10280" s="27"/>
    </row>
    <row r="10281" spans="1:1">
      <c r="A10281" s="27"/>
    </row>
    <row r="10282" spans="1:1">
      <c r="A10282" s="27"/>
    </row>
    <row r="10283" spans="1:1">
      <c r="A10283" s="27"/>
    </row>
    <row r="10284" spans="1:1">
      <c r="A10284" s="27"/>
    </row>
    <row r="10285" spans="1:1">
      <c r="A10285" s="27"/>
    </row>
    <row r="10286" spans="1:1">
      <c r="A10286" s="27"/>
    </row>
    <row r="10287" spans="1:1">
      <c r="A10287" s="27"/>
    </row>
    <row r="10288" spans="1:1">
      <c r="A10288" s="27"/>
    </row>
    <row r="10289" spans="1:1">
      <c r="A10289" s="27"/>
    </row>
    <row r="10290" spans="1:1">
      <c r="A10290" s="27"/>
    </row>
    <row r="10291" spans="1:1">
      <c r="A10291" s="27"/>
    </row>
    <row r="10292" spans="1:1">
      <c r="A10292" s="27"/>
    </row>
    <row r="10293" spans="1:1">
      <c r="A10293" s="27"/>
    </row>
    <row r="10294" spans="1:1">
      <c r="A10294" s="27"/>
    </row>
    <row r="10295" spans="1:1">
      <c r="A10295" s="27"/>
    </row>
    <row r="10296" spans="1:1">
      <c r="A10296" s="27"/>
    </row>
    <row r="10297" spans="1:1">
      <c r="A10297" s="27"/>
    </row>
    <row r="10298" spans="1:1">
      <c r="A10298" s="27"/>
    </row>
    <row r="10299" spans="1:1">
      <c r="A10299" s="27"/>
    </row>
    <row r="10300" spans="1:1">
      <c r="A10300" s="27"/>
    </row>
    <row r="10301" spans="1:1">
      <c r="A10301" s="27"/>
    </row>
    <row r="10302" spans="1:1">
      <c r="A10302" s="27"/>
    </row>
    <row r="10303" spans="1:1">
      <c r="A10303" s="27"/>
    </row>
    <row r="10304" spans="1:1">
      <c r="A10304" s="27"/>
    </row>
    <row r="10305" spans="1:1">
      <c r="A10305" s="27"/>
    </row>
    <row r="10306" spans="1:1">
      <c r="A10306" s="27"/>
    </row>
    <row r="10307" spans="1:1">
      <c r="A10307" s="27"/>
    </row>
    <row r="10308" spans="1:1">
      <c r="A10308" s="27"/>
    </row>
    <row r="10309" spans="1:1">
      <c r="A10309" s="27"/>
    </row>
    <row r="10310" spans="1:1">
      <c r="A10310" s="27"/>
    </row>
    <row r="10311" spans="1:1">
      <c r="A10311" s="27"/>
    </row>
    <row r="10312" spans="1:1">
      <c r="A10312" s="27"/>
    </row>
    <row r="10313" spans="1:1">
      <c r="A10313" s="27"/>
    </row>
    <row r="10314" spans="1:1">
      <c r="A10314" s="27"/>
    </row>
    <row r="10315" spans="1:1">
      <c r="A10315" s="27"/>
    </row>
    <row r="10316" spans="1:1">
      <c r="A10316" s="27"/>
    </row>
    <row r="10317" spans="1:1">
      <c r="A10317" s="27"/>
    </row>
    <row r="10318" spans="1:1">
      <c r="A10318" s="27"/>
    </row>
    <row r="10319" spans="1:1">
      <c r="A10319" s="27"/>
    </row>
    <row r="10320" spans="1:1">
      <c r="A10320" s="27"/>
    </row>
    <row r="10321" spans="1:1">
      <c r="A10321" s="27"/>
    </row>
    <row r="10322" spans="1:1">
      <c r="A10322" s="27"/>
    </row>
    <row r="10323" spans="1:1">
      <c r="A10323" s="27"/>
    </row>
    <row r="10324" spans="1:1">
      <c r="A10324" s="27"/>
    </row>
    <row r="10325" spans="1:1">
      <c r="A10325" s="27"/>
    </row>
    <row r="10326" spans="1:1">
      <c r="A10326" s="27"/>
    </row>
    <row r="10327" spans="1:1">
      <c r="A10327" s="27"/>
    </row>
    <row r="10328" spans="1:1">
      <c r="A10328" s="27"/>
    </row>
    <row r="10329" spans="1:1">
      <c r="A10329" s="27"/>
    </row>
    <row r="10330" spans="1:1">
      <c r="A10330" s="27"/>
    </row>
    <row r="10331" spans="1:1">
      <c r="A10331" s="27"/>
    </row>
    <row r="10332" spans="1:1">
      <c r="A10332" s="27"/>
    </row>
    <row r="10333" spans="1:1">
      <c r="A10333" s="27"/>
    </row>
    <row r="10334" spans="1:1">
      <c r="A10334" s="27"/>
    </row>
    <row r="10335" spans="1:1">
      <c r="A10335" s="27"/>
    </row>
    <row r="10336" spans="1:1">
      <c r="A10336" s="27"/>
    </row>
    <row r="10337" spans="1:1">
      <c r="A10337" s="27"/>
    </row>
    <row r="10338" spans="1:1">
      <c r="A10338" s="27"/>
    </row>
    <row r="10339" spans="1:1">
      <c r="A10339" s="27"/>
    </row>
    <row r="10340" spans="1:1">
      <c r="A10340" s="27"/>
    </row>
    <row r="10341" spans="1:1">
      <c r="A10341" s="27"/>
    </row>
    <row r="10342" spans="1:1">
      <c r="A10342" s="27"/>
    </row>
    <row r="10343" spans="1:1">
      <c r="A10343" s="27"/>
    </row>
    <row r="10344" spans="1:1">
      <c r="A10344" s="27"/>
    </row>
    <row r="10345" spans="1:1">
      <c r="A10345" s="27"/>
    </row>
    <row r="10346" spans="1:1">
      <c r="A10346" s="27"/>
    </row>
    <row r="10347" spans="1:1">
      <c r="A10347" s="27"/>
    </row>
    <row r="10348" spans="1:1">
      <c r="A10348" s="27"/>
    </row>
    <row r="10349" spans="1:1">
      <c r="A10349" s="27"/>
    </row>
    <row r="10350" spans="1:1">
      <c r="A10350" s="27"/>
    </row>
    <row r="10351" spans="1:1">
      <c r="A10351" s="27"/>
    </row>
    <row r="10352" spans="1:1">
      <c r="A10352" s="27"/>
    </row>
    <row r="10353" spans="1:1">
      <c r="A10353" s="27"/>
    </row>
    <row r="10354" spans="1:1">
      <c r="A10354" s="27"/>
    </row>
    <row r="10355" spans="1:1">
      <c r="A10355" s="27"/>
    </row>
    <row r="10356" spans="1:1">
      <c r="A10356" s="27"/>
    </row>
    <row r="10357" spans="1:1">
      <c r="A10357" s="27"/>
    </row>
    <row r="10358" spans="1:1">
      <c r="A10358" s="27"/>
    </row>
    <row r="10359" spans="1:1">
      <c r="A10359" s="27"/>
    </row>
    <row r="10360" spans="1:1">
      <c r="A10360" s="27"/>
    </row>
    <row r="10361" spans="1:1">
      <c r="A10361" s="27"/>
    </row>
    <row r="10362" spans="1:1">
      <c r="A10362" s="27"/>
    </row>
    <row r="10363" spans="1:1">
      <c r="A10363" s="27"/>
    </row>
    <row r="10364" spans="1:1">
      <c r="A10364" s="27"/>
    </row>
    <row r="10365" spans="1:1">
      <c r="A10365" s="27"/>
    </row>
    <row r="10366" spans="1:1">
      <c r="A10366" s="27"/>
    </row>
    <row r="10367" spans="1:1">
      <c r="A10367" s="27"/>
    </row>
    <row r="10368" spans="1:1">
      <c r="A10368" s="27"/>
    </row>
    <row r="10369" spans="1:1">
      <c r="A10369" s="27"/>
    </row>
    <row r="10370" spans="1:1">
      <c r="A10370" s="27"/>
    </row>
    <row r="10371" spans="1:1">
      <c r="A10371" s="27"/>
    </row>
    <row r="10372" spans="1:1">
      <c r="A10372" s="27"/>
    </row>
    <row r="10373" spans="1:1">
      <c r="A10373" s="27"/>
    </row>
    <row r="10374" spans="1:1">
      <c r="A10374" s="27"/>
    </row>
    <row r="10375" spans="1:1">
      <c r="A10375" s="27"/>
    </row>
    <row r="10376" spans="1:1">
      <c r="A10376" s="27"/>
    </row>
    <row r="10377" spans="1:1">
      <c r="A10377" s="27"/>
    </row>
    <row r="10378" spans="1:1">
      <c r="A10378" s="27"/>
    </row>
    <row r="10379" spans="1:1">
      <c r="A10379" s="27"/>
    </row>
    <row r="10380" spans="1:1">
      <c r="A10380" s="27"/>
    </row>
    <row r="10381" spans="1:1">
      <c r="A10381" s="27"/>
    </row>
    <row r="10382" spans="1:1">
      <c r="A10382" s="27"/>
    </row>
    <row r="10383" spans="1:1">
      <c r="A10383" s="27"/>
    </row>
    <row r="10384" spans="1:1">
      <c r="A10384" s="27"/>
    </row>
    <row r="10385" spans="1:1">
      <c r="A10385" s="27"/>
    </row>
    <row r="10386" spans="1:1">
      <c r="A10386" s="27"/>
    </row>
    <row r="10387" spans="1:1">
      <c r="A10387" s="27"/>
    </row>
    <row r="10388" spans="1:1">
      <c r="A10388" s="27"/>
    </row>
    <row r="10389" spans="1:1">
      <c r="A10389" s="27"/>
    </row>
    <row r="10390" spans="1:1">
      <c r="A10390" s="27"/>
    </row>
    <row r="10391" spans="1:1">
      <c r="A10391" s="27"/>
    </row>
    <row r="10392" spans="1:1">
      <c r="A10392" s="27"/>
    </row>
    <row r="10393" spans="1:1">
      <c r="A10393" s="27"/>
    </row>
    <row r="10394" spans="1:1">
      <c r="A10394" s="27"/>
    </row>
    <row r="10395" spans="1:1">
      <c r="A10395" s="27"/>
    </row>
    <row r="10396" spans="1:1">
      <c r="A10396" s="27"/>
    </row>
    <row r="10397" spans="1:1">
      <c r="A10397" s="27"/>
    </row>
    <row r="10398" spans="1:1">
      <c r="A10398" s="27"/>
    </row>
    <row r="10399" spans="1:1">
      <c r="A10399" s="27"/>
    </row>
    <row r="10400" spans="1:1">
      <c r="A10400" s="27"/>
    </row>
    <row r="10401" spans="1:1">
      <c r="A10401" s="27"/>
    </row>
    <row r="10402" spans="1:1">
      <c r="A10402" s="27"/>
    </row>
    <row r="10403" spans="1:1">
      <c r="A10403" s="27"/>
    </row>
    <row r="10404" spans="1:1">
      <c r="A10404" s="27"/>
    </row>
    <row r="10405" spans="1:1">
      <c r="A10405" s="27"/>
    </row>
    <row r="10406" spans="1:1">
      <c r="A10406" s="27"/>
    </row>
    <row r="10407" spans="1:1">
      <c r="A10407" s="27"/>
    </row>
    <row r="10408" spans="1:1">
      <c r="A10408" s="27"/>
    </row>
    <row r="10409" spans="1:1">
      <c r="A10409" s="27"/>
    </row>
    <row r="10410" spans="1:1">
      <c r="A10410" s="27"/>
    </row>
    <row r="10411" spans="1:1">
      <c r="A10411" s="27"/>
    </row>
    <row r="10412" spans="1:1">
      <c r="A10412" s="27"/>
    </row>
    <row r="10413" spans="1:1">
      <c r="A10413" s="27"/>
    </row>
    <row r="10414" spans="1:1">
      <c r="A10414" s="27"/>
    </row>
    <row r="10415" spans="1:1">
      <c r="A10415" s="27"/>
    </row>
    <row r="10416" spans="1:1">
      <c r="A10416" s="27"/>
    </row>
    <row r="10417" spans="1:1">
      <c r="A10417" s="27"/>
    </row>
    <row r="10418" spans="1:1">
      <c r="A10418" s="27"/>
    </row>
    <row r="10419" spans="1:1">
      <c r="A10419" s="27"/>
    </row>
    <row r="10420" spans="1:1">
      <c r="A10420" s="27"/>
    </row>
    <row r="10421" spans="1:1">
      <c r="A10421" s="27"/>
    </row>
    <row r="10422" spans="1:1">
      <c r="A10422" s="27"/>
    </row>
    <row r="10423" spans="1:1">
      <c r="A10423" s="27"/>
    </row>
    <row r="10424" spans="1:1">
      <c r="A10424" s="27"/>
    </row>
    <row r="10425" spans="1:1">
      <c r="A10425" s="27"/>
    </row>
    <row r="10426" spans="1:1">
      <c r="A10426" s="27"/>
    </row>
    <row r="10427" spans="1:1">
      <c r="A10427" s="27"/>
    </row>
    <row r="10428" spans="1:1">
      <c r="A10428" s="27"/>
    </row>
    <row r="10429" spans="1:1">
      <c r="A10429" s="27"/>
    </row>
    <row r="10430" spans="1:1">
      <c r="A10430" s="27"/>
    </row>
    <row r="10431" spans="1:1">
      <c r="A10431" s="27"/>
    </row>
    <row r="10432" spans="1:1">
      <c r="A10432" s="27"/>
    </row>
    <row r="10433" spans="1:1">
      <c r="A10433" s="27"/>
    </row>
    <row r="10434" spans="1:1">
      <c r="A10434" s="27"/>
    </row>
    <row r="10435" spans="1:1">
      <c r="A10435" s="27"/>
    </row>
    <row r="10436" spans="1:1">
      <c r="A10436" s="27"/>
    </row>
    <row r="10437" spans="1:1">
      <c r="A10437" s="27"/>
    </row>
    <row r="10438" spans="1:1">
      <c r="A10438" s="27"/>
    </row>
    <row r="10439" spans="1:1">
      <c r="A10439" s="27"/>
    </row>
    <row r="10440" spans="1:1">
      <c r="A10440" s="27"/>
    </row>
    <row r="10441" spans="1:1">
      <c r="A10441" s="27"/>
    </row>
    <row r="10442" spans="1:1">
      <c r="A10442" s="27"/>
    </row>
    <row r="10443" spans="1:1">
      <c r="A10443" s="27"/>
    </row>
    <row r="10444" spans="1:1">
      <c r="A10444" s="27"/>
    </row>
    <row r="10445" spans="1:1">
      <c r="A10445" s="27"/>
    </row>
    <row r="10446" spans="1:1">
      <c r="A10446" s="27"/>
    </row>
    <row r="10447" spans="1:1">
      <c r="A10447" s="27"/>
    </row>
    <row r="10448" spans="1:1">
      <c r="A10448" s="27"/>
    </row>
    <row r="10449" spans="1:1">
      <c r="A10449" s="27"/>
    </row>
    <row r="10450" spans="1:1">
      <c r="A10450" s="27"/>
    </row>
    <row r="10451" spans="1:1">
      <c r="A10451" s="27"/>
    </row>
    <row r="10452" spans="1:1">
      <c r="A10452" s="27"/>
    </row>
    <row r="10453" spans="1:1">
      <c r="A10453" s="27"/>
    </row>
    <row r="10454" spans="1:1">
      <c r="A10454" s="27"/>
    </row>
    <row r="10455" spans="1:1">
      <c r="A10455" s="27"/>
    </row>
    <row r="10456" spans="1:1">
      <c r="A10456" s="27"/>
    </row>
    <row r="10457" spans="1:1">
      <c r="A10457" s="27"/>
    </row>
    <row r="10458" spans="1:1">
      <c r="A10458" s="27"/>
    </row>
    <row r="10459" spans="1:1">
      <c r="A10459" s="27"/>
    </row>
    <row r="10460" spans="1:1">
      <c r="A10460" s="27"/>
    </row>
    <row r="10461" spans="1:1">
      <c r="A10461" s="27"/>
    </row>
    <row r="10462" spans="1:1">
      <c r="A10462" s="27"/>
    </row>
    <row r="10463" spans="1:1">
      <c r="A10463" s="27"/>
    </row>
    <row r="10464" spans="1:1">
      <c r="A10464" s="27"/>
    </row>
    <row r="10465" spans="1:1">
      <c r="A10465" s="27"/>
    </row>
    <row r="10466" spans="1:1">
      <c r="A10466" s="27"/>
    </row>
    <row r="10467" spans="1:1">
      <c r="A10467" s="27"/>
    </row>
    <row r="10468" spans="1:1">
      <c r="A10468" s="27"/>
    </row>
    <row r="10469" spans="1:1">
      <c r="A10469" s="27"/>
    </row>
    <row r="10470" spans="1:1">
      <c r="A10470" s="27"/>
    </row>
    <row r="10471" spans="1:1">
      <c r="A10471" s="27"/>
    </row>
    <row r="10472" spans="1:1">
      <c r="A10472" s="27"/>
    </row>
    <row r="10473" spans="1:1">
      <c r="A10473" s="27"/>
    </row>
    <row r="10474" spans="1:1">
      <c r="A10474" s="27"/>
    </row>
    <row r="10475" spans="1:1">
      <c r="A10475" s="27"/>
    </row>
    <row r="10476" spans="1:1">
      <c r="A10476" s="27"/>
    </row>
    <row r="10477" spans="1:1">
      <c r="A10477" s="27"/>
    </row>
    <row r="10478" spans="1:1">
      <c r="A10478" s="27"/>
    </row>
    <row r="10479" spans="1:1">
      <c r="A10479" s="27"/>
    </row>
    <row r="10480" spans="1:1">
      <c r="A10480" s="27"/>
    </row>
    <row r="10481" spans="1:1">
      <c r="A10481" s="27"/>
    </row>
    <row r="10482" spans="1:1">
      <c r="A10482" s="27"/>
    </row>
    <row r="10483" spans="1:1">
      <c r="A10483" s="27"/>
    </row>
    <row r="10484" spans="1:1">
      <c r="A10484" s="27"/>
    </row>
    <row r="10485" spans="1:1">
      <c r="A10485" s="27"/>
    </row>
    <row r="10486" spans="1:1">
      <c r="A10486" s="27"/>
    </row>
    <row r="10487" spans="1:1">
      <c r="A10487" s="27"/>
    </row>
    <row r="10488" spans="1:1">
      <c r="A10488" s="27"/>
    </row>
    <row r="10489" spans="1:1">
      <c r="A10489" s="27"/>
    </row>
    <row r="10490" spans="1:1">
      <c r="A10490" s="27"/>
    </row>
    <row r="10491" spans="1:1">
      <c r="A10491" s="27"/>
    </row>
    <row r="10492" spans="1:1">
      <c r="A10492" s="27"/>
    </row>
    <row r="10493" spans="1:1">
      <c r="A10493" s="27"/>
    </row>
    <row r="10494" spans="1:1">
      <c r="A10494" s="27"/>
    </row>
    <row r="10495" spans="1:1">
      <c r="A10495" s="27"/>
    </row>
    <row r="10496" spans="1:1">
      <c r="A10496" s="27"/>
    </row>
    <row r="10497" spans="1:1">
      <c r="A10497" s="27"/>
    </row>
    <row r="10498" spans="1:1">
      <c r="A10498" s="27"/>
    </row>
    <row r="10499" spans="1:1">
      <c r="A10499" s="27"/>
    </row>
    <row r="10500" spans="1:1">
      <c r="A10500" s="27"/>
    </row>
    <row r="10501" spans="1:1">
      <c r="A10501" s="27"/>
    </row>
    <row r="10502" spans="1:1">
      <c r="A10502" s="27"/>
    </row>
    <row r="10503" spans="1:1">
      <c r="A10503" s="27"/>
    </row>
    <row r="10504" spans="1:1">
      <c r="A10504" s="27"/>
    </row>
    <row r="10505" spans="1:1">
      <c r="A10505" s="27"/>
    </row>
    <row r="10506" spans="1:1">
      <c r="A10506" s="27"/>
    </row>
    <row r="10507" spans="1:1">
      <c r="A10507" s="27"/>
    </row>
    <row r="10508" spans="1:1">
      <c r="A10508" s="27"/>
    </row>
    <row r="10509" spans="1:1">
      <c r="A10509" s="27"/>
    </row>
    <row r="10510" spans="1:1">
      <c r="A10510" s="27"/>
    </row>
    <row r="10511" spans="1:1">
      <c r="A10511" s="27"/>
    </row>
    <row r="10512" spans="1:1">
      <c r="A10512" s="27"/>
    </row>
    <row r="10513" spans="1:1">
      <c r="A10513" s="27"/>
    </row>
    <row r="10514" spans="1:1">
      <c r="A10514" s="27"/>
    </row>
    <row r="10515" spans="1:1">
      <c r="A10515" s="27"/>
    </row>
    <row r="10516" spans="1:1">
      <c r="A10516" s="27"/>
    </row>
    <row r="10517" spans="1:1">
      <c r="A10517" s="27"/>
    </row>
    <row r="10518" spans="1:1">
      <c r="A10518" s="27"/>
    </row>
    <row r="10519" spans="1:1">
      <c r="A10519" s="27"/>
    </row>
    <row r="10520" spans="1:1">
      <c r="A10520" s="27"/>
    </row>
    <row r="10521" spans="1:1">
      <c r="A10521" s="27"/>
    </row>
    <row r="10522" spans="1:1">
      <c r="A10522" s="27"/>
    </row>
    <row r="10523" spans="1:1">
      <c r="A10523" s="27"/>
    </row>
    <row r="10524" spans="1:1">
      <c r="A10524" s="27"/>
    </row>
    <row r="10525" spans="1:1">
      <c r="A10525" s="27"/>
    </row>
    <row r="10526" spans="1:1">
      <c r="A10526" s="27"/>
    </row>
    <row r="10527" spans="1:1">
      <c r="A10527" s="27"/>
    </row>
    <row r="10528" spans="1:1">
      <c r="A10528" s="27"/>
    </row>
    <row r="10529" spans="1:1">
      <c r="A10529" s="27"/>
    </row>
    <row r="10530" spans="1:1">
      <c r="A10530" s="27"/>
    </row>
    <row r="10531" spans="1:1">
      <c r="A10531" s="27"/>
    </row>
    <row r="10532" spans="1:1">
      <c r="A10532" s="27"/>
    </row>
    <row r="10533" spans="1:1">
      <c r="A10533" s="27"/>
    </row>
    <row r="10534" spans="1:1">
      <c r="A10534" s="27"/>
    </row>
    <row r="10535" spans="1:1">
      <c r="A10535" s="27"/>
    </row>
    <row r="10536" spans="1:1">
      <c r="A10536" s="27"/>
    </row>
    <row r="10537" spans="1:1">
      <c r="A10537" s="27"/>
    </row>
    <row r="10538" spans="1:1">
      <c r="A10538" s="27"/>
    </row>
    <row r="10539" spans="1:1">
      <c r="A10539" s="27"/>
    </row>
    <row r="10540" spans="1:1">
      <c r="A10540" s="27"/>
    </row>
    <row r="10541" spans="1:1">
      <c r="A10541" s="27"/>
    </row>
    <row r="10542" spans="1:1">
      <c r="A10542" s="27"/>
    </row>
    <row r="10543" spans="1:1">
      <c r="A10543" s="27"/>
    </row>
    <row r="10544" spans="1:1">
      <c r="A10544" s="27"/>
    </row>
    <row r="10545" spans="1:1">
      <c r="A10545" s="27"/>
    </row>
    <row r="10546" spans="1:1">
      <c r="A10546" s="27"/>
    </row>
    <row r="10547" spans="1:1">
      <c r="A10547" s="27"/>
    </row>
    <row r="10548" spans="1:1">
      <c r="A10548" s="27"/>
    </row>
    <row r="10549" spans="1:1">
      <c r="A10549" s="27"/>
    </row>
    <row r="10550" spans="1:1">
      <c r="A10550" s="27"/>
    </row>
    <row r="10551" spans="1:1">
      <c r="A10551" s="27"/>
    </row>
    <row r="10552" spans="1:1">
      <c r="A10552" s="27"/>
    </row>
    <row r="10553" spans="1:1">
      <c r="A10553" s="27"/>
    </row>
    <row r="10554" spans="1:1">
      <c r="A10554" s="27"/>
    </row>
    <row r="10555" spans="1:1">
      <c r="A10555" s="27"/>
    </row>
    <row r="10556" spans="1:1">
      <c r="A10556" s="27"/>
    </row>
    <row r="10557" spans="1:1">
      <c r="A10557" s="27"/>
    </row>
    <row r="10558" spans="1:1">
      <c r="A10558" s="27"/>
    </row>
    <row r="10559" spans="1:1">
      <c r="A10559" s="27"/>
    </row>
    <row r="10560" spans="1:1">
      <c r="A10560" s="27"/>
    </row>
    <row r="10561" spans="1:1">
      <c r="A10561" s="27"/>
    </row>
    <row r="10562" spans="1:1">
      <c r="A10562" s="27"/>
    </row>
    <row r="10563" spans="1:1">
      <c r="A10563" s="27"/>
    </row>
    <row r="10564" spans="1:1">
      <c r="A10564" s="27"/>
    </row>
    <row r="10565" spans="1:1">
      <c r="A10565" s="27"/>
    </row>
    <row r="10566" spans="1:1">
      <c r="A10566" s="27"/>
    </row>
    <row r="10567" spans="1:1">
      <c r="A10567" s="27"/>
    </row>
    <row r="10568" spans="1:1">
      <c r="A10568" s="27"/>
    </row>
    <row r="10569" spans="1:1">
      <c r="A10569" s="27"/>
    </row>
    <row r="10570" spans="1:1">
      <c r="A10570" s="27"/>
    </row>
    <row r="10571" spans="1:1">
      <c r="A10571" s="27"/>
    </row>
    <row r="10572" spans="1:1">
      <c r="A10572" s="27"/>
    </row>
    <row r="10573" spans="1:1">
      <c r="A10573" s="27"/>
    </row>
    <row r="10574" spans="1:1">
      <c r="A10574" s="27"/>
    </row>
    <row r="10575" spans="1:1">
      <c r="A10575" s="27"/>
    </row>
    <row r="10576" spans="1:1">
      <c r="A10576" s="27"/>
    </row>
    <row r="10577" spans="1:1">
      <c r="A10577" s="27"/>
    </row>
    <row r="10578" spans="1:1">
      <c r="A10578" s="27"/>
    </row>
    <row r="10579" spans="1:1">
      <c r="A10579" s="27"/>
    </row>
    <row r="10580" spans="1:1">
      <c r="A10580" s="27"/>
    </row>
    <row r="10581" spans="1:1">
      <c r="A10581" s="27"/>
    </row>
    <row r="10582" spans="1:1">
      <c r="A10582" s="27"/>
    </row>
    <row r="10583" spans="1:1">
      <c r="A10583" s="27"/>
    </row>
    <row r="10584" spans="1:1">
      <c r="A10584" s="27"/>
    </row>
    <row r="10585" spans="1:1">
      <c r="A10585" s="27"/>
    </row>
    <row r="10586" spans="1:1">
      <c r="A10586" s="27"/>
    </row>
    <row r="10587" spans="1:1">
      <c r="A10587" s="27"/>
    </row>
    <row r="10588" spans="1:1">
      <c r="A10588" s="27"/>
    </row>
    <row r="10589" spans="1:1">
      <c r="A10589" s="27"/>
    </row>
    <row r="10590" spans="1:1">
      <c r="A10590" s="27"/>
    </row>
    <row r="10591" spans="1:1">
      <c r="A10591" s="27"/>
    </row>
    <row r="10592" spans="1:1">
      <c r="A10592" s="27"/>
    </row>
    <row r="10593" spans="1:1">
      <c r="A10593" s="27"/>
    </row>
    <row r="10594" spans="1:1">
      <c r="A10594" s="27"/>
    </row>
    <row r="10595" spans="1:1">
      <c r="A10595" s="27"/>
    </row>
    <row r="10596" spans="1:1">
      <c r="A10596" s="27"/>
    </row>
    <row r="10597" spans="1:1">
      <c r="A10597" s="27"/>
    </row>
    <row r="10598" spans="1:1">
      <c r="A10598" s="27"/>
    </row>
    <row r="10599" spans="1:1">
      <c r="A10599" s="27"/>
    </row>
    <row r="10600" spans="1:1">
      <c r="A10600" s="27"/>
    </row>
    <row r="10601" spans="1:1">
      <c r="A10601" s="27"/>
    </row>
    <row r="10602" spans="1:1">
      <c r="A10602" s="27"/>
    </row>
    <row r="10603" spans="1:1">
      <c r="A10603" s="27"/>
    </row>
    <row r="10604" spans="1:1">
      <c r="A10604" s="27"/>
    </row>
    <row r="10605" spans="1:1">
      <c r="A10605" s="27"/>
    </row>
    <row r="10606" spans="1:1">
      <c r="A10606" s="27"/>
    </row>
    <row r="10607" spans="1:1">
      <c r="A10607" s="27"/>
    </row>
    <row r="10608" spans="1:1">
      <c r="A10608" s="27"/>
    </row>
    <row r="10609" spans="1:1">
      <c r="A10609" s="27"/>
    </row>
    <row r="10610" spans="1:1">
      <c r="A10610" s="27"/>
    </row>
    <row r="10611" spans="1:1">
      <c r="A10611" s="27"/>
    </row>
    <row r="10612" spans="1:1">
      <c r="A10612" s="27"/>
    </row>
    <row r="10613" spans="1:1">
      <c r="A10613" s="27"/>
    </row>
    <row r="10614" spans="1:1">
      <c r="A10614" s="27"/>
    </row>
    <row r="10615" spans="1:1">
      <c r="A10615" s="27"/>
    </row>
    <row r="10616" spans="1:1">
      <c r="A10616" s="27"/>
    </row>
    <row r="10617" spans="1:1">
      <c r="A10617" s="27"/>
    </row>
    <row r="10618" spans="1:1">
      <c r="A10618" s="27"/>
    </row>
    <row r="10619" spans="1:1">
      <c r="A10619" s="27"/>
    </row>
    <row r="10620" spans="1:1">
      <c r="A10620" s="27"/>
    </row>
    <row r="10621" spans="1:1">
      <c r="A10621" s="27"/>
    </row>
    <row r="10622" spans="1:1">
      <c r="A10622" s="27"/>
    </row>
    <row r="10623" spans="1:1">
      <c r="A10623" s="27"/>
    </row>
    <row r="10624" spans="1:1">
      <c r="A10624" s="27"/>
    </row>
    <row r="10625" spans="1:1">
      <c r="A10625" s="27"/>
    </row>
    <row r="10626" spans="1:1">
      <c r="A10626" s="27"/>
    </row>
    <row r="10627" spans="1:1">
      <c r="A10627" s="27"/>
    </row>
    <row r="10628" spans="1:1">
      <c r="A10628" s="27"/>
    </row>
    <row r="10629" spans="1:1">
      <c r="A10629" s="27"/>
    </row>
    <row r="10630" spans="1:1">
      <c r="A10630" s="27"/>
    </row>
    <row r="10631" spans="1:1">
      <c r="A10631" s="27"/>
    </row>
    <row r="10632" spans="1:1">
      <c r="A10632" s="27"/>
    </row>
    <row r="10633" spans="1:1">
      <c r="A10633" s="27"/>
    </row>
    <row r="10634" spans="1:1">
      <c r="A10634" s="27"/>
    </row>
    <row r="10635" spans="1:1">
      <c r="A10635" s="27"/>
    </row>
    <row r="10636" spans="1:1">
      <c r="A10636" s="27"/>
    </row>
    <row r="10637" spans="1:1">
      <c r="A10637" s="27"/>
    </row>
    <row r="10638" spans="1:1">
      <c r="A10638" s="27"/>
    </row>
    <row r="10639" spans="1:1">
      <c r="A10639" s="27"/>
    </row>
    <row r="10640" spans="1:1">
      <c r="A10640" s="27"/>
    </row>
    <row r="10641" spans="1:1">
      <c r="A10641" s="27"/>
    </row>
    <row r="10642" spans="1:1">
      <c r="A10642" s="27"/>
    </row>
    <row r="10643" spans="1:1">
      <c r="A10643" s="27"/>
    </row>
    <row r="10644" spans="1:1">
      <c r="A10644" s="27"/>
    </row>
    <row r="10645" spans="1:1">
      <c r="A10645" s="27"/>
    </row>
    <row r="10646" spans="1:1">
      <c r="A10646" s="27"/>
    </row>
    <row r="10647" spans="1:1">
      <c r="A10647" s="27"/>
    </row>
    <row r="10648" spans="1:1">
      <c r="A10648" s="27"/>
    </row>
    <row r="10649" spans="1:1">
      <c r="A10649" s="27"/>
    </row>
    <row r="10650" spans="1:1">
      <c r="A10650" s="27"/>
    </row>
    <row r="10651" spans="1:1">
      <c r="A10651" s="27"/>
    </row>
    <row r="10652" spans="1:1">
      <c r="A10652" s="27"/>
    </row>
    <row r="10653" spans="1:1">
      <c r="A10653" s="27"/>
    </row>
    <row r="10654" spans="1:1">
      <c r="A10654" s="27"/>
    </row>
    <row r="10655" spans="1:1">
      <c r="A10655" s="27"/>
    </row>
    <row r="10656" spans="1:1">
      <c r="A10656" s="27"/>
    </row>
    <row r="10657" spans="1:1">
      <c r="A10657" s="27"/>
    </row>
    <row r="10658" spans="1:1">
      <c r="A10658" s="27"/>
    </row>
    <row r="10659" spans="1:1">
      <c r="A10659" s="27"/>
    </row>
    <row r="10660" spans="1:1">
      <c r="A10660" s="27"/>
    </row>
    <row r="10661" spans="1:1">
      <c r="A10661" s="27"/>
    </row>
    <row r="10662" spans="1:1">
      <c r="A10662" s="27"/>
    </row>
    <row r="10663" spans="1:1">
      <c r="A10663" s="27"/>
    </row>
    <row r="10664" spans="1:1">
      <c r="A10664" s="27"/>
    </row>
    <row r="10665" spans="1:1">
      <c r="A10665" s="27"/>
    </row>
    <row r="10666" spans="1:1">
      <c r="A10666" s="27"/>
    </row>
    <row r="10667" spans="1:1">
      <c r="A10667" s="27"/>
    </row>
    <row r="10668" spans="1:1">
      <c r="A10668" s="27"/>
    </row>
    <row r="10669" spans="1:1">
      <c r="A10669" s="27"/>
    </row>
    <row r="10670" spans="1:1">
      <c r="A10670" s="27"/>
    </row>
    <row r="10671" spans="1:1">
      <c r="A10671" s="27"/>
    </row>
    <row r="10672" spans="1:1">
      <c r="A10672" s="27"/>
    </row>
    <row r="10673" spans="1:1">
      <c r="A10673" s="27"/>
    </row>
    <row r="10674" spans="1:1">
      <c r="A10674" s="27"/>
    </row>
    <row r="10675" spans="1:1">
      <c r="A10675" s="27"/>
    </row>
    <row r="10676" spans="1:1">
      <c r="A10676" s="27"/>
    </row>
    <row r="10677" spans="1:1">
      <c r="A10677" s="27"/>
    </row>
    <row r="10678" spans="1:1">
      <c r="A10678" s="27"/>
    </row>
    <row r="10679" spans="1:1">
      <c r="A10679" s="27"/>
    </row>
    <row r="10680" spans="1:1">
      <c r="A10680" s="27"/>
    </row>
    <row r="10681" spans="1:1">
      <c r="A10681" s="27"/>
    </row>
    <row r="10682" spans="1:1">
      <c r="A10682" s="27"/>
    </row>
    <row r="10683" spans="1:1">
      <c r="A10683" s="27"/>
    </row>
    <row r="10684" spans="1:1">
      <c r="A10684" s="27"/>
    </row>
    <row r="10685" spans="1:1">
      <c r="A10685" s="27"/>
    </row>
    <row r="10686" spans="1:1">
      <c r="A10686" s="27"/>
    </row>
    <row r="10687" spans="1:1">
      <c r="A10687" s="27"/>
    </row>
    <row r="10688" spans="1:1">
      <c r="A10688" s="27"/>
    </row>
    <row r="10689" spans="1:1">
      <c r="A10689" s="27"/>
    </row>
    <row r="10690" spans="1:1">
      <c r="A10690" s="27"/>
    </row>
    <row r="10691" spans="1:1">
      <c r="A10691" s="27"/>
    </row>
    <row r="10692" spans="1:1">
      <c r="A10692" s="27"/>
    </row>
    <row r="10693" spans="1:1">
      <c r="A10693" s="27"/>
    </row>
    <row r="10694" spans="1:1">
      <c r="A10694" s="27"/>
    </row>
    <row r="10695" spans="1:1">
      <c r="A10695" s="27"/>
    </row>
    <row r="10696" spans="1:1">
      <c r="A10696" s="27"/>
    </row>
    <row r="10697" spans="1:1">
      <c r="A10697" s="27"/>
    </row>
    <row r="10698" spans="1:1">
      <c r="A10698" s="27"/>
    </row>
    <row r="10699" spans="1:1">
      <c r="A10699" s="27"/>
    </row>
    <row r="10700" spans="1:1">
      <c r="A10700" s="27"/>
    </row>
    <row r="10701" spans="1:1">
      <c r="A10701" s="27"/>
    </row>
    <row r="10702" spans="1:1">
      <c r="A10702" s="27"/>
    </row>
    <row r="10703" spans="1:1">
      <c r="A10703" s="27"/>
    </row>
    <row r="10704" spans="1:1">
      <c r="A10704" s="27"/>
    </row>
    <row r="10705" spans="1:1">
      <c r="A10705" s="27"/>
    </row>
    <row r="10706" spans="1:1">
      <c r="A10706" s="27"/>
    </row>
    <row r="10707" spans="1:1">
      <c r="A10707" s="27"/>
    </row>
    <row r="10708" spans="1:1">
      <c r="A10708" s="27"/>
    </row>
    <row r="10709" spans="1:1">
      <c r="A10709" s="27"/>
    </row>
    <row r="10710" spans="1:1">
      <c r="A10710" s="27"/>
    </row>
    <row r="10711" spans="1:1">
      <c r="A10711" s="27"/>
    </row>
    <row r="10712" spans="1:1">
      <c r="A10712" s="27"/>
    </row>
    <row r="10713" spans="1:1">
      <c r="A10713" s="27"/>
    </row>
    <row r="10714" spans="1:1">
      <c r="A10714" s="27"/>
    </row>
    <row r="10715" spans="1:1">
      <c r="A10715" s="27"/>
    </row>
    <row r="10716" spans="1:1">
      <c r="A10716" s="27"/>
    </row>
    <row r="10717" spans="1:1">
      <c r="A10717" s="27"/>
    </row>
    <row r="10718" spans="1:1">
      <c r="A10718" s="27"/>
    </row>
    <row r="10719" spans="1:1">
      <c r="A10719" s="27"/>
    </row>
    <row r="10720" spans="1:1">
      <c r="A10720" s="27"/>
    </row>
    <row r="10721" spans="1:1">
      <c r="A10721" s="27"/>
    </row>
    <row r="10722" spans="1:1">
      <c r="A10722" s="27"/>
    </row>
    <row r="10723" spans="1:1">
      <c r="A10723" s="27"/>
    </row>
    <row r="10724" spans="1:1">
      <c r="A10724" s="27"/>
    </row>
    <row r="10725" spans="1:1">
      <c r="A10725" s="27"/>
    </row>
    <row r="10726" spans="1:1">
      <c r="A10726" s="27"/>
    </row>
    <row r="10727" spans="1:1">
      <c r="A10727" s="27"/>
    </row>
    <row r="10728" spans="1:1">
      <c r="A10728" s="27"/>
    </row>
    <row r="10729" spans="1:1">
      <c r="A10729" s="27"/>
    </row>
    <row r="10730" spans="1:1">
      <c r="A10730" s="27"/>
    </row>
    <row r="10731" spans="1:1">
      <c r="A10731" s="27"/>
    </row>
    <row r="10732" spans="1:1">
      <c r="A10732" s="27"/>
    </row>
    <row r="10733" spans="1:1">
      <c r="A10733" s="27"/>
    </row>
    <row r="10734" spans="1:1">
      <c r="A10734" s="27"/>
    </row>
    <row r="10735" spans="1:1">
      <c r="A10735" s="27"/>
    </row>
    <row r="10736" spans="1:1">
      <c r="A10736" s="27"/>
    </row>
    <row r="10737" spans="1:1">
      <c r="A10737" s="27"/>
    </row>
    <row r="10738" spans="1:1">
      <c r="A10738" s="27"/>
    </row>
    <row r="10739" spans="1:1">
      <c r="A10739" s="27"/>
    </row>
    <row r="10740" spans="1:1">
      <c r="A10740" s="27"/>
    </row>
    <row r="10741" spans="1:1">
      <c r="A10741" s="27"/>
    </row>
    <row r="10742" spans="1:1">
      <c r="A10742" s="27"/>
    </row>
    <row r="10743" spans="1:1">
      <c r="A10743" s="27"/>
    </row>
    <row r="10744" spans="1:1">
      <c r="A10744" s="27"/>
    </row>
    <row r="10745" spans="1:1">
      <c r="A10745" s="27"/>
    </row>
    <row r="10746" spans="1:1">
      <c r="A10746" s="27"/>
    </row>
    <row r="10747" spans="1:1">
      <c r="A10747" s="27"/>
    </row>
    <row r="10748" spans="1:1">
      <c r="A10748" s="27"/>
    </row>
    <row r="10749" spans="1:1">
      <c r="A10749" s="27"/>
    </row>
    <row r="10750" spans="1:1">
      <c r="A10750" s="27"/>
    </row>
    <row r="10751" spans="1:1">
      <c r="A10751" s="27"/>
    </row>
    <row r="10752" spans="1:1">
      <c r="A10752" s="27"/>
    </row>
    <row r="10753" spans="1:1">
      <c r="A10753" s="27"/>
    </row>
    <row r="10754" spans="1:1">
      <c r="A10754" s="27"/>
    </row>
    <row r="10755" spans="1:1">
      <c r="A10755" s="27"/>
    </row>
    <row r="10756" spans="1:1">
      <c r="A10756" s="27"/>
    </row>
    <row r="10757" spans="1:1">
      <c r="A10757" s="27"/>
    </row>
    <row r="10758" spans="1:1">
      <c r="A10758" s="27"/>
    </row>
    <row r="10759" spans="1:1">
      <c r="A10759" s="27"/>
    </row>
    <row r="10760" spans="1:1">
      <c r="A10760" s="27"/>
    </row>
    <row r="10761" spans="1:1">
      <c r="A10761" s="27"/>
    </row>
    <row r="10762" spans="1:1">
      <c r="A10762" s="27"/>
    </row>
    <row r="10763" spans="1:1">
      <c r="A10763" s="27"/>
    </row>
    <row r="10764" spans="1:1">
      <c r="A10764" s="27"/>
    </row>
    <row r="10765" spans="1:1">
      <c r="A10765" s="27"/>
    </row>
    <row r="10766" spans="1:1">
      <c r="A10766" s="27"/>
    </row>
    <row r="10767" spans="1:1">
      <c r="A10767" s="27"/>
    </row>
    <row r="10768" spans="1:1">
      <c r="A10768" s="27"/>
    </row>
    <row r="10769" spans="1:1">
      <c r="A10769" s="27"/>
    </row>
    <row r="10770" spans="1:1">
      <c r="A10770" s="27"/>
    </row>
    <row r="10771" spans="1:1">
      <c r="A10771" s="27"/>
    </row>
    <row r="10772" spans="1:1">
      <c r="A10772" s="27"/>
    </row>
    <row r="10773" spans="1:1">
      <c r="A10773" s="27"/>
    </row>
    <row r="10774" spans="1:1">
      <c r="A10774" s="27"/>
    </row>
    <row r="10775" spans="1:1">
      <c r="A10775" s="27"/>
    </row>
    <row r="10776" spans="1:1">
      <c r="A10776" s="27"/>
    </row>
    <row r="10777" spans="1:1">
      <c r="A10777" s="27"/>
    </row>
    <row r="10778" spans="1:1">
      <c r="A10778" s="27"/>
    </row>
    <row r="10779" spans="1:1">
      <c r="A10779" s="27"/>
    </row>
    <row r="10780" spans="1:1">
      <c r="A10780" s="27"/>
    </row>
    <row r="10781" spans="1:1">
      <c r="A10781" s="27"/>
    </row>
    <row r="10782" spans="1:1">
      <c r="A10782" s="27"/>
    </row>
    <row r="10783" spans="1:1">
      <c r="A10783" s="27"/>
    </row>
    <row r="10784" spans="1:1">
      <c r="A10784" s="27"/>
    </row>
    <row r="10785" spans="1:1">
      <c r="A10785" s="27"/>
    </row>
    <row r="10786" spans="1:1">
      <c r="A10786" s="27"/>
    </row>
    <row r="10787" spans="1:1">
      <c r="A10787" s="27"/>
    </row>
    <row r="10788" spans="1:1">
      <c r="A10788" s="27"/>
    </row>
    <row r="10789" spans="1:1">
      <c r="A10789" s="27"/>
    </row>
    <row r="10790" spans="1:1">
      <c r="A10790" s="27"/>
    </row>
    <row r="10791" spans="1:1">
      <c r="A10791" s="27"/>
    </row>
    <row r="10792" spans="1:1">
      <c r="A10792" s="27"/>
    </row>
    <row r="10793" spans="1:1">
      <c r="A10793" s="27"/>
    </row>
    <row r="10794" spans="1:1">
      <c r="A10794" s="27"/>
    </row>
    <row r="10795" spans="1:1">
      <c r="A10795" s="27"/>
    </row>
    <row r="10796" spans="1:1">
      <c r="A10796" s="27"/>
    </row>
    <row r="10797" spans="1:1">
      <c r="A10797" s="27"/>
    </row>
    <row r="10798" spans="1:1">
      <c r="A10798" s="27"/>
    </row>
    <row r="10799" spans="1:1">
      <c r="A10799" s="27"/>
    </row>
    <row r="10800" spans="1:1">
      <c r="A10800" s="27"/>
    </row>
    <row r="10801" spans="1:1">
      <c r="A10801" s="27"/>
    </row>
    <row r="10802" spans="1:1">
      <c r="A10802" s="27"/>
    </row>
    <row r="10803" spans="1:1">
      <c r="A10803" s="27"/>
    </row>
    <row r="10804" spans="1:1">
      <c r="A10804" s="27"/>
    </row>
    <row r="10805" spans="1:1">
      <c r="A10805" s="27"/>
    </row>
    <row r="10806" spans="1:1">
      <c r="A10806" s="27"/>
    </row>
    <row r="10807" spans="1:1">
      <c r="A10807" s="27"/>
    </row>
    <row r="10808" spans="1:1">
      <c r="A10808" s="27"/>
    </row>
    <row r="10809" spans="1:1">
      <c r="A10809" s="27"/>
    </row>
    <row r="10810" spans="1:1">
      <c r="A10810" s="27"/>
    </row>
    <row r="10811" spans="1:1">
      <c r="A10811" s="27"/>
    </row>
    <row r="10812" spans="1:1">
      <c r="A10812" s="27"/>
    </row>
    <row r="10813" spans="1:1">
      <c r="A10813" s="27"/>
    </row>
    <row r="10814" spans="1:1">
      <c r="A10814" s="27"/>
    </row>
    <row r="10815" spans="1:1">
      <c r="A10815" s="27"/>
    </row>
    <row r="10816" spans="1:1">
      <c r="A10816" s="27"/>
    </row>
    <row r="10817" spans="1:1">
      <c r="A10817" s="27"/>
    </row>
    <row r="10818" spans="1:1">
      <c r="A10818" s="27"/>
    </row>
    <row r="10819" spans="1:1">
      <c r="A10819" s="27"/>
    </row>
    <row r="10820" spans="1:1">
      <c r="A10820" s="27"/>
    </row>
    <row r="10821" spans="1:1">
      <c r="A10821" s="27"/>
    </row>
    <row r="10822" spans="1:1">
      <c r="A10822" s="27"/>
    </row>
    <row r="10823" spans="1:1">
      <c r="A10823" s="27"/>
    </row>
    <row r="10824" spans="1:1">
      <c r="A10824" s="27"/>
    </row>
    <row r="10825" spans="1:1">
      <c r="A10825" s="27"/>
    </row>
    <row r="10826" spans="1:1">
      <c r="A10826" s="27"/>
    </row>
    <row r="10827" spans="1:1">
      <c r="A10827" s="27"/>
    </row>
    <row r="10828" spans="1:1">
      <c r="A10828" s="27"/>
    </row>
    <row r="10829" spans="1:1">
      <c r="A10829" s="27"/>
    </row>
    <row r="10830" spans="1:1">
      <c r="A10830" s="27"/>
    </row>
    <row r="10831" spans="1:1">
      <c r="A10831" s="27"/>
    </row>
    <row r="10832" spans="1:1">
      <c r="A10832" s="27"/>
    </row>
    <row r="10833" spans="1:1">
      <c r="A10833" s="27"/>
    </row>
    <row r="10834" spans="1:1">
      <c r="A10834" s="27"/>
    </row>
    <row r="10835" spans="1:1">
      <c r="A10835" s="27"/>
    </row>
    <row r="10836" spans="1:1">
      <c r="A10836" s="27"/>
    </row>
    <row r="10837" spans="1:1">
      <c r="A10837" s="27"/>
    </row>
    <row r="10838" spans="1:1">
      <c r="A10838" s="27"/>
    </row>
    <row r="10839" spans="1:1">
      <c r="A10839" s="27"/>
    </row>
    <row r="10840" spans="1:1">
      <c r="A10840" s="27"/>
    </row>
    <row r="10841" spans="1:1">
      <c r="A10841" s="27"/>
    </row>
    <row r="10842" spans="1:1">
      <c r="A10842" s="27"/>
    </row>
    <row r="10843" spans="1:1">
      <c r="A10843" s="27"/>
    </row>
    <row r="10844" spans="1:1">
      <c r="A10844" s="27"/>
    </row>
    <row r="10845" spans="1:1">
      <c r="A10845" s="27"/>
    </row>
    <row r="10846" spans="1:1">
      <c r="A10846" s="27"/>
    </row>
    <row r="10847" spans="1:1">
      <c r="A10847" s="27"/>
    </row>
    <row r="10848" spans="1:1">
      <c r="A10848" s="27"/>
    </row>
    <row r="10849" spans="1:1">
      <c r="A10849" s="27"/>
    </row>
    <row r="10850" spans="1:1">
      <c r="A10850" s="27"/>
    </row>
    <row r="10851" spans="1:1">
      <c r="A10851" s="27"/>
    </row>
    <row r="10852" spans="1:1">
      <c r="A10852" s="27"/>
    </row>
    <row r="10853" spans="1:1">
      <c r="A10853" s="27"/>
    </row>
    <row r="10854" spans="1:1">
      <c r="A10854" s="27"/>
    </row>
    <row r="10855" spans="1:1">
      <c r="A10855" s="27"/>
    </row>
    <row r="10856" spans="1:1">
      <c r="A10856" s="27"/>
    </row>
    <row r="10857" spans="1:1">
      <c r="A10857" s="27"/>
    </row>
    <row r="10858" spans="1:1">
      <c r="A10858" s="27"/>
    </row>
    <row r="10859" spans="1:1">
      <c r="A10859" s="27"/>
    </row>
    <row r="10860" spans="1:1">
      <c r="A10860" s="27"/>
    </row>
    <row r="10861" spans="1:1">
      <c r="A10861" s="27"/>
    </row>
    <row r="10862" spans="1:1">
      <c r="A10862" s="27"/>
    </row>
    <row r="10863" spans="1:1">
      <c r="A10863" s="27"/>
    </row>
    <row r="10864" spans="1:1">
      <c r="A10864" s="27"/>
    </row>
    <row r="10865" spans="1:1">
      <c r="A10865" s="27"/>
    </row>
    <row r="10866" spans="1:1">
      <c r="A10866" s="27"/>
    </row>
    <row r="10867" spans="1:1">
      <c r="A10867" s="27"/>
    </row>
    <row r="10868" spans="1:1">
      <c r="A10868" s="27"/>
    </row>
    <row r="10869" spans="1:1">
      <c r="A10869" s="27"/>
    </row>
    <row r="10870" spans="1:1">
      <c r="A10870" s="27"/>
    </row>
    <row r="10871" spans="1:1">
      <c r="A10871" s="27"/>
    </row>
    <row r="10872" spans="1:1">
      <c r="A10872" s="27"/>
    </row>
    <row r="10873" spans="1:1">
      <c r="A10873" s="27"/>
    </row>
    <row r="10874" spans="1:1">
      <c r="A10874" s="27"/>
    </row>
    <row r="10875" spans="1:1">
      <c r="A10875" s="27"/>
    </row>
    <row r="10876" spans="1:1">
      <c r="A10876" s="27"/>
    </row>
    <row r="10877" spans="1:1">
      <c r="A10877" s="27"/>
    </row>
    <row r="10878" spans="1:1">
      <c r="A10878" s="27"/>
    </row>
    <row r="10879" spans="1:1">
      <c r="A10879" s="27"/>
    </row>
    <row r="10880" spans="1:1">
      <c r="A10880" s="27"/>
    </row>
    <row r="10881" spans="1:1">
      <c r="A10881" s="27"/>
    </row>
    <row r="10882" spans="1:1">
      <c r="A10882" s="27"/>
    </row>
    <row r="10883" spans="1:1">
      <c r="A10883" s="27"/>
    </row>
    <row r="10884" spans="1:1">
      <c r="A10884" s="27"/>
    </row>
    <row r="10885" spans="1:1">
      <c r="A10885" s="27"/>
    </row>
    <row r="10886" spans="1:1">
      <c r="A10886" s="27"/>
    </row>
    <row r="10887" spans="1:1">
      <c r="A10887" s="27"/>
    </row>
    <row r="10888" spans="1:1">
      <c r="A10888" s="27"/>
    </row>
    <row r="10889" spans="1:1">
      <c r="A10889" s="27"/>
    </row>
    <row r="10890" spans="1:1">
      <c r="A10890" s="27"/>
    </row>
    <row r="10891" spans="1:1">
      <c r="A10891" s="27"/>
    </row>
    <row r="10892" spans="1:1">
      <c r="A10892" s="27"/>
    </row>
    <row r="10893" spans="1:1">
      <c r="A10893" s="27"/>
    </row>
    <row r="10894" spans="1:1">
      <c r="A10894" s="27"/>
    </row>
    <row r="10895" spans="1:1">
      <c r="A10895" s="27"/>
    </row>
    <row r="10896" spans="1:1">
      <c r="A10896" s="27"/>
    </row>
    <row r="10897" spans="1:1">
      <c r="A10897" s="27"/>
    </row>
    <row r="10898" spans="1:1">
      <c r="A10898" s="27"/>
    </row>
    <row r="10899" spans="1:1">
      <c r="A10899" s="27"/>
    </row>
    <row r="10900" spans="1:1">
      <c r="A10900" s="27"/>
    </row>
    <row r="10901" spans="1:1">
      <c r="A10901" s="27"/>
    </row>
    <row r="10902" spans="1:1">
      <c r="A10902" s="27"/>
    </row>
    <row r="10903" spans="1:1">
      <c r="A10903" s="27"/>
    </row>
    <row r="10904" spans="1:1">
      <c r="A10904" s="27"/>
    </row>
    <row r="10905" spans="1:1">
      <c r="A10905" s="27"/>
    </row>
    <row r="10906" spans="1:1">
      <c r="A10906" s="27"/>
    </row>
    <row r="10907" spans="1:1">
      <c r="A10907" s="27"/>
    </row>
    <row r="10908" spans="1:1">
      <c r="A10908" s="27"/>
    </row>
    <row r="10909" spans="1:1">
      <c r="A10909" s="27"/>
    </row>
    <row r="10910" spans="1:1">
      <c r="A10910" s="27"/>
    </row>
    <row r="10911" spans="1:1">
      <c r="A10911" s="27"/>
    </row>
    <row r="10912" spans="1:1">
      <c r="A10912" s="27"/>
    </row>
    <row r="10913" spans="1:1">
      <c r="A10913" s="27"/>
    </row>
    <row r="10914" spans="1:1">
      <c r="A10914" s="27"/>
    </row>
    <row r="10915" spans="1:1">
      <c r="A10915" s="27"/>
    </row>
    <row r="10916" spans="1:1">
      <c r="A10916" s="27"/>
    </row>
    <row r="10917" spans="1:1">
      <c r="A10917" s="27"/>
    </row>
    <row r="10918" spans="1:1">
      <c r="A10918" s="27"/>
    </row>
    <row r="10919" spans="1:1">
      <c r="A10919" s="27"/>
    </row>
    <row r="10920" spans="1:1">
      <c r="A10920" s="27"/>
    </row>
    <row r="10921" spans="1:1">
      <c r="A10921" s="27"/>
    </row>
    <row r="10922" spans="1:1">
      <c r="A10922" s="27"/>
    </row>
    <row r="10923" spans="1:1">
      <c r="A10923" s="27"/>
    </row>
    <row r="10924" spans="1:1">
      <c r="A10924" s="27"/>
    </row>
    <row r="10925" spans="1:1">
      <c r="A10925" s="27"/>
    </row>
    <row r="10926" spans="1:1">
      <c r="A10926" s="27"/>
    </row>
    <row r="10927" spans="1:1">
      <c r="A10927" s="27"/>
    </row>
    <row r="10928" spans="1:1">
      <c r="A10928" s="27"/>
    </row>
    <row r="10929" spans="1:1">
      <c r="A10929" s="27"/>
    </row>
    <row r="10930" spans="1:1">
      <c r="A10930" s="27"/>
    </row>
    <row r="10931" spans="1:1">
      <c r="A10931" s="27"/>
    </row>
    <row r="10932" spans="1:1">
      <c r="A10932" s="27"/>
    </row>
    <row r="10933" spans="1:1">
      <c r="A10933" s="27"/>
    </row>
    <row r="10934" spans="1:1">
      <c r="A10934" s="27"/>
    </row>
    <row r="10935" spans="1:1">
      <c r="A10935" s="27"/>
    </row>
    <row r="10936" spans="1:1">
      <c r="A10936" s="27"/>
    </row>
    <row r="10937" spans="1:1">
      <c r="A10937" s="27"/>
    </row>
    <row r="10938" spans="1:1">
      <c r="A10938" s="27"/>
    </row>
    <row r="10939" spans="1:1">
      <c r="A10939" s="27"/>
    </row>
    <row r="10940" spans="1:1">
      <c r="A10940" s="27"/>
    </row>
    <row r="10941" spans="1:1">
      <c r="A10941" s="27"/>
    </row>
    <row r="10942" spans="1:1">
      <c r="A10942" s="27"/>
    </row>
    <row r="10943" spans="1:1">
      <c r="A10943" s="27"/>
    </row>
    <row r="10944" spans="1:1">
      <c r="A10944" s="27"/>
    </row>
    <row r="10945" spans="1:1">
      <c r="A10945" s="27"/>
    </row>
    <row r="10946" spans="1:1">
      <c r="A10946" s="27"/>
    </row>
    <row r="10947" spans="1:1">
      <c r="A10947" s="27"/>
    </row>
    <row r="10948" spans="1:1">
      <c r="A10948" s="27"/>
    </row>
    <row r="10949" spans="1:1">
      <c r="A10949" s="27"/>
    </row>
    <row r="10950" spans="1:1">
      <c r="A10950" s="27"/>
    </row>
    <row r="10951" spans="1:1">
      <c r="A10951" s="27"/>
    </row>
    <row r="10952" spans="1:1">
      <c r="A10952" s="27"/>
    </row>
    <row r="10953" spans="1:1">
      <c r="A10953" s="27"/>
    </row>
    <row r="10954" spans="1:1">
      <c r="A10954" s="27"/>
    </row>
    <row r="10955" spans="1:1">
      <c r="A10955" s="27"/>
    </row>
    <row r="10956" spans="1:1">
      <c r="A10956" s="27"/>
    </row>
    <row r="10957" spans="1:1">
      <c r="A10957" s="27"/>
    </row>
    <row r="10958" spans="1:1">
      <c r="A10958" s="27"/>
    </row>
    <row r="10959" spans="1:1">
      <c r="A10959" s="27"/>
    </row>
    <row r="10960" spans="1:1">
      <c r="A10960" s="27"/>
    </row>
    <row r="10961" spans="1:1">
      <c r="A10961" s="27"/>
    </row>
    <row r="10962" spans="1:1">
      <c r="A10962" s="27"/>
    </row>
    <row r="10963" spans="1:1">
      <c r="A10963" s="27"/>
    </row>
    <row r="10964" spans="1:1">
      <c r="A10964" s="27"/>
    </row>
    <row r="10965" spans="1:1">
      <c r="A10965" s="27"/>
    </row>
    <row r="10966" spans="1:1">
      <c r="A10966" s="27"/>
    </row>
    <row r="10967" spans="1:1">
      <c r="A10967" s="27"/>
    </row>
    <row r="10968" spans="1:1">
      <c r="A10968" s="27"/>
    </row>
    <row r="10969" spans="1:1">
      <c r="A10969" s="27"/>
    </row>
    <row r="10970" spans="1:1">
      <c r="A10970" s="27"/>
    </row>
    <row r="10971" spans="1:1">
      <c r="A10971" s="27"/>
    </row>
    <row r="10972" spans="1:1">
      <c r="A10972" s="27"/>
    </row>
    <row r="10973" spans="1:1">
      <c r="A10973" s="27"/>
    </row>
    <row r="10974" spans="1:1">
      <c r="A10974" s="27"/>
    </row>
    <row r="10975" spans="1:1">
      <c r="A10975" s="27"/>
    </row>
    <row r="10976" spans="1:1">
      <c r="A10976" s="27"/>
    </row>
    <row r="10977" spans="1:1">
      <c r="A10977" s="27"/>
    </row>
    <row r="10978" spans="1:1">
      <c r="A10978" s="27"/>
    </row>
    <row r="10979" spans="1:1">
      <c r="A10979" s="27"/>
    </row>
    <row r="10980" spans="1:1">
      <c r="A10980" s="27"/>
    </row>
    <row r="10981" spans="1:1">
      <c r="A10981" s="27"/>
    </row>
    <row r="10982" spans="1:1">
      <c r="A10982" s="27"/>
    </row>
    <row r="10983" spans="1:1">
      <c r="A10983" s="27"/>
    </row>
    <row r="10984" spans="1:1">
      <c r="A10984" s="27"/>
    </row>
    <row r="10985" spans="1:1">
      <c r="A10985" s="27"/>
    </row>
    <row r="10986" spans="1:1">
      <c r="A10986" s="27"/>
    </row>
    <row r="10987" spans="1:1">
      <c r="A10987" s="27"/>
    </row>
    <row r="10988" spans="1:1">
      <c r="A10988" s="27"/>
    </row>
    <row r="10989" spans="1:1">
      <c r="A10989" s="27"/>
    </row>
    <row r="10990" spans="1:1">
      <c r="A10990" s="27"/>
    </row>
    <row r="10991" spans="1:1">
      <c r="A10991" s="27"/>
    </row>
    <row r="10992" spans="1:1">
      <c r="A10992" s="27"/>
    </row>
    <row r="10993" spans="1:1">
      <c r="A10993" s="27"/>
    </row>
    <row r="10994" spans="1:1">
      <c r="A10994" s="27"/>
    </row>
    <row r="10995" spans="1:1">
      <c r="A10995" s="27"/>
    </row>
    <row r="10996" spans="1:1">
      <c r="A10996" s="27"/>
    </row>
    <row r="10997" spans="1:1">
      <c r="A10997" s="27"/>
    </row>
    <row r="10998" spans="1:1">
      <c r="A10998" s="27"/>
    </row>
    <row r="10999" spans="1:1">
      <c r="A10999" s="27"/>
    </row>
    <row r="11000" spans="1:1">
      <c r="A11000" s="27"/>
    </row>
    <row r="11001" spans="1:1">
      <c r="A11001" s="27"/>
    </row>
    <row r="11002" spans="1:1">
      <c r="A11002" s="27"/>
    </row>
    <row r="11003" spans="1:1">
      <c r="A11003" s="27"/>
    </row>
    <row r="11004" spans="1:1">
      <c r="A11004" s="27"/>
    </row>
    <row r="11005" spans="1:1">
      <c r="A11005" s="27"/>
    </row>
    <row r="11006" spans="1:1">
      <c r="A11006" s="27"/>
    </row>
    <row r="11007" spans="1:1">
      <c r="A11007" s="27"/>
    </row>
    <row r="11008" spans="1:1">
      <c r="A11008" s="27"/>
    </row>
    <row r="11009" spans="1:1">
      <c r="A11009" s="27"/>
    </row>
    <row r="11010" spans="1:1">
      <c r="A11010" s="27"/>
    </row>
    <row r="11011" spans="1:1">
      <c r="A11011" s="27"/>
    </row>
    <row r="11012" spans="1:1">
      <c r="A11012" s="27"/>
    </row>
    <row r="11013" spans="1:1">
      <c r="A11013" s="27"/>
    </row>
    <row r="11014" spans="1:1">
      <c r="A11014" s="27"/>
    </row>
    <row r="11015" spans="1:1">
      <c r="A11015" s="27"/>
    </row>
    <row r="11016" spans="1:1">
      <c r="A11016" s="27"/>
    </row>
    <row r="11017" spans="1:1">
      <c r="A11017" s="27"/>
    </row>
    <row r="11018" spans="1:1">
      <c r="A11018" s="27"/>
    </row>
    <row r="11019" spans="1:1">
      <c r="A11019" s="27"/>
    </row>
    <row r="11020" spans="1:1">
      <c r="A11020" s="27"/>
    </row>
    <row r="11021" spans="1:1">
      <c r="A11021" s="27"/>
    </row>
    <row r="11022" spans="1:1">
      <c r="A11022" s="27"/>
    </row>
    <row r="11023" spans="1:1">
      <c r="A11023" s="27"/>
    </row>
    <row r="11024" spans="1:1">
      <c r="A11024" s="27"/>
    </row>
    <row r="11025" spans="1:1">
      <c r="A11025" s="27"/>
    </row>
    <row r="11026" spans="1:1">
      <c r="A11026" s="27"/>
    </row>
    <row r="11027" spans="1:1">
      <c r="A11027" s="27"/>
    </row>
    <row r="11028" spans="1:1">
      <c r="A11028" s="27"/>
    </row>
    <row r="11029" spans="1:1">
      <c r="A11029" s="27"/>
    </row>
    <row r="11030" spans="1:1">
      <c r="A11030" s="27"/>
    </row>
    <row r="11031" spans="1:1">
      <c r="A11031" s="27"/>
    </row>
    <row r="11032" spans="1:1">
      <c r="A11032" s="27"/>
    </row>
    <row r="11033" spans="1:1">
      <c r="A11033" s="27"/>
    </row>
    <row r="11034" spans="1:1">
      <c r="A11034" s="27"/>
    </row>
    <row r="11035" spans="1:1">
      <c r="A11035" s="27"/>
    </row>
    <row r="11036" spans="1:1">
      <c r="A11036" s="27"/>
    </row>
    <row r="11037" spans="1:1">
      <c r="A11037" s="27"/>
    </row>
    <row r="11038" spans="1:1">
      <c r="A11038" s="27"/>
    </row>
    <row r="11039" spans="1:1">
      <c r="A11039" s="27"/>
    </row>
    <row r="11040" spans="1:1">
      <c r="A11040" s="27"/>
    </row>
    <row r="11041" spans="1:1">
      <c r="A11041" s="27"/>
    </row>
    <row r="11042" spans="1:1">
      <c r="A11042" s="27"/>
    </row>
    <row r="11043" spans="1:1">
      <c r="A11043" s="27"/>
    </row>
    <row r="11044" spans="1:1">
      <c r="A11044" s="27"/>
    </row>
    <row r="11045" spans="1:1">
      <c r="A11045" s="27"/>
    </row>
    <row r="11046" spans="1:1">
      <c r="A11046" s="27"/>
    </row>
    <row r="11047" spans="1:1">
      <c r="A11047" s="27"/>
    </row>
    <row r="11048" spans="1:1">
      <c r="A11048" s="27"/>
    </row>
    <row r="11049" spans="1:1">
      <c r="A11049" s="27"/>
    </row>
    <row r="11050" spans="1:1">
      <c r="A11050" s="27"/>
    </row>
    <row r="11051" spans="1:1">
      <c r="A11051" s="27"/>
    </row>
    <row r="11052" spans="1:1">
      <c r="A11052" s="27"/>
    </row>
    <row r="11053" spans="1:1">
      <c r="A11053" s="27"/>
    </row>
    <row r="11054" spans="1:1">
      <c r="A11054" s="27"/>
    </row>
    <row r="11055" spans="1:1">
      <c r="A11055" s="27"/>
    </row>
    <row r="11056" spans="1:1">
      <c r="A11056" s="27"/>
    </row>
    <row r="11057" spans="1:1">
      <c r="A11057" s="27"/>
    </row>
    <row r="11058" spans="1:1">
      <c r="A11058" s="27"/>
    </row>
    <row r="11059" spans="1:1">
      <c r="A11059" s="27"/>
    </row>
    <row r="11060" spans="1:1">
      <c r="A11060" s="27"/>
    </row>
    <row r="11061" spans="1:1">
      <c r="A11061" s="27"/>
    </row>
    <row r="11062" spans="1:1">
      <c r="A11062" s="27"/>
    </row>
    <row r="11063" spans="1:1">
      <c r="A11063" s="27"/>
    </row>
    <row r="11064" spans="1:1">
      <c r="A11064" s="27"/>
    </row>
    <row r="11065" spans="1:1">
      <c r="A11065" s="27"/>
    </row>
    <row r="11066" spans="1:1">
      <c r="A11066" s="27"/>
    </row>
    <row r="11067" spans="1:1">
      <c r="A11067" s="27"/>
    </row>
    <row r="11068" spans="1:1">
      <c r="A11068" s="27"/>
    </row>
    <row r="11069" spans="1:1">
      <c r="A11069" s="27"/>
    </row>
    <row r="11070" spans="1:1">
      <c r="A11070" s="27"/>
    </row>
    <row r="11071" spans="1:1">
      <c r="A11071" s="27"/>
    </row>
    <row r="11072" spans="1:1">
      <c r="A11072" s="27"/>
    </row>
    <row r="11073" spans="1:1">
      <c r="A11073" s="27"/>
    </row>
    <row r="11074" spans="1:1">
      <c r="A11074" s="27"/>
    </row>
    <row r="11075" spans="1:1">
      <c r="A11075" s="27"/>
    </row>
    <row r="11076" spans="1:1">
      <c r="A11076" s="27"/>
    </row>
    <row r="11077" spans="1:1">
      <c r="A11077" s="27"/>
    </row>
    <row r="11078" spans="1:1">
      <c r="A11078" s="27"/>
    </row>
    <row r="11079" spans="1:1">
      <c r="A11079" s="27"/>
    </row>
    <row r="11080" spans="1:1">
      <c r="A11080" s="27"/>
    </row>
    <row r="11081" spans="1:1">
      <c r="A11081" s="27"/>
    </row>
    <row r="11082" spans="1:1">
      <c r="A11082" s="27"/>
    </row>
    <row r="11083" spans="1:1">
      <c r="A11083" s="27"/>
    </row>
    <row r="11084" spans="1:1">
      <c r="A11084" s="27"/>
    </row>
    <row r="11085" spans="1:1">
      <c r="A11085" s="27"/>
    </row>
    <row r="11086" spans="1:1">
      <c r="A11086" s="27"/>
    </row>
    <row r="11087" spans="1:1">
      <c r="A11087" s="27"/>
    </row>
    <row r="11088" spans="1:1">
      <c r="A11088" s="27"/>
    </row>
    <row r="11089" spans="1:1">
      <c r="A11089" s="27"/>
    </row>
    <row r="11090" spans="1:1">
      <c r="A11090" s="27"/>
    </row>
    <row r="11091" spans="1:1">
      <c r="A11091" s="27"/>
    </row>
    <row r="11092" spans="1:1">
      <c r="A11092" s="27"/>
    </row>
    <row r="11093" spans="1:1">
      <c r="A11093" s="27"/>
    </row>
    <row r="11094" spans="1:1">
      <c r="A11094" s="27"/>
    </row>
    <row r="11095" spans="1:1">
      <c r="A11095" s="27"/>
    </row>
    <row r="11096" spans="1:1">
      <c r="A11096" s="27"/>
    </row>
    <row r="11097" spans="1:1">
      <c r="A11097" s="27"/>
    </row>
    <row r="11098" spans="1:1">
      <c r="A11098" s="27"/>
    </row>
    <row r="11099" spans="1:1">
      <c r="A11099" s="27"/>
    </row>
    <row r="11100" spans="1:1">
      <c r="A11100" s="27"/>
    </row>
    <row r="11101" spans="1:1">
      <c r="A11101" s="27"/>
    </row>
    <row r="11102" spans="1:1">
      <c r="A11102" s="27"/>
    </row>
    <row r="11103" spans="1:1">
      <c r="A11103" s="27"/>
    </row>
    <row r="11104" spans="1:1">
      <c r="A11104" s="27"/>
    </row>
    <row r="11105" spans="1:1">
      <c r="A11105" s="27"/>
    </row>
    <row r="11106" spans="1:1">
      <c r="A11106" s="27"/>
    </row>
    <row r="11107" spans="1:1">
      <c r="A11107" s="27"/>
    </row>
    <row r="11108" spans="1:1">
      <c r="A11108" s="27"/>
    </row>
    <row r="11109" spans="1:1">
      <c r="A11109" s="27"/>
    </row>
    <row r="11110" spans="1:1">
      <c r="A11110" s="27"/>
    </row>
    <row r="11111" spans="1:1">
      <c r="A11111" s="27"/>
    </row>
    <row r="11112" spans="1:1">
      <c r="A11112" s="27"/>
    </row>
    <row r="11113" spans="1:1">
      <c r="A11113" s="27"/>
    </row>
    <row r="11114" spans="1:1">
      <c r="A11114" s="27"/>
    </row>
    <row r="11115" spans="1:1">
      <c r="A11115" s="27"/>
    </row>
    <row r="11116" spans="1:1">
      <c r="A11116" s="27"/>
    </row>
    <row r="11117" spans="1:1">
      <c r="A11117" s="27"/>
    </row>
    <row r="11118" spans="1:1">
      <c r="A11118" s="27"/>
    </row>
    <row r="11119" spans="1:1">
      <c r="A11119" s="27"/>
    </row>
    <row r="11120" spans="1:1">
      <c r="A11120" s="27"/>
    </row>
    <row r="11121" spans="1:1">
      <c r="A11121" s="27"/>
    </row>
    <row r="11122" spans="1:1">
      <c r="A11122" s="27"/>
    </row>
    <row r="11123" spans="1:1">
      <c r="A11123" s="27"/>
    </row>
    <row r="11124" spans="1:1">
      <c r="A11124" s="27"/>
    </row>
    <row r="11125" spans="1:1">
      <c r="A11125" s="27"/>
    </row>
    <row r="11126" spans="1:1">
      <c r="A11126" s="27"/>
    </row>
    <row r="11127" spans="1:1">
      <c r="A11127" s="27"/>
    </row>
    <row r="11128" spans="1:1">
      <c r="A11128" s="27"/>
    </row>
    <row r="11129" spans="1:1">
      <c r="A11129" s="27"/>
    </row>
    <row r="11130" spans="1:1">
      <c r="A11130" s="27"/>
    </row>
    <row r="11131" spans="1:1">
      <c r="A11131" s="27"/>
    </row>
    <row r="11132" spans="1:1">
      <c r="A11132" s="27"/>
    </row>
    <row r="11133" spans="1:1">
      <c r="A11133" s="27"/>
    </row>
    <row r="11134" spans="1:1">
      <c r="A11134" s="27"/>
    </row>
    <row r="11135" spans="1:1">
      <c r="A11135" s="27"/>
    </row>
    <row r="11136" spans="1:1">
      <c r="A11136" s="27"/>
    </row>
    <row r="11137" spans="1:1">
      <c r="A11137" s="27"/>
    </row>
    <row r="11138" spans="1:1">
      <c r="A11138" s="27"/>
    </row>
    <row r="11139" spans="1:1">
      <c r="A11139" s="27"/>
    </row>
    <row r="11140" spans="1:1">
      <c r="A11140" s="27"/>
    </row>
    <row r="11141" spans="1:1">
      <c r="A11141" s="27"/>
    </row>
    <row r="11142" spans="1:1">
      <c r="A11142" s="27"/>
    </row>
    <row r="11143" spans="1:1">
      <c r="A11143" s="27"/>
    </row>
    <row r="11144" spans="1:1">
      <c r="A11144" s="27"/>
    </row>
    <row r="11145" spans="1:1">
      <c r="A11145" s="27"/>
    </row>
    <row r="11146" spans="1:1">
      <c r="A11146" s="27"/>
    </row>
    <row r="11147" spans="1:1">
      <c r="A11147" s="27"/>
    </row>
    <row r="11148" spans="1:1">
      <c r="A11148" s="27"/>
    </row>
    <row r="11149" spans="1:1">
      <c r="A11149" s="27"/>
    </row>
    <row r="11150" spans="1:1">
      <c r="A11150" s="27"/>
    </row>
    <row r="11151" spans="1:1">
      <c r="A11151" s="27"/>
    </row>
    <row r="11152" spans="1:1">
      <c r="A11152" s="27"/>
    </row>
    <row r="11153" spans="1:1">
      <c r="A11153" s="27"/>
    </row>
    <row r="11154" spans="1:1">
      <c r="A11154" s="27"/>
    </row>
    <row r="11155" spans="1:1">
      <c r="A11155" s="27"/>
    </row>
    <row r="11156" spans="1:1">
      <c r="A11156" s="27"/>
    </row>
    <row r="11157" spans="1:1">
      <c r="A11157" s="27"/>
    </row>
    <row r="11158" spans="1:1">
      <c r="A11158" s="27"/>
    </row>
    <row r="11159" spans="1:1">
      <c r="A11159" s="27"/>
    </row>
    <row r="11160" spans="1:1">
      <c r="A11160" s="27"/>
    </row>
    <row r="11161" spans="1:1">
      <c r="A11161" s="27"/>
    </row>
    <row r="11162" spans="1:1">
      <c r="A11162" s="27"/>
    </row>
    <row r="11163" spans="1:1">
      <c r="A11163" s="27"/>
    </row>
    <row r="11164" spans="1:1">
      <c r="A11164" s="27"/>
    </row>
    <row r="11165" spans="1:1">
      <c r="A11165" s="27"/>
    </row>
    <row r="11166" spans="1:1">
      <c r="A11166" s="27"/>
    </row>
    <row r="11167" spans="1:1">
      <c r="A11167" s="27"/>
    </row>
    <row r="11168" spans="1:1">
      <c r="A11168" s="27"/>
    </row>
    <row r="11169" spans="1:1">
      <c r="A11169" s="27"/>
    </row>
    <row r="11170" spans="1:1">
      <c r="A11170" s="27"/>
    </row>
    <row r="11171" spans="1:1">
      <c r="A11171" s="27"/>
    </row>
    <row r="11172" spans="1:1">
      <c r="A11172" s="27"/>
    </row>
    <row r="11173" spans="1:1">
      <c r="A11173" s="27"/>
    </row>
    <row r="11174" spans="1:1">
      <c r="A11174" s="27"/>
    </row>
    <row r="11175" spans="1:1">
      <c r="A11175" s="27"/>
    </row>
    <row r="11176" spans="1:1">
      <c r="A11176" s="27"/>
    </row>
    <row r="11177" spans="1:1">
      <c r="A11177" s="27"/>
    </row>
    <row r="11178" spans="1:1">
      <c r="A11178" s="27"/>
    </row>
    <row r="11179" spans="1:1">
      <c r="A11179" s="27"/>
    </row>
    <row r="11180" spans="1:1">
      <c r="A11180" s="27"/>
    </row>
    <row r="11181" spans="1:1">
      <c r="A11181" s="27"/>
    </row>
    <row r="11182" spans="1:1">
      <c r="A11182" s="27"/>
    </row>
    <row r="11183" spans="1:1">
      <c r="A11183" s="27"/>
    </row>
    <row r="11184" spans="1:1">
      <c r="A11184" s="27"/>
    </row>
    <row r="11185" spans="1:1">
      <c r="A11185" s="27"/>
    </row>
    <row r="11186" spans="1:1">
      <c r="A11186" s="27"/>
    </row>
    <row r="11187" spans="1:1">
      <c r="A11187" s="27"/>
    </row>
    <row r="11188" spans="1:1">
      <c r="A11188" s="27"/>
    </row>
    <row r="11189" spans="1:1">
      <c r="A11189" s="27"/>
    </row>
    <row r="11190" spans="1:1">
      <c r="A11190" s="27"/>
    </row>
    <row r="11191" spans="1:1">
      <c r="A11191" s="27"/>
    </row>
    <row r="11192" spans="1:1">
      <c r="A11192" s="27"/>
    </row>
    <row r="11193" spans="1:1">
      <c r="A11193" s="27"/>
    </row>
    <row r="11194" spans="1:1">
      <c r="A11194" s="27"/>
    </row>
    <row r="11195" spans="1:1">
      <c r="A11195" s="27"/>
    </row>
    <row r="11196" spans="1:1">
      <c r="A11196" s="27"/>
    </row>
    <row r="11197" spans="1:1">
      <c r="A11197" s="27"/>
    </row>
    <row r="11198" spans="1:1">
      <c r="A11198" s="27"/>
    </row>
    <row r="11199" spans="1:1">
      <c r="A11199" s="27"/>
    </row>
    <row r="11200" spans="1:1">
      <c r="A11200" s="27"/>
    </row>
    <row r="11201" spans="1:1">
      <c r="A11201" s="27"/>
    </row>
    <row r="11202" spans="1:1">
      <c r="A11202" s="27"/>
    </row>
    <row r="11203" spans="1:1">
      <c r="A11203" s="27"/>
    </row>
    <row r="11204" spans="1:1">
      <c r="A11204" s="27"/>
    </row>
    <row r="11205" spans="1:1">
      <c r="A11205" s="27"/>
    </row>
    <row r="11206" spans="1:1">
      <c r="A11206" s="27"/>
    </row>
    <row r="11207" spans="1:1">
      <c r="A11207" s="27"/>
    </row>
    <row r="11208" spans="1:1">
      <c r="A11208" s="27"/>
    </row>
    <row r="11209" spans="1:1">
      <c r="A11209" s="27"/>
    </row>
    <row r="11210" spans="1:1">
      <c r="A11210" s="27"/>
    </row>
    <row r="11211" spans="1:1">
      <c r="A11211" s="27"/>
    </row>
    <row r="11212" spans="1:1">
      <c r="A11212" s="27"/>
    </row>
    <row r="11213" spans="1:1">
      <c r="A11213" s="27"/>
    </row>
    <row r="11214" spans="1:1">
      <c r="A11214" s="27"/>
    </row>
    <row r="11215" spans="1:1">
      <c r="A11215" s="27"/>
    </row>
    <row r="11216" spans="1:1">
      <c r="A11216" s="27"/>
    </row>
    <row r="11217" spans="1:1">
      <c r="A11217" s="27"/>
    </row>
    <row r="11218" spans="1:1">
      <c r="A11218" s="27"/>
    </row>
    <row r="11219" spans="1:1">
      <c r="A11219" s="27"/>
    </row>
    <row r="11220" spans="1:1">
      <c r="A11220" s="27"/>
    </row>
    <row r="11221" spans="1:1">
      <c r="A11221" s="27"/>
    </row>
    <row r="11222" spans="1:1">
      <c r="A11222" s="27"/>
    </row>
    <row r="11223" spans="1:1">
      <c r="A11223" s="27"/>
    </row>
    <row r="11224" spans="1:1">
      <c r="A11224" s="27"/>
    </row>
    <row r="11225" spans="1:1">
      <c r="A11225" s="27"/>
    </row>
    <row r="11226" spans="1:1">
      <c r="A11226" s="27"/>
    </row>
    <row r="11227" spans="1:1">
      <c r="A11227" s="27"/>
    </row>
    <row r="11228" spans="1:1">
      <c r="A11228" s="27"/>
    </row>
    <row r="11229" spans="1:1">
      <c r="A11229" s="27"/>
    </row>
    <row r="11230" spans="1:1">
      <c r="A11230" s="27"/>
    </row>
    <row r="11231" spans="1:1">
      <c r="A11231" s="27"/>
    </row>
    <row r="11232" spans="1:1">
      <c r="A11232" s="27"/>
    </row>
    <row r="11233" spans="1:1">
      <c r="A11233" s="27"/>
    </row>
    <row r="11234" spans="1:1">
      <c r="A11234" s="27"/>
    </row>
    <row r="11235" spans="1:1">
      <c r="A11235" s="27"/>
    </row>
    <row r="11236" spans="1:1">
      <c r="A11236" s="27"/>
    </row>
    <row r="11237" spans="1:1">
      <c r="A11237" s="27"/>
    </row>
    <row r="11238" spans="1:1">
      <c r="A11238" s="27"/>
    </row>
    <row r="11239" spans="1:1">
      <c r="A11239" s="27"/>
    </row>
    <row r="11240" spans="1:1">
      <c r="A11240" s="27"/>
    </row>
    <row r="11241" spans="1:1">
      <c r="A11241" s="27"/>
    </row>
    <row r="11242" spans="1:1">
      <c r="A11242" s="27"/>
    </row>
    <row r="11243" spans="1:1">
      <c r="A11243" s="27"/>
    </row>
    <row r="11244" spans="1:1">
      <c r="A11244" s="27"/>
    </row>
    <row r="11245" spans="1:1">
      <c r="A11245" s="27"/>
    </row>
    <row r="11246" spans="1:1">
      <c r="A11246" s="27"/>
    </row>
    <row r="11247" spans="1:1">
      <c r="A11247" s="27"/>
    </row>
    <row r="11248" spans="1:1">
      <c r="A11248" s="27"/>
    </row>
    <row r="11249" spans="1:1">
      <c r="A11249" s="27"/>
    </row>
    <row r="11250" spans="1:1">
      <c r="A11250" s="27"/>
    </row>
    <row r="11251" spans="1:1">
      <c r="A11251" s="27"/>
    </row>
    <row r="11252" spans="1:1">
      <c r="A11252" s="27"/>
    </row>
    <row r="11253" spans="1:1">
      <c r="A11253" s="27"/>
    </row>
    <row r="11254" spans="1:1">
      <c r="A11254" s="27"/>
    </row>
    <row r="11255" spans="1:1">
      <c r="A11255" s="27"/>
    </row>
    <row r="11256" spans="1:1">
      <c r="A11256" s="27"/>
    </row>
    <row r="11257" spans="1:1">
      <c r="A11257" s="27"/>
    </row>
    <row r="11258" spans="1:1">
      <c r="A11258" s="27"/>
    </row>
    <row r="11259" spans="1:1">
      <c r="A11259" s="27"/>
    </row>
    <row r="11260" spans="1:1">
      <c r="A11260" s="27"/>
    </row>
    <row r="11261" spans="1:1">
      <c r="A11261" s="27"/>
    </row>
    <row r="11262" spans="1:1">
      <c r="A11262" s="27"/>
    </row>
    <row r="11263" spans="1:1">
      <c r="A11263" s="27"/>
    </row>
    <row r="11264" spans="1:1">
      <c r="A11264" s="27"/>
    </row>
    <row r="11265" spans="1:1">
      <c r="A11265" s="27"/>
    </row>
    <row r="11266" spans="1:1">
      <c r="A11266" s="27"/>
    </row>
    <row r="11267" spans="1:1">
      <c r="A11267" s="27"/>
    </row>
    <row r="11268" spans="1:1">
      <c r="A11268" s="27"/>
    </row>
    <row r="11269" spans="1:1">
      <c r="A11269" s="27"/>
    </row>
    <row r="11270" spans="1:1">
      <c r="A11270" s="27"/>
    </row>
    <row r="11271" spans="1:1">
      <c r="A11271" s="27"/>
    </row>
    <row r="11272" spans="1:1">
      <c r="A11272" s="27"/>
    </row>
    <row r="11273" spans="1:1">
      <c r="A11273" s="27"/>
    </row>
    <row r="11274" spans="1:1">
      <c r="A11274" s="27"/>
    </row>
    <row r="11275" spans="1:1">
      <c r="A11275" s="27"/>
    </row>
    <row r="11276" spans="1:1">
      <c r="A11276" s="27"/>
    </row>
    <row r="11277" spans="1:1">
      <c r="A11277" s="27"/>
    </row>
    <row r="11278" spans="1:1">
      <c r="A11278" s="27"/>
    </row>
    <row r="11279" spans="1:1">
      <c r="A11279" s="27"/>
    </row>
    <row r="11280" spans="1:1">
      <c r="A11280" s="27"/>
    </row>
    <row r="11281" spans="1:1">
      <c r="A11281" s="27"/>
    </row>
    <row r="11282" spans="1:1">
      <c r="A11282" s="27"/>
    </row>
    <row r="11283" spans="1:1">
      <c r="A11283" s="27"/>
    </row>
    <row r="11284" spans="1:1">
      <c r="A11284" s="27"/>
    </row>
    <row r="11285" spans="1:1">
      <c r="A11285" s="27"/>
    </row>
    <row r="11286" spans="1:1">
      <c r="A11286" s="27"/>
    </row>
    <row r="11287" spans="1:1">
      <c r="A11287" s="27"/>
    </row>
    <row r="11288" spans="1:1">
      <c r="A11288" s="27"/>
    </row>
    <row r="11289" spans="1:1">
      <c r="A11289" s="27"/>
    </row>
    <row r="11290" spans="1:1">
      <c r="A11290" s="27"/>
    </row>
    <row r="11291" spans="1:1">
      <c r="A11291" s="27"/>
    </row>
    <row r="11292" spans="1:1">
      <c r="A11292" s="27"/>
    </row>
    <row r="11293" spans="1:1">
      <c r="A11293" s="27"/>
    </row>
    <row r="11294" spans="1:1">
      <c r="A11294" s="27"/>
    </row>
    <row r="11295" spans="1:1">
      <c r="A11295" s="27"/>
    </row>
    <row r="11296" spans="1:1">
      <c r="A11296" s="27"/>
    </row>
    <row r="11297" spans="1:1">
      <c r="A11297" s="27"/>
    </row>
    <row r="11298" spans="1:1">
      <c r="A11298" s="27"/>
    </row>
    <row r="11299" spans="1:1">
      <c r="A11299" s="27"/>
    </row>
    <row r="11300" spans="1:1">
      <c r="A11300" s="27"/>
    </row>
    <row r="11301" spans="1:1">
      <c r="A11301" s="27"/>
    </row>
    <row r="11302" spans="1:1">
      <c r="A11302" s="27"/>
    </row>
    <row r="11303" spans="1:1">
      <c r="A11303" s="27"/>
    </row>
    <row r="11304" spans="1:1">
      <c r="A11304" s="27"/>
    </row>
    <row r="11305" spans="1:1">
      <c r="A11305" s="27"/>
    </row>
    <row r="11306" spans="1:1">
      <c r="A11306" s="27"/>
    </row>
    <row r="11307" spans="1:1">
      <c r="A11307" s="27"/>
    </row>
    <row r="11308" spans="1:1">
      <c r="A11308" s="27"/>
    </row>
    <row r="11309" spans="1:1">
      <c r="A11309" s="27"/>
    </row>
    <row r="11310" spans="1:1">
      <c r="A11310" s="27"/>
    </row>
    <row r="11311" spans="1:1">
      <c r="A11311" s="27"/>
    </row>
    <row r="11312" spans="1:1">
      <c r="A11312" s="27"/>
    </row>
    <row r="11313" spans="1:1">
      <c r="A11313" s="27"/>
    </row>
    <row r="11314" spans="1:1">
      <c r="A11314" s="27"/>
    </row>
    <row r="11315" spans="1:1">
      <c r="A11315" s="27"/>
    </row>
    <row r="11316" spans="1:1">
      <c r="A11316" s="27"/>
    </row>
    <row r="11317" spans="1:1">
      <c r="A11317" s="27"/>
    </row>
    <row r="11318" spans="1:1">
      <c r="A11318" s="27"/>
    </row>
    <row r="11319" spans="1:1">
      <c r="A11319" s="27"/>
    </row>
    <row r="11320" spans="1:1">
      <c r="A11320" s="27"/>
    </row>
    <row r="11321" spans="1:1">
      <c r="A11321" s="27"/>
    </row>
    <row r="11322" spans="1:1">
      <c r="A11322" s="27"/>
    </row>
    <row r="11323" spans="1:1">
      <c r="A11323" s="27"/>
    </row>
    <row r="11324" spans="1:1">
      <c r="A11324" s="27"/>
    </row>
    <row r="11325" spans="1:1">
      <c r="A11325" s="27"/>
    </row>
    <row r="11326" spans="1:1">
      <c r="A11326" s="27"/>
    </row>
    <row r="11327" spans="1:1">
      <c r="A11327" s="27"/>
    </row>
    <row r="11328" spans="1:1">
      <c r="A11328" s="27"/>
    </row>
    <row r="11329" spans="1:1">
      <c r="A11329" s="27"/>
    </row>
    <row r="11330" spans="1:1">
      <c r="A11330" s="27"/>
    </row>
    <row r="11331" spans="1:1">
      <c r="A11331" s="27"/>
    </row>
    <row r="11332" spans="1:1">
      <c r="A11332" s="27"/>
    </row>
    <row r="11333" spans="1:1">
      <c r="A11333" s="27"/>
    </row>
    <row r="11334" spans="1:1">
      <c r="A11334" s="27"/>
    </row>
    <row r="11335" spans="1:1">
      <c r="A11335" s="27"/>
    </row>
    <row r="11336" spans="1:1">
      <c r="A11336" s="27"/>
    </row>
    <row r="11337" spans="1:1">
      <c r="A11337" s="27"/>
    </row>
    <row r="11338" spans="1:1">
      <c r="A11338" s="27"/>
    </row>
    <row r="11339" spans="1:1">
      <c r="A11339" s="27"/>
    </row>
    <row r="11340" spans="1:1">
      <c r="A11340" s="27"/>
    </row>
    <row r="11341" spans="1:1">
      <c r="A11341" s="27"/>
    </row>
    <row r="11342" spans="1:1">
      <c r="A11342" s="27"/>
    </row>
    <row r="11343" spans="1:1">
      <c r="A11343" s="27"/>
    </row>
    <row r="11344" spans="1:1">
      <c r="A11344" s="27"/>
    </row>
    <row r="11345" spans="1:1">
      <c r="A11345" s="27"/>
    </row>
    <row r="11346" spans="1:1">
      <c r="A11346" s="27"/>
    </row>
    <row r="11347" spans="1:1">
      <c r="A11347" s="27"/>
    </row>
    <row r="11348" spans="1:1">
      <c r="A11348" s="27"/>
    </row>
    <row r="11349" spans="1:1">
      <c r="A11349" s="27"/>
    </row>
    <row r="11350" spans="1:1">
      <c r="A11350" s="27"/>
    </row>
    <row r="11351" spans="1:1">
      <c r="A11351" s="27"/>
    </row>
    <row r="11352" spans="1:1">
      <c r="A11352" s="27"/>
    </row>
    <row r="11353" spans="1:1">
      <c r="A11353" s="27"/>
    </row>
    <row r="11354" spans="1:1">
      <c r="A11354" s="27"/>
    </row>
    <row r="11355" spans="1:1">
      <c r="A11355" s="27"/>
    </row>
    <row r="11356" spans="1:1">
      <c r="A11356" s="27"/>
    </row>
    <row r="11357" spans="1:1">
      <c r="A11357" s="27"/>
    </row>
    <row r="11358" spans="1:1">
      <c r="A11358" s="27"/>
    </row>
    <row r="11359" spans="1:1">
      <c r="A11359" s="27"/>
    </row>
    <row r="11360" spans="1:1">
      <c r="A11360" s="27"/>
    </row>
    <row r="11361" spans="1:1">
      <c r="A11361" s="27"/>
    </row>
    <row r="11362" spans="1:1">
      <c r="A11362" s="27"/>
    </row>
    <row r="11363" spans="1:1">
      <c r="A11363" s="27"/>
    </row>
    <row r="11364" spans="1:1">
      <c r="A11364" s="27"/>
    </row>
    <row r="11365" spans="1:1">
      <c r="A11365" s="27"/>
    </row>
    <row r="11366" spans="1:1">
      <c r="A11366" s="27"/>
    </row>
    <row r="11367" spans="1:1">
      <c r="A11367" s="27"/>
    </row>
    <row r="11368" spans="1:1">
      <c r="A11368" s="27"/>
    </row>
    <row r="11369" spans="1:1">
      <c r="A11369" s="27"/>
    </row>
    <row r="11370" spans="1:1">
      <c r="A11370" s="27"/>
    </row>
    <row r="11371" spans="1:1">
      <c r="A11371" s="27"/>
    </row>
    <row r="11372" spans="1:1">
      <c r="A11372" s="27"/>
    </row>
    <row r="11373" spans="1:1">
      <c r="A11373" s="27"/>
    </row>
    <row r="11374" spans="1:1">
      <c r="A11374" s="27"/>
    </row>
    <row r="11375" spans="1:1">
      <c r="A11375" s="27"/>
    </row>
    <row r="11376" spans="1:1">
      <c r="A11376" s="27"/>
    </row>
    <row r="11377" spans="1:1">
      <c r="A11377" s="27"/>
    </row>
    <row r="11378" spans="1:1">
      <c r="A11378" s="27"/>
    </row>
    <row r="11379" spans="1:1">
      <c r="A11379" s="27"/>
    </row>
    <row r="11380" spans="1:1">
      <c r="A11380" s="27"/>
    </row>
    <row r="11381" spans="1:1">
      <c r="A11381" s="27"/>
    </row>
    <row r="11382" spans="1:1">
      <c r="A11382" s="27"/>
    </row>
    <row r="11383" spans="1:1">
      <c r="A11383" s="27"/>
    </row>
    <row r="11384" spans="1:1">
      <c r="A11384" s="27"/>
    </row>
    <row r="11385" spans="1:1">
      <c r="A11385" s="27"/>
    </row>
    <row r="11386" spans="1:1">
      <c r="A11386" s="27"/>
    </row>
    <row r="11387" spans="1:1">
      <c r="A11387" s="27"/>
    </row>
    <row r="11388" spans="1:1">
      <c r="A11388" s="27"/>
    </row>
    <row r="11389" spans="1:1">
      <c r="A11389" s="27"/>
    </row>
    <row r="11390" spans="1:1">
      <c r="A11390" s="27"/>
    </row>
    <row r="11391" spans="1:1">
      <c r="A11391" s="27"/>
    </row>
    <row r="11392" spans="1:1">
      <c r="A11392" s="27"/>
    </row>
    <row r="11393" spans="1:1">
      <c r="A11393" s="27"/>
    </row>
    <row r="11394" spans="1:1">
      <c r="A11394" s="27"/>
    </row>
    <row r="11395" spans="1:1">
      <c r="A11395" s="27"/>
    </row>
    <row r="11396" spans="1:1">
      <c r="A11396" s="27"/>
    </row>
    <row r="11397" spans="1:1">
      <c r="A11397" s="27"/>
    </row>
    <row r="11398" spans="1:1">
      <c r="A11398" s="27"/>
    </row>
    <row r="11399" spans="1:1">
      <c r="A11399" s="27"/>
    </row>
    <row r="11400" spans="1:1">
      <c r="A11400" s="27"/>
    </row>
    <row r="11401" spans="1:1">
      <c r="A11401" s="27"/>
    </row>
    <row r="11402" spans="1:1">
      <c r="A11402" s="27"/>
    </row>
    <row r="11403" spans="1:1">
      <c r="A11403" s="27"/>
    </row>
    <row r="11404" spans="1:1">
      <c r="A11404" s="27"/>
    </row>
    <row r="11405" spans="1:1">
      <c r="A11405" s="27"/>
    </row>
    <row r="11406" spans="1:1">
      <c r="A11406" s="27"/>
    </row>
    <row r="11407" spans="1:1">
      <c r="A11407" s="27"/>
    </row>
    <row r="11408" spans="1:1">
      <c r="A11408" s="27"/>
    </row>
    <row r="11409" spans="1:1">
      <c r="A11409" s="27"/>
    </row>
    <row r="11410" spans="1:1">
      <c r="A11410" s="27"/>
    </row>
    <row r="11411" spans="1:1">
      <c r="A11411" s="27"/>
    </row>
    <row r="11412" spans="1:1">
      <c r="A11412" s="27"/>
    </row>
    <row r="11413" spans="1:1">
      <c r="A11413" s="27"/>
    </row>
    <row r="11414" spans="1:1">
      <c r="A11414" s="27"/>
    </row>
    <row r="11415" spans="1:1">
      <c r="A11415" s="27"/>
    </row>
    <row r="11416" spans="1:1">
      <c r="A11416" s="27"/>
    </row>
    <row r="11417" spans="1:1">
      <c r="A11417" s="27"/>
    </row>
    <row r="11418" spans="1:1">
      <c r="A11418" s="27"/>
    </row>
    <row r="11419" spans="1:1">
      <c r="A11419" s="27"/>
    </row>
    <row r="11420" spans="1:1">
      <c r="A11420" s="27"/>
    </row>
    <row r="11421" spans="1:1">
      <c r="A11421" s="27"/>
    </row>
    <row r="11422" spans="1:1">
      <c r="A11422" s="27"/>
    </row>
    <row r="11423" spans="1:1">
      <c r="A11423" s="27"/>
    </row>
    <row r="11424" spans="1:1">
      <c r="A11424" s="27"/>
    </row>
    <row r="11425" spans="1:1">
      <c r="A11425" s="27"/>
    </row>
    <row r="11426" spans="1:1">
      <c r="A11426" s="27"/>
    </row>
    <row r="11427" spans="1:1">
      <c r="A11427" s="27"/>
    </row>
    <row r="11428" spans="1:1">
      <c r="A11428" s="27"/>
    </row>
    <row r="11429" spans="1:1">
      <c r="A11429" s="27"/>
    </row>
    <row r="11430" spans="1:1">
      <c r="A11430" s="27"/>
    </row>
    <row r="11431" spans="1:1">
      <c r="A11431" s="27"/>
    </row>
    <row r="11432" spans="1:1">
      <c r="A11432" s="27"/>
    </row>
    <row r="11433" spans="1:1">
      <c r="A11433" s="27"/>
    </row>
    <row r="11434" spans="1:1">
      <c r="A11434" s="27"/>
    </row>
    <row r="11435" spans="1:1">
      <c r="A11435" s="27"/>
    </row>
    <row r="11436" spans="1:1">
      <c r="A11436" s="27"/>
    </row>
    <row r="11437" spans="1:1">
      <c r="A11437" s="27"/>
    </row>
    <row r="11438" spans="1:1">
      <c r="A11438" s="27"/>
    </row>
    <row r="11439" spans="1:1">
      <c r="A11439" s="27"/>
    </row>
    <row r="11440" spans="1:1">
      <c r="A11440" s="27"/>
    </row>
    <row r="11441" spans="1:1">
      <c r="A11441" s="27"/>
    </row>
    <row r="11442" spans="1:1">
      <c r="A11442" s="27"/>
    </row>
    <row r="11443" spans="1:1">
      <c r="A11443" s="27"/>
    </row>
    <row r="11444" spans="1:1">
      <c r="A11444" s="27"/>
    </row>
    <row r="11445" spans="1:1">
      <c r="A11445" s="27"/>
    </row>
    <row r="11446" spans="1:1">
      <c r="A11446" s="27"/>
    </row>
    <row r="11447" spans="1:1">
      <c r="A11447" s="27"/>
    </row>
    <row r="11448" spans="1:1">
      <c r="A11448" s="27"/>
    </row>
    <row r="11449" spans="1:1">
      <c r="A11449" s="27"/>
    </row>
    <row r="11450" spans="1:1">
      <c r="A11450" s="27"/>
    </row>
    <row r="11451" spans="1:1">
      <c r="A11451" s="27"/>
    </row>
    <row r="11452" spans="1:1">
      <c r="A11452" s="27"/>
    </row>
    <row r="11453" spans="1:1">
      <c r="A11453" s="27"/>
    </row>
    <row r="11454" spans="1:1">
      <c r="A11454" s="27"/>
    </row>
    <row r="11455" spans="1:1">
      <c r="A11455" s="27"/>
    </row>
    <row r="11456" spans="1:1">
      <c r="A11456" s="27"/>
    </row>
    <row r="11457" spans="1:1">
      <c r="A11457" s="27"/>
    </row>
    <row r="11458" spans="1:1">
      <c r="A11458" s="27"/>
    </row>
    <row r="11459" spans="1:1">
      <c r="A11459" s="27"/>
    </row>
    <row r="11460" spans="1:1">
      <c r="A11460" s="27"/>
    </row>
    <row r="11461" spans="1:1">
      <c r="A11461" s="27"/>
    </row>
    <row r="11462" spans="1:1">
      <c r="A11462" s="27"/>
    </row>
    <row r="11463" spans="1:1">
      <c r="A11463" s="27"/>
    </row>
    <row r="11464" spans="1:1">
      <c r="A11464" s="27"/>
    </row>
    <row r="11465" spans="1:1">
      <c r="A11465" s="27"/>
    </row>
    <row r="11466" spans="1:1">
      <c r="A11466" s="27"/>
    </row>
    <row r="11467" spans="1:1">
      <c r="A11467" s="27"/>
    </row>
    <row r="11468" spans="1:1">
      <c r="A11468" s="27"/>
    </row>
    <row r="11469" spans="1:1">
      <c r="A11469" s="27"/>
    </row>
    <row r="11470" spans="1:1">
      <c r="A11470" s="27"/>
    </row>
    <row r="11471" spans="1:1">
      <c r="A11471" s="27"/>
    </row>
    <row r="11472" spans="1:1">
      <c r="A11472" s="27"/>
    </row>
    <row r="11473" spans="1:1">
      <c r="A11473" s="27"/>
    </row>
    <row r="11474" spans="1:1">
      <c r="A11474" s="27"/>
    </row>
    <row r="11475" spans="1:1">
      <c r="A11475" s="27"/>
    </row>
    <row r="11476" spans="1:1">
      <c r="A11476" s="27"/>
    </row>
    <row r="11477" spans="1:1">
      <c r="A11477" s="27"/>
    </row>
    <row r="11478" spans="1:1">
      <c r="A11478" s="27"/>
    </row>
    <row r="11479" spans="1:1">
      <c r="A11479" s="27"/>
    </row>
    <row r="11480" spans="1:1">
      <c r="A11480" s="27"/>
    </row>
    <row r="11481" spans="1:1">
      <c r="A11481" s="27"/>
    </row>
    <row r="11482" spans="1:1">
      <c r="A11482" s="27"/>
    </row>
    <row r="11483" spans="1:1">
      <c r="A11483" s="27"/>
    </row>
    <row r="11484" spans="1:1">
      <c r="A11484" s="27"/>
    </row>
    <row r="11485" spans="1:1">
      <c r="A11485" s="27"/>
    </row>
    <row r="11486" spans="1:1">
      <c r="A11486" s="27"/>
    </row>
    <row r="11487" spans="1:1">
      <c r="A11487" s="27"/>
    </row>
    <row r="11488" spans="1:1">
      <c r="A11488" s="27"/>
    </row>
    <row r="11489" spans="1:1">
      <c r="A11489" s="27"/>
    </row>
    <row r="11490" spans="1:1">
      <c r="A11490" s="27"/>
    </row>
    <row r="11491" spans="1:1">
      <c r="A11491" s="27"/>
    </row>
    <row r="11492" spans="1:1">
      <c r="A11492" s="27"/>
    </row>
    <row r="11493" spans="1:1">
      <c r="A11493" s="27"/>
    </row>
    <row r="11494" spans="1:1">
      <c r="A11494" s="27"/>
    </row>
    <row r="11495" spans="1:1">
      <c r="A11495" s="27"/>
    </row>
    <row r="11496" spans="1:1">
      <c r="A11496" s="27"/>
    </row>
    <row r="11497" spans="1:1">
      <c r="A11497" s="27"/>
    </row>
    <row r="11498" spans="1:1">
      <c r="A11498" s="27"/>
    </row>
    <row r="11499" spans="1:1">
      <c r="A11499" s="27"/>
    </row>
    <row r="11500" spans="1:1">
      <c r="A11500" s="27"/>
    </row>
    <row r="11501" spans="1:1">
      <c r="A11501" s="27"/>
    </row>
    <row r="11502" spans="1:1">
      <c r="A11502" s="27"/>
    </row>
    <row r="11503" spans="1:1">
      <c r="A11503" s="27"/>
    </row>
    <row r="11504" spans="1:1">
      <c r="A11504" s="27"/>
    </row>
    <row r="11505" spans="1:1">
      <c r="A11505" s="27"/>
    </row>
    <row r="11506" spans="1:1">
      <c r="A11506" s="27"/>
    </row>
    <row r="11507" spans="1:1">
      <c r="A11507" s="27"/>
    </row>
    <row r="11508" spans="1:1">
      <c r="A11508" s="27"/>
    </row>
    <row r="11509" spans="1:1">
      <c r="A11509" s="27"/>
    </row>
    <row r="11510" spans="1:1">
      <c r="A11510" s="27"/>
    </row>
    <row r="11511" spans="1:1">
      <c r="A11511" s="27"/>
    </row>
    <row r="11512" spans="1:1">
      <c r="A11512" s="27"/>
    </row>
    <row r="11513" spans="1:1">
      <c r="A11513" s="27"/>
    </row>
    <row r="11514" spans="1:1">
      <c r="A11514" s="27"/>
    </row>
    <row r="11515" spans="1:1">
      <c r="A11515" s="27"/>
    </row>
    <row r="11516" spans="1:1">
      <c r="A11516" s="27"/>
    </row>
    <row r="11517" spans="1:1">
      <c r="A11517" s="27"/>
    </row>
    <row r="11518" spans="1:1">
      <c r="A11518" s="27"/>
    </row>
    <row r="11519" spans="1:1">
      <c r="A11519" s="27"/>
    </row>
    <row r="11520" spans="1:1">
      <c r="A11520" s="27"/>
    </row>
    <row r="11521" spans="1:1">
      <c r="A11521" s="27"/>
    </row>
    <row r="11522" spans="1:1">
      <c r="A11522" s="27"/>
    </row>
    <row r="11523" spans="1:1">
      <c r="A11523" s="27"/>
    </row>
    <row r="11524" spans="1:1">
      <c r="A11524" s="27"/>
    </row>
    <row r="11525" spans="1:1">
      <c r="A11525" s="27"/>
    </row>
    <row r="11526" spans="1:1">
      <c r="A11526" s="27"/>
    </row>
    <row r="11527" spans="1:1">
      <c r="A11527" s="27"/>
    </row>
    <row r="11528" spans="1:1">
      <c r="A11528" s="27"/>
    </row>
    <row r="11529" spans="1:1">
      <c r="A11529" s="27"/>
    </row>
    <row r="11530" spans="1:1">
      <c r="A11530" s="27"/>
    </row>
    <row r="11531" spans="1:1">
      <c r="A11531" s="27"/>
    </row>
    <row r="11532" spans="1:1">
      <c r="A11532" s="27"/>
    </row>
    <row r="11533" spans="1:1">
      <c r="A11533" s="27"/>
    </row>
    <row r="11534" spans="1:1">
      <c r="A11534" s="27"/>
    </row>
    <row r="11535" spans="1:1">
      <c r="A11535" s="27"/>
    </row>
    <row r="11536" spans="1:1">
      <c r="A11536" s="27"/>
    </row>
    <row r="11537" spans="1:1">
      <c r="A11537" s="27"/>
    </row>
    <row r="11538" spans="1:1">
      <c r="A11538" s="27"/>
    </row>
    <row r="11539" spans="1:1">
      <c r="A11539" s="27"/>
    </row>
    <row r="11540" spans="1:1">
      <c r="A11540" s="27"/>
    </row>
    <row r="11541" spans="1:1">
      <c r="A11541" s="27"/>
    </row>
    <row r="11542" spans="1:1">
      <c r="A11542" s="27"/>
    </row>
    <row r="11543" spans="1:1">
      <c r="A11543" s="27"/>
    </row>
    <row r="11544" spans="1:1">
      <c r="A11544" s="27"/>
    </row>
    <row r="11545" spans="1:1">
      <c r="A11545" s="27"/>
    </row>
    <row r="11546" spans="1:1">
      <c r="A11546" s="27"/>
    </row>
    <row r="11547" spans="1:1">
      <c r="A11547" s="27"/>
    </row>
    <row r="11548" spans="1:1">
      <c r="A11548" s="27"/>
    </row>
    <row r="11549" spans="1:1">
      <c r="A11549" s="27"/>
    </row>
    <row r="11550" spans="1:1">
      <c r="A11550" s="27"/>
    </row>
    <row r="11551" spans="1:1">
      <c r="A11551" s="27"/>
    </row>
    <row r="11552" spans="1:1">
      <c r="A11552" s="27"/>
    </row>
    <row r="11553" spans="1:1">
      <c r="A11553" s="27"/>
    </row>
    <row r="11554" spans="1:1">
      <c r="A11554" s="27"/>
    </row>
    <row r="11555" spans="1:1">
      <c r="A11555" s="27"/>
    </row>
    <row r="11556" spans="1:1">
      <c r="A11556" s="27"/>
    </row>
    <row r="11557" spans="1:1">
      <c r="A11557" s="27"/>
    </row>
    <row r="11558" spans="1:1">
      <c r="A11558" s="27"/>
    </row>
    <row r="11559" spans="1:1">
      <c r="A11559" s="27"/>
    </row>
    <row r="11560" spans="1:1">
      <c r="A11560" s="27"/>
    </row>
    <row r="11561" spans="1:1">
      <c r="A11561" s="27"/>
    </row>
    <row r="11562" spans="1:1">
      <c r="A11562" s="27"/>
    </row>
    <row r="11563" spans="1:1">
      <c r="A11563" s="27"/>
    </row>
    <row r="11564" spans="1:1">
      <c r="A11564" s="27"/>
    </row>
    <row r="11565" spans="1:1">
      <c r="A11565" s="27"/>
    </row>
    <row r="11566" spans="1:1">
      <c r="A11566" s="27"/>
    </row>
    <row r="11567" spans="1:1">
      <c r="A11567" s="27"/>
    </row>
    <row r="11568" spans="1:1">
      <c r="A11568" s="27"/>
    </row>
    <row r="11569" spans="1:1">
      <c r="A11569" s="27"/>
    </row>
    <row r="11570" spans="1:1">
      <c r="A11570" s="27"/>
    </row>
    <row r="11571" spans="1:1">
      <c r="A11571" s="27"/>
    </row>
    <row r="11572" spans="1:1">
      <c r="A11572" s="27"/>
    </row>
    <row r="11573" spans="1:1">
      <c r="A11573" s="27"/>
    </row>
    <row r="11574" spans="1:1">
      <c r="A11574" s="27"/>
    </row>
    <row r="11575" spans="1:1">
      <c r="A11575" s="27"/>
    </row>
    <row r="11576" spans="1:1">
      <c r="A11576" s="27"/>
    </row>
    <row r="11577" spans="1:1">
      <c r="A11577" s="27"/>
    </row>
    <row r="11578" spans="1:1">
      <c r="A11578" s="27"/>
    </row>
    <row r="11579" spans="1:1">
      <c r="A11579" s="27"/>
    </row>
    <row r="11580" spans="1:1">
      <c r="A11580" s="27"/>
    </row>
    <row r="11581" spans="1:1">
      <c r="A11581" s="27"/>
    </row>
    <row r="11582" spans="1:1">
      <c r="A11582" s="27"/>
    </row>
    <row r="11583" spans="1:1">
      <c r="A11583" s="27"/>
    </row>
    <row r="11584" spans="1:1">
      <c r="A11584" s="27"/>
    </row>
    <row r="11585" spans="1:1">
      <c r="A11585" s="27"/>
    </row>
    <row r="11586" spans="1:1">
      <c r="A11586" s="27"/>
    </row>
    <row r="11587" spans="1:1">
      <c r="A11587" s="27"/>
    </row>
    <row r="11588" spans="1:1">
      <c r="A11588" s="27"/>
    </row>
    <row r="11589" spans="1:1">
      <c r="A11589" s="27"/>
    </row>
    <row r="11590" spans="1:1">
      <c r="A11590" s="27"/>
    </row>
    <row r="11591" spans="1:1">
      <c r="A11591" s="27"/>
    </row>
    <row r="11592" spans="1:1">
      <c r="A11592" s="27"/>
    </row>
    <row r="11593" spans="1:1">
      <c r="A11593" s="27"/>
    </row>
    <row r="11594" spans="1:1">
      <c r="A11594" s="27"/>
    </row>
    <row r="11595" spans="1:1">
      <c r="A11595" s="27"/>
    </row>
    <row r="11596" spans="1:1">
      <c r="A11596" s="27"/>
    </row>
    <row r="11597" spans="1:1">
      <c r="A11597" s="27"/>
    </row>
    <row r="11598" spans="1:1">
      <c r="A11598" s="27"/>
    </row>
    <row r="11599" spans="1:1">
      <c r="A11599" s="27"/>
    </row>
    <row r="11600" spans="1:1">
      <c r="A11600" s="27"/>
    </row>
    <row r="11601" spans="1:1">
      <c r="A11601" s="27"/>
    </row>
    <row r="11602" spans="1:1">
      <c r="A11602" s="27"/>
    </row>
    <row r="11603" spans="1:1">
      <c r="A11603" s="27"/>
    </row>
    <row r="11604" spans="1:1">
      <c r="A11604" s="27"/>
    </row>
    <row r="11605" spans="1:1">
      <c r="A11605" s="27"/>
    </row>
    <row r="11606" spans="1:1">
      <c r="A11606" s="27"/>
    </row>
    <row r="11607" spans="1:1">
      <c r="A11607" s="27"/>
    </row>
    <row r="11608" spans="1:1">
      <c r="A11608" s="27"/>
    </row>
    <row r="11609" spans="1:1">
      <c r="A11609" s="27"/>
    </row>
    <row r="11610" spans="1:1">
      <c r="A11610" s="27"/>
    </row>
    <row r="11611" spans="1:1">
      <c r="A11611" s="27"/>
    </row>
    <row r="11612" spans="1:1">
      <c r="A11612" s="27"/>
    </row>
    <row r="11613" spans="1:1">
      <c r="A11613" s="27"/>
    </row>
    <row r="11614" spans="1:1">
      <c r="A11614" s="27"/>
    </row>
    <row r="11615" spans="1:1">
      <c r="A11615" s="27"/>
    </row>
    <row r="11616" spans="1:1">
      <c r="A11616" s="27"/>
    </row>
    <row r="11617" spans="1:1">
      <c r="A11617" s="27"/>
    </row>
    <row r="11618" spans="1:1">
      <c r="A11618" s="27"/>
    </row>
    <row r="11619" spans="1:1">
      <c r="A11619" s="27"/>
    </row>
    <row r="11620" spans="1:1">
      <c r="A11620" s="27"/>
    </row>
    <row r="11621" spans="1:1">
      <c r="A11621" s="27"/>
    </row>
    <row r="11622" spans="1:1">
      <c r="A11622" s="27"/>
    </row>
    <row r="11623" spans="1:1">
      <c r="A11623" s="27"/>
    </row>
    <row r="11624" spans="1:1">
      <c r="A11624" s="27"/>
    </row>
    <row r="11625" spans="1:1">
      <c r="A11625" s="27"/>
    </row>
    <row r="11626" spans="1:1">
      <c r="A11626" s="27"/>
    </row>
    <row r="11627" spans="1:1">
      <c r="A11627" s="27"/>
    </row>
    <row r="11628" spans="1:1">
      <c r="A11628" s="27"/>
    </row>
    <row r="11629" spans="1:1">
      <c r="A11629" s="27"/>
    </row>
    <row r="11630" spans="1:1">
      <c r="A11630" s="27"/>
    </row>
    <row r="11631" spans="1:1">
      <c r="A11631" s="27"/>
    </row>
    <row r="11632" spans="1:1">
      <c r="A11632" s="27"/>
    </row>
    <row r="11633" spans="1:1">
      <c r="A11633" s="27"/>
    </row>
    <row r="11634" spans="1:1">
      <c r="A11634" s="27"/>
    </row>
    <row r="11635" spans="1:1">
      <c r="A11635" s="27"/>
    </row>
    <row r="11636" spans="1:1">
      <c r="A11636" s="27"/>
    </row>
    <row r="11637" spans="1:1">
      <c r="A11637" s="27"/>
    </row>
    <row r="11638" spans="1:1">
      <c r="A11638" s="27"/>
    </row>
    <row r="11639" spans="1:1">
      <c r="A11639" s="27"/>
    </row>
    <row r="11640" spans="1:1">
      <c r="A11640" s="27"/>
    </row>
    <row r="11641" spans="1:1">
      <c r="A11641" s="27"/>
    </row>
    <row r="11642" spans="1:1">
      <c r="A11642" s="27"/>
    </row>
    <row r="11643" spans="1:1">
      <c r="A11643" s="27"/>
    </row>
    <row r="11644" spans="1:1">
      <c r="A11644" s="27"/>
    </row>
    <row r="11645" spans="1:1">
      <c r="A11645" s="27"/>
    </row>
    <row r="11646" spans="1:1">
      <c r="A11646" s="27"/>
    </row>
    <row r="11647" spans="1:1">
      <c r="A11647" s="27"/>
    </row>
    <row r="11648" spans="1:1">
      <c r="A11648" s="27"/>
    </row>
    <row r="11649" spans="1:1">
      <c r="A11649" s="27"/>
    </row>
    <row r="11650" spans="1:1">
      <c r="A11650" s="27"/>
    </row>
    <row r="11651" spans="1:1">
      <c r="A11651" s="27"/>
    </row>
    <row r="11652" spans="1:1">
      <c r="A11652" s="27"/>
    </row>
    <row r="11653" spans="1:1">
      <c r="A11653" s="27"/>
    </row>
    <row r="11654" spans="1:1">
      <c r="A11654" s="27"/>
    </row>
    <row r="11655" spans="1:1">
      <c r="A11655" s="27"/>
    </row>
    <row r="11656" spans="1:1">
      <c r="A11656" s="27"/>
    </row>
    <row r="11657" spans="1:1">
      <c r="A11657" s="27"/>
    </row>
    <row r="11658" spans="1:1">
      <c r="A11658" s="27"/>
    </row>
    <row r="11659" spans="1:1">
      <c r="A11659" s="27"/>
    </row>
    <row r="11660" spans="1:1">
      <c r="A11660" s="27"/>
    </row>
    <row r="11661" spans="1:1">
      <c r="A11661" s="27"/>
    </row>
    <row r="11662" spans="1:1">
      <c r="A11662" s="27"/>
    </row>
    <row r="11663" spans="1:1">
      <c r="A11663" s="27"/>
    </row>
    <row r="11664" spans="1:1">
      <c r="A11664" s="27"/>
    </row>
    <row r="11665" spans="1:1">
      <c r="A11665" s="27"/>
    </row>
    <row r="11666" spans="1:1">
      <c r="A11666" s="27"/>
    </row>
    <row r="11667" spans="1:1">
      <c r="A11667" s="27"/>
    </row>
    <row r="11668" spans="1:1">
      <c r="A11668" s="27"/>
    </row>
    <row r="11669" spans="1:1">
      <c r="A11669" s="27"/>
    </row>
    <row r="11670" spans="1:1">
      <c r="A11670" s="27"/>
    </row>
    <row r="11671" spans="1:1">
      <c r="A11671" s="27"/>
    </row>
    <row r="11672" spans="1:1">
      <c r="A11672" s="27"/>
    </row>
    <row r="11673" spans="1:1">
      <c r="A11673" s="27"/>
    </row>
    <row r="11674" spans="1:1">
      <c r="A11674" s="27"/>
    </row>
    <row r="11675" spans="1:1">
      <c r="A11675" s="27"/>
    </row>
    <row r="11676" spans="1:1">
      <c r="A11676" s="27"/>
    </row>
    <row r="11677" spans="1:1">
      <c r="A11677" s="27"/>
    </row>
    <row r="11678" spans="1:1">
      <c r="A11678" s="27"/>
    </row>
    <row r="11679" spans="1:1">
      <c r="A11679" s="27"/>
    </row>
    <row r="11680" spans="1:1">
      <c r="A11680" s="27"/>
    </row>
    <row r="11681" spans="1:1">
      <c r="A11681" s="27"/>
    </row>
    <row r="11682" spans="1:1">
      <c r="A11682" s="27"/>
    </row>
    <row r="11683" spans="1:1">
      <c r="A11683" s="27"/>
    </row>
    <row r="11684" spans="1:1">
      <c r="A11684" s="27"/>
    </row>
    <row r="11685" spans="1:1">
      <c r="A11685" s="27"/>
    </row>
    <row r="11686" spans="1:1">
      <c r="A11686" s="27"/>
    </row>
    <row r="11687" spans="1:1">
      <c r="A11687" s="27"/>
    </row>
    <row r="11688" spans="1:1">
      <c r="A11688" s="27"/>
    </row>
    <row r="11689" spans="1:1">
      <c r="A11689" s="27"/>
    </row>
    <row r="11690" spans="1:1">
      <c r="A11690" s="27"/>
    </row>
    <row r="11691" spans="1:1">
      <c r="A11691" s="27"/>
    </row>
    <row r="11692" spans="1:1">
      <c r="A11692" s="27"/>
    </row>
    <row r="11693" spans="1:1">
      <c r="A11693" s="27"/>
    </row>
    <row r="11694" spans="1:1">
      <c r="A11694" s="27"/>
    </row>
    <row r="11695" spans="1:1">
      <c r="A11695" s="27"/>
    </row>
    <row r="11696" spans="1:1">
      <c r="A11696" s="27"/>
    </row>
    <row r="11697" spans="1:1">
      <c r="A11697" s="27"/>
    </row>
    <row r="11698" spans="1:1">
      <c r="A11698" s="27"/>
    </row>
    <row r="11699" spans="1:1">
      <c r="A11699" s="27"/>
    </row>
    <row r="11700" spans="1:1">
      <c r="A11700" s="27"/>
    </row>
    <row r="11701" spans="1:1">
      <c r="A11701" s="27"/>
    </row>
    <row r="11702" spans="1:1">
      <c r="A11702" s="27"/>
    </row>
    <row r="11703" spans="1:1">
      <c r="A11703" s="27"/>
    </row>
    <row r="11704" spans="1:1">
      <c r="A11704" s="27"/>
    </row>
    <row r="11705" spans="1:1">
      <c r="A11705" s="27"/>
    </row>
    <row r="11706" spans="1:1">
      <c r="A11706" s="27"/>
    </row>
    <row r="11707" spans="1:1">
      <c r="A11707" s="27"/>
    </row>
    <row r="11708" spans="1:1">
      <c r="A11708" s="27"/>
    </row>
    <row r="11709" spans="1:1">
      <c r="A11709" s="27"/>
    </row>
    <row r="11710" spans="1:1">
      <c r="A11710" s="27"/>
    </row>
    <row r="11711" spans="1:1">
      <c r="A11711" s="27"/>
    </row>
    <row r="11712" spans="1:1">
      <c r="A11712" s="27"/>
    </row>
    <row r="11713" spans="1:1">
      <c r="A11713" s="27"/>
    </row>
    <row r="11714" spans="1:1">
      <c r="A11714" s="27"/>
    </row>
    <row r="11715" spans="1:1">
      <c r="A11715" s="27"/>
    </row>
    <row r="11716" spans="1:1">
      <c r="A11716" s="27"/>
    </row>
    <row r="11717" spans="1:1">
      <c r="A11717" s="27"/>
    </row>
    <row r="11718" spans="1:1">
      <c r="A11718" s="27"/>
    </row>
    <row r="11719" spans="1:1">
      <c r="A11719" s="27"/>
    </row>
    <row r="11720" spans="1:1">
      <c r="A11720" s="27"/>
    </row>
    <row r="11721" spans="1:1">
      <c r="A11721" s="27"/>
    </row>
    <row r="11722" spans="1:1">
      <c r="A11722" s="27"/>
    </row>
    <row r="11723" spans="1:1">
      <c r="A11723" s="27"/>
    </row>
    <row r="11724" spans="1:1">
      <c r="A11724" s="27"/>
    </row>
    <row r="11725" spans="1:1">
      <c r="A11725" s="27"/>
    </row>
    <row r="11726" spans="1:1">
      <c r="A11726" s="27"/>
    </row>
    <row r="11727" spans="1:1">
      <c r="A11727" s="27"/>
    </row>
    <row r="11728" spans="1:1">
      <c r="A11728" s="27"/>
    </row>
    <row r="11729" spans="1:1">
      <c r="A11729" s="27"/>
    </row>
    <row r="11730" spans="1:1">
      <c r="A11730" s="27"/>
    </row>
    <row r="11731" spans="1:1">
      <c r="A11731" s="27"/>
    </row>
    <row r="11732" spans="1:1">
      <c r="A11732" s="27"/>
    </row>
    <row r="11733" spans="1:1">
      <c r="A11733" s="27"/>
    </row>
    <row r="11734" spans="1:1">
      <c r="A11734" s="27"/>
    </row>
    <row r="11735" spans="1:1">
      <c r="A11735" s="27"/>
    </row>
    <row r="11736" spans="1:1">
      <c r="A11736" s="27"/>
    </row>
    <row r="11737" spans="1:1">
      <c r="A11737" s="27"/>
    </row>
    <row r="11738" spans="1:1">
      <c r="A11738" s="27"/>
    </row>
    <row r="11739" spans="1:1">
      <c r="A11739" s="27"/>
    </row>
    <row r="11740" spans="1:1">
      <c r="A11740" s="27"/>
    </row>
    <row r="11741" spans="1:1">
      <c r="A11741" s="27"/>
    </row>
    <row r="11742" spans="1:1">
      <c r="A11742" s="27"/>
    </row>
    <row r="11743" spans="1:1">
      <c r="A11743" s="27"/>
    </row>
    <row r="11744" spans="1:1">
      <c r="A11744" s="27"/>
    </row>
    <row r="11745" spans="1:1">
      <c r="A11745" s="27"/>
    </row>
    <row r="11746" spans="1:1">
      <c r="A11746" s="27"/>
    </row>
    <row r="11747" spans="1:1">
      <c r="A11747" s="27"/>
    </row>
    <row r="11748" spans="1:1">
      <c r="A11748" s="27"/>
    </row>
    <row r="11749" spans="1:1">
      <c r="A11749" s="27"/>
    </row>
    <row r="11750" spans="1:1">
      <c r="A11750" s="27"/>
    </row>
    <row r="11751" spans="1:1">
      <c r="A11751" s="27"/>
    </row>
    <row r="11752" spans="1:1">
      <c r="A11752" s="27"/>
    </row>
    <row r="11753" spans="1:1">
      <c r="A11753" s="27"/>
    </row>
    <row r="11754" spans="1:1">
      <c r="A11754" s="27"/>
    </row>
    <row r="11755" spans="1:1">
      <c r="A11755" s="27"/>
    </row>
    <row r="11756" spans="1:1">
      <c r="A11756" s="27"/>
    </row>
    <row r="11757" spans="1:1">
      <c r="A11757" s="27"/>
    </row>
    <row r="11758" spans="1:1">
      <c r="A11758" s="27"/>
    </row>
    <row r="11759" spans="1:1">
      <c r="A11759" s="27"/>
    </row>
    <row r="11760" spans="1:1">
      <c r="A11760" s="27"/>
    </row>
    <row r="11761" spans="1:1">
      <c r="A11761" s="27"/>
    </row>
    <row r="11762" spans="1:1">
      <c r="A11762" s="27"/>
    </row>
    <row r="11763" spans="1:1">
      <c r="A11763" s="27"/>
    </row>
    <row r="11764" spans="1:1">
      <c r="A11764" s="27"/>
    </row>
    <row r="11765" spans="1:1">
      <c r="A11765" s="27"/>
    </row>
    <row r="11766" spans="1:1">
      <c r="A11766" s="27"/>
    </row>
    <row r="11767" spans="1:1">
      <c r="A11767" s="27"/>
    </row>
    <row r="11768" spans="1:1">
      <c r="A11768" s="27"/>
    </row>
    <row r="11769" spans="1:1">
      <c r="A11769" s="27"/>
    </row>
    <row r="11770" spans="1:1">
      <c r="A11770" s="27"/>
    </row>
    <row r="11771" spans="1:1">
      <c r="A11771" s="27"/>
    </row>
    <row r="11772" spans="1:1">
      <c r="A11772" s="27"/>
    </row>
    <row r="11773" spans="1:1">
      <c r="A11773" s="27"/>
    </row>
    <row r="11774" spans="1:1">
      <c r="A11774" s="27"/>
    </row>
    <row r="11775" spans="1:1">
      <c r="A11775" s="27"/>
    </row>
    <row r="11776" spans="1:1">
      <c r="A11776" s="27"/>
    </row>
    <row r="11777" spans="1:1">
      <c r="A11777" s="27"/>
    </row>
    <row r="11778" spans="1:1">
      <c r="A11778" s="27"/>
    </row>
    <row r="11779" spans="1:1">
      <c r="A11779" s="27"/>
    </row>
    <row r="11780" spans="1:1">
      <c r="A11780" s="27"/>
    </row>
    <row r="11781" spans="1:1">
      <c r="A11781" s="27"/>
    </row>
    <row r="11782" spans="1:1">
      <c r="A11782" s="27"/>
    </row>
    <row r="11783" spans="1:1">
      <c r="A11783" s="27"/>
    </row>
    <row r="11784" spans="1:1">
      <c r="A11784" s="27"/>
    </row>
    <row r="11785" spans="1:1">
      <c r="A11785" s="27"/>
    </row>
    <row r="11786" spans="1:1">
      <c r="A11786" s="27"/>
    </row>
    <row r="11787" spans="1:1">
      <c r="A11787" s="27"/>
    </row>
    <row r="11788" spans="1:1">
      <c r="A11788" s="27"/>
    </row>
    <row r="11789" spans="1:1">
      <c r="A11789" s="27"/>
    </row>
    <row r="11790" spans="1:1">
      <c r="A11790" s="27"/>
    </row>
    <row r="11791" spans="1:1">
      <c r="A11791" s="27"/>
    </row>
    <row r="11792" spans="1:1">
      <c r="A11792" s="27"/>
    </row>
    <row r="11793" spans="1:1">
      <c r="A11793" s="27"/>
    </row>
    <row r="11794" spans="1:1">
      <c r="A11794" s="27"/>
    </row>
    <row r="11795" spans="1:1">
      <c r="A11795" s="27"/>
    </row>
    <row r="11796" spans="1:1">
      <c r="A11796" s="27"/>
    </row>
    <row r="11797" spans="1:1">
      <c r="A11797" s="27"/>
    </row>
    <row r="11798" spans="1:1">
      <c r="A11798" s="27"/>
    </row>
    <row r="11799" spans="1:1">
      <c r="A11799" s="27"/>
    </row>
    <row r="11800" spans="1:1">
      <c r="A11800" s="27"/>
    </row>
    <row r="11801" spans="1:1">
      <c r="A11801" s="27"/>
    </row>
    <row r="11802" spans="1:1">
      <c r="A11802" s="27"/>
    </row>
    <row r="11803" spans="1:1">
      <c r="A11803" s="27"/>
    </row>
    <row r="11804" spans="1:1">
      <c r="A11804" s="27"/>
    </row>
    <row r="11805" spans="1:1">
      <c r="A11805" s="27"/>
    </row>
    <row r="11806" spans="1:1">
      <c r="A11806" s="27"/>
    </row>
    <row r="11807" spans="1:1">
      <c r="A11807" s="27"/>
    </row>
    <row r="11808" spans="1:1">
      <c r="A11808" s="27"/>
    </row>
    <row r="11809" spans="1:1">
      <c r="A11809" s="27"/>
    </row>
    <row r="11810" spans="1:1">
      <c r="A11810" s="27"/>
    </row>
    <row r="11811" spans="1:1">
      <c r="A11811" s="27"/>
    </row>
    <row r="11812" spans="1:1">
      <c r="A11812" s="27"/>
    </row>
    <row r="11813" spans="1:1">
      <c r="A11813" s="27"/>
    </row>
    <row r="11814" spans="1:1">
      <c r="A11814" s="27"/>
    </row>
    <row r="11815" spans="1:1">
      <c r="A11815" s="27"/>
    </row>
    <row r="11816" spans="1:1">
      <c r="A11816" s="27"/>
    </row>
    <row r="11817" spans="1:1">
      <c r="A11817" s="27"/>
    </row>
    <row r="11818" spans="1:1">
      <c r="A11818" s="27"/>
    </row>
    <row r="11819" spans="1:1">
      <c r="A11819" s="27"/>
    </row>
    <row r="11820" spans="1:1">
      <c r="A11820" s="27"/>
    </row>
    <row r="11821" spans="1:1">
      <c r="A11821" s="27"/>
    </row>
    <row r="11822" spans="1:1">
      <c r="A11822" s="27"/>
    </row>
    <row r="11823" spans="1:1">
      <c r="A11823" s="27"/>
    </row>
    <row r="11824" spans="1:1">
      <c r="A11824" s="27"/>
    </row>
    <row r="11825" spans="1:1">
      <c r="A11825" s="27"/>
    </row>
    <row r="11826" spans="1:1">
      <c r="A11826" s="27"/>
    </row>
    <row r="11827" spans="1:1">
      <c r="A11827" s="27"/>
    </row>
    <row r="11828" spans="1:1">
      <c r="A11828" s="27"/>
    </row>
    <row r="11829" spans="1:1">
      <c r="A11829" s="27"/>
    </row>
    <row r="11830" spans="1:1">
      <c r="A11830" s="27"/>
    </row>
    <row r="11831" spans="1:1">
      <c r="A11831" s="27"/>
    </row>
    <row r="11832" spans="1:1">
      <c r="A11832" s="27"/>
    </row>
    <row r="11833" spans="1:1">
      <c r="A11833" s="27"/>
    </row>
    <row r="11834" spans="1:1">
      <c r="A11834" s="27"/>
    </row>
    <row r="11835" spans="1:1">
      <c r="A11835" s="27"/>
    </row>
    <row r="11836" spans="1:1">
      <c r="A11836" s="27"/>
    </row>
    <row r="11837" spans="1:1">
      <c r="A11837" s="27"/>
    </row>
    <row r="11838" spans="1:1">
      <c r="A11838" s="27"/>
    </row>
    <row r="11839" spans="1:1">
      <c r="A11839" s="27"/>
    </row>
    <row r="11840" spans="1:1">
      <c r="A11840" s="27"/>
    </row>
    <row r="11841" spans="1:1">
      <c r="A11841" s="27"/>
    </row>
    <row r="11842" spans="1:1">
      <c r="A11842" s="27"/>
    </row>
    <row r="11843" spans="1:1">
      <c r="A11843" s="27"/>
    </row>
    <row r="11844" spans="1:1">
      <c r="A11844" s="27"/>
    </row>
    <row r="11845" spans="1:1">
      <c r="A11845" s="27"/>
    </row>
    <row r="11846" spans="1:1">
      <c r="A11846" s="27"/>
    </row>
    <row r="11847" spans="1:1">
      <c r="A11847" s="27"/>
    </row>
    <row r="11848" spans="1:1">
      <c r="A11848" s="27"/>
    </row>
    <row r="11849" spans="1:1">
      <c r="A11849" s="27"/>
    </row>
    <row r="11850" spans="1:1">
      <c r="A11850" s="27"/>
    </row>
    <row r="11851" spans="1:1">
      <c r="A11851" s="27"/>
    </row>
    <row r="11852" spans="1:1">
      <c r="A11852" s="27"/>
    </row>
    <row r="11853" spans="1:1">
      <c r="A11853" s="27"/>
    </row>
    <row r="11854" spans="1:1">
      <c r="A11854" s="27"/>
    </row>
    <row r="11855" spans="1:1">
      <c r="A11855" s="27"/>
    </row>
    <row r="11856" spans="1:1">
      <c r="A11856" s="27"/>
    </row>
    <row r="11857" spans="1:1">
      <c r="A11857" s="27"/>
    </row>
    <row r="11858" spans="1:1">
      <c r="A11858" s="27"/>
    </row>
    <row r="11859" spans="1:1">
      <c r="A11859" s="27"/>
    </row>
    <row r="11860" spans="1:1">
      <c r="A11860" s="27"/>
    </row>
    <row r="11861" spans="1:1">
      <c r="A11861" s="27"/>
    </row>
    <row r="11862" spans="1:1">
      <c r="A11862" s="27"/>
    </row>
    <row r="11863" spans="1:1">
      <c r="A11863" s="27"/>
    </row>
    <row r="11864" spans="1:1">
      <c r="A11864" s="27"/>
    </row>
    <row r="11865" spans="1:1">
      <c r="A11865" s="27"/>
    </row>
    <row r="11866" spans="1:1">
      <c r="A11866" s="27"/>
    </row>
    <row r="11867" spans="1:1">
      <c r="A11867" s="27"/>
    </row>
    <row r="11868" spans="1:1">
      <c r="A11868" s="27"/>
    </row>
    <row r="11869" spans="1:1">
      <c r="A11869" s="27"/>
    </row>
    <row r="11870" spans="1:1">
      <c r="A11870" s="27"/>
    </row>
    <row r="11871" spans="1:1">
      <c r="A11871" s="27"/>
    </row>
    <row r="11872" spans="1:1">
      <c r="A11872" s="27"/>
    </row>
    <row r="11873" spans="1:1">
      <c r="A11873" s="27"/>
    </row>
    <row r="11874" spans="1:1">
      <c r="A11874" s="27"/>
    </row>
    <row r="11875" spans="1:1">
      <c r="A11875" s="27"/>
    </row>
    <row r="11876" spans="1:1">
      <c r="A11876" s="27"/>
    </row>
    <row r="11877" spans="1:1">
      <c r="A11877" s="27"/>
    </row>
    <row r="11878" spans="1:1">
      <c r="A11878" s="27"/>
    </row>
    <row r="11879" spans="1:1">
      <c r="A11879" s="27"/>
    </row>
    <row r="11880" spans="1:1">
      <c r="A11880" s="27"/>
    </row>
    <row r="11881" spans="1:1">
      <c r="A11881" s="27"/>
    </row>
    <row r="11882" spans="1:1">
      <c r="A11882" s="27"/>
    </row>
    <row r="11883" spans="1:1">
      <c r="A11883" s="27"/>
    </row>
    <row r="11884" spans="1:1">
      <c r="A11884" s="27"/>
    </row>
    <row r="11885" spans="1:1">
      <c r="A11885" s="27"/>
    </row>
    <row r="11886" spans="1:1">
      <c r="A11886" s="27"/>
    </row>
    <row r="11887" spans="1:1">
      <c r="A11887" s="27"/>
    </row>
    <row r="11888" spans="1:1">
      <c r="A11888" s="27"/>
    </row>
    <row r="11889" spans="1:1">
      <c r="A11889" s="27"/>
    </row>
    <row r="11890" spans="1:1">
      <c r="A11890" s="27"/>
    </row>
    <row r="11891" spans="1:1">
      <c r="A11891" s="27"/>
    </row>
    <row r="11892" spans="1:1">
      <c r="A11892" s="27"/>
    </row>
    <row r="11893" spans="1:1">
      <c r="A11893" s="27"/>
    </row>
    <row r="11894" spans="1:1">
      <c r="A11894" s="27"/>
    </row>
    <row r="11895" spans="1:1">
      <c r="A11895" s="27"/>
    </row>
    <row r="11896" spans="1:1">
      <c r="A11896" s="27"/>
    </row>
    <row r="11897" spans="1:1">
      <c r="A11897" s="27"/>
    </row>
    <row r="11898" spans="1:1">
      <c r="A11898" s="27"/>
    </row>
    <row r="11899" spans="1:1">
      <c r="A11899" s="27"/>
    </row>
    <row r="11900" spans="1:1">
      <c r="A11900" s="27"/>
    </row>
    <row r="11901" spans="1:1">
      <c r="A11901" s="27"/>
    </row>
    <row r="11902" spans="1:1">
      <c r="A11902" s="27"/>
    </row>
    <row r="11903" spans="1:1">
      <c r="A11903" s="27"/>
    </row>
    <row r="11904" spans="1:1">
      <c r="A11904" s="27"/>
    </row>
    <row r="11905" spans="1:1">
      <c r="A11905" s="27"/>
    </row>
    <row r="11906" spans="1:1">
      <c r="A11906" s="27"/>
    </row>
    <row r="11907" spans="1:1">
      <c r="A11907" s="27"/>
    </row>
    <row r="11908" spans="1:1">
      <c r="A11908" s="27"/>
    </row>
    <row r="11909" spans="1:1">
      <c r="A11909" s="27"/>
    </row>
    <row r="11910" spans="1:1">
      <c r="A11910" s="27"/>
    </row>
    <row r="11911" spans="1:1">
      <c r="A11911" s="27"/>
    </row>
    <row r="11912" spans="1:1">
      <c r="A11912" s="27"/>
    </row>
    <row r="11913" spans="1:1">
      <c r="A11913" s="27"/>
    </row>
    <row r="11914" spans="1:1">
      <c r="A11914" s="27"/>
    </row>
    <row r="11915" spans="1:1">
      <c r="A11915" s="27"/>
    </row>
    <row r="11916" spans="1:1">
      <c r="A11916" s="27"/>
    </row>
    <row r="11917" spans="1:1">
      <c r="A11917" s="27"/>
    </row>
    <row r="11918" spans="1:1">
      <c r="A11918" s="27"/>
    </row>
    <row r="11919" spans="1:1">
      <c r="A11919" s="27"/>
    </row>
    <row r="11920" spans="1:1">
      <c r="A11920" s="27"/>
    </row>
    <row r="11921" spans="1:1">
      <c r="A11921" s="27"/>
    </row>
    <row r="11922" spans="1:1">
      <c r="A11922" s="27"/>
    </row>
    <row r="11923" spans="1:1">
      <c r="A11923" s="27"/>
    </row>
    <row r="11924" spans="1:1">
      <c r="A11924" s="27"/>
    </row>
    <row r="11925" spans="1:1">
      <c r="A11925" s="27"/>
    </row>
    <row r="11926" spans="1:1">
      <c r="A11926" s="27"/>
    </row>
    <row r="11927" spans="1:1">
      <c r="A11927" s="27"/>
    </row>
    <row r="11928" spans="1:1">
      <c r="A11928" s="27"/>
    </row>
    <row r="11929" spans="1:1">
      <c r="A11929" s="27"/>
    </row>
    <row r="11930" spans="1:1">
      <c r="A11930" s="27"/>
    </row>
    <row r="11931" spans="1:1">
      <c r="A11931" s="27"/>
    </row>
    <row r="11932" spans="1:1">
      <c r="A11932" s="27"/>
    </row>
    <row r="11933" spans="1:1">
      <c r="A11933" s="27"/>
    </row>
    <row r="11934" spans="1:1">
      <c r="A11934" s="27"/>
    </row>
    <row r="11935" spans="1:1">
      <c r="A11935" s="27"/>
    </row>
    <row r="11936" spans="1:1">
      <c r="A11936" s="27"/>
    </row>
    <row r="11937" spans="1:1">
      <c r="A11937" s="27"/>
    </row>
    <row r="11938" spans="1:1">
      <c r="A11938" s="27"/>
    </row>
    <row r="11939" spans="1:1">
      <c r="A11939" s="27"/>
    </row>
    <row r="11940" spans="1:1">
      <c r="A11940" s="27"/>
    </row>
    <row r="11941" spans="1:1">
      <c r="A11941" s="27"/>
    </row>
    <row r="11942" spans="1:1">
      <c r="A11942" s="27"/>
    </row>
    <row r="11943" spans="1:1">
      <c r="A11943" s="27"/>
    </row>
    <row r="11944" spans="1:1">
      <c r="A11944" s="27"/>
    </row>
    <row r="11945" spans="1:1">
      <c r="A11945" s="27"/>
    </row>
    <row r="11946" spans="1:1">
      <c r="A11946" s="27"/>
    </row>
    <row r="11947" spans="1:1">
      <c r="A11947" s="27"/>
    </row>
    <row r="11948" spans="1:1">
      <c r="A11948" s="27"/>
    </row>
    <row r="11949" spans="1:1">
      <c r="A11949" s="27"/>
    </row>
    <row r="11950" spans="1:1">
      <c r="A11950" s="27"/>
    </row>
    <row r="11951" spans="1:1">
      <c r="A11951" s="27"/>
    </row>
    <row r="11952" spans="1:1">
      <c r="A11952" s="27"/>
    </row>
    <row r="11953" spans="1:1">
      <c r="A11953" s="27"/>
    </row>
    <row r="11954" spans="1:1">
      <c r="A11954" s="27"/>
    </row>
    <row r="11955" spans="1:1">
      <c r="A11955" s="27"/>
    </row>
    <row r="11956" spans="1:1">
      <c r="A11956" s="27"/>
    </row>
    <row r="11957" spans="1:1">
      <c r="A11957" s="27"/>
    </row>
    <row r="11958" spans="1:1">
      <c r="A11958" s="27"/>
    </row>
    <row r="11959" spans="1:1">
      <c r="A11959" s="27"/>
    </row>
    <row r="11960" spans="1:1">
      <c r="A11960" s="27"/>
    </row>
    <row r="11961" spans="1:1">
      <c r="A11961" s="27"/>
    </row>
    <row r="11962" spans="1:1">
      <c r="A11962" s="27"/>
    </row>
    <row r="11963" spans="1:1">
      <c r="A11963" s="27"/>
    </row>
    <row r="11964" spans="1:1">
      <c r="A11964" s="27"/>
    </row>
    <row r="11965" spans="1:1">
      <c r="A11965" s="27"/>
    </row>
    <row r="11966" spans="1:1">
      <c r="A11966" s="27"/>
    </row>
    <row r="11967" spans="1:1">
      <c r="A11967" s="27"/>
    </row>
    <row r="11968" spans="1:1">
      <c r="A11968" s="27"/>
    </row>
    <row r="11969" spans="1:1">
      <c r="A11969" s="27"/>
    </row>
    <row r="11970" spans="1:1">
      <c r="A11970" s="27"/>
    </row>
    <row r="11971" spans="1:1">
      <c r="A11971" s="27"/>
    </row>
    <row r="11972" spans="1:1">
      <c r="A11972" s="27"/>
    </row>
    <row r="11973" spans="1:1">
      <c r="A11973" s="27"/>
    </row>
    <row r="11974" spans="1:1">
      <c r="A11974" s="27"/>
    </row>
    <row r="11975" spans="1:1">
      <c r="A11975" s="27"/>
    </row>
    <row r="11976" spans="1:1">
      <c r="A11976" s="27"/>
    </row>
    <row r="11977" spans="1:1">
      <c r="A11977" s="27"/>
    </row>
    <row r="11978" spans="1:1">
      <c r="A11978" s="27"/>
    </row>
    <row r="11979" spans="1:1">
      <c r="A11979" s="27"/>
    </row>
    <row r="11980" spans="1:1">
      <c r="A11980" s="27"/>
    </row>
    <row r="11981" spans="1:1">
      <c r="A11981" s="27"/>
    </row>
    <row r="11982" spans="1:1">
      <c r="A11982" s="27"/>
    </row>
    <row r="11983" spans="1:1">
      <c r="A11983" s="27"/>
    </row>
    <row r="11984" spans="1:1">
      <c r="A11984" s="27"/>
    </row>
    <row r="11985" spans="1:1">
      <c r="A11985" s="27"/>
    </row>
    <row r="11986" spans="1:1">
      <c r="A11986" s="27"/>
    </row>
    <row r="11987" spans="1:1">
      <c r="A11987" s="27"/>
    </row>
    <row r="11988" spans="1:1">
      <c r="A11988" s="27"/>
    </row>
    <row r="11989" spans="1:1">
      <c r="A11989" s="27"/>
    </row>
    <row r="11990" spans="1:1">
      <c r="A11990" s="27"/>
    </row>
    <row r="11991" spans="1:1">
      <c r="A11991" s="27"/>
    </row>
    <row r="11992" spans="1:1">
      <c r="A11992" s="27"/>
    </row>
    <row r="11993" spans="1:1">
      <c r="A11993" s="27"/>
    </row>
    <row r="11994" spans="1:1">
      <c r="A11994" s="27"/>
    </row>
    <row r="11995" spans="1:1">
      <c r="A11995" s="27"/>
    </row>
    <row r="11996" spans="1:1">
      <c r="A11996" s="27"/>
    </row>
    <row r="11997" spans="1:1">
      <c r="A11997" s="27"/>
    </row>
    <row r="11998" spans="1:1">
      <c r="A11998" s="27"/>
    </row>
    <row r="11999" spans="1:1">
      <c r="A11999" s="27"/>
    </row>
    <row r="12000" spans="1:1">
      <c r="A12000" s="27"/>
    </row>
    <row r="12001" spans="1:1">
      <c r="A12001" s="27"/>
    </row>
    <row r="12002" spans="1:1">
      <c r="A12002" s="27"/>
    </row>
    <row r="12003" spans="1:1">
      <c r="A12003" s="27"/>
    </row>
    <row r="12004" spans="1:1">
      <c r="A12004" s="27"/>
    </row>
    <row r="12005" spans="1:1">
      <c r="A12005" s="27"/>
    </row>
    <row r="12006" spans="1:1">
      <c r="A12006" s="27"/>
    </row>
    <row r="12007" spans="1:1">
      <c r="A12007" s="27"/>
    </row>
    <row r="12008" spans="1:1">
      <c r="A12008" s="27"/>
    </row>
    <row r="12009" spans="1:1">
      <c r="A12009" s="27"/>
    </row>
    <row r="12010" spans="1:1">
      <c r="A12010" s="27"/>
    </row>
    <row r="12011" spans="1:1">
      <c r="A12011" s="27"/>
    </row>
    <row r="12012" spans="1:1">
      <c r="A12012" s="27"/>
    </row>
    <row r="12013" spans="1:1">
      <c r="A12013" s="27"/>
    </row>
    <row r="12014" spans="1:1">
      <c r="A12014" s="27"/>
    </row>
    <row r="12015" spans="1:1">
      <c r="A12015" s="27"/>
    </row>
    <row r="12016" spans="1:1">
      <c r="A12016" s="27"/>
    </row>
    <row r="12017" spans="1:1">
      <c r="A12017" s="27"/>
    </row>
    <row r="12018" spans="1:1">
      <c r="A12018" s="27"/>
    </row>
    <row r="12019" spans="1:1">
      <c r="A12019" s="27"/>
    </row>
    <row r="12020" spans="1:1">
      <c r="A12020" s="27"/>
    </row>
    <row r="12021" spans="1:1">
      <c r="A12021" s="27"/>
    </row>
    <row r="12022" spans="1:1">
      <c r="A12022" s="27"/>
    </row>
    <row r="12023" spans="1:1">
      <c r="A12023" s="27"/>
    </row>
    <row r="12024" spans="1:1">
      <c r="A12024" s="27"/>
    </row>
    <row r="12025" spans="1:1">
      <c r="A12025" s="27"/>
    </row>
    <row r="12026" spans="1:1">
      <c r="A12026" s="27"/>
    </row>
    <row r="12027" spans="1:1">
      <c r="A12027" s="27"/>
    </row>
    <row r="12028" spans="1:1">
      <c r="A12028" s="27"/>
    </row>
    <row r="12029" spans="1:1">
      <c r="A12029" s="27"/>
    </row>
    <row r="12030" spans="1:1">
      <c r="A12030" s="27"/>
    </row>
    <row r="12031" spans="1:1">
      <c r="A12031" s="27"/>
    </row>
    <row r="12032" spans="1:1">
      <c r="A12032" s="27"/>
    </row>
    <row r="12033" spans="1:1">
      <c r="A12033" s="27"/>
    </row>
    <row r="12034" spans="1:1">
      <c r="A12034" s="27"/>
    </row>
    <row r="12035" spans="1:1">
      <c r="A12035" s="27"/>
    </row>
    <row r="12036" spans="1:1">
      <c r="A12036" s="27"/>
    </row>
    <row r="12037" spans="1:1">
      <c r="A12037" s="27"/>
    </row>
    <row r="12038" spans="1:1">
      <c r="A12038" s="27"/>
    </row>
    <row r="12039" spans="1:1">
      <c r="A12039" s="27"/>
    </row>
    <row r="12040" spans="1:1">
      <c r="A12040" s="27"/>
    </row>
    <row r="12041" spans="1:1">
      <c r="A12041" s="27"/>
    </row>
    <row r="12042" spans="1:1">
      <c r="A12042" s="27"/>
    </row>
    <row r="12043" spans="1:1">
      <c r="A12043" s="27"/>
    </row>
    <row r="12044" spans="1:1">
      <c r="A12044" s="27"/>
    </row>
    <row r="12045" spans="1:1">
      <c r="A12045" s="27"/>
    </row>
    <row r="12046" spans="1:1">
      <c r="A12046" s="27"/>
    </row>
    <row r="12047" spans="1:1">
      <c r="A12047" s="27"/>
    </row>
    <row r="12048" spans="1:1">
      <c r="A12048" s="27"/>
    </row>
    <row r="12049" spans="1:1">
      <c r="A12049" s="27"/>
    </row>
    <row r="12050" spans="1:1">
      <c r="A12050" s="27"/>
    </row>
    <row r="12051" spans="1:1">
      <c r="A12051" s="27"/>
    </row>
    <row r="12052" spans="1:1">
      <c r="A12052" s="27"/>
    </row>
    <row r="12053" spans="1:1">
      <c r="A12053" s="27"/>
    </row>
    <row r="12054" spans="1:1">
      <c r="A12054" s="27"/>
    </row>
    <row r="12055" spans="1:1">
      <c r="A12055" s="27"/>
    </row>
    <row r="12056" spans="1:1">
      <c r="A12056" s="27"/>
    </row>
    <row r="12057" spans="1:1">
      <c r="A12057" s="27"/>
    </row>
    <row r="12058" spans="1:1">
      <c r="A12058" s="27"/>
    </row>
    <row r="12059" spans="1:1">
      <c r="A12059" s="27"/>
    </row>
    <row r="12060" spans="1:1">
      <c r="A12060" s="27"/>
    </row>
    <row r="12061" spans="1:1">
      <c r="A12061" s="27"/>
    </row>
    <row r="12062" spans="1:1">
      <c r="A12062" s="27"/>
    </row>
    <row r="12063" spans="1:1">
      <c r="A12063" s="27"/>
    </row>
    <row r="12064" spans="1:1">
      <c r="A12064" s="27"/>
    </row>
    <row r="12065" spans="1:1">
      <c r="A12065" s="27"/>
    </row>
    <row r="12066" spans="1:1">
      <c r="A12066" s="27"/>
    </row>
    <row r="12067" spans="1:1">
      <c r="A12067" s="27"/>
    </row>
    <row r="12068" spans="1:1">
      <c r="A12068" s="27"/>
    </row>
    <row r="12069" spans="1:1">
      <c r="A12069" s="27"/>
    </row>
    <row r="12070" spans="1:1">
      <c r="A12070" s="27"/>
    </row>
    <row r="12071" spans="1:1">
      <c r="A12071" s="27"/>
    </row>
    <row r="12072" spans="1:1">
      <c r="A12072" s="27"/>
    </row>
    <row r="12073" spans="1:1">
      <c r="A12073" s="27"/>
    </row>
    <row r="12074" spans="1:1">
      <c r="A12074" s="27"/>
    </row>
    <row r="12075" spans="1:1">
      <c r="A12075" s="27"/>
    </row>
    <row r="12076" spans="1:1">
      <c r="A12076" s="27"/>
    </row>
    <row r="12077" spans="1:1">
      <c r="A12077" s="27"/>
    </row>
    <row r="12078" spans="1:1">
      <c r="A12078" s="27"/>
    </row>
    <row r="12079" spans="1:1">
      <c r="A12079" s="27"/>
    </row>
    <row r="12080" spans="1:1">
      <c r="A12080" s="27"/>
    </row>
    <row r="12081" spans="1:1">
      <c r="A12081" s="27"/>
    </row>
    <row r="12082" spans="1:1">
      <c r="A12082" s="27"/>
    </row>
    <row r="12083" spans="1:1">
      <c r="A12083" s="27"/>
    </row>
    <row r="12084" spans="1:1">
      <c r="A12084" s="27"/>
    </row>
    <row r="12085" spans="1:1">
      <c r="A12085" s="27"/>
    </row>
    <row r="12086" spans="1:1">
      <c r="A12086" s="27"/>
    </row>
    <row r="12087" spans="1:1">
      <c r="A12087" s="27"/>
    </row>
    <row r="12088" spans="1:1">
      <c r="A12088" s="27"/>
    </row>
    <row r="12089" spans="1:1">
      <c r="A12089" s="27"/>
    </row>
    <row r="12090" spans="1:1">
      <c r="A12090" s="27"/>
    </row>
    <row r="12091" spans="1:1">
      <c r="A12091" s="27"/>
    </row>
    <row r="12092" spans="1:1">
      <c r="A12092" s="27"/>
    </row>
    <row r="12093" spans="1:1">
      <c r="A12093" s="27"/>
    </row>
    <row r="12094" spans="1:1">
      <c r="A12094" s="27"/>
    </row>
    <row r="12095" spans="1:1">
      <c r="A12095" s="27"/>
    </row>
    <row r="12096" spans="1:1">
      <c r="A12096" s="27"/>
    </row>
    <row r="12097" spans="1:1">
      <c r="A12097" s="27"/>
    </row>
    <row r="12098" spans="1:1">
      <c r="A12098" s="27"/>
    </row>
    <row r="12099" spans="1:1">
      <c r="A12099" s="27"/>
    </row>
    <row r="12100" spans="1:1">
      <c r="A12100" s="27"/>
    </row>
    <row r="12101" spans="1:1">
      <c r="A12101" s="27"/>
    </row>
    <row r="12102" spans="1:1">
      <c r="A12102" s="27"/>
    </row>
    <row r="12103" spans="1:1">
      <c r="A12103" s="27"/>
    </row>
    <row r="12104" spans="1:1">
      <c r="A12104" s="27"/>
    </row>
    <row r="12105" spans="1:1">
      <c r="A12105" s="27"/>
    </row>
    <row r="12106" spans="1:1">
      <c r="A12106" s="27"/>
    </row>
    <row r="12107" spans="1:1">
      <c r="A12107" s="27"/>
    </row>
    <row r="12108" spans="1:1">
      <c r="A12108" s="27"/>
    </row>
    <row r="12109" spans="1:1">
      <c r="A12109" s="27"/>
    </row>
    <row r="12110" spans="1:1">
      <c r="A12110" s="27"/>
    </row>
    <row r="12111" spans="1:1">
      <c r="A12111" s="27"/>
    </row>
    <row r="12112" spans="1:1">
      <c r="A12112" s="27"/>
    </row>
    <row r="12113" spans="1:1">
      <c r="A12113" s="27"/>
    </row>
    <row r="12114" spans="1:1">
      <c r="A12114" s="27"/>
    </row>
    <row r="12115" spans="1:1">
      <c r="A12115" s="27"/>
    </row>
    <row r="12116" spans="1:1">
      <c r="A12116" s="27"/>
    </row>
    <row r="12117" spans="1:1">
      <c r="A12117" s="27"/>
    </row>
    <row r="12118" spans="1:1">
      <c r="A12118" s="27"/>
    </row>
    <row r="12119" spans="1:1">
      <c r="A12119" s="27"/>
    </row>
    <row r="12120" spans="1:1">
      <c r="A12120" s="27"/>
    </row>
    <row r="12121" spans="1:1">
      <c r="A12121" s="27"/>
    </row>
    <row r="12122" spans="1:1">
      <c r="A12122" s="27"/>
    </row>
    <row r="12123" spans="1:1">
      <c r="A12123" s="27"/>
    </row>
    <row r="12124" spans="1:1">
      <c r="A12124" s="27"/>
    </row>
    <row r="12125" spans="1:1">
      <c r="A12125" s="27"/>
    </row>
    <row r="12126" spans="1:1">
      <c r="A12126" s="27"/>
    </row>
    <row r="12127" spans="1:1">
      <c r="A12127" s="27"/>
    </row>
    <row r="12128" spans="1:1">
      <c r="A12128" s="27"/>
    </row>
    <row r="12129" spans="1:1">
      <c r="A12129" s="27"/>
    </row>
    <row r="12130" spans="1:1">
      <c r="A12130" s="27"/>
    </row>
    <row r="12131" spans="1:1">
      <c r="A12131" s="27"/>
    </row>
    <row r="12132" spans="1:1">
      <c r="A12132" s="27"/>
    </row>
    <row r="12133" spans="1:1">
      <c r="A12133" s="27"/>
    </row>
    <row r="12134" spans="1:1">
      <c r="A12134" s="27"/>
    </row>
    <row r="12135" spans="1:1">
      <c r="A12135" s="27"/>
    </row>
    <row r="12136" spans="1:1">
      <c r="A12136" s="27"/>
    </row>
    <row r="12137" spans="1:1">
      <c r="A12137" s="27"/>
    </row>
    <row r="12138" spans="1:1">
      <c r="A12138" s="27"/>
    </row>
    <row r="12139" spans="1:1">
      <c r="A12139" s="27"/>
    </row>
    <row r="12140" spans="1:1">
      <c r="A12140" s="27"/>
    </row>
    <row r="12141" spans="1:1">
      <c r="A12141" s="27"/>
    </row>
    <row r="12142" spans="1:1">
      <c r="A12142" s="27"/>
    </row>
    <row r="12143" spans="1:1">
      <c r="A12143" s="27"/>
    </row>
    <row r="12144" spans="1:1">
      <c r="A12144" s="27"/>
    </row>
    <row r="12145" spans="1:1">
      <c r="A12145" s="27"/>
    </row>
    <row r="12146" spans="1:1">
      <c r="A12146" s="27"/>
    </row>
    <row r="12147" spans="1:1">
      <c r="A12147" s="27"/>
    </row>
    <row r="12148" spans="1:1">
      <c r="A12148" s="27"/>
    </row>
    <row r="12149" spans="1:1">
      <c r="A12149" s="27"/>
    </row>
    <row r="12150" spans="1:1">
      <c r="A12150" s="27"/>
    </row>
    <row r="12151" spans="1:1">
      <c r="A12151" s="27"/>
    </row>
    <row r="12152" spans="1:1">
      <c r="A12152" s="27"/>
    </row>
    <row r="12153" spans="1:1">
      <c r="A12153" s="27"/>
    </row>
    <row r="12154" spans="1:1">
      <c r="A12154" s="27"/>
    </row>
    <row r="12155" spans="1:1">
      <c r="A12155" s="27"/>
    </row>
    <row r="12156" spans="1:1">
      <c r="A12156" s="27"/>
    </row>
    <row r="12157" spans="1:1">
      <c r="A12157" s="27"/>
    </row>
    <row r="12158" spans="1:1">
      <c r="A12158" s="27"/>
    </row>
    <row r="12159" spans="1:1">
      <c r="A12159" s="27"/>
    </row>
    <row r="12160" spans="1:1">
      <c r="A12160" s="27"/>
    </row>
    <row r="12161" spans="1:1">
      <c r="A12161" s="27"/>
    </row>
    <row r="12162" spans="1:1">
      <c r="A12162" s="27"/>
    </row>
    <row r="12163" spans="1:1">
      <c r="A12163" s="27"/>
    </row>
    <row r="12164" spans="1:1">
      <c r="A12164" s="27"/>
    </row>
    <row r="12165" spans="1:1">
      <c r="A12165" s="27"/>
    </row>
    <row r="12166" spans="1:1">
      <c r="A12166" s="27"/>
    </row>
    <row r="12167" spans="1:1">
      <c r="A12167" s="27"/>
    </row>
    <row r="12168" spans="1:1">
      <c r="A12168" s="27"/>
    </row>
    <row r="12169" spans="1:1">
      <c r="A12169" s="27"/>
    </row>
    <row r="12170" spans="1:1">
      <c r="A12170" s="27"/>
    </row>
    <row r="12171" spans="1:1">
      <c r="A12171" s="27"/>
    </row>
    <row r="12172" spans="1:1">
      <c r="A12172" s="27"/>
    </row>
    <row r="12173" spans="1:1">
      <c r="A12173" s="27"/>
    </row>
    <row r="12174" spans="1:1">
      <c r="A12174" s="27"/>
    </row>
    <row r="12175" spans="1:1">
      <c r="A12175" s="27"/>
    </row>
    <row r="12176" spans="1:1">
      <c r="A12176" s="27"/>
    </row>
    <row r="12177" spans="1:1">
      <c r="A12177" s="27"/>
    </row>
    <row r="12178" spans="1:1">
      <c r="A12178" s="27"/>
    </row>
    <row r="12179" spans="1:1">
      <c r="A12179" s="27"/>
    </row>
    <row r="12180" spans="1:1">
      <c r="A12180" s="27"/>
    </row>
    <row r="12181" spans="1:1">
      <c r="A12181" s="27"/>
    </row>
    <row r="12182" spans="1:1">
      <c r="A12182" s="27"/>
    </row>
    <row r="12183" spans="1:1">
      <c r="A12183" s="27"/>
    </row>
    <row r="12184" spans="1:1">
      <c r="A12184" s="27"/>
    </row>
    <row r="12185" spans="1:1">
      <c r="A12185" s="27"/>
    </row>
    <row r="12186" spans="1:1">
      <c r="A12186" s="27"/>
    </row>
    <row r="12187" spans="1:1">
      <c r="A12187" s="27"/>
    </row>
    <row r="12188" spans="1:1">
      <c r="A12188" s="27"/>
    </row>
    <row r="12189" spans="1:1">
      <c r="A12189" s="27"/>
    </row>
    <row r="12190" spans="1:1">
      <c r="A12190" s="27"/>
    </row>
    <row r="12191" spans="1:1">
      <c r="A12191" s="27"/>
    </row>
    <row r="12192" spans="1:1">
      <c r="A12192" s="27"/>
    </row>
    <row r="12193" spans="1:1">
      <c r="A12193" s="27"/>
    </row>
    <row r="12194" spans="1:1">
      <c r="A12194" s="27"/>
    </row>
    <row r="12195" spans="1:1">
      <c r="A12195" s="27"/>
    </row>
    <row r="12196" spans="1:1">
      <c r="A12196" s="27"/>
    </row>
    <row r="12197" spans="1:1">
      <c r="A12197" s="27"/>
    </row>
    <row r="12198" spans="1:1">
      <c r="A12198" s="27"/>
    </row>
    <row r="12199" spans="1:1">
      <c r="A12199" s="27"/>
    </row>
    <row r="12200" spans="1:1">
      <c r="A12200" s="27"/>
    </row>
    <row r="12201" spans="1:1">
      <c r="A12201" s="27"/>
    </row>
    <row r="12202" spans="1:1">
      <c r="A12202" s="27"/>
    </row>
    <row r="12203" spans="1:1">
      <c r="A12203" s="27"/>
    </row>
    <row r="12204" spans="1:1">
      <c r="A12204" s="27"/>
    </row>
    <row r="12205" spans="1:1">
      <c r="A12205" s="27"/>
    </row>
    <row r="12206" spans="1:1">
      <c r="A12206" s="27"/>
    </row>
    <row r="12207" spans="1:1">
      <c r="A12207" s="27"/>
    </row>
    <row r="12208" spans="1:1">
      <c r="A12208" s="27"/>
    </row>
    <row r="12209" spans="1:1">
      <c r="A12209" s="27"/>
    </row>
    <row r="12210" spans="1:1">
      <c r="A12210" s="27"/>
    </row>
    <row r="12211" spans="1:1">
      <c r="A12211" s="27"/>
    </row>
    <row r="12212" spans="1:1">
      <c r="A12212" s="27"/>
    </row>
    <row r="12213" spans="1:1">
      <c r="A12213" s="27"/>
    </row>
    <row r="12214" spans="1:1">
      <c r="A12214" s="27"/>
    </row>
    <row r="12215" spans="1:1">
      <c r="A12215" s="27"/>
    </row>
    <row r="12216" spans="1:1">
      <c r="A12216" s="27"/>
    </row>
    <row r="12217" spans="1:1">
      <c r="A12217" s="27"/>
    </row>
    <row r="12218" spans="1:1">
      <c r="A12218" s="27"/>
    </row>
    <row r="12219" spans="1:1">
      <c r="A12219" s="27"/>
    </row>
    <row r="12220" spans="1:1">
      <c r="A12220" s="27"/>
    </row>
    <row r="12221" spans="1:1">
      <c r="A12221" s="27"/>
    </row>
    <row r="12222" spans="1:1">
      <c r="A12222" s="27"/>
    </row>
    <row r="12223" spans="1:1">
      <c r="A12223" s="27"/>
    </row>
    <row r="12224" spans="1:1">
      <c r="A12224" s="27"/>
    </row>
    <row r="12225" spans="1:1">
      <c r="A12225" s="27"/>
    </row>
    <row r="12226" spans="1:1">
      <c r="A12226" s="27"/>
    </row>
    <row r="12227" spans="1:1">
      <c r="A12227" s="27"/>
    </row>
    <row r="12228" spans="1:1">
      <c r="A12228" s="27"/>
    </row>
    <row r="12229" spans="1:1">
      <c r="A12229" s="27"/>
    </row>
    <row r="12230" spans="1:1">
      <c r="A12230" s="27"/>
    </row>
    <row r="12231" spans="1:1">
      <c r="A12231" s="27"/>
    </row>
    <row r="12232" spans="1:1">
      <c r="A12232" s="27"/>
    </row>
    <row r="12233" spans="1:1">
      <c r="A12233" s="27"/>
    </row>
    <row r="12234" spans="1:1">
      <c r="A12234" s="27"/>
    </row>
    <row r="12235" spans="1:1">
      <c r="A12235" s="27"/>
    </row>
    <row r="12236" spans="1:1">
      <c r="A12236" s="27"/>
    </row>
    <row r="12237" spans="1:1">
      <c r="A12237" s="27"/>
    </row>
    <row r="12238" spans="1:1">
      <c r="A12238" s="27"/>
    </row>
    <row r="12239" spans="1:1">
      <c r="A12239" s="27"/>
    </row>
    <row r="12240" spans="1:1">
      <c r="A12240" s="27"/>
    </row>
    <row r="12241" spans="1:1">
      <c r="A12241" s="27"/>
    </row>
    <row r="12242" spans="1:1">
      <c r="A12242" s="27"/>
    </row>
    <row r="12243" spans="1:1">
      <c r="A12243" s="27"/>
    </row>
    <row r="12244" spans="1:1">
      <c r="A12244" s="27"/>
    </row>
    <row r="12245" spans="1:1">
      <c r="A12245" s="27"/>
    </row>
    <row r="12246" spans="1:1">
      <c r="A12246" s="27"/>
    </row>
    <row r="12247" spans="1:1">
      <c r="A12247" s="27"/>
    </row>
    <row r="12248" spans="1:1">
      <c r="A12248" s="27"/>
    </row>
    <row r="12249" spans="1:1">
      <c r="A12249" s="27"/>
    </row>
    <row r="12250" spans="1:1">
      <c r="A12250" s="27"/>
    </row>
    <row r="12251" spans="1:1">
      <c r="A12251" s="27"/>
    </row>
    <row r="12252" spans="1:1">
      <c r="A12252" s="27"/>
    </row>
    <row r="12253" spans="1:1">
      <c r="A12253" s="27"/>
    </row>
    <row r="12254" spans="1:1">
      <c r="A12254" s="27"/>
    </row>
    <row r="12255" spans="1:1">
      <c r="A12255" s="27"/>
    </row>
    <row r="12256" spans="1:1">
      <c r="A12256" s="27"/>
    </row>
    <row r="12257" spans="1:1">
      <c r="A12257" s="27"/>
    </row>
    <row r="12258" spans="1:1">
      <c r="A12258" s="27"/>
    </row>
    <row r="12259" spans="1:1">
      <c r="A12259" s="27"/>
    </row>
    <row r="12260" spans="1:1">
      <c r="A12260" s="27"/>
    </row>
    <row r="12261" spans="1:1">
      <c r="A12261" s="27"/>
    </row>
    <row r="12262" spans="1:1">
      <c r="A12262" s="27"/>
    </row>
    <row r="12263" spans="1:1">
      <c r="A12263" s="27"/>
    </row>
    <row r="12264" spans="1:1">
      <c r="A12264" s="27"/>
    </row>
    <row r="12265" spans="1:1">
      <c r="A12265" s="27"/>
    </row>
    <row r="12266" spans="1:1">
      <c r="A12266" s="27"/>
    </row>
    <row r="12267" spans="1:1">
      <c r="A12267" s="27"/>
    </row>
    <row r="12268" spans="1:1">
      <c r="A12268" s="27"/>
    </row>
    <row r="12269" spans="1:1">
      <c r="A12269" s="27"/>
    </row>
    <row r="12270" spans="1:1">
      <c r="A12270" s="27"/>
    </row>
    <row r="12271" spans="1:1">
      <c r="A12271" s="27"/>
    </row>
    <row r="12272" spans="1:1">
      <c r="A12272" s="27"/>
    </row>
    <row r="12273" spans="1:1">
      <c r="A12273" s="27"/>
    </row>
    <row r="12274" spans="1:1">
      <c r="A12274" s="27"/>
    </row>
    <row r="12275" spans="1:1">
      <c r="A12275" s="27"/>
    </row>
    <row r="12276" spans="1:1">
      <c r="A12276" s="27"/>
    </row>
    <row r="12277" spans="1:1">
      <c r="A12277" s="27"/>
    </row>
    <row r="12278" spans="1:1">
      <c r="A12278" s="27"/>
    </row>
    <row r="12279" spans="1:1">
      <c r="A12279" s="27"/>
    </row>
    <row r="12280" spans="1:1">
      <c r="A12280" s="27"/>
    </row>
    <row r="12281" spans="1:1">
      <c r="A12281" s="27"/>
    </row>
    <row r="12282" spans="1:1">
      <c r="A12282" s="27"/>
    </row>
    <row r="12283" spans="1:1">
      <c r="A12283" s="27"/>
    </row>
    <row r="12284" spans="1:1">
      <c r="A12284" s="27"/>
    </row>
    <row r="12285" spans="1:1">
      <c r="A12285" s="27"/>
    </row>
    <row r="12286" spans="1:1">
      <c r="A12286" s="27"/>
    </row>
    <row r="12287" spans="1:1">
      <c r="A12287" s="27"/>
    </row>
    <row r="12288" spans="1:1">
      <c r="A12288" s="27"/>
    </row>
    <row r="12289" spans="1:1">
      <c r="A12289" s="27"/>
    </row>
    <row r="12290" spans="1:1">
      <c r="A12290" s="27"/>
    </row>
    <row r="12291" spans="1:1">
      <c r="A12291" s="27"/>
    </row>
    <row r="12292" spans="1:1">
      <c r="A12292" s="27"/>
    </row>
    <row r="12293" spans="1:1">
      <c r="A12293" s="27"/>
    </row>
    <row r="12294" spans="1:1">
      <c r="A12294" s="27"/>
    </row>
    <row r="12295" spans="1:1">
      <c r="A12295" s="27"/>
    </row>
    <row r="12296" spans="1:1">
      <c r="A12296" s="27"/>
    </row>
    <row r="12297" spans="1:1">
      <c r="A12297" s="27"/>
    </row>
    <row r="12298" spans="1:1">
      <c r="A12298" s="27"/>
    </row>
    <row r="12299" spans="1:1">
      <c r="A12299" s="27"/>
    </row>
    <row r="12300" spans="1:1">
      <c r="A12300" s="27"/>
    </row>
    <row r="12301" spans="1:1">
      <c r="A12301" s="27"/>
    </row>
    <row r="12302" spans="1:1">
      <c r="A12302" s="27"/>
    </row>
    <row r="12303" spans="1:1">
      <c r="A12303" s="27"/>
    </row>
    <row r="12304" spans="1:1">
      <c r="A12304" s="27"/>
    </row>
    <row r="12305" spans="1:1">
      <c r="A12305" s="27"/>
    </row>
    <row r="12306" spans="1:1">
      <c r="A12306" s="27"/>
    </row>
    <row r="12307" spans="1:1">
      <c r="A12307" s="27"/>
    </row>
    <row r="12308" spans="1:1">
      <c r="A12308" s="27"/>
    </row>
    <row r="12309" spans="1:1">
      <c r="A12309" s="27"/>
    </row>
    <row r="12310" spans="1:1">
      <c r="A12310" s="27"/>
    </row>
    <row r="12311" spans="1:1">
      <c r="A12311" s="27"/>
    </row>
    <row r="12312" spans="1:1">
      <c r="A12312" s="27"/>
    </row>
    <row r="12313" spans="1:1">
      <c r="A12313" s="27"/>
    </row>
    <row r="12314" spans="1:1">
      <c r="A12314" s="27"/>
    </row>
    <row r="12315" spans="1:1">
      <c r="A12315" s="27"/>
    </row>
    <row r="12316" spans="1:1">
      <c r="A12316" s="27"/>
    </row>
    <row r="12317" spans="1:1">
      <c r="A12317" s="27"/>
    </row>
    <row r="12318" spans="1:1">
      <c r="A12318" s="27"/>
    </row>
    <row r="12319" spans="1:1">
      <c r="A12319" s="27"/>
    </row>
    <row r="12320" spans="1:1">
      <c r="A12320" s="27"/>
    </row>
    <row r="12321" spans="1:1">
      <c r="A12321" s="27"/>
    </row>
    <row r="12322" spans="1:1">
      <c r="A12322" s="27"/>
    </row>
    <row r="12323" spans="1:1">
      <c r="A12323" s="27"/>
    </row>
    <row r="12324" spans="1:1">
      <c r="A12324" s="27"/>
    </row>
    <row r="12325" spans="1:1">
      <c r="A12325" s="27"/>
    </row>
    <row r="12326" spans="1:1">
      <c r="A12326" s="27"/>
    </row>
    <row r="12327" spans="1:1">
      <c r="A12327" s="27"/>
    </row>
    <row r="12328" spans="1:1">
      <c r="A12328" s="27"/>
    </row>
    <row r="12329" spans="1:1">
      <c r="A12329" s="27"/>
    </row>
    <row r="12330" spans="1:1">
      <c r="A12330" s="27"/>
    </row>
    <row r="12331" spans="1:1">
      <c r="A12331" s="27"/>
    </row>
    <row r="12332" spans="1:1">
      <c r="A12332" s="27"/>
    </row>
    <row r="12333" spans="1:1">
      <c r="A12333" s="27"/>
    </row>
    <row r="12334" spans="1:1">
      <c r="A12334" s="27"/>
    </row>
    <row r="12335" spans="1:1">
      <c r="A12335" s="27"/>
    </row>
    <row r="12336" spans="1:1">
      <c r="A12336" s="27"/>
    </row>
    <row r="12337" spans="1:1">
      <c r="A12337" s="27"/>
    </row>
    <row r="12338" spans="1:1">
      <c r="A12338" s="27"/>
    </row>
    <row r="12339" spans="1:1">
      <c r="A12339" s="27"/>
    </row>
    <row r="12340" spans="1:1">
      <c r="A12340" s="27"/>
    </row>
    <row r="12341" spans="1:1">
      <c r="A12341" s="27"/>
    </row>
    <row r="12342" spans="1:1">
      <c r="A12342" s="27"/>
    </row>
    <row r="12343" spans="1:1">
      <c r="A12343" s="27"/>
    </row>
    <row r="12344" spans="1:1">
      <c r="A12344" s="27"/>
    </row>
    <row r="12345" spans="1:1">
      <c r="A12345" s="27"/>
    </row>
    <row r="12346" spans="1:1">
      <c r="A12346" s="27"/>
    </row>
    <row r="12347" spans="1:1">
      <c r="A12347" s="27"/>
    </row>
    <row r="12348" spans="1:1">
      <c r="A12348" s="27"/>
    </row>
    <row r="12349" spans="1:1">
      <c r="A12349" s="27"/>
    </row>
    <row r="12350" spans="1:1">
      <c r="A12350" s="27"/>
    </row>
    <row r="12351" spans="1:1">
      <c r="A12351" s="27"/>
    </row>
    <row r="12352" spans="1:1">
      <c r="A12352" s="27"/>
    </row>
    <row r="12353" spans="1:1">
      <c r="A12353" s="27"/>
    </row>
    <row r="12354" spans="1:1">
      <c r="A12354" s="27"/>
    </row>
    <row r="12355" spans="1:1">
      <c r="A12355" s="27"/>
    </row>
    <row r="12356" spans="1:1">
      <c r="A12356" s="27"/>
    </row>
    <row r="12357" spans="1:1">
      <c r="A12357" s="27"/>
    </row>
    <row r="12358" spans="1:1">
      <c r="A12358" s="27"/>
    </row>
    <row r="12359" spans="1:1">
      <c r="A12359" s="27"/>
    </row>
    <row r="12360" spans="1:1">
      <c r="A12360" s="27"/>
    </row>
    <row r="12361" spans="1:1">
      <c r="A12361" s="27"/>
    </row>
    <row r="12362" spans="1:1">
      <c r="A12362" s="27"/>
    </row>
    <row r="12363" spans="1:1">
      <c r="A12363" s="27"/>
    </row>
    <row r="12364" spans="1:1">
      <c r="A12364" s="27"/>
    </row>
    <row r="12365" spans="1:1">
      <c r="A12365" s="27"/>
    </row>
    <row r="12366" spans="1:1">
      <c r="A12366" s="27"/>
    </row>
    <row r="12367" spans="1:1">
      <c r="A12367" s="27"/>
    </row>
    <row r="12368" spans="1:1">
      <c r="A12368" s="27"/>
    </row>
    <row r="12369" spans="1:1">
      <c r="A12369" s="27"/>
    </row>
    <row r="12370" spans="1:1">
      <c r="A12370" s="27"/>
    </row>
    <row r="12371" spans="1:1">
      <c r="A12371" s="27"/>
    </row>
    <row r="12372" spans="1:1">
      <c r="A12372" s="27"/>
    </row>
    <row r="12373" spans="1:1">
      <c r="A12373" s="27"/>
    </row>
    <row r="12374" spans="1:1">
      <c r="A12374" s="27"/>
    </row>
    <row r="12375" spans="1:1">
      <c r="A12375" s="27"/>
    </row>
    <row r="12376" spans="1:1">
      <c r="A12376" s="27"/>
    </row>
    <row r="12377" spans="1:1">
      <c r="A12377" s="27"/>
    </row>
    <row r="12378" spans="1:1">
      <c r="A12378" s="27"/>
    </row>
    <row r="12379" spans="1:1">
      <c r="A12379" s="27"/>
    </row>
    <row r="12380" spans="1:1">
      <c r="A12380" s="27"/>
    </row>
    <row r="12381" spans="1:1">
      <c r="A12381" s="27"/>
    </row>
    <row r="12382" spans="1:1">
      <c r="A12382" s="27"/>
    </row>
    <row r="12383" spans="1:1">
      <c r="A12383" s="27"/>
    </row>
    <row r="12384" spans="1:1">
      <c r="A12384" s="27"/>
    </row>
    <row r="12385" spans="1:1">
      <c r="A12385" s="27"/>
    </row>
    <row r="12386" spans="1:1">
      <c r="A12386" s="27"/>
    </row>
    <row r="12387" spans="1:1">
      <c r="A12387" s="27"/>
    </row>
    <row r="12388" spans="1:1">
      <c r="A12388" s="27"/>
    </row>
    <row r="12389" spans="1:1">
      <c r="A12389" s="27"/>
    </row>
    <row r="12390" spans="1:1">
      <c r="A12390" s="27"/>
    </row>
    <row r="12391" spans="1:1">
      <c r="A12391" s="27"/>
    </row>
    <row r="12392" spans="1:1">
      <c r="A12392" s="27"/>
    </row>
    <row r="12393" spans="1:1">
      <c r="A12393" s="27"/>
    </row>
    <row r="12394" spans="1:1">
      <c r="A12394" s="27"/>
    </row>
    <row r="12395" spans="1:1">
      <c r="A12395" s="27"/>
    </row>
    <row r="12396" spans="1:1">
      <c r="A12396" s="27"/>
    </row>
    <row r="12397" spans="1:1">
      <c r="A12397" s="27"/>
    </row>
    <row r="12398" spans="1:1">
      <c r="A12398" s="27"/>
    </row>
    <row r="12399" spans="1:1">
      <c r="A12399" s="27"/>
    </row>
    <row r="12400" spans="1:1">
      <c r="A12400" s="27"/>
    </row>
    <row r="12401" spans="1:1">
      <c r="A12401" s="27"/>
    </row>
    <row r="12402" spans="1:1">
      <c r="A12402" s="27"/>
    </row>
    <row r="12403" spans="1:1">
      <c r="A12403" s="27"/>
    </row>
    <row r="12404" spans="1:1">
      <c r="A12404" s="27"/>
    </row>
    <row r="12405" spans="1:1">
      <c r="A12405" s="27"/>
    </row>
    <row r="12406" spans="1:1">
      <c r="A12406" s="27"/>
    </row>
    <row r="12407" spans="1:1">
      <c r="A12407" s="27"/>
    </row>
    <row r="12408" spans="1:1">
      <c r="A12408" s="27"/>
    </row>
    <row r="12409" spans="1:1">
      <c r="A12409" s="27"/>
    </row>
    <row r="12410" spans="1:1">
      <c r="A12410" s="27"/>
    </row>
    <row r="12411" spans="1:1">
      <c r="A12411" s="27"/>
    </row>
    <row r="12412" spans="1:1">
      <c r="A12412" s="27"/>
    </row>
    <row r="12413" spans="1:1">
      <c r="A12413" s="27"/>
    </row>
    <row r="12414" spans="1:1">
      <c r="A12414" s="27"/>
    </row>
    <row r="12415" spans="1:1">
      <c r="A12415" s="27"/>
    </row>
    <row r="12416" spans="1:1">
      <c r="A12416" s="27"/>
    </row>
    <row r="12417" spans="1:1">
      <c r="A12417" s="27"/>
    </row>
    <row r="12418" spans="1:1">
      <c r="A12418" s="27"/>
    </row>
    <row r="12419" spans="1:1">
      <c r="A12419" s="27"/>
    </row>
    <row r="12420" spans="1:1">
      <c r="A12420" s="27"/>
    </row>
    <row r="12421" spans="1:1">
      <c r="A12421" s="27"/>
    </row>
    <row r="12422" spans="1:1">
      <c r="A12422" s="27"/>
    </row>
    <row r="12423" spans="1:1">
      <c r="A12423" s="27"/>
    </row>
    <row r="12424" spans="1:1">
      <c r="A12424" s="27"/>
    </row>
    <row r="12425" spans="1:1">
      <c r="A12425" s="27"/>
    </row>
    <row r="12426" spans="1:1">
      <c r="A12426" s="27"/>
    </row>
    <row r="12427" spans="1:1">
      <c r="A12427" s="27"/>
    </row>
    <row r="12428" spans="1:1">
      <c r="A12428" s="27"/>
    </row>
    <row r="12429" spans="1:1">
      <c r="A12429" s="27"/>
    </row>
    <row r="12430" spans="1:1">
      <c r="A12430" s="27"/>
    </row>
    <row r="12431" spans="1:1">
      <c r="A12431" s="27"/>
    </row>
    <row r="12432" spans="1:1">
      <c r="A12432" s="27"/>
    </row>
    <row r="12433" spans="1:1">
      <c r="A12433" s="27"/>
    </row>
    <row r="12434" spans="1:1">
      <c r="A12434" s="27"/>
    </row>
    <row r="12435" spans="1:1">
      <c r="A12435" s="27"/>
    </row>
    <row r="12436" spans="1:1">
      <c r="A12436" s="27"/>
    </row>
    <row r="12437" spans="1:1">
      <c r="A12437" s="27"/>
    </row>
    <row r="12438" spans="1:1">
      <c r="A12438" s="27"/>
    </row>
    <row r="12439" spans="1:1">
      <c r="A12439" s="27"/>
    </row>
    <row r="12440" spans="1:1">
      <c r="A12440" s="27"/>
    </row>
    <row r="12441" spans="1:1">
      <c r="A12441" s="27"/>
    </row>
    <row r="12442" spans="1:1">
      <c r="A12442" s="27"/>
    </row>
    <row r="12443" spans="1:1">
      <c r="A12443" s="27"/>
    </row>
    <row r="12444" spans="1:1">
      <c r="A12444" s="27"/>
    </row>
    <row r="12445" spans="1:1">
      <c r="A12445" s="27"/>
    </row>
    <row r="12446" spans="1:1">
      <c r="A12446" s="27"/>
    </row>
    <row r="12447" spans="1:1">
      <c r="A12447" s="27"/>
    </row>
    <row r="12448" spans="1:1">
      <c r="A12448" s="27"/>
    </row>
    <row r="12449" spans="1:1">
      <c r="A12449" s="27"/>
    </row>
    <row r="12450" spans="1:1">
      <c r="A12450" s="27"/>
    </row>
    <row r="12451" spans="1:1">
      <c r="A12451" s="27"/>
    </row>
    <row r="12452" spans="1:1">
      <c r="A12452" s="27"/>
    </row>
    <row r="12453" spans="1:1">
      <c r="A12453" s="27"/>
    </row>
    <row r="12454" spans="1:1">
      <c r="A12454" s="27"/>
    </row>
    <row r="12455" spans="1:1">
      <c r="A12455" s="27"/>
    </row>
    <row r="12456" spans="1:1">
      <c r="A12456" s="27"/>
    </row>
    <row r="12457" spans="1:1">
      <c r="A12457" s="27"/>
    </row>
    <row r="12458" spans="1:1">
      <c r="A12458" s="27"/>
    </row>
    <row r="12459" spans="1:1">
      <c r="A12459" s="27"/>
    </row>
    <row r="12460" spans="1:1">
      <c r="A12460" s="27"/>
    </row>
    <row r="12461" spans="1:1">
      <c r="A12461" s="27"/>
    </row>
    <row r="12462" spans="1:1">
      <c r="A12462" s="27"/>
    </row>
    <row r="12463" spans="1:1">
      <c r="A12463" s="27"/>
    </row>
    <row r="12464" spans="1:1">
      <c r="A12464" s="27"/>
    </row>
    <row r="12465" spans="1:1">
      <c r="A12465" s="27"/>
    </row>
    <row r="12466" spans="1:1">
      <c r="A12466" s="27"/>
    </row>
    <row r="12467" spans="1:1">
      <c r="A12467" s="27"/>
    </row>
    <row r="12468" spans="1:1">
      <c r="A12468" s="27"/>
    </row>
    <row r="12469" spans="1:1">
      <c r="A12469" s="27"/>
    </row>
    <row r="12470" spans="1:1">
      <c r="A12470" s="27"/>
    </row>
    <row r="12471" spans="1:1">
      <c r="A12471" s="27"/>
    </row>
    <row r="12472" spans="1:1">
      <c r="A12472" s="27"/>
    </row>
    <row r="12473" spans="1:1">
      <c r="A12473" s="27"/>
    </row>
    <row r="12474" spans="1:1">
      <c r="A12474" s="27"/>
    </row>
    <row r="12475" spans="1:1">
      <c r="A12475" s="27"/>
    </row>
    <row r="12476" spans="1:1">
      <c r="A12476" s="27"/>
    </row>
    <row r="12477" spans="1:1">
      <c r="A12477" s="27"/>
    </row>
    <row r="12478" spans="1:1">
      <c r="A12478" s="27"/>
    </row>
    <row r="12479" spans="1:1">
      <c r="A12479" s="27"/>
    </row>
    <row r="12480" spans="1:1">
      <c r="A12480" s="27"/>
    </row>
    <row r="12481" spans="1:1">
      <c r="A12481" s="27"/>
    </row>
    <row r="12482" spans="1:1">
      <c r="A12482" s="27"/>
    </row>
    <row r="12483" spans="1:1">
      <c r="A12483" s="27"/>
    </row>
    <row r="12484" spans="1:1">
      <c r="A12484" s="27"/>
    </row>
    <row r="12485" spans="1:1">
      <c r="A12485" s="27"/>
    </row>
    <row r="12486" spans="1:1">
      <c r="A12486" s="27"/>
    </row>
    <row r="12487" spans="1:1">
      <c r="A12487" s="27"/>
    </row>
    <row r="12488" spans="1:1">
      <c r="A12488" s="27"/>
    </row>
    <row r="12489" spans="1:1">
      <c r="A12489" s="27"/>
    </row>
    <row r="12490" spans="1:1">
      <c r="A12490" s="27"/>
    </row>
    <row r="12491" spans="1:1">
      <c r="A12491" s="27"/>
    </row>
    <row r="12492" spans="1:1">
      <c r="A12492" s="27"/>
    </row>
    <row r="12493" spans="1:1">
      <c r="A12493" s="27"/>
    </row>
    <row r="12494" spans="1:1">
      <c r="A12494" s="27"/>
    </row>
    <row r="12495" spans="1:1">
      <c r="A12495" s="27"/>
    </row>
    <row r="12496" spans="1:1">
      <c r="A12496" s="27"/>
    </row>
    <row r="12497" spans="1:1">
      <c r="A12497" s="27"/>
    </row>
    <row r="12498" spans="1:1">
      <c r="A12498" s="27"/>
    </row>
    <row r="12499" spans="1:1">
      <c r="A12499" s="27"/>
    </row>
    <row r="12500" spans="1:1">
      <c r="A12500" s="27"/>
    </row>
    <row r="12501" spans="1:1">
      <c r="A12501" s="27"/>
    </row>
    <row r="12502" spans="1:1">
      <c r="A12502" s="27"/>
    </row>
    <row r="12503" spans="1:1">
      <c r="A12503" s="27"/>
    </row>
    <row r="12504" spans="1:1">
      <c r="A12504" s="27"/>
    </row>
    <row r="12505" spans="1:1">
      <c r="A12505" s="27"/>
    </row>
    <row r="12506" spans="1:1">
      <c r="A12506" s="27"/>
    </row>
    <row r="12507" spans="1:1">
      <c r="A12507" s="27"/>
    </row>
    <row r="12508" spans="1:1">
      <c r="A12508" s="27"/>
    </row>
    <row r="12509" spans="1:1">
      <c r="A12509" s="27"/>
    </row>
    <row r="12510" spans="1:1">
      <c r="A12510" s="27"/>
    </row>
    <row r="12511" spans="1:1">
      <c r="A12511" s="27"/>
    </row>
    <row r="12512" spans="1:1">
      <c r="A12512" s="27"/>
    </row>
    <row r="12513" spans="1:1">
      <c r="A12513" s="27"/>
    </row>
    <row r="12514" spans="1:1">
      <c r="A12514" s="27"/>
    </row>
    <row r="12515" spans="1:1">
      <c r="A12515" s="27"/>
    </row>
    <row r="12516" spans="1:1">
      <c r="A12516" s="27"/>
    </row>
    <row r="12517" spans="1:1">
      <c r="A12517" s="27"/>
    </row>
    <row r="12518" spans="1:1">
      <c r="A12518" s="27"/>
    </row>
    <row r="12519" spans="1:1">
      <c r="A12519" s="27"/>
    </row>
    <row r="12520" spans="1:1">
      <c r="A12520" s="27"/>
    </row>
    <row r="12521" spans="1:1">
      <c r="A12521" s="27"/>
    </row>
    <row r="12522" spans="1:1">
      <c r="A12522" s="27"/>
    </row>
    <row r="12523" spans="1:1">
      <c r="A12523" s="27"/>
    </row>
    <row r="12524" spans="1:1">
      <c r="A12524" s="27"/>
    </row>
    <row r="12525" spans="1:1">
      <c r="A12525" s="27"/>
    </row>
    <row r="12526" spans="1:1">
      <c r="A12526" s="27"/>
    </row>
    <row r="12527" spans="1:1">
      <c r="A12527" s="27"/>
    </row>
    <row r="12528" spans="1:1">
      <c r="A12528" s="27"/>
    </row>
    <row r="12529" spans="1:1">
      <c r="A12529" s="27"/>
    </row>
    <row r="12530" spans="1:1">
      <c r="A12530" s="27"/>
    </row>
    <row r="12531" spans="1:1">
      <c r="A12531" s="27"/>
    </row>
    <row r="12532" spans="1:1">
      <c r="A12532" s="27"/>
    </row>
    <row r="12533" spans="1:1">
      <c r="A12533" s="27"/>
    </row>
    <row r="12534" spans="1:1">
      <c r="A12534" s="27"/>
    </row>
    <row r="12535" spans="1:1">
      <c r="A12535" s="27"/>
    </row>
    <row r="12536" spans="1:1">
      <c r="A12536" s="27"/>
    </row>
    <row r="12537" spans="1:1">
      <c r="A12537" s="27"/>
    </row>
    <row r="12538" spans="1:1">
      <c r="A12538" s="27"/>
    </row>
    <row r="12539" spans="1:1">
      <c r="A12539" s="27"/>
    </row>
    <row r="12540" spans="1:1">
      <c r="A12540" s="27"/>
    </row>
    <row r="12541" spans="1:1">
      <c r="A12541" s="27"/>
    </row>
    <row r="12542" spans="1:1">
      <c r="A12542" s="27"/>
    </row>
    <row r="12543" spans="1:1">
      <c r="A12543" s="27"/>
    </row>
    <row r="12544" spans="1:1">
      <c r="A12544" s="27"/>
    </row>
    <row r="12545" spans="1:1">
      <c r="A12545" s="27"/>
    </row>
    <row r="12546" spans="1:1">
      <c r="A12546" s="27"/>
    </row>
    <row r="12547" spans="1:1">
      <c r="A12547" s="27"/>
    </row>
    <row r="12548" spans="1:1">
      <c r="A12548" s="27"/>
    </row>
    <row r="12549" spans="1:1">
      <c r="A12549" s="27"/>
    </row>
    <row r="12550" spans="1:1">
      <c r="A12550" s="27"/>
    </row>
    <row r="12551" spans="1:1">
      <c r="A12551" s="27"/>
    </row>
    <row r="12552" spans="1:1">
      <c r="A12552" s="27"/>
    </row>
    <row r="12553" spans="1:1">
      <c r="A12553" s="27"/>
    </row>
    <row r="12554" spans="1:1">
      <c r="A12554" s="27"/>
    </row>
    <row r="12555" spans="1:1">
      <c r="A12555" s="27"/>
    </row>
    <row r="12556" spans="1:1">
      <c r="A12556" s="27"/>
    </row>
    <row r="12557" spans="1:1">
      <c r="A12557" s="27"/>
    </row>
    <row r="12558" spans="1:1">
      <c r="A12558" s="27"/>
    </row>
    <row r="12559" spans="1:1">
      <c r="A12559" s="27"/>
    </row>
    <row r="12560" spans="1:1">
      <c r="A12560" s="27"/>
    </row>
    <row r="12561" spans="1:1">
      <c r="A12561" s="27"/>
    </row>
    <row r="12562" spans="1:1">
      <c r="A12562" s="27"/>
    </row>
    <row r="12563" spans="1:1">
      <c r="A12563" s="27"/>
    </row>
    <row r="12564" spans="1:1">
      <c r="A12564" s="27"/>
    </row>
    <row r="12565" spans="1:1">
      <c r="A12565" s="27"/>
    </row>
    <row r="12566" spans="1:1">
      <c r="A12566" s="27"/>
    </row>
    <row r="12567" spans="1:1">
      <c r="A12567" s="27"/>
    </row>
    <row r="12568" spans="1:1">
      <c r="A12568" s="27"/>
    </row>
    <row r="12569" spans="1:1">
      <c r="A12569" s="27"/>
    </row>
    <row r="12570" spans="1:1">
      <c r="A12570" s="27"/>
    </row>
    <row r="12571" spans="1:1">
      <c r="A12571" s="27"/>
    </row>
    <row r="12572" spans="1:1">
      <c r="A12572" s="27"/>
    </row>
    <row r="12573" spans="1:1">
      <c r="A12573" s="27"/>
    </row>
    <row r="12574" spans="1:1">
      <c r="A12574" s="27"/>
    </row>
    <row r="12575" spans="1:1">
      <c r="A12575" s="27"/>
    </row>
    <row r="12576" spans="1:1">
      <c r="A12576" s="27"/>
    </row>
    <row r="12577" spans="1:1">
      <c r="A12577" s="27"/>
    </row>
    <row r="12578" spans="1:1">
      <c r="A12578" s="27"/>
    </row>
    <row r="12579" spans="1:1">
      <c r="A12579" s="27"/>
    </row>
    <row r="12580" spans="1:1">
      <c r="A12580" s="27"/>
    </row>
    <row r="12581" spans="1:1">
      <c r="A12581" s="27"/>
    </row>
    <row r="12582" spans="1:1">
      <c r="A12582" s="27"/>
    </row>
    <row r="12583" spans="1:1">
      <c r="A12583" s="27"/>
    </row>
    <row r="12584" spans="1:1">
      <c r="A12584" s="27"/>
    </row>
    <row r="12585" spans="1:1">
      <c r="A12585" s="27"/>
    </row>
    <row r="12586" spans="1:1">
      <c r="A12586" s="27"/>
    </row>
    <row r="12587" spans="1:1">
      <c r="A12587" s="27"/>
    </row>
    <row r="12588" spans="1:1">
      <c r="A12588" s="27"/>
    </row>
    <row r="12589" spans="1:1">
      <c r="A12589" s="27"/>
    </row>
    <row r="12590" spans="1:1">
      <c r="A12590" s="27"/>
    </row>
    <row r="12591" spans="1:1">
      <c r="A12591" s="27"/>
    </row>
    <row r="12592" spans="1:1">
      <c r="A12592" s="27"/>
    </row>
    <row r="12593" spans="1:1">
      <c r="A12593" s="27"/>
    </row>
    <row r="12594" spans="1:1">
      <c r="A12594" s="27"/>
    </row>
    <row r="12595" spans="1:1">
      <c r="A12595" s="27"/>
    </row>
    <row r="12596" spans="1:1">
      <c r="A12596" s="27"/>
    </row>
    <row r="12597" spans="1:1">
      <c r="A12597" s="27"/>
    </row>
    <row r="12598" spans="1:1">
      <c r="A12598" s="27"/>
    </row>
    <row r="12599" spans="1:1">
      <c r="A12599" s="27"/>
    </row>
    <row r="12600" spans="1:1">
      <c r="A12600" s="27"/>
    </row>
    <row r="12601" spans="1:1">
      <c r="A12601" s="27"/>
    </row>
    <row r="12602" spans="1:1">
      <c r="A12602" s="27"/>
    </row>
    <row r="12603" spans="1:1">
      <c r="A12603" s="27"/>
    </row>
    <row r="12604" spans="1:1">
      <c r="A12604" s="27"/>
    </row>
    <row r="12605" spans="1:1">
      <c r="A12605" s="27"/>
    </row>
    <row r="12606" spans="1:1">
      <c r="A12606" s="27"/>
    </row>
    <row r="12607" spans="1:1">
      <c r="A12607" s="27"/>
    </row>
    <row r="12608" spans="1:1">
      <c r="A12608" s="27"/>
    </row>
    <row r="12609" spans="1:1">
      <c r="A12609" s="27"/>
    </row>
    <row r="12610" spans="1:1">
      <c r="A12610" s="27"/>
    </row>
    <row r="12611" spans="1:1">
      <c r="A12611" s="27"/>
    </row>
    <row r="12612" spans="1:1">
      <c r="A12612" s="27"/>
    </row>
    <row r="12613" spans="1:1">
      <c r="A12613" s="27"/>
    </row>
    <row r="12614" spans="1:1">
      <c r="A12614" s="27"/>
    </row>
    <row r="12615" spans="1:1">
      <c r="A12615" s="27"/>
    </row>
    <row r="12616" spans="1:1">
      <c r="A12616" s="27"/>
    </row>
    <row r="12617" spans="1:1">
      <c r="A12617" s="27"/>
    </row>
    <row r="12618" spans="1:1">
      <c r="A12618" s="27"/>
    </row>
    <row r="12619" spans="1:1">
      <c r="A12619" s="27"/>
    </row>
    <row r="12620" spans="1:1">
      <c r="A12620" s="27"/>
    </row>
    <row r="12621" spans="1:1">
      <c r="A12621" s="27"/>
    </row>
    <row r="12622" spans="1:1">
      <c r="A12622" s="27"/>
    </row>
    <row r="12623" spans="1:1">
      <c r="A12623" s="27"/>
    </row>
    <row r="12624" spans="1:1">
      <c r="A12624" s="27"/>
    </row>
    <row r="12625" spans="1:1">
      <c r="A12625" s="27"/>
    </row>
    <row r="12626" spans="1:1">
      <c r="A12626" s="27"/>
    </row>
    <row r="12627" spans="1:1">
      <c r="A12627" s="27"/>
    </row>
    <row r="12628" spans="1:1">
      <c r="A12628" s="27"/>
    </row>
    <row r="12629" spans="1:1">
      <c r="A12629" s="27"/>
    </row>
    <row r="12630" spans="1:1">
      <c r="A12630" s="27"/>
    </row>
    <row r="12631" spans="1:1">
      <c r="A12631" s="27"/>
    </row>
    <row r="12632" spans="1:1">
      <c r="A12632" s="27"/>
    </row>
    <row r="12633" spans="1:1">
      <c r="A12633" s="27"/>
    </row>
    <row r="12634" spans="1:1">
      <c r="A12634" s="27"/>
    </row>
    <row r="12635" spans="1:1">
      <c r="A12635" s="27"/>
    </row>
    <row r="12636" spans="1:1">
      <c r="A12636" s="27"/>
    </row>
    <row r="12637" spans="1:1">
      <c r="A12637" s="27"/>
    </row>
    <row r="12638" spans="1:1">
      <c r="A12638" s="27"/>
    </row>
    <row r="12639" spans="1:1">
      <c r="A12639" s="27"/>
    </row>
    <row r="12640" spans="1:1">
      <c r="A12640" s="27"/>
    </row>
    <row r="12641" spans="1:1">
      <c r="A12641" s="27"/>
    </row>
    <row r="12642" spans="1:1">
      <c r="A12642" s="27"/>
    </row>
    <row r="12643" spans="1:1">
      <c r="A12643" s="27"/>
    </row>
    <row r="12644" spans="1:1">
      <c r="A12644" s="27"/>
    </row>
    <row r="12645" spans="1:1">
      <c r="A12645" s="27"/>
    </row>
    <row r="12646" spans="1:1">
      <c r="A12646" s="27"/>
    </row>
    <row r="12647" spans="1:1">
      <c r="A12647" s="27"/>
    </row>
    <row r="12648" spans="1:1">
      <c r="A12648" s="27"/>
    </row>
    <row r="12649" spans="1:1">
      <c r="A12649" s="27"/>
    </row>
    <row r="12650" spans="1:1">
      <c r="A12650" s="27"/>
    </row>
    <row r="12651" spans="1:1">
      <c r="A12651" s="27"/>
    </row>
    <row r="12652" spans="1:1">
      <c r="A12652" s="27"/>
    </row>
    <row r="12653" spans="1:1">
      <c r="A12653" s="27"/>
    </row>
    <row r="12654" spans="1:1">
      <c r="A12654" s="27"/>
    </row>
    <row r="12655" spans="1:1">
      <c r="A12655" s="27"/>
    </row>
    <row r="12656" spans="1:1">
      <c r="A12656" s="27"/>
    </row>
    <row r="12657" spans="1:1">
      <c r="A12657" s="27"/>
    </row>
    <row r="12658" spans="1:1">
      <c r="A12658" s="27"/>
    </row>
    <row r="12659" spans="1:1">
      <c r="A12659" s="27"/>
    </row>
    <row r="12660" spans="1:1">
      <c r="A12660" s="27"/>
    </row>
    <row r="12661" spans="1:1">
      <c r="A12661" s="27"/>
    </row>
    <row r="12662" spans="1:1">
      <c r="A12662" s="27"/>
    </row>
    <row r="12663" spans="1:1">
      <c r="A12663" s="27"/>
    </row>
    <row r="12664" spans="1:1">
      <c r="A12664" s="27"/>
    </row>
    <row r="12665" spans="1:1">
      <c r="A12665" s="27"/>
    </row>
    <row r="12666" spans="1:1">
      <c r="A12666" s="27"/>
    </row>
    <row r="12667" spans="1:1">
      <c r="A12667" s="27"/>
    </row>
    <row r="12668" spans="1:1">
      <c r="A12668" s="27"/>
    </row>
    <row r="12669" spans="1:1">
      <c r="A12669" s="27"/>
    </row>
    <row r="12670" spans="1:1">
      <c r="A12670" s="27"/>
    </row>
    <row r="12671" spans="1:1">
      <c r="A12671" s="27"/>
    </row>
    <row r="12672" spans="1:1">
      <c r="A12672" s="27"/>
    </row>
    <row r="12673" spans="1:1">
      <c r="A12673" s="27"/>
    </row>
    <row r="12674" spans="1:1">
      <c r="A12674" s="27"/>
    </row>
    <row r="12675" spans="1:1">
      <c r="A12675" s="27"/>
    </row>
    <row r="12676" spans="1:1">
      <c r="A12676" s="27"/>
    </row>
    <row r="12677" spans="1:1">
      <c r="A12677" s="27"/>
    </row>
    <row r="12678" spans="1:1">
      <c r="A12678" s="27"/>
    </row>
    <row r="12679" spans="1:1">
      <c r="A12679" s="27"/>
    </row>
    <row r="12680" spans="1:1">
      <c r="A12680" s="27"/>
    </row>
    <row r="12681" spans="1:1">
      <c r="A12681" s="27"/>
    </row>
    <row r="12682" spans="1:1">
      <c r="A12682" s="27"/>
    </row>
    <row r="12683" spans="1:1">
      <c r="A12683" s="27"/>
    </row>
    <row r="12684" spans="1:1">
      <c r="A12684" s="27"/>
    </row>
    <row r="12685" spans="1:1">
      <c r="A12685" s="27"/>
    </row>
    <row r="12686" spans="1:1">
      <c r="A12686" s="27"/>
    </row>
    <row r="12687" spans="1:1">
      <c r="A12687" s="27"/>
    </row>
    <row r="12688" spans="1:1">
      <c r="A12688" s="27"/>
    </row>
    <row r="12689" spans="1:1">
      <c r="A12689" s="27"/>
    </row>
    <row r="12690" spans="1:1">
      <c r="A12690" s="27"/>
    </row>
    <row r="12691" spans="1:1">
      <c r="A12691" s="27"/>
    </row>
    <row r="12692" spans="1:1">
      <c r="A12692" s="27"/>
    </row>
    <row r="12693" spans="1:1">
      <c r="A12693" s="27"/>
    </row>
    <row r="12694" spans="1:1">
      <c r="A12694" s="27"/>
    </row>
    <row r="12695" spans="1:1">
      <c r="A12695" s="27"/>
    </row>
    <row r="12696" spans="1:1">
      <c r="A12696" s="27"/>
    </row>
    <row r="12697" spans="1:1">
      <c r="A12697" s="27"/>
    </row>
    <row r="12698" spans="1:1">
      <c r="A12698" s="27"/>
    </row>
    <row r="12699" spans="1:1">
      <c r="A12699" s="27"/>
    </row>
    <row r="12700" spans="1:1">
      <c r="A12700" s="27"/>
    </row>
    <row r="12701" spans="1:1">
      <c r="A12701" s="27"/>
    </row>
    <row r="12702" spans="1:1">
      <c r="A12702" s="27"/>
    </row>
    <row r="12703" spans="1:1">
      <c r="A12703" s="27"/>
    </row>
    <row r="12704" spans="1:1">
      <c r="A12704" s="27"/>
    </row>
    <row r="12705" spans="1:1">
      <c r="A12705" s="27"/>
    </row>
    <row r="12706" spans="1:1">
      <c r="A12706" s="27"/>
    </row>
    <row r="12707" spans="1:1">
      <c r="A12707" s="27"/>
    </row>
    <row r="12708" spans="1:1">
      <c r="A12708" s="27"/>
    </row>
    <row r="12709" spans="1:1">
      <c r="A12709" s="27"/>
    </row>
    <row r="12710" spans="1:1">
      <c r="A12710" s="27"/>
    </row>
    <row r="12711" spans="1:1">
      <c r="A12711" s="27"/>
    </row>
    <row r="12712" spans="1:1">
      <c r="A12712" s="27"/>
    </row>
    <row r="12713" spans="1:1">
      <c r="A12713" s="27"/>
    </row>
    <row r="12714" spans="1:1">
      <c r="A12714" s="27"/>
    </row>
    <row r="12715" spans="1:1">
      <c r="A12715" s="27"/>
    </row>
    <row r="12716" spans="1:1">
      <c r="A12716" s="27"/>
    </row>
    <row r="12717" spans="1:1">
      <c r="A12717" s="27"/>
    </row>
    <row r="12718" spans="1:1">
      <c r="A12718" s="27"/>
    </row>
    <row r="12719" spans="1:1">
      <c r="A12719" s="27"/>
    </row>
    <row r="12720" spans="1:1">
      <c r="A12720" s="27"/>
    </row>
    <row r="12721" spans="1:1">
      <c r="A12721" s="27"/>
    </row>
    <row r="12722" spans="1:1">
      <c r="A12722" s="27"/>
    </row>
    <row r="12723" spans="1:1">
      <c r="A12723" s="27"/>
    </row>
    <row r="12724" spans="1:1">
      <c r="A12724" s="27"/>
    </row>
    <row r="12725" spans="1:1">
      <c r="A12725" s="27"/>
    </row>
    <row r="12726" spans="1:1">
      <c r="A12726" s="27"/>
    </row>
    <row r="12727" spans="1:1">
      <c r="A12727" s="27"/>
    </row>
    <row r="12728" spans="1:1">
      <c r="A12728" s="27"/>
    </row>
    <row r="12729" spans="1:1">
      <c r="A12729" s="27"/>
    </row>
    <row r="12730" spans="1:1">
      <c r="A12730" s="27"/>
    </row>
    <row r="12731" spans="1:1">
      <c r="A12731" s="27"/>
    </row>
    <row r="12732" spans="1:1">
      <c r="A12732" s="27"/>
    </row>
    <row r="12733" spans="1:1">
      <c r="A12733" s="27"/>
    </row>
    <row r="12734" spans="1:1">
      <c r="A12734" s="27"/>
    </row>
    <row r="12735" spans="1:1">
      <c r="A12735" s="27"/>
    </row>
    <row r="12736" spans="1:1">
      <c r="A12736" s="27"/>
    </row>
    <row r="12737" spans="1:1">
      <c r="A12737" s="27"/>
    </row>
    <row r="12738" spans="1:1">
      <c r="A12738" s="27"/>
    </row>
    <row r="12739" spans="1:1">
      <c r="A12739" s="27"/>
    </row>
    <row r="12740" spans="1:1">
      <c r="A12740" s="27"/>
    </row>
    <row r="12741" spans="1:1">
      <c r="A12741" s="27"/>
    </row>
    <row r="12742" spans="1:1">
      <c r="A12742" s="27"/>
    </row>
    <row r="12743" spans="1:1">
      <c r="A12743" s="27"/>
    </row>
    <row r="12744" spans="1:1">
      <c r="A12744" s="27"/>
    </row>
    <row r="12745" spans="1:1">
      <c r="A12745" s="27"/>
    </row>
    <row r="12746" spans="1:1">
      <c r="A12746" s="27"/>
    </row>
    <row r="12747" spans="1:1">
      <c r="A12747" s="27"/>
    </row>
    <row r="12748" spans="1:1">
      <c r="A12748" s="27"/>
    </row>
    <row r="12749" spans="1:1">
      <c r="A12749" s="27"/>
    </row>
    <row r="12750" spans="1:1">
      <c r="A12750" s="27"/>
    </row>
    <row r="12751" spans="1:1">
      <c r="A12751" s="27"/>
    </row>
    <row r="12752" spans="1:1">
      <c r="A12752" s="27"/>
    </row>
    <row r="12753" spans="1:1">
      <c r="A12753" s="27"/>
    </row>
    <row r="12754" spans="1:1">
      <c r="A12754" s="27"/>
    </row>
    <row r="12755" spans="1:1">
      <c r="A12755" s="27"/>
    </row>
    <row r="12756" spans="1:1">
      <c r="A12756" s="27"/>
    </row>
    <row r="12757" spans="1:1">
      <c r="A12757" s="27"/>
    </row>
    <row r="12758" spans="1:1">
      <c r="A12758" s="27"/>
    </row>
    <row r="12759" spans="1:1">
      <c r="A12759" s="27"/>
    </row>
    <row r="12760" spans="1:1">
      <c r="A12760" s="27"/>
    </row>
    <row r="12761" spans="1:1">
      <c r="A12761" s="27"/>
    </row>
    <row r="12762" spans="1:1">
      <c r="A12762" s="27"/>
    </row>
    <row r="12763" spans="1:1">
      <c r="A12763" s="27"/>
    </row>
    <row r="12764" spans="1:1">
      <c r="A12764" s="27"/>
    </row>
    <row r="12765" spans="1:1">
      <c r="A12765" s="27"/>
    </row>
    <row r="12766" spans="1:1">
      <c r="A12766" s="27"/>
    </row>
    <row r="12767" spans="1:1">
      <c r="A12767" s="27"/>
    </row>
    <row r="12768" spans="1:1">
      <c r="A12768" s="27"/>
    </row>
    <row r="12769" spans="1:1">
      <c r="A12769" s="27"/>
    </row>
    <row r="12770" spans="1:1">
      <c r="A12770" s="27"/>
    </row>
    <row r="12771" spans="1:1">
      <c r="A12771" s="27"/>
    </row>
    <row r="12772" spans="1:1">
      <c r="A12772" s="27"/>
    </row>
    <row r="12773" spans="1:1">
      <c r="A12773" s="27"/>
    </row>
    <row r="12774" spans="1:1">
      <c r="A12774" s="27"/>
    </row>
    <row r="12775" spans="1:1">
      <c r="A12775" s="27"/>
    </row>
    <row r="12776" spans="1:1">
      <c r="A12776" s="27"/>
    </row>
    <row r="12777" spans="1:1">
      <c r="A12777" s="27"/>
    </row>
    <row r="12778" spans="1:1">
      <c r="A12778" s="27"/>
    </row>
    <row r="12779" spans="1:1">
      <c r="A12779" s="27"/>
    </row>
    <row r="12780" spans="1:1">
      <c r="A12780" s="27"/>
    </row>
    <row r="12781" spans="1:1">
      <c r="A12781" s="27"/>
    </row>
    <row r="12782" spans="1:1">
      <c r="A12782" s="27"/>
    </row>
    <row r="12783" spans="1:1">
      <c r="A12783" s="27"/>
    </row>
    <row r="12784" spans="1:1">
      <c r="A12784" s="27"/>
    </row>
    <row r="12785" spans="1:1">
      <c r="A12785" s="27"/>
    </row>
    <row r="12786" spans="1:1">
      <c r="A12786" s="27"/>
    </row>
    <row r="12787" spans="1:1">
      <c r="A12787" s="27"/>
    </row>
    <row r="12788" spans="1:1">
      <c r="A12788" s="27"/>
    </row>
    <row r="12789" spans="1:1">
      <c r="A12789" s="27"/>
    </row>
    <row r="12790" spans="1:1">
      <c r="A12790" s="27"/>
    </row>
    <row r="12791" spans="1:1">
      <c r="A12791" s="27"/>
    </row>
    <row r="12792" spans="1:1">
      <c r="A12792" s="27"/>
    </row>
    <row r="12793" spans="1:1">
      <c r="A12793" s="27"/>
    </row>
    <row r="12794" spans="1:1">
      <c r="A12794" s="27"/>
    </row>
    <row r="12795" spans="1:1">
      <c r="A12795" s="27"/>
    </row>
    <row r="12796" spans="1:1">
      <c r="A12796" s="27"/>
    </row>
    <row r="12797" spans="1:1">
      <c r="A12797" s="27"/>
    </row>
    <row r="12798" spans="1:1">
      <c r="A12798" s="27"/>
    </row>
    <row r="12799" spans="1:1">
      <c r="A12799" s="27"/>
    </row>
    <row r="12800" spans="1:1">
      <c r="A12800" s="27"/>
    </row>
    <row r="12801" spans="1:1">
      <c r="A12801" s="27"/>
    </row>
    <row r="12802" spans="1:1">
      <c r="A12802" s="27"/>
    </row>
    <row r="12803" spans="1:1">
      <c r="A12803" s="27"/>
    </row>
    <row r="12804" spans="1:1">
      <c r="A12804" s="27"/>
    </row>
    <row r="12805" spans="1:1">
      <c r="A12805" s="27"/>
    </row>
    <row r="12806" spans="1:1">
      <c r="A12806" s="27"/>
    </row>
    <row r="12807" spans="1:1">
      <c r="A12807" s="27"/>
    </row>
    <row r="12808" spans="1:1">
      <c r="A12808" s="27"/>
    </row>
    <row r="12809" spans="1:1">
      <c r="A12809" s="27"/>
    </row>
    <row r="12810" spans="1:1">
      <c r="A12810" s="27"/>
    </row>
    <row r="12811" spans="1:1">
      <c r="A12811" s="27"/>
    </row>
    <row r="12812" spans="1:1">
      <c r="A12812" s="27"/>
    </row>
    <row r="12813" spans="1:1">
      <c r="A12813" s="27"/>
    </row>
    <row r="12814" spans="1:1">
      <c r="A12814" s="27"/>
    </row>
    <row r="12815" spans="1:1">
      <c r="A12815" s="27"/>
    </row>
    <row r="12816" spans="1:1">
      <c r="A12816" s="27"/>
    </row>
    <row r="12817" spans="1:1">
      <c r="A12817" s="27"/>
    </row>
    <row r="12818" spans="1:1">
      <c r="A12818" s="27"/>
    </row>
    <row r="12819" spans="1:1">
      <c r="A12819" s="27"/>
    </row>
    <row r="12820" spans="1:1">
      <c r="A12820" s="27"/>
    </row>
    <row r="12821" spans="1:1">
      <c r="A12821" s="27"/>
    </row>
    <row r="12822" spans="1:1">
      <c r="A12822" s="27"/>
    </row>
    <row r="12823" spans="1:1">
      <c r="A12823" s="27"/>
    </row>
    <row r="12824" spans="1:1">
      <c r="A12824" s="27"/>
    </row>
    <row r="12825" spans="1:1">
      <c r="A12825" s="27"/>
    </row>
    <row r="12826" spans="1:1">
      <c r="A12826" s="27"/>
    </row>
    <row r="12827" spans="1:1">
      <c r="A12827" s="27"/>
    </row>
    <row r="12828" spans="1:1">
      <c r="A12828" s="27"/>
    </row>
    <row r="12829" spans="1:1">
      <c r="A12829" s="27"/>
    </row>
    <row r="12830" spans="1:1">
      <c r="A12830" s="27"/>
    </row>
    <row r="12831" spans="1:1">
      <c r="A12831" s="27"/>
    </row>
    <row r="12832" spans="1:1">
      <c r="A12832" s="27"/>
    </row>
    <row r="12833" spans="1:1">
      <c r="A12833" s="27"/>
    </row>
    <row r="12834" spans="1:1">
      <c r="A12834" s="27"/>
    </row>
    <row r="12835" spans="1:1">
      <c r="A12835" s="27"/>
    </row>
    <row r="12836" spans="1:1">
      <c r="A12836" s="27"/>
    </row>
    <row r="12837" spans="1:1">
      <c r="A12837" s="27"/>
    </row>
    <row r="12838" spans="1:1">
      <c r="A12838" s="27"/>
    </row>
    <row r="12839" spans="1:1">
      <c r="A12839" s="27"/>
    </row>
    <row r="12840" spans="1:1">
      <c r="A12840" s="27"/>
    </row>
    <row r="12841" spans="1:1">
      <c r="A12841" s="27"/>
    </row>
    <row r="12842" spans="1:1">
      <c r="A12842" s="27"/>
    </row>
    <row r="12843" spans="1:1">
      <c r="A12843" s="27"/>
    </row>
    <row r="12844" spans="1:1">
      <c r="A12844" s="27"/>
    </row>
    <row r="12845" spans="1:1">
      <c r="A12845" s="27"/>
    </row>
    <row r="12846" spans="1:1">
      <c r="A12846" s="27"/>
    </row>
    <row r="12847" spans="1:1">
      <c r="A12847" s="27"/>
    </row>
    <row r="12848" spans="1:1">
      <c r="A12848" s="27"/>
    </row>
    <row r="12849" spans="1:1">
      <c r="A12849" s="27"/>
    </row>
    <row r="12850" spans="1:1">
      <c r="A12850" s="27"/>
    </row>
    <row r="12851" spans="1:1">
      <c r="A12851" s="27"/>
    </row>
    <row r="12852" spans="1:1">
      <c r="A12852" s="27"/>
    </row>
    <row r="12853" spans="1:1">
      <c r="A12853" s="27"/>
    </row>
    <row r="12854" spans="1:1">
      <c r="A12854" s="27"/>
    </row>
    <row r="12855" spans="1:1">
      <c r="A12855" s="27"/>
    </row>
    <row r="12856" spans="1:1">
      <c r="A12856" s="27"/>
    </row>
    <row r="12857" spans="1:1">
      <c r="A12857" s="27"/>
    </row>
    <row r="12858" spans="1:1">
      <c r="A12858" s="27"/>
    </row>
    <row r="12859" spans="1:1">
      <c r="A12859" s="27"/>
    </row>
    <row r="12860" spans="1:1">
      <c r="A12860" s="27"/>
    </row>
    <row r="12861" spans="1:1">
      <c r="A12861" s="27"/>
    </row>
    <row r="12862" spans="1:1">
      <c r="A12862" s="27"/>
    </row>
    <row r="12863" spans="1:1">
      <c r="A12863" s="27"/>
    </row>
    <row r="12864" spans="1:1">
      <c r="A12864" s="27"/>
    </row>
    <row r="12865" spans="1:1">
      <c r="A12865" s="27"/>
    </row>
    <row r="12866" spans="1:1">
      <c r="A12866" s="27"/>
    </row>
    <row r="12867" spans="1:1">
      <c r="A12867" s="27"/>
    </row>
    <row r="12868" spans="1:1">
      <c r="A12868" s="27"/>
    </row>
    <row r="12869" spans="1:1">
      <c r="A12869" s="27"/>
    </row>
    <row r="12870" spans="1:1">
      <c r="A12870" s="27"/>
    </row>
    <row r="12871" spans="1:1">
      <c r="A12871" s="27"/>
    </row>
    <row r="12872" spans="1:1">
      <c r="A12872" s="27"/>
    </row>
    <row r="12873" spans="1:1">
      <c r="A12873" s="27"/>
    </row>
    <row r="12874" spans="1:1">
      <c r="A12874" s="27"/>
    </row>
    <row r="12875" spans="1:1">
      <c r="A12875" s="27"/>
    </row>
    <row r="12876" spans="1:1">
      <c r="A12876" s="27"/>
    </row>
    <row r="12877" spans="1:1">
      <c r="A12877" s="27"/>
    </row>
    <row r="12878" spans="1:1">
      <c r="A12878" s="27"/>
    </row>
    <row r="12879" spans="1:1">
      <c r="A12879" s="27"/>
    </row>
    <row r="12880" spans="1:1">
      <c r="A12880" s="27"/>
    </row>
    <row r="12881" spans="1:1">
      <c r="A12881" s="27"/>
    </row>
    <row r="12882" spans="1:1">
      <c r="A12882" s="27"/>
    </row>
    <row r="12883" spans="1:1">
      <c r="A12883" s="27"/>
    </row>
    <row r="12884" spans="1:1">
      <c r="A12884" s="27"/>
    </row>
    <row r="12885" spans="1:1">
      <c r="A12885" s="27"/>
    </row>
    <row r="12886" spans="1:1">
      <c r="A12886" s="27"/>
    </row>
    <row r="12887" spans="1:1">
      <c r="A12887" s="27"/>
    </row>
    <row r="12888" spans="1:1">
      <c r="A12888" s="27"/>
    </row>
    <row r="12889" spans="1:1">
      <c r="A12889" s="27"/>
    </row>
    <row r="12890" spans="1:1">
      <c r="A12890" s="27"/>
    </row>
    <row r="12891" spans="1:1">
      <c r="A12891" s="27"/>
    </row>
    <row r="12892" spans="1:1">
      <c r="A12892" s="27"/>
    </row>
    <row r="12893" spans="1:1">
      <c r="A12893" s="27"/>
    </row>
    <row r="12894" spans="1:1">
      <c r="A12894" s="27"/>
    </row>
    <row r="12895" spans="1:1">
      <c r="A12895" s="27"/>
    </row>
    <row r="12896" spans="1:1">
      <c r="A12896" s="27"/>
    </row>
    <row r="12897" spans="1:1">
      <c r="A12897" s="27"/>
    </row>
    <row r="12898" spans="1:1">
      <c r="A12898" s="27"/>
    </row>
    <row r="12899" spans="1:1">
      <c r="A12899" s="27"/>
    </row>
    <row r="12900" spans="1:1">
      <c r="A12900" s="27"/>
    </row>
    <row r="12901" spans="1:1">
      <c r="A12901" s="27"/>
    </row>
    <row r="12902" spans="1:1">
      <c r="A12902" s="27"/>
    </row>
    <row r="12903" spans="1:1">
      <c r="A12903" s="27"/>
    </row>
    <row r="12904" spans="1:1">
      <c r="A12904" s="27"/>
    </row>
    <row r="12905" spans="1:1">
      <c r="A12905" s="27"/>
    </row>
    <row r="12906" spans="1:1">
      <c r="A12906" s="27"/>
    </row>
    <row r="12907" spans="1:1">
      <c r="A12907" s="27"/>
    </row>
    <row r="12908" spans="1:1">
      <c r="A12908" s="27"/>
    </row>
    <row r="12909" spans="1:1">
      <c r="A12909" s="27"/>
    </row>
    <row r="12910" spans="1:1">
      <c r="A12910" s="27"/>
    </row>
    <row r="12911" spans="1:1">
      <c r="A12911" s="27"/>
    </row>
    <row r="12912" spans="1:1">
      <c r="A12912" s="27"/>
    </row>
    <row r="12913" spans="1:1">
      <c r="A12913" s="27"/>
    </row>
    <row r="12914" spans="1:1">
      <c r="A12914" s="27"/>
    </row>
    <row r="12915" spans="1:1">
      <c r="A12915" s="27"/>
    </row>
    <row r="12916" spans="1:1">
      <c r="A12916" s="27"/>
    </row>
    <row r="12917" spans="1:1">
      <c r="A12917" s="27"/>
    </row>
    <row r="12918" spans="1:1">
      <c r="A12918" s="27"/>
    </row>
    <row r="12919" spans="1:1">
      <c r="A12919" s="27"/>
    </row>
    <row r="12920" spans="1:1">
      <c r="A12920" s="27"/>
    </row>
    <row r="12921" spans="1:1">
      <c r="A12921" s="27"/>
    </row>
    <row r="12922" spans="1:1">
      <c r="A12922" s="27"/>
    </row>
    <row r="12923" spans="1:1">
      <c r="A12923" s="27"/>
    </row>
    <row r="12924" spans="1:1">
      <c r="A12924" s="27"/>
    </row>
    <row r="12925" spans="1:1">
      <c r="A12925" s="27"/>
    </row>
    <row r="12926" spans="1:1">
      <c r="A12926" s="27"/>
    </row>
    <row r="12927" spans="1:1">
      <c r="A12927" s="27"/>
    </row>
    <row r="12928" spans="1:1">
      <c r="A12928" s="27"/>
    </row>
    <row r="12929" spans="1:1">
      <c r="A12929" s="27"/>
    </row>
    <row r="12930" spans="1:1">
      <c r="A12930" s="27"/>
    </row>
    <row r="12931" spans="1:1">
      <c r="A12931" s="27"/>
    </row>
    <row r="12932" spans="1:1">
      <c r="A12932" s="27"/>
    </row>
    <row r="12933" spans="1:1">
      <c r="A12933" s="27"/>
    </row>
    <row r="12934" spans="1:1">
      <c r="A12934" s="27"/>
    </row>
    <row r="12935" spans="1:1">
      <c r="A12935" s="27"/>
    </row>
    <row r="12936" spans="1:1">
      <c r="A12936" s="27"/>
    </row>
    <row r="12937" spans="1:1">
      <c r="A12937" s="27"/>
    </row>
    <row r="12938" spans="1:1">
      <c r="A12938" s="27"/>
    </row>
    <row r="12939" spans="1:1">
      <c r="A12939" s="27"/>
    </row>
    <row r="12940" spans="1:1">
      <c r="A12940" s="27"/>
    </row>
    <row r="12941" spans="1:1">
      <c r="A12941" s="27"/>
    </row>
    <row r="12942" spans="1:1">
      <c r="A12942" s="27"/>
    </row>
    <row r="12943" spans="1:1">
      <c r="A12943" s="27"/>
    </row>
    <row r="12944" spans="1:1">
      <c r="A12944" s="27"/>
    </row>
    <row r="12945" spans="1:1">
      <c r="A12945" s="27"/>
    </row>
    <row r="12946" spans="1:1">
      <c r="A12946" s="27"/>
    </row>
    <row r="12947" spans="1:1">
      <c r="A12947" s="27"/>
    </row>
    <row r="12948" spans="1:1">
      <c r="A12948" s="27"/>
    </row>
    <row r="12949" spans="1:1">
      <c r="A12949" s="27"/>
    </row>
    <row r="12950" spans="1:1">
      <c r="A12950" s="27"/>
    </row>
    <row r="12951" spans="1:1">
      <c r="A12951" s="27"/>
    </row>
    <row r="12952" spans="1:1">
      <c r="A12952" s="27"/>
    </row>
    <row r="12953" spans="1:1">
      <c r="A12953" s="27"/>
    </row>
    <row r="12954" spans="1:1">
      <c r="A12954" s="27"/>
    </row>
    <row r="12955" spans="1:1">
      <c r="A12955" s="27"/>
    </row>
    <row r="12956" spans="1:1">
      <c r="A12956" s="27"/>
    </row>
    <row r="12957" spans="1:1">
      <c r="A12957" s="27"/>
    </row>
    <row r="12958" spans="1:1">
      <c r="A12958" s="27"/>
    </row>
    <row r="12959" spans="1:1">
      <c r="A12959" s="27"/>
    </row>
    <row r="12960" spans="1:1">
      <c r="A12960" s="27"/>
    </row>
    <row r="12961" spans="1:1">
      <c r="A12961" s="27"/>
    </row>
    <row r="12962" spans="1:1">
      <c r="A12962" s="27"/>
    </row>
    <row r="12963" spans="1:1">
      <c r="A12963" s="27"/>
    </row>
    <row r="12964" spans="1:1">
      <c r="A12964" s="27"/>
    </row>
    <row r="12965" spans="1:1">
      <c r="A12965" s="27"/>
    </row>
    <row r="12966" spans="1:1">
      <c r="A12966" s="27"/>
    </row>
    <row r="12967" spans="1:1">
      <c r="A12967" s="27"/>
    </row>
    <row r="12968" spans="1:1">
      <c r="A12968" s="27"/>
    </row>
    <row r="12969" spans="1:1">
      <c r="A12969" s="27"/>
    </row>
    <row r="12970" spans="1:1">
      <c r="A12970" s="27"/>
    </row>
    <row r="12971" spans="1:1">
      <c r="A12971" s="27"/>
    </row>
    <row r="12972" spans="1:1">
      <c r="A12972" s="27"/>
    </row>
    <row r="12973" spans="1:1">
      <c r="A12973" s="27"/>
    </row>
    <row r="12974" spans="1:1">
      <c r="A12974" s="27"/>
    </row>
    <row r="12975" spans="1:1">
      <c r="A12975" s="27"/>
    </row>
    <row r="12976" spans="1:1">
      <c r="A12976" s="27"/>
    </row>
    <row r="12977" spans="1:1">
      <c r="A12977" s="27"/>
    </row>
    <row r="12978" spans="1:1">
      <c r="A12978" s="27"/>
    </row>
    <row r="12979" spans="1:1">
      <c r="A12979" s="27"/>
    </row>
    <row r="12980" spans="1:1">
      <c r="A12980" s="27"/>
    </row>
    <row r="12981" spans="1:1">
      <c r="A12981" s="27"/>
    </row>
    <row r="12982" spans="1:1">
      <c r="A12982" s="27"/>
    </row>
    <row r="12983" spans="1:1">
      <c r="A12983" s="27"/>
    </row>
    <row r="12984" spans="1:1">
      <c r="A12984" s="27"/>
    </row>
    <row r="12985" spans="1:1">
      <c r="A12985" s="27"/>
    </row>
    <row r="12986" spans="1:1">
      <c r="A12986" s="27"/>
    </row>
    <row r="12987" spans="1:1">
      <c r="A12987" s="27"/>
    </row>
    <row r="12988" spans="1:1">
      <c r="A12988" s="27"/>
    </row>
    <row r="12989" spans="1:1">
      <c r="A12989" s="27"/>
    </row>
    <row r="12990" spans="1:1">
      <c r="A12990" s="27"/>
    </row>
    <row r="12991" spans="1:1">
      <c r="A12991" s="27"/>
    </row>
    <row r="12992" spans="1:1">
      <c r="A12992" s="27"/>
    </row>
    <row r="12993" spans="1:1">
      <c r="A12993" s="27"/>
    </row>
    <row r="12994" spans="1:1">
      <c r="A12994" s="27"/>
    </row>
    <row r="12995" spans="1:1">
      <c r="A12995" s="27"/>
    </row>
    <row r="12996" spans="1:1">
      <c r="A12996" s="27"/>
    </row>
    <row r="12997" spans="1:1">
      <c r="A12997" s="27"/>
    </row>
    <row r="12998" spans="1:1">
      <c r="A12998" s="27"/>
    </row>
    <row r="12999" spans="1:1">
      <c r="A12999" s="27"/>
    </row>
    <row r="13000" spans="1:1">
      <c r="A13000" s="27"/>
    </row>
    <row r="13001" spans="1:1">
      <c r="A13001" s="27"/>
    </row>
    <row r="13002" spans="1:1">
      <c r="A13002" s="27"/>
    </row>
    <row r="13003" spans="1:1">
      <c r="A13003" s="27"/>
    </row>
    <row r="13004" spans="1:1">
      <c r="A13004" s="27"/>
    </row>
    <row r="13005" spans="1:1">
      <c r="A13005" s="27"/>
    </row>
    <row r="13006" spans="1:1">
      <c r="A13006" s="27"/>
    </row>
    <row r="13007" spans="1:1">
      <c r="A13007" s="27"/>
    </row>
    <row r="13008" spans="1:1">
      <c r="A13008" s="27"/>
    </row>
    <row r="13009" spans="1:1">
      <c r="A13009" s="27"/>
    </row>
    <row r="13010" spans="1:1">
      <c r="A13010" s="27"/>
    </row>
    <row r="13011" spans="1:1">
      <c r="A13011" s="27"/>
    </row>
    <row r="13012" spans="1:1">
      <c r="A13012" s="27"/>
    </row>
    <row r="13013" spans="1:1">
      <c r="A13013" s="27"/>
    </row>
    <row r="13014" spans="1:1">
      <c r="A13014" s="27"/>
    </row>
    <row r="13015" spans="1:1">
      <c r="A13015" s="27"/>
    </row>
    <row r="13016" spans="1:1">
      <c r="A13016" s="27"/>
    </row>
    <row r="13017" spans="1:1">
      <c r="A13017" s="27"/>
    </row>
    <row r="13018" spans="1:1">
      <c r="A13018" s="27"/>
    </row>
    <row r="13019" spans="1:1">
      <c r="A13019" s="27"/>
    </row>
    <row r="13020" spans="1:1">
      <c r="A13020" s="27"/>
    </row>
    <row r="13021" spans="1:1">
      <c r="A13021" s="27"/>
    </row>
    <row r="13022" spans="1:1">
      <c r="A13022" s="27"/>
    </row>
    <row r="13023" spans="1:1">
      <c r="A13023" s="27"/>
    </row>
    <row r="13024" spans="1:1">
      <c r="A13024" s="27"/>
    </row>
    <row r="13025" spans="1:1">
      <c r="A13025" s="27"/>
    </row>
    <row r="13026" spans="1:1">
      <c r="A13026" s="27"/>
    </row>
    <row r="13027" spans="1:1">
      <c r="A13027" s="27"/>
    </row>
    <row r="13028" spans="1:1">
      <c r="A13028" s="27"/>
    </row>
    <row r="13029" spans="1:1">
      <c r="A13029" s="27"/>
    </row>
    <row r="13030" spans="1:1">
      <c r="A13030" s="27"/>
    </row>
    <row r="13031" spans="1:1">
      <c r="A13031" s="27"/>
    </row>
    <row r="13032" spans="1:1">
      <c r="A13032" s="27"/>
    </row>
    <row r="13033" spans="1:1">
      <c r="A13033" s="27"/>
    </row>
    <row r="13034" spans="1:1">
      <c r="A13034" s="27"/>
    </row>
    <row r="13035" spans="1:1">
      <c r="A13035" s="27"/>
    </row>
    <row r="13036" spans="1:1">
      <c r="A13036" s="27"/>
    </row>
    <row r="13037" spans="1:1">
      <c r="A13037" s="27"/>
    </row>
    <row r="13038" spans="1:1">
      <c r="A13038" s="27"/>
    </row>
    <row r="13039" spans="1:1">
      <c r="A13039" s="27"/>
    </row>
    <row r="13040" spans="1:1">
      <c r="A13040" s="27"/>
    </row>
    <row r="13041" spans="1:1">
      <c r="A13041" s="27"/>
    </row>
    <row r="13042" spans="1:1">
      <c r="A13042" s="27"/>
    </row>
    <row r="13043" spans="1:1">
      <c r="A13043" s="27"/>
    </row>
    <row r="13044" spans="1:1">
      <c r="A13044" s="27"/>
    </row>
    <row r="13045" spans="1:1">
      <c r="A13045" s="27"/>
    </row>
    <row r="13046" spans="1:1">
      <c r="A13046" s="27"/>
    </row>
    <row r="13047" spans="1:1">
      <c r="A13047" s="27"/>
    </row>
    <row r="13048" spans="1:1">
      <c r="A13048" s="27"/>
    </row>
    <row r="13049" spans="1:1">
      <c r="A13049" s="27"/>
    </row>
    <row r="13050" spans="1:1">
      <c r="A13050" s="27"/>
    </row>
    <row r="13051" spans="1:1">
      <c r="A13051" s="27"/>
    </row>
    <row r="13052" spans="1:1">
      <c r="A13052" s="27"/>
    </row>
    <row r="13053" spans="1:1">
      <c r="A13053" s="27"/>
    </row>
    <row r="13054" spans="1:1">
      <c r="A13054" s="27"/>
    </row>
    <row r="13055" spans="1:1">
      <c r="A13055" s="27"/>
    </row>
    <row r="13056" spans="1:1">
      <c r="A13056" s="27"/>
    </row>
    <row r="13057" spans="1:1">
      <c r="A13057" s="27"/>
    </row>
    <row r="13058" spans="1:1">
      <c r="A13058" s="27"/>
    </row>
    <row r="13059" spans="1:1">
      <c r="A13059" s="27"/>
    </row>
    <row r="13060" spans="1:1">
      <c r="A13060" s="27"/>
    </row>
    <row r="13061" spans="1:1">
      <c r="A13061" s="27"/>
    </row>
    <row r="13062" spans="1:1">
      <c r="A13062" s="27"/>
    </row>
    <row r="13063" spans="1:1">
      <c r="A13063" s="27"/>
    </row>
    <row r="13064" spans="1:1">
      <c r="A13064" s="27"/>
    </row>
    <row r="13065" spans="1:1">
      <c r="A13065" s="27"/>
    </row>
    <row r="13066" spans="1:1">
      <c r="A13066" s="27"/>
    </row>
    <row r="13067" spans="1:1">
      <c r="A13067" s="27"/>
    </row>
    <row r="13068" spans="1:1">
      <c r="A13068" s="27"/>
    </row>
    <row r="13069" spans="1:1">
      <c r="A13069" s="27"/>
    </row>
    <row r="13070" spans="1:1">
      <c r="A13070" s="27"/>
    </row>
    <row r="13071" spans="1:1">
      <c r="A13071" s="27"/>
    </row>
    <row r="13072" spans="1:1">
      <c r="A13072" s="27"/>
    </row>
    <row r="13073" spans="1:1">
      <c r="A13073" s="27"/>
    </row>
    <row r="13074" spans="1:1">
      <c r="A13074" s="27"/>
    </row>
    <row r="13075" spans="1:1">
      <c r="A13075" s="27"/>
    </row>
    <row r="13076" spans="1:1">
      <c r="A13076" s="27"/>
    </row>
    <row r="13077" spans="1:1">
      <c r="A13077" s="27"/>
    </row>
    <row r="13078" spans="1:1">
      <c r="A13078" s="27"/>
    </row>
    <row r="13079" spans="1:1">
      <c r="A13079" s="27"/>
    </row>
    <row r="13080" spans="1:1">
      <c r="A13080" s="27"/>
    </row>
    <row r="13081" spans="1:1">
      <c r="A13081" s="27"/>
    </row>
    <row r="13082" spans="1:1">
      <c r="A13082" s="27"/>
    </row>
    <row r="13083" spans="1:1">
      <c r="A13083" s="27"/>
    </row>
    <row r="13084" spans="1:1">
      <c r="A13084" s="27"/>
    </row>
    <row r="13085" spans="1:1">
      <c r="A13085" s="27"/>
    </row>
    <row r="13086" spans="1:1">
      <c r="A13086" s="27"/>
    </row>
    <row r="13087" spans="1:1">
      <c r="A13087" s="27"/>
    </row>
    <row r="13088" spans="1:1">
      <c r="A13088" s="27"/>
    </row>
    <row r="13089" spans="1:1">
      <c r="A13089" s="27"/>
    </row>
    <row r="13090" spans="1:1">
      <c r="A13090" s="27"/>
    </row>
    <row r="13091" spans="1:1">
      <c r="A13091" s="27"/>
    </row>
    <row r="13092" spans="1:1">
      <c r="A13092" s="27"/>
    </row>
    <row r="13093" spans="1:1">
      <c r="A13093" s="27"/>
    </row>
    <row r="13094" spans="1:1">
      <c r="A13094" s="27"/>
    </row>
    <row r="13095" spans="1:1">
      <c r="A13095" s="27"/>
    </row>
    <row r="13096" spans="1:1">
      <c r="A13096" s="27"/>
    </row>
    <row r="13097" spans="1:1">
      <c r="A13097" s="27"/>
    </row>
    <row r="13098" spans="1:1">
      <c r="A13098" s="27"/>
    </row>
    <row r="13099" spans="1:1">
      <c r="A13099" s="27"/>
    </row>
    <row r="13100" spans="1:1">
      <c r="A13100" s="27"/>
    </row>
    <row r="13101" spans="1:1">
      <c r="A13101" s="27"/>
    </row>
    <row r="13102" spans="1:1">
      <c r="A13102" s="27"/>
    </row>
    <row r="13103" spans="1:1">
      <c r="A13103" s="27"/>
    </row>
    <row r="13104" spans="1:1">
      <c r="A13104" s="27"/>
    </row>
    <row r="13105" spans="1:1">
      <c r="A13105" s="27"/>
    </row>
    <row r="13106" spans="1:1">
      <c r="A13106" s="27"/>
    </row>
    <row r="13107" spans="1:1">
      <c r="A13107" s="27"/>
    </row>
    <row r="13108" spans="1:1">
      <c r="A13108" s="27"/>
    </row>
    <row r="13109" spans="1:1">
      <c r="A13109" s="27"/>
    </row>
    <row r="13110" spans="1:1">
      <c r="A13110" s="27"/>
    </row>
    <row r="13111" spans="1:1">
      <c r="A13111" s="27"/>
    </row>
    <row r="13112" spans="1:1">
      <c r="A13112" s="27"/>
    </row>
    <row r="13113" spans="1:1">
      <c r="A13113" s="27"/>
    </row>
    <row r="13114" spans="1:1">
      <c r="A13114" s="27"/>
    </row>
    <row r="13115" spans="1:1">
      <c r="A13115" s="27"/>
    </row>
    <row r="13116" spans="1:1">
      <c r="A13116" s="27"/>
    </row>
    <row r="13117" spans="1:1">
      <c r="A13117" s="27"/>
    </row>
    <row r="13118" spans="1:1">
      <c r="A13118" s="27"/>
    </row>
    <row r="13119" spans="1:1">
      <c r="A13119" s="27"/>
    </row>
    <row r="13120" spans="1:1">
      <c r="A13120" s="27"/>
    </row>
    <row r="13121" spans="1:1">
      <c r="A13121" s="27"/>
    </row>
    <row r="13122" spans="1:1">
      <c r="A13122" s="27"/>
    </row>
    <row r="13123" spans="1:1">
      <c r="A13123" s="27"/>
    </row>
    <row r="13124" spans="1:1">
      <c r="A13124" s="27"/>
    </row>
    <row r="13125" spans="1:1">
      <c r="A13125" s="27"/>
    </row>
    <row r="13126" spans="1:1">
      <c r="A13126" s="27"/>
    </row>
    <row r="13127" spans="1:1">
      <c r="A13127" s="27"/>
    </row>
    <row r="13128" spans="1:1">
      <c r="A13128" s="27"/>
    </row>
    <row r="13129" spans="1:1">
      <c r="A13129" s="27"/>
    </row>
    <row r="13130" spans="1:1">
      <c r="A13130" s="27"/>
    </row>
    <row r="13131" spans="1:1">
      <c r="A13131" s="27"/>
    </row>
    <row r="13132" spans="1:1">
      <c r="A13132" s="27"/>
    </row>
    <row r="13133" spans="1:1">
      <c r="A13133" s="27"/>
    </row>
    <row r="13134" spans="1:1">
      <c r="A13134" s="27"/>
    </row>
    <row r="13135" spans="1:1">
      <c r="A13135" s="27"/>
    </row>
    <row r="13136" spans="1:1">
      <c r="A13136" s="27"/>
    </row>
    <row r="13137" spans="1:1">
      <c r="A13137" s="27"/>
    </row>
    <row r="13138" spans="1:1">
      <c r="A13138" s="27"/>
    </row>
    <row r="13139" spans="1:1">
      <c r="A13139" s="27"/>
    </row>
    <row r="13140" spans="1:1">
      <c r="A13140" s="27"/>
    </row>
    <row r="13141" spans="1:1">
      <c r="A13141" s="27"/>
    </row>
    <row r="13142" spans="1:1">
      <c r="A13142" s="27"/>
    </row>
    <row r="13143" spans="1:1">
      <c r="A13143" s="27"/>
    </row>
    <row r="13144" spans="1:1">
      <c r="A13144" s="27"/>
    </row>
    <row r="13145" spans="1:1">
      <c r="A13145" s="27"/>
    </row>
    <row r="13146" spans="1:1">
      <c r="A13146" s="27"/>
    </row>
    <row r="13147" spans="1:1">
      <c r="A13147" s="27"/>
    </row>
    <row r="13148" spans="1:1">
      <c r="A13148" s="27"/>
    </row>
    <row r="13149" spans="1:1">
      <c r="A13149" s="27"/>
    </row>
    <row r="13150" spans="1:1">
      <c r="A13150" s="27"/>
    </row>
    <row r="13151" spans="1:1">
      <c r="A13151" s="27"/>
    </row>
    <row r="13152" spans="1:1">
      <c r="A13152" s="27"/>
    </row>
    <row r="13153" spans="1:1">
      <c r="A13153" s="27"/>
    </row>
    <row r="13154" spans="1:1">
      <c r="A13154" s="27"/>
    </row>
    <row r="13155" spans="1:1">
      <c r="A13155" s="27"/>
    </row>
    <row r="13156" spans="1:1">
      <c r="A13156" s="27"/>
    </row>
    <row r="13157" spans="1:1">
      <c r="A13157" s="27"/>
    </row>
    <row r="13158" spans="1:1">
      <c r="A13158" s="27"/>
    </row>
    <row r="13159" spans="1:1">
      <c r="A13159" s="27"/>
    </row>
    <row r="13160" spans="1:1">
      <c r="A13160" s="27"/>
    </row>
    <row r="13161" spans="1:1">
      <c r="A13161" s="27"/>
    </row>
    <row r="13162" spans="1:1">
      <c r="A13162" s="27"/>
    </row>
    <row r="13163" spans="1:1">
      <c r="A13163" s="27"/>
    </row>
    <row r="13164" spans="1:1">
      <c r="A13164" s="27"/>
    </row>
    <row r="13165" spans="1:1">
      <c r="A13165" s="27"/>
    </row>
    <row r="13166" spans="1:1">
      <c r="A13166" s="27"/>
    </row>
    <row r="13167" spans="1:1">
      <c r="A13167" s="27"/>
    </row>
    <row r="13168" spans="1:1">
      <c r="A13168" s="27"/>
    </row>
    <row r="13169" spans="1:1">
      <c r="A13169" s="27"/>
    </row>
    <row r="13170" spans="1:1">
      <c r="A13170" s="27"/>
    </row>
    <row r="13171" spans="1:1">
      <c r="A13171" s="27"/>
    </row>
    <row r="13172" spans="1:1">
      <c r="A13172" s="27"/>
    </row>
    <row r="13173" spans="1:1">
      <c r="A13173" s="27"/>
    </row>
    <row r="13174" spans="1:1">
      <c r="A13174" s="27"/>
    </row>
    <row r="13175" spans="1:1">
      <c r="A13175" s="27"/>
    </row>
    <row r="13176" spans="1:1">
      <c r="A13176" s="27"/>
    </row>
    <row r="13177" spans="1:1">
      <c r="A13177" s="27"/>
    </row>
    <row r="13178" spans="1:1">
      <c r="A13178" s="27"/>
    </row>
    <row r="13179" spans="1:1">
      <c r="A13179" s="27"/>
    </row>
    <row r="13180" spans="1:1">
      <c r="A13180" s="27"/>
    </row>
    <row r="13181" spans="1:1">
      <c r="A13181" s="27"/>
    </row>
    <row r="13182" spans="1:1">
      <c r="A13182" s="27"/>
    </row>
    <row r="13183" spans="1:1">
      <c r="A13183" s="27"/>
    </row>
    <row r="13184" spans="1:1">
      <c r="A13184" s="27"/>
    </row>
    <row r="13185" spans="1:1">
      <c r="A13185" s="27"/>
    </row>
    <row r="13186" spans="1:1">
      <c r="A13186" s="27"/>
    </row>
    <row r="13187" spans="1:1">
      <c r="A13187" s="27"/>
    </row>
    <row r="13188" spans="1:1">
      <c r="A13188" s="27"/>
    </row>
    <row r="13189" spans="1:1">
      <c r="A13189" s="27"/>
    </row>
    <row r="13190" spans="1:1">
      <c r="A13190" s="27"/>
    </row>
    <row r="13191" spans="1:1">
      <c r="A13191" s="27"/>
    </row>
    <row r="13192" spans="1:1">
      <c r="A13192" s="27"/>
    </row>
    <row r="13193" spans="1:1">
      <c r="A13193" s="27"/>
    </row>
    <row r="13194" spans="1:1">
      <c r="A13194" s="27"/>
    </row>
    <row r="13195" spans="1:1">
      <c r="A13195" s="27"/>
    </row>
    <row r="13196" spans="1:1">
      <c r="A13196" s="27"/>
    </row>
    <row r="13197" spans="1:1">
      <c r="A13197" s="27"/>
    </row>
    <row r="13198" spans="1:1">
      <c r="A13198" s="27"/>
    </row>
    <row r="13199" spans="1:1">
      <c r="A13199" s="27"/>
    </row>
    <row r="13200" spans="1:1">
      <c r="A13200" s="27"/>
    </row>
    <row r="13201" spans="1:1">
      <c r="A13201" s="27"/>
    </row>
    <row r="13202" spans="1:1">
      <c r="A13202" s="27"/>
    </row>
    <row r="13203" spans="1:1">
      <c r="A13203" s="27"/>
    </row>
    <row r="13204" spans="1:1">
      <c r="A13204" s="27"/>
    </row>
    <row r="13205" spans="1:1">
      <c r="A13205" s="27"/>
    </row>
    <row r="13206" spans="1:1">
      <c r="A13206" s="27"/>
    </row>
    <row r="13207" spans="1:1">
      <c r="A13207" s="27"/>
    </row>
    <row r="13208" spans="1:1">
      <c r="A13208" s="27"/>
    </row>
    <row r="13209" spans="1:1">
      <c r="A13209" s="27"/>
    </row>
    <row r="13210" spans="1:1">
      <c r="A13210" s="27"/>
    </row>
    <row r="13211" spans="1:1">
      <c r="A13211" s="27"/>
    </row>
    <row r="13212" spans="1:1">
      <c r="A13212" s="27"/>
    </row>
    <row r="13213" spans="1:1">
      <c r="A13213" s="27"/>
    </row>
    <row r="13214" spans="1:1">
      <c r="A13214" s="27"/>
    </row>
    <row r="13215" spans="1:1">
      <c r="A13215" s="27"/>
    </row>
    <row r="13216" spans="1:1">
      <c r="A13216" s="27"/>
    </row>
    <row r="13217" spans="1:1">
      <c r="A13217" s="27"/>
    </row>
    <row r="13218" spans="1:1">
      <c r="A13218" s="27"/>
    </row>
    <row r="13219" spans="1:1">
      <c r="A13219" s="27"/>
    </row>
    <row r="13220" spans="1:1">
      <c r="A13220" s="27"/>
    </row>
    <row r="13221" spans="1:1">
      <c r="A13221" s="27"/>
    </row>
    <row r="13222" spans="1:1">
      <c r="A13222" s="27"/>
    </row>
    <row r="13223" spans="1:1">
      <c r="A13223" s="27"/>
    </row>
    <row r="13224" spans="1:1">
      <c r="A13224" s="27"/>
    </row>
    <row r="13225" spans="1:1">
      <c r="A13225" s="27"/>
    </row>
    <row r="13226" spans="1:1">
      <c r="A13226" s="27"/>
    </row>
    <row r="13227" spans="1:1">
      <c r="A13227" s="27"/>
    </row>
    <row r="13228" spans="1:1">
      <c r="A13228" s="27"/>
    </row>
    <row r="13229" spans="1:1">
      <c r="A13229" s="27"/>
    </row>
    <row r="13230" spans="1:1">
      <c r="A13230" s="27"/>
    </row>
    <row r="13231" spans="1:1">
      <c r="A13231" s="27"/>
    </row>
    <row r="13232" spans="1:1">
      <c r="A13232" s="27"/>
    </row>
    <row r="13233" spans="1:1">
      <c r="A13233" s="27"/>
    </row>
    <row r="13234" spans="1:1">
      <c r="A13234" s="27"/>
    </row>
    <row r="13235" spans="1:1">
      <c r="A13235" s="27"/>
    </row>
    <row r="13236" spans="1:1">
      <c r="A13236" s="27"/>
    </row>
    <row r="13237" spans="1:1">
      <c r="A13237" s="27"/>
    </row>
    <row r="13238" spans="1:1">
      <c r="A13238" s="27"/>
    </row>
    <row r="13239" spans="1:1">
      <c r="A13239" s="27"/>
    </row>
    <row r="13240" spans="1:1">
      <c r="A13240" s="27"/>
    </row>
    <row r="13241" spans="1:1">
      <c r="A13241" s="27"/>
    </row>
    <row r="13242" spans="1:1">
      <c r="A13242" s="27"/>
    </row>
    <row r="13243" spans="1:1">
      <c r="A13243" s="27"/>
    </row>
    <row r="13244" spans="1:1">
      <c r="A13244" s="27"/>
    </row>
    <row r="13245" spans="1:1">
      <c r="A13245" s="27"/>
    </row>
    <row r="13246" spans="1:1">
      <c r="A13246" s="27"/>
    </row>
    <row r="13247" spans="1:1">
      <c r="A13247" s="27"/>
    </row>
    <row r="13248" spans="1:1">
      <c r="A13248" s="27"/>
    </row>
    <row r="13249" spans="1:1">
      <c r="A13249" s="27"/>
    </row>
    <row r="13250" spans="1:1">
      <c r="A13250" s="27"/>
    </row>
    <row r="13251" spans="1:1">
      <c r="A13251" s="27"/>
    </row>
    <row r="13252" spans="1:1">
      <c r="A13252" s="27"/>
    </row>
    <row r="13253" spans="1:1">
      <c r="A13253" s="27"/>
    </row>
    <row r="13254" spans="1:1">
      <c r="A13254" s="27"/>
    </row>
    <row r="13255" spans="1:1">
      <c r="A13255" s="27"/>
    </row>
    <row r="13256" spans="1:1">
      <c r="A13256" s="27"/>
    </row>
    <row r="13257" spans="1:1">
      <c r="A13257" s="27"/>
    </row>
    <row r="13258" spans="1:1">
      <c r="A13258" s="27"/>
    </row>
    <row r="13259" spans="1:1">
      <c r="A13259" s="27"/>
    </row>
    <row r="13260" spans="1:1">
      <c r="A13260" s="27"/>
    </row>
    <row r="13261" spans="1:1">
      <c r="A13261" s="27"/>
    </row>
    <row r="13262" spans="1:1">
      <c r="A13262" s="27"/>
    </row>
    <row r="13263" spans="1:1">
      <c r="A13263" s="27"/>
    </row>
    <row r="13264" spans="1:1">
      <c r="A13264" s="27"/>
    </row>
    <row r="13265" spans="1:1">
      <c r="A13265" s="27"/>
    </row>
    <row r="13266" spans="1:1">
      <c r="A13266" s="27"/>
    </row>
    <row r="13267" spans="1:1">
      <c r="A13267" s="27"/>
    </row>
    <row r="13268" spans="1:1">
      <c r="A13268" s="27"/>
    </row>
    <row r="13269" spans="1:1">
      <c r="A13269" s="27"/>
    </row>
    <row r="13270" spans="1:1">
      <c r="A13270" s="27"/>
    </row>
    <row r="13271" spans="1:1">
      <c r="A13271" s="27"/>
    </row>
    <row r="13272" spans="1:1">
      <c r="A13272" s="27"/>
    </row>
    <row r="13273" spans="1:1">
      <c r="A13273" s="27"/>
    </row>
    <row r="13274" spans="1:1">
      <c r="A13274" s="27"/>
    </row>
    <row r="13275" spans="1:1">
      <c r="A13275" s="27"/>
    </row>
    <row r="13276" spans="1:1">
      <c r="A13276" s="27"/>
    </row>
    <row r="13277" spans="1:1">
      <c r="A13277" s="27"/>
    </row>
    <row r="13278" spans="1:1">
      <c r="A13278" s="27"/>
    </row>
    <row r="13279" spans="1:1">
      <c r="A13279" s="27"/>
    </row>
    <row r="13280" spans="1:1">
      <c r="A13280" s="27"/>
    </row>
    <row r="13281" spans="1:1">
      <c r="A13281" s="27"/>
    </row>
    <row r="13282" spans="1:1">
      <c r="A13282" s="27"/>
    </row>
    <row r="13283" spans="1:1">
      <c r="A13283" s="27"/>
    </row>
    <row r="13284" spans="1:1">
      <c r="A13284" s="27"/>
    </row>
    <row r="13285" spans="1:1">
      <c r="A13285" s="27"/>
    </row>
    <row r="13286" spans="1:1">
      <c r="A13286" s="27"/>
    </row>
    <row r="13287" spans="1:1">
      <c r="A13287" s="27"/>
    </row>
    <row r="13288" spans="1:1">
      <c r="A13288" s="27"/>
    </row>
    <row r="13289" spans="1:1">
      <c r="A13289" s="27"/>
    </row>
    <row r="13290" spans="1:1">
      <c r="A13290" s="27"/>
    </row>
    <row r="13291" spans="1:1">
      <c r="A13291" s="27"/>
    </row>
    <row r="13292" spans="1:1">
      <c r="A13292" s="27"/>
    </row>
    <row r="13293" spans="1:1">
      <c r="A13293" s="27"/>
    </row>
    <row r="13294" spans="1:1">
      <c r="A13294" s="27"/>
    </row>
    <row r="13295" spans="1:1">
      <c r="A13295" s="27"/>
    </row>
    <row r="13296" spans="1:1">
      <c r="A13296" s="27"/>
    </row>
    <row r="13297" spans="1:1">
      <c r="A13297" s="27"/>
    </row>
    <row r="13298" spans="1:1">
      <c r="A13298" s="27"/>
    </row>
    <row r="13299" spans="1:1">
      <c r="A13299" s="27"/>
    </row>
    <row r="13300" spans="1:1">
      <c r="A13300" s="27"/>
    </row>
    <row r="13301" spans="1:1">
      <c r="A13301" s="27"/>
    </row>
    <row r="13302" spans="1:1">
      <c r="A13302" s="27"/>
    </row>
    <row r="13303" spans="1:1">
      <c r="A13303" s="27"/>
    </row>
    <row r="13304" spans="1:1">
      <c r="A13304" s="27"/>
    </row>
    <row r="13305" spans="1:1">
      <c r="A13305" s="27"/>
    </row>
    <row r="13306" spans="1:1">
      <c r="A13306" s="27"/>
    </row>
    <row r="13307" spans="1:1">
      <c r="A13307" s="27"/>
    </row>
    <row r="13308" spans="1:1">
      <c r="A13308" s="27"/>
    </row>
    <row r="13309" spans="1:1">
      <c r="A13309" s="27"/>
    </row>
    <row r="13310" spans="1:1">
      <c r="A13310" s="27"/>
    </row>
    <row r="13311" spans="1:1">
      <c r="A13311" s="27"/>
    </row>
    <row r="13312" spans="1:1">
      <c r="A13312" s="27"/>
    </row>
    <row r="13313" spans="1:1">
      <c r="A13313" s="27"/>
    </row>
    <row r="13314" spans="1:1">
      <c r="A13314" s="27"/>
    </row>
    <row r="13315" spans="1:1">
      <c r="A13315" s="27"/>
    </row>
    <row r="13316" spans="1:1">
      <c r="A13316" s="27"/>
    </row>
    <row r="13317" spans="1:1">
      <c r="A13317" s="27"/>
    </row>
    <row r="13318" spans="1:1">
      <c r="A13318" s="27"/>
    </row>
    <row r="13319" spans="1:1">
      <c r="A13319" s="27"/>
    </row>
    <row r="13320" spans="1:1">
      <c r="A13320" s="27"/>
    </row>
    <row r="13321" spans="1:1">
      <c r="A13321" s="27"/>
    </row>
    <row r="13322" spans="1:1">
      <c r="A13322" s="27"/>
    </row>
    <row r="13323" spans="1:1">
      <c r="A13323" s="27"/>
    </row>
    <row r="13324" spans="1:1">
      <c r="A13324" s="27"/>
    </row>
    <row r="13325" spans="1:1">
      <c r="A13325" s="27"/>
    </row>
    <row r="13326" spans="1:1">
      <c r="A13326" s="27"/>
    </row>
    <row r="13327" spans="1:1">
      <c r="A13327" s="27"/>
    </row>
    <row r="13328" spans="1:1">
      <c r="A13328" s="27"/>
    </row>
    <row r="13329" spans="1:1">
      <c r="A13329" s="27"/>
    </row>
    <row r="13330" spans="1:1">
      <c r="A13330" s="27"/>
    </row>
    <row r="13331" spans="1:1">
      <c r="A13331" s="27"/>
    </row>
    <row r="13332" spans="1:1">
      <c r="A13332" s="27"/>
    </row>
    <row r="13333" spans="1:1">
      <c r="A13333" s="27"/>
    </row>
    <row r="13334" spans="1:1">
      <c r="A13334" s="27"/>
    </row>
    <row r="13335" spans="1:1">
      <c r="A13335" s="27"/>
    </row>
    <row r="13336" spans="1:1">
      <c r="A13336" s="27"/>
    </row>
    <row r="13337" spans="1:1">
      <c r="A13337" s="27"/>
    </row>
    <row r="13338" spans="1:1">
      <c r="A13338" s="27"/>
    </row>
    <row r="13339" spans="1:1">
      <c r="A13339" s="27"/>
    </row>
    <row r="13340" spans="1:1">
      <c r="A13340" s="27"/>
    </row>
    <row r="13341" spans="1:1">
      <c r="A13341" s="27"/>
    </row>
    <row r="13342" spans="1:1">
      <c r="A13342" s="27"/>
    </row>
    <row r="13343" spans="1:1">
      <c r="A13343" s="27"/>
    </row>
    <row r="13344" spans="1:1">
      <c r="A13344" s="27"/>
    </row>
    <row r="13345" spans="1:1">
      <c r="A13345" s="27"/>
    </row>
    <row r="13346" spans="1:1">
      <c r="A13346" s="27"/>
    </row>
    <row r="13347" spans="1:1">
      <c r="A13347" s="27"/>
    </row>
    <row r="13348" spans="1:1">
      <c r="A13348" s="27"/>
    </row>
    <row r="13349" spans="1:1">
      <c r="A13349" s="27"/>
    </row>
    <row r="13350" spans="1:1">
      <c r="A13350" s="27"/>
    </row>
    <row r="13351" spans="1:1">
      <c r="A13351" s="27"/>
    </row>
    <row r="13352" spans="1:1">
      <c r="A13352" s="27"/>
    </row>
    <row r="13353" spans="1:1">
      <c r="A13353" s="27"/>
    </row>
    <row r="13354" spans="1:1">
      <c r="A13354" s="27"/>
    </row>
    <row r="13355" spans="1:1">
      <c r="A13355" s="27"/>
    </row>
    <row r="13356" spans="1:1">
      <c r="A13356" s="27"/>
    </row>
    <row r="13357" spans="1:1">
      <c r="A13357" s="27"/>
    </row>
    <row r="13358" spans="1:1">
      <c r="A13358" s="27"/>
    </row>
    <row r="13359" spans="1:1">
      <c r="A13359" s="27"/>
    </row>
    <row r="13360" spans="1:1">
      <c r="A13360" s="27"/>
    </row>
    <row r="13361" spans="1:1">
      <c r="A13361" s="27"/>
    </row>
    <row r="13362" spans="1:1">
      <c r="A13362" s="27"/>
    </row>
    <row r="13363" spans="1:1">
      <c r="A13363" s="27"/>
    </row>
    <row r="13364" spans="1:1">
      <c r="A13364" s="27"/>
    </row>
    <row r="13365" spans="1:1">
      <c r="A13365" s="27"/>
    </row>
    <row r="13366" spans="1:1">
      <c r="A13366" s="27"/>
    </row>
    <row r="13367" spans="1:1">
      <c r="A13367" s="27"/>
    </row>
    <row r="13368" spans="1:1">
      <c r="A13368" s="27"/>
    </row>
    <row r="13369" spans="1:1">
      <c r="A13369" s="27"/>
    </row>
    <row r="13370" spans="1:1">
      <c r="A13370" s="27"/>
    </row>
    <row r="13371" spans="1:1">
      <c r="A13371" s="27"/>
    </row>
    <row r="13372" spans="1:1">
      <c r="A13372" s="27"/>
    </row>
    <row r="13373" spans="1:1">
      <c r="A13373" s="27"/>
    </row>
    <row r="13374" spans="1:1">
      <c r="A13374" s="27"/>
    </row>
    <row r="13375" spans="1:1">
      <c r="A13375" s="27"/>
    </row>
    <row r="13376" spans="1:1">
      <c r="A13376" s="27"/>
    </row>
    <row r="13377" spans="1:1">
      <c r="A13377" s="27"/>
    </row>
    <row r="13378" spans="1:1">
      <c r="A13378" s="27"/>
    </row>
    <row r="13379" spans="1:1">
      <c r="A13379" s="27"/>
    </row>
    <row r="13380" spans="1:1">
      <c r="A13380" s="27"/>
    </row>
    <row r="13381" spans="1:1">
      <c r="A13381" s="27"/>
    </row>
    <row r="13382" spans="1:1">
      <c r="A13382" s="27"/>
    </row>
    <row r="13383" spans="1:1">
      <c r="A13383" s="27"/>
    </row>
    <row r="13384" spans="1:1">
      <c r="A13384" s="27"/>
    </row>
    <row r="13385" spans="1:1">
      <c r="A13385" s="27"/>
    </row>
    <row r="13386" spans="1:1">
      <c r="A13386" s="27"/>
    </row>
    <row r="13387" spans="1:1">
      <c r="A13387" s="27"/>
    </row>
    <row r="13388" spans="1:1">
      <c r="A13388" s="27"/>
    </row>
    <row r="13389" spans="1:1">
      <c r="A13389" s="27"/>
    </row>
    <row r="13390" spans="1:1">
      <c r="A13390" s="27"/>
    </row>
    <row r="13391" spans="1:1">
      <c r="A13391" s="27"/>
    </row>
    <row r="13392" spans="1:1">
      <c r="A13392" s="27"/>
    </row>
    <row r="13393" spans="1:1">
      <c r="A13393" s="27"/>
    </row>
    <row r="13394" spans="1:1">
      <c r="A13394" s="27"/>
    </row>
    <row r="13395" spans="1:1">
      <c r="A13395" s="27"/>
    </row>
    <row r="13396" spans="1:1">
      <c r="A13396" s="27"/>
    </row>
    <row r="13397" spans="1:1">
      <c r="A13397" s="27"/>
    </row>
    <row r="13398" spans="1:1">
      <c r="A13398" s="27"/>
    </row>
    <row r="13399" spans="1:1">
      <c r="A13399" s="27"/>
    </row>
    <row r="13400" spans="1:1">
      <c r="A13400" s="27"/>
    </row>
    <row r="13401" spans="1:1">
      <c r="A13401" s="27"/>
    </row>
    <row r="13402" spans="1:1">
      <c r="A13402" s="27"/>
    </row>
    <row r="13403" spans="1:1">
      <c r="A13403" s="27"/>
    </row>
    <row r="13404" spans="1:1">
      <c r="A13404" s="27"/>
    </row>
    <row r="13405" spans="1:1">
      <c r="A13405" s="27"/>
    </row>
    <row r="13406" spans="1:1">
      <c r="A13406" s="27"/>
    </row>
    <row r="13407" spans="1:1">
      <c r="A13407" s="27"/>
    </row>
    <row r="13408" spans="1:1">
      <c r="A13408" s="27"/>
    </row>
    <row r="13409" spans="1:1">
      <c r="A13409" s="27"/>
    </row>
    <row r="13410" spans="1:1">
      <c r="A13410" s="27"/>
    </row>
    <row r="13411" spans="1:1">
      <c r="A13411" s="27"/>
    </row>
    <row r="13412" spans="1:1">
      <c r="A13412" s="27"/>
    </row>
    <row r="13413" spans="1:1">
      <c r="A13413" s="27"/>
    </row>
    <row r="13414" spans="1:1">
      <c r="A13414" s="27"/>
    </row>
    <row r="13415" spans="1:1">
      <c r="A13415" s="27"/>
    </row>
    <row r="13416" spans="1:1">
      <c r="A13416" s="27"/>
    </row>
    <row r="13417" spans="1:1">
      <c r="A13417" s="27"/>
    </row>
    <row r="13418" spans="1:1">
      <c r="A13418" s="27"/>
    </row>
    <row r="13419" spans="1:1">
      <c r="A13419" s="27"/>
    </row>
    <row r="13420" spans="1:1">
      <c r="A13420" s="27"/>
    </row>
    <row r="13421" spans="1:1">
      <c r="A13421" s="27"/>
    </row>
    <row r="13422" spans="1:1">
      <c r="A13422" s="27"/>
    </row>
    <row r="13423" spans="1:1">
      <c r="A13423" s="27"/>
    </row>
    <row r="13424" spans="1:1">
      <c r="A13424" s="27"/>
    </row>
    <row r="13425" spans="1:1">
      <c r="A13425" s="27"/>
    </row>
    <row r="13426" spans="1:1">
      <c r="A13426" s="27"/>
    </row>
    <row r="13427" spans="1:1">
      <c r="A13427" s="27"/>
    </row>
    <row r="13428" spans="1:1">
      <c r="A13428" s="27"/>
    </row>
    <row r="13429" spans="1:1">
      <c r="A13429" s="27"/>
    </row>
    <row r="13430" spans="1:1">
      <c r="A13430" s="27"/>
    </row>
    <row r="13431" spans="1:1">
      <c r="A13431" s="27"/>
    </row>
    <row r="13432" spans="1:1">
      <c r="A13432" s="27"/>
    </row>
    <row r="13433" spans="1:1">
      <c r="A13433" s="27"/>
    </row>
    <row r="13434" spans="1:1">
      <c r="A13434" s="27"/>
    </row>
    <row r="13435" spans="1:1">
      <c r="A13435" s="27"/>
    </row>
    <row r="13436" spans="1:1">
      <c r="A13436" s="27"/>
    </row>
    <row r="13437" spans="1:1">
      <c r="A13437" s="27"/>
    </row>
    <row r="13438" spans="1:1">
      <c r="A13438" s="27"/>
    </row>
    <row r="13439" spans="1:1">
      <c r="A13439" s="27"/>
    </row>
    <row r="13440" spans="1:1">
      <c r="A13440" s="27"/>
    </row>
    <row r="13441" spans="1:1">
      <c r="A13441" s="27"/>
    </row>
    <row r="13442" spans="1:1">
      <c r="A13442" s="27"/>
    </row>
    <row r="13443" spans="1:1">
      <c r="A13443" s="27"/>
    </row>
    <row r="13444" spans="1:1">
      <c r="A13444" s="27"/>
    </row>
    <row r="13445" spans="1:1">
      <c r="A13445" s="27"/>
    </row>
    <row r="13446" spans="1:1">
      <c r="A13446" s="27"/>
    </row>
    <row r="13447" spans="1:1">
      <c r="A13447" s="27"/>
    </row>
    <row r="13448" spans="1:1">
      <c r="A13448" s="27"/>
    </row>
    <row r="13449" spans="1:1">
      <c r="A13449" s="27"/>
    </row>
    <row r="13450" spans="1:1">
      <c r="A13450" s="27"/>
    </row>
    <row r="13451" spans="1:1">
      <c r="A13451" s="27"/>
    </row>
    <row r="13452" spans="1:1">
      <c r="A13452" s="27"/>
    </row>
    <row r="13453" spans="1:1">
      <c r="A13453" s="27"/>
    </row>
    <row r="13454" spans="1:1">
      <c r="A13454" s="27"/>
    </row>
    <row r="13455" spans="1:1">
      <c r="A13455" s="27"/>
    </row>
    <row r="13456" spans="1:1">
      <c r="A13456" s="27"/>
    </row>
    <row r="13457" spans="1:1">
      <c r="A13457" s="27"/>
    </row>
    <row r="13458" spans="1:1">
      <c r="A13458" s="27"/>
    </row>
    <row r="13459" spans="1:1">
      <c r="A13459" s="27"/>
    </row>
    <row r="13460" spans="1:1">
      <c r="A13460" s="27"/>
    </row>
    <row r="13461" spans="1:1">
      <c r="A13461" s="27"/>
    </row>
    <row r="13462" spans="1:1">
      <c r="A13462" s="27"/>
    </row>
    <row r="13463" spans="1:1">
      <c r="A13463" s="27"/>
    </row>
    <row r="13464" spans="1:1">
      <c r="A13464" s="27"/>
    </row>
    <row r="13465" spans="1:1">
      <c r="A13465" s="27"/>
    </row>
    <row r="13466" spans="1:1">
      <c r="A13466" s="27"/>
    </row>
    <row r="13467" spans="1:1">
      <c r="A13467" s="27"/>
    </row>
    <row r="13468" spans="1:1">
      <c r="A13468" s="27"/>
    </row>
    <row r="13469" spans="1:1">
      <c r="A13469" s="27"/>
    </row>
    <row r="13470" spans="1:1">
      <c r="A13470" s="27"/>
    </row>
    <row r="13471" spans="1:1">
      <c r="A13471" s="27"/>
    </row>
    <row r="13472" spans="1:1">
      <c r="A13472" s="27"/>
    </row>
    <row r="13473" spans="1:1">
      <c r="A13473" s="27"/>
    </row>
    <row r="13474" spans="1:1">
      <c r="A13474" s="27"/>
    </row>
    <row r="13475" spans="1:1">
      <c r="A13475" s="27"/>
    </row>
    <row r="13476" spans="1:1">
      <c r="A13476" s="27"/>
    </row>
    <row r="13477" spans="1:1">
      <c r="A13477" s="27"/>
    </row>
    <row r="13478" spans="1:1">
      <c r="A13478" s="27"/>
    </row>
    <row r="13479" spans="1:1">
      <c r="A13479" s="27"/>
    </row>
    <row r="13480" spans="1:1">
      <c r="A13480" s="27"/>
    </row>
    <row r="13481" spans="1:1">
      <c r="A13481" s="27"/>
    </row>
    <row r="13482" spans="1:1">
      <c r="A13482" s="27"/>
    </row>
    <row r="13483" spans="1:1">
      <c r="A13483" s="27"/>
    </row>
    <row r="13484" spans="1:1">
      <c r="A13484" s="27"/>
    </row>
    <row r="13485" spans="1:1">
      <c r="A13485" s="27"/>
    </row>
    <row r="13486" spans="1:1">
      <c r="A13486" s="27"/>
    </row>
    <row r="13487" spans="1:1">
      <c r="A13487" s="27"/>
    </row>
    <row r="13488" spans="1:1">
      <c r="A13488" s="27"/>
    </row>
    <row r="13489" spans="1:1">
      <c r="A13489" s="27"/>
    </row>
    <row r="13490" spans="1:1">
      <c r="A13490" s="27"/>
    </row>
    <row r="13491" spans="1:1">
      <c r="A13491" s="27"/>
    </row>
    <row r="13492" spans="1:1">
      <c r="A13492" s="27"/>
    </row>
    <row r="13493" spans="1:1">
      <c r="A13493" s="27"/>
    </row>
    <row r="13494" spans="1:1">
      <c r="A13494" s="27"/>
    </row>
    <row r="13495" spans="1:1">
      <c r="A13495" s="27"/>
    </row>
    <row r="13496" spans="1:1">
      <c r="A13496" s="27"/>
    </row>
    <row r="13497" spans="1:1">
      <c r="A13497" s="27"/>
    </row>
    <row r="13498" spans="1:1">
      <c r="A13498" s="27"/>
    </row>
    <row r="13499" spans="1:1">
      <c r="A13499" s="27"/>
    </row>
    <row r="13500" spans="1:1">
      <c r="A13500" s="27"/>
    </row>
    <row r="13501" spans="1:1">
      <c r="A13501" s="27"/>
    </row>
    <row r="13502" spans="1:1">
      <c r="A13502" s="27"/>
    </row>
    <row r="13503" spans="1:1">
      <c r="A13503" s="27"/>
    </row>
    <row r="13504" spans="1:1">
      <c r="A13504" s="27"/>
    </row>
    <row r="13505" spans="1:1">
      <c r="A13505" s="27"/>
    </row>
    <row r="13506" spans="1:1">
      <c r="A13506" s="27"/>
    </row>
    <row r="13507" spans="1:1">
      <c r="A13507" s="27"/>
    </row>
    <row r="13508" spans="1:1">
      <c r="A13508" s="27"/>
    </row>
    <row r="13509" spans="1:1">
      <c r="A13509" s="27"/>
    </row>
    <row r="13510" spans="1:1">
      <c r="A13510" s="27"/>
    </row>
    <row r="13511" spans="1:1">
      <c r="A13511" s="27"/>
    </row>
    <row r="13512" spans="1:1">
      <c r="A13512" s="27"/>
    </row>
    <row r="13513" spans="1:1">
      <c r="A13513" s="27"/>
    </row>
    <row r="13514" spans="1:1">
      <c r="A13514" s="27"/>
    </row>
    <row r="13515" spans="1:1">
      <c r="A13515" s="27"/>
    </row>
    <row r="13516" spans="1:1">
      <c r="A13516" s="27"/>
    </row>
    <row r="13517" spans="1:1">
      <c r="A13517" s="27"/>
    </row>
    <row r="13518" spans="1:1">
      <c r="A13518" s="27"/>
    </row>
    <row r="13519" spans="1:1">
      <c r="A13519" s="27"/>
    </row>
    <row r="13520" spans="1:1">
      <c r="A13520" s="27"/>
    </row>
    <row r="13521" spans="1:1">
      <c r="A13521" s="27"/>
    </row>
    <row r="13522" spans="1:1">
      <c r="A13522" s="27"/>
    </row>
    <row r="13523" spans="1:1">
      <c r="A13523" s="27"/>
    </row>
    <row r="13524" spans="1:1">
      <c r="A13524" s="27"/>
    </row>
    <row r="13525" spans="1:1">
      <c r="A13525" s="27"/>
    </row>
    <row r="13526" spans="1:1">
      <c r="A13526" s="27"/>
    </row>
    <row r="13527" spans="1:1">
      <c r="A13527" s="27"/>
    </row>
    <row r="13528" spans="1:1">
      <c r="A13528" s="27"/>
    </row>
    <row r="13529" spans="1:1">
      <c r="A13529" s="27"/>
    </row>
    <row r="13530" spans="1:1">
      <c r="A13530" s="27"/>
    </row>
    <row r="13531" spans="1:1">
      <c r="A13531" s="27"/>
    </row>
    <row r="13532" spans="1:1">
      <c r="A13532" s="27"/>
    </row>
    <row r="13533" spans="1:1">
      <c r="A13533" s="27"/>
    </row>
    <row r="13534" spans="1:1">
      <c r="A13534" s="27"/>
    </row>
    <row r="13535" spans="1:1">
      <c r="A13535" s="27"/>
    </row>
    <row r="13536" spans="1:1">
      <c r="A13536" s="27"/>
    </row>
    <row r="13537" spans="1:1">
      <c r="A13537" s="27"/>
    </row>
    <row r="13538" spans="1:1">
      <c r="A13538" s="27"/>
    </row>
    <row r="13539" spans="1:1">
      <c r="A13539" s="27"/>
    </row>
    <row r="13540" spans="1:1">
      <c r="A13540" s="27"/>
    </row>
    <row r="13541" spans="1:1">
      <c r="A13541" s="27"/>
    </row>
    <row r="13542" spans="1:1">
      <c r="A13542" s="27"/>
    </row>
    <row r="13543" spans="1:1">
      <c r="A13543" s="27"/>
    </row>
    <row r="13544" spans="1:1">
      <c r="A13544" s="27"/>
    </row>
    <row r="13545" spans="1:1">
      <c r="A13545" s="27"/>
    </row>
    <row r="13546" spans="1:1">
      <c r="A13546" s="27"/>
    </row>
    <row r="13547" spans="1:1">
      <c r="A13547" s="27"/>
    </row>
    <row r="13548" spans="1:1">
      <c r="A13548" s="27"/>
    </row>
    <row r="13549" spans="1:1">
      <c r="A13549" s="27"/>
    </row>
    <row r="13550" spans="1:1">
      <c r="A13550" s="27"/>
    </row>
    <row r="13551" spans="1:1">
      <c r="A13551" s="27"/>
    </row>
    <row r="13552" spans="1:1">
      <c r="A13552" s="27"/>
    </row>
    <row r="13553" spans="1:1">
      <c r="A13553" s="27"/>
    </row>
    <row r="13554" spans="1:1">
      <c r="A13554" s="27"/>
    </row>
    <row r="13555" spans="1:1">
      <c r="A13555" s="27"/>
    </row>
    <row r="13556" spans="1:1">
      <c r="A13556" s="27"/>
    </row>
    <row r="13557" spans="1:1">
      <c r="A13557" s="27"/>
    </row>
    <row r="13558" spans="1:1">
      <c r="A13558" s="27"/>
    </row>
    <row r="13559" spans="1:1">
      <c r="A13559" s="27"/>
    </row>
    <row r="13560" spans="1:1">
      <c r="A13560" s="27"/>
    </row>
    <row r="13561" spans="1:1">
      <c r="A13561" s="27"/>
    </row>
    <row r="13562" spans="1:1">
      <c r="A13562" s="27"/>
    </row>
    <row r="13563" spans="1:1">
      <c r="A13563" s="27"/>
    </row>
    <row r="13564" spans="1:1">
      <c r="A13564" s="27"/>
    </row>
    <row r="13565" spans="1:1">
      <c r="A13565" s="27"/>
    </row>
    <row r="13566" spans="1:1">
      <c r="A13566" s="27"/>
    </row>
    <row r="13567" spans="1:1">
      <c r="A13567" s="27"/>
    </row>
    <row r="13568" spans="1:1">
      <c r="A13568" s="27"/>
    </row>
    <row r="13569" spans="1:1">
      <c r="A13569" s="27"/>
    </row>
    <row r="13570" spans="1:1">
      <c r="A13570" s="27"/>
    </row>
    <row r="13571" spans="1:1">
      <c r="A13571" s="27"/>
    </row>
    <row r="13572" spans="1:1">
      <c r="A13572" s="27"/>
    </row>
    <row r="13573" spans="1:1">
      <c r="A13573" s="27"/>
    </row>
    <row r="13574" spans="1:1">
      <c r="A13574" s="27"/>
    </row>
    <row r="13575" spans="1:1">
      <c r="A13575" s="27"/>
    </row>
    <row r="13576" spans="1:1">
      <c r="A13576" s="27"/>
    </row>
    <row r="13577" spans="1:1">
      <c r="A13577" s="27"/>
    </row>
    <row r="13578" spans="1:1">
      <c r="A13578" s="27"/>
    </row>
    <row r="13579" spans="1:1">
      <c r="A13579" s="27"/>
    </row>
    <row r="13580" spans="1:1">
      <c r="A13580" s="27"/>
    </row>
    <row r="13581" spans="1:1">
      <c r="A13581" s="27"/>
    </row>
    <row r="13582" spans="1:1">
      <c r="A13582" s="27"/>
    </row>
    <row r="13583" spans="1:1">
      <c r="A13583" s="27"/>
    </row>
    <row r="13584" spans="1:1">
      <c r="A13584" s="27"/>
    </row>
    <row r="13585" spans="1:1">
      <c r="A13585" s="27"/>
    </row>
    <row r="13586" spans="1:1">
      <c r="A13586" s="27"/>
    </row>
    <row r="13587" spans="1:1">
      <c r="A13587" s="27"/>
    </row>
    <row r="13588" spans="1:1">
      <c r="A13588" s="27"/>
    </row>
    <row r="13589" spans="1:1">
      <c r="A13589" s="27"/>
    </row>
    <row r="13590" spans="1:1">
      <c r="A13590" s="27"/>
    </row>
    <row r="13591" spans="1:1">
      <c r="A13591" s="27"/>
    </row>
    <row r="13592" spans="1:1">
      <c r="A13592" s="27"/>
    </row>
    <row r="13593" spans="1:1">
      <c r="A13593" s="27"/>
    </row>
    <row r="13594" spans="1:1">
      <c r="A13594" s="27"/>
    </row>
    <row r="13595" spans="1:1">
      <c r="A13595" s="27"/>
    </row>
    <row r="13596" spans="1:1">
      <c r="A13596" s="27"/>
    </row>
    <row r="13597" spans="1:1">
      <c r="A13597" s="27"/>
    </row>
    <row r="13598" spans="1:1">
      <c r="A13598" s="27"/>
    </row>
    <row r="13599" spans="1:1">
      <c r="A13599" s="27"/>
    </row>
    <row r="13600" spans="1:1">
      <c r="A13600" s="27"/>
    </row>
    <row r="13601" spans="1:1">
      <c r="A13601" s="27"/>
    </row>
    <row r="13602" spans="1:1">
      <c r="A13602" s="27"/>
    </row>
    <row r="13603" spans="1:1">
      <c r="A13603" s="27"/>
    </row>
    <row r="13604" spans="1:1">
      <c r="A13604" s="27"/>
    </row>
    <row r="13605" spans="1:1">
      <c r="A13605" s="27"/>
    </row>
    <row r="13606" spans="1:1">
      <c r="A13606" s="27"/>
    </row>
    <row r="13607" spans="1:1">
      <c r="A13607" s="27"/>
    </row>
    <row r="13608" spans="1:1">
      <c r="A13608" s="27"/>
    </row>
    <row r="13609" spans="1:1">
      <c r="A13609" s="27"/>
    </row>
    <row r="13610" spans="1:1">
      <c r="A13610" s="27"/>
    </row>
    <row r="13611" spans="1:1">
      <c r="A13611" s="27"/>
    </row>
    <row r="13612" spans="1:1">
      <c r="A13612" s="27"/>
    </row>
    <row r="13613" spans="1:1">
      <c r="A13613" s="27"/>
    </row>
    <row r="13614" spans="1:1">
      <c r="A13614" s="27"/>
    </row>
    <row r="13615" spans="1:1">
      <c r="A13615" s="27"/>
    </row>
    <row r="13616" spans="1:1">
      <c r="A13616" s="27"/>
    </row>
    <row r="13617" spans="1:1">
      <c r="A13617" s="27"/>
    </row>
    <row r="13618" spans="1:1">
      <c r="A13618" s="27"/>
    </row>
    <row r="13619" spans="1:1">
      <c r="A13619" s="27"/>
    </row>
    <row r="13620" spans="1:1">
      <c r="A13620" s="27"/>
    </row>
    <row r="13621" spans="1:1">
      <c r="A13621" s="27"/>
    </row>
    <row r="13622" spans="1:1">
      <c r="A13622" s="27"/>
    </row>
    <row r="13623" spans="1:1">
      <c r="A13623" s="27"/>
    </row>
    <row r="13624" spans="1:1">
      <c r="A13624" s="27"/>
    </row>
    <row r="13625" spans="1:1">
      <c r="A13625" s="27"/>
    </row>
    <row r="13626" spans="1:1">
      <c r="A13626" s="27"/>
    </row>
    <row r="13627" spans="1:1">
      <c r="A13627" s="27"/>
    </row>
    <row r="13628" spans="1:1">
      <c r="A13628" s="27"/>
    </row>
    <row r="13629" spans="1:1">
      <c r="A13629" s="27"/>
    </row>
    <row r="13630" spans="1:1">
      <c r="A13630" s="27"/>
    </row>
    <row r="13631" spans="1:1">
      <c r="A13631" s="27"/>
    </row>
    <row r="13632" spans="1:1">
      <c r="A13632" s="27"/>
    </row>
    <row r="13633" spans="1:1">
      <c r="A13633" s="27"/>
    </row>
    <row r="13634" spans="1:1">
      <c r="A13634" s="27"/>
    </row>
    <row r="13635" spans="1:1">
      <c r="A13635" s="27"/>
    </row>
    <row r="13636" spans="1:1">
      <c r="A13636" s="27"/>
    </row>
    <row r="13637" spans="1:1">
      <c r="A13637" s="27"/>
    </row>
    <row r="13638" spans="1:1">
      <c r="A13638" s="27"/>
    </row>
    <row r="13639" spans="1:1">
      <c r="A13639" s="27"/>
    </row>
    <row r="13640" spans="1:1">
      <c r="A13640" s="27"/>
    </row>
    <row r="13641" spans="1:1">
      <c r="A13641" s="27"/>
    </row>
    <row r="13642" spans="1:1">
      <c r="A13642" s="27"/>
    </row>
    <row r="13643" spans="1:1">
      <c r="A13643" s="27"/>
    </row>
    <row r="13644" spans="1:1">
      <c r="A13644" s="27"/>
    </row>
    <row r="13645" spans="1:1">
      <c r="A13645" s="27"/>
    </row>
    <row r="13646" spans="1:1">
      <c r="A13646" s="27"/>
    </row>
    <row r="13647" spans="1:1">
      <c r="A13647" s="27"/>
    </row>
    <row r="13648" spans="1:1">
      <c r="A13648" s="27"/>
    </row>
    <row r="13649" spans="1:1">
      <c r="A13649" s="27"/>
    </row>
    <row r="13650" spans="1:1">
      <c r="A13650" s="27"/>
    </row>
    <row r="13651" spans="1:1">
      <c r="A13651" s="27"/>
    </row>
    <row r="13652" spans="1:1">
      <c r="A13652" s="27"/>
    </row>
    <row r="13653" spans="1:1">
      <c r="A13653" s="27"/>
    </row>
    <row r="13654" spans="1:1">
      <c r="A13654" s="27"/>
    </row>
    <row r="13655" spans="1:1">
      <c r="A13655" s="27"/>
    </row>
    <row r="13656" spans="1:1">
      <c r="A13656" s="27"/>
    </row>
    <row r="13657" spans="1:1">
      <c r="A13657" s="27"/>
    </row>
    <row r="13658" spans="1:1">
      <c r="A13658" s="27"/>
    </row>
    <row r="13659" spans="1:1">
      <c r="A13659" s="27"/>
    </row>
    <row r="13660" spans="1:1">
      <c r="A13660" s="27"/>
    </row>
    <row r="13661" spans="1:1">
      <c r="A13661" s="27"/>
    </row>
    <row r="13662" spans="1:1">
      <c r="A13662" s="27"/>
    </row>
    <row r="13663" spans="1:1">
      <c r="A13663" s="27"/>
    </row>
    <row r="13664" spans="1:1">
      <c r="A13664" s="27"/>
    </row>
    <row r="13665" spans="1:1">
      <c r="A13665" s="27"/>
    </row>
    <row r="13666" spans="1:1">
      <c r="A13666" s="27"/>
    </row>
    <row r="13667" spans="1:1">
      <c r="A13667" s="27"/>
    </row>
    <row r="13668" spans="1:1">
      <c r="A13668" s="27"/>
    </row>
    <row r="13669" spans="1:1">
      <c r="A13669" s="27"/>
    </row>
    <row r="13670" spans="1:1">
      <c r="A13670" s="27"/>
    </row>
    <row r="13671" spans="1:1">
      <c r="A13671" s="27"/>
    </row>
    <row r="13672" spans="1:1">
      <c r="A13672" s="27"/>
    </row>
    <row r="13673" spans="1:1">
      <c r="A13673" s="27"/>
    </row>
    <row r="13674" spans="1:1">
      <c r="A13674" s="27"/>
    </row>
    <row r="13675" spans="1:1">
      <c r="A13675" s="27"/>
    </row>
    <row r="13676" spans="1:1">
      <c r="A13676" s="27"/>
    </row>
    <row r="13677" spans="1:1">
      <c r="A13677" s="27"/>
    </row>
    <row r="13678" spans="1:1">
      <c r="A13678" s="27"/>
    </row>
    <row r="13679" spans="1:1">
      <c r="A13679" s="27"/>
    </row>
    <row r="13680" spans="1:1">
      <c r="A13680" s="27"/>
    </row>
    <row r="13681" spans="1:1">
      <c r="A13681" s="27"/>
    </row>
    <row r="13682" spans="1:1">
      <c r="A13682" s="27"/>
    </row>
    <row r="13683" spans="1:1">
      <c r="A13683" s="27"/>
    </row>
    <row r="13684" spans="1:1">
      <c r="A13684" s="27"/>
    </row>
    <row r="13685" spans="1:1">
      <c r="A13685" s="27"/>
    </row>
    <row r="13686" spans="1:1">
      <c r="A13686" s="27"/>
    </row>
    <row r="13687" spans="1:1">
      <c r="A13687" s="27"/>
    </row>
    <row r="13688" spans="1:1">
      <c r="A13688" s="27"/>
    </row>
    <row r="13689" spans="1:1">
      <c r="A13689" s="27"/>
    </row>
    <row r="13690" spans="1:1">
      <c r="A13690" s="27"/>
    </row>
    <row r="13691" spans="1:1">
      <c r="A13691" s="27"/>
    </row>
    <row r="13692" spans="1:1">
      <c r="A13692" s="27"/>
    </row>
    <row r="13693" spans="1:1">
      <c r="A13693" s="27"/>
    </row>
    <row r="13694" spans="1:1">
      <c r="A13694" s="27"/>
    </row>
    <row r="13695" spans="1:1">
      <c r="A13695" s="27"/>
    </row>
    <row r="13696" spans="1:1">
      <c r="A13696" s="27"/>
    </row>
    <row r="13697" spans="1:1">
      <c r="A13697" s="27"/>
    </row>
    <row r="13698" spans="1:1">
      <c r="A13698" s="27"/>
    </row>
    <row r="13699" spans="1:1">
      <c r="A13699" s="27"/>
    </row>
    <row r="13700" spans="1:1">
      <c r="A13700" s="27"/>
    </row>
    <row r="13701" spans="1:1">
      <c r="A13701" s="27"/>
    </row>
    <row r="13702" spans="1:1">
      <c r="A13702" s="27"/>
    </row>
    <row r="13703" spans="1:1">
      <c r="A13703" s="27"/>
    </row>
    <row r="13704" spans="1:1">
      <c r="A13704" s="27"/>
    </row>
    <row r="13705" spans="1:1">
      <c r="A13705" s="27"/>
    </row>
    <row r="13706" spans="1:1">
      <c r="A13706" s="27"/>
    </row>
    <row r="13707" spans="1:1">
      <c r="A13707" s="27"/>
    </row>
    <row r="13708" spans="1:1">
      <c r="A13708" s="27"/>
    </row>
    <row r="13709" spans="1:1">
      <c r="A13709" s="27"/>
    </row>
    <row r="13710" spans="1:1">
      <c r="A13710" s="27"/>
    </row>
    <row r="13711" spans="1:1">
      <c r="A13711" s="27"/>
    </row>
    <row r="13712" spans="1:1">
      <c r="A13712" s="27"/>
    </row>
    <row r="13713" spans="1:1">
      <c r="A13713" s="27"/>
    </row>
    <row r="13714" spans="1:1">
      <c r="A13714" s="27"/>
    </row>
    <row r="13715" spans="1:1">
      <c r="A13715" s="27"/>
    </row>
    <row r="13716" spans="1:1">
      <c r="A13716" s="27"/>
    </row>
    <row r="13717" spans="1:1">
      <c r="A13717" s="27"/>
    </row>
    <row r="13718" spans="1:1">
      <c r="A13718" s="27"/>
    </row>
    <row r="13719" spans="1:1">
      <c r="A13719" s="27"/>
    </row>
    <row r="13720" spans="1:1">
      <c r="A13720" s="27"/>
    </row>
    <row r="13721" spans="1:1">
      <c r="A13721" s="27"/>
    </row>
    <row r="13722" spans="1:1">
      <c r="A13722" s="27"/>
    </row>
    <row r="13723" spans="1:1">
      <c r="A13723" s="27"/>
    </row>
    <row r="13724" spans="1:1">
      <c r="A13724" s="27"/>
    </row>
    <row r="13725" spans="1:1">
      <c r="A13725" s="27"/>
    </row>
    <row r="13726" spans="1:1">
      <c r="A13726" s="27"/>
    </row>
    <row r="13727" spans="1:1">
      <c r="A13727" s="27"/>
    </row>
    <row r="13728" spans="1:1">
      <c r="A13728" s="27"/>
    </row>
    <row r="13729" spans="1:1">
      <c r="A13729" s="27"/>
    </row>
    <row r="13730" spans="1:1">
      <c r="A13730" s="27"/>
    </row>
    <row r="13731" spans="1:1">
      <c r="A13731" s="27"/>
    </row>
    <row r="13732" spans="1:1">
      <c r="A13732" s="27"/>
    </row>
    <row r="13733" spans="1:1">
      <c r="A13733" s="27"/>
    </row>
    <row r="13734" spans="1:1">
      <c r="A13734" s="27"/>
    </row>
    <row r="13735" spans="1:1">
      <c r="A13735" s="27"/>
    </row>
    <row r="13736" spans="1:1">
      <c r="A13736" s="27"/>
    </row>
    <row r="13737" spans="1:1">
      <c r="A13737" s="27"/>
    </row>
    <row r="13738" spans="1:1">
      <c r="A13738" s="27"/>
    </row>
    <row r="13739" spans="1:1">
      <c r="A13739" s="27"/>
    </row>
    <row r="13740" spans="1:1">
      <c r="A13740" s="27"/>
    </row>
    <row r="13741" spans="1:1">
      <c r="A13741" s="27"/>
    </row>
    <row r="13742" spans="1:1">
      <c r="A13742" s="27"/>
    </row>
    <row r="13743" spans="1:1">
      <c r="A13743" s="27"/>
    </row>
    <row r="13744" spans="1:1">
      <c r="A13744" s="27"/>
    </row>
    <row r="13745" spans="1:1">
      <c r="A13745" s="27"/>
    </row>
    <row r="13746" spans="1:1">
      <c r="A13746" s="27"/>
    </row>
    <row r="13747" spans="1:1">
      <c r="A13747" s="27"/>
    </row>
    <row r="13748" spans="1:1">
      <c r="A13748" s="27"/>
    </row>
    <row r="13749" spans="1:1">
      <c r="A13749" s="27"/>
    </row>
    <row r="13750" spans="1:1">
      <c r="A13750" s="27"/>
    </row>
    <row r="13751" spans="1:1">
      <c r="A13751" s="27"/>
    </row>
    <row r="13752" spans="1:1">
      <c r="A13752" s="27"/>
    </row>
    <row r="13753" spans="1:1">
      <c r="A13753" s="27"/>
    </row>
    <row r="13754" spans="1:1">
      <c r="A13754" s="27"/>
    </row>
    <row r="13755" spans="1:1">
      <c r="A13755" s="27"/>
    </row>
    <row r="13756" spans="1:1">
      <c r="A13756" s="27"/>
    </row>
    <row r="13757" spans="1:1">
      <c r="A13757" s="27"/>
    </row>
    <row r="13758" spans="1:1">
      <c r="A13758" s="27"/>
    </row>
    <row r="13759" spans="1:1">
      <c r="A13759" s="27"/>
    </row>
    <row r="13760" spans="1:1">
      <c r="A13760" s="27"/>
    </row>
    <row r="13761" spans="1:1">
      <c r="A13761" s="27"/>
    </row>
    <row r="13762" spans="1:1">
      <c r="A13762" s="27"/>
    </row>
    <row r="13763" spans="1:1">
      <c r="A13763" s="27"/>
    </row>
    <row r="13764" spans="1:1">
      <c r="A13764" s="27"/>
    </row>
    <row r="13765" spans="1:1">
      <c r="A13765" s="27"/>
    </row>
    <row r="13766" spans="1:1">
      <c r="A13766" s="27"/>
    </row>
    <row r="13767" spans="1:1">
      <c r="A13767" s="27"/>
    </row>
    <row r="13768" spans="1:1">
      <c r="A13768" s="27"/>
    </row>
    <row r="13769" spans="1:1">
      <c r="A13769" s="27"/>
    </row>
    <row r="13770" spans="1:1">
      <c r="A13770" s="27"/>
    </row>
    <row r="13771" spans="1:1">
      <c r="A13771" s="27"/>
    </row>
    <row r="13772" spans="1:1">
      <c r="A13772" s="27"/>
    </row>
    <row r="13773" spans="1:1">
      <c r="A13773" s="27"/>
    </row>
    <row r="13774" spans="1:1">
      <c r="A13774" s="27"/>
    </row>
    <row r="13775" spans="1:1">
      <c r="A13775" s="27"/>
    </row>
    <row r="13776" spans="1:1">
      <c r="A13776" s="27"/>
    </row>
    <row r="13777" spans="1:1">
      <c r="A13777" s="27"/>
    </row>
    <row r="13778" spans="1:1">
      <c r="A13778" s="27"/>
    </row>
    <row r="13779" spans="1:1">
      <c r="A13779" s="27"/>
    </row>
    <row r="13780" spans="1:1">
      <c r="A13780" s="27"/>
    </row>
    <row r="13781" spans="1:1">
      <c r="A13781" s="27"/>
    </row>
    <row r="13782" spans="1:1">
      <c r="A13782" s="27"/>
    </row>
    <row r="13783" spans="1:1">
      <c r="A13783" s="27"/>
    </row>
    <row r="13784" spans="1:1">
      <c r="A13784" s="27"/>
    </row>
    <row r="13785" spans="1:1">
      <c r="A13785" s="27"/>
    </row>
    <row r="13786" spans="1:1">
      <c r="A13786" s="27"/>
    </row>
    <row r="13787" spans="1:1">
      <c r="A13787" s="27"/>
    </row>
    <row r="13788" spans="1:1">
      <c r="A13788" s="27"/>
    </row>
    <row r="13789" spans="1:1">
      <c r="A13789" s="27"/>
    </row>
    <row r="13790" spans="1:1">
      <c r="A13790" s="27"/>
    </row>
    <row r="13791" spans="1:1">
      <c r="A13791" s="27"/>
    </row>
    <row r="13792" spans="1:1">
      <c r="A13792" s="27"/>
    </row>
    <row r="13793" spans="1:1">
      <c r="A13793" s="27"/>
    </row>
    <row r="13794" spans="1:1">
      <c r="A13794" s="27"/>
    </row>
    <row r="13795" spans="1:1">
      <c r="A13795" s="27"/>
    </row>
    <row r="13796" spans="1:1">
      <c r="A13796" s="27"/>
    </row>
    <row r="13797" spans="1:1">
      <c r="A13797" s="27"/>
    </row>
    <row r="13798" spans="1:1">
      <c r="A13798" s="27"/>
    </row>
    <row r="13799" spans="1:1">
      <c r="A13799" s="27"/>
    </row>
    <row r="13800" spans="1:1">
      <c r="A13800" s="27"/>
    </row>
    <row r="13801" spans="1:1">
      <c r="A13801" s="27"/>
    </row>
    <row r="13802" spans="1:1">
      <c r="A13802" s="27"/>
    </row>
    <row r="13803" spans="1:1">
      <c r="A13803" s="27"/>
    </row>
    <row r="13804" spans="1:1">
      <c r="A13804" s="27"/>
    </row>
    <row r="13805" spans="1:1">
      <c r="A13805" s="27"/>
    </row>
    <row r="13806" spans="1:1">
      <c r="A13806" s="27"/>
    </row>
    <row r="13807" spans="1:1">
      <c r="A13807" s="27"/>
    </row>
    <row r="13808" spans="1:1">
      <c r="A13808" s="27"/>
    </row>
    <row r="13809" spans="1:1">
      <c r="A13809" s="27"/>
    </row>
    <row r="13810" spans="1:1">
      <c r="A13810" s="27"/>
    </row>
    <row r="13811" spans="1:1">
      <c r="A13811" s="27"/>
    </row>
    <row r="13812" spans="1:1">
      <c r="A13812" s="27"/>
    </row>
    <row r="13813" spans="1:1">
      <c r="A13813" s="27"/>
    </row>
    <row r="13814" spans="1:1">
      <c r="A13814" s="27"/>
    </row>
    <row r="13815" spans="1:1">
      <c r="A13815" s="27"/>
    </row>
    <row r="13816" spans="1:1">
      <c r="A13816" s="27"/>
    </row>
    <row r="13817" spans="1:1">
      <c r="A13817" s="27"/>
    </row>
    <row r="13818" spans="1:1">
      <c r="A13818" s="27"/>
    </row>
    <row r="13819" spans="1:1">
      <c r="A13819" s="27"/>
    </row>
    <row r="13820" spans="1:1">
      <c r="A13820" s="27"/>
    </row>
    <row r="13821" spans="1:1">
      <c r="A13821" s="27"/>
    </row>
    <row r="13822" spans="1:1">
      <c r="A13822" s="27"/>
    </row>
    <row r="13823" spans="1:1">
      <c r="A13823" s="27"/>
    </row>
    <row r="13824" spans="1:1">
      <c r="A13824" s="27"/>
    </row>
    <row r="13825" spans="1:1">
      <c r="A13825" s="27"/>
    </row>
    <row r="13826" spans="1:1">
      <c r="A13826" s="27"/>
    </row>
    <row r="13827" spans="1:1">
      <c r="A13827" s="27"/>
    </row>
    <row r="13828" spans="1:1">
      <c r="A13828" s="27"/>
    </row>
    <row r="13829" spans="1:1">
      <c r="A13829" s="27"/>
    </row>
    <row r="13830" spans="1:1">
      <c r="A13830" s="27"/>
    </row>
    <row r="13831" spans="1:1">
      <c r="A13831" s="27"/>
    </row>
    <row r="13832" spans="1:1">
      <c r="A13832" s="27"/>
    </row>
    <row r="13833" spans="1:1">
      <c r="A13833" s="27"/>
    </row>
    <row r="13834" spans="1:1">
      <c r="A13834" s="27"/>
    </row>
    <row r="13835" spans="1:1">
      <c r="A13835" s="27"/>
    </row>
    <row r="13836" spans="1:1">
      <c r="A13836" s="27"/>
    </row>
    <row r="13837" spans="1:1">
      <c r="A13837" s="27"/>
    </row>
    <row r="13838" spans="1:1">
      <c r="A13838" s="27"/>
    </row>
    <row r="13839" spans="1:1">
      <c r="A13839" s="27"/>
    </row>
    <row r="13840" spans="1:1">
      <c r="A13840" s="27"/>
    </row>
    <row r="13841" spans="1:1">
      <c r="A13841" s="27"/>
    </row>
    <row r="13842" spans="1:1">
      <c r="A13842" s="27"/>
    </row>
    <row r="13843" spans="1:1">
      <c r="A13843" s="27"/>
    </row>
    <row r="13844" spans="1:1">
      <c r="A13844" s="27"/>
    </row>
    <row r="13845" spans="1:1">
      <c r="A13845" s="27"/>
    </row>
    <row r="13846" spans="1:1">
      <c r="A13846" s="27"/>
    </row>
    <row r="13847" spans="1:1">
      <c r="A13847" s="27"/>
    </row>
    <row r="13848" spans="1:1">
      <c r="A13848" s="27"/>
    </row>
    <row r="13849" spans="1:1">
      <c r="A13849" s="27"/>
    </row>
    <row r="13850" spans="1:1">
      <c r="A13850" s="27"/>
    </row>
    <row r="13851" spans="1:1">
      <c r="A13851" s="27"/>
    </row>
    <row r="13852" spans="1:1">
      <c r="A13852" s="27"/>
    </row>
    <row r="13853" spans="1:1">
      <c r="A13853" s="27"/>
    </row>
    <row r="13854" spans="1:1">
      <c r="A13854" s="27"/>
    </row>
    <row r="13855" spans="1:1">
      <c r="A13855" s="27"/>
    </row>
    <row r="13856" spans="1:1">
      <c r="A13856" s="27"/>
    </row>
    <row r="13857" spans="1:1">
      <c r="A13857" s="27"/>
    </row>
    <row r="13858" spans="1:1">
      <c r="A13858" s="27"/>
    </row>
    <row r="13859" spans="1:1">
      <c r="A13859" s="27"/>
    </row>
    <row r="13860" spans="1:1">
      <c r="A13860" s="27"/>
    </row>
    <row r="13861" spans="1:1">
      <c r="A13861" s="27"/>
    </row>
    <row r="13862" spans="1:1">
      <c r="A13862" s="27"/>
    </row>
    <row r="13863" spans="1:1">
      <c r="A13863" s="27"/>
    </row>
    <row r="13864" spans="1:1">
      <c r="A13864" s="27"/>
    </row>
    <row r="13865" spans="1:1">
      <c r="A13865" s="27"/>
    </row>
    <row r="13866" spans="1:1">
      <c r="A13866" s="27"/>
    </row>
    <row r="13867" spans="1:1">
      <c r="A13867" s="27"/>
    </row>
    <row r="13868" spans="1:1">
      <c r="A13868" s="27"/>
    </row>
    <row r="13869" spans="1:1">
      <c r="A13869" s="27"/>
    </row>
    <row r="13870" spans="1:1">
      <c r="A13870" s="27"/>
    </row>
    <row r="13871" spans="1:1">
      <c r="A13871" s="27"/>
    </row>
    <row r="13872" spans="1:1">
      <c r="A13872" s="27"/>
    </row>
    <row r="13873" spans="1:1">
      <c r="A13873" s="27"/>
    </row>
    <row r="13874" spans="1:1">
      <c r="A13874" s="27"/>
    </row>
    <row r="13875" spans="1:1">
      <c r="A13875" s="27"/>
    </row>
    <row r="13876" spans="1:1">
      <c r="A13876" s="27"/>
    </row>
    <row r="13877" spans="1:1">
      <c r="A13877" s="27"/>
    </row>
    <row r="13878" spans="1:1">
      <c r="A13878" s="27"/>
    </row>
    <row r="13879" spans="1:1">
      <c r="A13879" s="27"/>
    </row>
    <row r="13880" spans="1:1">
      <c r="A13880" s="27"/>
    </row>
    <row r="13881" spans="1:1">
      <c r="A13881" s="27"/>
    </row>
    <row r="13882" spans="1:1">
      <c r="A13882" s="27"/>
    </row>
    <row r="13883" spans="1:1">
      <c r="A13883" s="27"/>
    </row>
    <row r="13884" spans="1:1">
      <c r="A13884" s="27"/>
    </row>
    <row r="13885" spans="1:1">
      <c r="A13885" s="27"/>
    </row>
    <row r="13886" spans="1:1">
      <c r="A13886" s="27"/>
    </row>
    <row r="13887" spans="1:1">
      <c r="A13887" s="27"/>
    </row>
    <row r="13888" spans="1:1">
      <c r="A13888" s="27"/>
    </row>
    <row r="13889" spans="1:1">
      <c r="A13889" s="27"/>
    </row>
    <row r="13890" spans="1:1">
      <c r="A13890" s="27"/>
    </row>
    <row r="13891" spans="1:1">
      <c r="A13891" s="27"/>
    </row>
    <row r="13892" spans="1:1">
      <c r="A13892" s="27"/>
    </row>
    <row r="13893" spans="1:1">
      <c r="A13893" s="27"/>
    </row>
    <row r="13894" spans="1:1">
      <c r="A13894" s="27"/>
    </row>
    <row r="13895" spans="1:1">
      <c r="A13895" s="27"/>
    </row>
    <row r="13896" spans="1:1">
      <c r="A13896" s="27"/>
    </row>
    <row r="13897" spans="1:1">
      <c r="A13897" s="27"/>
    </row>
    <row r="13898" spans="1:1">
      <c r="A13898" s="27"/>
    </row>
    <row r="13899" spans="1:1">
      <c r="A13899" s="27"/>
    </row>
    <row r="13900" spans="1:1">
      <c r="A13900" s="27"/>
    </row>
    <row r="13901" spans="1:1">
      <c r="A13901" s="27"/>
    </row>
    <row r="13902" spans="1:1">
      <c r="A13902" s="27"/>
    </row>
    <row r="13903" spans="1:1">
      <c r="A13903" s="27"/>
    </row>
    <row r="13904" spans="1:1">
      <c r="A13904" s="27"/>
    </row>
    <row r="13905" spans="1:1">
      <c r="A13905" s="27"/>
    </row>
    <row r="13906" spans="1:1">
      <c r="A13906" s="27"/>
    </row>
    <row r="13907" spans="1:1">
      <c r="A13907" s="27"/>
    </row>
    <row r="13908" spans="1:1">
      <c r="A13908" s="27"/>
    </row>
    <row r="13909" spans="1:1">
      <c r="A13909" s="27"/>
    </row>
    <row r="13910" spans="1:1">
      <c r="A13910" s="27"/>
    </row>
    <row r="13911" spans="1:1">
      <c r="A13911" s="27"/>
    </row>
    <row r="13912" spans="1:1">
      <c r="A13912" s="27"/>
    </row>
    <row r="13913" spans="1:1">
      <c r="A13913" s="27"/>
    </row>
    <row r="13914" spans="1:1">
      <c r="A13914" s="27"/>
    </row>
    <row r="13915" spans="1:1">
      <c r="A13915" s="27"/>
    </row>
    <row r="13916" spans="1:1">
      <c r="A13916" s="27"/>
    </row>
    <row r="13917" spans="1:1">
      <c r="A13917" s="27"/>
    </row>
    <row r="13918" spans="1:1">
      <c r="A13918" s="27"/>
    </row>
    <row r="13919" spans="1:1">
      <c r="A13919" s="27"/>
    </row>
    <row r="13920" spans="1:1">
      <c r="A13920" s="27"/>
    </row>
    <row r="13921" spans="1:1">
      <c r="A13921" s="27"/>
    </row>
    <row r="13922" spans="1:1">
      <c r="A13922" s="27"/>
    </row>
    <row r="13923" spans="1:1">
      <c r="A13923" s="27"/>
    </row>
    <row r="13924" spans="1:1">
      <c r="A13924" s="27"/>
    </row>
    <row r="13925" spans="1:1">
      <c r="A13925" s="27"/>
    </row>
    <row r="13926" spans="1:1">
      <c r="A13926" s="27"/>
    </row>
    <row r="13927" spans="1:1">
      <c r="A13927" s="27"/>
    </row>
    <row r="13928" spans="1:1">
      <c r="A13928" s="27"/>
    </row>
    <row r="13929" spans="1:1">
      <c r="A13929" s="27"/>
    </row>
    <row r="13930" spans="1:1">
      <c r="A13930" s="27"/>
    </row>
    <row r="13931" spans="1:1">
      <c r="A13931" s="27"/>
    </row>
    <row r="13932" spans="1:1">
      <c r="A13932" s="27"/>
    </row>
    <row r="13933" spans="1:1">
      <c r="A13933" s="27"/>
    </row>
    <row r="13934" spans="1:1">
      <c r="A13934" s="27"/>
    </row>
    <row r="13935" spans="1:1">
      <c r="A13935" s="27"/>
    </row>
    <row r="13936" spans="1:1">
      <c r="A13936" s="27"/>
    </row>
    <row r="13937" spans="1:1">
      <c r="A13937" s="27"/>
    </row>
    <row r="13938" spans="1:1">
      <c r="A13938" s="27"/>
    </row>
    <row r="13939" spans="1:1">
      <c r="A13939" s="27"/>
    </row>
    <row r="13940" spans="1:1">
      <c r="A13940" s="27"/>
    </row>
    <row r="13941" spans="1:1">
      <c r="A13941" s="27"/>
    </row>
    <row r="13942" spans="1:1">
      <c r="A13942" s="27"/>
    </row>
    <row r="13943" spans="1:1">
      <c r="A13943" s="27"/>
    </row>
    <row r="13944" spans="1:1">
      <c r="A13944" s="27"/>
    </row>
    <row r="13945" spans="1:1">
      <c r="A13945" s="27"/>
    </row>
    <row r="13946" spans="1:1">
      <c r="A13946" s="27"/>
    </row>
    <row r="13947" spans="1:1">
      <c r="A13947" s="27"/>
    </row>
    <row r="13948" spans="1:1">
      <c r="A13948" s="27"/>
    </row>
    <row r="13949" spans="1:1">
      <c r="A13949" s="27"/>
    </row>
    <row r="13950" spans="1:1">
      <c r="A13950" s="27"/>
    </row>
    <row r="13951" spans="1:1">
      <c r="A13951" s="27"/>
    </row>
    <row r="13952" spans="1:1">
      <c r="A13952" s="27"/>
    </row>
    <row r="13953" spans="1:1">
      <c r="A13953" s="27"/>
    </row>
    <row r="13954" spans="1:1">
      <c r="A13954" s="27"/>
    </row>
    <row r="13955" spans="1:1">
      <c r="A13955" s="27"/>
    </row>
    <row r="13956" spans="1:1">
      <c r="A13956" s="27"/>
    </row>
    <row r="13957" spans="1:1">
      <c r="A13957" s="27"/>
    </row>
    <row r="13958" spans="1:1">
      <c r="A13958" s="27"/>
    </row>
    <row r="13959" spans="1:1">
      <c r="A13959" s="27"/>
    </row>
    <row r="13960" spans="1:1">
      <c r="A13960" s="27"/>
    </row>
    <row r="13961" spans="1:1">
      <c r="A13961" s="27"/>
    </row>
    <row r="13962" spans="1:1">
      <c r="A13962" s="27"/>
    </row>
    <row r="13963" spans="1:1">
      <c r="A13963" s="27"/>
    </row>
    <row r="13964" spans="1:1">
      <c r="A13964" s="27"/>
    </row>
    <row r="13965" spans="1:1">
      <c r="A13965" s="27"/>
    </row>
    <row r="13966" spans="1:1">
      <c r="A13966" s="27"/>
    </row>
    <row r="13967" spans="1:1">
      <c r="A13967" s="27"/>
    </row>
    <row r="13968" spans="1:1">
      <c r="A13968" s="27"/>
    </row>
    <row r="13969" spans="1:1">
      <c r="A13969" s="27"/>
    </row>
    <row r="13970" spans="1:1">
      <c r="A13970" s="27"/>
    </row>
    <row r="13971" spans="1:1">
      <c r="A13971" s="27"/>
    </row>
    <row r="13972" spans="1:1">
      <c r="A13972" s="27"/>
    </row>
    <row r="13973" spans="1:1">
      <c r="A13973" s="27"/>
    </row>
    <row r="13974" spans="1:1">
      <c r="A13974" s="27"/>
    </row>
    <row r="13975" spans="1:1">
      <c r="A13975" s="27"/>
    </row>
    <row r="13976" spans="1:1">
      <c r="A13976" s="27"/>
    </row>
    <row r="13977" spans="1:1">
      <c r="A13977" s="27"/>
    </row>
    <row r="13978" spans="1:1">
      <c r="A13978" s="27"/>
    </row>
    <row r="13979" spans="1:1">
      <c r="A13979" s="27"/>
    </row>
    <row r="13980" spans="1:1">
      <c r="A13980" s="27"/>
    </row>
    <row r="13981" spans="1:1">
      <c r="A13981" s="27"/>
    </row>
    <row r="13982" spans="1:1">
      <c r="A13982" s="27"/>
    </row>
    <row r="13983" spans="1:1">
      <c r="A13983" s="27"/>
    </row>
    <row r="13984" spans="1:1">
      <c r="A13984" s="27"/>
    </row>
    <row r="13985" spans="1:1">
      <c r="A13985" s="27"/>
    </row>
    <row r="13986" spans="1:1">
      <c r="A13986" s="27"/>
    </row>
    <row r="13987" spans="1:1">
      <c r="A13987" s="27"/>
    </row>
    <row r="13988" spans="1:1">
      <c r="A13988" s="27"/>
    </row>
    <row r="13989" spans="1:1">
      <c r="A13989" s="27"/>
    </row>
    <row r="13990" spans="1:1">
      <c r="A13990" s="27"/>
    </row>
    <row r="13991" spans="1:1">
      <c r="A13991" s="27"/>
    </row>
    <row r="13992" spans="1:1">
      <c r="A13992" s="27"/>
    </row>
    <row r="13993" spans="1:1">
      <c r="A13993" s="27"/>
    </row>
    <row r="13994" spans="1:1">
      <c r="A13994" s="27"/>
    </row>
    <row r="13995" spans="1:1">
      <c r="A13995" s="27"/>
    </row>
    <row r="13996" spans="1:1">
      <c r="A13996" s="27"/>
    </row>
    <row r="13997" spans="1:1">
      <c r="A13997" s="27"/>
    </row>
    <row r="13998" spans="1:1">
      <c r="A13998" s="27"/>
    </row>
    <row r="13999" spans="1:1">
      <c r="A13999" s="27"/>
    </row>
    <row r="14000" spans="1:1">
      <c r="A14000" s="27"/>
    </row>
    <row r="14001" spans="1:1">
      <c r="A14001" s="27"/>
    </row>
    <row r="14002" spans="1:1">
      <c r="A14002" s="27"/>
    </row>
    <row r="14003" spans="1:1">
      <c r="A14003" s="27"/>
    </row>
    <row r="14004" spans="1:1">
      <c r="A14004" s="27"/>
    </row>
    <row r="14005" spans="1:1">
      <c r="A14005" s="27"/>
    </row>
    <row r="14006" spans="1:1">
      <c r="A14006" s="27"/>
    </row>
    <row r="14007" spans="1:1">
      <c r="A14007" s="27"/>
    </row>
    <row r="14008" spans="1:1">
      <c r="A14008" s="27"/>
    </row>
    <row r="14009" spans="1:1">
      <c r="A14009" s="27"/>
    </row>
    <row r="14010" spans="1:1">
      <c r="A14010" s="27"/>
    </row>
    <row r="14011" spans="1:1">
      <c r="A14011" s="27"/>
    </row>
    <row r="14012" spans="1:1">
      <c r="A14012" s="27"/>
    </row>
    <row r="14013" spans="1:1">
      <c r="A14013" s="27"/>
    </row>
    <row r="14014" spans="1:1">
      <c r="A14014" s="27"/>
    </row>
    <row r="14015" spans="1:1">
      <c r="A14015" s="27"/>
    </row>
    <row r="14016" spans="1:1">
      <c r="A14016" s="27"/>
    </row>
    <row r="14017" spans="1:1">
      <c r="A14017" s="27"/>
    </row>
    <row r="14018" spans="1:1">
      <c r="A14018" s="27"/>
    </row>
    <row r="14019" spans="1:1">
      <c r="A14019" s="27"/>
    </row>
    <row r="14020" spans="1:1">
      <c r="A14020" s="27"/>
    </row>
    <row r="14021" spans="1:1">
      <c r="A14021" s="27"/>
    </row>
    <row r="14022" spans="1:1">
      <c r="A14022" s="27"/>
    </row>
    <row r="14023" spans="1:1">
      <c r="A14023" s="27"/>
    </row>
    <row r="14024" spans="1:1">
      <c r="A14024" s="27"/>
    </row>
    <row r="14025" spans="1:1">
      <c r="A14025" s="27"/>
    </row>
    <row r="14026" spans="1:1">
      <c r="A14026" s="27"/>
    </row>
    <row r="14027" spans="1:1">
      <c r="A14027" s="27"/>
    </row>
    <row r="14028" spans="1:1">
      <c r="A14028" s="27"/>
    </row>
    <row r="14029" spans="1:1">
      <c r="A14029" s="27"/>
    </row>
    <row r="14030" spans="1:1">
      <c r="A14030" s="27"/>
    </row>
    <row r="14031" spans="1:1">
      <c r="A14031" s="27"/>
    </row>
    <row r="14032" spans="1:1">
      <c r="A14032" s="27"/>
    </row>
    <row r="14033" spans="1:1">
      <c r="A14033" s="27"/>
    </row>
    <row r="14034" spans="1:1">
      <c r="A14034" s="27"/>
    </row>
    <row r="14035" spans="1:1">
      <c r="A14035" s="27"/>
    </row>
    <row r="14036" spans="1:1">
      <c r="A14036" s="27"/>
    </row>
    <row r="14037" spans="1:1">
      <c r="A14037" s="27"/>
    </row>
    <row r="14038" spans="1:1">
      <c r="A14038" s="27"/>
    </row>
    <row r="14039" spans="1:1">
      <c r="A14039" s="27"/>
    </row>
    <row r="14040" spans="1:1">
      <c r="A14040" s="27"/>
    </row>
    <row r="14041" spans="1:1">
      <c r="A14041" s="27"/>
    </row>
    <row r="14042" spans="1:1">
      <c r="A14042" s="27"/>
    </row>
    <row r="14043" spans="1:1">
      <c r="A14043" s="27"/>
    </row>
    <row r="14044" spans="1:1">
      <c r="A14044" s="27"/>
    </row>
    <row r="14045" spans="1:1">
      <c r="A14045" s="27"/>
    </row>
    <row r="14046" spans="1:1">
      <c r="A14046" s="27"/>
    </row>
    <row r="14047" spans="1:1">
      <c r="A14047" s="27"/>
    </row>
    <row r="14048" spans="1:1">
      <c r="A14048" s="27"/>
    </row>
    <row r="14049" spans="1:1">
      <c r="A14049" s="27"/>
    </row>
    <row r="14050" spans="1:1">
      <c r="A14050" s="27"/>
    </row>
    <row r="14051" spans="1:1">
      <c r="A14051" s="27"/>
    </row>
    <row r="14052" spans="1:1">
      <c r="A14052" s="27"/>
    </row>
    <row r="14053" spans="1:1">
      <c r="A14053" s="27"/>
    </row>
    <row r="14054" spans="1:1">
      <c r="A14054" s="27"/>
    </row>
    <row r="14055" spans="1:1">
      <c r="A14055" s="27"/>
    </row>
    <row r="14056" spans="1:1">
      <c r="A14056" s="27"/>
    </row>
    <row r="14057" spans="1:1">
      <c r="A14057" s="27"/>
    </row>
    <row r="14058" spans="1:1">
      <c r="A14058" s="27"/>
    </row>
    <row r="14059" spans="1:1">
      <c r="A14059" s="27"/>
    </row>
    <row r="14060" spans="1:1">
      <c r="A14060" s="27"/>
    </row>
    <row r="14061" spans="1:1">
      <c r="A14061" s="27"/>
    </row>
    <row r="14062" spans="1:1">
      <c r="A14062" s="27"/>
    </row>
    <row r="14063" spans="1:1">
      <c r="A14063" s="27"/>
    </row>
    <row r="14064" spans="1:1">
      <c r="A14064" s="27"/>
    </row>
    <row r="14065" spans="1:1">
      <c r="A14065" s="27"/>
    </row>
    <row r="14066" spans="1:1">
      <c r="A14066" s="27"/>
    </row>
    <row r="14067" spans="1:1">
      <c r="A14067" s="27"/>
    </row>
    <row r="14068" spans="1:1">
      <c r="A14068" s="27"/>
    </row>
    <row r="14069" spans="1:1">
      <c r="A14069" s="27"/>
    </row>
    <row r="14070" spans="1:1">
      <c r="A14070" s="27"/>
    </row>
    <row r="14071" spans="1:1">
      <c r="A14071" s="27"/>
    </row>
    <row r="14072" spans="1:1">
      <c r="A14072" s="27"/>
    </row>
    <row r="14073" spans="1:1">
      <c r="A14073" s="27"/>
    </row>
    <row r="14074" spans="1:1">
      <c r="A14074" s="27"/>
    </row>
    <row r="14075" spans="1:1">
      <c r="A14075" s="27"/>
    </row>
    <row r="14076" spans="1:1">
      <c r="A14076" s="27"/>
    </row>
    <row r="14077" spans="1:1">
      <c r="A14077" s="27"/>
    </row>
    <row r="14078" spans="1:1">
      <c r="A14078" s="27"/>
    </row>
    <row r="14079" spans="1:1">
      <c r="A14079" s="27"/>
    </row>
    <row r="14080" spans="1:1">
      <c r="A14080" s="27"/>
    </row>
    <row r="14081" spans="1:1">
      <c r="A14081" s="27"/>
    </row>
    <row r="14082" spans="1:1">
      <c r="A14082" s="27"/>
    </row>
    <row r="14083" spans="1:1">
      <c r="A14083" s="27"/>
    </row>
    <row r="14084" spans="1:1">
      <c r="A14084" s="27"/>
    </row>
    <row r="14085" spans="1:1">
      <c r="A14085" s="27"/>
    </row>
    <row r="14086" spans="1:1">
      <c r="A14086" s="27"/>
    </row>
    <row r="14087" spans="1:1">
      <c r="A14087" s="27"/>
    </row>
    <row r="14088" spans="1:1">
      <c r="A14088" s="27"/>
    </row>
    <row r="14089" spans="1:1">
      <c r="A14089" s="27"/>
    </row>
    <row r="14090" spans="1:1">
      <c r="A14090" s="27"/>
    </row>
    <row r="14091" spans="1:1">
      <c r="A14091" s="27"/>
    </row>
    <row r="14092" spans="1:1">
      <c r="A14092" s="27"/>
    </row>
    <row r="14093" spans="1:1">
      <c r="A14093" s="27"/>
    </row>
    <row r="14094" spans="1:1">
      <c r="A14094" s="27"/>
    </row>
    <row r="14095" spans="1:1">
      <c r="A14095" s="27"/>
    </row>
    <row r="14096" spans="1:1">
      <c r="A14096" s="27"/>
    </row>
    <row r="14097" spans="1:1">
      <c r="A14097" s="27"/>
    </row>
    <row r="14098" spans="1:1">
      <c r="A14098" s="27"/>
    </row>
    <row r="14099" spans="1:1">
      <c r="A14099" s="27"/>
    </row>
    <row r="14100" spans="1:1">
      <c r="A14100" s="27"/>
    </row>
    <row r="14101" spans="1:1">
      <c r="A14101" s="27"/>
    </row>
    <row r="14102" spans="1:1">
      <c r="A14102" s="27"/>
    </row>
    <row r="14103" spans="1:1">
      <c r="A14103" s="27"/>
    </row>
    <row r="14104" spans="1:1">
      <c r="A14104" s="27"/>
    </row>
    <row r="14105" spans="1:1">
      <c r="A14105" s="27"/>
    </row>
    <row r="14106" spans="1:1">
      <c r="A14106" s="27"/>
    </row>
    <row r="14107" spans="1:1">
      <c r="A14107" s="27"/>
    </row>
    <row r="14108" spans="1:1">
      <c r="A14108" s="27"/>
    </row>
    <row r="14109" spans="1:1">
      <c r="A14109" s="27"/>
    </row>
    <row r="14110" spans="1:1">
      <c r="A14110" s="27"/>
    </row>
    <row r="14111" spans="1:1">
      <c r="A14111" s="27"/>
    </row>
    <row r="14112" spans="1:1">
      <c r="A14112" s="27"/>
    </row>
    <row r="14113" spans="1:1">
      <c r="A14113" s="27"/>
    </row>
    <row r="14114" spans="1:1">
      <c r="A14114" s="27"/>
    </row>
    <row r="14115" spans="1:1">
      <c r="A14115" s="27"/>
    </row>
    <row r="14116" spans="1:1">
      <c r="A14116" s="27"/>
    </row>
    <row r="14117" spans="1:1">
      <c r="A14117" s="27"/>
    </row>
    <row r="14118" spans="1:1">
      <c r="A14118" s="27"/>
    </row>
    <row r="14119" spans="1:1">
      <c r="A14119" s="27"/>
    </row>
    <row r="14120" spans="1:1">
      <c r="A14120" s="27"/>
    </row>
    <row r="14121" spans="1:1">
      <c r="A14121" s="27"/>
    </row>
    <row r="14122" spans="1:1">
      <c r="A14122" s="27"/>
    </row>
    <row r="14123" spans="1:1">
      <c r="A14123" s="27"/>
    </row>
    <row r="14124" spans="1:1">
      <c r="A14124" s="27"/>
    </row>
    <row r="14125" spans="1:1">
      <c r="A14125" s="27"/>
    </row>
    <row r="14126" spans="1:1">
      <c r="A14126" s="27"/>
    </row>
    <row r="14127" spans="1:1">
      <c r="A14127" s="27"/>
    </row>
    <row r="14128" spans="1:1">
      <c r="A14128" s="27"/>
    </row>
    <row r="14129" spans="1:1">
      <c r="A14129" s="27"/>
    </row>
    <row r="14130" spans="1:1">
      <c r="A14130" s="27"/>
    </row>
    <row r="14131" spans="1:1">
      <c r="A14131" s="27"/>
    </row>
    <row r="14132" spans="1:1">
      <c r="A14132" s="27"/>
    </row>
    <row r="14133" spans="1:1">
      <c r="A14133" s="27"/>
    </row>
    <row r="14134" spans="1:1">
      <c r="A14134" s="27"/>
    </row>
    <row r="14135" spans="1:1">
      <c r="A14135" s="27"/>
    </row>
    <row r="14136" spans="1:1">
      <c r="A14136" s="27"/>
    </row>
    <row r="14137" spans="1:1">
      <c r="A14137" s="27"/>
    </row>
    <row r="14138" spans="1:1">
      <c r="A14138" s="27"/>
    </row>
    <row r="14139" spans="1:1">
      <c r="A14139" s="27"/>
    </row>
    <row r="14140" spans="1:1">
      <c r="A14140" s="27"/>
    </row>
    <row r="14141" spans="1:1">
      <c r="A14141" s="27"/>
    </row>
    <row r="14142" spans="1:1">
      <c r="A14142" s="27"/>
    </row>
    <row r="14143" spans="1:1">
      <c r="A14143" s="27"/>
    </row>
    <row r="14144" spans="1:1">
      <c r="A14144" s="27"/>
    </row>
    <row r="14145" spans="1:1">
      <c r="A14145" s="27"/>
    </row>
    <row r="14146" spans="1:1">
      <c r="A14146" s="27"/>
    </row>
    <row r="14147" spans="1:1">
      <c r="A14147" s="27"/>
    </row>
    <row r="14148" spans="1:1">
      <c r="A14148" s="27"/>
    </row>
    <row r="14149" spans="1:1">
      <c r="A14149" s="27"/>
    </row>
    <row r="14150" spans="1:1">
      <c r="A14150" s="27"/>
    </row>
    <row r="14151" spans="1:1">
      <c r="A14151" s="27"/>
    </row>
    <row r="14152" spans="1:1">
      <c r="A14152" s="27"/>
    </row>
    <row r="14153" spans="1:1">
      <c r="A14153" s="27"/>
    </row>
    <row r="14154" spans="1:1">
      <c r="A14154" s="27"/>
    </row>
    <row r="14155" spans="1:1">
      <c r="A14155" s="27"/>
    </row>
    <row r="14156" spans="1:1">
      <c r="A14156" s="27"/>
    </row>
    <row r="14157" spans="1:1">
      <c r="A14157" s="27"/>
    </row>
    <row r="14158" spans="1:1">
      <c r="A14158" s="27"/>
    </row>
    <row r="14159" spans="1:1">
      <c r="A14159" s="27"/>
    </row>
    <row r="14160" spans="1:1">
      <c r="A14160" s="27"/>
    </row>
    <row r="14161" spans="1:1">
      <c r="A14161" s="27"/>
    </row>
    <row r="14162" spans="1:1">
      <c r="A14162" s="27"/>
    </row>
    <row r="14163" spans="1:1">
      <c r="A14163" s="27"/>
    </row>
    <row r="14164" spans="1:1">
      <c r="A14164" s="27"/>
    </row>
    <row r="14165" spans="1:1">
      <c r="A14165" s="27"/>
    </row>
    <row r="14166" spans="1:1">
      <c r="A14166" s="27"/>
    </row>
    <row r="14167" spans="1:1">
      <c r="A14167" s="27"/>
    </row>
    <row r="14168" spans="1:1">
      <c r="A14168" s="27"/>
    </row>
    <row r="14169" spans="1:1">
      <c r="A14169" s="27"/>
    </row>
    <row r="14170" spans="1:1">
      <c r="A14170" s="27"/>
    </row>
    <row r="14171" spans="1:1">
      <c r="A14171" s="27"/>
    </row>
    <row r="14172" spans="1:1">
      <c r="A14172" s="27"/>
    </row>
    <row r="14173" spans="1:1">
      <c r="A14173" s="27"/>
    </row>
    <row r="14174" spans="1:1">
      <c r="A14174" s="27"/>
    </row>
    <row r="14175" spans="1:1">
      <c r="A14175" s="27"/>
    </row>
    <row r="14176" spans="1:1">
      <c r="A14176" s="27"/>
    </row>
    <row r="14177" spans="1:1">
      <c r="A14177" s="27"/>
    </row>
    <row r="14178" spans="1:1">
      <c r="A14178" s="27"/>
    </row>
    <row r="14179" spans="1:1">
      <c r="A14179" s="27"/>
    </row>
    <row r="14180" spans="1:1">
      <c r="A14180" s="27"/>
    </row>
    <row r="14181" spans="1:1">
      <c r="A14181" s="27"/>
    </row>
    <row r="14182" spans="1:1">
      <c r="A14182" s="27"/>
    </row>
    <row r="14183" spans="1:1">
      <c r="A14183" s="27"/>
    </row>
    <row r="14184" spans="1:1">
      <c r="A14184" s="27"/>
    </row>
    <row r="14185" spans="1:1">
      <c r="A14185" s="27"/>
    </row>
    <row r="14186" spans="1:1">
      <c r="A14186" s="27"/>
    </row>
    <row r="14187" spans="1:1">
      <c r="A14187" s="27"/>
    </row>
    <row r="14188" spans="1:1">
      <c r="A14188" s="27"/>
    </row>
    <row r="14189" spans="1:1">
      <c r="A14189" s="27"/>
    </row>
    <row r="14190" spans="1:1">
      <c r="A14190" s="27"/>
    </row>
    <row r="14191" spans="1:1">
      <c r="A14191" s="27"/>
    </row>
    <row r="14192" spans="1:1">
      <c r="A14192" s="27"/>
    </row>
    <row r="14193" spans="1:1">
      <c r="A14193" s="27"/>
    </row>
    <row r="14194" spans="1:1">
      <c r="A14194" s="27"/>
    </row>
    <row r="14195" spans="1:1">
      <c r="A14195" s="27"/>
    </row>
    <row r="14196" spans="1:1">
      <c r="A14196" s="27"/>
    </row>
    <row r="14197" spans="1:1">
      <c r="A14197" s="27"/>
    </row>
    <row r="14198" spans="1:1">
      <c r="A14198" s="27"/>
    </row>
    <row r="14199" spans="1:1">
      <c r="A14199" s="27"/>
    </row>
    <row r="14200" spans="1:1">
      <c r="A14200" s="27"/>
    </row>
    <row r="14201" spans="1:1">
      <c r="A14201" s="27"/>
    </row>
    <row r="14202" spans="1:1">
      <c r="A14202" s="27"/>
    </row>
    <row r="14203" spans="1:1">
      <c r="A14203" s="27"/>
    </row>
    <row r="14204" spans="1:1">
      <c r="A14204" s="27"/>
    </row>
    <row r="14205" spans="1:1">
      <c r="A14205" s="27"/>
    </row>
    <row r="14206" spans="1:1">
      <c r="A14206" s="27"/>
    </row>
    <row r="14207" spans="1:1">
      <c r="A14207" s="27"/>
    </row>
    <row r="14208" spans="1:1">
      <c r="A14208" s="27"/>
    </row>
    <row r="14209" spans="1:1">
      <c r="A14209" s="27"/>
    </row>
    <row r="14210" spans="1:1">
      <c r="A14210" s="27"/>
    </row>
    <row r="14211" spans="1:1">
      <c r="A14211" s="27"/>
    </row>
    <row r="14212" spans="1:1">
      <c r="A14212" s="27"/>
    </row>
    <row r="14213" spans="1:1">
      <c r="A14213" s="27"/>
    </row>
    <row r="14214" spans="1:1">
      <c r="A14214" s="27"/>
    </row>
    <row r="14215" spans="1:1">
      <c r="A14215" s="27"/>
    </row>
    <row r="14216" spans="1:1">
      <c r="A14216" s="27"/>
    </row>
    <row r="14217" spans="1:1">
      <c r="A14217" s="27"/>
    </row>
    <row r="14218" spans="1:1">
      <c r="A14218" s="27"/>
    </row>
    <row r="14219" spans="1:1">
      <c r="A14219" s="27"/>
    </row>
    <row r="14220" spans="1:1">
      <c r="A14220" s="27"/>
    </row>
    <row r="14221" spans="1:1">
      <c r="A14221" s="27"/>
    </row>
    <row r="14222" spans="1:1">
      <c r="A14222" s="27"/>
    </row>
    <row r="14223" spans="1:1">
      <c r="A14223" s="27"/>
    </row>
    <row r="14224" spans="1:1">
      <c r="A14224" s="27"/>
    </row>
    <row r="14225" spans="1:1">
      <c r="A14225" s="27"/>
    </row>
    <row r="14226" spans="1:1">
      <c r="A14226" s="27"/>
    </row>
    <row r="14227" spans="1:1">
      <c r="A14227" s="27"/>
    </row>
    <row r="14228" spans="1:1">
      <c r="A14228" s="27"/>
    </row>
    <row r="14229" spans="1:1">
      <c r="A14229" s="27"/>
    </row>
    <row r="14230" spans="1:1">
      <c r="A14230" s="27"/>
    </row>
    <row r="14231" spans="1:1">
      <c r="A14231" s="27"/>
    </row>
    <row r="14232" spans="1:1">
      <c r="A14232" s="27"/>
    </row>
    <row r="14233" spans="1:1">
      <c r="A14233" s="27"/>
    </row>
    <row r="14234" spans="1:1">
      <c r="A14234" s="27"/>
    </row>
    <row r="14235" spans="1:1">
      <c r="A14235" s="27"/>
    </row>
    <row r="14236" spans="1:1">
      <c r="A14236" s="27"/>
    </row>
    <row r="14237" spans="1:1">
      <c r="A14237" s="27"/>
    </row>
    <row r="14238" spans="1:1">
      <c r="A14238" s="27"/>
    </row>
    <row r="14239" spans="1:1">
      <c r="A14239" s="27"/>
    </row>
    <row r="14240" spans="1:1">
      <c r="A14240" s="27"/>
    </row>
    <row r="14241" spans="1:1">
      <c r="A14241" s="27"/>
    </row>
    <row r="14242" spans="1:1">
      <c r="A14242" s="27"/>
    </row>
    <row r="14243" spans="1:1">
      <c r="A14243" s="27"/>
    </row>
    <row r="14244" spans="1:1">
      <c r="A14244" s="27"/>
    </row>
    <row r="14245" spans="1:1">
      <c r="A14245" s="27"/>
    </row>
    <row r="14246" spans="1:1">
      <c r="A14246" s="27"/>
    </row>
    <row r="14247" spans="1:1">
      <c r="A14247" s="27"/>
    </row>
    <row r="14248" spans="1:1">
      <c r="A14248" s="27"/>
    </row>
    <row r="14249" spans="1:1">
      <c r="A14249" s="27"/>
    </row>
    <row r="14250" spans="1:1">
      <c r="A14250" s="27"/>
    </row>
    <row r="14251" spans="1:1">
      <c r="A14251" s="27"/>
    </row>
    <row r="14252" spans="1:1">
      <c r="A14252" s="27"/>
    </row>
    <row r="14253" spans="1:1">
      <c r="A14253" s="27"/>
    </row>
    <row r="14254" spans="1:1">
      <c r="A14254" s="27"/>
    </row>
    <row r="14255" spans="1:1">
      <c r="A14255" s="27"/>
    </row>
    <row r="14256" spans="1:1">
      <c r="A14256" s="27"/>
    </row>
    <row r="14257" spans="1:1">
      <c r="A14257" s="27"/>
    </row>
    <row r="14258" spans="1:1">
      <c r="A14258" s="27"/>
    </row>
    <row r="14259" spans="1:1">
      <c r="A14259" s="27"/>
    </row>
    <row r="14260" spans="1:1">
      <c r="A14260" s="27"/>
    </row>
    <row r="14261" spans="1:1">
      <c r="A14261" s="27"/>
    </row>
    <row r="14262" spans="1:1">
      <c r="A14262" s="27"/>
    </row>
    <row r="14263" spans="1:1">
      <c r="A14263" s="27"/>
    </row>
    <row r="14264" spans="1:1">
      <c r="A14264" s="27"/>
    </row>
    <row r="14265" spans="1:1">
      <c r="A14265" s="27"/>
    </row>
    <row r="14266" spans="1:1">
      <c r="A14266" s="27"/>
    </row>
    <row r="14267" spans="1:1">
      <c r="A14267" s="27"/>
    </row>
    <row r="14268" spans="1:1">
      <c r="A14268" s="27"/>
    </row>
    <row r="14269" spans="1:1">
      <c r="A14269" s="27"/>
    </row>
    <row r="14270" spans="1:1">
      <c r="A14270" s="27"/>
    </row>
    <row r="14271" spans="1:1">
      <c r="A14271" s="27"/>
    </row>
    <row r="14272" spans="1:1">
      <c r="A14272" s="27"/>
    </row>
    <row r="14273" spans="1:1">
      <c r="A14273" s="27"/>
    </row>
    <row r="14274" spans="1:1">
      <c r="A14274" s="27"/>
    </row>
    <row r="14275" spans="1:1">
      <c r="A14275" s="27"/>
    </row>
    <row r="14276" spans="1:1">
      <c r="A14276" s="27"/>
    </row>
    <row r="14277" spans="1:1">
      <c r="A14277" s="27"/>
    </row>
    <row r="14278" spans="1:1">
      <c r="A14278" s="27"/>
    </row>
    <row r="14279" spans="1:1">
      <c r="A14279" s="27"/>
    </row>
    <row r="14280" spans="1:1">
      <c r="A14280" s="27"/>
    </row>
    <row r="14281" spans="1:1">
      <c r="A14281" s="27"/>
    </row>
    <row r="14282" spans="1:1">
      <c r="A14282" s="27"/>
    </row>
    <row r="14283" spans="1:1">
      <c r="A14283" s="27"/>
    </row>
    <row r="14284" spans="1:1">
      <c r="A14284" s="27"/>
    </row>
    <row r="14285" spans="1:1">
      <c r="A14285" s="27"/>
    </row>
    <row r="14286" spans="1:1">
      <c r="A14286" s="27"/>
    </row>
    <row r="14287" spans="1:1">
      <c r="A14287" s="27"/>
    </row>
    <row r="14288" spans="1:1">
      <c r="A14288" s="27"/>
    </row>
    <row r="14289" spans="1:1">
      <c r="A14289" s="27"/>
    </row>
    <row r="14290" spans="1:1">
      <c r="A14290" s="27"/>
    </row>
    <row r="14291" spans="1:1">
      <c r="A14291" s="27"/>
    </row>
    <row r="14292" spans="1:1">
      <c r="A14292" s="27"/>
    </row>
    <row r="14293" spans="1:1">
      <c r="A14293" s="27"/>
    </row>
    <row r="14294" spans="1:1">
      <c r="A14294" s="27"/>
    </row>
    <row r="14295" spans="1:1">
      <c r="A14295" s="27"/>
    </row>
    <row r="14296" spans="1:1">
      <c r="A14296" s="27"/>
    </row>
    <row r="14297" spans="1:1">
      <c r="A14297" s="27"/>
    </row>
    <row r="14298" spans="1:1">
      <c r="A14298" s="27"/>
    </row>
    <row r="14299" spans="1:1">
      <c r="A14299" s="27"/>
    </row>
    <row r="14300" spans="1:1">
      <c r="A14300" s="27"/>
    </row>
    <row r="14301" spans="1:1">
      <c r="A14301" s="27"/>
    </row>
    <row r="14302" spans="1:1">
      <c r="A14302" s="27"/>
    </row>
    <row r="14303" spans="1:1">
      <c r="A14303" s="27"/>
    </row>
    <row r="14304" spans="1:1">
      <c r="A14304" s="27"/>
    </row>
    <row r="14305" spans="1:1">
      <c r="A14305" s="27"/>
    </row>
    <row r="14306" spans="1:1">
      <c r="A14306" s="27"/>
    </row>
    <row r="14307" spans="1:1">
      <c r="A14307" s="27"/>
    </row>
    <row r="14308" spans="1:1">
      <c r="A14308" s="27"/>
    </row>
    <row r="14309" spans="1:1">
      <c r="A14309" s="27"/>
    </row>
    <row r="14310" spans="1:1">
      <c r="A14310" s="27"/>
    </row>
    <row r="14311" spans="1:1">
      <c r="A14311" s="27"/>
    </row>
    <row r="14312" spans="1:1">
      <c r="A14312" s="27"/>
    </row>
    <row r="14313" spans="1:1">
      <c r="A14313" s="27"/>
    </row>
    <row r="14314" spans="1:1">
      <c r="A14314" s="27"/>
    </row>
    <row r="14315" spans="1:1">
      <c r="A14315" s="27"/>
    </row>
    <row r="14316" spans="1:1">
      <c r="A14316" s="27"/>
    </row>
    <row r="14317" spans="1:1">
      <c r="A14317" s="27"/>
    </row>
    <row r="14318" spans="1:1">
      <c r="A14318" s="27"/>
    </row>
    <row r="14319" spans="1:1">
      <c r="A14319" s="27"/>
    </row>
    <row r="14320" spans="1:1">
      <c r="A14320" s="27"/>
    </row>
    <row r="14321" spans="1:1">
      <c r="A14321" s="27"/>
    </row>
    <row r="14322" spans="1:1">
      <c r="A14322" s="27"/>
    </row>
    <row r="14323" spans="1:1">
      <c r="A14323" s="27"/>
    </row>
    <row r="14324" spans="1:1">
      <c r="A14324" s="27"/>
    </row>
    <row r="14325" spans="1:1">
      <c r="A14325" s="27"/>
    </row>
    <row r="14326" spans="1:1">
      <c r="A14326" s="27"/>
    </row>
    <row r="14327" spans="1:1">
      <c r="A14327" s="27"/>
    </row>
    <row r="14328" spans="1:1">
      <c r="A14328" s="27"/>
    </row>
    <row r="14329" spans="1:1">
      <c r="A14329" s="27"/>
    </row>
    <row r="14330" spans="1:1">
      <c r="A14330" s="27"/>
    </row>
    <row r="14331" spans="1:1">
      <c r="A14331" s="27"/>
    </row>
    <row r="14332" spans="1:1">
      <c r="A14332" s="27"/>
    </row>
    <row r="14333" spans="1:1">
      <c r="A14333" s="27"/>
    </row>
    <row r="14334" spans="1:1">
      <c r="A14334" s="27"/>
    </row>
    <row r="14335" spans="1:1">
      <c r="A14335" s="27"/>
    </row>
    <row r="14336" spans="1:1">
      <c r="A14336" s="27"/>
    </row>
    <row r="14337" spans="1:1">
      <c r="A14337" s="27"/>
    </row>
    <row r="14338" spans="1:1">
      <c r="A14338" s="27"/>
    </row>
    <row r="14339" spans="1:1">
      <c r="A14339" s="27"/>
    </row>
    <row r="14340" spans="1:1">
      <c r="A14340" s="27"/>
    </row>
    <row r="14341" spans="1:1">
      <c r="A14341" s="27"/>
    </row>
    <row r="14342" spans="1:1">
      <c r="A14342" s="27"/>
    </row>
    <row r="14343" spans="1:1">
      <c r="A14343" s="27"/>
    </row>
    <row r="14344" spans="1:1">
      <c r="A14344" s="27"/>
    </row>
    <row r="14345" spans="1:1">
      <c r="A14345" s="27"/>
    </row>
    <row r="14346" spans="1:1">
      <c r="A14346" s="27"/>
    </row>
    <row r="14347" spans="1:1">
      <c r="A14347" s="27"/>
    </row>
    <row r="14348" spans="1:1">
      <c r="A14348" s="27"/>
    </row>
    <row r="14349" spans="1:1">
      <c r="A14349" s="27"/>
    </row>
    <row r="14350" spans="1:1">
      <c r="A14350" s="27"/>
    </row>
    <row r="14351" spans="1:1">
      <c r="A14351" s="27"/>
    </row>
    <row r="14352" spans="1:1">
      <c r="A14352" s="27"/>
    </row>
    <row r="14353" spans="1:1">
      <c r="A14353" s="27"/>
    </row>
    <row r="14354" spans="1:1">
      <c r="A14354" s="27"/>
    </row>
    <row r="14355" spans="1:1">
      <c r="A14355" s="27"/>
    </row>
    <row r="14356" spans="1:1">
      <c r="A14356" s="27"/>
    </row>
    <row r="14357" spans="1:1">
      <c r="A14357" s="27"/>
    </row>
    <row r="14358" spans="1:1">
      <c r="A14358" s="27"/>
    </row>
    <row r="14359" spans="1:1">
      <c r="A14359" s="27"/>
    </row>
    <row r="14360" spans="1:1">
      <c r="A14360" s="27"/>
    </row>
    <row r="14361" spans="1:1">
      <c r="A14361" s="27"/>
    </row>
    <row r="14362" spans="1:1">
      <c r="A14362" s="27"/>
    </row>
    <row r="14363" spans="1:1">
      <c r="A14363" s="27"/>
    </row>
    <row r="14364" spans="1:1">
      <c r="A14364" s="27"/>
    </row>
    <row r="14365" spans="1:1">
      <c r="A14365" s="27"/>
    </row>
    <row r="14366" spans="1:1">
      <c r="A14366" s="27"/>
    </row>
    <row r="14367" spans="1:1">
      <c r="A14367" s="27"/>
    </row>
    <row r="14368" spans="1:1">
      <c r="A14368" s="27"/>
    </row>
    <row r="14369" spans="1:1">
      <c r="A14369" s="27"/>
    </row>
    <row r="14370" spans="1:1">
      <c r="A14370" s="27"/>
    </row>
    <row r="14371" spans="1:1">
      <c r="A14371" s="27"/>
    </row>
    <row r="14372" spans="1:1">
      <c r="A14372" s="27"/>
    </row>
    <row r="14373" spans="1:1">
      <c r="A14373" s="27"/>
    </row>
    <row r="14374" spans="1:1">
      <c r="A14374" s="27"/>
    </row>
    <row r="14375" spans="1:1">
      <c r="A14375" s="27"/>
    </row>
    <row r="14376" spans="1:1">
      <c r="A14376" s="27"/>
    </row>
    <row r="14377" spans="1:1">
      <c r="A14377" s="27"/>
    </row>
    <row r="14378" spans="1:1">
      <c r="A14378" s="27"/>
    </row>
    <row r="14379" spans="1:1">
      <c r="A14379" s="27"/>
    </row>
    <row r="14380" spans="1:1">
      <c r="A14380" s="27"/>
    </row>
    <row r="14381" spans="1:1">
      <c r="A14381" s="27"/>
    </row>
    <row r="14382" spans="1:1">
      <c r="A14382" s="27"/>
    </row>
    <row r="14383" spans="1:1">
      <c r="A14383" s="27"/>
    </row>
    <row r="14384" spans="1:1">
      <c r="A14384" s="27"/>
    </row>
    <row r="14385" spans="1:1">
      <c r="A14385" s="27"/>
    </row>
    <row r="14386" spans="1:1">
      <c r="A14386" s="27"/>
    </row>
    <row r="14387" spans="1:1">
      <c r="A14387" s="27"/>
    </row>
    <row r="14388" spans="1:1">
      <c r="A14388" s="27"/>
    </row>
    <row r="14389" spans="1:1">
      <c r="A14389" s="27"/>
    </row>
    <row r="14390" spans="1:1">
      <c r="A14390" s="27"/>
    </row>
    <row r="14391" spans="1:1">
      <c r="A14391" s="27"/>
    </row>
    <row r="14392" spans="1:1">
      <c r="A14392" s="27"/>
    </row>
    <row r="14393" spans="1:1">
      <c r="A14393" s="27"/>
    </row>
    <row r="14394" spans="1:1">
      <c r="A14394" s="27"/>
    </row>
    <row r="14395" spans="1:1">
      <c r="A14395" s="27"/>
    </row>
    <row r="14396" spans="1:1">
      <c r="A14396" s="27"/>
    </row>
    <row r="14397" spans="1:1">
      <c r="A14397" s="27"/>
    </row>
    <row r="14398" spans="1:1">
      <c r="A14398" s="27"/>
    </row>
    <row r="14399" spans="1:1">
      <c r="A14399" s="27"/>
    </row>
    <row r="14400" spans="1:1">
      <c r="A14400" s="27"/>
    </row>
    <row r="14401" spans="1:1">
      <c r="A14401" s="27"/>
    </row>
    <row r="14402" spans="1:1">
      <c r="A14402" s="27"/>
    </row>
    <row r="14403" spans="1:1">
      <c r="A14403" s="27"/>
    </row>
    <row r="14404" spans="1:1">
      <c r="A14404" s="27"/>
    </row>
    <row r="14405" spans="1:1">
      <c r="A14405" s="27"/>
    </row>
    <row r="14406" spans="1:1">
      <c r="A14406" s="27"/>
    </row>
    <row r="14407" spans="1:1">
      <c r="A14407" s="27"/>
    </row>
    <row r="14408" spans="1:1">
      <c r="A14408" s="27"/>
    </row>
    <row r="14409" spans="1:1">
      <c r="A14409" s="27"/>
    </row>
    <row r="14410" spans="1:1">
      <c r="A14410" s="27"/>
    </row>
    <row r="14411" spans="1:1">
      <c r="A14411" s="27"/>
    </row>
    <row r="14412" spans="1:1">
      <c r="A14412" s="27"/>
    </row>
    <row r="14413" spans="1:1">
      <c r="A14413" s="27"/>
    </row>
    <row r="14414" spans="1:1">
      <c r="A14414" s="27"/>
    </row>
    <row r="14415" spans="1:1">
      <c r="A14415" s="27"/>
    </row>
    <row r="14416" spans="1:1">
      <c r="A14416" s="27"/>
    </row>
    <row r="14417" spans="1:1">
      <c r="A14417" s="27"/>
    </row>
    <row r="14418" spans="1:1">
      <c r="A14418" s="27"/>
    </row>
    <row r="14419" spans="1:1">
      <c r="A14419" s="27"/>
    </row>
    <row r="14420" spans="1:1">
      <c r="A14420" s="27"/>
    </row>
    <row r="14421" spans="1:1">
      <c r="A14421" s="27"/>
    </row>
    <row r="14422" spans="1:1">
      <c r="A14422" s="27"/>
    </row>
    <row r="14423" spans="1:1">
      <c r="A14423" s="27"/>
    </row>
    <row r="14424" spans="1:1">
      <c r="A14424" s="27"/>
    </row>
    <row r="14425" spans="1:1">
      <c r="A14425" s="27"/>
    </row>
    <row r="14426" spans="1:1">
      <c r="A14426" s="27"/>
    </row>
    <row r="14427" spans="1:1">
      <c r="A14427" s="27"/>
    </row>
    <row r="14428" spans="1:1">
      <c r="A14428" s="27"/>
    </row>
    <row r="14429" spans="1:1">
      <c r="A14429" s="27"/>
    </row>
    <row r="14430" spans="1:1">
      <c r="A14430" s="27"/>
    </row>
    <row r="14431" spans="1:1">
      <c r="A14431" s="27"/>
    </row>
    <row r="14432" spans="1:1">
      <c r="A14432" s="27"/>
    </row>
    <row r="14433" spans="1:1">
      <c r="A14433" s="27"/>
    </row>
    <row r="14434" spans="1:1">
      <c r="A14434" s="27"/>
    </row>
    <row r="14435" spans="1:1">
      <c r="A14435" s="27"/>
    </row>
    <row r="14436" spans="1:1">
      <c r="A14436" s="27"/>
    </row>
    <row r="14437" spans="1:1">
      <c r="A14437" s="27"/>
    </row>
    <row r="14438" spans="1:1">
      <c r="A14438" s="27"/>
    </row>
    <row r="14439" spans="1:1">
      <c r="A14439" s="27"/>
    </row>
    <row r="14440" spans="1:1">
      <c r="A14440" s="27"/>
    </row>
    <row r="14441" spans="1:1">
      <c r="A14441" s="27"/>
    </row>
    <row r="14442" spans="1:1">
      <c r="A14442" s="27"/>
    </row>
    <row r="14443" spans="1:1">
      <c r="A14443" s="27"/>
    </row>
    <row r="14444" spans="1:1">
      <c r="A14444" s="27"/>
    </row>
    <row r="14445" spans="1:1">
      <c r="A14445" s="27"/>
    </row>
    <row r="14446" spans="1:1">
      <c r="A14446" s="27"/>
    </row>
    <row r="14447" spans="1:1">
      <c r="A14447" s="27"/>
    </row>
    <row r="14448" spans="1:1">
      <c r="A14448" s="27"/>
    </row>
    <row r="14449" spans="1:1">
      <c r="A14449" s="27"/>
    </row>
    <row r="14450" spans="1:1">
      <c r="A14450" s="27"/>
    </row>
    <row r="14451" spans="1:1">
      <c r="A14451" s="27"/>
    </row>
    <row r="14452" spans="1:1">
      <c r="A14452" s="27"/>
    </row>
    <row r="14453" spans="1:1">
      <c r="A14453" s="27"/>
    </row>
    <row r="14454" spans="1:1">
      <c r="A14454" s="27"/>
    </row>
    <row r="14455" spans="1:1">
      <c r="A14455" s="27"/>
    </row>
    <row r="14456" spans="1:1">
      <c r="A14456" s="27"/>
    </row>
    <row r="14457" spans="1:1">
      <c r="A14457" s="27"/>
    </row>
    <row r="14458" spans="1:1">
      <c r="A14458" s="27"/>
    </row>
    <row r="14459" spans="1:1">
      <c r="A14459" s="27"/>
    </row>
    <row r="14460" spans="1:1">
      <c r="A14460" s="27"/>
    </row>
    <row r="14461" spans="1:1">
      <c r="A14461" s="27"/>
    </row>
    <row r="14462" spans="1:1">
      <c r="A14462" s="27"/>
    </row>
    <row r="14463" spans="1:1">
      <c r="A14463" s="27"/>
    </row>
    <row r="14464" spans="1:1">
      <c r="A14464" s="27"/>
    </row>
    <row r="14465" spans="1:1">
      <c r="A14465" s="27"/>
    </row>
    <row r="14466" spans="1:1">
      <c r="A14466" s="27"/>
    </row>
    <row r="14467" spans="1:1">
      <c r="A14467" s="27"/>
    </row>
    <row r="14468" spans="1:1">
      <c r="A14468" s="27"/>
    </row>
    <row r="14469" spans="1:1">
      <c r="A14469" s="27"/>
    </row>
    <row r="14470" spans="1:1">
      <c r="A14470" s="27"/>
    </row>
    <row r="14471" spans="1:1">
      <c r="A14471" s="27"/>
    </row>
    <row r="14472" spans="1:1">
      <c r="A14472" s="27"/>
    </row>
    <row r="14473" spans="1:1">
      <c r="A14473" s="27"/>
    </row>
    <row r="14474" spans="1:1">
      <c r="A14474" s="27"/>
    </row>
    <row r="14475" spans="1:1">
      <c r="A14475" s="27"/>
    </row>
    <row r="14476" spans="1:1">
      <c r="A14476" s="27"/>
    </row>
    <row r="14477" spans="1:1">
      <c r="A14477" s="27"/>
    </row>
    <row r="14478" spans="1:1">
      <c r="A14478" s="27"/>
    </row>
    <row r="14479" spans="1:1">
      <c r="A14479" s="27"/>
    </row>
    <row r="14480" spans="1:1">
      <c r="A14480" s="27"/>
    </row>
    <row r="14481" spans="1:1">
      <c r="A14481" s="27"/>
    </row>
    <row r="14482" spans="1:1">
      <c r="A14482" s="27"/>
    </row>
    <row r="14483" spans="1:1">
      <c r="A14483" s="27"/>
    </row>
    <row r="14484" spans="1:1">
      <c r="A14484" s="27"/>
    </row>
    <row r="14485" spans="1:1">
      <c r="A14485" s="27"/>
    </row>
    <row r="14486" spans="1:1">
      <c r="A14486" s="27"/>
    </row>
    <row r="14487" spans="1:1">
      <c r="A14487" s="27"/>
    </row>
    <row r="14488" spans="1:1">
      <c r="A14488" s="27"/>
    </row>
    <row r="14489" spans="1:1">
      <c r="A14489" s="27"/>
    </row>
    <row r="14490" spans="1:1">
      <c r="A14490" s="27"/>
    </row>
    <row r="14491" spans="1:1">
      <c r="A14491" s="27"/>
    </row>
    <row r="14492" spans="1:1">
      <c r="A14492" s="27"/>
    </row>
    <row r="14493" spans="1:1">
      <c r="A14493" s="27"/>
    </row>
    <row r="14494" spans="1:1">
      <c r="A14494" s="27"/>
    </row>
    <row r="14495" spans="1:1">
      <c r="A14495" s="27"/>
    </row>
    <row r="14496" spans="1:1">
      <c r="A14496" s="27"/>
    </row>
    <row r="14497" spans="1:1">
      <c r="A14497" s="27"/>
    </row>
    <row r="14498" spans="1:1">
      <c r="A14498" s="27"/>
    </row>
    <row r="14499" spans="1:1">
      <c r="A14499" s="27"/>
    </row>
    <row r="14500" spans="1:1">
      <c r="A14500" s="27"/>
    </row>
    <row r="14501" spans="1:1">
      <c r="A14501" s="27"/>
    </row>
    <row r="14502" spans="1:1">
      <c r="A14502" s="27"/>
    </row>
    <row r="14503" spans="1:1">
      <c r="A14503" s="27"/>
    </row>
    <row r="14504" spans="1:1">
      <c r="A14504" s="27"/>
    </row>
    <row r="14505" spans="1:1">
      <c r="A14505" s="27"/>
    </row>
    <row r="14506" spans="1:1">
      <c r="A14506" s="27"/>
    </row>
    <row r="14507" spans="1:1">
      <c r="A14507" s="27"/>
    </row>
    <row r="14508" spans="1:1">
      <c r="A14508" s="27"/>
    </row>
    <row r="14509" spans="1:1">
      <c r="A14509" s="27"/>
    </row>
    <row r="14510" spans="1:1">
      <c r="A14510" s="27"/>
    </row>
    <row r="14511" spans="1:1">
      <c r="A14511" s="27"/>
    </row>
    <row r="14512" spans="1:1">
      <c r="A14512" s="27"/>
    </row>
    <row r="14513" spans="1:1">
      <c r="A14513" s="27"/>
    </row>
    <row r="14514" spans="1:1">
      <c r="A14514" s="27"/>
    </row>
    <row r="14515" spans="1:1">
      <c r="A14515" s="27"/>
    </row>
    <row r="14516" spans="1:1">
      <c r="A14516" s="27"/>
    </row>
    <row r="14517" spans="1:1">
      <c r="A14517" s="27"/>
    </row>
    <row r="14518" spans="1:1">
      <c r="A14518" s="27"/>
    </row>
    <row r="14519" spans="1:1">
      <c r="A14519" s="27"/>
    </row>
    <row r="14520" spans="1:1">
      <c r="A14520" s="27"/>
    </row>
    <row r="14521" spans="1:1">
      <c r="A14521" s="27"/>
    </row>
    <row r="14522" spans="1:1">
      <c r="A14522" s="27"/>
    </row>
    <row r="14523" spans="1:1">
      <c r="A14523" s="27"/>
    </row>
    <row r="14524" spans="1:1">
      <c r="A14524" s="27"/>
    </row>
    <row r="14525" spans="1:1">
      <c r="A14525" s="27"/>
    </row>
    <row r="14526" spans="1:1">
      <c r="A14526" s="27"/>
    </row>
    <row r="14527" spans="1:1">
      <c r="A14527" s="27"/>
    </row>
    <row r="14528" spans="1:1">
      <c r="A14528" s="27"/>
    </row>
    <row r="14529" spans="1:1">
      <c r="A14529" s="27"/>
    </row>
    <row r="14530" spans="1:1">
      <c r="A14530" s="27"/>
    </row>
    <row r="14531" spans="1:1">
      <c r="A14531" s="27"/>
    </row>
    <row r="14532" spans="1:1">
      <c r="A14532" s="27"/>
    </row>
    <row r="14533" spans="1:1">
      <c r="A14533" s="27"/>
    </row>
    <row r="14534" spans="1:1">
      <c r="A14534" s="27"/>
    </row>
    <row r="14535" spans="1:1">
      <c r="A14535" s="27"/>
    </row>
    <row r="14536" spans="1:1">
      <c r="A14536" s="27"/>
    </row>
    <row r="14537" spans="1:1">
      <c r="A14537" s="27"/>
    </row>
    <row r="14538" spans="1:1">
      <c r="A14538" s="27"/>
    </row>
    <row r="14539" spans="1:1">
      <c r="A14539" s="27"/>
    </row>
    <row r="14540" spans="1:1">
      <c r="A14540" s="27"/>
    </row>
    <row r="14541" spans="1:1">
      <c r="A14541" s="27"/>
    </row>
    <row r="14542" spans="1:1">
      <c r="A14542" s="27"/>
    </row>
    <row r="14543" spans="1:1">
      <c r="A14543" s="27"/>
    </row>
    <row r="14544" spans="1:1">
      <c r="A14544" s="27"/>
    </row>
    <row r="14545" spans="1:1">
      <c r="A14545" s="27"/>
    </row>
    <row r="14546" spans="1:1">
      <c r="A14546" s="27"/>
    </row>
    <row r="14547" spans="1:1">
      <c r="A14547" s="27"/>
    </row>
    <row r="14548" spans="1:1">
      <c r="A14548" s="27"/>
    </row>
    <row r="14549" spans="1:1">
      <c r="A14549" s="27"/>
    </row>
    <row r="14550" spans="1:1">
      <c r="A14550" s="27"/>
    </row>
    <row r="14551" spans="1:1">
      <c r="A14551" s="27"/>
    </row>
    <row r="14552" spans="1:1">
      <c r="A14552" s="27"/>
    </row>
    <row r="14553" spans="1:1">
      <c r="A14553" s="27"/>
    </row>
    <row r="14554" spans="1:1">
      <c r="A14554" s="27"/>
    </row>
    <row r="14555" spans="1:1">
      <c r="A14555" s="27"/>
    </row>
    <row r="14556" spans="1:1">
      <c r="A14556" s="27"/>
    </row>
    <row r="14557" spans="1:1">
      <c r="A14557" s="27"/>
    </row>
    <row r="14558" spans="1:1">
      <c r="A14558" s="27"/>
    </row>
    <row r="14559" spans="1:1">
      <c r="A14559" s="27"/>
    </row>
    <row r="14560" spans="1:1">
      <c r="A14560" s="27"/>
    </row>
    <row r="14561" spans="1:1">
      <c r="A14561" s="27"/>
    </row>
    <row r="14562" spans="1:1">
      <c r="A14562" s="27"/>
    </row>
    <row r="14563" spans="1:1">
      <c r="A14563" s="27"/>
    </row>
    <row r="14564" spans="1:1">
      <c r="A14564" s="27"/>
    </row>
    <row r="14565" spans="1:1">
      <c r="A14565" s="27"/>
    </row>
    <row r="14566" spans="1:1">
      <c r="A14566" s="27"/>
    </row>
    <row r="14567" spans="1:1">
      <c r="A14567" s="27"/>
    </row>
    <row r="14568" spans="1:1">
      <c r="A14568" s="27"/>
    </row>
    <row r="14569" spans="1:1">
      <c r="A14569" s="27"/>
    </row>
    <row r="14570" spans="1:1">
      <c r="A14570" s="27"/>
    </row>
    <row r="14571" spans="1:1">
      <c r="A14571" s="27"/>
    </row>
    <row r="14572" spans="1:1">
      <c r="A14572" s="27"/>
    </row>
    <row r="14573" spans="1:1">
      <c r="A14573" s="27"/>
    </row>
    <row r="14574" spans="1:1">
      <c r="A14574" s="27"/>
    </row>
    <row r="14575" spans="1:1">
      <c r="A14575" s="27"/>
    </row>
    <row r="14576" spans="1:1">
      <c r="A14576" s="27"/>
    </row>
    <row r="14577" spans="1:1">
      <c r="A14577" s="27"/>
    </row>
    <row r="14578" spans="1:1">
      <c r="A14578" s="27"/>
    </row>
    <row r="14579" spans="1:1">
      <c r="A14579" s="27"/>
    </row>
    <row r="14580" spans="1:1">
      <c r="A14580" s="27"/>
    </row>
    <row r="14581" spans="1:1">
      <c r="A14581" s="27"/>
    </row>
    <row r="14582" spans="1:1">
      <c r="A14582" s="27"/>
    </row>
    <row r="14583" spans="1:1">
      <c r="A14583" s="27"/>
    </row>
    <row r="14584" spans="1:1">
      <c r="A14584" s="27"/>
    </row>
    <row r="14585" spans="1:1">
      <c r="A14585" s="27"/>
    </row>
    <row r="14586" spans="1:1">
      <c r="A14586" s="27"/>
    </row>
    <row r="14587" spans="1:1">
      <c r="A14587" s="27"/>
    </row>
    <row r="14588" spans="1:1">
      <c r="A14588" s="27"/>
    </row>
    <row r="14589" spans="1:1">
      <c r="A14589" s="27"/>
    </row>
    <row r="14590" spans="1:1">
      <c r="A14590" s="27"/>
    </row>
    <row r="14591" spans="1:1">
      <c r="A14591" s="27"/>
    </row>
    <row r="14592" spans="1:1">
      <c r="A14592" s="27"/>
    </row>
    <row r="14593" spans="1:1">
      <c r="A14593" s="27"/>
    </row>
    <row r="14594" spans="1:1">
      <c r="A14594" s="27"/>
    </row>
    <row r="14595" spans="1:1">
      <c r="A14595" s="27"/>
    </row>
    <row r="14596" spans="1:1">
      <c r="A14596" s="27"/>
    </row>
    <row r="14597" spans="1:1">
      <c r="A14597" s="27"/>
    </row>
    <row r="14598" spans="1:1">
      <c r="A14598" s="27"/>
    </row>
    <row r="14599" spans="1:1">
      <c r="A14599" s="27"/>
    </row>
    <row r="14600" spans="1:1">
      <c r="A14600" s="27"/>
    </row>
    <row r="14601" spans="1:1">
      <c r="A14601" s="27"/>
    </row>
    <row r="14602" spans="1:1">
      <c r="A14602" s="27"/>
    </row>
    <row r="14603" spans="1:1">
      <c r="A14603" s="27"/>
    </row>
    <row r="14604" spans="1:1">
      <c r="A14604" s="27"/>
    </row>
    <row r="14605" spans="1:1">
      <c r="A14605" s="27"/>
    </row>
    <row r="14606" spans="1:1">
      <c r="A14606" s="27"/>
    </row>
    <row r="14607" spans="1:1">
      <c r="A14607" s="27"/>
    </row>
    <row r="14608" spans="1:1">
      <c r="A14608" s="27"/>
    </row>
    <row r="14609" spans="1:1">
      <c r="A14609" s="27"/>
    </row>
    <row r="14610" spans="1:1">
      <c r="A14610" s="27"/>
    </row>
    <row r="14611" spans="1:1">
      <c r="A14611" s="27"/>
    </row>
    <row r="14612" spans="1:1">
      <c r="A14612" s="27"/>
    </row>
    <row r="14613" spans="1:1">
      <c r="A14613" s="27"/>
    </row>
    <row r="14614" spans="1:1">
      <c r="A14614" s="27"/>
    </row>
    <row r="14615" spans="1:1">
      <c r="A14615" s="27"/>
    </row>
    <row r="14616" spans="1:1">
      <c r="A14616" s="27"/>
    </row>
    <row r="14617" spans="1:1">
      <c r="A14617" s="27"/>
    </row>
    <row r="14618" spans="1:1">
      <c r="A14618" s="27"/>
    </row>
    <row r="14619" spans="1:1">
      <c r="A14619" s="27"/>
    </row>
    <row r="14620" spans="1:1">
      <c r="A14620" s="27"/>
    </row>
    <row r="14621" spans="1:1">
      <c r="A14621" s="27"/>
    </row>
    <row r="14622" spans="1:1">
      <c r="A14622" s="27"/>
    </row>
    <row r="14623" spans="1:1">
      <c r="A14623" s="27"/>
    </row>
    <row r="14624" spans="1:1">
      <c r="A14624" s="27"/>
    </row>
    <row r="14625" spans="1:1">
      <c r="A14625" s="27"/>
    </row>
    <row r="14626" spans="1:1">
      <c r="A14626" s="27"/>
    </row>
    <row r="14627" spans="1:1">
      <c r="A14627" s="27"/>
    </row>
    <row r="14628" spans="1:1">
      <c r="A14628" s="27"/>
    </row>
    <row r="14629" spans="1:1">
      <c r="A14629" s="27"/>
    </row>
    <row r="14630" spans="1:1">
      <c r="A14630" s="27"/>
    </row>
    <row r="14631" spans="1:1">
      <c r="A14631" s="27"/>
    </row>
    <row r="14632" spans="1:1">
      <c r="A14632" s="27"/>
    </row>
    <row r="14633" spans="1:1">
      <c r="A14633" s="27"/>
    </row>
    <row r="14634" spans="1:1">
      <c r="A14634" s="27"/>
    </row>
    <row r="14635" spans="1:1">
      <c r="A14635" s="27"/>
    </row>
    <row r="14636" spans="1:1">
      <c r="A14636" s="27"/>
    </row>
    <row r="14637" spans="1:1">
      <c r="A14637" s="27"/>
    </row>
    <row r="14638" spans="1:1">
      <c r="A14638" s="27"/>
    </row>
    <row r="14639" spans="1:1">
      <c r="A14639" s="27"/>
    </row>
    <row r="14640" spans="1:1">
      <c r="A14640" s="27"/>
    </row>
    <row r="14641" spans="1:1">
      <c r="A14641" s="27"/>
    </row>
    <row r="14642" spans="1:1">
      <c r="A14642" s="27"/>
    </row>
    <row r="14643" spans="1:1">
      <c r="A14643" s="27"/>
    </row>
    <row r="14644" spans="1:1">
      <c r="A14644" s="27"/>
    </row>
    <row r="14645" spans="1:1">
      <c r="A14645" s="27"/>
    </row>
    <row r="14646" spans="1:1">
      <c r="A14646" s="27"/>
    </row>
    <row r="14647" spans="1:1">
      <c r="A14647" s="27"/>
    </row>
    <row r="14648" spans="1:1">
      <c r="A14648" s="27"/>
    </row>
    <row r="14649" spans="1:1">
      <c r="A14649" s="27"/>
    </row>
    <row r="14650" spans="1:1">
      <c r="A14650" s="27"/>
    </row>
    <row r="14651" spans="1:1">
      <c r="A14651" s="27"/>
    </row>
    <row r="14652" spans="1:1">
      <c r="A14652" s="27"/>
    </row>
    <row r="14653" spans="1:1">
      <c r="A14653" s="27"/>
    </row>
    <row r="14654" spans="1:1">
      <c r="A14654" s="27"/>
    </row>
    <row r="14655" spans="1:1">
      <c r="A14655" s="27"/>
    </row>
    <row r="14656" spans="1:1">
      <c r="A14656" s="27"/>
    </row>
    <row r="14657" spans="1:1">
      <c r="A14657" s="27"/>
    </row>
    <row r="14658" spans="1:1">
      <c r="A14658" s="27"/>
    </row>
    <row r="14659" spans="1:1">
      <c r="A14659" s="27"/>
    </row>
    <row r="14660" spans="1:1">
      <c r="A14660" s="27"/>
    </row>
    <row r="14661" spans="1:1">
      <c r="A14661" s="27"/>
    </row>
    <row r="14662" spans="1:1">
      <c r="A14662" s="27"/>
    </row>
    <row r="14663" spans="1:1">
      <c r="A14663" s="27"/>
    </row>
    <row r="14664" spans="1:1">
      <c r="A14664" s="27"/>
    </row>
    <row r="14665" spans="1:1">
      <c r="A14665" s="27"/>
    </row>
    <row r="14666" spans="1:1">
      <c r="A14666" s="27"/>
    </row>
    <row r="14667" spans="1:1">
      <c r="A14667" s="27"/>
    </row>
    <row r="14668" spans="1:1">
      <c r="A14668" s="27"/>
    </row>
    <row r="14669" spans="1:1">
      <c r="A14669" s="27"/>
    </row>
    <row r="14670" spans="1:1">
      <c r="A14670" s="27"/>
    </row>
    <row r="14671" spans="1:1">
      <c r="A14671" s="27"/>
    </row>
    <row r="14672" spans="1:1">
      <c r="A14672" s="27"/>
    </row>
    <row r="14673" spans="1:1">
      <c r="A14673" s="27"/>
    </row>
    <row r="14674" spans="1:1">
      <c r="A14674" s="27"/>
    </row>
    <row r="14675" spans="1:1">
      <c r="A14675" s="27"/>
    </row>
    <row r="14676" spans="1:1">
      <c r="A14676" s="27"/>
    </row>
    <row r="14677" spans="1:1">
      <c r="A14677" s="27"/>
    </row>
    <row r="14678" spans="1:1">
      <c r="A14678" s="27"/>
    </row>
    <row r="14679" spans="1:1">
      <c r="A14679" s="27"/>
    </row>
    <row r="14680" spans="1:1">
      <c r="A14680" s="27"/>
    </row>
    <row r="14681" spans="1:1">
      <c r="A14681" s="27"/>
    </row>
    <row r="14682" spans="1:1">
      <c r="A14682" s="27"/>
    </row>
    <row r="14683" spans="1:1">
      <c r="A14683" s="27"/>
    </row>
    <row r="14684" spans="1:1">
      <c r="A14684" s="27"/>
    </row>
    <row r="14685" spans="1:1">
      <c r="A14685" s="27"/>
    </row>
    <row r="14686" spans="1:1">
      <c r="A14686" s="27"/>
    </row>
    <row r="14687" spans="1:1">
      <c r="A14687" s="27"/>
    </row>
    <row r="14688" spans="1:1">
      <c r="A14688" s="27"/>
    </row>
    <row r="14689" spans="1:1">
      <c r="A14689" s="27"/>
    </row>
    <row r="14690" spans="1:1">
      <c r="A14690" s="27"/>
    </row>
    <row r="14691" spans="1:1">
      <c r="A14691" s="27"/>
    </row>
    <row r="14692" spans="1:1">
      <c r="A14692" s="27"/>
    </row>
    <row r="14693" spans="1:1">
      <c r="A14693" s="27"/>
    </row>
    <row r="14694" spans="1:1">
      <c r="A14694" s="27"/>
    </row>
    <row r="14695" spans="1:1">
      <c r="A14695" s="27"/>
    </row>
    <row r="14696" spans="1:1">
      <c r="A14696" s="27"/>
    </row>
    <row r="14697" spans="1:1">
      <c r="A14697" s="27"/>
    </row>
    <row r="14698" spans="1:1">
      <c r="A14698" s="27"/>
    </row>
    <row r="14699" spans="1:1">
      <c r="A14699" s="27"/>
    </row>
    <row r="14700" spans="1:1">
      <c r="A14700" s="27"/>
    </row>
    <row r="14701" spans="1:1">
      <c r="A14701" s="27"/>
    </row>
    <row r="14702" spans="1:1">
      <c r="A14702" s="27"/>
    </row>
    <row r="14703" spans="1:1">
      <c r="A14703" s="27"/>
    </row>
    <row r="14704" spans="1:1">
      <c r="A14704" s="27"/>
    </row>
    <row r="14705" spans="1:1">
      <c r="A14705" s="27"/>
    </row>
    <row r="14706" spans="1:1">
      <c r="A14706" s="27"/>
    </row>
    <row r="14707" spans="1:1">
      <c r="A14707" s="27"/>
    </row>
    <row r="14708" spans="1:1">
      <c r="A14708" s="27"/>
    </row>
    <row r="14709" spans="1:1">
      <c r="A14709" s="27"/>
    </row>
    <row r="14710" spans="1:1">
      <c r="A14710" s="27"/>
    </row>
    <row r="14711" spans="1:1">
      <c r="A14711" s="27"/>
    </row>
    <row r="14712" spans="1:1">
      <c r="A14712" s="27"/>
    </row>
    <row r="14713" spans="1:1">
      <c r="A14713" s="27"/>
    </row>
    <row r="14714" spans="1:1">
      <c r="A14714" s="27"/>
    </row>
    <row r="14715" spans="1:1">
      <c r="A14715" s="27"/>
    </row>
    <row r="14716" spans="1:1">
      <c r="A14716" s="27"/>
    </row>
    <row r="14717" spans="1:1">
      <c r="A14717" s="27"/>
    </row>
    <row r="14718" spans="1:1">
      <c r="A14718" s="27"/>
    </row>
    <row r="14719" spans="1:1">
      <c r="A14719" s="27"/>
    </row>
    <row r="14720" spans="1:1">
      <c r="A14720" s="27"/>
    </row>
    <row r="14721" spans="1:1">
      <c r="A14721" s="27"/>
    </row>
    <row r="14722" spans="1:1">
      <c r="A14722" s="27"/>
    </row>
    <row r="14723" spans="1:1">
      <c r="A14723" s="27"/>
    </row>
    <row r="14724" spans="1:1">
      <c r="A14724" s="27"/>
    </row>
    <row r="14725" spans="1:1">
      <c r="A14725" s="27"/>
    </row>
    <row r="14726" spans="1:1">
      <c r="A14726" s="27"/>
    </row>
    <row r="14727" spans="1:1">
      <c r="A14727" s="27"/>
    </row>
    <row r="14728" spans="1:1">
      <c r="A14728" s="27"/>
    </row>
    <row r="14729" spans="1:1">
      <c r="A14729" s="27"/>
    </row>
    <row r="14730" spans="1:1">
      <c r="A14730" s="27"/>
    </row>
    <row r="14731" spans="1:1">
      <c r="A14731" s="27"/>
    </row>
    <row r="14732" spans="1:1">
      <c r="A14732" s="27"/>
    </row>
    <row r="14733" spans="1:1">
      <c r="A14733" s="27"/>
    </row>
    <row r="14734" spans="1:1">
      <c r="A14734" s="27"/>
    </row>
    <row r="14735" spans="1:1">
      <c r="A14735" s="27"/>
    </row>
    <row r="14736" spans="1:1">
      <c r="A14736" s="27"/>
    </row>
    <row r="14737" spans="1:1">
      <c r="A14737" s="27"/>
    </row>
    <row r="14738" spans="1:1">
      <c r="A14738" s="27"/>
    </row>
    <row r="14739" spans="1:1">
      <c r="A14739" s="27"/>
    </row>
    <row r="14740" spans="1:1">
      <c r="A14740" s="27"/>
    </row>
    <row r="14741" spans="1:1">
      <c r="A14741" s="27"/>
    </row>
    <row r="14742" spans="1:1">
      <c r="A14742" s="27"/>
    </row>
    <row r="14743" spans="1:1">
      <c r="A14743" s="27"/>
    </row>
    <row r="14744" spans="1:1">
      <c r="A14744" s="27"/>
    </row>
    <row r="14745" spans="1:1">
      <c r="A14745" s="27"/>
    </row>
    <row r="14746" spans="1:1">
      <c r="A14746" s="27"/>
    </row>
    <row r="14747" spans="1:1">
      <c r="A14747" s="27"/>
    </row>
    <row r="14748" spans="1:1">
      <c r="A14748" s="27"/>
    </row>
    <row r="14749" spans="1:1">
      <c r="A14749" s="27"/>
    </row>
    <row r="14750" spans="1:1">
      <c r="A14750" s="27"/>
    </row>
    <row r="14751" spans="1:1">
      <c r="A14751" s="27"/>
    </row>
    <row r="14752" spans="1:1">
      <c r="A14752" s="27"/>
    </row>
    <row r="14753" spans="1:1">
      <c r="A14753" s="27"/>
    </row>
    <row r="14754" spans="1:1">
      <c r="A14754" s="27"/>
    </row>
    <row r="14755" spans="1:1">
      <c r="A14755" s="27"/>
    </row>
    <row r="14756" spans="1:1">
      <c r="A14756" s="27"/>
    </row>
    <row r="14757" spans="1:1">
      <c r="A14757" s="27"/>
    </row>
    <row r="14758" spans="1:1">
      <c r="A14758" s="27"/>
    </row>
    <row r="14759" spans="1:1">
      <c r="A14759" s="27"/>
    </row>
    <row r="14760" spans="1:1">
      <c r="A14760" s="27"/>
    </row>
    <row r="14761" spans="1:1">
      <c r="A14761" s="27"/>
    </row>
    <row r="14762" spans="1:1">
      <c r="A14762" s="27"/>
    </row>
    <row r="14763" spans="1:1">
      <c r="A14763" s="27"/>
    </row>
    <row r="14764" spans="1:1">
      <c r="A14764" s="27"/>
    </row>
    <row r="14765" spans="1:1">
      <c r="A14765" s="27"/>
    </row>
    <row r="14766" spans="1:1">
      <c r="A14766" s="27"/>
    </row>
    <row r="14767" spans="1:1">
      <c r="A14767" s="27"/>
    </row>
    <row r="14768" spans="1:1">
      <c r="A14768" s="27"/>
    </row>
    <row r="14769" spans="1:1">
      <c r="A14769" s="27"/>
    </row>
    <row r="14770" spans="1:1">
      <c r="A14770" s="27"/>
    </row>
    <row r="14771" spans="1:1">
      <c r="A14771" s="27"/>
    </row>
    <row r="14772" spans="1:1">
      <c r="A14772" s="27"/>
    </row>
    <row r="14773" spans="1:1">
      <c r="A14773" s="27"/>
    </row>
    <row r="14774" spans="1:1">
      <c r="A14774" s="27"/>
    </row>
    <row r="14775" spans="1:1">
      <c r="A14775" s="27"/>
    </row>
    <row r="14776" spans="1:1">
      <c r="A14776" s="27"/>
    </row>
    <row r="14777" spans="1:1">
      <c r="A14777" s="27"/>
    </row>
    <row r="14778" spans="1:1">
      <c r="A14778" s="27"/>
    </row>
    <row r="14779" spans="1:1">
      <c r="A14779" s="27"/>
    </row>
    <row r="14780" spans="1:1">
      <c r="A14780" s="27"/>
    </row>
    <row r="14781" spans="1:1">
      <c r="A14781" s="27"/>
    </row>
    <row r="14782" spans="1:1">
      <c r="A14782" s="27"/>
    </row>
    <row r="14783" spans="1:1">
      <c r="A14783" s="27"/>
    </row>
    <row r="14784" spans="1:1">
      <c r="A14784" s="27"/>
    </row>
    <row r="14785" spans="1:1">
      <c r="A14785" s="27"/>
    </row>
    <row r="14786" spans="1:1">
      <c r="A14786" s="27"/>
    </row>
    <row r="14787" spans="1:1">
      <c r="A14787" s="27"/>
    </row>
    <row r="14788" spans="1:1">
      <c r="A14788" s="27"/>
    </row>
    <row r="14789" spans="1:1">
      <c r="A14789" s="27"/>
    </row>
    <row r="14790" spans="1:1">
      <c r="A14790" s="27"/>
    </row>
    <row r="14791" spans="1:1">
      <c r="A14791" s="27"/>
    </row>
    <row r="14792" spans="1:1">
      <c r="A14792" s="27"/>
    </row>
    <row r="14793" spans="1:1">
      <c r="A14793" s="27"/>
    </row>
    <row r="14794" spans="1:1">
      <c r="A14794" s="27"/>
    </row>
    <row r="14795" spans="1:1">
      <c r="A14795" s="27"/>
    </row>
    <row r="14796" spans="1:1">
      <c r="A14796" s="27"/>
    </row>
    <row r="14797" spans="1:1">
      <c r="A14797" s="27"/>
    </row>
    <row r="14798" spans="1:1">
      <c r="A14798" s="27"/>
    </row>
    <row r="14799" spans="1:1">
      <c r="A14799" s="27"/>
    </row>
    <row r="14800" spans="1:1">
      <c r="A14800" s="27"/>
    </row>
    <row r="14801" spans="1:1">
      <c r="A14801" s="27"/>
    </row>
    <row r="14802" spans="1:1">
      <c r="A14802" s="27"/>
    </row>
    <row r="14803" spans="1:1">
      <c r="A14803" s="27"/>
    </row>
    <row r="14804" spans="1:1">
      <c r="A14804" s="27"/>
    </row>
    <row r="14805" spans="1:1">
      <c r="A14805" s="27"/>
    </row>
    <row r="14806" spans="1:1">
      <c r="A14806" s="27"/>
    </row>
    <row r="14807" spans="1:1">
      <c r="A14807" s="27"/>
    </row>
    <row r="14808" spans="1:1">
      <c r="A14808" s="27"/>
    </row>
    <row r="14809" spans="1:1">
      <c r="A14809" s="27"/>
    </row>
    <row r="14810" spans="1:1">
      <c r="A14810" s="27"/>
    </row>
    <row r="14811" spans="1:1">
      <c r="A14811" s="27"/>
    </row>
    <row r="14812" spans="1:1">
      <c r="A14812" s="27"/>
    </row>
    <row r="14813" spans="1:1">
      <c r="A14813" s="27"/>
    </row>
    <row r="14814" spans="1:1">
      <c r="A14814" s="27"/>
    </row>
    <row r="14815" spans="1:1">
      <c r="A14815" s="27"/>
    </row>
    <row r="14816" spans="1:1">
      <c r="A14816" s="27"/>
    </row>
    <row r="14817" spans="1:1">
      <c r="A14817" s="27"/>
    </row>
    <row r="14818" spans="1:1">
      <c r="A14818" s="27"/>
    </row>
    <row r="14819" spans="1:1">
      <c r="A14819" s="27"/>
    </row>
    <row r="14820" spans="1:1">
      <c r="A14820" s="27"/>
    </row>
    <row r="14821" spans="1:1">
      <c r="A14821" s="27"/>
    </row>
    <row r="14822" spans="1:1">
      <c r="A14822" s="27"/>
    </row>
    <row r="14823" spans="1:1">
      <c r="A14823" s="27"/>
    </row>
    <row r="14824" spans="1:1">
      <c r="A14824" s="27"/>
    </row>
    <row r="14825" spans="1:1">
      <c r="A14825" s="27"/>
    </row>
    <row r="14826" spans="1:1">
      <c r="A14826" s="27"/>
    </row>
    <row r="14827" spans="1:1">
      <c r="A14827" s="27"/>
    </row>
    <row r="14828" spans="1:1">
      <c r="A14828" s="27"/>
    </row>
    <row r="14829" spans="1:1">
      <c r="A14829" s="27"/>
    </row>
    <row r="14830" spans="1:1">
      <c r="A14830" s="27"/>
    </row>
    <row r="14831" spans="1:1">
      <c r="A14831" s="27"/>
    </row>
    <row r="14832" spans="1:1">
      <c r="A14832" s="27"/>
    </row>
    <row r="14833" spans="1:1">
      <c r="A14833" s="27"/>
    </row>
    <row r="14834" spans="1:1">
      <c r="A14834" s="27"/>
    </row>
    <row r="14835" spans="1:1">
      <c r="A14835" s="27"/>
    </row>
    <row r="14836" spans="1:1">
      <c r="A14836" s="27"/>
    </row>
    <row r="14837" spans="1:1">
      <c r="A14837" s="27"/>
    </row>
    <row r="14838" spans="1:1">
      <c r="A14838" s="27"/>
    </row>
    <row r="14839" spans="1:1">
      <c r="A14839" s="27"/>
    </row>
    <row r="14840" spans="1:1">
      <c r="A14840" s="27"/>
    </row>
    <row r="14841" spans="1:1">
      <c r="A14841" s="27"/>
    </row>
    <row r="14842" spans="1:1">
      <c r="A14842" s="27"/>
    </row>
    <row r="14843" spans="1:1">
      <c r="A14843" s="27"/>
    </row>
    <row r="14844" spans="1:1">
      <c r="A14844" s="27"/>
    </row>
    <row r="14845" spans="1:1">
      <c r="A14845" s="27"/>
    </row>
    <row r="14846" spans="1:1">
      <c r="A14846" s="27"/>
    </row>
    <row r="14847" spans="1:1">
      <c r="A14847" s="27"/>
    </row>
    <row r="14848" spans="1:1">
      <c r="A14848" s="27"/>
    </row>
    <row r="14849" spans="1:1">
      <c r="A14849" s="27"/>
    </row>
    <row r="14850" spans="1:1">
      <c r="A14850" s="27"/>
    </row>
    <row r="14851" spans="1:1">
      <c r="A14851" s="27"/>
    </row>
    <row r="14852" spans="1:1">
      <c r="A14852" s="27"/>
    </row>
    <row r="14853" spans="1:1">
      <c r="A14853" s="27"/>
    </row>
    <row r="14854" spans="1:1">
      <c r="A14854" s="27"/>
    </row>
    <row r="14855" spans="1:1">
      <c r="A14855" s="27"/>
    </row>
    <row r="14856" spans="1:1">
      <c r="A14856" s="27"/>
    </row>
    <row r="14857" spans="1:1">
      <c r="A14857" s="27"/>
    </row>
    <row r="14858" spans="1:1">
      <c r="A14858" s="27"/>
    </row>
    <row r="14859" spans="1:1">
      <c r="A14859" s="27"/>
    </row>
    <row r="14860" spans="1:1">
      <c r="A14860" s="27"/>
    </row>
    <row r="14861" spans="1:1">
      <c r="A14861" s="27"/>
    </row>
    <row r="14862" spans="1:1">
      <c r="A14862" s="27"/>
    </row>
    <row r="14863" spans="1:1">
      <c r="A14863" s="27"/>
    </row>
    <row r="14864" spans="1:1">
      <c r="A14864" s="27"/>
    </row>
    <row r="14865" spans="1:1">
      <c r="A14865" s="27"/>
    </row>
    <row r="14866" spans="1:1">
      <c r="A14866" s="27"/>
    </row>
    <row r="14867" spans="1:1">
      <c r="A14867" s="27"/>
    </row>
    <row r="14868" spans="1:1">
      <c r="A14868" s="27"/>
    </row>
    <row r="14869" spans="1:1">
      <c r="A14869" s="27"/>
    </row>
    <row r="14870" spans="1:1">
      <c r="A14870" s="27"/>
    </row>
    <row r="14871" spans="1:1">
      <c r="A14871" s="27"/>
    </row>
    <row r="14872" spans="1:1">
      <c r="A14872" s="27"/>
    </row>
    <row r="14873" spans="1:1">
      <c r="A14873" s="27"/>
    </row>
    <row r="14874" spans="1:1">
      <c r="A14874" s="27"/>
    </row>
    <row r="14875" spans="1:1">
      <c r="A14875" s="27"/>
    </row>
    <row r="14876" spans="1:1">
      <c r="A14876" s="27"/>
    </row>
    <row r="14877" spans="1:1">
      <c r="A14877" s="27"/>
    </row>
    <row r="14878" spans="1:1">
      <c r="A14878" s="27"/>
    </row>
    <row r="14879" spans="1:1">
      <c r="A14879" s="27"/>
    </row>
    <row r="14880" spans="1:1">
      <c r="A14880" s="27"/>
    </row>
    <row r="14881" spans="1:1">
      <c r="A14881" s="27"/>
    </row>
    <row r="14882" spans="1:1">
      <c r="A14882" s="27"/>
    </row>
    <row r="14883" spans="1:1">
      <c r="A14883" s="27"/>
    </row>
    <row r="14884" spans="1:1">
      <c r="A14884" s="27"/>
    </row>
    <row r="14885" spans="1:1">
      <c r="A14885" s="27"/>
    </row>
    <row r="14886" spans="1:1">
      <c r="A14886" s="27"/>
    </row>
    <row r="14887" spans="1:1">
      <c r="A14887" s="27"/>
    </row>
    <row r="14888" spans="1:1">
      <c r="A14888" s="27"/>
    </row>
    <row r="14889" spans="1:1">
      <c r="A14889" s="27"/>
    </row>
    <row r="14890" spans="1:1">
      <c r="A14890" s="27"/>
    </row>
    <row r="14891" spans="1:1">
      <c r="A14891" s="27"/>
    </row>
    <row r="14892" spans="1:1">
      <c r="A14892" s="27"/>
    </row>
    <row r="14893" spans="1:1">
      <c r="A14893" s="27"/>
    </row>
    <row r="14894" spans="1:1">
      <c r="A14894" s="27"/>
    </row>
    <row r="14895" spans="1:1">
      <c r="A14895" s="27"/>
    </row>
    <row r="14896" spans="1:1">
      <c r="A14896" s="27"/>
    </row>
    <row r="14897" spans="1:1">
      <c r="A14897" s="27"/>
    </row>
    <row r="14898" spans="1:1">
      <c r="A14898" s="27"/>
    </row>
    <row r="14899" spans="1:1">
      <c r="A14899" s="27"/>
    </row>
    <row r="14900" spans="1:1">
      <c r="A14900" s="27"/>
    </row>
    <row r="14901" spans="1:1">
      <c r="A14901" s="27"/>
    </row>
    <row r="14902" spans="1:1">
      <c r="A14902" s="27"/>
    </row>
    <row r="14903" spans="1:1">
      <c r="A14903" s="27"/>
    </row>
    <row r="14904" spans="1:1">
      <c r="A14904" s="27"/>
    </row>
    <row r="14905" spans="1:1">
      <c r="A14905" s="27"/>
    </row>
    <row r="14906" spans="1:1">
      <c r="A14906" s="27"/>
    </row>
    <row r="14907" spans="1:1">
      <c r="A14907" s="27"/>
    </row>
    <row r="14908" spans="1:1">
      <c r="A14908" s="27"/>
    </row>
    <row r="14909" spans="1:1">
      <c r="A14909" s="27"/>
    </row>
    <row r="14910" spans="1:1">
      <c r="A14910" s="27"/>
    </row>
    <row r="14911" spans="1:1">
      <c r="A14911" s="27"/>
    </row>
    <row r="14912" spans="1:1">
      <c r="A14912" s="27"/>
    </row>
    <row r="14913" spans="1:1">
      <c r="A14913" s="27"/>
    </row>
    <row r="14914" spans="1:1">
      <c r="A14914" s="27"/>
    </row>
    <row r="14915" spans="1:1">
      <c r="A14915" s="27"/>
    </row>
    <row r="14916" spans="1:1">
      <c r="A14916" s="27"/>
    </row>
    <row r="14917" spans="1:1">
      <c r="A14917" s="27"/>
    </row>
    <row r="14918" spans="1:1">
      <c r="A14918" s="27"/>
    </row>
    <row r="14919" spans="1:1">
      <c r="A14919" s="27"/>
    </row>
    <row r="14920" spans="1:1">
      <c r="A14920" s="27"/>
    </row>
    <row r="14921" spans="1:1">
      <c r="A14921" s="27"/>
    </row>
    <row r="14922" spans="1:1">
      <c r="A14922" s="27"/>
    </row>
    <row r="14923" spans="1:1">
      <c r="A14923" s="27"/>
    </row>
    <row r="14924" spans="1:1">
      <c r="A14924" s="27"/>
    </row>
    <row r="14925" spans="1:1">
      <c r="A14925" s="27"/>
    </row>
    <row r="14926" spans="1:1">
      <c r="A14926" s="27"/>
    </row>
    <row r="14927" spans="1:1">
      <c r="A14927" s="27"/>
    </row>
    <row r="14928" spans="1:1">
      <c r="A14928" s="27"/>
    </row>
    <row r="14929" spans="1:1">
      <c r="A14929" s="27"/>
    </row>
    <row r="14930" spans="1:1">
      <c r="A14930" s="27"/>
    </row>
    <row r="14931" spans="1:1">
      <c r="A14931" s="27"/>
    </row>
    <row r="14932" spans="1:1">
      <c r="A14932" s="27"/>
    </row>
    <row r="14933" spans="1:1">
      <c r="A14933" s="27"/>
    </row>
    <row r="14934" spans="1:1">
      <c r="A14934" s="27"/>
    </row>
    <row r="14935" spans="1:1">
      <c r="A14935" s="27"/>
    </row>
    <row r="14936" spans="1:1">
      <c r="A14936" s="27"/>
    </row>
    <row r="14937" spans="1:1">
      <c r="A14937" s="27"/>
    </row>
    <row r="14938" spans="1:1">
      <c r="A14938" s="27"/>
    </row>
    <row r="14939" spans="1:1">
      <c r="A14939" s="27"/>
    </row>
    <row r="14940" spans="1:1">
      <c r="A14940" s="27"/>
    </row>
    <row r="14941" spans="1:1">
      <c r="A14941" s="27"/>
    </row>
    <row r="14942" spans="1:1">
      <c r="A14942" s="27"/>
    </row>
    <row r="14943" spans="1:1">
      <c r="A14943" s="27"/>
    </row>
    <row r="14944" spans="1:1">
      <c r="A14944" s="27"/>
    </row>
    <row r="14945" spans="1:1">
      <c r="A14945" s="27"/>
    </row>
    <row r="14946" spans="1:1">
      <c r="A14946" s="27"/>
    </row>
    <row r="14947" spans="1:1">
      <c r="A14947" s="27"/>
    </row>
    <row r="14948" spans="1:1">
      <c r="A14948" s="27"/>
    </row>
    <row r="14949" spans="1:1">
      <c r="A14949" s="27"/>
    </row>
    <row r="14950" spans="1:1">
      <c r="A14950" s="27"/>
    </row>
    <row r="14951" spans="1:1">
      <c r="A14951" s="27"/>
    </row>
    <row r="14952" spans="1:1">
      <c r="A14952" s="27"/>
    </row>
    <row r="14953" spans="1:1">
      <c r="A14953" s="27"/>
    </row>
    <row r="14954" spans="1:1">
      <c r="A14954" s="27"/>
    </row>
    <row r="14955" spans="1:1">
      <c r="A14955" s="27"/>
    </row>
    <row r="14956" spans="1:1">
      <c r="A14956" s="27"/>
    </row>
    <row r="14957" spans="1:1">
      <c r="A14957" s="27"/>
    </row>
    <row r="14958" spans="1:1">
      <c r="A14958" s="27"/>
    </row>
    <row r="14959" spans="1:1">
      <c r="A14959" s="27"/>
    </row>
    <row r="14960" spans="1:1">
      <c r="A14960" s="27"/>
    </row>
    <row r="14961" spans="1:1">
      <c r="A14961" s="27"/>
    </row>
    <row r="14962" spans="1:1">
      <c r="A14962" s="27"/>
    </row>
    <row r="14963" spans="1:1">
      <c r="A14963" s="27"/>
    </row>
    <row r="14964" spans="1:1">
      <c r="A14964" s="27"/>
    </row>
    <row r="14965" spans="1:1">
      <c r="A14965" s="27"/>
    </row>
    <row r="14966" spans="1:1">
      <c r="A14966" s="27"/>
    </row>
    <row r="14967" spans="1:1">
      <c r="A14967" s="27"/>
    </row>
    <row r="14968" spans="1:1">
      <c r="A14968" s="27"/>
    </row>
    <row r="14969" spans="1:1">
      <c r="A14969" s="27"/>
    </row>
    <row r="14970" spans="1:1">
      <c r="A14970" s="27"/>
    </row>
    <row r="14971" spans="1:1">
      <c r="A14971" s="27"/>
    </row>
    <row r="14972" spans="1:1">
      <c r="A14972" s="27"/>
    </row>
    <row r="14973" spans="1:1">
      <c r="A14973" s="27"/>
    </row>
    <row r="14974" spans="1:1">
      <c r="A14974" s="27"/>
    </row>
    <row r="14975" spans="1:1">
      <c r="A14975" s="27"/>
    </row>
    <row r="14976" spans="1:1">
      <c r="A14976" s="27"/>
    </row>
    <row r="14977" spans="1:1">
      <c r="A14977" s="27"/>
    </row>
    <row r="14978" spans="1:1">
      <c r="A14978" s="27"/>
    </row>
    <row r="14979" spans="1:1">
      <c r="A14979" s="27"/>
    </row>
    <row r="14980" spans="1:1">
      <c r="A14980" s="27"/>
    </row>
    <row r="14981" spans="1:1">
      <c r="A14981" s="27"/>
    </row>
    <row r="14982" spans="1:1">
      <c r="A14982" s="27"/>
    </row>
    <row r="14983" spans="1:1">
      <c r="A14983" s="27"/>
    </row>
    <row r="14984" spans="1:1">
      <c r="A14984" s="27"/>
    </row>
    <row r="14985" spans="1:1">
      <c r="A14985" s="27"/>
    </row>
    <row r="14986" spans="1:1">
      <c r="A14986" s="27"/>
    </row>
    <row r="14987" spans="1:1">
      <c r="A14987" s="27"/>
    </row>
    <row r="14988" spans="1:1">
      <c r="A14988" s="27"/>
    </row>
    <row r="14989" spans="1:1">
      <c r="A14989" s="27"/>
    </row>
    <row r="14990" spans="1:1">
      <c r="A14990" s="27"/>
    </row>
    <row r="14991" spans="1:1">
      <c r="A14991" s="27"/>
    </row>
    <row r="14992" spans="1:1">
      <c r="A14992" s="27"/>
    </row>
    <row r="14993" spans="1:1">
      <c r="A14993" s="27"/>
    </row>
    <row r="14994" spans="1:1">
      <c r="A14994" s="27"/>
    </row>
    <row r="14995" spans="1:1">
      <c r="A14995" s="27"/>
    </row>
    <row r="14996" spans="1:1">
      <c r="A14996" s="27"/>
    </row>
    <row r="14997" spans="1:1">
      <c r="A14997" s="27"/>
    </row>
    <row r="14998" spans="1:1">
      <c r="A14998" s="27"/>
    </row>
    <row r="14999" spans="1:1">
      <c r="A14999" s="27"/>
    </row>
    <row r="15000" spans="1:1">
      <c r="A15000" s="27"/>
    </row>
    <row r="15001" spans="1:1">
      <c r="A15001" s="27"/>
    </row>
    <row r="15002" spans="1:1">
      <c r="A15002" s="27"/>
    </row>
    <row r="15003" spans="1:1">
      <c r="A15003" s="27"/>
    </row>
    <row r="15004" spans="1:1">
      <c r="A15004" s="27"/>
    </row>
    <row r="15005" spans="1:1">
      <c r="A15005" s="27"/>
    </row>
    <row r="15006" spans="1:1">
      <c r="A15006" s="27"/>
    </row>
    <row r="15007" spans="1:1">
      <c r="A15007" s="27"/>
    </row>
    <row r="15008" spans="1:1">
      <c r="A15008" s="27"/>
    </row>
    <row r="15009" spans="1:1">
      <c r="A15009" s="27"/>
    </row>
    <row r="15010" spans="1:1">
      <c r="A15010" s="27"/>
    </row>
    <row r="15011" spans="1:1">
      <c r="A15011" s="27"/>
    </row>
    <row r="15012" spans="1:1">
      <c r="A15012" s="27"/>
    </row>
    <row r="15013" spans="1:1">
      <c r="A15013" s="27"/>
    </row>
    <row r="15014" spans="1:1">
      <c r="A15014" s="27"/>
    </row>
    <row r="15015" spans="1:1">
      <c r="A15015" s="27"/>
    </row>
    <row r="15016" spans="1:1">
      <c r="A15016" s="27"/>
    </row>
    <row r="15017" spans="1:1">
      <c r="A15017" s="27"/>
    </row>
    <row r="15018" spans="1:1">
      <c r="A15018" s="27"/>
    </row>
    <row r="15019" spans="1:1">
      <c r="A15019" s="27"/>
    </row>
    <row r="15020" spans="1:1">
      <c r="A15020" s="27"/>
    </row>
    <row r="15021" spans="1:1">
      <c r="A15021" s="27"/>
    </row>
    <row r="15022" spans="1:1">
      <c r="A15022" s="27"/>
    </row>
    <row r="15023" spans="1:1">
      <c r="A15023" s="27"/>
    </row>
    <row r="15024" spans="1:1">
      <c r="A15024" s="27"/>
    </row>
    <row r="15025" spans="1:1">
      <c r="A15025" s="27"/>
    </row>
    <row r="15026" spans="1:1">
      <c r="A15026" s="27"/>
    </row>
    <row r="15027" spans="1:1">
      <c r="A15027" s="27"/>
    </row>
    <row r="15028" spans="1:1">
      <c r="A15028" s="27"/>
    </row>
    <row r="15029" spans="1:1">
      <c r="A15029" s="27"/>
    </row>
    <row r="15030" spans="1:1">
      <c r="A15030" s="27"/>
    </row>
    <row r="15031" spans="1:1">
      <c r="A15031" s="27"/>
    </row>
    <row r="15032" spans="1:1">
      <c r="A15032" s="27"/>
    </row>
    <row r="15033" spans="1:1">
      <c r="A15033" s="27"/>
    </row>
    <row r="15034" spans="1:1">
      <c r="A15034" s="27"/>
    </row>
    <row r="15035" spans="1:1">
      <c r="A15035" s="27"/>
    </row>
    <row r="15036" spans="1:1">
      <c r="A15036" s="27"/>
    </row>
    <row r="15037" spans="1:1">
      <c r="A15037" s="27"/>
    </row>
    <row r="15038" spans="1:1">
      <c r="A15038" s="27"/>
    </row>
    <row r="15039" spans="1:1">
      <c r="A15039" s="27"/>
    </row>
    <row r="15040" spans="1:1">
      <c r="A15040" s="27"/>
    </row>
    <row r="15041" spans="1:1">
      <c r="A15041" s="27"/>
    </row>
    <row r="15042" spans="1:1">
      <c r="A15042" s="27"/>
    </row>
    <row r="15043" spans="1:1">
      <c r="A15043" s="27"/>
    </row>
    <row r="15044" spans="1:1">
      <c r="A15044" s="27"/>
    </row>
    <row r="15045" spans="1:1">
      <c r="A15045" s="27"/>
    </row>
    <row r="15046" spans="1:1">
      <c r="A15046" s="27"/>
    </row>
    <row r="15047" spans="1:1">
      <c r="A15047" s="27"/>
    </row>
    <row r="15048" spans="1:1">
      <c r="A15048" s="27"/>
    </row>
    <row r="15049" spans="1:1">
      <c r="A15049" s="27"/>
    </row>
    <row r="15050" spans="1:1">
      <c r="A15050" s="27"/>
    </row>
    <row r="15051" spans="1:1">
      <c r="A15051" s="27"/>
    </row>
    <row r="15052" spans="1:1">
      <c r="A15052" s="27"/>
    </row>
    <row r="15053" spans="1:1">
      <c r="A15053" s="27"/>
    </row>
    <row r="15054" spans="1:1">
      <c r="A15054" s="27"/>
    </row>
    <row r="15055" spans="1:1">
      <c r="A15055" s="27"/>
    </row>
    <row r="15056" spans="1:1">
      <c r="A15056" s="27"/>
    </row>
    <row r="15057" spans="1:1">
      <c r="A15057" s="27"/>
    </row>
    <row r="15058" spans="1:1">
      <c r="A15058" s="27"/>
    </row>
    <row r="15059" spans="1:1">
      <c r="A15059" s="27"/>
    </row>
    <row r="15060" spans="1:1">
      <c r="A15060" s="27"/>
    </row>
    <row r="15061" spans="1:1">
      <c r="A15061" s="27"/>
    </row>
    <row r="15062" spans="1:1">
      <c r="A15062" s="27"/>
    </row>
    <row r="15063" spans="1:1">
      <c r="A15063" s="27"/>
    </row>
    <row r="15064" spans="1:1">
      <c r="A15064" s="27"/>
    </row>
    <row r="15065" spans="1:1">
      <c r="A15065" s="27"/>
    </row>
    <row r="15066" spans="1:1">
      <c r="A15066" s="27"/>
    </row>
    <row r="15067" spans="1:1">
      <c r="A15067" s="27"/>
    </row>
    <row r="15068" spans="1:1">
      <c r="A15068" s="27"/>
    </row>
    <row r="15069" spans="1:1">
      <c r="A15069" s="27"/>
    </row>
    <row r="15070" spans="1:1">
      <c r="A15070" s="27"/>
    </row>
    <row r="15071" spans="1:1">
      <c r="A15071" s="27"/>
    </row>
    <row r="15072" spans="1:1">
      <c r="A15072" s="27"/>
    </row>
    <row r="15073" spans="1:1">
      <c r="A15073" s="27"/>
    </row>
    <row r="15074" spans="1:1">
      <c r="A15074" s="27"/>
    </row>
    <row r="15075" spans="1:1">
      <c r="A15075" s="27"/>
    </row>
    <row r="15076" spans="1:1">
      <c r="A15076" s="27"/>
    </row>
    <row r="15077" spans="1:1">
      <c r="A15077" s="27"/>
    </row>
    <row r="15078" spans="1:1">
      <c r="A15078" s="27"/>
    </row>
    <row r="15079" spans="1:1">
      <c r="A15079" s="27"/>
    </row>
    <row r="15080" spans="1:1">
      <c r="A15080" s="27"/>
    </row>
    <row r="15081" spans="1:1">
      <c r="A15081" s="27"/>
    </row>
    <row r="15082" spans="1:1">
      <c r="A15082" s="27"/>
    </row>
    <row r="15083" spans="1:1">
      <c r="A15083" s="27"/>
    </row>
    <row r="15084" spans="1:1">
      <c r="A15084" s="27"/>
    </row>
    <row r="15085" spans="1:1">
      <c r="A15085" s="27"/>
    </row>
    <row r="15086" spans="1:1">
      <c r="A15086" s="27"/>
    </row>
    <row r="15087" spans="1:1">
      <c r="A15087" s="27"/>
    </row>
    <row r="15088" spans="1:1">
      <c r="A15088" s="27"/>
    </row>
    <row r="15089" spans="1:1">
      <c r="A15089" s="27"/>
    </row>
    <row r="15090" spans="1:1">
      <c r="A15090" s="27"/>
    </row>
    <row r="15091" spans="1:1">
      <c r="A15091" s="27"/>
    </row>
    <row r="15092" spans="1:1">
      <c r="A15092" s="27"/>
    </row>
    <row r="15093" spans="1:1">
      <c r="A15093" s="27"/>
    </row>
    <row r="15094" spans="1:1">
      <c r="A15094" s="27"/>
    </row>
    <row r="15095" spans="1:1">
      <c r="A15095" s="27"/>
    </row>
    <row r="15096" spans="1:1">
      <c r="A15096" s="27"/>
    </row>
    <row r="15097" spans="1:1">
      <c r="A15097" s="27"/>
    </row>
    <row r="15098" spans="1:1">
      <c r="A15098" s="27"/>
    </row>
    <row r="15099" spans="1:1">
      <c r="A15099" s="27"/>
    </row>
    <row r="15100" spans="1:1">
      <c r="A15100" s="27"/>
    </row>
    <row r="15101" spans="1:1">
      <c r="A15101" s="27"/>
    </row>
    <row r="15102" spans="1:1">
      <c r="A15102" s="27"/>
    </row>
    <row r="15103" spans="1:1">
      <c r="A15103" s="27"/>
    </row>
    <row r="15104" spans="1:1">
      <c r="A15104" s="27"/>
    </row>
    <row r="15105" spans="1:1">
      <c r="A15105" s="27"/>
    </row>
    <row r="15106" spans="1:1">
      <c r="A15106" s="27"/>
    </row>
    <row r="15107" spans="1:1">
      <c r="A15107" s="27"/>
    </row>
    <row r="15108" spans="1:1">
      <c r="A15108" s="27"/>
    </row>
    <row r="15109" spans="1:1">
      <c r="A15109" s="27"/>
    </row>
    <row r="15110" spans="1:1">
      <c r="A15110" s="27"/>
    </row>
    <row r="15111" spans="1:1">
      <c r="A15111" s="27"/>
    </row>
    <row r="15112" spans="1:1">
      <c r="A15112" s="27"/>
    </row>
    <row r="15113" spans="1:1">
      <c r="A15113" s="27"/>
    </row>
    <row r="15114" spans="1:1">
      <c r="A15114" s="27"/>
    </row>
    <row r="15115" spans="1:1">
      <c r="A15115" s="27"/>
    </row>
    <row r="15116" spans="1:1">
      <c r="A15116" s="27"/>
    </row>
    <row r="15117" spans="1:1">
      <c r="A15117" s="27"/>
    </row>
    <row r="15118" spans="1:1">
      <c r="A15118" s="27"/>
    </row>
    <row r="15119" spans="1:1">
      <c r="A15119" s="27"/>
    </row>
    <row r="15120" spans="1:1">
      <c r="A15120" s="27"/>
    </row>
    <row r="15121" spans="1:1">
      <c r="A15121" s="27"/>
    </row>
    <row r="15122" spans="1:1">
      <c r="A15122" s="27"/>
    </row>
    <row r="15123" spans="1:1">
      <c r="A15123" s="27"/>
    </row>
    <row r="15124" spans="1:1">
      <c r="A15124" s="27"/>
    </row>
    <row r="15125" spans="1:1">
      <c r="A15125" s="27"/>
    </row>
    <row r="15126" spans="1:1">
      <c r="A15126" s="27"/>
    </row>
    <row r="15127" spans="1:1">
      <c r="A15127" s="27"/>
    </row>
    <row r="15128" spans="1:1">
      <c r="A15128" s="27"/>
    </row>
    <row r="15129" spans="1:1">
      <c r="A15129" s="27"/>
    </row>
    <row r="15130" spans="1:1">
      <c r="A15130" s="27"/>
    </row>
    <row r="15131" spans="1:1">
      <c r="A15131" s="27"/>
    </row>
    <row r="15132" spans="1:1">
      <c r="A15132" s="27"/>
    </row>
    <row r="15133" spans="1:1">
      <c r="A15133" s="27"/>
    </row>
    <row r="15134" spans="1:1">
      <c r="A15134" s="27"/>
    </row>
    <row r="15135" spans="1:1">
      <c r="A15135" s="27"/>
    </row>
    <row r="15136" spans="1:1">
      <c r="A15136" s="27"/>
    </row>
    <row r="15137" spans="1:1">
      <c r="A15137" s="27"/>
    </row>
    <row r="15138" spans="1:1">
      <c r="A15138" s="27"/>
    </row>
    <row r="15139" spans="1:1">
      <c r="A15139" s="27"/>
    </row>
    <row r="15140" spans="1:1">
      <c r="A15140" s="27"/>
    </row>
    <row r="15141" spans="1:1">
      <c r="A15141" s="27"/>
    </row>
    <row r="15142" spans="1:1">
      <c r="A15142" s="27"/>
    </row>
    <row r="15143" spans="1:1">
      <c r="A15143" s="27"/>
    </row>
    <row r="15144" spans="1:1">
      <c r="A15144" s="27"/>
    </row>
    <row r="15145" spans="1:1">
      <c r="A15145" s="27"/>
    </row>
    <row r="15146" spans="1:1">
      <c r="A15146" s="27"/>
    </row>
    <row r="15147" spans="1:1">
      <c r="A15147" s="27"/>
    </row>
    <row r="15148" spans="1:1">
      <c r="A15148" s="27"/>
    </row>
    <row r="15149" spans="1:1">
      <c r="A15149" s="27"/>
    </row>
    <row r="15150" spans="1:1">
      <c r="A15150" s="27"/>
    </row>
    <row r="15151" spans="1:1">
      <c r="A15151" s="27"/>
    </row>
    <row r="15152" spans="1:1">
      <c r="A15152" s="27"/>
    </row>
    <row r="15153" spans="1:1">
      <c r="A15153" s="27"/>
    </row>
    <row r="15154" spans="1:1">
      <c r="A15154" s="27"/>
    </row>
    <row r="15155" spans="1:1">
      <c r="A15155" s="27"/>
    </row>
    <row r="15156" spans="1:1">
      <c r="A15156" s="27"/>
    </row>
    <row r="15157" spans="1:1">
      <c r="A15157" s="27"/>
    </row>
    <row r="15158" spans="1:1">
      <c r="A15158" s="27"/>
    </row>
    <row r="15159" spans="1:1">
      <c r="A15159" s="27"/>
    </row>
    <row r="15160" spans="1:1">
      <c r="A15160" s="27"/>
    </row>
    <row r="15161" spans="1:1">
      <c r="A15161" s="27"/>
    </row>
    <row r="15162" spans="1:1">
      <c r="A15162" s="27"/>
    </row>
    <row r="15163" spans="1:1">
      <c r="A15163" s="27"/>
    </row>
    <row r="15164" spans="1:1">
      <c r="A15164" s="27"/>
    </row>
    <row r="15165" spans="1:1">
      <c r="A15165" s="27"/>
    </row>
    <row r="15166" spans="1:1">
      <c r="A15166" s="27"/>
    </row>
    <row r="15167" spans="1:1">
      <c r="A15167" s="27"/>
    </row>
    <row r="15168" spans="1:1">
      <c r="A15168" s="27"/>
    </row>
    <row r="15169" spans="1:1">
      <c r="A15169" s="27"/>
    </row>
    <row r="15170" spans="1:1">
      <c r="A15170" s="27"/>
    </row>
    <row r="15171" spans="1:1">
      <c r="A15171" s="27"/>
    </row>
    <row r="15172" spans="1:1">
      <c r="A15172" s="27"/>
    </row>
    <row r="15173" spans="1:1">
      <c r="A15173" s="27"/>
    </row>
    <row r="15174" spans="1:1">
      <c r="A15174" s="27"/>
    </row>
    <row r="15175" spans="1:1">
      <c r="A15175" s="27"/>
    </row>
    <row r="15176" spans="1:1">
      <c r="A15176" s="27"/>
    </row>
    <row r="15177" spans="1:1">
      <c r="A15177" s="27"/>
    </row>
    <row r="15178" spans="1:1">
      <c r="A15178" s="27"/>
    </row>
    <row r="15179" spans="1:1">
      <c r="A15179" s="27"/>
    </row>
    <row r="15180" spans="1:1">
      <c r="A15180" s="27"/>
    </row>
    <row r="15181" spans="1:1">
      <c r="A15181" s="27"/>
    </row>
    <row r="15182" spans="1:1">
      <c r="A15182" s="27"/>
    </row>
    <row r="15183" spans="1:1">
      <c r="A15183" s="27"/>
    </row>
    <row r="15184" spans="1:1">
      <c r="A15184" s="27"/>
    </row>
    <row r="15185" spans="1:1">
      <c r="A15185" s="27"/>
    </row>
    <row r="15186" spans="1:1">
      <c r="A15186" s="27"/>
    </row>
    <row r="15187" spans="1:1">
      <c r="A15187" s="27"/>
    </row>
    <row r="15188" spans="1:1">
      <c r="A15188" s="27"/>
    </row>
    <row r="15189" spans="1:1">
      <c r="A15189" s="27"/>
    </row>
    <row r="15190" spans="1:1">
      <c r="A15190" s="27"/>
    </row>
    <row r="15191" spans="1:1">
      <c r="A15191" s="27"/>
    </row>
    <row r="15192" spans="1:1">
      <c r="A15192" s="27"/>
    </row>
    <row r="15193" spans="1:1">
      <c r="A15193" s="27"/>
    </row>
    <row r="15194" spans="1:1">
      <c r="A15194" s="27"/>
    </row>
    <row r="15195" spans="1:1">
      <c r="A15195" s="27"/>
    </row>
    <row r="15196" spans="1:1">
      <c r="A15196" s="27"/>
    </row>
    <row r="15197" spans="1:1">
      <c r="A15197" s="27"/>
    </row>
    <row r="15198" spans="1:1">
      <c r="A15198" s="27"/>
    </row>
    <row r="15199" spans="1:1">
      <c r="A15199" s="27"/>
    </row>
    <row r="15200" spans="1:1">
      <c r="A15200" s="27"/>
    </row>
    <row r="15201" spans="1:1">
      <c r="A15201" s="27"/>
    </row>
    <row r="15202" spans="1:1">
      <c r="A15202" s="27"/>
    </row>
    <row r="15203" spans="1:1">
      <c r="A15203" s="27"/>
    </row>
    <row r="15204" spans="1:1">
      <c r="A15204" s="27"/>
    </row>
    <row r="15205" spans="1:1">
      <c r="A15205" s="27"/>
    </row>
    <row r="15206" spans="1:1">
      <c r="A15206" s="27"/>
    </row>
    <row r="15207" spans="1:1">
      <c r="A15207" s="27"/>
    </row>
    <row r="15208" spans="1:1">
      <c r="A15208" s="27"/>
    </row>
    <row r="15209" spans="1:1">
      <c r="A15209" s="27"/>
    </row>
    <row r="15210" spans="1:1">
      <c r="A15210" s="27"/>
    </row>
    <row r="15211" spans="1:1">
      <c r="A15211" s="27"/>
    </row>
    <row r="15212" spans="1:1">
      <c r="A15212" s="27"/>
    </row>
    <row r="15213" spans="1:1">
      <c r="A15213" s="27"/>
    </row>
    <row r="15214" spans="1:1">
      <c r="A15214" s="27"/>
    </row>
    <row r="15215" spans="1:1">
      <c r="A15215" s="27"/>
    </row>
    <row r="15216" spans="1:1">
      <c r="A15216" s="27"/>
    </row>
    <row r="15217" spans="1:1">
      <c r="A15217" s="27"/>
    </row>
    <row r="15218" spans="1:1">
      <c r="A15218" s="27"/>
    </row>
    <row r="15219" spans="1:1">
      <c r="A15219" s="27"/>
    </row>
    <row r="15220" spans="1:1">
      <c r="A15220" s="27"/>
    </row>
    <row r="15221" spans="1:1">
      <c r="A15221" s="27"/>
    </row>
    <row r="15222" spans="1:1">
      <c r="A15222" s="27"/>
    </row>
    <row r="15223" spans="1:1">
      <c r="A15223" s="27"/>
    </row>
    <row r="15224" spans="1:1">
      <c r="A15224" s="27"/>
    </row>
    <row r="15225" spans="1:1">
      <c r="A15225" s="27"/>
    </row>
    <row r="15226" spans="1:1">
      <c r="A15226" s="27"/>
    </row>
    <row r="15227" spans="1:1">
      <c r="A15227" s="27"/>
    </row>
    <row r="15228" spans="1:1">
      <c r="A15228" s="27"/>
    </row>
    <row r="15229" spans="1:1">
      <c r="A15229" s="27"/>
    </row>
    <row r="15230" spans="1:1">
      <c r="A15230" s="27"/>
    </row>
    <row r="15231" spans="1:1">
      <c r="A15231" s="27"/>
    </row>
    <row r="15232" spans="1:1">
      <c r="A15232" s="27"/>
    </row>
    <row r="15233" spans="1:1">
      <c r="A15233" s="27"/>
    </row>
    <row r="15234" spans="1:1">
      <c r="A15234" s="27"/>
    </row>
    <row r="15235" spans="1:1">
      <c r="A15235" s="27"/>
    </row>
    <row r="15236" spans="1:1">
      <c r="A15236" s="27"/>
    </row>
    <row r="15237" spans="1:1">
      <c r="A15237" s="27"/>
    </row>
    <row r="15238" spans="1:1">
      <c r="A15238" s="27"/>
    </row>
    <row r="15239" spans="1:1">
      <c r="A15239" s="27"/>
    </row>
    <row r="15240" spans="1:1">
      <c r="A15240" s="27"/>
    </row>
    <row r="15241" spans="1:1">
      <c r="A15241" s="27"/>
    </row>
    <row r="15242" spans="1:1">
      <c r="A15242" s="27"/>
    </row>
    <row r="15243" spans="1:1">
      <c r="A15243" s="27"/>
    </row>
    <row r="15244" spans="1:1">
      <c r="A15244" s="27"/>
    </row>
    <row r="15245" spans="1:1">
      <c r="A15245" s="27"/>
    </row>
    <row r="15246" spans="1:1">
      <c r="A15246" s="27"/>
    </row>
    <row r="15247" spans="1:1">
      <c r="A15247" s="27"/>
    </row>
    <row r="15248" spans="1:1">
      <c r="A15248" s="27"/>
    </row>
    <row r="15249" spans="1:1">
      <c r="A15249" s="27"/>
    </row>
    <row r="15250" spans="1:1">
      <c r="A15250" s="27"/>
    </row>
    <row r="15251" spans="1:1">
      <c r="A15251" s="27"/>
    </row>
    <row r="15252" spans="1:1">
      <c r="A15252" s="27"/>
    </row>
    <row r="15253" spans="1:1">
      <c r="A15253" s="27"/>
    </row>
    <row r="15254" spans="1:1">
      <c r="A15254" s="27"/>
    </row>
    <row r="15255" spans="1:1">
      <c r="A15255" s="27"/>
    </row>
    <row r="15256" spans="1:1">
      <c r="A15256" s="27"/>
    </row>
    <row r="15257" spans="1:1">
      <c r="A15257" s="27"/>
    </row>
    <row r="15258" spans="1:1">
      <c r="A15258" s="27"/>
    </row>
    <row r="15259" spans="1:1">
      <c r="A15259" s="27"/>
    </row>
    <row r="15260" spans="1:1">
      <c r="A15260" s="27"/>
    </row>
    <row r="15261" spans="1:1">
      <c r="A15261" s="27"/>
    </row>
    <row r="15262" spans="1:1">
      <c r="A15262" s="27"/>
    </row>
    <row r="15263" spans="1:1">
      <c r="A15263" s="27"/>
    </row>
    <row r="15264" spans="1:1">
      <c r="A15264" s="27"/>
    </row>
    <row r="15265" spans="1:1">
      <c r="A15265" s="27"/>
    </row>
    <row r="15266" spans="1:1">
      <c r="A15266" s="27"/>
    </row>
    <row r="15267" spans="1:1">
      <c r="A15267" s="27"/>
    </row>
    <row r="15268" spans="1:1">
      <c r="A15268" s="27"/>
    </row>
    <row r="15269" spans="1:1">
      <c r="A15269" s="27"/>
    </row>
    <row r="15270" spans="1:1">
      <c r="A15270" s="27"/>
    </row>
    <row r="15271" spans="1:1">
      <c r="A15271" s="27"/>
    </row>
    <row r="15272" spans="1:1">
      <c r="A15272" s="27"/>
    </row>
    <row r="15273" spans="1:1">
      <c r="A15273" s="27"/>
    </row>
    <row r="15274" spans="1:1">
      <c r="A15274" s="27"/>
    </row>
    <row r="15275" spans="1:1">
      <c r="A15275" s="27"/>
    </row>
    <row r="15276" spans="1:1">
      <c r="A15276" s="27"/>
    </row>
    <row r="15277" spans="1:1">
      <c r="A15277" s="27"/>
    </row>
    <row r="15278" spans="1:1">
      <c r="A15278" s="27"/>
    </row>
    <row r="15279" spans="1:1">
      <c r="A15279" s="27"/>
    </row>
    <row r="15280" spans="1:1">
      <c r="A15280" s="27"/>
    </row>
    <row r="15281" spans="1:1">
      <c r="A15281" s="27"/>
    </row>
    <row r="15282" spans="1:1">
      <c r="A15282" s="27"/>
    </row>
    <row r="15283" spans="1:1">
      <c r="A15283" s="27"/>
    </row>
    <row r="15284" spans="1:1">
      <c r="A15284" s="27"/>
    </row>
    <row r="15285" spans="1:1">
      <c r="A15285" s="27"/>
    </row>
    <row r="15286" spans="1:1">
      <c r="A15286" s="27"/>
    </row>
    <row r="15287" spans="1:1">
      <c r="A15287" s="27"/>
    </row>
    <row r="15288" spans="1:1">
      <c r="A15288" s="27"/>
    </row>
    <row r="15289" spans="1:1">
      <c r="A15289" s="27"/>
    </row>
    <row r="15290" spans="1:1">
      <c r="A15290" s="27"/>
    </row>
    <row r="15291" spans="1:1">
      <c r="A15291" s="27"/>
    </row>
    <row r="15292" spans="1:1">
      <c r="A15292" s="27"/>
    </row>
    <row r="15293" spans="1:1">
      <c r="A15293" s="27"/>
    </row>
    <row r="15294" spans="1:1">
      <c r="A15294" s="27"/>
    </row>
    <row r="15295" spans="1:1">
      <c r="A15295" s="27"/>
    </row>
    <row r="15296" spans="1:1">
      <c r="A15296" s="27"/>
    </row>
    <row r="15297" spans="1:1">
      <c r="A15297" s="27"/>
    </row>
    <row r="15298" spans="1:1">
      <c r="A15298" s="27"/>
    </row>
    <row r="15299" spans="1:1">
      <c r="A15299" s="27"/>
    </row>
    <row r="15300" spans="1:1">
      <c r="A15300" s="27"/>
    </row>
    <row r="15301" spans="1:1">
      <c r="A15301" s="27"/>
    </row>
    <row r="15302" spans="1:1">
      <c r="A15302" s="27"/>
    </row>
    <row r="15303" spans="1:1">
      <c r="A15303" s="27"/>
    </row>
    <row r="15304" spans="1:1">
      <c r="A15304" s="27"/>
    </row>
    <row r="15305" spans="1:1">
      <c r="A15305" s="27"/>
    </row>
    <row r="15306" spans="1:1">
      <c r="A15306" s="27"/>
    </row>
    <row r="15307" spans="1:1">
      <c r="A15307" s="27"/>
    </row>
    <row r="15308" spans="1:1">
      <c r="A15308" s="27"/>
    </row>
    <row r="15309" spans="1:1">
      <c r="A15309" s="27"/>
    </row>
    <row r="15310" spans="1:1">
      <c r="A15310" s="27"/>
    </row>
    <row r="15311" spans="1:1">
      <c r="A15311" s="27"/>
    </row>
    <row r="15312" spans="1:1">
      <c r="A15312" s="27"/>
    </row>
    <row r="15313" spans="1:1">
      <c r="A15313" s="27"/>
    </row>
    <row r="15314" spans="1:1">
      <c r="A15314" s="27"/>
    </row>
    <row r="15315" spans="1:1">
      <c r="A15315" s="27"/>
    </row>
    <row r="15316" spans="1:1">
      <c r="A15316" s="27"/>
    </row>
    <row r="15317" spans="1:1">
      <c r="A15317" s="27"/>
    </row>
    <row r="15318" spans="1:1">
      <c r="A15318" s="27"/>
    </row>
    <row r="15319" spans="1:1">
      <c r="A15319" s="27"/>
    </row>
    <row r="15320" spans="1:1">
      <c r="A15320" s="27"/>
    </row>
    <row r="15321" spans="1:1">
      <c r="A15321" s="27"/>
    </row>
    <row r="15322" spans="1:1">
      <c r="A15322" s="27"/>
    </row>
    <row r="15323" spans="1:1">
      <c r="A15323" s="27"/>
    </row>
    <row r="15324" spans="1:1">
      <c r="A15324" s="27"/>
    </row>
    <row r="15325" spans="1:1">
      <c r="A15325" s="27"/>
    </row>
    <row r="15326" spans="1:1">
      <c r="A15326" s="27"/>
    </row>
    <row r="15327" spans="1:1">
      <c r="A15327" s="27"/>
    </row>
    <row r="15328" spans="1:1">
      <c r="A15328" s="27"/>
    </row>
    <row r="15329" spans="1:1">
      <c r="A15329" s="27"/>
    </row>
    <row r="15330" spans="1:1">
      <c r="A15330" s="27"/>
    </row>
    <row r="15331" spans="1:1">
      <c r="A15331" s="27"/>
    </row>
    <row r="15332" spans="1:1">
      <c r="A15332" s="27"/>
    </row>
    <row r="15333" spans="1:1">
      <c r="A15333" s="27"/>
    </row>
    <row r="15334" spans="1:1">
      <c r="A15334" s="27"/>
    </row>
    <row r="15335" spans="1:1">
      <c r="A15335" s="27"/>
    </row>
    <row r="15336" spans="1:1">
      <c r="A15336" s="27"/>
    </row>
    <row r="15337" spans="1:1">
      <c r="A15337" s="27"/>
    </row>
    <row r="15338" spans="1:1">
      <c r="A15338" s="27"/>
    </row>
    <row r="15339" spans="1:1">
      <c r="A15339" s="27"/>
    </row>
    <row r="15340" spans="1:1">
      <c r="A15340" s="27"/>
    </row>
    <row r="15341" spans="1:1">
      <c r="A15341" s="27"/>
    </row>
    <row r="15342" spans="1:1">
      <c r="A15342" s="27"/>
    </row>
    <row r="15343" spans="1:1">
      <c r="A15343" s="27"/>
    </row>
    <row r="15344" spans="1:1">
      <c r="A15344" s="27"/>
    </row>
    <row r="15345" spans="1:1">
      <c r="A15345" s="27"/>
    </row>
    <row r="15346" spans="1:1">
      <c r="A15346" s="27"/>
    </row>
    <row r="15347" spans="1:1">
      <c r="A15347" s="27"/>
    </row>
    <row r="15348" spans="1:1">
      <c r="A15348" s="27"/>
    </row>
    <row r="15349" spans="1:1">
      <c r="A15349" s="27"/>
    </row>
    <row r="15350" spans="1:1">
      <c r="A15350" s="27"/>
    </row>
    <row r="15351" spans="1:1">
      <c r="A15351" s="27"/>
    </row>
    <row r="15352" spans="1:1">
      <c r="A15352" s="27"/>
    </row>
    <row r="15353" spans="1:1">
      <c r="A15353" s="27"/>
    </row>
    <row r="15354" spans="1:1">
      <c r="A15354" s="27"/>
    </row>
    <row r="15355" spans="1:1">
      <c r="A15355" s="27"/>
    </row>
    <row r="15356" spans="1:1">
      <c r="A15356" s="27"/>
    </row>
    <row r="15357" spans="1:1">
      <c r="A15357" s="27"/>
    </row>
    <row r="15358" spans="1:1">
      <c r="A15358" s="27"/>
    </row>
    <row r="15359" spans="1:1">
      <c r="A15359" s="27"/>
    </row>
    <row r="15360" spans="1:1">
      <c r="A15360" s="27"/>
    </row>
    <row r="15361" spans="1:1">
      <c r="A15361" s="27"/>
    </row>
    <row r="15362" spans="1:1">
      <c r="A15362" s="27"/>
    </row>
    <row r="15363" spans="1:1">
      <c r="A15363" s="27"/>
    </row>
    <row r="15364" spans="1:1">
      <c r="A15364" s="27"/>
    </row>
    <row r="15365" spans="1:1">
      <c r="A15365" s="27"/>
    </row>
    <row r="15366" spans="1:1">
      <c r="A15366" s="27"/>
    </row>
    <row r="15367" spans="1:1">
      <c r="A15367" s="27"/>
    </row>
    <row r="15368" spans="1:1">
      <c r="A15368" s="27"/>
    </row>
    <row r="15369" spans="1:1">
      <c r="A15369" s="27"/>
    </row>
    <row r="15370" spans="1:1">
      <c r="A15370" s="27"/>
    </row>
    <row r="15371" spans="1:1">
      <c r="A15371" s="27"/>
    </row>
    <row r="15372" spans="1:1">
      <c r="A15372" s="27"/>
    </row>
    <row r="15373" spans="1:1">
      <c r="A15373" s="27"/>
    </row>
    <row r="15374" spans="1:1">
      <c r="A15374" s="27"/>
    </row>
    <row r="15375" spans="1:1">
      <c r="A15375" s="27"/>
    </row>
    <row r="15376" spans="1:1">
      <c r="A15376" s="27"/>
    </row>
    <row r="15377" spans="1:1">
      <c r="A15377" s="27"/>
    </row>
    <row r="15378" spans="1:1">
      <c r="A15378" s="27"/>
    </row>
    <row r="15379" spans="1:1">
      <c r="A15379" s="27"/>
    </row>
    <row r="15380" spans="1:1">
      <c r="A15380" s="27"/>
    </row>
    <row r="15381" spans="1:1">
      <c r="A15381" s="27"/>
    </row>
    <row r="15382" spans="1:1">
      <c r="A15382" s="27"/>
    </row>
    <row r="15383" spans="1:1">
      <c r="A15383" s="27"/>
    </row>
    <row r="15384" spans="1:1">
      <c r="A15384" s="27"/>
    </row>
    <row r="15385" spans="1:1">
      <c r="A15385" s="27"/>
    </row>
    <row r="15386" spans="1:1">
      <c r="A15386" s="27"/>
    </row>
    <row r="15387" spans="1:1">
      <c r="A15387" s="27"/>
    </row>
    <row r="15388" spans="1:1">
      <c r="A15388" s="27"/>
    </row>
    <row r="15389" spans="1:1">
      <c r="A15389" s="27"/>
    </row>
    <row r="15390" spans="1:1">
      <c r="A15390" s="27"/>
    </row>
    <row r="15391" spans="1:1">
      <c r="A15391" s="27"/>
    </row>
    <row r="15392" spans="1:1">
      <c r="A15392" s="27"/>
    </row>
    <row r="15393" spans="1:1">
      <c r="A15393" s="27"/>
    </row>
    <row r="15394" spans="1:1">
      <c r="A15394" s="27"/>
    </row>
    <row r="15395" spans="1:1">
      <c r="A15395" s="27"/>
    </row>
    <row r="15396" spans="1:1">
      <c r="A15396" s="27"/>
    </row>
    <row r="15397" spans="1:1">
      <c r="A15397" s="27"/>
    </row>
    <row r="15398" spans="1:1">
      <c r="A15398" s="27"/>
    </row>
    <row r="15399" spans="1:1">
      <c r="A15399" s="27"/>
    </row>
    <row r="15400" spans="1:1">
      <c r="A15400" s="27"/>
    </row>
    <row r="15401" spans="1:1">
      <c r="A15401" s="27"/>
    </row>
    <row r="15402" spans="1:1">
      <c r="A15402" s="27"/>
    </row>
    <row r="15403" spans="1:1">
      <c r="A15403" s="27"/>
    </row>
    <row r="15404" spans="1:1">
      <c r="A15404" s="27"/>
    </row>
    <row r="15405" spans="1:1">
      <c r="A15405" s="27"/>
    </row>
    <row r="15406" spans="1:1">
      <c r="A15406" s="27"/>
    </row>
    <row r="15407" spans="1:1">
      <c r="A15407" s="27"/>
    </row>
    <row r="15408" spans="1:1">
      <c r="A15408" s="27"/>
    </row>
    <row r="15409" spans="1:1">
      <c r="A15409" s="27"/>
    </row>
    <row r="15410" spans="1:1">
      <c r="A15410" s="27"/>
    </row>
    <row r="15411" spans="1:1">
      <c r="A15411" s="27"/>
    </row>
    <row r="15412" spans="1:1">
      <c r="A15412" s="27"/>
    </row>
    <row r="15413" spans="1:1">
      <c r="A15413" s="27"/>
    </row>
    <row r="15414" spans="1:1">
      <c r="A15414" s="27"/>
    </row>
    <row r="15415" spans="1:1">
      <c r="A15415" s="27"/>
    </row>
    <row r="15416" spans="1:1">
      <c r="A15416" s="27"/>
    </row>
    <row r="15417" spans="1:1">
      <c r="A15417" s="27"/>
    </row>
    <row r="15418" spans="1:1">
      <c r="A15418" s="27"/>
    </row>
    <row r="15419" spans="1:1">
      <c r="A15419" s="27"/>
    </row>
    <row r="15420" spans="1:1">
      <c r="A15420" s="27"/>
    </row>
    <row r="15421" spans="1:1">
      <c r="A15421" s="27"/>
    </row>
    <row r="15422" spans="1:1">
      <c r="A15422" s="27"/>
    </row>
    <row r="15423" spans="1:1">
      <c r="A15423" s="27"/>
    </row>
    <row r="15424" spans="1:1">
      <c r="A15424" s="27"/>
    </row>
    <row r="15425" spans="1:1">
      <c r="A15425" s="27"/>
    </row>
    <row r="15426" spans="1:1">
      <c r="A15426" s="27"/>
    </row>
    <row r="15427" spans="1:1">
      <c r="A15427" s="27"/>
    </row>
    <row r="15428" spans="1:1">
      <c r="A15428" s="27"/>
    </row>
    <row r="15429" spans="1:1">
      <c r="A15429" s="27"/>
    </row>
    <row r="15430" spans="1:1">
      <c r="A15430" s="27"/>
    </row>
    <row r="15431" spans="1:1">
      <c r="A15431" s="27"/>
    </row>
    <row r="15432" spans="1:1">
      <c r="A15432" s="27"/>
    </row>
    <row r="15433" spans="1:1">
      <c r="A15433" s="27"/>
    </row>
    <row r="15434" spans="1:1">
      <c r="A15434" s="27"/>
    </row>
    <row r="15435" spans="1:1">
      <c r="A15435" s="27"/>
    </row>
    <row r="15436" spans="1:1">
      <c r="A15436" s="27"/>
    </row>
    <row r="15437" spans="1:1">
      <c r="A15437" s="27"/>
    </row>
    <row r="15438" spans="1:1">
      <c r="A15438" s="27"/>
    </row>
    <row r="15439" spans="1:1">
      <c r="A15439" s="27"/>
    </row>
    <row r="15440" spans="1:1">
      <c r="A15440" s="27"/>
    </row>
    <row r="15441" spans="1:1">
      <c r="A15441" s="27"/>
    </row>
    <row r="15442" spans="1:1">
      <c r="A15442" s="27"/>
    </row>
    <row r="15443" spans="1:1">
      <c r="A15443" s="27"/>
    </row>
    <row r="15444" spans="1:1">
      <c r="A15444" s="27"/>
    </row>
    <row r="15445" spans="1:1">
      <c r="A15445" s="27"/>
    </row>
    <row r="15446" spans="1:1">
      <c r="A15446" s="27"/>
    </row>
    <row r="15447" spans="1:1">
      <c r="A15447" s="27"/>
    </row>
    <row r="15448" spans="1:1">
      <c r="A15448" s="27"/>
    </row>
    <row r="15449" spans="1:1">
      <c r="A15449" s="27"/>
    </row>
    <row r="15450" spans="1:1">
      <c r="A15450" s="27"/>
    </row>
    <row r="15451" spans="1:1">
      <c r="A15451" s="27"/>
    </row>
    <row r="15452" spans="1:1">
      <c r="A15452" s="27"/>
    </row>
    <row r="15453" spans="1:1">
      <c r="A15453" s="27"/>
    </row>
    <row r="15454" spans="1:1">
      <c r="A15454" s="27"/>
    </row>
    <row r="15455" spans="1:1">
      <c r="A15455" s="27"/>
    </row>
    <row r="15456" spans="1:1">
      <c r="A15456" s="27"/>
    </row>
    <row r="15457" spans="1:1">
      <c r="A15457" s="27"/>
    </row>
    <row r="15458" spans="1:1">
      <c r="A15458" s="27"/>
    </row>
    <row r="15459" spans="1:1">
      <c r="A15459" s="27"/>
    </row>
    <row r="15460" spans="1:1">
      <c r="A15460" s="27"/>
    </row>
    <row r="15461" spans="1:1">
      <c r="A15461" s="27"/>
    </row>
    <row r="15462" spans="1:1">
      <c r="A15462" s="27"/>
    </row>
    <row r="15463" spans="1:1">
      <c r="A15463" s="27"/>
    </row>
    <row r="15464" spans="1:1">
      <c r="A15464" s="27"/>
    </row>
    <row r="15465" spans="1:1">
      <c r="A15465" s="27"/>
    </row>
    <row r="15466" spans="1:1">
      <c r="A15466" s="27"/>
    </row>
    <row r="15467" spans="1:1">
      <c r="A15467" s="27"/>
    </row>
    <row r="15468" spans="1:1">
      <c r="A15468" s="27"/>
    </row>
    <row r="15469" spans="1:1">
      <c r="A15469" s="27"/>
    </row>
    <row r="15470" spans="1:1">
      <c r="A15470" s="27"/>
    </row>
    <row r="15471" spans="1:1">
      <c r="A15471" s="27"/>
    </row>
    <row r="15472" spans="1:1">
      <c r="A15472" s="27"/>
    </row>
    <row r="15473" spans="1:1">
      <c r="A15473" s="27"/>
    </row>
    <row r="15474" spans="1:1">
      <c r="A15474" s="27"/>
    </row>
    <row r="15475" spans="1:1">
      <c r="A15475" s="27"/>
    </row>
    <row r="15476" spans="1:1">
      <c r="A15476" s="27"/>
    </row>
    <row r="15477" spans="1:1">
      <c r="A15477" s="27"/>
    </row>
    <row r="15478" spans="1:1">
      <c r="A15478" s="27"/>
    </row>
    <row r="15479" spans="1:1">
      <c r="A15479" s="27"/>
    </row>
    <row r="15480" spans="1:1">
      <c r="A15480" s="27"/>
    </row>
    <row r="15481" spans="1:1">
      <c r="A15481" s="27"/>
    </row>
    <row r="15482" spans="1:1">
      <c r="A15482" s="27"/>
    </row>
    <row r="15483" spans="1:1">
      <c r="A15483" s="27"/>
    </row>
    <row r="15484" spans="1:1">
      <c r="A15484" s="27"/>
    </row>
    <row r="15485" spans="1:1">
      <c r="A15485" s="27"/>
    </row>
    <row r="15486" spans="1:1">
      <c r="A15486" s="27"/>
    </row>
    <row r="15487" spans="1:1">
      <c r="A15487" s="27"/>
    </row>
    <row r="15488" spans="1:1">
      <c r="A15488" s="27"/>
    </row>
    <row r="15489" spans="1:1">
      <c r="A15489" s="27"/>
    </row>
    <row r="15490" spans="1:1">
      <c r="A15490" s="27"/>
    </row>
    <row r="15491" spans="1:1">
      <c r="A15491" s="27"/>
    </row>
    <row r="15492" spans="1:1">
      <c r="A15492" s="27"/>
    </row>
    <row r="15493" spans="1:1">
      <c r="A15493" s="27"/>
    </row>
    <row r="15494" spans="1:1">
      <c r="A15494" s="27"/>
    </row>
    <row r="15495" spans="1:1">
      <c r="A15495" s="27"/>
    </row>
    <row r="15496" spans="1:1">
      <c r="A15496" s="27"/>
    </row>
    <row r="15497" spans="1:1">
      <c r="A15497" s="27"/>
    </row>
    <row r="15498" spans="1:1">
      <c r="A15498" s="27"/>
    </row>
    <row r="15499" spans="1:1">
      <c r="A15499" s="27"/>
    </row>
    <row r="15500" spans="1:1">
      <c r="A15500" s="27"/>
    </row>
    <row r="15501" spans="1:1">
      <c r="A15501" s="27"/>
    </row>
    <row r="15502" spans="1:1">
      <c r="A15502" s="27"/>
    </row>
    <row r="15503" spans="1:1">
      <c r="A15503" s="27"/>
    </row>
    <row r="15504" spans="1:1">
      <c r="A15504" s="27"/>
    </row>
    <row r="15505" spans="1:1">
      <c r="A15505" s="27"/>
    </row>
    <row r="15506" spans="1:1">
      <c r="A15506" s="27"/>
    </row>
    <row r="15507" spans="1:1">
      <c r="A15507" s="27"/>
    </row>
    <row r="15508" spans="1:1">
      <c r="A15508" s="27"/>
    </row>
    <row r="15509" spans="1:1">
      <c r="A15509" s="27"/>
    </row>
    <row r="15510" spans="1:1">
      <c r="A15510" s="27"/>
    </row>
    <row r="15511" spans="1:1">
      <c r="A15511" s="27"/>
    </row>
    <row r="15512" spans="1:1">
      <c r="A15512" s="27"/>
    </row>
    <row r="15513" spans="1:1">
      <c r="A15513" s="27"/>
    </row>
    <row r="15514" spans="1:1">
      <c r="A15514" s="27"/>
    </row>
    <row r="15515" spans="1:1">
      <c r="A15515" s="27"/>
    </row>
    <row r="15516" spans="1:1">
      <c r="A15516" s="27"/>
    </row>
    <row r="15517" spans="1:1">
      <c r="A15517" s="27"/>
    </row>
    <row r="15518" spans="1:1">
      <c r="A15518" s="27"/>
    </row>
    <row r="15519" spans="1:1">
      <c r="A15519" s="27"/>
    </row>
    <row r="15520" spans="1:1">
      <c r="A15520" s="27"/>
    </row>
    <row r="15521" spans="1:1">
      <c r="A15521" s="27"/>
    </row>
    <row r="15522" spans="1:1">
      <c r="A15522" s="27"/>
    </row>
    <row r="15523" spans="1:1">
      <c r="A15523" s="27"/>
    </row>
    <row r="15524" spans="1:1">
      <c r="A15524" s="27"/>
    </row>
    <row r="15525" spans="1:1">
      <c r="A15525" s="27"/>
    </row>
    <row r="15526" spans="1:1">
      <c r="A15526" s="27"/>
    </row>
    <row r="15527" spans="1:1">
      <c r="A15527" s="27"/>
    </row>
    <row r="15528" spans="1:1">
      <c r="A15528" s="27"/>
    </row>
    <row r="15529" spans="1:1">
      <c r="A15529" s="27"/>
    </row>
    <row r="15530" spans="1:1">
      <c r="A15530" s="27"/>
    </row>
    <row r="15531" spans="1:1">
      <c r="A15531" s="27"/>
    </row>
    <row r="15532" spans="1:1">
      <c r="A15532" s="27"/>
    </row>
    <row r="15533" spans="1:1">
      <c r="A15533" s="27"/>
    </row>
    <row r="15534" spans="1:1">
      <c r="A15534" s="27"/>
    </row>
    <row r="15535" spans="1:1">
      <c r="A15535" s="27"/>
    </row>
    <row r="15536" spans="1:1">
      <c r="A15536" s="27"/>
    </row>
    <row r="15537" spans="1:1">
      <c r="A15537" s="27"/>
    </row>
    <row r="15538" spans="1:1">
      <c r="A15538" s="27"/>
    </row>
    <row r="15539" spans="1:1">
      <c r="A15539" s="27"/>
    </row>
    <row r="15540" spans="1:1">
      <c r="A15540" s="27"/>
    </row>
    <row r="15541" spans="1:1">
      <c r="A15541" s="27"/>
    </row>
    <row r="15542" spans="1:1">
      <c r="A15542" s="27"/>
    </row>
    <row r="15543" spans="1:1">
      <c r="A15543" s="27"/>
    </row>
    <row r="15544" spans="1:1">
      <c r="A15544" s="27"/>
    </row>
    <row r="15545" spans="1:1">
      <c r="A15545" s="27"/>
    </row>
    <row r="15546" spans="1:1">
      <c r="A15546" s="27"/>
    </row>
    <row r="15547" spans="1:1">
      <c r="A15547" s="27"/>
    </row>
    <row r="15548" spans="1:1">
      <c r="A15548" s="27"/>
    </row>
    <row r="15549" spans="1:1">
      <c r="A15549" s="27"/>
    </row>
    <row r="15550" spans="1:1">
      <c r="A15550" s="27"/>
    </row>
    <row r="15551" spans="1:1">
      <c r="A15551" s="27"/>
    </row>
    <row r="15552" spans="1:1">
      <c r="A15552" s="27"/>
    </row>
    <row r="15553" spans="1:1">
      <c r="A15553" s="27"/>
    </row>
    <row r="15554" spans="1:1">
      <c r="A15554" s="27"/>
    </row>
    <row r="15555" spans="1:1">
      <c r="A15555" s="27"/>
    </row>
    <row r="15556" spans="1:1">
      <c r="A15556" s="27"/>
    </row>
    <row r="15557" spans="1:1">
      <c r="A15557" s="27"/>
    </row>
    <row r="15558" spans="1:1">
      <c r="A15558" s="27"/>
    </row>
    <row r="15559" spans="1:1">
      <c r="A15559" s="27"/>
    </row>
    <row r="15560" spans="1:1">
      <c r="A15560" s="27"/>
    </row>
    <row r="15561" spans="1:1">
      <c r="A15561" s="27"/>
    </row>
    <row r="15562" spans="1:1">
      <c r="A15562" s="27"/>
    </row>
    <row r="15563" spans="1:1">
      <c r="A15563" s="27"/>
    </row>
    <row r="15564" spans="1:1">
      <c r="A15564" s="27"/>
    </row>
    <row r="15565" spans="1:1">
      <c r="A15565" s="27"/>
    </row>
    <row r="15566" spans="1:1">
      <c r="A15566" s="27"/>
    </row>
    <row r="15567" spans="1:1">
      <c r="A15567" s="27"/>
    </row>
    <row r="15568" spans="1:1">
      <c r="A15568" s="27"/>
    </row>
    <row r="15569" spans="1:1">
      <c r="A15569" s="27"/>
    </row>
    <row r="15570" spans="1:1">
      <c r="A15570" s="27"/>
    </row>
    <row r="15571" spans="1:1">
      <c r="A15571" s="27"/>
    </row>
    <row r="15572" spans="1:1">
      <c r="A15572" s="27"/>
    </row>
    <row r="15573" spans="1:1">
      <c r="A15573" s="27"/>
    </row>
    <row r="15574" spans="1:1">
      <c r="A15574" s="27"/>
    </row>
    <row r="15575" spans="1:1">
      <c r="A15575" s="27"/>
    </row>
    <row r="15576" spans="1:1">
      <c r="A15576" s="27"/>
    </row>
    <row r="15577" spans="1:1">
      <c r="A15577" s="27"/>
    </row>
    <row r="15578" spans="1:1">
      <c r="A15578" s="27"/>
    </row>
    <row r="15579" spans="1:1">
      <c r="A15579" s="27"/>
    </row>
    <row r="15580" spans="1:1">
      <c r="A15580" s="27"/>
    </row>
    <row r="15581" spans="1:1">
      <c r="A15581" s="27"/>
    </row>
    <row r="15582" spans="1:1">
      <c r="A15582" s="27"/>
    </row>
    <row r="15583" spans="1:1">
      <c r="A15583" s="27"/>
    </row>
    <row r="15584" spans="1:1">
      <c r="A15584" s="27"/>
    </row>
    <row r="15585" spans="1:1">
      <c r="A15585" s="27"/>
    </row>
    <row r="15586" spans="1:1">
      <c r="A15586" s="27"/>
    </row>
    <row r="15587" spans="1:1">
      <c r="A15587" s="27"/>
    </row>
    <row r="15588" spans="1:1">
      <c r="A15588" s="27"/>
    </row>
    <row r="15589" spans="1:1">
      <c r="A15589" s="27"/>
    </row>
    <row r="15590" spans="1:1">
      <c r="A15590" s="27"/>
    </row>
    <row r="15591" spans="1:1">
      <c r="A15591" s="27"/>
    </row>
    <row r="15592" spans="1:1">
      <c r="A15592" s="27"/>
    </row>
    <row r="15593" spans="1:1">
      <c r="A15593" s="27"/>
    </row>
    <row r="15594" spans="1:1">
      <c r="A15594" s="27"/>
    </row>
    <row r="15595" spans="1:1">
      <c r="A15595" s="27"/>
    </row>
    <row r="15596" spans="1:1">
      <c r="A15596" s="27"/>
    </row>
    <row r="15597" spans="1:1">
      <c r="A15597" s="27"/>
    </row>
    <row r="15598" spans="1:1">
      <c r="A15598" s="27"/>
    </row>
    <row r="15599" spans="1:1">
      <c r="A15599" s="27"/>
    </row>
    <row r="15600" spans="1:1">
      <c r="A15600" s="27"/>
    </row>
    <row r="15601" spans="1:1">
      <c r="A15601" s="27"/>
    </row>
    <row r="15602" spans="1:1">
      <c r="A15602" s="27"/>
    </row>
    <row r="15603" spans="1:1">
      <c r="A15603" s="27"/>
    </row>
    <row r="15604" spans="1:1">
      <c r="A15604" s="27"/>
    </row>
    <row r="15605" spans="1:1">
      <c r="A15605" s="27"/>
    </row>
    <row r="15606" spans="1:1">
      <c r="A15606" s="27"/>
    </row>
    <row r="15607" spans="1:1">
      <c r="A15607" s="27"/>
    </row>
    <row r="15608" spans="1:1">
      <c r="A15608" s="27"/>
    </row>
    <row r="15609" spans="1:1">
      <c r="A15609" s="27"/>
    </row>
    <row r="15610" spans="1:1">
      <c r="A15610" s="27"/>
    </row>
    <row r="15611" spans="1:1">
      <c r="A15611" s="27"/>
    </row>
    <row r="15612" spans="1:1">
      <c r="A15612" s="27"/>
    </row>
    <row r="15613" spans="1:1">
      <c r="A15613" s="27"/>
    </row>
    <row r="15614" spans="1:1">
      <c r="A15614" s="27"/>
    </row>
    <row r="15615" spans="1:1">
      <c r="A15615" s="27"/>
    </row>
    <row r="15616" spans="1:1">
      <c r="A15616" s="27"/>
    </row>
    <row r="15617" spans="1:1">
      <c r="A15617" s="27"/>
    </row>
    <row r="15618" spans="1:1">
      <c r="A15618" s="27"/>
    </row>
    <row r="15619" spans="1:1">
      <c r="A15619" s="27"/>
    </row>
    <row r="15620" spans="1:1">
      <c r="A15620" s="27"/>
    </row>
    <row r="15621" spans="1:1">
      <c r="A15621" s="27"/>
    </row>
    <row r="15622" spans="1:1">
      <c r="A15622" s="27"/>
    </row>
    <row r="15623" spans="1:1">
      <c r="A15623" s="27"/>
    </row>
    <row r="15624" spans="1:1">
      <c r="A15624" s="27"/>
    </row>
    <row r="15625" spans="1:1">
      <c r="A15625" s="27"/>
    </row>
    <row r="15626" spans="1:1">
      <c r="A15626" s="27"/>
    </row>
    <row r="15627" spans="1:1">
      <c r="A15627" s="27"/>
    </row>
    <row r="15628" spans="1:1">
      <c r="A15628" s="27"/>
    </row>
    <row r="15629" spans="1:1">
      <c r="A15629" s="27"/>
    </row>
    <row r="15630" spans="1:1">
      <c r="A15630" s="27"/>
    </row>
    <row r="15631" spans="1:1">
      <c r="A15631" s="27"/>
    </row>
    <row r="15632" spans="1:1">
      <c r="A15632" s="27"/>
    </row>
    <row r="15633" spans="1:1">
      <c r="A15633" s="27"/>
    </row>
    <row r="15634" spans="1:1">
      <c r="A15634" s="27"/>
    </row>
    <row r="15635" spans="1:1">
      <c r="A15635" s="27"/>
    </row>
    <row r="15636" spans="1:1">
      <c r="A15636" s="27"/>
    </row>
    <row r="15637" spans="1:1">
      <c r="A15637" s="27"/>
    </row>
    <row r="15638" spans="1:1">
      <c r="A15638" s="27"/>
    </row>
    <row r="15639" spans="1:1">
      <c r="A15639" s="27"/>
    </row>
    <row r="15640" spans="1:1">
      <c r="A15640" s="27"/>
    </row>
    <row r="15641" spans="1:1">
      <c r="A15641" s="27"/>
    </row>
    <row r="15642" spans="1:1">
      <c r="A15642" s="27"/>
    </row>
    <row r="15643" spans="1:1">
      <c r="A15643" s="27"/>
    </row>
    <row r="15644" spans="1:1">
      <c r="A15644" s="27"/>
    </row>
    <row r="15645" spans="1:1">
      <c r="A15645" s="27"/>
    </row>
    <row r="15646" spans="1:1">
      <c r="A15646" s="27"/>
    </row>
    <row r="15647" spans="1:1">
      <c r="A15647" s="27"/>
    </row>
    <row r="15648" spans="1:1">
      <c r="A15648" s="27"/>
    </row>
    <row r="15649" spans="1:1">
      <c r="A15649" s="27"/>
    </row>
    <row r="15650" spans="1:1">
      <c r="A15650" s="27"/>
    </row>
    <row r="15651" spans="1:1">
      <c r="A15651" s="27"/>
    </row>
    <row r="15652" spans="1:1">
      <c r="A15652" s="27"/>
    </row>
    <row r="15653" spans="1:1">
      <c r="A15653" s="27"/>
    </row>
    <row r="15654" spans="1:1">
      <c r="A15654" s="27"/>
    </row>
    <row r="15655" spans="1:1">
      <c r="A15655" s="27"/>
    </row>
    <row r="15656" spans="1:1">
      <c r="A15656" s="27"/>
    </row>
    <row r="15657" spans="1:1">
      <c r="A15657" s="27"/>
    </row>
    <row r="15658" spans="1:1">
      <c r="A15658" s="27"/>
    </row>
    <row r="15659" spans="1:1">
      <c r="A15659" s="27"/>
    </row>
    <row r="15660" spans="1:1">
      <c r="A15660" s="27"/>
    </row>
    <row r="15661" spans="1:1">
      <c r="A15661" s="27"/>
    </row>
    <row r="15662" spans="1:1">
      <c r="A15662" s="27"/>
    </row>
    <row r="15663" spans="1:1">
      <c r="A15663" s="27"/>
    </row>
    <row r="15664" spans="1:1">
      <c r="A15664" s="27"/>
    </row>
    <row r="15665" spans="1:1">
      <c r="A15665" s="27"/>
    </row>
    <row r="15666" spans="1:1">
      <c r="A15666" s="27"/>
    </row>
    <row r="15667" spans="1:1">
      <c r="A15667" s="27"/>
    </row>
    <row r="15668" spans="1:1">
      <c r="A15668" s="27"/>
    </row>
    <row r="15669" spans="1:1">
      <c r="A15669" s="27"/>
    </row>
    <row r="15670" spans="1:1">
      <c r="A15670" s="27"/>
    </row>
    <row r="15671" spans="1:1">
      <c r="A15671" s="27"/>
    </row>
    <row r="15672" spans="1:1">
      <c r="A15672" s="27"/>
    </row>
    <row r="15673" spans="1:1">
      <c r="A15673" s="27"/>
    </row>
    <row r="15674" spans="1:1">
      <c r="A15674" s="27"/>
    </row>
    <row r="15675" spans="1:1">
      <c r="A15675" s="27"/>
    </row>
    <row r="15676" spans="1:1">
      <c r="A15676" s="27"/>
    </row>
    <row r="15677" spans="1:1">
      <c r="A15677" s="27"/>
    </row>
    <row r="15678" spans="1:1">
      <c r="A15678" s="27"/>
    </row>
    <row r="15679" spans="1:1">
      <c r="A15679" s="27"/>
    </row>
    <row r="15680" spans="1:1">
      <c r="A15680" s="27"/>
    </row>
    <row r="15681" spans="1:1">
      <c r="A15681" s="27"/>
    </row>
    <row r="15682" spans="1:1">
      <c r="A15682" s="27"/>
    </row>
    <row r="15683" spans="1:1">
      <c r="A15683" s="27"/>
    </row>
    <row r="15684" spans="1:1">
      <c r="A15684" s="27"/>
    </row>
    <row r="15685" spans="1:1">
      <c r="A15685" s="27"/>
    </row>
    <row r="15686" spans="1:1">
      <c r="A15686" s="27"/>
    </row>
    <row r="15687" spans="1:1">
      <c r="A15687" s="27"/>
    </row>
    <row r="15688" spans="1:1">
      <c r="A15688" s="27"/>
    </row>
    <row r="15689" spans="1:1">
      <c r="A15689" s="27"/>
    </row>
    <row r="15690" spans="1:1">
      <c r="A15690" s="27"/>
    </row>
    <row r="15691" spans="1:1">
      <c r="A15691" s="27"/>
    </row>
    <row r="15692" spans="1:1">
      <c r="A15692" s="27"/>
    </row>
    <row r="15693" spans="1:1">
      <c r="A15693" s="27"/>
    </row>
    <row r="15694" spans="1:1">
      <c r="A15694" s="27"/>
    </row>
    <row r="15695" spans="1:1">
      <c r="A15695" s="27"/>
    </row>
    <row r="15696" spans="1:1">
      <c r="A15696" s="27"/>
    </row>
    <row r="15697" spans="1:1">
      <c r="A15697" s="27"/>
    </row>
    <row r="15698" spans="1:1">
      <c r="A15698" s="27"/>
    </row>
    <row r="15699" spans="1:1">
      <c r="A15699" s="27"/>
    </row>
    <row r="15700" spans="1:1">
      <c r="A15700" s="27"/>
    </row>
    <row r="15701" spans="1:1">
      <c r="A15701" s="27"/>
    </row>
    <row r="15702" spans="1:1">
      <c r="A15702" s="27"/>
    </row>
    <row r="15703" spans="1:1">
      <c r="A15703" s="27"/>
    </row>
    <row r="15704" spans="1:1">
      <c r="A15704" s="27"/>
    </row>
    <row r="15705" spans="1:1">
      <c r="A15705" s="27"/>
    </row>
    <row r="15706" spans="1:1">
      <c r="A15706" s="27"/>
    </row>
    <row r="15707" spans="1:1">
      <c r="A15707" s="27"/>
    </row>
    <row r="15708" spans="1:1">
      <c r="A15708" s="27"/>
    </row>
    <row r="15709" spans="1:1">
      <c r="A15709" s="27"/>
    </row>
    <row r="15710" spans="1:1">
      <c r="A15710" s="27"/>
    </row>
    <row r="15711" spans="1:1">
      <c r="A15711" s="27"/>
    </row>
    <row r="15712" spans="1:1">
      <c r="A15712" s="27"/>
    </row>
    <row r="15713" spans="1:1">
      <c r="A15713" s="27"/>
    </row>
    <row r="15714" spans="1:1">
      <c r="A15714" s="27"/>
    </row>
    <row r="15715" spans="1:1">
      <c r="A15715" s="27"/>
    </row>
    <row r="15716" spans="1:1">
      <c r="A15716" s="27"/>
    </row>
    <row r="15717" spans="1:1">
      <c r="A15717" s="27"/>
    </row>
    <row r="15718" spans="1:1">
      <c r="A15718" s="27"/>
    </row>
    <row r="15719" spans="1:1">
      <c r="A15719" s="27"/>
    </row>
    <row r="15720" spans="1:1">
      <c r="A15720" s="27"/>
    </row>
    <row r="15721" spans="1:1">
      <c r="A15721" s="27"/>
    </row>
    <row r="15722" spans="1:1">
      <c r="A15722" s="27"/>
    </row>
    <row r="15723" spans="1:1">
      <c r="A15723" s="27"/>
    </row>
    <row r="15724" spans="1:1">
      <c r="A15724" s="27"/>
    </row>
    <row r="15725" spans="1:1">
      <c r="A15725" s="27"/>
    </row>
    <row r="15726" spans="1:1">
      <c r="A15726" s="27"/>
    </row>
    <row r="15727" spans="1:1">
      <c r="A15727" s="27"/>
    </row>
    <row r="15728" spans="1:1">
      <c r="A15728" s="27"/>
    </row>
    <row r="15729" spans="1:1">
      <c r="A15729" s="27"/>
    </row>
    <row r="15730" spans="1:1">
      <c r="A15730" s="27"/>
    </row>
    <row r="15731" spans="1:1">
      <c r="A15731" s="27"/>
    </row>
    <row r="15732" spans="1:1">
      <c r="A15732" s="27"/>
    </row>
    <row r="15733" spans="1:1">
      <c r="A15733" s="27"/>
    </row>
    <row r="15734" spans="1:1">
      <c r="A15734" s="27"/>
    </row>
    <row r="15735" spans="1:1">
      <c r="A15735" s="27"/>
    </row>
    <row r="15736" spans="1:1">
      <c r="A15736" s="27"/>
    </row>
    <row r="15737" spans="1:1">
      <c r="A15737" s="27"/>
    </row>
    <row r="15738" spans="1:1">
      <c r="A15738" s="27"/>
    </row>
    <row r="15739" spans="1:1">
      <c r="A15739" s="27"/>
    </row>
    <row r="15740" spans="1:1">
      <c r="A15740" s="27"/>
    </row>
    <row r="15741" spans="1:1">
      <c r="A15741" s="27"/>
    </row>
    <row r="15742" spans="1:1">
      <c r="A15742" s="27"/>
    </row>
    <row r="15743" spans="1:1">
      <c r="A15743" s="27"/>
    </row>
    <row r="15744" spans="1:1">
      <c r="A15744" s="27"/>
    </row>
    <row r="15745" spans="1:1">
      <c r="A15745" s="27"/>
    </row>
    <row r="15746" spans="1:1">
      <c r="A15746" s="27"/>
    </row>
    <row r="15747" spans="1:1">
      <c r="A15747" s="27"/>
    </row>
    <row r="15748" spans="1:1">
      <c r="A15748" s="27"/>
    </row>
    <row r="15749" spans="1:1">
      <c r="A15749" s="27"/>
    </row>
    <row r="15750" spans="1:1">
      <c r="A15750" s="27"/>
    </row>
    <row r="15751" spans="1:1">
      <c r="A15751" s="27"/>
    </row>
    <row r="15752" spans="1:1">
      <c r="A15752" s="27"/>
    </row>
    <row r="15753" spans="1:1">
      <c r="A15753" s="27"/>
    </row>
    <row r="15754" spans="1:1">
      <c r="A15754" s="27"/>
    </row>
    <row r="15755" spans="1:1">
      <c r="A15755" s="27"/>
    </row>
    <row r="15756" spans="1:1">
      <c r="A15756" s="27"/>
    </row>
    <row r="15757" spans="1:1">
      <c r="A15757" s="27"/>
    </row>
    <row r="15758" spans="1:1">
      <c r="A15758" s="27"/>
    </row>
    <row r="15759" spans="1:1">
      <c r="A15759" s="27"/>
    </row>
    <row r="15760" spans="1:1">
      <c r="A15760" s="27"/>
    </row>
    <row r="15761" spans="1:1">
      <c r="A15761" s="27"/>
    </row>
    <row r="15762" spans="1:1">
      <c r="A15762" s="27"/>
    </row>
    <row r="15763" spans="1:1">
      <c r="A15763" s="27"/>
    </row>
    <row r="15764" spans="1:1">
      <c r="A15764" s="27"/>
    </row>
    <row r="15765" spans="1:1">
      <c r="A15765" s="27"/>
    </row>
    <row r="15766" spans="1:1">
      <c r="A15766" s="27"/>
    </row>
    <row r="15767" spans="1:1">
      <c r="A15767" s="27"/>
    </row>
    <row r="15768" spans="1:1">
      <c r="A15768" s="27"/>
    </row>
    <row r="15769" spans="1:1">
      <c r="A15769" s="27"/>
    </row>
    <row r="15770" spans="1:1">
      <c r="A15770" s="27"/>
    </row>
    <row r="15771" spans="1:1">
      <c r="A15771" s="27"/>
    </row>
    <row r="15772" spans="1:1">
      <c r="A15772" s="27"/>
    </row>
    <row r="15773" spans="1:1">
      <c r="A15773" s="27"/>
    </row>
    <row r="15774" spans="1:1">
      <c r="A15774" s="27"/>
    </row>
    <row r="15775" spans="1:1">
      <c r="A15775" s="27"/>
    </row>
    <row r="15776" spans="1:1">
      <c r="A15776" s="27"/>
    </row>
    <row r="15777" spans="1:1">
      <c r="A15777" s="27"/>
    </row>
    <row r="15778" spans="1:1">
      <c r="A15778" s="27"/>
    </row>
    <row r="15779" spans="1:1">
      <c r="A15779" s="27"/>
    </row>
    <row r="15780" spans="1:1">
      <c r="A15780" s="27"/>
    </row>
    <row r="15781" spans="1:1">
      <c r="A15781" s="27"/>
    </row>
    <row r="15782" spans="1:1">
      <c r="A15782" s="27"/>
    </row>
    <row r="15783" spans="1:1">
      <c r="A15783" s="27"/>
    </row>
    <row r="15784" spans="1:1">
      <c r="A15784" s="27"/>
    </row>
    <row r="15785" spans="1:1">
      <c r="A15785" s="27"/>
    </row>
    <row r="15786" spans="1:1">
      <c r="A15786" s="27"/>
    </row>
    <row r="15787" spans="1:1">
      <c r="A15787" s="27"/>
    </row>
    <row r="15788" spans="1:1">
      <c r="A15788" s="27"/>
    </row>
    <row r="15789" spans="1:1">
      <c r="A15789" s="27"/>
    </row>
    <row r="15790" spans="1:1">
      <c r="A15790" s="27"/>
    </row>
    <row r="15791" spans="1:1">
      <c r="A15791" s="27"/>
    </row>
    <row r="15792" spans="1:1">
      <c r="A15792" s="27"/>
    </row>
    <row r="15793" spans="1:1">
      <c r="A15793" s="27"/>
    </row>
    <row r="15794" spans="1:1">
      <c r="A15794" s="27"/>
    </row>
    <row r="15795" spans="1:1">
      <c r="A15795" s="27"/>
    </row>
    <row r="15796" spans="1:1">
      <c r="A15796" s="27"/>
    </row>
    <row r="15797" spans="1:1">
      <c r="A15797" s="27"/>
    </row>
    <row r="15798" spans="1:1">
      <c r="A15798" s="27"/>
    </row>
    <row r="15799" spans="1:1">
      <c r="A15799" s="27"/>
    </row>
    <row r="15800" spans="1:1">
      <c r="A15800" s="27"/>
    </row>
    <row r="15801" spans="1:1">
      <c r="A15801" s="27"/>
    </row>
    <row r="15802" spans="1:1">
      <c r="A15802" s="27"/>
    </row>
    <row r="15803" spans="1:1">
      <c r="A15803" s="27"/>
    </row>
    <row r="15804" spans="1:1">
      <c r="A15804" s="27"/>
    </row>
    <row r="15805" spans="1:1">
      <c r="A15805" s="27"/>
    </row>
    <row r="15806" spans="1:1">
      <c r="A15806" s="27"/>
    </row>
    <row r="15807" spans="1:1">
      <c r="A15807" s="27"/>
    </row>
    <row r="15808" spans="1:1">
      <c r="A15808" s="27"/>
    </row>
    <row r="15809" spans="1:1">
      <c r="A15809" s="27"/>
    </row>
    <row r="15810" spans="1:1">
      <c r="A15810" s="27"/>
    </row>
    <row r="15811" spans="1:1">
      <c r="A15811" s="27"/>
    </row>
    <row r="15812" spans="1:1">
      <c r="A15812" s="27"/>
    </row>
    <row r="15813" spans="1:1">
      <c r="A15813" s="27"/>
    </row>
    <row r="15814" spans="1:1">
      <c r="A15814" s="27"/>
    </row>
    <row r="15815" spans="1:1">
      <c r="A15815" s="27"/>
    </row>
    <row r="15816" spans="1:1">
      <c r="A15816" s="27"/>
    </row>
    <row r="15817" spans="1:1">
      <c r="A15817" s="27"/>
    </row>
    <row r="15818" spans="1:1">
      <c r="A15818" s="27"/>
    </row>
    <row r="15819" spans="1:1">
      <c r="A15819" s="27"/>
    </row>
    <row r="15820" spans="1:1">
      <c r="A15820" s="27"/>
    </row>
    <row r="15821" spans="1:1">
      <c r="A15821" s="27"/>
    </row>
    <row r="15822" spans="1:1">
      <c r="A15822" s="27"/>
    </row>
    <row r="15823" spans="1:1">
      <c r="A15823" s="27"/>
    </row>
    <row r="15824" spans="1:1">
      <c r="A15824" s="27"/>
    </row>
    <row r="15825" spans="1:1">
      <c r="A15825" s="27"/>
    </row>
    <row r="15826" spans="1:1">
      <c r="A15826" s="27"/>
    </row>
    <row r="15827" spans="1:1">
      <c r="A15827" s="27"/>
    </row>
    <row r="15828" spans="1:1">
      <c r="A15828" s="27"/>
    </row>
    <row r="15829" spans="1:1">
      <c r="A15829" s="27"/>
    </row>
    <row r="15830" spans="1:1">
      <c r="A15830" s="27"/>
    </row>
    <row r="15831" spans="1:1">
      <c r="A15831" s="27"/>
    </row>
    <row r="15832" spans="1:1">
      <c r="A15832" s="27"/>
    </row>
    <row r="15833" spans="1:1">
      <c r="A15833" s="27"/>
    </row>
    <row r="15834" spans="1:1">
      <c r="A15834" s="27"/>
    </row>
    <row r="15835" spans="1:1">
      <c r="A15835" s="27"/>
    </row>
    <row r="15836" spans="1:1">
      <c r="A15836" s="27"/>
    </row>
    <row r="15837" spans="1:1">
      <c r="A15837" s="27"/>
    </row>
    <row r="15838" spans="1:1">
      <c r="A15838" s="27"/>
    </row>
    <row r="15839" spans="1:1">
      <c r="A15839" s="27"/>
    </row>
    <row r="15840" spans="1:1">
      <c r="A15840" s="27"/>
    </row>
    <row r="15841" spans="1:1">
      <c r="A15841" s="27"/>
    </row>
    <row r="15842" spans="1:1">
      <c r="A15842" s="27"/>
    </row>
    <row r="15843" spans="1:1">
      <c r="A15843" s="27"/>
    </row>
    <row r="15844" spans="1:1">
      <c r="A15844" s="27"/>
    </row>
    <row r="15845" spans="1:1">
      <c r="A15845" s="27"/>
    </row>
    <row r="15846" spans="1:1">
      <c r="A15846" s="27"/>
    </row>
    <row r="15847" spans="1:1">
      <c r="A15847" s="27"/>
    </row>
    <row r="15848" spans="1:1">
      <c r="A15848" s="27"/>
    </row>
    <row r="15849" spans="1:1">
      <c r="A15849" s="27"/>
    </row>
    <row r="15850" spans="1:1">
      <c r="A15850" s="27"/>
    </row>
    <row r="15851" spans="1:1">
      <c r="A15851" s="27"/>
    </row>
    <row r="15852" spans="1:1">
      <c r="A15852" s="27"/>
    </row>
    <row r="15853" spans="1:1">
      <c r="A15853" s="27"/>
    </row>
    <row r="15854" spans="1:1">
      <c r="A15854" s="27"/>
    </row>
    <row r="15855" spans="1:1">
      <c r="A15855" s="27"/>
    </row>
    <row r="15856" spans="1:1">
      <c r="A15856" s="27"/>
    </row>
    <row r="15857" spans="1:1">
      <c r="A15857" s="27"/>
    </row>
    <row r="15858" spans="1:1">
      <c r="A15858" s="27"/>
    </row>
    <row r="15859" spans="1:1">
      <c r="A15859" s="27"/>
    </row>
    <row r="15860" spans="1:1">
      <c r="A15860" s="27"/>
    </row>
    <row r="15861" spans="1:1">
      <c r="A15861" s="27"/>
    </row>
    <row r="15862" spans="1:1">
      <c r="A15862" s="27"/>
    </row>
    <row r="15863" spans="1:1">
      <c r="A15863" s="27"/>
    </row>
    <row r="15864" spans="1:1">
      <c r="A15864" s="27"/>
    </row>
    <row r="15865" spans="1:1">
      <c r="A15865" s="27"/>
    </row>
    <row r="15866" spans="1:1">
      <c r="A15866" s="27"/>
    </row>
    <row r="15867" spans="1:1">
      <c r="A15867" s="27"/>
    </row>
    <row r="15868" spans="1:1">
      <c r="A15868" s="27"/>
    </row>
    <row r="15869" spans="1:1">
      <c r="A15869" s="27"/>
    </row>
    <row r="15870" spans="1:1">
      <c r="A15870" s="27"/>
    </row>
    <row r="15871" spans="1:1">
      <c r="A15871" s="27"/>
    </row>
    <row r="15872" spans="1:1">
      <c r="A15872" s="27"/>
    </row>
    <row r="15873" spans="1:1">
      <c r="A15873" s="27"/>
    </row>
    <row r="15874" spans="1:1">
      <c r="A15874" s="27"/>
    </row>
    <row r="15875" spans="1:1">
      <c r="A15875" s="27"/>
    </row>
    <row r="15876" spans="1:1">
      <c r="A15876" s="27"/>
    </row>
    <row r="15877" spans="1:1">
      <c r="A15877" s="27"/>
    </row>
    <row r="15878" spans="1:1">
      <c r="A15878" s="27"/>
    </row>
    <row r="15879" spans="1:1">
      <c r="A15879" s="27"/>
    </row>
    <row r="15880" spans="1:1">
      <c r="A15880" s="27"/>
    </row>
    <row r="15881" spans="1:1">
      <c r="A15881" s="27"/>
    </row>
    <row r="15882" spans="1:1">
      <c r="A15882" s="27"/>
    </row>
    <row r="15883" spans="1:1">
      <c r="A15883" s="27"/>
    </row>
    <row r="15884" spans="1:1">
      <c r="A15884" s="27"/>
    </row>
    <row r="15885" spans="1:1">
      <c r="A15885" s="27"/>
    </row>
    <row r="15886" spans="1:1">
      <c r="A15886" s="27"/>
    </row>
    <row r="15887" spans="1:1">
      <c r="A15887" s="27"/>
    </row>
    <row r="15888" spans="1:1">
      <c r="A15888" s="27"/>
    </row>
    <row r="15889" spans="1:1">
      <c r="A15889" s="27"/>
    </row>
    <row r="15890" spans="1:1">
      <c r="A15890" s="27"/>
    </row>
    <row r="15891" spans="1:1">
      <c r="A15891" s="27"/>
    </row>
    <row r="15892" spans="1:1">
      <c r="A15892" s="27"/>
    </row>
    <row r="15893" spans="1:1">
      <c r="A15893" s="27"/>
    </row>
    <row r="15894" spans="1:1">
      <c r="A15894" s="27"/>
    </row>
    <row r="15895" spans="1:1">
      <c r="A15895" s="27"/>
    </row>
    <row r="15896" spans="1:1">
      <c r="A15896" s="27"/>
    </row>
    <row r="15897" spans="1:1">
      <c r="A15897" s="27"/>
    </row>
    <row r="15898" spans="1:1">
      <c r="A15898" s="27"/>
    </row>
    <row r="15899" spans="1:1">
      <c r="A15899" s="27"/>
    </row>
    <row r="15900" spans="1:1">
      <c r="A15900" s="27"/>
    </row>
    <row r="15901" spans="1:1">
      <c r="A15901" s="27"/>
    </row>
    <row r="15902" spans="1:1">
      <c r="A15902" s="27"/>
    </row>
    <row r="15903" spans="1:1">
      <c r="A15903" s="27"/>
    </row>
    <row r="15904" spans="1:1">
      <c r="A15904" s="27"/>
    </row>
    <row r="15905" spans="1:1">
      <c r="A15905" s="27"/>
    </row>
    <row r="15906" spans="1:1">
      <c r="A15906" s="27"/>
    </row>
    <row r="15907" spans="1:1">
      <c r="A15907" s="27"/>
    </row>
    <row r="15908" spans="1:1">
      <c r="A15908" s="27"/>
    </row>
    <row r="15909" spans="1:1">
      <c r="A15909" s="27"/>
    </row>
    <row r="15910" spans="1:1">
      <c r="A15910" s="27"/>
    </row>
    <row r="15911" spans="1:1">
      <c r="A15911" s="27"/>
    </row>
    <row r="15912" spans="1:1">
      <c r="A15912" s="27"/>
    </row>
    <row r="15913" spans="1:1">
      <c r="A15913" s="27"/>
    </row>
    <row r="15914" spans="1:1">
      <c r="A15914" s="27"/>
    </row>
    <row r="15915" spans="1:1">
      <c r="A15915" s="27"/>
    </row>
    <row r="15916" spans="1:1">
      <c r="A15916" s="27"/>
    </row>
    <row r="15917" spans="1:1">
      <c r="A15917" s="27"/>
    </row>
    <row r="15918" spans="1:1">
      <c r="A15918" s="27"/>
    </row>
    <row r="15919" spans="1:1">
      <c r="A15919" s="27"/>
    </row>
    <row r="15920" spans="1:1">
      <c r="A15920" s="27"/>
    </row>
    <row r="15921" spans="1:1">
      <c r="A15921" s="27"/>
    </row>
    <row r="15922" spans="1:1">
      <c r="A15922" s="27"/>
    </row>
    <row r="15923" spans="1:1">
      <c r="A15923" s="27"/>
    </row>
    <row r="15924" spans="1:1">
      <c r="A15924" s="27"/>
    </row>
    <row r="15925" spans="1:1">
      <c r="A15925" s="27"/>
    </row>
    <row r="15926" spans="1:1">
      <c r="A15926" s="27"/>
    </row>
    <row r="15927" spans="1:1">
      <c r="A15927" s="27"/>
    </row>
    <row r="15928" spans="1:1">
      <c r="A15928" s="27"/>
    </row>
    <row r="15929" spans="1:1">
      <c r="A15929" s="27"/>
    </row>
    <row r="15930" spans="1:1">
      <c r="A15930" s="27"/>
    </row>
    <row r="15931" spans="1:1">
      <c r="A15931" s="27"/>
    </row>
    <row r="15932" spans="1:1">
      <c r="A15932" s="27"/>
    </row>
    <row r="15933" spans="1:1">
      <c r="A15933" s="27"/>
    </row>
    <row r="15934" spans="1:1">
      <c r="A15934" s="27"/>
    </row>
    <row r="15935" spans="1:1">
      <c r="A15935" s="27"/>
    </row>
    <row r="15936" spans="1:1">
      <c r="A15936" s="27"/>
    </row>
    <row r="15937" spans="1:1">
      <c r="A15937" s="27"/>
    </row>
    <row r="15938" spans="1:1">
      <c r="A15938" s="27"/>
    </row>
    <row r="15939" spans="1:1">
      <c r="A15939" s="27"/>
    </row>
    <row r="15940" spans="1:1">
      <c r="A15940" s="27"/>
    </row>
    <row r="15941" spans="1:1">
      <c r="A15941" s="27"/>
    </row>
    <row r="15942" spans="1:1">
      <c r="A15942" s="27"/>
    </row>
    <row r="15943" spans="1:1">
      <c r="A15943" s="27"/>
    </row>
    <row r="15944" spans="1:1">
      <c r="A15944" s="27"/>
    </row>
    <row r="15945" spans="1:1">
      <c r="A15945" s="27"/>
    </row>
    <row r="15946" spans="1:1">
      <c r="A15946" s="27"/>
    </row>
    <row r="15947" spans="1:1">
      <c r="A15947" s="27"/>
    </row>
    <row r="15948" spans="1:1">
      <c r="A15948" s="27"/>
    </row>
    <row r="15949" spans="1:1">
      <c r="A15949" s="27"/>
    </row>
    <row r="15950" spans="1:1">
      <c r="A15950" s="27"/>
    </row>
    <row r="15951" spans="1:1">
      <c r="A15951" s="27"/>
    </row>
    <row r="15952" spans="1:1">
      <c r="A15952" s="27"/>
    </row>
    <row r="15953" spans="1:1">
      <c r="A15953" s="27"/>
    </row>
    <row r="15954" spans="1:1">
      <c r="A15954" s="27"/>
    </row>
    <row r="15955" spans="1:1">
      <c r="A15955" s="27"/>
    </row>
    <row r="15956" spans="1:1">
      <c r="A15956" s="27"/>
    </row>
    <row r="15957" spans="1:1">
      <c r="A15957" s="27"/>
    </row>
    <row r="15958" spans="1:1">
      <c r="A15958" s="27"/>
    </row>
    <row r="15959" spans="1:1">
      <c r="A15959" s="27"/>
    </row>
    <row r="15960" spans="1:1">
      <c r="A15960" s="27"/>
    </row>
    <row r="15961" spans="1:1">
      <c r="A15961" s="27"/>
    </row>
    <row r="15962" spans="1:1">
      <c r="A15962" s="27"/>
    </row>
    <row r="15963" spans="1:1">
      <c r="A15963" s="27"/>
    </row>
    <row r="15964" spans="1:1">
      <c r="A15964" s="27"/>
    </row>
    <row r="15965" spans="1:1">
      <c r="A15965" s="27"/>
    </row>
    <row r="15966" spans="1:1">
      <c r="A15966" s="27"/>
    </row>
    <row r="15967" spans="1:1">
      <c r="A15967" s="27"/>
    </row>
    <row r="15968" spans="1:1">
      <c r="A15968" s="27"/>
    </row>
    <row r="15969" spans="1:1">
      <c r="A15969" s="27"/>
    </row>
    <row r="15970" spans="1:1">
      <c r="A15970" s="27"/>
    </row>
    <row r="15971" spans="1:1">
      <c r="A15971" s="27"/>
    </row>
    <row r="15972" spans="1:1">
      <c r="A15972" s="27"/>
    </row>
    <row r="15973" spans="1:1">
      <c r="A15973" s="27"/>
    </row>
    <row r="15974" spans="1:1">
      <c r="A15974" s="27"/>
    </row>
    <row r="15975" spans="1:1">
      <c r="A15975" s="27"/>
    </row>
    <row r="15976" spans="1:1">
      <c r="A15976" s="27"/>
    </row>
    <row r="15977" spans="1:1">
      <c r="A15977" s="27"/>
    </row>
    <row r="15978" spans="1:1">
      <c r="A15978" s="27"/>
    </row>
    <row r="15979" spans="1:1">
      <c r="A15979" s="27"/>
    </row>
    <row r="15980" spans="1:1">
      <c r="A15980" s="27"/>
    </row>
    <row r="15981" spans="1:1">
      <c r="A15981" s="27"/>
    </row>
    <row r="15982" spans="1:1">
      <c r="A15982" s="27"/>
    </row>
    <row r="15983" spans="1:1">
      <c r="A15983" s="27"/>
    </row>
    <row r="15984" spans="1:1">
      <c r="A15984" s="27"/>
    </row>
    <row r="15985" spans="1:1">
      <c r="A15985" s="27"/>
    </row>
    <row r="15986" spans="1:1">
      <c r="A15986" s="27"/>
    </row>
    <row r="15987" spans="1:1">
      <c r="A15987" s="27"/>
    </row>
    <row r="15988" spans="1:1">
      <c r="A15988" s="27"/>
    </row>
    <row r="15989" spans="1:1">
      <c r="A15989" s="27"/>
    </row>
    <row r="15990" spans="1:1">
      <c r="A15990" s="27"/>
    </row>
    <row r="15991" spans="1:1">
      <c r="A15991" s="27"/>
    </row>
    <row r="15992" spans="1:1">
      <c r="A15992" s="27"/>
    </row>
    <row r="15993" spans="1:1">
      <c r="A15993" s="27"/>
    </row>
    <row r="15994" spans="1:1">
      <c r="A15994" s="27"/>
    </row>
    <row r="15995" spans="1:1">
      <c r="A15995" s="27"/>
    </row>
    <row r="15996" spans="1:1">
      <c r="A15996" s="27"/>
    </row>
    <row r="15997" spans="1:1">
      <c r="A15997" s="27"/>
    </row>
    <row r="15998" spans="1:1">
      <c r="A15998" s="27"/>
    </row>
    <row r="15999" spans="1:1">
      <c r="A15999" s="27"/>
    </row>
    <row r="16000" spans="1:1">
      <c r="A16000" s="27"/>
    </row>
    <row r="16001" spans="1:1">
      <c r="A16001" s="27"/>
    </row>
    <row r="16002" spans="1:1">
      <c r="A16002" s="27"/>
    </row>
    <row r="16003" spans="1:1">
      <c r="A16003" s="27"/>
    </row>
    <row r="16004" spans="1:1">
      <c r="A16004" s="27"/>
    </row>
    <row r="16005" spans="1:1">
      <c r="A16005" s="27"/>
    </row>
    <row r="16006" spans="1:1">
      <c r="A16006" s="27"/>
    </row>
    <row r="16007" spans="1:1">
      <c r="A16007" s="27"/>
    </row>
    <row r="16008" spans="1:1">
      <c r="A16008" s="27"/>
    </row>
    <row r="16009" spans="1:1">
      <c r="A16009" s="27"/>
    </row>
    <row r="16010" spans="1:1">
      <c r="A16010" s="27"/>
    </row>
    <row r="16011" spans="1:1">
      <c r="A16011" s="27"/>
    </row>
    <row r="16012" spans="1:1">
      <c r="A16012" s="27"/>
    </row>
    <row r="16013" spans="1:1">
      <c r="A16013" s="27"/>
    </row>
    <row r="16014" spans="1:1">
      <c r="A16014" s="27"/>
    </row>
    <row r="16015" spans="1:1">
      <c r="A16015" s="27"/>
    </row>
    <row r="16016" spans="1:1">
      <c r="A16016" s="27"/>
    </row>
    <row r="16017" spans="1:1">
      <c r="A16017" s="27"/>
    </row>
    <row r="16018" spans="1:1">
      <c r="A16018" s="27"/>
    </row>
    <row r="16019" spans="1:1">
      <c r="A16019" s="27"/>
    </row>
    <row r="16020" spans="1:1">
      <c r="A16020" s="27"/>
    </row>
    <row r="16021" spans="1:1">
      <c r="A16021" s="27"/>
    </row>
    <row r="16022" spans="1:1">
      <c r="A16022" s="27"/>
    </row>
    <row r="16023" spans="1:1">
      <c r="A16023" s="27"/>
    </row>
    <row r="16024" spans="1:1">
      <c r="A16024" s="27"/>
    </row>
    <row r="16025" spans="1:1">
      <c r="A16025" s="27"/>
    </row>
    <row r="16026" spans="1:1">
      <c r="A16026" s="27"/>
    </row>
    <row r="16027" spans="1:1">
      <c r="A16027" s="27"/>
    </row>
    <row r="16028" spans="1:1">
      <c r="A16028" s="27"/>
    </row>
    <row r="16029" spans="1:1">
      <c r="A16029" s="27"/>
    </row>
    <row r="16030" spans="1:1">
      <c r="A16030" s="27"/>
    </row>
    <row r="16031" spans="1:1">
      <c r="A16031" s="27"/>
    </row>
    <row r="16032" spans="1:1">
      <c r="A16032" s="27"/>
    </row>
    <row r="16033" spans="1:1">
      <c r="A16033" s="27"/>
    </row>
    <row r="16034" spans="1:1">
      <c r="A16034" s="27"/>
    </row>
    <row r="16035" spans="1:1">
      <c r="A16035" s="27"/>
    </row>
    <row r="16036" spans="1:1">
      <c r="A16036" s="27"/>
    </row>
    <row r="16037" spans="1:1">
      <c r="A16037" s="27"/>
    </row>
    <row r="16038" spans="1:1">
      <c r="A16038" s="27"/>
    </row>
    <row r="16039" spans="1:1">
      <c r="A16039" s="27"/>
    </row>
    <row r="16040" spans="1:1">
      <c r="A16040" s="27"/>
    </row>
    <row r="16041" spans="1:1">
      <c r="A16041" s="27"/>
    </row>
    <row r="16042" spans="1:1">
      <c r="A16042" s="27"/>
    </row>
    <row r="16043" spans="1:1">
      <c r="A16043" s="27"/>
    </row>
    <row r="16044" spans="1:1">
      <c r="A16044" s="27"/>
    </row>
    <row r="16045" spans="1:1">
      <c r="A16045" s="27"/>
    </row>
    <row r="16046" spans="1:1">
      <c r="A16046" s="27"/>
    </row>
    <row r="16047" spans="1:1">
      <c r="A16047" s="27"/>
    </row>
    <row r="16048" spans="1:1">
      <c r="A16048" s="27"/>
    </row>
    <row r="16049" spans="1:1">
      <c r="A16049" s="27"/>
    </row>
    <row r="16050" spans="1:1">
      <c r="A16050" s="27"/>
    </row>
    <row r="16051" spans="1:1">
      <c r="A16051" s="27"/>
    </row>
    <row r="16052" spans="1:1">
      <c r="A16052" s="27"/>
    </row>
    <row r="16053" spans="1:1">
      <c r="A16053" s="27"/>
    </row>
    <row r="16054" spans="1:1">
      <c r="A16054" s="27"/>
    </row>
    <row r="16055" spans="1:1">
      <c r="A16055" s="27"/>
    </row>
    <row r="16056" spans="1:1">
      <c r="A16056" s="27"/>
    </row>
    <row r="16057" spans="1:1">
      <c r="A16057" s="27"/>
    </row>
    <row r="16058" spans="1:1">
      <c r="A16058" s="27"/>
    </row>
    <row r="16059" spans="1:1">
      <c r="A16059" s="27"/>
    </row>
    <row r="16060" spans="1:1">
      <c r="A16060" s="27"/>
    </row>
    <row r="16061" spans="1:1">
      <c r="A16061" s="27"/>
    </row>
    <row r="16062" spans="1:1">
      <c r="A16062" s="27"/>
    </row>
    <row r="16063" spans="1:1">
      <c r="A16063" s="27"/>
    </row>
    <row r="16064" spans="1:1">
      <c r="A16064" s="27"/>
    </row>
    <row r="16065" spans="1:1">
      <c r="A16065" s="27"/>
    </row>
    <row r="16066" spans="1:1">
      <c r="A16066" s="27"/>
    </row>
    <row r="16067" spans="1:1">
      <c r="A16067" s="27"/>
    </row>
    <row r="16068" spans="1:1">
      <c r="A16068" s="27"/>
    </row>
    <row r="16069" spans="1:1">
      <c r="A16069" s="27"/>
    </row>
    <row r="16070" spans="1:1">
      <c r="A16070" s="27"/>
    </row>
    <row r="16071" spans="1:1">
      <c r="A16071" s="27"/>
    </row>
    <row r="16072" spans="1:1">
      <c r="A16072" s="27"/>
    </row>
    <row r="16073" spans="1:1">
      <c r="A16073" s="27"/>
    </row>
    <row r="16074" spans="1:1">
      <c r="A16074" s="27"/>
    </row>
    <row r="16075" spans="1:1">
      <c r="A16075" s="27"/>
    </row>
    <row r="16076" spans="1:1">
      <c r="A16076" s="27"/>
    </row>
    <row r="16077" spans="1:1">
      <c r="A16077" s="27"/>
    </row>
    <row r="16078" spans="1:1">
      <c r="A16078" s="27"/>
    </row>
    <row r="16079" spans="1:1">
      <c r="A16079" s="27"/>
    </row>
    <row r="16080" spans="1:1">
      <c r="A16080" s="27"/>
    </row>
    <row r="16081" spans="1:1">
      <c r="A16081" s="27"/>
    </row>
    <row r="16082" spans="1:1">
      <c r="A16082" s="27"/>
    </row>
    <row r="16083" spans="1:1">
      <c r="A16083" s="27"/>
    </row>
    <row r="16084" spans="1:1">
      <c r="A16084" s="27"/>
    </row>
    <row r="16085" spans="1:1">
      <c r="A16085" s="27"/>
    </row>
    <row r="16086" spans="1:1">
      <c r="A16086" s="27"/>
    </row>
    <row r="16087" spans="1:1">
      <c r="A16087" s="27"/>
    </row>
    <row r="16088" spans="1:1">
      <c r="A16088" s="27"/>
    </row>
    <row r="16089" spans="1:1">
      <c r="A16089" s="27"/>
    </row>
    <row r="16090" spans="1:1">
      <c r="A16090" s="27"/>
    </row>
    <row r="16091" spans="1:1">
      <c r="A16091" s="27"/>
    </row>
    <row r="16092" spans="1:1">
      <c r="A16092" s="27"/>
    </row>
    <row r="16093" spans="1:1">
      <c r="A16093" s="27"/>
    </row>
    <row r="16094" spans="1:1">
      <c r="A16094" s="27"/>
    </row>
    <row r="16095" spans="1:1">
      <c r="A16095" s="27"/>
    </row>
    <row r="16096" spans="1:1">
      <c r="A16096" s="27"/>
    </row>
    <row r="16097" spans="1:1">
      <c r="A16097" s="27"/>
    </row>
    <row r="16098" spans="1:1">
      <c r="A16098" s="27"/>
    </row>
    <row r="16099" spans="1:1">
      <c r="A16099" s="27"/>
    </row>
    <row r="16100" spans="1:1">
      <c r="A16100" s="27"/>
    </row>
    <row r="16101" spans="1:1">
      <c r="A16101" s="27"/>
    </row>
    <row r="16102" spans="1:1">
      <c r="A16102" s="27"/>
    </row>
    <row r="16103" spans="1:1">
      <c r="A16103" s="27"/>
    </row>
    <row r="16104" spans="1:1">
      <c r="A16104" s="27"/>
    </row>
    <row r="16105" spans="1:1">
      <c r="A16105" s="27"/>
    </row>
    <row r="16106" spans="1:1">
      <c r="A16106" s="27"/>
    </row>
    <row r="16107" spans="1:1">
      <c r="A16107" s="27"/>
    </row>
    <row r="16108" spans="1:1">
      <c r="A16108" s="27"/>
    </row>
    <row r="16109" spans="1:1">
      <c r="A16109" s="27"/>
    </row>
    <row r="16110" spans="1:1">
      <c r="A16110" s="27"/>
    </row>
    <row r="16111" spans="1:1">
      <c r="A16111" s="27"/>
    </row>
    <row r="16112" spans="1:1">
      <c r="A16112" s="27"/>
    </row>
    <row r="16113" spans="1:1">
      <c r="A16113" s="27"/>
    </row>
    <row r="16114" spans="1:1">
      <c r="A16114" s="27"/>
    </row>
    <row r="16115" spans="1:1">
      <c r="A16115" s="27"/>
    </row>
    <row r="16116" spans="1:1">
      <c r="A16116" s="27"/>
    </row>
    <row r="16117" spans="1:1">
      <c r="A16117" s="27"/>
    </row>
    <row r="16118" spans="1:1">
      <c r="A16118" s="27"/>
    </row>
    <row r="16119" spans="1:1">
      <c r="A16119" s="27"/>
    </row>
    <row r="16120" spans="1:1">
      <c r="A16120" s="27"/>
    </row>
    <row r="16121" spans="1:1">
      <c r="A16121" s="27"/>
    </row>
    <row r="16122" spans="1:1">
      <c r="A16122" s="27"/>
    </row>
    <row r="16123" spans="1:1">
      <c r="A16123" s="27"/>
    </row>
    <row r="16124" spans="1:1">
      <c r="A16124" s="27"/>
    </row>
    <row r="16125" spans="1:1">
      <c r="A16125" s="27"/>
    </row>
    <row r="16126" spans="1:1">
      <c r="A16126" s="27"/>
    </row>
    <row r="16127" spans="1:1">
      <c r="A16127" s="27"/>
    </row>
    <row r="16128" spans="1:1">
      <c r="A16128" s="27"/>
    </row>
    <row r="16129" spans="1:1">
      <c r="A16129" s="27"/>
    </row>
    <row r="16130" spans="1:1">
      <c r="A16130" s="27"/>
    </row>
    <row r="16131" spans="1:1">
      <c r="A16131" s="27"/>
    </row>
    <row r="16132" spans="1:1">
      <c r="A16132" s="27"/>
    </row>
    <row r="16133" spans="1:1">
      <c r="A16133" s="27"/>
    </row>
    <row r="16134" spans="1:1">
      <c r="A16134" s="27"/>
    </row>
    <row r="16135" spans="1:1">
      <c r="A16135" s="27"/>
    </row>
    <row r="16136" spans="1:1">
      <c r="A16136" s="27"/>
    </row>
    <row r="16137" spans="1:1">
      <c r="A16137" s="27"/>
    </row>
    <row r="16138" spans="1:1">
      <c r="A16138" s="27"/>
    </row>
    <row r="16139" spans="1:1">
      <c r="A16139" s="27"/>
    </row>
    <row r="16140" spans="1:1">
      <c r="A16140" s="27"/>
    </row>
    <row r="16141" spans="1:1">
      <c r="A16141" s="27"/>
    </row>
    <row r="16142" spans="1:1">
      <c r="A16142" s="27"/>
    </row>
    <row r="16143" spans="1:1">
      <c r="A16143" s="27"/>
    </row>
    <row r="16144" spans="1:1">
      <c r="A16144" s="27"/>
    </row>
    <row r="16145" spans="1:1">
      <c r="A16145" s="27"/>
    </row>
    <row r="16146" spans="1:1">
      <c r="A16146" s="27"/>
    </row>
    <row r="16147" spans="1:1">
      <c r="A16147" s="27"/>
    </row>
    <row r="16148" spans="1:1">
      <c r="A16148" s="27"/>
    </row>
    <row r="16149" spans="1:1">
      <c r="A16149" s="27"/>
    </row>
    <row r="16150" spans="1:1">
      <c r="A16150" s="27"/>
    </row>
    <row r="16151" spans="1:1">
      <c r="A16151" s="27"/>
    </row>
    <row r="16152" spans="1:1">
      <c r="A16152" s="27"/>
    </row>
    <row r="16153" spans="1:1">
      <c r="A16153" s="27"/>
    </row>
    <row r="16154" spans="1:1">
      <c r="A16154" s="27"/>
    </row>
    <row r="16155" spans="1:1">
      <c r="A16155" s="27"/>
    </row>
    <row r="16156" spans="1:1">
      <c r="A16156" s="27"/>
    </row>
    <row r="16157" spans="1:1">
      <c r="A16157" s="27"/>
    </row>
    <row r="16158" spans="1:1">
      <c r="A16158" s="27"/>
    </row>
    <row r="16159" spans="1:1">
      <c r="A16159" s="27"/>
    </row>
    <row r="16160" spans="1:1">
      <c r="A16160" s="27"/>
    </row>
    <row r="16161" spans="1:1">
      <c r="A16161" s="27"/>
    </row>
    <row r="16162" spans="1:1">
      <c r="A16162" s="27"/>
    </row>
    <row r="16163" spans="1:1">
      <c r="A16163" s="27"/>
    </row>
    <row r="16164" spans="1:1">
      <c r="A16164" s="27"/>
    </row>
    <row r="16165" spans="1:1">
      <c r="A16165" s="27"/>
    </row>
    <row r="16166" spans="1:1">
      <c r="A16166" s="27"/>
    </row>
    <row r="16167" spans="1:1">
      <c r="A16167" s="27"/>
    </row>
    <row r="16168" spans="1:1">
      <c r="A16168" s="27"/>
    </row>
    <row r="16169" spans="1:1">
      <c r="A16169" s="27"/>
    </row>
    <row r="16170" spans="1:1">
      <c r="A16170" s="27"/>
    </row>
    <row r="16171" spans="1:1">
      <c r="A16171" s="27"/>
    </row>
    <row r="16172" spans="1:1">
      <c r="A16172" s="27"/>
    </row>
    <row r="16173" spans="1:1">
      <c r="A16173" s="27"/>
    </row>
    <row r="16174" spans="1:1">
      <c r="A16174" s="27"/>
    </row>
    <row r="16175" spans="1:1">
      <c r="A16175" s="27"/>
    </row>
    <row r="16176" spans="1:1">
      <c r="A16176" s="27"/>
    </row>
    <row r="16177" spans="1:1">
      <c r="A16177" s="27"/>
    </row>
    <row r="16178" spans="1:1">
      <c r="A16178" s="27"/>
    </row>
    <row r="16179" spans="1:1">
      <c r="A16179" s="27"/>
    </row>
    <row r="16180" spans="1:1">
      <c r="A16180" s="27"/>
    </row>
    <row r="16181" spans="1:1">
      <c r="A16181" s="27"/>
    </row>
    <row r="16182" spans="1:1">
      <c r="A16182" s="27"/>
    </row>
    <row r="16183" spans="1:1">
      <c r="A16183" s="27"/>
    </row>
    <row r="16184" spans="1:1">
      <c r="A16184" s="27"/>
    </row>
    <row r="16185" spans="1:1">
      <c r="A16185" s="27"/>
    </row>
    <row r="16186" spans="1:1">
      <c r="A16186" s="27"/>
    </row>
    <row r="16187" spans="1:1">
      <c r="A16187" s="27"/>
    </row>
    <row r="16188" spans="1:1">
      <c r="A16188" s="27"/>
    </row>
    <row r="16189" spans="1:1">
      <c r="A16189" s="27"/>
    </row>
    <row r="16190" spans="1:1">
      <c r="A16190" s="27"/>
    </row>
    <row r="16191" spans="1:1">
      <c r="A16191" s="27"/>
    </row>
    <row r="16192" spans="1:1">
      <c r="A16192" s="27"/>
    </row>
    <row r="16193" spans="1:1">
      <c r="A16193" s="27"/>
    </row>
    <row r="16194" spans="1:1">
      <c r="A16194" s="27"/>
    </row>
    <row r="16195" spans="1:1">
      <c r="A16195" s="27"/>
    </row>
    <row r="16196" spans="1:1">
      <c r="A16196" s="27"/>
    </row>
    <row r="16197" spans="1:1">
      <c r="A16197" s="27"/>
    </row>
    <row r="16198" spans="1:1">
      <c r="A16198" s="27"/>
    </row>
    <row r="16199" spans="1:1">
      <c r="A16199" s="27"/>
    </row>
    <row r="16200" spans="1:1">
      <c r="A16200" s="27"/>
    </row>
    <row r="16201" spans="1:1">
      <c r="A16201" s="27"/>
    </row>
    <row r="16202" spans="1:1">
      <c r="A16202" s="27"/>
    </row>
    <row r="16203" spans="1:1">
      <c r="A16203" s="27"/>
    </row>
    <row r="16204" spans="1:1">
      <c r="A16204" s="27"/>
    </row>
    <row r="16205" spans="1:1">
      <c r="A16205" s="27"/>
    </row>
    <row r="16206" spans="1:1">
      <c r="A16206" s="27"/>
    </row>
    <row r="16207" spans="1:1">
      <c r="A16207" s="27"/>
    </row>
    <row r="16208" spans="1:1">
      <c r="A16208" s="27"/>
    </row>
    <row r="16209" spans="1:1">
      <c r="A16209" s="27"/>
    </row>
    <row r="16210" spans="1:1">
      <c r="A16210" s="27"/>
    </row>
    <row r="16211" spans="1:1">
      <c r="A16211" s="27"/>
    </row>
    <row r="16212" spans="1:1">
      <c r="A16212" s="27"/>
    </row>
    <row r="16213" spans="1:1">
      <c r="A16213" s="27"/>
    </row>
    <row r="16214" spans="1:1">
      <c r="A16214" s="27"/>
    </row>
    <row r="16215" spans="1:1">
      <c r="A16215" s="27"/>
    </row>
    <row r="16216" spans="1:1">
      <c r="A16216" s="27"/>
    </row>
    <row r="16217" spans="1:1">
      <c r="A16217" s="27"/>
    </row>
    <row r="16218" spans="1:1">
      <c r="A16218" s="27"/>
    </row>
    <row r="16219" spans="1:1">
      <c r="A16219" s="27"/>
    </row>
    <row r="16220" spans="1:1">
      <c r="A16220" s="27"/>
    </row>
    <row r="16221" spans="1:1">
      <c r="A16221" s="27"/>
    </row>
    <row r="16222" spans="1:1">
      <c r="A16222" s="27"/>
    </row>
    <row r="16223" spans="1:1">
      <c r="A16223" s="27"/>
    </row>
    <row r="16224" spans="1:1">
      <c r="A16224" s="27"/>
    </row>
    <row r="16225" spans="1:1">
      <c r="A16225" s="27"/>
    </row>
    <row r="16226" spans="1:1">
      <c r="A16226" s="27"/>
    </row>
    <row r="16227" spans="1:1">
      <c r="A16227" s="27"/>
    </row>
    <row r="16228" spans="1:1">
      <c r="A16228" s="27"/>
    </row>
    <row r="16229" spans="1:1">
      <c r="A16229" s="27"/>
    </row>
    <row r="16230" spans="1:1">
      <c r="A16230" s="27"/>
    </row>
    <row r="16231" spans="1:1">
      <c r="A16231" s="27"/>
    </row>
    <row r="16232" spans="1:1">
      <c r="A16232" s="27"/>
    </row>
    <row r="16233" spans="1:1">
      <c r="A16233" s="27"/>
    </row>
    <row r="16234" spans="1:1">
      <c r="A16234" s="27"/>
    </row>
    <row r="16235" spans="1:1">
      <c r="A16235" s="27"/>
    </row>
    <row r="16236" spans="1:1">
      <c r="A16236" s="27"/>
    </row>
    <row r="16237" spans="1:1">
      <c r="A16237" s="27"/>
    </row>
    <row r="16238" spans="1:1">
      <c r="A16238" s="27"/>
    </row>
    <row r="16239" spans="1:1">
      <c r="A16239" s="27"/>
    </row>
    <row r="16240" spans="1:1">
      <c r="A16240" s="27"/>
    </row>
    <row r="16241" spans="1:1">
      <c r="A16241" s="27"/>
    </row>
    <row r="16242" spans="1:1">
      <c r="A16242" s="27"/>
    </row>
    <row r="16243" spans="1:1">
      <c r="A16243" s="27"/>
    </row>
    <row r="16244" spans="1:1">
      <c r="A16244" s="27"/>
    </row>
    <row r="16245" spans="1:1">
      <c r="A16245" s="27"/>
    </row>
    <row r="16246" spans="1:1">
      <c r="A16246" s="27"/>
    </row>
    <row r="16247" spans="1:1">
      <c r="A16247" s="27"/>
    </row>
    <row r="16248" spans="1:1">
      <c r="A16248" s="27"/>
    </row>
    <row r="16249" spans="1:1">
      <c r="A16249" s="27"/>
    </row>
    <row r="16250" spans="1:1">
      <c r="A16250" s="27"/>
    </row>
    <row r="16251" spans="1:1">
      <c r="A16251" s="27"/>
    </row>
    <row r="16252" spans="1:1">
      <c r="A16252" s="27"/>
    </row>
    <row r="16253" spans="1:1">
      <c r="A16253" s="27"/>
    </row>
    <row r="16254" spans="1:1">
      <c r="A16254" s="27"/>
    </row>
    <row r="16255" spans="1:1">
      <c r="A16255" s="27"/>
    </row>
    <row r="16256" spans="1:1">
      <c r="A16256" s="27"/>
    </row>
    <row r="16257" spans="1:1">
      <c r="A16257" s="27"/>
    </row>
    <row r="16258" spans="1:1">
      <c r="A16258" s="27"/>
    </row>
    <row r="16259" spans="1:1">
      <c r="A16259" s="27"/>
    </row>
    <row r="16260" spans="1:1">
      <c r="A16260" s="27"/>
    </row>
    <row r="16261" spans="1:1">
      <c r="A16261" s="27"/>
    </row>
    <row r="16262" spans="1:1">
      <c r="A16262" s="27"/>
    </row>
    <row r="16263" spans="1:1">
      <c r="A16263" s="27"/>
    </row>
    <row r="16264" spans="1:1">
      <c r="A16264" s="27"/>
    </row>
    <row r="16265" spans="1:1">
      <c r="A16265" s="27"/>
    </row>
    <row r="16266" spans="1:1">
      <c r="A16266" s="27"/>
    </row>
    <row r="16267" spans="1:1">
      <c r="A16267" s="27"/>
    </row>
    <row r="16268" spans="1:1">
      <c r="A16268" s="27"/>
    </row>
    <row r="16269" spans="1:1">
      <c r="A16269" s="27"/>
    </row>
    <row r="16270" spans="1:1">
      <c r="A16270" s="27"/>
    </row>
    <row r="16271" spans="1:1">
      <c r="A16271" s="27"/>
    </row>
    <row r="16272" spans="1:1">
      <c r="A16272" s="27"/>
    </row>
    <row r="16273" spans="1:1">
      <c r="A16273" s="27"/>
    </row>
    <row r="16274" spans="1:1">
      <c r="A16274" s="27"/>
    </row>
    <row r="16275" spans="1:1">
      <c r="A16275" s="27"/>
    </row>
    <row r="16276" spans="1:1">
      <c r="A16276" s="27"/>
    </row>
    <row r="16277" spans="1:1">
      <c r="A16277" s="27"/>
    </row>
    <row r="16278" spans="1:1">
      <c r="A16278" s="27"/>
    </row>
    <row r="16279" spans="1:1">
      <c r="A16279" s="27"/>
    </row>
    <row r="16280" spans="1:1">
      <c r="A16280" s="27"/>
    </row>
    <row r="16281" spans="1:1">
      <c r="A16281" s="27"/>
    </row>
    <row r="16282" spans="1:1">
      <c r="A16282" s="27"/>
    </row>
    <row r="16283" spans="1:1">
      <c r="A16283" s="27"/>
    </row>
    <row r="16284" spans="1:1">
      <c r="A16284" s="27"/>
    </row>
    <row r="16285" spans="1:1">
      <c r="A16285" s="27"/>
    </row>
    <row r="16286" spans="1:1">
      <c r="A16286" s="27"/>
    </row>
    <row r="16287" spans="1:1">
      <c r="A16287" s="27"/>
    </row>
    <row r="16288" spans="1:1">
      <c r="A16288" s="27"/>
    </row>
    <row r="16289" spans="1:1">
      <c r="A16289" s="27"/>
    </row>
    <row r="16290" spans="1:1">
      <c r="A16290" s="27"/>
    </row>
    <row r="16291" spans="1:1">
      <c r="A16291" s="27"/>
    </row>
    <row r="16292" spans="1:1">
      <c r="A16292" s="27"/>
    </row>
    <row r="16293" spans="1:1">
      <c r="A16293" s="27"/>
    </row>
    <row r="16294" spans="1:1">
      <c r="A16294" s="27"/>
    </row>
    <row r="16295" spans="1:1">
      <c r="A16295" s="27"/>
    </row>
    <row r="16296" spans="1:1">
      <c r="A16296" s="27"/>
    </row>
    <row r="16297" spans="1:1">
      <c r="A16297" s="27"/>
    </row>
    <row r="16298" spans="1:1">
      <c r="A16298" s="27"/>
    </row>
    <row r="16299" spans="1:1">
      <c r="A16299" s="27"/>
    </row>
    <row r="16300" spans="1:1">
      <c r="A16300" s="27"/>
    </row>
    <row r="16301" spans="1:1">
      <c r="A16301" s="27"/>
    </row>
    <row r="16302" spans="1:1">
      <c r="A16302" s="27"/>
    </row>
    <row r="16303" spans="1:1">
      <c r="A16303" s="27"/>
    </row>
    <row r="16304" spans="1:1">
      <c r="A16304" s="27"/>
    </row>
    <row r="16305" spans="1:1">
      <c r="A16305" s="27"/>
    </row>
    <row r="16306" spans="1:1">
      <c r="A16306" s="27"/>
    </row>
    <row r="16307" spans="1:1">
      <c r="A16307" s="27"/>
    </row>
    <row r="16308" spans="1:1">
      <c r="A16308" s="27"/>
    </row>
    <row r="16309" spans="1:1">
      <c r="A16309" s="27"/>
    </row>
    <row r="16310" spans="1:1">
      <c r="A16310" s="27"/>
    </row>
    <row r="16311" spans="1:1">
      <c r="A16311" s="27"/>
    </row>
    <row r="16312" spans="1:1">
      <c r="A16312" s="27"/>
    </row>
    <row r="16313" spans="1:1">
      <c r="A16313" s="27"/>
    </row>
    <row r="16314" spans="1:1">
      <c r="A16314" s="27"/>
    </row>
    <row r="16315" spans="1:1">
      <c r="A16315" s="27"/>
    </row>
    <row r="16316" spans="1:1">
      <c r="A16316" s="27"/>
    </row>
    <row r="16317" spans="1:1">
      <c r="A16317" s="27"/>
    </row>
    <row r="16318" spans="1:1">
      <c r="A16318" s="27"/>
    </row>
    <row r="16319" spans="1:1">
      <c r="A16319" s="27"/>
    </row>
    <row r="16320" spans="1:1">
      <c r="A16320" s="27"/>
    </row>
    <row r="16321" spans="1:1">
      <c r="A16321" s="27"/>
    </row>
    <row r="16322" spans="1:1">
      <c r="A16322" s="27"/>
    </row>
    <row r="16323" spans="1:1">
      <c r="A16323" s="27"/>
    </row>
    <row r="16324" spans="1:1">
      <c r="A16324" s="27"/>
    </row>
    <row r="16325" spans="1:1">
      <c r="A16325" s="27"/>
    </row>
    <row r="16326" spans="1:1">
      <c r="A16326" s="27"/>
    </row>
    <row r="16327" spans="1:1">
      <c r="A16327" s="27"/>
    </row>
    <row r="16328" spans="1:1">
      <c r="A16328" s="27"/>
    </row>
    <row r="16329" spans="1:1">
      <c r="A16329" s="27"/>
    </row>
    <row r="16330" spans="1:1">
      <c r="A16330" s="27"/>
    </row>
    <row r="16331" spans="1:1">
      <c r="A16331" s="27"/>
    </row>
    <row r="16332" spans="1:1">
      <c r="A16332" s="27"/>
    </row>
    <row r="16333" spans="1:1">
      <c r="A16333" s="27"/>
    </row>
    <row r="16334" spans="1:1">
      <c r="A16334" s="27"/>
    </row>
    <row r="16335" spans="1:1">
      <c r="A16335" s="27"/>
    </row>
    <row r="16336" spans="1:1">
      <c r="A16336" s="27"/>
    </row>
    <row r="16337" spans="1:1">
      <c r="A16337" s="27"/>
    </row>
    <row r="16338" spans="1:1">
      <c r="A16338" s="27"/>
    </row>
    <row r="16339" spans="1:1">
      <c r="A16339" s="27"/>
    </row>
    <row r="16340" spans="1:1">
      <c r="A16340" s="27"/>
    </row>
    <row r="16341" spans="1:1">
      <c r="A16341" s="27"/>
    </row>
    <row r="16342" spans="1:1">
      <c r="A16342" s="27"/>
    </row>
    <row r="16343" spans="1:1">
      <c r="A16343" s="27"/>
    </row>
    <row r="16344" spans="1:1">
      <c r="A16344" s="27"/>
    </row>
    <row r="16345" spans="1:1">
      <c r="A16345" s="27"/>
    </row>
    <row r="16346" spans="1:1">
      <c r="A16346" s="27"/>
    </row>
    <row r="16347" spans="1:1">
      <c r="A16347" s="27"/>
    </row>
    <row r="16348" spans="1:1">
      <c r="A16348" s="27"/>
    </row>
    <row r="16349" spans="1:1">
      <c r="A16349" s="27"/>
    </row>
    <row r="16350" spans="1:1">
      <c r="A16350" s="27"/>
    </row>
    <row r="16351" spans="1:1">
      <c r="A16351" s="27"/>
    </row>
    <row r="16352" spans="1:1">
      <c r="A16352" s="27"/>
    </row>
    <row r="16353" spans="1:1">
      <c r="A16353" s="27"/>
    </row>
    <row r="16354" spans="1:1">
      <c r="A16354" s="27"/>
    </row>
    <row r="16355" spans="1:1">
      <c r="A16355" s="27"/>
    </row>
    <row r="16356" spans="1:1">
      <c r="A16356" s="27"/>
    </row>
    <row r="16357" spans="1:1">
      <c r="A16357" s="27"/>
    </row>
    <row r="16358" spans="1:1">
      <c r="A16358" s="27"/>
    </row>
    <row r="16359" spans="1:1">
      <c r="A16359" s="27"/>
    </row>
    <row r="16360" spans="1:1">
      <c r="A16360" s="27"/>
    </row>
    <row r="16361" spans="1:1">
      <c r="A16361" s="27"/>
    </row>
    <row r="16362" spans="1:1">
      <c r="A16362" s="27"/>
    </row>
    <row r="16363" spans="1:1">
      <c r="A16363" s="27"/>
    </row>
    <row r="16364" spans="1:1">
      <c r="A16364" s="27"/>
    </row>
    <row r="16365" spans="1:1">
      <c r="A16365" s="27"/>
    </row>
    <row r="16366" spans="1:1">
      <c r="A16366" s="27"/>
    </row>
    <row r="16367" spans="1:1">
      <c r="A16367" s="27"/>
    </row>
    <row r="16368" spans="1:1">
      <c r="A16368" s="27"/>
    </row>
    <row r="16369" spans="1:1">
      <c r="A16369" s="27"/>
    </row>
    <row r="16370" spans="1:1">
      <c r="A16370" s="27"/>
    </row>
    <row r="16371" spans="1:1">
      <c r="A16371" s="27"/>
    </row>
    <row r="16372" spans="1:1">
      <c r="A16372" s="27"/>
    </row>
    <row r="16373" spans="1:1">
      <c r="A16373" s="27"/>
    </row>
    <row r="16374" spans="1:1">
      <c r="A16374" s="27"/>
    </row>
    <row r="16375" spans="1:1">
      <c r="A16375" s="27"/>
    </row>
    <row r="16376" spans="1:1">
      <c r="A16376" s="27"/>
    </row>
    <row r="16377" spans="1:1">
      <c r="A16377" s="27"/>
    </row>
    <row r="16378" spans="1:1">
      <c r="A16378" s="27"/>
    </row>
    <row r="16379" spans="1:1">
      <c r="A16379" s="27"/>
    </row>
    <row r="16380" spans="1:1">
      <c r="A16380" s="27"/>
    </row>
    <row r="16381" spans="1:1">
      <c r="A16381" s="27"/>
    </row>
    <row r="16382" spans="1:1">
      <c r="A16382" s="27"/>
    </row>
    <row r="16383" spans="1:1">
      <c r="A16383" s="27"/>
    </row>
    <row r="16384" spans="1:1">
      <c r="A16384" s="27"/>
    </row>
    <row r="16385" spans="1:1">
      <c r="A16385" s="27"/>
    </row>
    <row r="16386" spans="1:1">
      <c r="A16386" s="27"/>
    </row>
    <row r="16387" spans="1:1">
      <c r="A16387" s="27"/>
    </row>
    <row r="16388" spans="1:1">
      <c r="A16388" s="27"/>
    </row>
    <row r="16389" spans="1:1">
      <c r="A16389" s="27"/>
    </row>
    <row r="16390" spans="1:1">
      <c r="A16390" s="27"/>
    </row>
    <row r="16391" spans="1:1">
      <c r="A16391" s="27"/>
    </row>
    <row r="16392" spans="1:1">
      <c r="A16392" s="27"/>
    </row>
    <row r="16393" spans="1:1">
      <c r="A16393" s="27"/>
    </row>
    <row r="16394" spans="1:1">
      <c r="A16394" s="27"/>
    </row>
    <row r="16395" spans="1:1">
      <c r="A16395" s="27"/>
    </row>
    <row r="16396" spans="1:1">
      <c r="A16396" s="27"/>
    </row>
    <row r="16397" spans="1:1">
      <c r="A16397" s="27"/>
    </row>
    <row r="16398" spans="1:1">
      <c r="A16398" s="27"/>
    </row>
    <row r="16399" spans="1:1">
      <c r="A16399" s="27"/>
    </row>
    <row r="16400" spans="1:1">
      <c r="A16400" s="27"/>
    </row>
    <row r="16401" spans="1:1">
      <c r="A16401" s="27"/>
    </row>
    <row r="16402" spans="1:1">
      <c r="A16402" s="27"/>
    </row>
    <row r="16403" spans="1:1">
      <c r="A16403" s="27"/>
    </row>
    <row r="16404" spans="1:1">
      <c r="A16404" s="27"/>
    </row>
    <row r="16405" spans="1:1">
      <c r="A16405" s="27"/>
    </row>
    <row r="16406" spans="1:1">
      <c r="A16406" s="27"/>
    </row>
    <row r="16407" spans="1:1">
      <c r="A16407" s="27"/>
    </row>
    <row r="16408" spans="1:1">
      <c r="A16408" s="27"/>
    </row>
    <row r="16409" spans="1:1">
      <c r="A16409" s="27"/>
    </row>
    <row r="16410" spans="1:1">
      <c r="A16410" s="27"/>
    </row>
    <row r="16411" spans="1:1">
      <c r="A16411" s="27"/>
    </row>
    <row r="16412" spans="1:1">
      <c r="A16412" s="27"/>
    </row>
    <row r="16413" spans="1:1">
      <c r="A16413" s="27"/>
    </row>
    <row r="16414" spans="1:1">
      <c r="A16414" s="27"/>
    </row>
    <row r="16415" spans="1:1">
      <c r="A16415" s="27"/>
    </row>
    <row r="16416" spans="1:1">
      <c r="A16416" s="27"/>
    </row>
    <row r="16417" spans="1:1">
      <c r="A16417" s="27"/>
    </row>
    <row r="16418" spans="1:1">
      <c r="A16418" s="27"/>
    </row>
    <row r="16419" spans="1:1">
      <c r="A16419" s="27"/>
    </row>
    <row r="16420" spans="1:1">
      <c r="A16420" s="27"/>
    </row>
    <row r="16421" spans="1:1">
      <c r="A16421" s="27"/>
    </row>
    <row r="16422" spans="1:1">
      <c r="A16422" s="27"/>
    </row>
    <row r="16423" spans="1:1">
      <c r="A16423" s="27"/>
    </row>
    <row r="16424" spans="1:1">
      <c r="A16424" s="27"/>
    </row>
    <row r="16425" spans="1:1">
      <c r="A16425" s="27"/>
    </row>
    <row r="16426" spans="1:1">
      <c r="A16426" s="27"/>
    </row>
    <row r="16427" spans="1:1">
      <c r="A16427" s="27"/>
    </row>
    <row r="16428" spans="1:1">
      <c r="A16428" s="27"/>
    </row>
    <row r="16429" spans="1:1">
      <c r="A16429" s="27"/>
    </row>
    <row r="16430" spans="1:1">
      <c r="A16430" s="27"/>
    </row>
    <row r="16431" spans="1:1">
      <c r="A16431" s="27"/>
    </row>
    <row r="16432" spans="1:1">
      <c r="A16432" s="27"/>
    </row>
    <row r="16433" spans="1:1">
      <c r="A16433" s="27"/>
    </row>
    <row r="16434" spans="1:1">
      <c r="A16434" s="27"/>
    </row>
    <row r="16435" spans="1:1">
      <c r="A16435" s="27"/>
    </row>
    <row r="16436" spans="1:1">
      <c r="A16436" s="27"/>
    </row>
    <row r="16437" spans="1:1">
      <c r="A16437" s="27"/>
    </row>
    <row r="16438" spans="1:1">
      <c r="A16438" s="27"/>
    </row>
    <row r="16439" spans="1:1">
      <c r="A16439" s="27"/>
    </row>
    <row r="16440" spans="1:1">
      <c r="A16440" s="27"/>
    </row>
    <row r="16441" spans="1:1">
      <c r="A16441" s="27"/>
    </row>
    <row r="16442" spans="1:1">
      <c r="A16442" s="27"/>
    </row>
    <row r="16443" spans="1:1">
      <c r="A16443" s="27"/>
    </row>
    <row r="16444" spans="1:1">
      <c r="A16444" s="27"/>
    </row>
    <row r="16445" spans="1:1">
      <c r="A16445" s="27"/>
    </row>
    <row r="16446" spans="1:1">
      <c r="A16446" s="27"/>
    </row>
    <row r="16447" spans="1:1">
      <c r="A16447" s="27"/>
    </row>
    <row r="16448" spans="1:1">
      <c r="A16448" s="27"/>
    </row>
    <row r="16449" spans="1:1">
      <c r="A16449" s="27"/>
    </row>
    <row r="16450" spans="1:1">
      <c r="A16450" s="27"/>
    </row>
    <row r="16451" spans="1:1">
      <c r="A16451" s="27"/>
    </row>
    <row r="16452" spans="1:1">
      <c r="A16452" s="27"/>
    </row>
    <row r="16453" spans="1:1">
      <c r="A16453" s="27"/>
    </row>
    <row r="16454" spans="1:1">
      <c r="A16454" s="27"/>
    </row>
    <row r="16455" spans="1:1">
      <c r="A16455" s="27"/>
    </row>
    <row r="16456" spans="1:1">
      <c r="A16456" s="27"/>
    </row>
    <row r="16457" spans="1:1">
      <c r="A16457" s="27"/>
    </row>
    <row r="16458" spans="1:1">
      <c r="A16458" s="27"/>
    </row>
    <row r="16459" spans="1:1">
      <c r="A16459" s="27"/>
    </row>
    <row r="16460" spans="1:1">
      <c r="A16460" s="27"/>
    </row>
    <row r="16461" spans="1:1">
      <c r="A16461" s="27"/>
    </row>
    <row r="16462" spans="1:1">
      <c r="A16462" s="27"/>
    </row>
    <row r="16463" spans="1:1">
      <c r="A16463" s="27"/>
    </row>
    <row r="16464" spans="1:1">
      <c r="A16464" s="27"/>
    </row>
    <row r="16465" spans="1:1">
      <c r="A16465" s="27"/>
    </row>
    <row r="16466" spans="1:1">
      <c r="A16466" s="27"/>
    </row>
    <row r="16467" spans="1:1">
      <c r="A16467" s="27"/>
    </row>
    <row r="16468" spans="1:1">
      <c r="A16468" s="27"/>
    </row>
    <row r="16469" spans="1:1">
      <c r="A16469" s="27"/>
    </row>
    <row r="16470" spans="1:1">
      <c r="A16470" s="27"/>
    </row>
    <row r="16471" spans="1:1">
      <c r="A16471" s="27"/>
    </row>
    <row r="16472" spans="1:1">
      <c r="A16472" s="27"/>
    </row>
    <row r="16473" spans="1:1">
      <c r="A16473" s="27"/>
    </row>
    <row r="16474" spans="1:1">
      <c r="A16474" s="27"/>
    </row>
    <row r="16475" spans="1:1">
      <c r="A16475" s="27"/>
    </row>
    <row r="16476" spans="1:1">
      <c r="A16476" s="27"/>
    </row>
    <row r="16477" spans="1:1">
      <c r="A16477" s="27"/>
    </row>
    <row r="16478" spans="1:1">
      <c r="A16478" s="27"/>
    </row>
    <row r="16479" spans="1:1">
      <c r="A16479" s="27"/>
    </row>
    <row r="16480" spans="1:1">
      <c r="A16480" s="27"/>
    </row>
    <row r="16481" spans="1:1">
      <c r="A16481" s="27"/>
    </row>
    <row r="16482" spans="1:1">
      <c r="A16482" s="27"/>
    </row>
    <row r="16483" spans="1:1">
      <c r="A16483" s="27"/>
    </row>
    <row r="16484" spans="1:1">
      <c r="A16484" s="27"/>
    </row>
    <row r="16485" spans="1:1">
      <c r="A16485" s="27"/>
    </row>
    <row r="16486" spans="1:1">
      <c r="A16486" s="27"/>
    </row>
    <row r="16487" spans="1:1">
      <c r="A16487" s="27"/>
    </row>
    <row r="16488" spans="1:1">
      <c r="A16488" s="27"/>
    </row>
    <row r="16489" spans="1:1">
      <c r="A16489" s="27"/>
    </row>
    <row r="16490" spans="1:1">
      <c r="A16490" s="27"/>
    </row>
    <row r="16491" spans="1:1">
      <c r="A16491" s="27"/>
    </row>
    <row r="16492" spans="1:1">
      <c r="A16492" s="27"/>
    </row>
    <row r="16493" spans="1:1">
      <c r="A16493" s="27"/>
    </row>
    <row r="16494" spans="1:1">
      <c r="A16494" s="27"/>
    </row>
    <row r="16495" spans="1:1">
      <c r="A16495" s="27"/>
    </row>
    <row r="16496" spans="1:1">
      <c r="A16496" s="27"/>
    </row>
    <row r="16497" spans="1:1">
      <c r="A16497" s="27"/>
    </row>
    <row r="16498" spans="1:1">
      <c r="A16498" s="27"/>
    </row>
    <row r="16499" spans="1:1">
      <c r="A16499" s="27"/>
    </row>
    <row r="16500" spans="1:1">
      <c r="A16500" s="27"/>
    </row>
    <row r="16501" spans="1:1">
      <c r="A16501" s="27"/>
    </row>
    <row r="16502" spans="1:1">
      <c r="A16502" s="27"/>
    </row>
    <row r="16503" spans="1:1">
      <c r="A16503" s="27"/>
    </row>
    <row r="16504" spans="1:1">
      <c r="A16504" s="27"/>
    </row>
    <row r="16505" spans="1:1">
      <c r="A16505" s="27"/>
    </row>
    <row r="16506" spans="1:1">
      <c r="A16506" s="27"/>
    </row>
    <row r="16507" spans="1:1">
      <c r="A16507" s="27"/>
    </row>
    <row r="16508" spans="1:1">
      <c r="A16508" s="27"/>
    </row>
    <row r="16509" spans="1:1">
      <c r="A16509" s="27"/>
    </row>
    <row r="16510" spans="1:1">
      <c r="A16510" s="27"/>
    </row>
    <row r="16511" spans="1:1">
      <c r="A16511" s="27"/>
    </row>
    <row r="16512" spans="1:1">
      <c r="A16512" s="27"/>
    </row>
    <row r="16513" spans="1:1">
      <c r="A16513" s="27"/>
    </row>
    <row r="16514" spans="1:1">
      <c r="A16514" s="27"/>
    </row>
    <row r="16515" spans="1:1">
      <c r="A16515" s="27"/>
    </row>
    <row r="16516" spans="1:1">
      <c r="A16516" s="27"/>
    </row>
    <row r="16517" spans="1:1">
      <c r="A16517" s="27"/>
    </row>
    <row r="16518" spans="1:1">
      <c r="A16518" s="27"/>
    </row>
    <row r="16519" spans="1:1">
      <c r="A16519" s="27"/>
    </row>
    <row r="16520" spans="1:1">
      <c r="A16520" s="27"/>
    </row>
    <row r="16521" spans="1:1">
      <c r="A16521" s="27"/>
    </row>
    <row r="16522" spans="1:1">
      <c r="A16522" s="27"/>
    </row>
    <row r="16523" spans="1:1">
      <c r="A16523" s="27"/>
    </row>
    <row r="16524" spans="1:1">
      <c r="A16524" s="27"/>
    </row>
    <row r="16525" spans="1:1">
      <c r="A16525" s="27"/>
    </row>
    <row r="16526" spans="1:1">
      <c r="A16526" s="27"/>
    </row>
    <row r="16527" spans="1:1">
      <c r="A16527" s="27"/>
    </row>
    <row r="16528" spans="1:1">
      <c r="A16528" s="27"/>
    </row>
    <row r="16529" spans="1:1">
      <c r="A16529" s="27"/>
    </row>
    <row r="16530" spans="1:1">
      <c r="A16530" s="27"/>
    </row>
    <row r="16531" spans="1:1">
      <c r="A16531" s="27"/>
    </row>
    <row r="16532" spans="1:1">
      <c r="A16532" s="27"/>
    </row>
    <row r="16533" spans="1:1">
      <c r="A16533" s="27"/>
    </row>
    <row r="16534" spans="1:1">
      <c r="A16534" s="27"/>
    </row>
    <row r="16535" spans="1:1">
      <c r="A16535" s="27"/>
    </row>
    <row r="16536" spans="1:1">
      <c r="A16536" s="27"/>
    </row>
    <row r="16537" spans="1:1">
      <c r="A16537" s="27"/>
    </row>
    <row r="16538" spans="1:1">
      <c r="A16538" s="27"/>
    </row>
    <row r="16539" spans="1:1">
      <c r="A16539" s="27"/>
    </row>
    <row r="16540" spans="1:1">
      <c r="A16540" s="27"/>
    </row>
    <row r="16541" spans="1:1">
      <c r="A16541" s="27"/>
    </row>
    <row r="16542" spans="1:1">
      <c r="A16542" s="27"/>
    </row>
    <row r="16543" spans="1:1">
      <c r="A16543" s="27"/>
    </row>
    <row r="16544" spans="1:1">
      <c r="A16544" s="27"/>
    </row>
    <row r="16545" spans="1:1">
      <c r="A16545" s="27"/>
    </row>
    <row r="16546" spans="1:1">
      <c r="A16546" s="27"/>
    </row>
    <row r="16547" spans="1:1">
      <c r="A16547" s="27"/>
    </row>
    <row r="16548" spans="1:1">
      <c r="A16548" s="27"/>
    </row>
    <row r="16549" spans="1:1">
      <c r="A16549" s="27"/>
    </row>
    <row r="16550" spans="1:1">
      <c r="A16550" s="27"/>
    </row>
    <row r="16551" spans="1:1">
      <c r="A16551" s="27"/>
    </row>
    <row r="16552" spans="1:1">
      <c r="A16552" s="27"/>
    </row>
    <row r="16553" spans="1:1">
      <c r="A16553" s="27"/>
    </row>
    <row r="16554" spans="1:1">
      <c r="A16554" s="27"/>
    </row>
    <row r="16555" spans="1:1">
      <c r="A16555" s="27"/>
    </row>
    <row r="16556" spans="1:1">
      <c r="A16556" s="27"/>
    </row>
    <row r="16557" spans="1:1">
      <c r="A16557" s="27"/>
    </row>
    <row r="16558" spans="1:1">
      <c r="A16558" s="27"/>
    </row>
    <row r="16559" spans="1:1">
      <c r="A16559" s="27"/>
    </row>
    <row r="16560" spans="1:1">
      <c r="A16560" s="27"/>
    </row>
    <row r="16561" spans="1:1">
      <c r="A16561" s="27"/>
    </row>
    <row r="16562" spans="1:1">
      <c r="A16562" s="27"/>
    </row>
    <row r="16563" spans="1:1">
      <c r="A16563" s="27"/>
    </row>
    <row r="16564" spans="1:1">
      <c r="A16564" s="27"/>
    </row>
    <row r="16565" spans="1:1">
      <c r="A16565" s="27"/>
    </row>
    <row r="16566" spans="1:1">
      <c r="A16566" s="27"/>
    </row>
    <row r="16567" spans="1:1">
      <c r="A16567" s="27"/>
    </row>
    <row r="16568" spans="1:1">
      <c r="A16568" s="27"/>
    </row>
    <row r="16569" spans="1:1">
      <c r="A16569" s="27"/>
    </row>
    <row r="16570" spans="1:1">
      <c r="A16570" s="27"/>
    </row>
    <row r="16571" spans="1:1">
      <c r="A16571" s="27"/>
    </row>
    <row r="16572" spans="1:1">
      <c r="A16572" s="27"/>
    </row>
    <row r="16573" spans="1:1">
      <c r="A16573" s="27"/>
    </row>
    <row r="16574" spans="1:1">
      <c r="A16574" s="27"/>
    </row>
    <row r="16575" spans="1:1">
      <c r="A16575" s="27"/>
    </row>
    <row r="16576" spans="1:1">
      <c r="A16576" s="27"/>
    </row>
    <row r="16577" spans="1:1">
      <c r="A16577" s="27"/>
    </row>
    <row r="16578" spans="1:1">
      <c r="A16578" s="27"/>
    </row>
    <row r="16579" spans="1:1">
      <c r="A16579" s="27"/>
    </row>
    <row r="16580" spans="1:1">
      <c r="A16580" s="27"/>
    </row>
    <row r="16581" spans="1:1">
      <c r="A16581" s="27"/>
    </row>
    <row r="16582" spans="1:1">
      <c r="A16582" s="27"/>
    </row>
    <row r="16583" spans="1:1">
      <c r="A16583" s="27"/>
    </row>
    <row r="16584" spans="1:1">
      <c r="A16584" s="27"/>
    </row>
    <row r="16585" spans="1:1">
      <c r="A16585" s="27"/>
    </row>
    <row r="16586" spans="1:1">
      <c r="A16586" s="27"/>
    </row>
    <row r="16587" spans="1:1">
      <c r="A16587" s="27"/>
    </row>
    <row r="16588" spans="1:1">
      <c r="A16588" s="27"/>
    </row>
    <row r="16589" spans="1:1">
      <c r="A16589" s="27"/>
    </row>
    <row r="16590" spans="1:1">
      <c r="A16590" s="27"/>
    </row>
    <row r="16591" spans="1:1">
      <c r="A16591" s="27"/>
    </row>
    <row r="16592" spans="1:1">
      <c r="A16592" s="27"/>
    </row>
    <row r="16593" spans="1:1">
      <c r="A16593" s="27"/>
    </row>
    <row r="16594" spans="1:1">
      <c r="A16594" s="27"/>
    </row>
    <row r="16595" spans="1:1">
      <c r="A16595" s="27"/>
    </row>
    <row r="16596" spans="1:1">
      <c r="A16596" s="27"/>
    </row>
    <row r="16597" spans="1:1">
      <c r="A16597" s="27"/>
    </row>
    <row r="16598" spans="1:1">
      <c r="A16598" s="27"/>
    </row>
    <row r="16599" spans="1:1">
      <c r="A16599" s="27"/>
    </row>
    <row r="16600" spans="1:1">
      <c r="A16600" s="27"/>
    </row>
    <row r="16601" spans="1:1">
      <c r="A16601" s="27"/>
    </row>
    <row r="16602" spans="1:1">
      <c r="A16602" s="27"/>
    </row>
    <row r="16603" spans="1:1">
      <c r="A16603" s="27"/>
    </row>
    <row r="16604" spans="1:1">
      <c r="A16604" s="27"/>
    </row>
    <row r="16605" spans="1:1">
      <c r="A16605" s="27"/>
    </row>
    <row r="16606" spans="1:1">
      <c r="A16606" s="27"/>
    </row>
    <row r="16607" spans="1:1">
      <c r="A16607" s="27"/>
    </row>
    <row r="16608" spans="1:1">
      <c r="A16608" s="27"/>
    </row>
    <row r="16609" spans="1:1">
      <c r="A16609" s="27"/>
    </row>
    <row r="16610" spans="1:1">
      <c r="A16610" s="27"/>
    </row>
    <row r="16611" spans="1:1">
      <c r="A16611" s="27"/>
    </row>
    <row r="16612" spans="1:1">
      <c r="A16612" s="27"/>
    </row>
    <row r="16613" spans="1:1">
      <c r="A16613" s="27"/>
    </row>
    <row r="16614" spans="1:1">
      <c r="A16614" s="27"/>
    </row>
    <row r="16615" spans="1:1">
      <c r="A16615" s="27"/>
    </row>
    <row r="16616" spans="1:1">
      <c r="A16616" s="27"/>
    </row>
    <row r="16617" spans="1:1">
      <c r="A16617" s="27"/>
    </row>
    <row r="16618" spans="1:1">
      <c r="A16618" s="27"/>
    </row>
    <row r="16619" spans="1:1">
      <c r="A16619" s="27"/>
    </row>
    <row r="16620" spans="1:1">
      <c r="A16620" s="27"/>
    </row>
    <row r="16621" spans="1:1">
      <c r="A16621" s="27"/>
    </row>
    <row r="16622" spans="1:1">
      <c r="A16622" s="27"/>
    </row>
    <row r="16623" spans="1:1">
      <c r="A16623" s="27"/>
    </row>
    <row r="16624" spans="1:1">
      <c r="A16624" s="27"/>
    </row>
    <row r="16625" spans="1:1">
      <c r="A16625" s="27"/>
    </row>
    <row r="16626" spans="1:1">
      <c r="A16626" s="27"/>
    </row>
    <row r="16627" spans="1:1">
      <c r="A16627" s="27"/>
    </row>
    <row r="16628" spans="1:1">
      <c r="A16628" s="27"/>
    </row>
    <row r="16629" spans="1:1">
      <c r="A16629" s="27"/>
    </row>
    <row r="16630" spans="1:1">
      <c r="A16630" s="27"/>
    </row>
    <row r="16631" spans="1:1">
      <c r="A16631" s="27"/>
    </row>
    <row r="16632" spans="1:1">
      <c r="A16632" s="27"/>
    </row>
    <row r="16633" spans="1:1">
      <c r="A16633" s="27"/>
    </row>
    <row r="16634" spans="1:1">
      <c r="A16634" s="27"/>
    </row>
    <row r="16635" spans="1:1">
      <c r="A16635" s="27"/>
    </row>
    <row r="16636" spans="1:1">
      <c r="A16636" s="27"/>
    </row>
    <row r="16637" spans="1:1">
      <c r="A16637" s="27"/>
    </row>
    <row r="16638" spans="1:1">
      <c r="A16638" s="27"/>
    </row>
    <row r="16639" spans="1:1">
      <c r="A16639" s="27"/>
    </row>
    <row r="16640" spans="1:1">
      <c r="A16640" s="27"/>
    </row>
    <row r="16641" spans="1:1">
      <c r="A16641" s="27"/>
    </row>
    <row r="16642" spans="1:1">
      <c r="A16642" s="27"/>
    </row>
    <row r="16643" spans="1:1">
      <c r="A16643" s="27"/>
    </row>
    <row r="16644" spans="1:1">
      <c r="A16644" s="27"/>
    </row>
    <row r="16645" spans="1:1">
      <c r="A16645" s="27"/>
    </row>
    <row r="16646" spans="1:1">
      <c r="A16646" s="27"/>
    </row>
    <row r="16647" spans="1:1">
      <c r="A16647" s="27"/>
    </row>
    <row r="16648" spans="1:1">
      <c r="A16648" s="27"/>
    </row>
    <row r="16649" spans="1:1">
      <c r="A16649" s="27"/>
    </row>
    <row r="16650" spans="1:1">
      <c r="A16650" s="27"/>
    </row>
    <row r="16651" spans="1:1">
      <c r="A16651" s="27"/>
    </row>
    <row r="16652" spans="1:1">
      <c r="A16652" s="27"/>
    </row>
    <row r="16653" spans="1:1">
      <c r="A16653" s="27"/>
    </row>
    <row r="16654" spans="1:1">
      <c r="A16654" s="27"/>
    </row>
    <row r="16655" spans="1:1">
      <c r="A16655" s="27"/>
    </row>
    <row r="16656" spans="1:1">
      <c r="A16656" s="27"/>
    </row>
    <row r="16657" spans="1:1">
      <c r="A16657" s="27"/>
    </row>
    <row r="16658" spans="1:1">
      <c r="A16658" s="27"/>
    </row>
    <row r="16659" spans="1:1">
      <c r="A16659" s="27"/>
    </row>
    <row r="16660" spans="1:1">
      <c r="A16660" s="27"/>
    </row>
    <row r="16661" spans="1:1">
      <c r="A16661" s="27"/>
    </row>
    <row r="16662" spans="1:1">
      <c r="A16662" s="27"/>
    </row>
    <row r="16663" spans="1:1">
      <c r="A16663" s="27"/>
    </row>
    <row r="16664" spans="1:1">
      <c r="A16664" s="27"/>
    </row>
    <row r="16665" spans="1:1">
      <c r="A16665" s="27"/>
    </row>
    <row r="16666" spans="1:1">
      <c r="A16666" s="27"/>
    </row>
    <row r="16667" spans="1:1">
      <c r="A16667" s="27"/>
    </row>
    <row r="16668" spans="1:1">
      <c r="A16668" s="27"/>
    </row>
    <row r="16669" spans="1:1">
      <c r="A16669" s="27"/>
    </row>
    <row r="16670" spans="1:1">
      <c r="A16670" s="27"/>
    </row>
    <row r="16671" spans="1:1">
      <c r="A16671" s="27"/>
    </row>
    <row r="16672" spans="1:1">
      <c r="A16672" s="27"/>
    </row>
    <row r="16673" spans="1:1">
      <c r="A16673" s="27"/>
    </row>
    <row r="16674" spans="1:1">
      <c r="A16674" s="27"/>
    </row>
    <row r="16675" spans="1:1">
      <c r="A16675" s="27"/>
    </row>
    <row r="16676" spans="1:1">
      <c r="A16676" s="27"/>
    </row>
    <row r="16677" spans="1:1">
      <c r="A16677" s="27"/>
    </row>
    <row r="16678" spans="1:1">
      <c r="A16678" s="27"/>
    </row>
    <row r="16679" spans="1:1">
      <c r="A16679" s="27"/>
    </row>
    <row r="16680" spans="1:1">
      <c r="A16680" s="27"/>
    </row>
    <row r="16681" spans="1:1">
      <c r="A16681" s="27"/>
    </row>
    <row r="16682" spans="1:1">
      <c r="A16682" s="27"/>
    </row>
    <row r="16683" spans="1:1">
      <c r="A16683" s="27"/>
    </row>
    <row r="16684" spans="1:1">
      <c r="A16684" s="27"/>
    </row>
    <row r="16685" spans="1:1">
      <c r="A16685" s="27"/>
    </row>
    <row r="16686" spans="1:1">
      <c r="A16686" s="27"/>
    </row>
    <row r="16687" spans="1:1">
      <c r="A16687" s="27"/>
    </row>
    <row r="16688" spans="1:1">
      <c r="A16688" s="27"/>
    </row>
    <row r="16689" spans="1:1">
      <c r="A16689" s="27"/>
    </row>
    <row r="16690" spans="1:1">
      <c r="A16690" s="27"/>
    </row>
    <row r="16691" spans="1:1">
      <c r="A16691" s="27"/>
    </row>
    <row r="16692" spans="1:1">
      <c r="A16692" s="27"/>
    </row>
    <row r="16693" spans="1:1">
      <c r="A16693" s="27"/>
    </row>
    <row r="16694" spans="1:1">
      <c r="A16694" s="27"/>
    </row>
    <row r="16695" spans="1:1">
      <c r="A16695" s="27"/>
    </row>
    <row r="16696" spans="1:1">
      <c r="A16696" s="27"/>
    </row>
    <row r="16697" spans="1:1">
      <c r="A16697" s="27"/>
    </row>
    <row r="16698" spans="1:1">
      <c r="A16698" s="27"/>
    </row>
    <row r="16699" spans="1:1">
      <c r="A16699" s="27"/>
    </row>
    <row r="16700" spans="1:1">
      <c r="A16700" s="27"/>
    </row>
    <row r="16701" spans="1:1">
      <c r="A16701" s="27"/>
    </row>
    <row r="16702" spans="1:1">
      <c r="A16702" s="27"/>
    </row>
    <row r="16703" spans="1:1">
      <c r="A16703" s="27"/>
    </row>
    <row r="16704" spans="1:1">
      <c r="A16704" s="27"/>
    </row>
    <row r="16705" spans="1:1">
      <c r="A16705" s="27"/>
    </row>
    <row r="16706" spans="1:1">
      <c r="A16706" s="27"/>
    </row>
    <row r="16707" spans="1:1">
      <c r="A16707" s="27"/>
    </row>
    <row r="16708" spans="1:1">
      <c r="A16708" s="27"/>
    </row>
    <row r="16709" spans="1:1">
      <c r="A16709" s="27"/>
    </row>
    <row r="16710" spans="1:1">
      <c r="A16710" s="27"/>
    </row>
    <row r="16711" spans="1:1">
      <c r="A16711" s="27"/>
    </row>
    <row r="16712" spans="1:1">
      <c r="A16712" s="27"/>
    </row>
    <row r="16713" spans="1:1">
      <c r="A16713" s="27"/>
    </row>
    <row r="16714" spans="1:1">
      <c r="A16714" s="27"/>
    </row>
    <row r="16715" spans="1:1">
      <c r="A16715" s="27"/>
    </row>
    <row r="16716" spans="1:1">
      <c r="A16716" s="27"/>
    </row>
    <row r="16717" spans="1:1">
      <c r="A16717" s="27"/>
    </row>
    <row r="16718" spans="1:1">
      <c r="A16718" s="27"/>
    </row>
    <row r="16719" spans="1:1">
      <c r="A16719" s="27"/>
    </row>
    <row r="16720" spans="1:1">
      <c r="A16720" s="27"/>
    </row>
    <row r="16721" spans="1:1">
      <c r="A16721" s="27"/>
    </row>
    <row r="16722" spans="1:1">
      <c r="A16722" s="27"/>
    </row>
    <row r="16723" spans="1:1">
      <c r="A16723" s="27"/>
    </row>
    <row r="16724" spans="1:1">
      <c r="A16724" s="27"/>
    </row>
    <row r="16725" spans="1:1">
      <c r="A16725" s="27"/>
    </row>
    <row r="16726" spans="1:1">
      <c r="A16726" s="27"/>
    </row>
    <row r="16727" spans="1:1">
      <c r="A16727" s="27"/>
    </row>
    <row r="16728" spans="1:1">
      <c r="A16728" s="27"/>
    </row>
    <row r="16729" spans="1:1">
      <c r="A16729" s="27"/>
    </row>
    <row r="16730" spans="1:1">
      <c r="A16730" s="27"/>
    </row>
    <row r="16731" spans="1:1">
      <c r="A16731" s="27"/>
    </row>
    <row r="16732" spans="1:1">
      <c r="A16732" s="27"/>
    </row>
    <row r="16733" spans="1:1">
      <c r="A16733" s="27"/>
    </row>
    <row r="16734" spans="1:1">
      <c r="A16734" s="27"/>
    </row>
    <row r="16735" spans="1:1">
      <c r="A16735" s="27"/>
    </row>
    <row r="16736" spans="1:1">
      <c r="A16736" s="27"/>
    </row>
    <row r="16737" spans="1:1">
      <c r="A16737" s="27"/>
    </row>
    <row r="16738" spans="1:1">
      <c r="A16738" s="27"/>
    </row>
    <row r="16739" spans="1:1">
      <c r="A16739" s="27"/>
    </row>
    <row r="16740" spans="1:1">
      <c r="A16740" s="27"/>
    </row>
    <row r="16741" spans="1:1">
      <c r="A16741" s="27"/>
    </row>
    <row r="16742" spans="1:1">
      <c r="A16742" s="27"/>
    </row>
    <row r="16743" spans="1:1">
      <c r="A16743" s="27"/>
    </row>
    <row r="16744" spans="1:1">
      <c r="A16744" s="27"/>
    </row>
    <row r="16745" spans="1:1">
      <c r="A16745" s="27"/>
    </row>
    <row r="16746" spans="1:1">
      <c r="A16746" s="27"/>
    </row>
    <row r="16747" spans="1:1">
      <c r="A16747" s="27"/>
    </row>
    <row r="16748" spans="1:1">
      <c r="A16748" s="27"/>
    </row>
    <row r="16749" spans="1:1">
      <c r="A16749" s="27"/>
    </row>
    <row r="16750" spans="1:1">
      <c r="A16750" s="27"/>
    </row>
    <row r="16751" spans="1:1">
      <c r="A16751" s="27"/>
    </row>
    <row r="16752" spans="1:1">
      <c r="A16752" s="27"/>
    </row>
    <row r="16753" spans="1:1">
      <c r="A16753" s="27"/>
    </row>
    <row r="16754" spans="1:1">
      <c r="A16754" s="27"/>
    </row>
    <row r="16755" spans="1:1">
      <c r="A16755" s="27"/>
    </row>
    <row r="16756" spans="1:1">
      <c r="A16756" s="27"/>
    </row>
    <row r="16757" spans="1:1">
      <c r="A16757" s="27"/>
    </row>
    <row r="16758" spans="1:1">
      <c r="A16758" s="27"/>
    </row>
    <row r="16759" spans="1:1">
      <c r="A16759" s="27"/>
    </row>
    <row r="16760" spans="1:1">
      <c r="A16760" s="27"/>
    </row>
    <row r="16761" spans="1:1">
      <c r="A16761" s="27"/>
    </row>
    <row r="16762" spans="1:1">
      <c r="A16762" s="27"/>
    </row>
    <row r="16763" spans="1:1">
      <c r="A16763" s="27"/>
    </row>
    <row r="16764" spans="1:1">
      <c r="A16764" s="27"/>
    </row>
    <row r="16765" spans="1:1">
      <c r="A16765" s="27"/>
    </row>
    <row r="16766" spans="1:1">
      <c r="A16766" s="27"/>
    </row>
    <row r="16767" spans="1:1">
      <c r="A16767" s="27"/>
    </row>
    <row r="16768" spans="1:1">
      <c r="A16768" s="27"/>
    </row>
    <row r="16769" spans="1:1">
      <c r="A16769" s="27"/>
    </row>
    <row r="16770" spans="1:1">
      <c r="A16770" s="27"/>
    </row>
    <row r="16771" spans="1:1">
      <c r="A16771" s="27"/>
    </row>
    <row r="16772" spans="1:1">
      <c r="A16772" s="27"/>
    </row>
    <row r="16773" spans="1:1">
      <c r="A16773" s="27"/>
    </row>
    <row r="16774" spans="1:1">
      <c r="A16774" s="27"/>
    </row>
    <row r="16775" spans="1:1">
      <c r="A16775" s="27"/>
    </row>
    <row r="16776" spans="1:1">
      <c r="A16776" s="27"/>
    </row>
    <row r="16777" spans="1:1">
      <c r="A16777" s="27"/>
    </row>
    <row r="16778" spans="1:1">
      <c r="A16778" s="27"/>
    </row>
    <row r="16779" spans="1:1">
      <c r="A16779" s="27"/>
    </row>
    <row r="16780" spans="1:1">
      <c r="A16780" s="27"/>
    </row>
    <row r="16781" spans="1:1">
      <c r="A16781" s="27"/>
    </row>
    <row r="16782" spans="1:1">
      <c r="A16782" s="27"/>
    </row>
    <row r="16783" spans="1:1">
      <c r="A16783" s="27"/>
    </row>
    <row r="16784" spans="1:1">
      <c r="A16784" s="27"/>
    </row>
    <row r="16785" spans="1:1">
      <c r="A16785" s="27"/>
    </row>
    <row r="16786" spans="1:1">
      <c r="A16786" s="27"/>
    </row>
    <row r="16787" spans="1:1">
      <c r="A16787" s="27"/>
    </row>
    <row r="16788" spans="1:1">
      <c r="A16788" s="27"/>
    </row>
    <row r="16789" spans="1:1">
      <c r="A16789" s="27"/>
    </row>
    <row r="16790" spans="1:1">
      <c r="A16790" s="27"/>
    </row>
    <row r="16791" spans="1:1">
      <c r="A16791" s="27"/>
    </row>
    <row r="16792" spans="1:1">
      <c r="A16792" s="27"/>
    </row>
    <row r="16793" spans="1:1">
      <c r="A16793" s="27"/>
    </row>
    <row r="16794" spans="1:1">
      <c r="A16794" s="27"/>
    </row>
    <row r="16795" spans="1:1">
      <c r="A16795" s="27"/>
    </row>
    <row r="16796" spans="1:1">
      <c r="A16796" s="27"/>
    </row>
    <row r="16797" spans="1:1">
      <c r="A16797" s="27"/>
    </row>
    <row r="16798" spans="1:1">
      <c r="A16798" s="27"/>
    </row>
    <row r="16799" spans="1:1">
      <c r="A16799" s="27"/>
    </row>
    <row r="16800" spans="1:1">
      <c r="A16800" s="27"/>
    </row>
    <row r="16801" spans="1:1">
      <c r="A16801" s="27"/>
    </row>
    <row r="16802" spans="1:1">
      <c r="A16802" s="27"/>
    </row>
    <row r="16803" spans="1:1">
      <c r="A16803" s="27"/>
    </row>
    <row r="16804" spans="1:1">
      <c r="A16804" s="27"/>
    </row>
    <row r="16805" spans="1:1">
      <c r="A16805" s="27"/>
    </row>
    <row r="16806" spans="1:1">
      <c r="A16806" s="27"/>
    </row>
    <row r="16807" spans="1:1">
      <c r="A16807" s="27"/>
    </row>
    <row r="16808" spans="1:1">
      <c r="A16808" s="27"/>
    </row>
    <row r="16809" spans="1:1">
      <c r="A16809" s="27"/>
    </row>
    <row r="16810" spans="1:1">
      <c r="A16810" s="27"/>
    </row>
    <row r="16811" spans="1:1">
      <c r="A16811" s="27"/>
    </row>
    <row r="16812" spans="1:1">
      <c r="A16812" s="27"/>
    </row>
    <row r="16813" spans="1:1">
      <c r="A16813" s="27"/>
    </row>
    <row r="16814" spans="1:1">
      <c r="A16814" s="27"/>
    </row>
    <row r="16815" spans="1:1">
      <c r="A16815" s="27"/>
    </row>
    <row r="16816" spans="1:1">
      <c r="A16816" s="27"/>
    </row>
    <row r="16817" spans="1:1">
      <c r="A16817" s="27"/>
    </row>
    <row r="16818" spans="1:1">
      <c r="A16818" s="27"/>
    </row>
    <row r="16819" spans="1:1">
      <c r="A16819" s="27"/>
    </row>
    <row r="16820" spans="1:1">
      <c r="A16820" s="27"/>
    </row>
    <row r="16821" spans="1:1">
      <c r="A16821" s="27"/>
    </row>
    <row r="16822" spans="1:1">
      <c r="A16822" s="27"/>
    </row>
    <row r="16823" spans="1:1">
      <c r="A16823" s="27"/>
    </row>
    <row r="16824" spans="1:1">
      <c r="A16824" s="27"/>
    </row>
    <row r="16825" spans="1:1">
      <c r="A16825" s="27"/>
    </row>
    <row r="16826" spans="1:1">
      <c r="A16826" s="27"/>
    </row>
    <row r="16827" spans="1:1">
      <c r="A16827" s="27"/>
    </row>
    <row r="16828" spans="1:1">
      <c r="A16828" s="27"/>
    </row>
    <row r="16829" spans="1:1">
      <c r="A16829" s="27"/>
    </row>
    <row r="16830" spans="1:1">
      <c r="A16830" s="27"/>
    </row>
    <row r="16831" spans="1:1">
      <c r="A16831" s="27"/>
    </row>
    <row r="16832" spans="1:1">
      <c r="A16832" s="27"/>
    </row>
    <row r="16833" spans="1:1">
      <c r="A16833" s="27"/>
    </row>
    <row r="16834" spans="1:1">
      <c r="A16834" s="27"/>
    </row>
    <row r="16835" spans="1:1">
      <c r="A16835" s="27"/>
    </row>
    <row r="16836" spans="1:1">
      <c r="A16836" s="27"/>
    </row>
    <row r="16837" spans="1:1">
      <c r="A16837" s="27"/>
    </row>
    <row r="16838" spans="1:1">
      <c r="A16838" s="27"/>
    </row>
    <row r="16839" spans="1:1">
      <c r="A16839" s="27"/>
    </row>
    <row r="16840" spans="1:1">
      <c r="A16840" s="27"/>
    </row>
    <row r="16841" spans="1:1">
      <c r="A16841" s="27"/>
    </row>
    <row r="16842" spans="1:1">
      <c r="A16842" s="27"/>
    </row>
    <row r="16843" spans="1:1">
      <c r="A16843" s="27"/>
    </row>
    <row r="16844" spans="1:1">
      <c r="A16844" s="27"/>
    </row>
    <row r="16845" spans="1:1">
      <c r="A16845" s="27"/>
    </row>
    <row r="16846" spans="1:1">
      <c r="A16846" s="27"/>
    </row>
    <row r="16847" spans="1:1">
      <c r="A16847" s="27"/>
    </row>
    <row r="16848" spans="1:1">
      <c r="A16848" s="27"/>
    </row>
    <row r="16849" spans="1:1">
      <c r="A16849" s="27"/>
    </row>
    <row r="16850" spans="1:1">
      <c r="A16850" s="27"/>
    </row>
    <row r="16851" spans="1:1">
      <c r="A16851" s="27"/>
    </row>
    <row r="16852" spans="1:1">
      <c r="A16852" s="27"/>
    </row>
    <row r="16853" spans="1:1">
      <c r="A16853" s="27"/>
    </row>
    <row r="16854" spans="1:1">
      <c r="A16854" s="27"/>
    </row>
    <row r="16855" spans="1:1">
      <c r="A16855" s="27"/>
    </row>
    <row r="16856" spans="1:1">
      <c r="A16856" s="27"/>
    </row>
    <row r="16857" spans="1:1">
      <c r="A16857" s="27"/>
    </row>
    <row r="16858" spans="1:1">
      <c r="A16858" s="27"/>
    </row>
    <row r="16859" spans="1:1">
      <c r="A16859" s="27"/>
    </row>
    <row r="16860" spans="1:1">
      <c r="A16860" s="27"/>
    </row>
    <row r="16861" spans="1:1">
      <c r="A16861" s="27"/>
    </row>
    <row r="16862" spans="1:1">
      <c r="A16862" s="27"/>
    </row>
    <row r="16863" spans="1:1">
      <c r="A16863" s="27"/>
    </row>
    <row r="16864" spans="1:1">
      <c r="A16864" s="27"/>
    </row>
    <row r="16865" spans="1:1">
      <c r="A16865" s="27"/>
    </row>
    <row r="16866" spans="1:1">
      <c r="A16866" s="27"/>
    </row>
    <row r="16867" spans="1:1">
      <c r="A16867" s="27"/>
    </row>
    <row r="16868" spans="1:1">
      <c r="A16868" s="27"/>
    </row>
    <row r="16869" spans="1:1">
      <c r="A16869" s="27"/>
    </row>
    <row r="16870" spans="1:1">
      <c r="A16870" s="27"/>
    </row>
    <row r="16871" spans="1:1">
      <c r="A16871" s="27"/>
    </row>
    <row r="16872" spans="1:1">
      <c r="A16872" s="27"/>
    </row>
    <row r="16873" spans="1:1">
      <c r="A16873" s="27"/>
    </row>
    <row r="16874" spans="1:1">
      <c r="A16874" s="27"/>
    </row>
    <row r="16875" spans="1:1">
      <c r="A16875" s="27"/>
    </row>
    <row r="16876" spans="1:1">
      <c r="A16876" s="27"/>
    </row>
    <row r="16877" spans="1:1">
      <c r="A16877" s="27"/>
    </row>
    <row r="16878" spans="1:1">
      <c r="A16878" s="27"/>
    </row>
    <row r="16879" spans="1:1">
      <c r="A16879" s="27"/>
    </row>
    <row r="16880" spans="1:1">
      <c r="A16880" s="27"/>
    </row>
    <row r="16881" spans="1:1">
      <c r="A16881" s="27"/>
    </row>
    <row r="16882" spans="1:1">
      <c r="A16882" s="27"/>
    </row>
    <row r="16883" spans="1:1">
      <c r="A16883" s="27"/>
    </row>
    <row r="16884" spans="1:1">
      <c r="A16884" s="27"/>
    </row>
    <row r="16885" spans="1:1">
      <c r="A16885" s="27"/>
    </row>
    <row r="16886" spans="1:1">
      <c r="A16886" s="27"/>
    </row>
    <row r="16887" spans="1:1">
      <c r="A16887" s="27"/>
    </row>
    <row r="16888" spans="1:1">
      <c r="A16888" s="27"/>
    </row>
    <row r="16889" spans="1:1">
      <c r="A16889" s="27"/>
    </row>
    <row r="16890" spans="1:1">
      <c r="A16890" s="27"/>
    </row>
    <row r="16891" spans="1:1">
      <c r="A16891" s="27"/>
    </row>
    <row r="16892" spans="1:1">
      <c r="A16892" s="27"/>
    </row>
    <row r="16893" spans="1:1">
      <c r="A16893" s="27"/>
    </row>
    <row r="16894" spans="1:1">
      <c r="A16894" s="27"/>
    </row>
    <row r="16895" spans="1:1">
      <c r="A16895" s="27"/>
    </row>
    <row r="16896" spans="1:1">
      <c r="A16896" s="27"/>
    </row>
    <row r="16897" spans="1:1">
      <c r="A16897" s="27"/>
    </row>
    <row r="16898" spans="1:1">
      <c r="A16898" s="27"/>
    </row>
    <row r="16899" spans="1:1">
      <c r="A16899" s="27"/>
    </row>
    <row r="16900" spans="1:1">
      <c r="A16900" s="27"/>
    </row>
    <row r="16901" spans="1:1">
      <c r="A16901" s="27"/>
    </row>
    <row r="16902" spans="1:1">
      <c r="A16902" s="27"/>
    </row>
    <row r="16903" spans="1:1">
      <c r="A16903" s="27"/>
    </row>
    <row r="16904" spans="1:1">
      <c r="A16904" s="27"/>
    </row>
    <row r="16905" spans="1:1">
      <c r="A16905" s="27"/>
    </row>
    <row r="16906" spans="1:1">
      <c r="A16906" s="27"/>
    </row>
    <row r="16907" spans="1:1">
      <c r="A16907" s="27"/>
    </row>
    <row r="16908" spans="1:1">
      <c r="A16908" s="27"/>
    </row>
    <row r="16909" spans="1:1">
      <c r="A16909" s="27"/>
    </row>
    <row r="16910" spans="1:1">
      <c r="A16910" s="27"/>
    </row>
    <row r="16911" spans="1:1">
      <c r="A16911" s="27"/>
    </row>
    <row r="16912" spans="1:1">
      <c r="A16912" s="27"/>
    </row>
    <row r="16913" spans="1:1">
      <c r="A16913" s="27"/>
    </row>
    <row r="16914" spans="1:1">
      <c r="A16914" s="27"/>
    </row>
    <row r="16915" spans="1:1">
      <c r="A16915" s="27"/>
    </row>
    <row r="16916" spans="1:1">
      <c r="A16916" s="27"/>
    </row>
    <row r="16917" spans="1:1">
      <c r="A16917" s="27"/>
    </row>
    <row r="16918" spans="1:1">
      <c r="A16918" s="27"/>
    </row>
    <row r="16919" spans="1:1">
      <c r="A16919" s="27"/>
    </row>
    <row r="16920" spans="1:1">
      <c r="A16920" s="27"/>
    </row>
    <row r="16921" spans="1:1">
      <c r="A16921" s="27"/>
    </row>
    <row r="16922" spans="1:1">
      <c r="A16922" s="27"/>
    </row>
    <row r="16923" spans="1:1">
      <c r="A16923" s="27"/>
    </row>
    <row r="16924" spans="1:1">
      <c r="A16924" s="27"/>
    </row>
    <row r="16925" spans="1:1">
      <c r="A16925" s="27"/>
    </row>
    <row r="16926" spans="1:1">
      <c r="A16926" s="27"/>
    </row>
    <row r="16927" spans="1:1">
      <c r="A16927" s="27"/>
    </row>
    <row r="16928" spans="1:1">
      <c r="A16928" s="27"/>
    </row>
    <row r="16929" spans="1:1">
      <c r="A16929" s="27"/>
    </row>
    <row r="16930" spans="1:1">
      <c r="A16930" s="27"/>
    </row>
    <row r="16931" spans="1:1">
      <c r="A16931" s="27"/>
    </row>
    <row r="16932" spans="1:1">
      <c r="A16932" s="27"/>
    </row>
    <row r="16933" spans="1:1">
      <c r="A16933" s="27"/>
    </row>
    <row r="16934" spans="1:1">
      <c r="A16934" s="27"/>
    </row>
    <row r="16935" spans="1:1">
      <c r="A16935" s="27"/>
    </row>
    <row r="16936" spans="1:1">
      <c r="A16936" s="27"/>
    </row>
    <row r="16937" spans="1:1">
      <c r="A16937" s="27"/>
    </row>
    <row r="16938" spans="1:1">
      <c r="A16938" s="27"/>
    </row>
    <row r="16939" spans="1:1">
      <c r="A16939" s="27"/>
    </row>
    <row r="16940" spans="1:1">
      <c r="A16940" s="27"/>
    </row>
    <row r="16941" spans="1:1">
      <c r="A16941" s="27"/>
    </row>
    <row r="16942" spans="1:1">
      <c r="A16942" s="27"/>
    </row>
    <row r="16943" spans="1:1">
      <c r="A16943" s="27"/>
    </row>
    <row r="16944" spans="1:1">
      <c r="A16944" s="27"/>
    </row>
    <row r="16945" spans="1:1">
      <c r="A16945" s="27"/>
    </row>
    <row r="16946" spans="1:1">
      <c r="A16946" s="27"/>
    </row>
    <row r="16947" spans="1:1">
      <c r="A16947" s="27"/>
    </row>
    <row r="16948" spans="1:1">
      <c r="A16948" s="27"/>
    </row>
    <row r="16949" spans="1:1">
      <c r="A16949" s="27"/>
    </row>
    <row r="16950" spans="1:1">
      <c r="A16950" s="27"/>
    </row>
    <row r="16951" spans="1:1">
      <c r="A16951" s="27"/>
    </row>
    <row r="16952" spans="1:1">
      <c r="A16952" s="27"/>
    </row>
    <row r="16953" spans="1:1">
      <c r="A16953" s="27"/>
    </row>
    <row r="16954" spans="1:1">
      <c r="A16954" s="27"/>
    </row>
    <row r="16955" spans="1:1">
      <c r="A16955" s="27"/>
    </row>
    <row r="16956" spans="1:1">
      <c r="A16956" s="27"/>
    </row>
    <row r="16957" spans="1:1">
      <c r="A16957" s="27"/>
    </row>
    <row r="16958" spans="1:1">
      <c r="A16958" s="27"/>
    </row>
    <row r="16959" spans="1:1">
      <c r="A16959" s="27"/>
    </row>
    <row r="16960" spans="1:1">
      <c r="A16960" s="27"/>
    </row>
    <row r="16961" spans="1:1">
      <c r="A16961" s="27"/>
    </row>
    <row r="16962" spans="1:1">
      <c r="A16962" s="27"/>
    </row>
    <row r="16963" spans="1:1">
      <c r="A16963" s="27"/>
    </row>
    <row r="16964" spans="1:1">
      <c r="A16964" s="27"/>
    </row>
    <row r="16965" spans="1:1">
      <c r="A16965" s="27"/>
    </row>
    <row r="16966" spans="1:1">
      <c r="A16966" s="27"/>
    </row>
    <row r="16967" spans="1:1">
      <c r="A16967" s="27"/>
    </row>
    <row r="16968" spans="1:1">
      <c r="A16968" s="27"/>
    </row>
    <row r="16969" spans="1:1">
      <c r="A16969" s="27"/>
    </row>
    <row r="16970" spans="1:1">
      <c r="A16970" s="27"/>
    </row>
    <row r="16971" spans="1:1">
      <c r="A16971" s="27"/>
    </row>
    <row r="16972" spans="1:1">
      <c r="A16972" s="27"/>
    </row>
    <row r="16973" spans="1:1">
      <c r="A16973" s="27"/>
    </row>
    <row r="16974" spans="1:1">
      <c r="A16974" s="27"/>
    </row>
    <row r="16975" spans="1:1">
      <c r="A16975" s="27"/>
    </row>
    <row r="16976" spans="1:1">
      <c r="A16976" s="27"/>
    </row>
    <row r="16977" spans="1:1">
      <c r="A16977" s="27"/>
    </row>
    <row r="16978" spans="1:1">
      <c r="A16978" s="27"/>
    </row>
    <row r="16979" spans="1:1">
      <c r="A16979" s="27"/>
    </row>
    <row r="16980" spans="1:1">
      <c r="A16980" s="27"/>
    </row>
    <row r="16981" spans="1:1">
      <c r="A16981" s="27"/>
    </row>
    <row r="16982" spans="1:1">
      <c r="A16982" s="27"/>
    </row>
    <row r="16983" spans="1:1">
      <c r="A16983" s="27"/>
    </row>
    <row r="16984" spans="1:1">
      <c r="A16984" s="27"/>
    </row>
    <row r="16985" spans="1:1">
      <c r="A16985" s="27"/>
    </row>
    <row r="16986" spans="1:1">
      <c r="A16986" s="27"/>
    </row>
    <row r="16987" spans="1:1">
      <c r="A16987" s="27"/>
    </row>
    <row r="16988" spans="1:1">
      <c r="A16988" s="27"/>
    </row>
    <row r="16989" spans="1:1">
      <c r="A16989" s="27"/>
    </row>
    <row r="16990" spans="1:1">
      <c r="A16990" s="27"/>
    </row>
    <row r="16991" spans="1:1">
      <c r="A16991" s="27"/>
    </row>
    <row r="16992" spans="1:1">
      <c r="A16992" s="27"/>
    </row>
    <row r="16993" spans="1:1">
      <c r="A16993" s="27"/>
    </row>
    <row r="16994" spans="1:1">
      <c r="A16994" s="27"/>
    </row>
    <row r="16995" spans="1:1">
      <c r="A16995" s="27"/>
    </row>
    <row r="16996" spans="1:1">
      <c r="A16996" s="27"/>
    </row>
    <row r="16997" spans="1:1">
      <c r="A16997" s="27"/>
    </row>
    <row r="16998" spans="1:1">
      <c r="A16998" s="27"/>
    </row>
    <row r="16999" spans="1:1">
      <c r="A16999" s="27"/>
    </row>
    <row r="17000" spans="1:1">
      <c r="A17000" s="27"/>
    </row>
    <row r="17001" spans="1:1">
      <c r="A17001" s="27"/>
    </row>
    <row r="17002" spans="1:1">
      <c r="A17002" s="27"/>
    </row>
    <row r="17003" spans="1:1">
      <c r="A17003" s="27"/>
    </row>
    <row r="17004" spans="1:1">
      <c r="A17004" s="27"/>
    </row>
    <row r="17005" spans="1:1">
      <c r="A17005" s="27"/>
    </row>
    <row r="17006" spans="1:1">
      <c r="A17006" s="27"/>
    </row>
    <row r="17007" spans="1:1">
      <c r="A17007" s="27"/>
    </row>
    <row r="17008" spans="1:1">
      <c r="A17008" s="27"/>
    </row>
    <row r="17009" spans="1:1">
      <c r="A17009" s="27"/>
    </row>
    <row r="17010" spans="1:1">
      <c r="A17010" s="27"/>
    </row>
    <row r="17011" spans="1:1">
      <c r="A17011" s="27"/>
    </row>
    <row r="17012" spans="1:1">
      <c r="A17012" s="27"/>
    </row>
    <row r="17013" spans="1:1">
      <c r="A17013" s="27"/>
    </row>
    <row r="17014" spans="1:1">
      <c r="A17014" s="27"/>
    </row>
    <row r="17015" spans="1:1">
      <c r="A17015" s="27"/>
    </row>
    <row r="17016" spans="1:1">
      <c r="A17016" s="27"/>
    </row>
    <row r="17017" spans="1:1">
      <c r="A17017" s="27"/>
    </row>
    <row r="17018" spans="1:1">
      <c r="A17018" s="27"/>
    </row>
    <row r="17019" spans="1:1">
      <c r="A17019" s="27"/>
    </row>
    <row r="17020" spans="1:1">
      <c r="A17020" s="27"/>
    </row>
    <row r="17021" spans="1:1">
      <c r="A17021" s="27"/>
    </row>
    <row r="17022" spans="1:1">
      <c r="A17022" s="27"/>
    </row>
    <row r="17023" spans="1:1">
      <c r="A17023" s="27"/>
    </row>
    <row r="17024" spans="1:1">
      <c r="A17024" s="27"/>
    </row>
    <row r="17025" spans="1:1">
      <c r="A17025" s="27"/>
    </row>
    <row r="17026" spans="1:1">
      <c r="A17026" s="27"/>
    </row>
    <row r="17027" spans="1:1">
      <c r="A17027" s="27"/>
    </row>
    <row r="17028" spans="1:1">
      <c r="A17028" s="27"/>
    </row>
    <row r="17029" spans="1:1">
      <c r="A17029" s="27"/>
    </row>
    <row r="17030" spans="1:1">
      <c r="A17030" s="27"/>
    </row>
    <row r="17031" spans="1:1">
      <c r="A17031" s="27"/>
    </row>
    <row r="17032" spans="1:1">
      <c r="A17032" s="27"/>
    </row>
    <row r="17033" spans="1:1">
      <c r="A17033" s="27"/>
    </row>
    <row r="17034" spans="1:1">
      <c r="A17034" s="27"/>
    </row>
    <row r="17035" spans="1:1">
      <c r="A17035" s="27"/>
    </row>
    <row r="17036" spans="1:1">
      <c r="A17036" s="27"/>
    </row>
    <row r="17037" spans="1:1">
      <c r="A17037" s="27"/>
    </row>
    <row r="17038" spans="1:1">
      <c r="A17038" s="27"/>
    </row>
    <row r="17039" spans="1:1">
      <c r="A17039" s="27"/>
    </row>
    <row r="17040" spans="1:1">
      <c r="A17040" s="27"/>
    </row>
    <row r="17041" spans="1:1">
      <c r="A17041" s="27"/>
    </row>
    <row r="17042" spans="1:1">
      <c r="A17042" s="27"/>
    </row>
    <row r="17043" spans="1:1">
      <c r="A17043" s="27"/>
    </row>
    <row r="17044" spans="1:1">
      <c r="A17044" s="27"/>
    </row>
    <row r="17045" spans="1:1">
      <c r="A17045" s="27"/>
    </row>
    <row r="17046" spans="1:1">
      <c r="A17046" s="27"/>
    </row>
    <row r="17047" spans="1:1">
      <c r="A17047" s="27"/>
    </row>
    <row r="17048" spans="1:1">
      <c r="A17048" s="27"/>
    </row>
    <row r="17049" spans="1:1">
      <c r="A17049" s="27"/>
    </row>
    <row r="17050" spans="1:1">
      <c r="A17050" s="27"/>
    </row>
    <row r="17051" spans="1:1">
      <c r="A17051" s="27"/>
    </row>
    <row r="17052" spans="1:1">
      <c r="A17052" s="27"/>
    </row>
    <row r="17053" spans="1:1">
      <c r="A17053" s="27"/>
    </row>
    <row r="17054" spans="1:1">
      <c r="A17054" s="27"/>
    </row>
    <row r="17055" spans="1:1">
      <c r="A17055" s="27"/>
    </row>
    <row r="17056" spans="1:1">
      <c r="A17056" s="27"/>
    </row>
    <row r="17057" spans="1:1">
      <c r="A17057" s="27"/>
    </row>
    <row r="17058" spans="1:1">
      <c r="A17058" s="27"/>
    </row>
    <row r="17059" spans="1:1">
      <c r="A17059" s="27"/>
    </row>
    <row r="17060" spans="1:1">
      <c r="A17060" s="27"/>
    </row>
    <row r="17061" spans="1:1">
      <c r="A17061" s="27"/>
    </row>
    <row r="17062" spans="1:1">
      <c r="A17062" s="27"/>
    </row>
    <row r="17063" spans="1:1">
      <c r="A17063" s="27"/>
    </row>
    <row r="17064" spans="1:1">
      <c r="A17064" s="27"/>
    </row>
    <row r="17065" spans="1:1">
      <c r="A17065" s="27"/>
    </row>
    <row r="17066" spans="1:1">
      <c r="A17066" s="27"/>
    </row>
    <row r="17067" spans="1:1">
      <c r="A17067" s="27"/>
    </row>
    <row r="17068" spans="1:1">
      <c r="A17068" s="27"/>
    </row>
    <row r="17069" spans="1:1">
      <c r="A17069" s="27"/>
    </row>
    <row r="17070" spans="1:1">
      <c r="A17070" s="27"/>
    </row>
    <row r="17071" spans="1:1">
      <c r="A17071" s="27"/>
    </row>
    <row r="17072" spans="1:1">
      <c r="A17072" s="27"/>
    </row>
    <row r="17073" spans="1:1">
      <c r="A17073" s="27"/>
    </row>
    <row r="17074" spans="1:1">
      <c r="A17074" s="27"/>
    </row>
    <row r="17075" spans="1:1">
      <c r="A17075" s="27"/>
    </row>
    <row r="17076" spans="1:1">
      <c r="A17076" s="27"/>
    </row>
    <row r="17077" spans="1:1">
      <c r="A17077" s="27"/>
    </row>
    <row r="17078" spans="1:1">
      <c r="A17078" s="27"/>
    </row>
    <row r="17079" spans="1:1">
      <c r="A17079" s="27"/>
    </row>
    <row r="17080" spans="1:1">
      <c r="A17080" s="27"/>
    </row>
    <row r="17081" spans="1:1">
      <c r="A17081" s="27"/>
    </row>
    <row r="17082" spans="1:1">
      <c r="A17082" s="27"/>
    </row>
    <row r="17083" spans="1:1">
      <c r="A17083" s="27"/>
    </row>
    <row r="17084" spans="1:1">
      <c r="A17084" s="27"/>
    </row>
    <row r="17085" spans="1:1">
      <c r="A17085" s="27"/>
    </row>
    <row r="17086" spans="1:1">
      <c r="A17086" s="27"/>
    </row>
    <row r="17087" spans="1:1">
      <c r="A17087" s="27"/>
    </row>
    <row r="17088" spans="1:1">
      <c r="A17088" s="27"/>
    </row>
    <row r="17089" spans="1:1">
      <c r="A17089" s="27"/>
    </row>
    <row r="17090" spans="1:1">
      <c r="A17090" s="27"/>
    </row>
    <row r="17091" spans="1:1">
      <c r="A17091" s="27"/>
    </row>
    <row r="17092" spans="1:1">
      <c r="A17092" s="27"/>
    </row>
    <row r="17093" spans="1:1">
      <c r="A17093" s="27"/>
    </row>
    <row r="17094" spans="1:1">
      <c r="A17094" s="27"/>
    </row>
    <row r="17095" spans="1:1">
      <c r="A17095" s="27"/>
    </row>
    <row r="17096" spans="1:1">
      <c r="A17096" s="27"/>
    </row>
    <row r="17097" spans="1:1">
      <c r="A17097" s="27"/>
    </row>
    <row r="17098" spans="1:1">
      <c r="A17098" s="27"/>
    </row>
    <row r="17099" spans="1:1">
      <c r="A17099" s="27"/>
    </row>
    <row r="17100" spans="1:1">
      <c r="A17100" s="27"/>
    </row>
    <row r="17101" spans="1:1">
      <c r="A17101" s="27"/>
    </row>
    <row r="17102" spans="1:1">
      <c r="A17102" s="27"/>
    </row>
    <row r="17103" spans="1:1">
      <c r="A17103" s="27"/>
    </row>
    <row r="17104" spans="1:1">
      <c r="A17104" s="27"/>
    </row>
    <row r="17105" spans="1:1">
      <c r="A17105" s="27"/>
    </row>
    <row r="17106" spans="1:1">
      <c r="A17106" s="27"/>
    </row>
    <row r="17107" spans="1:1">
      <c r="A17107" s="27"/>
    </row>
    <row r="17108" spans="1:1">
      <c r="A17108" s="27"/>
    </row>
    <row r="17109" spans="1:1">
      <c r="A17109" s="27"/>
    </row>
    <row r="17110" spans="1:1">
      <c r="A17110" s="27"/>
    </row>
    <row r="17111" spans="1:1">
      <c r="A17111" s="27"/>
    </row>
    <row r="17112" spans="1:1">
      <c r="A17112" s="27"/>
    </row>
    <row r="17113" spans="1:1">
      <c r="A17113" s="27"/>
    </row>
    <row r="17114" spans="1:1">
      <c r="A17114" s="27"/>
    </row>
    <row r="17115" spans="1:1">
      <c r="A17115" s="27"/>
    </row>
    <row r="17116" spans="1:1">
      <c r="A17116" s="27"/>
    </row>
    <row r="17117" spans="1:1">
      <c r="A17117" s="27"/>
    </row>
    <row r="17118" spans="1:1">
      <c r="A17118" s="27"/>
    </row>
    <row r="17119" spans="1:1">
      <c r="A17119" s="27"/>
    </row>
    <row r="17120" spans="1:1">
      <c r="A17120" s="27"/>
    </row>
    <row r="17121" spans="1:1">
      <c r="A17121" s="27"/>
    </row>
    <row r="17122" spans="1:1">
      <c r="A17122" s="27"/>
    </row>
    <row r="17123" spans="1:1">
      <c r="A17123" s="27"/>
    </row>
    <row r="17124" spans="1:1">
      <c r="A17124" s="27"/>
    </row>
    <row r="17125" spans="1:1">
      <c r="A17125" s="27"/>
    </row>
    <row r="17126" spans="1:1">
      <c r="A17126" s="27"/>
    </row>
    <row r="17127" spans="1:1">
      <c r="A17127" s="27"/>
    </row>
    <row r="17128" spans="1:1">
      <c r="A17128" s="27"/>
    </row>
    <row r="17129" spans="1:1">
      <c r="A17129" s="27"/>
    </row>
    <row r="17130" spans="1:1">
      <c r="A17130" s="27"/>
    </row>
    <row r="17131" spans="1:1">
      <c r="A17131" s="27"/>
    </row>
    <row r="17132" spans="1:1">
      <c r="A17132" s="27"/>
    </row>
    <row r="17133" spans="1:1">
      <c r="A17133" s="27"/>
    </row>
    <row r="17134" spans="1:1">
      <c r="A17134" s="27"/>
    </row>
    <row r="17135" spans="1:1">
      <c r="A17135" s="27"/>
    </row>
    <row r="17136" spans="1:1">
      <c r="A17136" s="27"/>
    </row>
    <row r="17137" spans="1:1">
      <c r="A17137" s="27"/>
    </row>
    <row r="17138" spans="1:1">
      <c r="A17138" s="27"/>
    </row>
    <row r="17139" spans="1:1">
      <c r="A17139" s="27"/>
    </row>
    <row r="17140" spans="1:1">
      <c r="A17140" s="27"/>
    </row>
    <row r="17141" spans="1:1">
      <c r="A17141" s="27"/>
    </row>
    <row r="17142" spans="1:1">
      <c r="A17142" s="27"/>
    </row>
    <row r="17143" spans="1:1">
      <c r="A17143" s="27"/>
    </row>
    <row r="17144" spans="1:1">
      <c r="A17144" s="27"/>
    </row>
    <row r="17145" spans="1:1">
      <c r="A17145" s="27"/>
    </row>
    <row r="17146" spans="1:1">
      <c r="A17146" s="27"/>
    </row>
    <row r="17147" spans="1:1">
      <c r="A17147" s="27"/>
    </row>
    <row r="17148" spans="1:1">
      <c r="A17148" s="27"/>
    </row>
    <row r="17149" spans="1:1">
      <c r="A17149" s="27"/>
    </row>
    <row r="17150" spans="1:1">
      <c r="A17150" s="27"/>
    </row>
    <row r="17151" spans="1:1">
      <c r="A17151" s="27"/>
    </row>
    <row r="17152" spans="1:1">
      <c r="A17152" s="27"/>
    </row>
    <row r="17153" spans="1:1">
      <c r="A17153" s="27"/>
    </row>
    <row r="17154" spans="1:1">
      <c r="A17154" s="27"/>
    </row>
    <row r="17155" spans="1:1">
      <c r="A17155" s="27"/>
    </row>
    <row r="17156" spans="1:1">
      <c r="A17156" s="27"/>
    </row>
    <row r="17157" spans="1:1">
      <c r="A17157" s="27"/>
    </row>
    <row r="17158" spans="1:1">
      <c r="A17158" s="27"/>
    </row>
    <row r="17159" spans="1:1">
      <c r="A17159" s="27"/>
    </row>
    <row r="17160" spans="1:1">
      <c r="A17160" s="27"/>
    </row>
    <row r="17161" spans="1:1">
      <c r="A17161" s="27"/>
    </row>
    <row r="17162" spans="1:1">
      <c r="A17162" s="27"/>
    </row>
    <row r="17163" spans="1:1">
      <c r="A17163" s="27"/>
    </row>
    <row r="17164" spans="1:1">
      <c r="A17164" s="27"/>
    </row>
    <row r="17165" spans="1:1">
      <c r="A17165" s="27"/>
    </row>
    <row r="17166" spans="1:1">
      <c r="A17166" s="27"/>
    </row>
    <row r="17167" spans="1:1">
      <c r="A17167" s="27"/>
    </row>
    <row r="17168" spans="1:1">
      <c r="A17168" s="27"/>
    </row>
    <row r="17169" spans="1:1">
      <c r="A17169" s="27"/>
    </row>
    <row r="17170" spans="1:1">
      <c r="A17170" s="27"/>
    </row>
    <row r="17171" spans="1:1">
      <c r="A17171" s="27"/>
    </row>
    <row r="17172" spans="1:1">
      <c r="A17172" s="27"/>
    </row>
    <row r="17173" spans="1:1">
      <c r="A17173" s="27"/>
    </row>
    <row r="17174" spans="1:1">
      <c r="A17174" s="27"/>
    </row>
    <row r="17175" spans="1:1">
      <c r="A17175" s="27"/>
    </row>
    <row r="17176" spans="1:1">
      <c r="A17176" s="27"/>
    </row>
    <row r="17177" spans="1:1">
      <c r="A17177" s="27"/>
    </row>
    <row r="17178" spans="1:1">
      <c r="A17178" s="27"/>
    </row>
    <row r="17179" spans="1:1">
      <c r="A17179" s="27"/>
    </row>
    <row r="17180" spans="1:1">
      <c r="A17180" s="27"/>
    </row>
    <row r="17181" spans="1:1">
      <c r="A17181" s="27"/>
    </row>
    <row r="17182" spans="1:1">
      <c r="A17182" s="27"/>
    </row>
    <row r="17183" spans="1:1">
      <c r="A17183" s="27"/>
    </row>
    <row r="17184" spans="1:1">
      <c r="A17184" s="27"/>
    </row>
    <row r="17185" spans="1:1">
      <c r="A17185" s="27"/>
    </row>
    <row r="17186" spans="1:1">
      <c r="A17186" s="27"/>
    </row>
    <row r="17187" spans="1:1">
      <c r="A17187" s="27"/>
    </row>
    <row r="17188" spans="1:1">
      <c r="A17188" s="27"/>
    </row>
    <row r="17189" spans="1:1">
      <c r="A17189" s="27"/>
    </row>
    <row r="17190" spans="1:1">
      <c r="A17190" s="27"/>
    </row>
    <row r="17191" spans="1:1">
      <c r="A17191" s="27"/>
    </row>
    <row r="17192" spans="1:1">
      <c r="A17192" s="27"/>
    </row>
    <row r="17193" spans="1:1">
      <c r="A17193" s="27"/>
    </row>
    <row r="17194" spans="1:1">
      <c r="A17194" s="27"/>
    </row>
    <row r="17195" spans="1:1">
      <c r="A17195" s="27"/>
    </row>
    <row r="17196" spans="1:1">
      <c r="A17196" s="27"/>
    </row>
    <row r="17197" spans="1:1">
      <c r="A17197" s="27"/>
    </row>
    <row r="17198" spans="1:1">
      <c r="A17198" s="27"/>
    </row>
    <row r="17199" spans="1:1">
      <c r="A17199" s="27"/>
    </row>
    <row r="17200" spans="1:1">
      <c r="A17200" s="27"/>
    </row>
    <row r="17201" spans="1:1">
      <c r="A17201" s="27"/>
    </row>
    <row r="17202" spans="1:1">
      <c r="A17202" s="27"/>
    </row>
    <row r="17203" spans="1:1">
      <c r="A17203" s="27"/>
    </row>
    <row r="17204" spans="1:1">
      <c r="A17204" s="27"/>
    </row>
    <row r="17205" spans="1:1">
      <c r="A17205" s="27"/>
    </row>
    <row r="17206" spans="1:1">
      <c r="A17206" s="27"/>
    </row>
    <row r="17207" spans="1:1">
      <c r="A17207" s="27"/>
    </row>
    <row r="17208" spans="1:1">
      <c r="A17208" s="27"/>
    </row>
    <row r="17209" spans="1:1">
      <c r="A17209" s="27"/>
    </row>
    <row r="17210" spans="1:1">
      <c r="A17210" s="27"/>
    </row>
    <row r="17211" spans="1:1">
      <c r="A17211" s="27"/>
    </row>
    <row r="17212" spans="1:1">
      <c r="A17212" s="27"/>
    </row>
    <row r="17213" spans="1:1">
      <c r="A17213" s="27"/>
    </row>
    <row r="17214" spans="1:1">
      <c r="A17214" s="27"/>
    </row>
    <row r="17215" spans="1:1">
      <c r="A17215" s="27"/>
    </row>
    <row r="17216" spans="1:1">
      <c r="A17216" s="27"/>
    </row>
    <row r="17217" spans="1:1">
      <c r="A17217" s="27"/>
    </row>
    <row r="17218" spans="1:1">
      <c r="A17218" s="27"/>
    </row>
    <row r="17219" spans="1:1">
      <c r="A17219" s="27"/>
    </row>
    <row r="17220" spans="1:1">
      <c r="A17220" s="27"/>
    </row>
    <row r="17221" spans="1:1">
      <c r="A17221" s="27"/>
    </row>
    <row r="17222" spans="1:1">
      <c r="A17222" s="27"/>
    </row>
    <row r="17223" spans="1:1">
      <c r="A17223" s="27"/>
    </row>
    <row r="17224" spans="1:1">
      <c r="A17224" s="27"/>
    </row>
    <row r="17225" spans="1:1">
      <c r="A17225" s="27"/>
    </row>
    <row r="17226" spans="1:1">
      <c r="A17226" s="27"/>
    </row>
    <row r="17227" spans="1:1">
      <c r="A17227" s="27"/>
    </row>
    <row r="17228" spans="1:1">
      <c r="A17228" s="27"/>
    </row>
    <row r="17229" spans="1:1">
      <c r="A17229" s="27"/>
    </row>
    <row r="17230" spans="1:1">
      <c r="A17230" s="27"/>
    </row>
    <row r="17231" spans="1:1">
      <c r="A17231" s="27"/>
    </row>
    <row r="17232" spans="1:1">
      <c r="A17232" s="27"/>
    </row>
    <row r="17233" spans="1:1">
      <c r="A17233" s="27"/>
    </row>
    <row r="17234" spans="1:1">
      <c r="A17234" s="27"/>
    </row>
    <row r="17235" spans="1:1">
      <c r="A17235" s="27"/>
    </row>
    <row r="17236" spans="1:1">
      <c r="A17236" s="27"/>
    </row>
    <row r="17237" spans="1:1">
      <c r="A17237" s="27"/>
    </row>
    <row r="17238" spans="1:1">
      <c r="A17238" s="27"/>
    </row>
    <row r="17239" spans="1:1">
      <c r="A17239" s="27"/>
    </row>
    <row r="17240" spans="1:1">
      <c r="A17240" s="27"/>
    </row>
    <row r="17241" spans="1:1">
      <c r="A17241" s="27"/>
    </row>
    <row r="17242" spans="1:1">
      <c r="A17242" s="27"/>
    </row>
    <row r="17243" spans="1:1">
      <c r="A17243" s="27"/>
    </row>
    <row r="17244" spans="1:1">
      <c r="A17244" s="27"/>
    </row>
    <row r="17245" spans="1:1">
      <c r="A17245" s="27"/>
    </row>
    <row r="17246" spans="1:1">
      <c r="A17246" s="27"/>
    </row>
    <row r="17247" spans="1:1">
      <c r="A17247" s="27"/>
    </row>
    <row r="17248" spans="1:1">
      <c r="A17248" s="27"/>
    </row>
    <row r="17249" spans="1:1">
      <c r="A17249" s="27"/>
    </row>
    <row r="17250" spans="1:1">
      <c r="A17250" s="27"/>
    </row>
    <row r="17251" spans="1:1">
      <c r="A17251" s="27"/>
    </row>
    <row r="17252" spans="1:1">
      <c r="A17252" s="27"/>
    </row>
    <row r="17253" spans="1:1">
      <c r="A17253" s="27"/>
    </row>
    <row r="17254" spans="1:1">
      <c r="A17254" s="27"/>
    </row>
    <row r="17255" spans="1:1">
      <c r="A17255" s="27"/>
    </row>
    <row r="17256" spans="1:1">
      <c r="A17256" s="27"/>
    </row>
    <row r="17257" spans="1:1">
      <c r="A17257" s="27"/>
    </row>
    <row r="17258" spans="1:1">
      <c r="A17258" s="27"/>
    </row>
    <row r="17259" spans="1:1">
      <c r="A17259" s="27"/>
    </row>
    <row r="17260" spans="1:1">
      <c r="A17260" s="27"/>
    </row>
    <row r="17261" spans="1:1">
      <c r="A17261" s="27"/>
    </row>
    <row r="17262" spans="1:1">
      <c r="A17262" s="27"/>
    </row>
    <row r="17263" spans="1:1">
      <c r="A17263" s="27"/>
    </row>
    <row r="17264" spans="1:1">
      <c r="A17264" s="27"/>
    </row>
    <row r="17265" spans="1:1">
      <c r="A17265" s="27"/>
    </row>
    <row r="17266" spans="1:1">
      <c r="A17266" s="27"/>
    </row>
    <row r="17267" spans="1:1">
      <c r="A17267" s="27"/>
    </row>
    <row r="17268" spans="1:1">
      <c r="A17268" s="27"/>
    </row>
    <row r="17269" spans="1:1">
      <c r="A17269" s="27"/>
    </row>
    <row r="17270" spans="1:1">
      <c r="A17270" s="27"/>
    </row>
    <row r="17271" spans="1:1">
      <c r="A17271" s="27"/>
    </row>
    <row r="17272" spans="1:1">
      <c r="A17272" s="27"/>
    </row>
    <row r="17273" spans="1:1">
      <c r="A17273" s="27"/>
    </row>
    <row r="17274" spans="1:1">
      <c r="A17274" s="27"/>
    </row>
    <row r="17275" spans="1:1">
      <c r="A17275" s="27"/>
    </row>
    <row r="17276" spans="1:1">
      <c r="A17276" s="27"/>
    </row>
    <row r="17277" spans="1:1">
      <c r="A17277" s="27"/>
    </row>
    <row r="17278" spans="1:1">
      <c r="A17278" s="27"/>
    </row>
    <row r="17279" spans="1:1">
      <c r="A17279" s="27"/>
    </row>
    <row r="17280" spans="1:1">
      <c r="A17280" s="27"/>
    </row>
    <row r="17281" spans="1:1">
      <c r="A17281" s="27"/>
    </row>
    <row r="17282" spans="1:1">
      <c r="A17282" s="27"/>
    </row>
    <row r="17283" spans="1:1">
      <c r="A17283" s="27"/>
    </row>
    <row r="17284" spans="1:1">
      <c r="A17284" s="27"/>
    </row>
    <row r="17285" spans="1:1">
      <c r="A17285" s="27"/>
    </row>
    <row r="17286" spans="1:1">
      <c r="A17286" s="27"/>
    </row>
    <row r="17287" spans="1:1">
      <c r="A17287" s="27"/>
    </row>
    <row r="17288" spans="1:1">
      <c r="A17288" s="27"/>
    </row>
    <row r="17289" spans="1:1">
      <c r="A17289" s="27"/>
    </row>
    <row r="17290" spans="1:1">
      <c r="A17290" s="27"/>
    </row>
    <row r="17291" spans="1:1">
      <c r="A17291" s="27"/>
    </row>
    <row r="17292" spans="1:1">
      <c r="A17292" s="27"/>
    </row>
    <row r="17293" spans="1:1">
      <c r="A17293" s="27"/>
    </row>
    <row r="17294" spans="1:1">
      <c r="A17294" s="27"/>
    </row>
    <row r="17295" spans="1:1">
      <c r="A17295" s="27"/>
    </row>
    <row r="17296" spans="1:1">
      <c r="A17296" s="27"/>
    </row>
    <row r="17297" spans="1:1">
      <c r="A17297" s="27"/>
    </row>
    <row r="17298" spans="1:1">
      <c r="A17298" s="27"/>
    </row>
    <row r="17299" spans="1:1">
      <c r="A17299" s="27"/>
    </row>
    <row r="17300" spans="1:1">
      <c r="A17300" s="27"/>
    </row>
    <row r="17301" spans="1:1">
      <c r="A17301" s="27"/>
    </row>
    <row r="17302" spans="1:1">
      <c r="A17302" s="27"/>
    </row>
    <row r="17303" spans="1:1">
      <c r="A17303" s="27"/>
    </row>
    <row r="17304" spans="1:1">
      <c r="A17304" s="27"/>
    </row>
    <row r="17305" spans="1:1">
      <c r="A17305" s="27"/>
    </row>
    <row r="17306" spans="1:1">
      <c r="A17306" s="27"/>
    </row>
    <row r="17307" spans="1:1">
      <c r="A17307" s="27"/>
    </row>
    <row r="17308" spans="1:1">
      <c r="A17308" s="27"/>
    </row>
    <row r="17309" spans="1:1">
      <c r="A17309" s="27"/>
    </row>
    <row r="17310" spans="1:1">
      <c r="A17310" s="27"/>
    </row>
    <row r="17311" spans="1:1">
      <c r="A17311" s="27"/>
    </row>
    <row r="17312" spans="1:1">
      <c r="A17312" s="27"/>
    </row>
    <row r="17313" spans="1:1">
      <c r="A17313" s="27"/>
    </row>
    <row r="17314" spans="1:1">
      <c r="A17314" s="27"/>
    </row>
    <row r="17315" spans="1:1">
      <c r="A17315" s="27"/>
    </row>
    <row r="17316" spans="1:1">
      <c r="A17316" s="27"/>
    </row>
    <row r="17317" spans="1:1">
      <c r="A17317" s="27"/>
    </row>
    <row r="17318" spans="1:1">
      <c r="A17318" s="27"/>
    </row>
    <row r="17319" spans="1:1">
      <c r="A17319" s="27"/>
    </row>
    <row r="17320" spans="1:1">
      <c r="A17320" s="27"/>
    </row>
    <row r="17321" spans="1:1">
      <c r="A17321" s="27"/>
    </row>
    <row r="17322" spans="1:1">
      <c r="A17322" s="27"/>
    </row>
    <row r="17323" spans="1:1">
      <c r="A17323" s="27"/>
    </row>
    <row r="17324" spans="1:1">
      <c r="A17324" s="27"/>
    </row>
    <row r="17325" spans="1:1">
      <c r="A17325" s="27"/>
    </row>
    <row r="17326" spans="1:1">
      <c r="A17326" s="27"/>
    </row>
    <row r="17327" spans="1:1">
      <c r="A17327" s="27"/>
    </row>
    <row r="17328" spans="1:1">
      <c r="A17328" s="27"/>
    </row>
    <row r="17329" spans="1:1">
      <c r="A17329" s="27"/>
    </row>
    <row r="17330" spans="1:1">
      <c r="A17330" s="27"/>
    </row>
    <row r="17331" spans="1:1">
      <c r="A17331" s="27"/>
    </row>
    <row r="17332" spans="1:1">
      <c r="A17332" s="27"/>
    </row>
    <row r="17333" spans="1:1">
      <c r="A17333" s="27"/>
    </row>
    <row r="17334" spans="1:1">
      <c r="A17334" s="27"/>
    </row>
    <row r="17335" spans="1:1">
      <c r="A17335" s="27"/>
    </row>
    <row r="17336" spans="1:1">
      <c r="A17336" s="27"/>
    </row>
    <row r="17337" spans="1:1">
      <c r="A17337" s="27"/>
    </row>
    <row r="17338" spans="1:1">
      <c r="A17338" s="27"/>
    </row>
    <row r="17339" spans="1:1">
      <c r="A17339" s="27"/>
    </row>
    <row r="17340" spans="1:1">
      <c r="A17340" s="27"/>
    </row>
    <row r="17341" spans="1:1">
      <c r="A17341" s="27"/>
    </row>
    <row r="17342" spans="1:1">
      <c r="A17342" s="27"/>
    </row>
    <row r="17343" spans="1:1">
      <c r="A17343" s="27"/>
    </row>
    <row r="17344" spans="1:1">
      <c r="A17344" s="27"/>
    </row>
    <row r="17345" spans="1:1">
      <c r="A17345" s="27"/>
    </row>
    <row r="17346" spans="1:1">
      <c r="A17346" s="27"/>
    </row>
    <row r="17347" spans="1:1">
      <c r="A17347" s="27"/>
    </row>
    <row r="17348" spans="1:1">
      <c r="A17348" s="27"/>
    </row>
    <row r="17349" spans="1:1">
      <c r="A17349" s="27"/>
    </row>
    <row r="17350" spans="1:1">
      <c r="A17350" s="27"/>
    </row>
    <row r="17351" spans="1:1">
      <c r="A17351" s="27"/>
    </row>
    <row r="17352" spans="1:1">
      <c r="A17352" s="27"/>
    </row>
    <row r="17353" spans="1:1">
      <c r="A17353" s="27"/>
    </row>
    <row r="17354" spans="1:1">
      <c r="A17354" s="27"/>
    </row>
    <row r="17355" spans="1:1">
      <c r="A17355" s="27"/>
    </row>
    <row r="17356" spans="1:1">
      <c r="A17356" s="27"/>
    </row>
    <row r="17357" spans="1:1">
      <c r="A17357" s="27"/>
    </row>
    <row r="17358" spans="1:1">
      <c r="A17358" s="27"/>
    </row>
    <row r="17359" spans="1:1">
      <c r="A17359" s="27"/>
    </row>
    <row r="17360" spans="1:1">
      <c r="A17360" s="27"/>
    </row>
    <row r="17361" spans="1:1">
      <c r="A17361" s="27"/>
    </row>
    <row r="17362" spans="1:1">
      <c r="A17362" s="27"/>
    </row>
    <row r="17363" spans="1:1">
      <c r="A17363" s="27"/>
    </row>
    <row r="17364" spans="1:1">
      <c r="A17364" s="27"/>
    </row>
    <row r="17365" spans="1:1">
      <c r="A17365" s="27"/>
    </row>
    <row r="17366" spans="1:1">
      <c r="A17366" s="27"/>
    </row>
    <row r="17367" spans="1:1">
      <c r="A17367" s="27"/>
    </row>
    <row r="17368" spans="1:1">
      <c r="A17368" s="27"/>
    </row>
    <row r="17369" spans="1:1">
      <c r="A17369" s="27"/>
    </row>
    <row r="17370" spans="1:1">
      <c r="A17370" s="27"/>
    </row>
    <row r="17371" spans="1:1">
      <c r="A17371" s="27"/>
    </row>
    <row r="17372" spans="1:1">
      <c r="A17372" s="27"/>
    </row>
    <row r="17373" spans="1:1">
      <c r="A17373" s="27"/>
    </row>
    <row r="17374" spans="1:1">
      <c r="A17374" s="27"/>
    </row>
    <row r="17375" spans="1:1">
      <c r="A17375" s="27"/>
    </row>
    <row r="17376" spans="1:1">
      <c r="A17376" s="27"/>
    </row>
    <row r="17377" spans="1:1">
      <c r="A17377" s="27"/>
    </row>
    <row r="17378" spans="1:1">
      <c r="A17378" s="27"/>
    </row>
    <row r="17379" spans="1:1">
      <c r="A17379" s="27"/>
    </row>
    <row r="17380" spans="1:1">
      <c r="A17380" s="27"/>
    </row>
    <row r="17381" spans="1:1">
      <c r="A17381" s="27"/>
    </row>
    <row r="17382" spans="1:1">
      <c r="A17382" s="27"/>
    </row>
    <row r="17383" spans="1:1">
      <c r="A17383" s="27"/>
    </row>
    <row r="17384" spans="1:1">
      <c r="A17384" s="27"/>
    </row>
    <row r="17385" spans="1:1">
      <c r="A17385" s="27"/>
    </row>
    <row r="17386" spans="1:1">
      <c r="A17386" s="27"/>
    </row>
    <row r="17387" spans="1:1">
      <c r="A17387" s="27"/>
    </row>
    <row r="17388" spans="1:1">
      <c r="A17388" s="27"/>
    </row>
    <row r="17389" spans="1:1">
      <c r="A17389" s="27"/>
    </row>
    <row r="17390" spans="1:1">
      <c r="A17390" s="27"/>
    </row>
    <row r="17391" spans="1:1">
      <c r="A17391" s="27"/>
    </row>
    <row r="17392" spans="1:1">
      <c r="A17392" s="27"/>
    </row>
    <row r="17393" spans="1:1">
      <c r="A17393" s="27"/>
    </row>
    <row r="17394" spans="1:1">
      <c r="A17394" s="27"/>
    </row>
    <row r="17395" spans="1:1">
      <c r="A17395" s="27"/>
    </row>
    <row r="17396" spans="1:1">
      <c r="A17396" s="27"/>
    </row>
    <row r="17397" spans="1:1">
      <c r="A17397" s="27"/>
    </row>
    <row r="17398" spans="1:1">
      <c r="A17398" s="27"/>
    </row>
    <row r="17399" spans="1:1">
      <c r="A17399" s="27"/>
    </row>
    <row r="17400" spans="1:1">
      <c r="A17400" s="27"/>
    </row>
    <row r="17401" spans="1:1">
      <c r="A17401" s="27"/>
    </row>
    <row r="17402" spans="1:1">
      <c r="A17402" s="27"/>
    </row>
    <row r="17403" spans="1:1">
      <c r="A17403" s="27"/>
    </row>
    <row r="17404" spans="1:1">
      <c r="A17404" s="27"/>
    </row>
    <row r="17405" spans="1:1">
      <c r="A17405" s="27"/>
    </row>
    <row r="17406" spans="1:1">
      <c r="A17406" s="27"/>
    </row>
    <row r="17407" spans="1:1">
      <c r="A17407" s="27"/>
    </row>
    <row r="17408" spans="1:1">
      <c r="A17408" s="27"/>
    </row>
    <row r="17409" spans="1:1">
      <c r="A17409" s="27"/>
    </row>
    <row r="17410" spans="1:1">
      <c r="A17410" s="27"/>
    </row>
    <row r="17411" spans="1:1">
      <c r="A17411" s="27"/>
    </row>
    <row r="17412" spans="1:1">
      <c r="A17412" s="27"/>
    </row>
    <row r="17413" spans="1:1">
      <c r="A17413" s="27"/>
    </row>
    <row r="17414" spans="1:1">
      <c r="A17414" s="27"/>
    </row>
    <row r="17415" spans="1:1">
      <c r="A17415" s="27"/>
    </row>
    <row r="17416" spans="1:1">
      <c r="A17416" s="27"/>
    </row>
    <row r="17417" spans="1:1">
      <c r="A17417" s="27"/>
    </row>
    <row r="17418" spans="1:1">
      <c r="A17418" s="27"/>
    </row>
    <row r="17419" spans="1:1">
      <c r="A17419" s="27"/>
    </row>
    <row r="17420" spans="1:1">
      <c r="A17420" s="27"/>
    </row>
    <row r="17421" spans="1:1">
      <c r="A17421" s="27"/>
    </row>
    <row r="17422" spans="1:1">
      <c r="A17422" s="27"/>
    </row>
    <row r="17423" spans="1:1">
      <c r="A17423" s="27"/>
    </row>
    <row r="17424" spans="1:1">
      <c r="A17424" s="27"/>
    </row>
    <row r="17425" spans="1:1">
      <c r="A17425" s="27"/>
    </row>
    <row r="17426" spans="1:1">
      <c r="A17426" s="27"/>
    </row>
    <row r="17427" spans="1:1">
      <c r="A17427" s="27"/>
    </row>
    <row r="17428" spans="1:1">
      <c r="A17428" s="27"/>
    </row>
    <row r="17429" spans="1:1">
      <c r="A17429" s="27"/>
    </row>
    <row r="17430" spans="1:1">
      <c r="A17430" s="27"/>
    </row>
    <row r="17431" spans="1:1">
      <c r="A17431" s="27"/>
    </row>
    <row r="17432" spans="1:1">
      <c r="A17432" s="27"/>
    </row>
    <row r="17433" spans="1:1">
      <c r="A17433" s="27"/>
    </row>
    <row r="17434" spans="1:1">
      <c r="A17434" s="27"/>
    </row>
    <row r="17435" spans="1:1">
      <c r="A17435" s="27"/>
    </row>
    <row r="17436" spans="1:1">
      <c r="A17436" s="27"/>
    </row>
    <row r="17437" spans="1:1">
      <c r="A17437" s="27"/>
    </row>
    <row r="17438" spans="1:1">
      <c r="A17438" s="27"/>
    </row>
    <row r="17439" spans="1:1">
      <c r="A17439" s="27"/>
    </row>
    <row r="17440" spans="1:1">
      <c r="A17440" s="27"/>
    </row>
    <row r="17441" spans="1:1">
      <c r="A17441" s="27"/>
    </row>
    <row r="17442" spans="1:1">
      <c r="A17442" s="27"/>
    </row>
    <row r="17443" spans="1:1">
      <c r="A17443" s="27"/>
    </row>
    <row r="17444" spans="1:1">
      <c r="A17444" s="27"/>
    </row>
    <row r="17445" spans="1:1">
      <c r="A17445" s="27"/>
    </row>
    <row r="17446" spans="1:1">
      <c r="A17446" s="27"/>
    </row>
    <row r="17447" spans="1:1">
      <c r="A17447" s="27"/>
    </row>
    <row r="17448" spans="1:1">
      <c r="A17448" s="27"/>
    </row>
    <row r="17449" spans="1:1">
      <c r="A17449" s="27"/>
    </row>
    <row r="17450" spans="1:1">
      <c r="A17450" s="27"/>
    </row>
    <row r="17451" spans="1:1">
      <c r="A17451" s="27"/>
    </row>
    <row r="17452" spans="1:1">
      <c r="A17452" s="27"/>
    </row>
    <row r="17453" spans="1:1">
      <c r="A17453" s="27"/>
    </row>
    <row r="17454" spans="1:1">
      <c r="A17454" s="27"/>
    </row>
    <row r="17455" spans="1:1">
      <c r="A17455" s="27"/>
    </row>
    <row r="17456" spans="1:1">
      <c r="A17456" s="27"/>
    </row>
    <row r="17457" spans="1:1">
      <c r="A17457" s="27"/>
    </row>
    <row r="17458" spans="1:1">
      <c r="A17458" s="27"/>
    </row>
    <row r="17459" spans="1:1">
      <c r="A17459" s="27"/>
    </row>
    <row r="17460" spans="1:1">
      <c r="A17460" s="27"/>
    </row>
    <row r="17461" spans="1:1">
      <c r="A17461" s="27"/>
    </row>
    <row r="17462" spans="1:1">
      <c r="A17462" s="27"/>
    </row>
    <row r="17463" spans="1:1">
      <c r="A17463" s="27"/>
    </row>
    <row r="17464" spans="1:1">
      <c r="A17464" s="27"/>
    </row>
    <row r="17465" spans="1:1">
      <c r="A17465" s="27"/>
    </row>
    <row r="17466" spans="1:1">
      <c r="A17466" s="27"/>
    </row>
    <row r="17467" spans="1:1">
      <c r="A17467" s="27"/>
    </row>
    <row r="17468" spans="1:1">
      <c r="A17468" s="27"/>
    </row>
    <row r="17469" spans="1:1">
      <c r="A17469" s="27"/>
    </row>
    <row r="17470" spans="1:1">
      <c r="A17470" s="27"/>
    </row>
    <row r="17471" spans="1:1">
      <c r="A17471" s="27"/>
    </row>
    <row r="17472" spans="1:1">
      <c r="A17472" s="27"/>
    </row>
    <row r="17473" spans="1:1">
      <c r="A17473" s="27"/>
    </row>
    <row r="17474" spans="1:1">
      <c r="A17474" s="27"/>
    </row>
    <row r="17475" spans="1:1">
      <c r="A17475" s="27"/>
    </row>
    <row r="17476" spans="1:1">
      <c r="A17476" s="27"/>
    </row>
    <row r="17477" spans="1:1">
      <c r="A17477" s="27"/>
    </row>
    <row r="17478" spans="1:1">
      <c r="A17478" s="27"/>
    </row>
    <row r="17479" spans="1:1">
      <c r="A17479" s="27"/>
    </row>
    <row r="17480" spans="1:1">
      <c r="A17480" s="27"/>
    </row>
    <row r="17481" spans="1:1">
      <c r="A17481" s="27"/>
    </row>
    <row r="17482" spans="1:1">
      <c r="A17482" s="27"/>
    </row>
    <row r="17483" spans="1:1">
      <c r="A17483" s="27"/>
    </row>
    <row r="17484" spans="1:1">
      <c r="A17484" s="27"/>
    </row>
    <row r="17485" spans="1:1">
      <c r="A17485" s="27"/>
    </row>
    <row r="17486" spans="1:1">
      <c r="A17486" s="27"/>
    </row>
    <row r="17487" spans="1:1">
      <c r="A17487" s="27"/>
    </row>
    <row r="17488" spans="1:1">
      <c r="A17488" s="27"/>
    </row>
    <row r="17489" spans="1:1">
      <c r="A17489" s="27"/>
    </row>
    <row r="17490" spans="1:1">
      <c r="A17490" s="27"/>
    </row>
    <row r="17491" spans="1:1">
      <c r="A17491" s="27"/>
    </row>
    <row r="17492" spans="1:1">
      <c r="A17492" s="27"/>
    </row>
    <row r="17493" spans="1:1">
      <c r="A17493" s="27"/>
    </row>
    <row r="17494" spans="1:1">
      <c r="A17494" s="27"/>
    </row>
    <row r="17495" spans="1:1">
      <c r="A17495" s="27"/>
    </row>
    <row r="17496" spans="1:1">
      <c r="A17496" s="27"/>
    </row>
    <row r="17497" spans="1:1">
      <c r="A17497" s="27"/>
    </row>
    <row r="17498" spans="1:1">
      <c r="A17498" s="27"/>
    </row>
    <row r="17499" spans="1:1">
      <c r="A17499" s="27"/>
    </row>
    <row r="17500" spans="1:1">
      <c r="A17500" s="27"/>
    </row>
    <row r="17501" spans="1:1">
      <c r="A17501" s="27"/>
    </row>
    <row r="17502" spans="1:1">
      <c r="A17502" s="27"/>
    </row>
    <row r="17503" spans="1:1">
      <c r="A17503" s="27"/>
    </row>
    <row r="17504" spans="1:1">
      <c r="A17504" s="27"/>
    </row>
    <row r="17505" spans="1:1">
      <c r="A17505" s="27"/>
    </row>
    <row r="17506" spans="1:1">
      <c r="A17506" s="27"/>
    </row>
    <row r="17507" spans="1:1">
      <c r="A17507" s="27"/>
    </row>
    <row r="17508" spans="1:1">
      <c r="A17508" s="27"/>
    </row>
    <row r="17509" spans="1:1">
      <c r="A17509" s="27"/>
    </row>
    <row r="17510" spans="1:1">
      <c r="A17510" s="27"/>
    </row>
    <row r="17511" spans="1:1">
      <c r="A17511" s="27"/>
    </row>
    <row r="17512" spans="1:1">
      <c r="A17512" s="27"/>
    </row>
    <row r="17513" spans="1:1">
      <c r="A17513" s="27"/>
    </row>
    <row r="17514" spans="1:1">
      <c r="A17514" s="27"/>
    </row>
    <row r="17515" spans="1:1">
      <c r="A17515" s="27"/>
    </row>
    <row r="17516" spans="1:1">
      <c r="A17516" s="27"/>
    </row>
    <row r="17517" spans="1:1">
      <c r="A17517" s="27"/>
    </row>
    <row r="17518" spans="1:1">
      <c r="A17518" s="27"/>
    </row>
    <row r="17519" spans="1:1">
      <c r="A17519" s="27"/>
    </row>
    <row r="17520" spans="1:1">
      <c r="A17520" s="27"/>
    </row>
    <row r="17521" spans="1:1">
      <c r="A17521" s="27"/>
    </row>
    <row r="17522" spans="1:1">
      <c r="A17522" s="27"/>
    </row>
    <row r="17523" spans="1:1">
      <c r="A17523" s="27"/>
    </row>
    <row r="17524" spans="1:1">
      <c r="A17524" s="27"/>
    </row>
    <row r="17525" spans="1:1">
      <c r="A17525" s="27"/>
    </row>
    <row r="17526" spans="1:1">
      <c r="A17526" s="27"/>
    </row>
    <row r="17527" spans="1:1">
      <c r="A17527" s="27"/>
    </row>
    <row r="17528" spans="1:1">
      <c r="A17528" s="27"/>
    </row>
    <row r="17529" spans="1:1">
      <c r="A17529" s="27"/>
    </row>
    <row r="17530" spans="1:1">
      <c r="A17530" s="27"/>
    </row>
    <row r="17531" spans="1:1">
      <c r="A17531" s="27"/>
    </row>
    <row r="17532" spans="1:1">
      <c r="A17532" s="27"/>
    </row>
    <row r="17533" spans="1:1">
      <c r="A17533" s="27"/>
    </row>
    <row r="17534" spans="1:1">
      <c r="A17534" s="27"/>
    </row>
    <row r="17535" spans="1:1">
      <c r="A17535" s="27"/>
    </row>
    <row r="17536" spans="1:1">
      <c r="A17536" s="27"/>
    </row>
    <row r="17537" spans="1:1">
      <c r="A17537" s="27"/>
    </row>
    <row r="17538" spans="1:1">
      <c r="A17538" s="27"/>
    </row>
    <row r="17539" spans="1:1">
      <c r="A17539" s="27"/>
    </row>
    <row r="17540" spans="1:1">
      <c r="A17540" s="27"/>
    </row>
    <row r="17541" spans="1:1">
      <c r="A17541" s="27"/>
    </row>
    <row r="17542" spans="1:1">
      <c r="A17542" s="27"/>
    </row>
    <row r="17543" spans="1:1">
      <c r="A17543" s="27"/>
    </row>
    <row r="17544" spans="1:1">
      <c r="A17544" s="27"/>
    </row>
    <row r="17545" spans="1:1">
      <c r="A17545" s="27"/>
    </row>
    <row r="17546" spans="1:1">
      <c r="A17546" s="27"/>
    </row>
    <row r="17547" spans="1:1">
      <c r="A17547" s="27"/>
    </row>
    <row r="17548" spans="1:1">
      <c r="A17548" s="27"/>
    </row>
    <row r="17549" spans="1:1">
      <c r="A17549" s="27"/>
    </row>
    <row r="17550" spans="1:1">
      <c r="A17550" s="27"/>
    </row>
    <row r="17551" spans="1:1">
      <c r="A17551" s="27"/>
    </row>
    <row r="17552" spans="1:1">
      <c r="A17552" s="27"/>
    </row>
    <row r="17553" spans="1:1">
      <c r="A17553" s="27"/>
    </row>
    <row r="17554" spans="1:1">
      <c r="A17554" s="27"/>
    </row>
    <row r="17555" spans="1:1">
      <c r="A17555" s="27"/>
    </row>
    <row r="17556" spans="1:1">
      <c r="A17556" s="27"/>
    </row>
    <row r="17557" spans="1:1">
      <c r="A17557" s="27"/>
    </row>
    <row r="17558" spans="1:1">
      <c r="A17558" s="27"/>
    </row>
    <row r="17559" spans="1:1">
      <c r="A17559" s="27"/>
    </row>
    <row r="17560" spans="1:1">
      <c r="A17560" s="27"/>
    </row>
    <row r="17561" spans="1:1">
      <c r="A17561" s="27"/>
    </row>
    <row r="17562" spans="1:1">
      <c r="A17562" s="27"/>
    </row>
    <row r="17563" spans="1:1">
      <c r="A17563" s="27"/>
    </row>
    <row r="17564" spans="1:1">
      <c r="A17564" s="27"/>
    </row>
    <row r="17565" spans="1:1">
      <c r="A17565" s="27"/>
    </row>
    <row r="17566" spans="1:1">
      <c r="A17566" s="27"/>
    </row>
    <row r="17567" spans="1:1">
      <c r="A17567" s="27"/>
    </row>
    <row r="17568" spans="1:1">
      <c r="A17568" s="27"/>
    </row>
    <row r="17569" spans="1:1">
      <c r="A17569" s="27"/>
    </row>
    <row r="17570" spans="1:1">
      <c r="A17570" s="27"/>
    </row>
    <row r="17571" spans="1:1">
      <c r="A17571" s="27"/>
    </row>
    <row r="17572" spans="1:1">
      <c r="A17572" s="27"/>
    </row>
    <row r="17573" spans="1:1">
      <c r="A17573" s="27"/>
    </row>
    <row r="17574" spans="1:1">
      <c r="A17574" s="27"/>
    </row>
    <row r="17575" spans="1:1">
      <c r="A17575" s="27"/>
    </row>
    <row r="17576" spans="1:1">
      <c r="A17576" s="27"/>
    </row>
    <row r="17577" spans="1:1">
      <c r="A17577" s="27"/>
    </row>
    <row r="17578" spans="1:1">
      <c r="A17578" s="27"/>
    </row>
    <row r="17579" spans="1:1">
      <c r="A17579" s="27"/>
    </row>
    <row r="17580" spans="1:1">
      <c r="A17580" s="27"/>
    </row>
    <row r="17581" spans="1:1">
      <c r="A17581" s="27"/>
    </row>
    <row r="17582" spans="1:1">
      <c r="A17582" s="27"/>
    </row>
    <row r="17583" spans="1:1">
      <c r="A17583" s="27"/>
    </row>
    <row r="17584" spans="1:1">
      <c r="A17584" s="27"/>
    </row>
    <row r="17585" spans="1:1">
      <c r="A17585" s="27"/>
    </row>
    <row r="17586" spans="1:1">
      <c r="A17586" s="27"/>
    </row>
    <row r="17587" spans="1:1">
      <c r="A17587" s="27"/>
    </row>
    <row r="17588" spans="1:1">
      <c r="A17588" s="27"/>
    </row>
    <row r="17589" spans="1:1">
      <c r="A17589" s="27"/>
    </row>
    <row r="17590" spans="1:1">
      <c r="A17590" s="27"/>
    </row>
    <row r="17591" spans="1:1">
      <c r="A17591" s="27"/>
    </row>
    <row r="17592" spans="1:1">
      <c r="A17592" s="27"/>
    </row>
    <row r="17593" spans="1:1">
      <c r="A17593" s="27"/>
    </row>
    <row r="17594" spans="1:1">
      <c r="A17594" s="27"/>
    </row>
    <row r="17595" spans="1:1">
      <c r="A17595" s="27"/>
    </row>
    <row r="17596" spans="1:1">
      <c r="A17596" s="27"/>
    </row>
    <row r="17597" spans="1:1">
      <c r="A17597" s="27"/>
    </row>
    <row r="17598" spans="1:1">
      <c r="A17598" s="27"/>
    </row>
    <row r="17599" spans="1:1">
      <c r="A17599" s="27"/>
    </row>
    <row r="17600" spans="1:1">
      <c r="A17600" s="27"/>
    </row>
    <row r="17601" spans="1:1">
      <c r="A17601" s="27"/>
    </row>
    <row r="17602" spans="1:1">
      <c r="A17602" s="27"/>
    </row>
    <row r="17603" spans="1:1">
      <c r="A17603" s="27"/>
    </row>
    <row r="17604" spans="1:1">
      <c r="A17604" s="27"/>
    </row>
    <row r="17605" spans="1:1">
      <c r="A17605" s="27"/>
    </row>
    <row r="17606" spans="1:1">
      <c r="A17606" s="27"/>
    </row>
    <row r="17607" spans="1:1">
      <c r="A17607" s="27"/>
    </row>
    <row r="17608" spans="1:1">
      <c r="A17608" s="27"/>
    </row>
    <row r="17609" spans="1:1">
      <c r="A17609" s="27"/>
    </row>
    <row r="17610" spans="1:1">
      <c r="A17610" s="27"/>
    </row>
    <row r="17611" spans="1:1">
      <c r="A17611" s="27"/>
    </row>
    <row r="17612" spans="1:1">
      <c r="A17612" s="27"/>
    </row>
    <row r="17613" spans="1:1">
      <c r="A17613" s="27"/>
    </row>
    <row r="17614" spans="1:1">
      <c r="A17614" s="27"/>
    </row>
    <row r="17615" spans="1:1">
      <c r="A17615" s="27"/>
    </row>
    <row r="17616" spans="1:1">
      <c r="A17616" s="27"/>
    </row>
    <row r="17617" spans="1:1">
      <c r="A17617" s="27"/>
    </row>
    <row r="17618" spans="1:1">
      <c r="A17618" s="27"/>
    </row>
    <row r="17619" spans="1:1">
      <c r="A17619" s="27"/>
    </row>
    <row r="17620" spans="1:1">
      <c r="A17620" s="27"/>
    </row>
    <row r="17621" spans="1:1">
      <c r="A17621" s="27"/>
    </row>
    <row r="17622" spans="1:1">
      <c r="A17622" s="27"/>
    </row>
    <row r="17623" spans="1:1">
      <c r="A17623" s="27"/>
    </row>
    <row r="17624" spans="1:1">
      <c r="A17624" s="27"/>
    </row>
    <row r="17625" spans="1:1">
      <c r="A17625" s="27"/>
    </row>
    <row r="17626" spans="1:1">
      <c r="A17626" s="27"/>
    </row>
    <row r="17627" spans="1:1">
      <c r="A17627" s="27"/>
    </row>
    <row r="17628" spans="1:1">
      <c r="A17628" s="27"/>
    </row>
    <row r="17629" spans="1:1">
      <c r="A17629" s="27"/>
    </row>
    <row r="17630" spans="1:1">
      <c r="A17630" s="27"/>
    </row>
    <row r="17631" spans="1:1">
      <c r="A17631" s="27"/>
    </row>
    <row r="17632" spans="1:1">
      <c r="A17632" s="27"/>
    </row>
    <row r="17633" spans="1:1">
      <c r="A17633" s="27"/>
    </row>
    <row r="17634" spans="1:1">
      <c r="A17634" s="27"/>
    </row>
    <row r="17635" spans="1:1">
      <c r="A17635" s="27"/>
    </row>
    <row r="17636" spans="1:1">
      <c r="A17636" s="27"/>
    </row>
    <row r="17637" spans="1:1">
      <c r="A17637" s="27"/>
    </row>
    <row r="17638" spans="1:1">
      <c r="A17638" s="27"/>
    </row>
    <row r="17639" spans="1:1">
      <c r="A17639" s="27"/>
    </row>
    <row r="17640" spans="1:1">
      <c r="A17640" s="27"/>
    </row>
    <row r="17641" spans="1:1">
      <c r="A17641" s="27"/>
    </row>
    <row r="17642" spans="1:1">
      <c r="A17642" s="27"/>
    </row>
    <row r="17643" spans="1:1">
      <c r="A17643" s="27"/>
    </row>
    <row r="17644" spans="1:1">
      <c r="A17644" s="27"/>
    </row>
    <row r="17645" spans="1:1">
      <c r="A17645" s="27"/>
    </row>
    <row r="17646" spans="1:1">
      <c r="A17646" s="27"/>
    </row>
    <row r="17647" spans="1:1">
      <c r="A17647" s="27"/>
    </row>
    <row r="17648" spans="1:1">
      <c r="A17648" s="27"/>
    </row>
    <row r="17649" spans="1:1">
      <c r="A17649" s="27"/>
    </row>
    <row r="17650" spans="1:1">
      <c r="A17650" s="27"/>
    </row>
    <row r="17651" spans="1:1">
      <c r="A17651" s="27"/>
    </row>
    <row r="17652" spans="1:1">
      <c r="A17652" s="27"/>
    </row>
    <row r="17653" spans="1:1">
      <c r="A17653" s="27"/>
    </row>
    <row r="17654" spans="1:1">
      <c r="A17654" s="27"/>
    </row>
    <row r="17655" spans="1:1">
      <c r="A17655" s="27"/>
    </row>
    <row r="17656" spans="1:1">
      <c r="A17656" s="27"/>
    </row>
    <row r="17657" spans="1:1">
      <c r="A17657" s="27"/>
    </row>
    <row r="17658" spans="1:1">
      <c r="A17658" s="27"/>
    </row>
    <row r="17659" spans="1:1">
      <c r="A17659" s="27"/>
    </row>
    <row r="17660" spans="1:1">
      <c r="A17660" s="27"/>
    </row>
    <row r="17661" spans="1:1">
      <c r="A17661" s="27"/>
    </row>
    <row r="17662" spans="1:1">
      <c r="A17662" s="27"/>
    </row>
    <row r="17663" spans="1:1">
      <c r="A17663" s="27"/>
    </row>
    <row r="17664" spans="1:1">
      <c r="A17664" s="27"/>
    </row>
    <row r="17665" spans="1:1">
      <c r="A17665" s="27"/>
    </row>
    <row r="17666" spans="1:1">
      <c r="A17666" s="27"/>
    </row>
    <row r="17667" spans="1:1">
      <c r="A17667" s="27"/>
    </row>
    <row r="17668" spans="1:1">
      <c r="A17668" s="27"/>
    </row>
    <row r="17669" spans="1:1">
      <c r="A17669" s="27"/>
    </row>
    <row r="17670" spans="1:1">
      <c r="A17670" s="27"/>
    </row>
    <row r="17671" spans="1:1">
      <c r="A17671" s="27"/>
    </row>
    <row r="17672" spans="1:1">
      <c r="A17672" s="27"/>
    </row>
    <row r="17673" spans="1:1">
      <c r="A17673" s="27"/>
    </row>
    <row r="17674" spans="1:1">
      <c r="A17674" s="27"/>
    </row>
    <row r="17675" spans="1:1">
      <c r="A17675" s="27"/>
    </row>
    <row r="17676" spans="1:1">
      <c r="A17676" s="27"/>
    </row>
    <row r="17677" spans="1:1">
      <c r="A17677" s="27"/>
    </row>
    <row r="17678" spans="1:1">
      <c r="A17678" s="27"/>
    </row>
    <row r="17679" spans="1:1">
      <c r="A17679" s="27"/>
    </row>
    <row r="17680" spans="1:1">
      <c r="A17680" s="27"/>
    </row>
    <row r="17681" spans="1:1">
      <c r="A17681" s="27"/>
    </row>
    <row r="17682" spans="1:1">
      <c r="A17682" s="27"/>
    </row>
    <row r="17683" spans="1:1">
      <c r="A17683" s="27"/>
    </row>
    <row r="17684" spans="1:1">
      <c r="A17684" s="27"/>
    </row>
    <row r="17685" spans="1:1">
      <c r="A17685" s="27"/>
    </row>
    <row r="17686" spans="1:1">
      <c r="A17686" s="27"/>
    </row>
    <row r="17687" spans="1:1">
      <c r="A17687" s="27"/>
    </row>
    <row r="17688" spans="1:1">
      <c r="A17688" s="27"/>
    </row>
    <row r="17689" spans="1:1">
      <c r="A17689" s="27"/>
    </row>
    <row r="17690" spans="1:1">
      <c r="A17690" s="27"/>
    </row>
    <row r="17691" spans="1:1">
      <c r="A17691" s="27"/>
    </row>
    <row r="17692" spans="1:1">
      <c r="A17692" s="27"/>
    </row>
    <row r="17693" spans="1:1">
      <c r="A17693" s="27"/>
    </row>
    <row r="17694" spans="1:1">
      <c r="A17694" s="27"/>
    </row>
    <row r="17695" spans="1:1">
      <c r="A17695" s="27"/>
    </row>
    <row r="17696" spans="1:1">
      <c r="A17696" s="27"/>
    </row>
    <row r="17697" spans="1:1">
      <c r="A17697" s="27"/>
    </row>
    <row r="17698" spans="1:1">
      <c r="A17698" s="27"/>
    </row>
    <row r="17699" spans="1:1">
      <c r="A17699" s="27"/>
    </row>
    <row r="17700" spans="1:1">
      <c r="A17700" s="27"/>
    </row>
    <row r="17701" spans="1:1">
      <c r="A17701" s="27"/>
    </row>
    <row r="17702" spans="1:1">
      <c r="A17702" s="27"/>
    </row>
    <row r="17703" spans="1:1">
      <c r="A17703" s="27"/>
    </row>
    <row r="17704" spans="1:1">
      <c r="A17704" s="27"/>
    </row>
    <row r="17705" spans="1:1">
      <c r="A17705" s="27"/>
    </row>
    <row r="17706" spans="1:1">
      <c r="A17706" s="27"/>
    </row>
    <row r="17707" spans="1:1">
      <c r="A17707" s="27"/>
    </row>
    <row r="17708" spans="1:1">
      <c r="A17708" s="27"/>
    </row>
    <row r="17709" spans="1:1">
      <c r="A17709" s="27"/>
    </row>
    <row r="17710" spans="1:1">
      <c r="A17710" s="27"/>
    </row>
    <row r="17711" spans="1:1">
      <c r="A17711" s="27"/>
    </row>
    <row r="17712" spans="1:1">
      <c r="A17712" s="27"/>
    </row>
    <row r="17713" spans="1:1">
      <c r="A17713" s="27"/>
    </row>
    <row r="17714" spans="1:1">
      <c r="A17714" s="27"/>
    </row>
    <row r="17715" spans="1:1">
      <c r="A17715" s="27"/>
    </row>
    <row r="17716" spans="1:1">
      <c r="A17716" s="27"/>
    </row>
    <row r="17717" spans="1:1">
      <c r="A17717" s="27"/>
    </row>
    <row r="17718" spans="1:1">
      <c r="A17718" s="27"/>
    </row>
    <row r="17719" spans="1:1">
      <c r="A17719" s="27"/>
    </row>
    <row r="17720" spans="1:1">
      <c r="A17720" s="27"/>
    </row>
    <row r="17721" spans="1:1">
      <c r="A17721" s="27"/>
    </row>
    <row r="17722" spans="1:1">
      <c r="A17722" s="27"/>
    </row>
    <row r="17723" spans="1:1">
      <c r="A17723" s="27"/>
    </row>
    <row r="17724" spans="1:1">
      <c r="A17724" s="27"/>
    </row>
    <row r="17725" spans="1:1">
      <c r="A17725" s="27"/>
    </row>
    <row r="17726" spans="1:1">
      <c r="A17726" s="27"/>
    </row>
    <row r="17727" spans="1:1">
      <c r="A17727" s="27"/>
    </row>
    <row r="17728" spans="1:1">
      <c r="A17728" s="27"/>
    </row>
    <row r="17729" spans="1:1">
      <c r="A17729" s="27"/>
    </row>
    <row r="17730" spans="1:1">
      <c r="A17730" s="27"/>
    </row>
    <row r="17731" spans="1:1">
      <c r="A17731" s="27"/>
    </row>
    <row r="17732" spans="1:1">
      <c r="A17732" s="27"/>
    </row>
    <row r="17733" spans="1:1">
      <c r="A17733" s="27"/>
    </row>
    <row r="17734" spans="1:1">
      <c r="A17734" s="27"/>
    </row>
    <row r="17735" spans="1:1">
      <c r="A17735" s="27"/>
    </row>
    <row r="17736" spans="1:1">
      <c r="A17736" s="27"/>
    </row>
    <row r="17737" spans="1:1">
      <c r="A17737" s="27"/>
    </row>
    <row r="17738" spans="1:1">
      <c r="A17738" s="27"/>
    </row>
    <row r="17739" spans="1:1">
      <c r="A17739" s="27"/>
    </row>
    <row r="17740" spans="1:1">
      <c r="A17740" s="27"/>
    </row>
    <row r="17741" spans="1:1">
      <c r="A17741" s="27"/>
    </row>
    <row r="17742" spans="1:1">
      <c r="A17742" s="27"/>
    </row>
    <row r="17743" spans="1:1">
      <c r="A17743" s="27"/>
    </row>
    <row r="17744" spans="1:1">
      <c r="A17744" s="27"/>
    </row>
    <row r="17745" spans="1:1">
      <c r="A17745" s="27"/>
    </row>
    <row r="17746" spans="1:1">
      <c r="A17746" s="27"/>
    </row>
    <row r="17747" spans="1:1">
      <c r="A17747" s="27"/>
    </row>
    <row r="17748" spans="1:1">
      <c r="A17748" s="27"/>
    </row>
    <row r="17749" spans="1:1">
      <c r="A17749" s="27"/>
    </row>
    <row r="17750" spans="1:1">
      <c r="A17750" s="27"/>
    </row>
    <row r="17751" spans="1:1">
      <c r="A17751" s="27"/>
    </row>
    <row r="17752" spans="1:1">
      <c r="A17752" s="27"/>
    </row>
    <row r="17753" spans="1:1">
      <c r="A17753" s="27"/>
    </row>
    <row r="17754" spans="1:1">
      <c r="A17754" s="27"/>
    </row>
    <row r="17755" spans="1:1">
      <c r="A17755" s="27"/>
    </row>
    <row r="17756" spans="1:1">
      <c r="A17756" s="27"/>
    </row>
    <row r="17757" spans="1:1">
      <c r="A17757" s="27"/>
    </row>
    <row r="17758" spans="1:1">
      <c r="A17758" s="27"/>
    </row>
    <row r="17759" spans="1:1">
      <c r="A17759" s="27"/>
    </row>
    <row r="17760" spans="1:1">
      <c r="A17760" s="27"/>
    </row>
    <row r="17761" spans="1:1">
      <c r="A17761" s="27"/>
    </row>
    <row r="17762" spans="1:1">
      <c r="A17762" s="27"/>
    </row>
    <row r="17763" spans="1:1">
      <c r="A17763" s="27"/>
    </row>
    <row r="17764" spans="1:1">
      <c r="A17764" s="27"/>
    </row>
    <row r="17765" spans="1:1">
      <c r="A17765" s="27"/>
    </row>
    <row r="17766" spans="1:1">
      <c r="A17766" s="27"/>
    </row>
    <row r="17767" spans="1:1">
      <c r="A17767" s="27"/>
    </row>
    <row r="17768" spans="1:1">
      <c r="A17768" s="27"/>
    </row>
    <row r="17769" spans="1:1">
      <c r="A17769" s="27"/>
    </row>
    <row r="17770" spans="1:1">
      <c r="A17770" s="27"/>
    </row>
    <row r="17771" spans="1:1">
      <c r="A17771" s="27"/>
    </row>
    <row r="17772" spans="1:1">
      <c r="A17772" s="27"/>
    </row>
    <row r="17773" spans="1:1">
      <c r="A17773" s="27"/>
    </row>
    <row r="17774" spans="1:1">
      <c r="A17774" s="27"/>
    </row>
    <row r="17775" spans="1:1">
      <c r="A17775" s="27"/>
    </row>
    <row r="17776" spans="1:1">
      <c r="A17776" s="27"/>
    </row>
    <row r="17777" spans="1:1">
      <c r="A17777" s="27"/>
    </row>
    <row r="17778" spans="1:1">
      <c r="A17778" s="27"/>
    </row>
    <row r="17779" spans="1:1">
      <c r="A17779" s="27"/>
    </row>
    <row r="17780" spans="1:1">
      <c r="A17780" s="27"/>
    </row>
    <row r="17781" spans="1:1">
      <c r="A17781" s="27"/>
    </row>
    <row r="17782" spans="1:1">
      <c r="A17782" s="27"/>
    </row>
    <row r="17783" spans="1:1">
      <c r="A17783" s="27"/>
    </row>
    <row r="17784" spans="1:1">
      <c r="A17784" s="27"/>
    </row>
    <row r="17785" spans="1:1">
      <c r="A17785" s="27"/>
    </row>
    <row r="17786" spans="1:1">
      <c r="A17786" s="27"/>
    </row>
    <row r="17787" spans="1:1">
      <c r="A17787" s="27"/>
    </row>
    <row r="17788" spans="1:1">
      <c r="A17788" s="27"/>
    </row>
    <row r="17789" spans="1:1">
      <c r="A17789" s="27"/>
    </row>
    <row r="17790" spans="1:1">
      <c r="A17790" s="27"/>
    </row>
    <row r="17791" spans="1:1">
      <c r="A17791" s="27"/>
    </row>
    <row r="17792" spans="1:1">
      <c r="A17792" s="27"/>
    </row>
    <row r="17793" spans="1:1">
      <c r="A17793" s="27"/>
    </row>
    <row r="17794" spans="1:1">
      <c r="A17794" s="27"/>
    </row>
    <row r="17795" spans="1:1">
      <c r="A17795" s="27"/>
    </row>
    <row r="17796" spans="1:1">
      <c r="A17796" s="27"/>
    </row>
    <row r="17797" spans="1:1">
      <c r="A17797" s="27"/>
    </row>
    <row r="17798" spans="1:1">
      <c r="A17798" s="27"/>
    </row>
    <row r="17799" spans="1:1">
      <c r="A17799" s="27"/>
    </row>
    <row r="17800" spans="1:1">
      <c r="A17800" s="27"/>
    </row>
    <row r="17801" spans="1:1">
      <c r="A17801" s="27"/>
    </row>
    <row r="17802" spans="1:1">
      <c r="A17802" s="27"/>
    </row>
    <row r="17803" spans="1:1">
      <c r="A17803" s="27"/>
    </row>
    <row r="17804" spans="1:1">
      <c r="A17804" s="27"/>
    </row>
    <row r="17805" spans="1:1">
      <c r="A17805" s="27"/>
    </row>
    <row r="17806" spans="1:1">
      <c r="A17806" s="27"/>
    </row>
    <row r="17807" spans="1:1">
      <c r="A17807" s="27"/>
    </row>
    <row r="17808" spans="1:1">
      <c r="A17808" s="27"/>
    </row>
    <row r="17809" spans="1:1">
      <c r="A17809" s="27"/>
    </row>
    <row r="17810" spans="1:1">
      <c r="A17810" s="27"/>
    </row>
    <row r="17811" spans="1:1">
      <c r="A17811" s="27"/>
    </row>
    <row r="17812" spans="1:1">
      <c r="A17812" s="27"/>
    </row>
    <row r="17813" spans="1:1">
      <c r="A17813" s="27"/>
    </row>
    <row r="17814" spans="1:1">
      <c r="A17814" s="27"/>
    </row>
    <row r="17815" spans="1:1">
      <c r="A17815" s="27"/>
    </row>
    <row r="17816" spans="1:1">
      <c r="A17816" s="27"/>
    </row>
    <row r="17817" spans="1:1">
      <c r="A17817" s="27"/>
    </row>
    <row r="17818" spans="1:1">
      <c r="A17818" s="27"/>
    </row>
    <row r="17819" spans="1:1">
      <c r="A17819" s="27"/>
    </row>
    <row r="17820" spans="1:1">
      <c r="A17820" s="27"/>
    </row>
    <row r="17821" spans="1:1">
      <c r="A17821" s="27"/>
    </row>
    <row r="17822" spans="1:1">
      <c r="A17822" s="27"/>
    </row>
    <row r="17823" spans="1:1">
      <c r="A17823" s="27"/>
    </row>
    <row r="17824" spans="1:1">
      <c r="A17824" s="27"/>
    </row>
    <row r="17825" spans="1:1">
      <c r="A17825" s="27"/>
    </row>
    <row r="17826" spans="1:1">
      <c r="A17826" s="27"/>
    </row>
    <row r="17827" spans="1:1">
      <c r="A17827" s="27"/>
    </row>
    <row r="17828" spans="1:1">
      <c r="A17828" s="27"/>
    </row>
    <row r="17829" spans="1:1">
      <c r="A17829" s="27"/>
    </row>
    <row r="17830" spans="1:1">
      <c r="A17830" s="27"/>
    </row>
    <row r="17831" spans="1:1">
      <c r="A17831" s="27"/>
    </row>
    <row r="17832" spans="1:1">
      <c r="A17832" s="27"/>
    </row>
    <row r="17833" spans="1:1">
      <c r="A17833" s="27"/>
    </row>
    <row r="17834" spans="1:1">
      <c r="A17834" s="27"/>
    </row>
    <row r="17835" spans="1:1">
      <c r="A17835" s="27"/>
    </row>
    <row r="17836" spans="1:1">
      <c r="A17836" s="27"/>
    </row>
    <row r="17837" spans="1:1">
      <c r="A17837" s="27"/>
    </row>
    <row r="17838" spans="1:1">
      <c r="A17838" s="27"/>
    </row>
    <row r="17839" spans="1:1">
      <c r="A17839" s="27"/>
    </row>
    <row r="17840" spans="1:1">
      <c r="A17840" s="27"/>
    </row>
    <row r="17841" spans="1:1">
      <c r="A17841" s="27"/>
    </row>
    <row r="17842" spans="1:1">
      <c r="A17842" s="27"/>
    </row>
    <row r="17843" spans="1:1">
      <c r="A17843" s="27"/>
    </row>
    <row r="17844" spans="1:1">
      <c r="A17844" s="27"/>
    </row>
    <row r="17845" spans="1:1">
      <c r="A17845" s="27"/>
    </row>
    <row r="17846" spans="1:1">
      <c r="A17846" s="27"/>
    </row>
    <row r="17847" spans="1:1">
      <c r="A17847" s="27"/>
    </row>
    <row r="17848" spans="1:1">
      <c r="A17848" s="27"/>
    </row>
    <row r="17849" spans="1:1">
      <c r="A17849" s="27"/>
    </row>
    <row r="17850" spans="1:1">
      <c r="A17850" s="27"/>
    </row>
    <row r="17851" spans="1:1">
      <c r="A17851" s="27"/>
    </row>
    <row r="17852" spans="1:1">
      <c r="A17852" s="27"/>
    </row>
    <row r="17853" spans="1:1">
      <c r="A17853" s="27"/>
    </row>
    <row r="17854" spans="1:1">
      <c r="A17854" s="27"/>
    </row>
    <row r="17855" spans="1:1">
      <c r="A17855" s="27"/>
    </row>
    <row r="17856" spans="1:1">
      <c r="A17856" s="27"/>
    </row>
    <row r="17857" spans="1:1">
      <c r="A17857" s="27"/>
    </row>
    <row r="17858" spans="1:1">
      <c r="A17858" s="27"/>
    </row>
    <row r="17859" spans="1:1">
      <c r="A17859" s="27"/>
    </row>
    <row r="17860" spans="1:1">
      <c r="A17860" s="27"/>
    </row>
    <row r="17861" spans="1:1">
      <c r="A17861" s="27"/>
    </row>
    <row r="17862" spans="1:1">
      <c r="A17862" s="27"/>
    </row>
    <row r="17863" spans="1:1">
      <c r="A17863" s="27"/>
    </row>
    <row r="17864" spans="1:1">
      <c r="A17864" s="27"/>
    </row>
    <row r="17865" spans="1:1">
      <c r="A17865" s="27"/>
    </row>
    <row r="17866" spans="1:1">
      <c r="A17866" s="27"/>
    </row>
    <row r="17867" spans="1:1">
      <c r="A17867" s="27"/>
    </row>
    <row r="17868" spans="1:1">
      <c r="A17868" s="27"/>
    </row>
    <row r="17869" spans="1:1">
      <c r="A17869" s="27"/>
    </row>
    <row r="17870" spans="1:1">
      <c r="A17870" s="27"/>
    </row>
    <row r="17871" spans="1:1">
      <c r="A17871" s="27"/>
    </row>
    <row r="17872" spans="1:1">
      <c r="A17872" s="27"/>
    </row>
    <row r="17873" spans="1:1">
      <c r="A17873" s="27"/>
    </row>
    <row r="17874" spans="1:1">
      <c r="A17874" s="27"/>
    </row>
    <row r="17875" spans="1:1">
      <c r="A17875" s="27"/>
    </row>
    <row r="17876" spans="1:1">
      <c r="A17876" s="27"/>
    </row>
    <row r="17877" spans="1:1">
      <c r="A17877" s="27"/>
    </row>
    <row r="17878" spans="1:1">
      <c r="A17878" s="27"/>
    </row>
    <row r="17879" spans="1:1">
      <c r="A17879" s="27"/>
    </row>
    <row r="17880" spans="1:1">
      <c r="A17880" s="27"/>
    </row>
    <row r="17881" spans="1:1">
      <c r="A17881" s="27"/>
    </row>
    <row r="17882" spans="1:1">
      <c r="A17882" s="27"/>
    </row>
    <row r="17883" spans="1:1">
      <c r="A17883" s="27"/>
    </row>
    <row r="17884" spans="1:1">
      <c r="A17884" s="27"/>
    </row>
    <row r="17885" spans="1:1">
      <c r="A17885" s="27"/>
    </row>
    <row r="17886" spans="1:1">
      <c r="A17886" s="27"/>
    </row>
    <row r="17887" spans="1:1">
      <c r="A17887" s="27"/>
    </row>
    <row r="17888" spans="1:1">
      <c r="A17888" s="27"/>
    </row>
    <row r="17889" spans="1:1">
      <c r="A17889" s="27"/>
    </row>
    <row r="17890" spans="1:1">
      <c r="A17890" s="27"/>
    </row>
    <row r="17891" spans="1:1">
      <c r="A17891" s="27"/>
    </row>
    <row r="17892" spans="1:1">
      <c r="A17892" s="27"/>
    </row>
    <row r="17893" spans="1:1">
      <c r="A17893" s="27"/>
    </row>
    <row r="17894" spans="1:1">
      <c r="A17894" s="27"/>
    </row>
    <row r="17895" spans="1:1">
      <c r="A17895" s="27"/>
    </row>
    <row r="17896" spans="1:1">
      <c r="A17896" s="27"/>
    </row>
    <row r="17897" spans="1:1">
      <c r="A17897" s="27"/>
    </row>
    <row r="17898" spans="1:1">
      <c r="A17898" s="27"/>
    </row>
    <row r="17899" spans="1:1">
      <c r="A17899" s="27"/>
    </row>
    <row r="17900" spans="1:1">
      <c r="A17900" s="27"/>
    </row>
    <row r="17901" spans="1:1">
      <c r="A17901" s="27"/>
    </row>
    <row r="17902" spans="1:1">
      <c r="A17902" s="27"/>
    </row>
    <row r="17903" spans="1:1">
      <c r="A17903" s="27"/>
    </row>
    <row r="17904" spans="1:1">
      <c r="A17904" s="27"/>
    </row>
    <row r="17905" spans="1:1">
      <c r="A17905" s="27"/>
    </row>
    <row r="17906" spans="1:1">
      <c r="A17906" s="27"/>
    </row>
    <row r="17907" spans="1:1">
      <c r="A17907" s="27"/>
    </row>
    <row r="17908" spans="1:1">
      <c r="A17908" s="27"/>
    </row>
    <row r="17909" spans="1:1">
      <c r="A17909" s="27"/>
    </row>
    <row r="17910" spans="1:1">
      <c r="A17910" s="27"/>
    </row>
    <row r="17911" spans="1:1">
      <c r="A17911" s="27"/>
    </row>
    <row r="17912" spans="1:1">
      <c r="A17912" s="27"/>
    </row>
    <row r="17913" spans="1:1">
      <c r="A17913" s="27"/>
    </row>
    <row r="17914" spans="1:1">
      <c r="A17914" s="27"/>
    </row>
    <row r="17915" spans="1:1">
      <c r="A17915" s="27"/>
    </row>
    <row r="17916" spans="1:1">
      <c r="A17916" s="27"/>
    </row>
    <row r="17917" spans="1:1">
      <c r="A17917" s="27"/>
    </row>
    <row r="17918" spans="1:1">
      <c r="A17918" s="27"/>
    </row>
    <row r="17919" spans="1:1">
      <c r="A17919" s="27"/>
    </row>
    <row r="17920" spans="1:1">
      <c r="A17920" s="27"/>
    </row>
    <row r="17921" spans="1:1">
      <c r="A17921" s="27"/>
    </row>
    <row r="17922" spans="1:1">
      <c r="A17922" s="27"/>
    </row>
    <row r="17923" spans="1:1">
      <c r="A17923" s="27"/>
    </row>
    <row r="17924" spans="1:1">
      <c r="A17924" s="27"/>
    </row>
    <row r="17925" spans="1:1">
      <c r="A17925" s="27"/>
    </row>
    <row r="17926" spans="1:1">
      <c r="A17926" s="27"/>
    </row>
    <row r="17927" spans="1:1">
      <c r="A17927" s="27"/>
    </row>
    <row r="17928" spans="1:1">
      <c r="A17928" s="27"/>
    </row>
    <row r="17929" spans="1:1">
      <c r="A17929" s="27"/>
    </row>
    <row r="17930" spans="1:1">
      <c r="A17930" s="27"/>
    </row>
    <row r="17931" spans="1:1">
      <c r="A17931" s="27"/>
    </row>
    <row r="17932" spans="1:1">
      <c r="A17932" s="27"/>
    </row>
    <row r="17933" spans="1:1">
      <c r="A17933" s="27"/>
    </row>
    <row r="17934" spans="1:1">
      <c r="A17934" s="27"/>
    </row>
    <row r="17935" spans="1:1">
      <c r="A17935" s="27"/>
    </row>
    <row r="17936" spans="1:1">
      <c r="A17936" s="27"/>
    </row>
    <row r="17937" spans="1:1">
      <c r="A17937" s="27"/>
    </row>
    <row r="17938" spans="1:1">
      <c r="A17938" s="27"/>
    </row>
    <row r="17939" spans="1:1">
      <c r="A17939" s="27"/>
    </row>
    <row r="17940" spans="1:1">
      <c r="A17940" s="27"/>
    </row>
    <row r="17941" spans="1:1">
      <c r="A17941" s="27"/>
    </row>
    <row r="17942" spans="1:1">
      <c r="A17942" s="27"/>
    </row>
    <row r="17943" spans="1:1">
      <c r="A17943" s="27"/>
    </row>
    <row r="17944" spans="1:1">
      <c r="A17944" s="27"/>
    </row>
    <row r="17945" spans="1:1">
      <c r="A17945" s="27"/>
    </row>
    <row r="17946" spans="1:1">
      <c r="A17946" s="27"/>
    </row>
    <row r="17947" spans="1:1">
      <c r="A17947" s="27"/>
    </row>
    <row r="17948" spans="1:1">
      <c r="A17948" s="27"/>
    </row>
    <row r="17949" spans="1:1">
      <c r="A17949" s="27"/>
    </row>
    <row r="17950" spans="1:1">
      <c r="A17950" s="27"/>
    </row>
    <row r="17951" spans="1:1">
      <c r="A17951" s="27"/>
    </row>
    <row r="17952" spans="1:1">
      <c r="A17952" s="27"/>
    </row>
    <row r="17953" spans="1:1">
      <c r="A17953" s="27"/>
    </row>
    <row r="17954" spans="1:1">
      <c r="A17954" s="27"/>
    </row>
    <row r="17955" spans="1:1">
      <c r="A17955" s="27"/>
    </row>
    <row r="17956" spans="1:1">
      <c r="A17956" s="27"/>
    </row>
    <row r="17957" spans="1:1">
      <c r="A17957" s="27"/>
    </row>
    <row r="17958" spans="1:1">
      <c r="A17958" s="27"/>
    </row>
    <row r="17959" spans="1:1">
      <c r="A17959" s="27"/>
    </row>
    <row r="17960" spans="1:1">
      <c r="A17960" s="27"/>
    </row>
    <row r="17961" spans="1:1">
      <c r="A17961" s="27"/>
    </row>
    <row r="17962" spans="1:1">
      <c r="A17962" s="27"/>
    </row>
    <row r="17963" spans="1:1">
      <c r="A17963" s="27"/>
    </row>
    <row r="17964" spans="1:1">
      <c r="A17964" s="27"/>
    </row>
    <row r="17965" spans="1:1">
      <c r="A17965" s="27"/>
    </row>
    <row r="17966" spans="1:1">
      <c r="A17966" s="27"/>
    </row>
    <row r="17967" spans="1:1">
      <c r="A17967" s="27"/>
    </row>
    <row r="17968" spans="1:1">
      <c r="A17968" s="27"/>
    </row>
    <row r="17969" spans="1:1">
      <c r="A17969" s="27"/>
    </row>
    <row r="17970" spans="1:1">
      <c r="A17970" s="27"/>
    </row>
    <row r="17971" spans="1:1">
      <c r="A17971" s="27"/>
    </row>
    <row r="17972" spans="1:1">
      <c r="A17972" s="27"/>
    </row>
    <row r="17973" spans="1:1">
      <c r="A17973" s="27"/>
    </row>
    <row r="17974" spans="1:1">
      <c r="A17974" s="27"/>
    </row>
    <row r="17975" spans="1:1">
      <c r="A17975" s="27"/>
    </row>
    <row r="17976" spans="1:1">
      <c r="A17976" s="27"/>
    </row>
    <row r="17977" spans="1:1">
      <c r="A17977" s="27"/>
    </row>
    <row r="17978" spans="1:1">
      <c r="A17978" s="27"/>
    </row>
    <row r="17979" spans="1:1">
      <c r="A17979" s="27"/>
    </row>
    <row r="17980" spans="1:1">
      <c r="A17980" s="27"/>
    </row>
    <row r="17981" spans="1:1">
      <c r="A17981" s="27"/>
    </row>
    <row r="17982" spans="1:1">
      <c r="A17982" s="27"/>
    </row>
    <row r="17983" spans="1:1">
      <c r="A17983" s="27"/>
    </row>
    <row r="17984" spans="1:1">
      <c r="A17984" s="27"/>
    </row>
    <row r="17985" spans="1:1">
      <c r="A17985" s="27"/>
    </row>
    <row r="17986" spans="1:1">
      <c r="A17986" s="27"/>
    </row>
    <row r="17987" spans="1:1">
      <c r="A17987" s="27"/>
    </row>
    <row r="17988" spans="1:1">
      <c r="A17988" s="27"/>
    </row>
    <row r="17989" spans="1:1">
      <c r="A17989" s="27"/>
    </row>
    <row r="17990" spans="1:1">
      <c r="A17990" s="27"/>
    </row>
    <row r="17991" spans="1:1">
      <c r="A17991" s="27"/>
    </row>
    <row r="17992" spans="1:1">
      <c r="A17992" s="27"/>
    </row>
    <row r="17993" spans="1:1">
      <c r="A17993" s="27"/>
    </row>
    <row r="17994" spans="1:1">
      <c r="A17994" s="27"/>
    </row>
    <row r="17995" spans="1:1">
      <c r="A17995" s="27"/>
    </row>
    <row r="17996" spans="1:1">
      <c r="A17996" s="27"/>
    </row>
    <row r="17997" spans="1:1">
      <c r="A17997" s="27"/>
    </row>
    <row r="17998" spans="1:1">
      <c r="A17998" s="27"/>
    </row>
    <row r="17999" spans="1:1">
      <c r="A17999" s="27"/>
    </row>
    <row r="18000" spans="1:1">
      <c r="A18000" s="27"/>
    </row>
    <row r="18001" spans="1:1">
      <c r="A18001" s="27"/>
    </row>
    <row r="18002" spans="1:1">
      <c r="A18002" s="27"/>
    </row>
    <row r="18003" spans="1:1">
      <c r="A18003" s="27"/>
    </row>
    <row r="18004" spans="1:1">
      <c r="A18004" s="27"/>
    </row>
    <row r="18005" spans="1:1">
      <c r="A18005" s="27"/>
    </row>
    <row r="18006" spans="1:1">
      <c r="A18006" s="27"/>
    </row>
    <row r="18007" spans="1:1">
      <c r="A18007" s="27"/>
    </row>
    <row r="18008" spans="1:1">
      <c r="A18008" s="27"/>
    </row>
    <row r="18009" spans="1:1">
      <c r="A18009" s="27"/>
    </row>
    <row r="18010" spans="1:1">
      <c r="A18010" s="27"/>
    </row>
    <row r="18011" spans="1:1">
      <c r="A18011" s="27"/>
    </row>
    <row r="18012" spans="1:1">
      <c r="A18012" s="27"/>
    </row>
    <row r="18013" spans="1:1">
      <c r="A18013" s="27"/>
    </row>
    <row r="18014" spans="1:1">
      <c r="A18014" s="27"/>
    </row>
    <row r="18015" spans="1:1">
      <c r="A18015" s="27"/>
    </row>
    <row r="18016" spans="1:1">
      <c r="A18016" s="27"/>
    </row>
    <row r="18017" spans="1:1">
      <c r="A18017" s="27"/>
    </row>
    <row r="18018" spans="1:1">
      <c r="A18018" s="27"/>
    </row>
    <row r="18019" spans="1:1">
      <c r="A18019" s="27"/>
    </row>
    <row r="18020" spans="1:1">
      <c r="A18020" s="27"/>
    </row>
    <row r="18021" spans="1:1">
      <c r="A18021" s="27"/>
    </row>
    <row r="18022" spans="1:1">
      <c r="A18022" s="27"/>
    </row>
    <row r="18023" spans="1:1">
      <c r="A18023" s="27"/>
    </row>
    <row r="18024" spans="1:1">
      <c r="A18024" s="27"/>
    </row>
    <row r="18025" spans="1:1">
      <c r="A18025" s="27"/>
    </row>
    <row r="18026" spans="1:1">
      <c r="A18026" s="27"/>
    </row>
    <row r="18027" spans="1:1">
      <c r="A18027" s="27"/>
    </row>
    <row r="18028" spans="1:1">
      <c r="A18028" s="27"/>
    </row>
    <row r="18029" spans="1:1">
      <c r="A18029" s="27"/>
    </row>
    <row r="18030" spans="1:1">
      <c r="A18030" s="27"/>
    </row>
    <row r="18031" spans="1:1">
      <c r="A18031" s="27"/>
    </row>
    <row r="18032" spans="1:1">
      <c r="A18032" s="27"/>
    </row>
    <row r="18033" spans="1:1">
      <c r="A18033" s="27"/>
    </row>
    <row r="18034" spans="1:1">
      <c r="A18034" s="27"/>
    </row>
    <row r="18035" spans="1:1">
      <c r="A18035" s="27"/>
    </row>
    <row r="18036" spans="1:1">
      <c r="A18036" s="27"/>
    </row>
    <row r="18037" spans="1:1">
      <c r="A18037" s="27"/>
    </row>
    <row r="18038" spans="1:1">
      <c r="A18038" s="27"/>
    </row>
    <row r="18039" spans="1:1">
      <c r="A18039" s="27"/>
    </row>
    <row r="18040" spans="1:1">
      <c r="A18040" s="27"/>
    </row>
    <row r="18041" spans="1:1">
      <c r="A18041" s="27"/>
    </row>
    <row r="18042" spans="1:1">
      <c r="A18042" s="27"/>
    </row>
    <row r="18043" spans="1:1">
      <c r="A18043" s="27"/>
    </row>
    <row r="18044" spans="1:1">
      <c r="A18044" s="27"/>
    </row>
    <row r="18045" spans="1:1">
      <c r="A18045" s="27"/>
    </row>
    <row r="18046" spans="1:1">
      <c r="A18046" s="27"/>
    </row>
    <row r="18047" spans="1:1">
      <c r="A18047" s="27"/>
    </row>
    <row r="18048" spans="1:1">
      <c r="A18048" s="27"/>
    </row>
    <row r="18049" spans="1:1">
      <c r="A18049" s="27"/>
    </row>
    <row r="18050" spans="1:1">
      <c r="A18050" s="27"/>
    </row>
    <row r="18051" spans="1:1">
      <c r="A18051" s="27"/>
    </row>
    <row r="18052" spans="1:1">
      <c r="A18052" s="27"/>
    </row>
    <row r="18053" spans="1:1">
      <c r="A18053" s="27"/>
    </row>
    <row r="18054" spans="1:1">
      <c r="A18054" s="27"/>
    </row>
    <row r="18055" spans="1:1">
      <c r="A18055" s="27"/>
    </row>
    <row r="18056" spans="1:1">
      <c r="A18056" s="27"/>
    </row>
    <row r="18057" spans="1:1">
      <c r="A18057" s="27"/>
    </row>
    <row r="18058" spans="1:1">
      <c r="A18058" s="27"/>
    </row>
    <row r="18059" spans="1:1">
      <c r="A18059" s="27"/>
    </row>
    <row r="18060" spans="1:1">
      <c r="A18060" s="27"/>
    </row>
    <row r="18061" spans="1:1">
      <c r="A18061" s="27"/>
    </row>
    <row r="18062" spans="1:1">
      <c r="A18062" s="27"/>
    </row>
    <row r="18063" spans="1:1">
      <c r="A18063" s="27"/>
    </row>
    <row r="18064" spans="1:1">
      <c r="A18064" s="27"/>
    </row>
    <row r="18065" spans="1:1">
      <c r="A18065" s="27"/>
    </row>
    <row r="18066" spans="1:1">
      <c r="A18066" s="27"/>
    </row>
    <row r="18067" spans="1:1">
      <c r="A18067" s="27"/>
    </row>
    <row r="18068" spans="1:1">
      <c r="A18068" s="27"/>
    </row>
    <row r="18069" spans="1:1">
      <c r="A18069" s="27"/>
    </row>
    <row r="18070" spans="1:1">
      <c r="A18070" s="27"/>
    </row>
    <row r="18071" spans="1:1">
      <c r="A18071" s="27"/>
    </row>
    <row r="18072" spans="1:1">
      <c r="A18072" s="27"/>
    </row>
    <row r="18073" spans="1:1">
      <c r="A18073" s="27"/>
    </row>
    <row r="18074" spans="1:1">
      <c r="A18074" s="27"/>
    </row>
    <row r="18075" spans="1:1">
      <c r="A18075" s="27"/>
    </row>
    <row r="18076" spans="1:1">
      <c r="A18076" s="27"/>
    </row>
    <row r="18077" spans="1:1">
      <c r="A18077" s="27"/>
    </row>
    <row r="18078" spans="1:1">
      <c r="A18078" s="27"/>
    </row>
    <row r="18079" spans="1:1">
      <c r="A18079" s="27"/>
    </row>
    <row r="18080" spans="1:1">
      <c r="A18080" s="27"/>
    </row>
    <row r="18081" spans="1:1">
      <c r="A18081" s="27"/>
    </row>
    <row r="18082" spans="1:1">
      <c r="A18082" s="27"/>
    </row>
    <row r="18083" spans="1:1">
      <c r="A18083" s="27"/>
    </row>
    <row r="18084" spans="1:1">
      <c r="A18084" s="27"/>
    </row>
    <row r="18085" spans="1:1">
      <c r="A18085" s="27"/>
    </row>
    <row r="18086" spans="1:1">
      <c r="A18086" s="27"/>
    </row>
    <row r="18087" spans="1:1">
      <c r="A18087" s="27"/>
    </row>
    <row r="18088" spans="1:1">
      <c r="A18088" s="27"/>
    </row>
    <row r="18089" spans="1:1">
      <c r="A18089" s="27"/>
    </row>
    <row r="18090" spans="1:1">
      <c r="A18090" s="27"/>
    </row>
    <row r="18091" spans="1:1">
      <c r="A18091" s="27"/>
    </row>
    <row r="18092" spans="1:1">
      <c r="A18092" s="27"/>
    </row>
    <row r="18093" spans="1:1">
      <c r="A18093" s="27"/>
    </row>
    <row r="18094" spans="1:1">
      <c r="A18094" s="27"/>
    </row>
    <row r="18095" spans="1:1">
      <c r="A18095" s="27"/>
    </row>
    <row r="18096" spans="1:1">
      <c r="A18096" s="27"/>
    </row>
    <row r="18097" spans="1:1">
      <c r="A18097" s="27"/>
    </row>
    <row r="18098" spans="1:1">
      <c r="A18098" s="27"/>
    </row>
    <row r="18099" spans="1:1">
      <c r="A18099" s="27"/>
    </row>
    <row r="18100" spans="1:1">
      <c r="A18100" s="27"/>
    </row>
    <row r="18101" spans="1:1">
      <c r="A18101" s="27"/>
    </row>
    <row r="18102" spans="1:1">
      <c r="A18102" s="27"/>
    </row>
    <row r="18103" spans="1:1">
      <c r="A18103" s="27"/>
    </row>
    <row r="18104" spans="1:1">
      <c r="A18104" s="27"/>
    </row>
    <row r="18105" spans="1:1">
      <c r="A18105" s="27"/>
    </row>
    <row r="18106" spans="1:1">
      <c r="A18106" s="27"/>
    </row>
    <row r="18107" spans="1:1">
      <c r="A18107" s="27"/>
    </row>
    <row r="18108" spans="1:1">
      <c r="A18108" s="27"/>
    </row>
    <row r="18109" spans="1:1">
      <c r="A18109" s="27"/>
    </row>
    <row r="18110" spans="1:1">
      <c r="A18110" s="27"/>
    </row>
    <row r="18111" spans="1:1">
      <c r="A18111" s="27"/>
    </row>
    <row r="18112" spans="1:1">
      <c r="A18112" s="27"/>
    </row>
    <row r="18113" spans="1:1">
      <c r="A18113" s="27"/>
    </row>
    <row r="18114" spans="1:1">
      <c r="A18114" s="27"/>
    </row>
    <row r="18115" spans="1:1">
      <c r="A18115" s="27"/>
    </row>
    <row r="18116" spans="1:1">
      <c r="A18116" s="27"/>
    </row>
    <row r="18117" spans="1:1">
      <c r="A18117" s="27"/>
    </row>
    <row r="18118" spans="1:1">
      <c r="A18118" s="27"/>
    </row>
    <row r="18119" spans="1:1">
      <c r="A18119" s="27"/>
    </row>
    <row r="18120" spans="1:1">
      <c r="A18120" s="27"/>
    </row>
    <row r="18121" spans="1:1">
      <c r="A18121" s="27"/>
    </row>
    <row r="18122" spans="1:1">
      <c r="A18122" s="27"/>
    </row>
    <row r="18123" spans="1:1">
      <c r="A18123" s="27"/>
    </row>
    <row r="18124" spans="1:1">
      <c r="A18124" s="27"/>
    </row>
    <row r="18125" spans="1:1">
      <c r="A18125" s="27"/>
    </row>
    <row r="18126" spans="1:1">
      <c r="A18126" s="27"/>
    </row>
    <row r="18127" spans="1:1">
      <c r="A18127" s="27"/>
    </row>
    <row r="18128" spans="1:1">
      <c r="A18128" s="27"/>
    </row>
    <row r="18129" spans="1:1">
      <c r="A18129" s="27"/>
    </row>
    <row r="18130" spans="1:1">
      <c r="A18130" s="27"/>
    </row>
    <row r="18131" spans="1:1">
      <c r="A18131" s="27"/>
    </row>
    <row r="18132" spans="1:1">
      <c r="A18132" s="27"/>
    </row>
    <row r="18133" spans="1:1">
      <c r="A18133" s="27"/>
    </row>
    <row r="18134" spans="1:1">
      <c r="A18134" s="27"/>
    </row>
    <row r="18135" spans="1:1">
      <c r="A18135" s="27"/>
    </row>
    <row r="18136" spans="1:1">
      <c r="A18136" s="27"/>
    </row>
    <row r="18137" spans="1:1">
      <c r="A18137" s="27"/>
    </row>
    <row r="18138" spans="1:1">
      <c r="A18138" s="27"/>
    </row>
    <row r="18139" spans="1:1">
      <c r="A18139" s="27"/>
    </row>
    <row r="18140" spans="1:1">
      <c r="A18140" s="27"/>
    </row>
    <row r="18141" spans="1:1">
      <c r="A18141" s="27"/>
    </row>
    <row r="18142" spans="1:1">
      <c r="A18142" s="27"/>
    </row>
    <row r="18143" spans="1:1">
      <c r="A18143" s="27"/>
    </row>
    <row r="18144" spans="1:1">
      <c r="A18144" s="27"/>
    </row>
    <row r="18145" spans="1:1">
      <c r="A18145" s="27"/>
    </row>
    <row r="18146" spans="1:1">
      <c r="A18146" s="27"/>
    </row>
    <row r="18147" spans="1:1">
      <c r="A18147" s="27"/>
    </row>
    <row r="18148" spans="1:1">
      <c r="A18148" s="27"/>
    </row>
    <row r="18149" spans="1:1">
      <c r="A18149" s="27"/>
    </row>
    <row r="18150" spans="1:1">
      <c r="A18150" s="27"/>
    </row>
    <row r="18151" spans="1:1">
      <c r="A18151" s="27"/>
    </row>
    <row r="18152" spans="1:1">
      <c r="A18152" s="27"/>
    </row>
    <row r="18153" spans="1:1">
      <c r="A18153" s="27"/>
    </row>
    <row r="18154" spans="1:1">
      <c r="A18154" s="27"/>
    </row>
    <row r="18155" spans="1:1">
      <c r="A18155" s="27"/>
    </row>
    <row r="18156" spans="1:1">
      <c r="A18156" s="27"/>
    </row>
    <row r="18157" spans="1:1">
      <c r="A18157" s="27"/>
    </row>
    <row r="18158" spans="1:1">
      <c r="A18158" s="27"/>
    </row>
    <row r="18159" spans="1:1">
      <c r="A18159" s="27"/>
    </row>
    <row r="18160" spans="1:1">
      <c r="A18160" s="27"/>
    </row>
    <row r="18161" spans="1:1">
      <c r="A18161" s="27"/>
    </row>
    <row r="18162" spans="1:1">
      <c r="A18162" s="27"/>
    </row>
    <row r="18163" spans="1:1">
      <c r="A18163" s="27"/>
    </row>
    <row r="18164" spans="1:1">
      <c r="A18164" s="27"/>
    </row>
    <row r="18165" spans="1:1">
      <c r="A18165" s="27"/>
    </row>
    <row r="18166" spans="1:1">
      <c r="A18166" s="27"/>
    </row>
    <row r="18167" spans="1:1">
      <c r="A18167" s="27"/>
    </row>
    <row r="18168" spans="1:1">
      <c r="A18168" s="27"/>
    </row>
    <row r="18169" spans="1:1">
      <c r="A18169" s="27"/>
    </row>
    <row r="18170" spans="1:1">
      <c r="A18170" s="27"/>
    </row>
    <row r="18171" spans="1:1">
      <c r="A18171" s="27"/>
    </row>
    <row r="18172" spans="1:1">
      <c r="A18172" s="27"/>
    </row>
    <row r="18173" spans="1:1">
      <c r="A18173" s="27"/>
    </row>
    <row r="18174" spans="1:1">
      <c r="A18174" s="27"/>
    </row>
    <row r="18175" spans="1:1">
      <c r="A18175" s="27"/>
    </row>
    <row r="18176" spans="1:1">
      <c r="A18176" s="27"/>
    </row>
    <row r="18177" spans="1:1">
      <c r="A18177" s="27"/>
    </row>
    <row r="18178" spans="1:1">
      <c r="A18178" s="27"/>
    </row>
    <row r="18179" spans="1:1">
      <c r="A18179" s="27"/>
    </row>
    <row r="18180" spans="1:1">
      <c r="A18180" s="27"/>
    </row>
    <row r="18181" spans="1:1">
      <c r="A18181" s="27"/>
    </row>
    <row r="18182" spans="1:1">
      <c r="A18182" s="27"/>
    </row>
    <row r="18183" spans="1:1">
      <c r="A18183" s="27"/>
    </row>
    <row r="18184" spans="1:1">
      <c r="A18184" s="27"/>
    </row>
    <row r="18185" spans="1:1">
      <c r="A18185" s="27"/>
    </row>
    <row r="18186" spans="1:1">
      <c r="A18186" s="27"/>
    </row>
    <row r="18187" spans="1:1">
      <c r="A18187" s="27"/>
    </row>
    <row r="18188" spans="1:1">
      <c r="A18188" s="27"/>
    </row>
    <row r="18189" spans="1:1">
      <c r="A18189" s="27"/>
    </row>
    <row r="18190" spans="1:1">
      <c r="A18190" s="27"/>
    </row>
    <row r="18191" spans="1:1">
      <c r="A18191" s="27"/>
    </row>
    <row r="18192" spans="1:1">
      <c r="A18192" s="27"/>
    </row>
    <row r="18193" spans="1:1">
      <c r="A18193" s="27"/>
    </row>
    <row r="18194" spans="1:1">
      <c r="A18194" s="27"/>
    </row>
    <row r="18195" spans="1:1">
      <c r="A18195" s="27"/>
    </row>
    <row r="18196" spans="1:1">
      <c r="A18196" s="27"/>
    </row>
    <row r="18197" spans="1:1">
      <c r="A18197" s="27"/>
    </row>
    <row r="18198" spans="1:1">
      <c r="A18198" s="27"/>
    </row>
    <row r="18199" spans="1:1">
      <c r="A18199" s="27"/>
    </row>
    <row r="18200" spans="1:1">
      <c r="A18200" s="27"/>
    </row>
    <row r="18201" spans="1:1">
      <c r="A18201" s="27"/>
    </row>
    <row r="18202" spans="1:1">
      <c r="A18202" s="27"/>
    </row>
    <row r="18203" spans="1:1">
      <c r="A18203" s="27"/>
    </row>
    <row r="18204" spans="1:1">
      <c r="A18204" s="27"/>
    </row>
    <row r="18205" spans="1:1">
      <c r="A18205" s="27"/>
    </row>
    <row r="18206" spans="1:1">
      <c r="A18206" s="27"/>
    </row>
    <row r="18207" spans="1:1">
      <c r="A18207" s="27"/>
    </row>
    <row r="18208" spans="1:1">
      <c r="A18208" s="27"/>
    </row>
    <row r="18209" spans="1:1">
      <c r="A18209" s="27"/>
    </row>
    <row r="18210" spans="1:1">
      <c r="A18210" s="27"/>
    </row>
    <row r="18211" spans="1:1">
      <c r="A18211" s="27"/>
    </row>
    <row r="18212" spans="1:1">
      <c r="A18212" s="27"/>
    </row>
    <row r="18213" spans="1:1">
      <c r="A18213" s="27"/>
    </row>
    <row r="18214" spans="1:1">
      <c r="A18214" s="27"/>
    </row>
    <row r="18215" spans="1:1">
      <c r="A18215" s="27"/>
    </row>
    <row r="18216" spans="1:1">
      <c r="A18216" s="27"/>
    </row>
    <row r="18217" spans="1:1">
      <c r="A18217" s="27"/>
    </row>
    <row r="18218" spans="1:1">
      <c r="A18218" s="27"/>
    </row>
    <row r="18219" spans="1:1">
      <c r="A18219" s="27"/>
    </row>
    <row r="18220" spans="1:1">
      <c r="A18220" s="27"/>
    </row>
    <row r="18221" spans="1:1">
      <c r="A18221" s="27"/>
    </row>
    <row r="18222" spans="1:1">
      <c r="A18222" s="27"/>
    </row>
    <row r="18223" spans="1:1">
      <c r="A18223" s="27"/>
    </row>
    <row r="18224" spans="1:1">
      <c r="A18224" s="27"/>
    </row>
    <row r="18225" spans="1:1">
      <c r="A18225" s="27"/>
    </row>
    <row r="18226" spans="1:1">
      <c r="A18226" s="27"/>
    </row>
    <row r="18227" spans="1:1">
      <c r="A18227" s="27"/>
    </row>
    <row r="18228" spans="1:1">
      <c r="A18228" s="27"/>
    </row>
    <row r="18229" spans="1:1">
      <c r="A18229" s="27"/>
    </row>
    <row r="18230" spans="1:1">
      <c r="A18230" s="27"/>
    </row>
    <row r="18231" spans="1:1">
      <c r="A18231" s="27"/>
    </row>
    <row r="18232" spans="1:1">
      <c r="A18232" s="27"/>
    </row>
    <row r="18233" spans="1:1">
      <c r="A18233" s="27"/>
    </row>
    <row r="18234" spans="1:1">
      <c r="A18234" s="27"/>
    </row>
    <row r="18235" spans="1:1">
      <c r="A18235" s="27"/>
    </row>
    <row r="18236" spans="1:1">
      <c r="A18236" s="27"/>
    </row>
    <row r="18237" spans="1:1">
      <c r="A18237" s="27"/>
    </row>
    <row r="18238" spans="1:1">
      <c r="A18238" s="27"/>
    </row>
    <row r="18239" spans="1:1">
      <c r="A18239" s="27"/>
    </row>
    <row r="18240" spans="1:1">
      <c r="A18240" s="27"/>
    </row>
    <row r="18241" spans="1:1">
      <c r="A18241" s="27"/>
    </row>
    <row r="18242" spans="1:1">
      <c r="A18242" s="27"/>
    </row>
    <row r="18243" spans="1:1">
      <c r="A18243" s="27"/>
    </row>
    <row r="18244" spans="1:1">
      <c r="A18244" s="27"/>
    </row>
    <row r="18245" spans="1:1">
      <c r="A18245" s="27"/>
    </row>
    <row r="18246" spans="1:1">
      <c r="A18246" s="27"/>
    </row>
    <row r="18247" spans="1:1">
      <c r="A18247" s="27"/>
    </row>
    <row r="18248" spans="1:1">
      <c r="A18248" s="27"/>
    </row>
    <row r="18249" spans="1:1">
      <c r="A18249" s="27"/>
    </row>
    <row r="18250" spans="1:1">
      <c r="A18250" s="27"/>
    </row>
    <row r="18251" spans="1:1">
      <c r="A18251" s="27"/>
    </row>
    <row r="18252" spans="1:1">
      <c r="A18252" s="27"/>
    </row>
    <row r="18253" spans="1:1">
      <c r="A18253" s="27"/>
    </row>
    <row r="18254" spans="1:1">
      <c r="A18254" s="27"/>
    </row>
    <row r="18255" spans="1:1">
      <c r="A18255" s="27"/>
    </row>
    <row r="18256" spans="1:1">
      <c r="A18256" s="27"/>
    </row>
    <row r="18257" spans="1:1">
      <c r="A18257" s="27"/>
    </row>
    <row r="18258" spans="1:1">
      <c r="A18258" s="27"/>
    </row>
    <row r="18259" spans="1:1">
      <c r="A18259" s="27"/>
    </row>
    <row r="18260" spans="1:1">
      <c r="A18260" s="27"/>
    </row>
    <row r="18261" spans="1:1">
      <c r="A18261" s="27"/>
    </row>
    <row r="18262" spans="1:1">
      <c r="A18262" s="27"/>
    </row>
    <row r="18263" spans="1:1">
      <c r="A18263" s="27"/>
    </row>
    <row r="18264" spans="1:1">
      <c r="A18264" s="27"/>
    </row>
    <row r="18265" spans="1:1">
      <c r="A18265" s="27"/>
    </row>
    <row r="18266" spans="1:1">
      <c r="A18266" s="27"/>
    </row>
    <row r="18267" spans="1:1">
      <c r="A18267" s="27"/>
    </row>
    <row r="18268" spans="1:1">
      <c r="A18268" s="27"/>
    </row>
    <row r="18269" spans="1:1">
      <c r="A18269" s="27"/>
    </row>
    <row r="18270" spans="1:1">
      <c r="A18270" s="27"/>
    </row>
    <row r="18271" spans="1:1">
      <c r="A18271" s="27"/>
    </row>
    <row r="18272" spans="1:1">
      <c r="A18272" s="27"/>
    </row>
    <row r="18273" spans="1:1">
      <c r="A18273" s="27"/>
    </row>
    <row r="18274" spans="1:1">
      <c r="A18274" s="27"/>
    </row>
    <row r="18275" spans="1:1">
      <c r="A18275" s="27"/>
    </row>
    <row r="18276" spans="1:1">
      <c r="A18276" s="27"/>
    </row>
    <row r="18277" spans="1:1">
      <c r="A18277" s="27"/>
    </row>
    <row r="18278" spans="1:1">
      <c r="A18278" s="27"/>
    </row>
    <row r="18279" spans="1:1">
      <c r="A18279" s="27"/>
    </row>
    <row r="18280" spans="1:1">
      <c r="A18280" s="27"/>
    </row>
    <row r="18281" spans="1:1">
      <c r="A18281" s="27"/>
    </row>
    <row r="18282" spans="1:1">
      <c r="A18282" s="27"/>
    </row>
    <row r="18283" spans="1:1">
      <c r="A18283" s="27"/>
    </row>
    <row r="18284" spans="1:1">
      <c r="A18284" s="27"/>
    </row>
    <row r="18285" spans="1:1">
      <c r="A18285" s="27"/>
    </row>
    <row r="18286" spans="1:1">
      <c r="A18286" s="27"/>
    </row>
    <row r="18287" spans="1:1">
      <c r="A18287" s="27"/>
    </row>
    <row r="18288" spans="1:1">
      <c r="A18288" s="27"/>
    </row>
    <row r="18289" spans="1:1">
      <c r="A18289" s="27"/>
    </row>
    <row r="18290" spans="1:1">
      <c r="A18290" s="27"/>
    </row>
    <row r="18291" spans="1:1">
      <c r="A18291" s="27"/>
    </row>
    <row r="18292" spans="1:1">
      <c r="A18292" s="27"/>
    </row>
    <row r="18293" spans="1:1">
      <c r="A18293" s="27"/>
    </row>
    <row r="18294" spans="1:1">
      <c r="A18294" s="27"/>
    </row>
    <row r="18295" spans="1:1">
      <c r="A18295" s="27"/>
    </row>
    <row r="18296" spans="1:1">
      <c r="A18296" s="27"/>
    </row>
    <row r="18297" spans="1:1">
      <c r="A18297" s="27"/>
    </row>
    <row r="18298" spans="1:1">
      <c r="A18298" s="27"/>
    </row>
    <row r="18299" spans="1:1">
      <c r="A18299" s="27"/>
    </row>
    <row r="18300" spans="1:1">
      <c r="A18300" s="27"/>
    </row>
    <row r="18301" spans="1:1">
      <c r="A18301" s="27"/>
    </row>
    <row r="18302" spans="1:1">
      <c r="A18302" s="27"/>
    </row>
    <row r="18303" spans="1:1">
      <c r="A18303" s="27"/>
    </row>
    <row r="18304" spans="1:1">
      <c r="A18304" s="27"/>
    </row>
    <row r="18305" spans="1:1">
      <c r="A18305" s="27"/>
    </row>
    <row r="18306" spans="1:1">
      <c r="A18306" s="27"/>
    </row>
    <row r="18307" spans="1:1">
      <c r="A18307" s="27"/>
    </row>
    <row r="18308" spans="1:1">
      <c r="A18308" s="27"/>
    </row>
    <row r="18309" spans="1:1">
      <c r="A18309" s="27"/>
    </row>
    <row r="18310" spans="1:1">
      <c r="A18310" s="27"/>
    </row>
    <row r="18311" spans="1:1">
      <c r="A18311" s="27"/>
    </row>
    <row r="18312" spans="1:1">
      <c r="A18312" s="27"/>
    </row>
    <row r="18313" spans="1:1">
      <c r="A18313" s="27"/>
    </row>
    <row r="18314" spans="1:1">
      <c r="A18314" s="27"/>
    </row>
    <row r="18315" spans="1:1">
      <c r="A18315" s="27"/>
    </row>
    <row r="18316" spans="1:1">
      <c r="A18316" s="27"/>
    </row>
    <row r="18317" spans="1:1">
      <c r="A18317" s="27"/>
    </row>
    <row r="18318" spans="1:1">
      <c r="A18318" s="27"/>
    </row>
    <row r="18319" spans="1:1">
      <c r="A18319" s="27"/>
    </row>
    <row r="18320" spans="1:1">
      <c r="A18320" s="27"/>
    </row>
    <row r="18321" spans="1:1">
      <c r="A18321" s="27"/>
    </row>
    <row r="18322" spans="1:1">
      <c r="A18322" s="27"/>
    </row>
    <row r="18323" spans="1:1">
      <c r="A18323" s="27"/>
    </row>
    <row r="18324" spans="1:1">
      <c r="A18324" s="27"/>
    </row>
    <row r="18325" spans="1:1">
      <c r="A18325" s="27"/>
    </row>
    <row r="18326" spans="1:1">
      <c r="A18326" s="27"/>
    </row>
    <row r="18327" spans="1:1">
      <c r="A18327" s="27"/>
    </row>
    <row r="18328" spans="1:1">
      <c r="A18328" s="27"/>
    </row>
    <row r="18329" spans="1:1">
      <c r="A18329" s="27"/>
    </row>
    <row r="18330" spans="1:1">
      <c r="A18330" s="27"/>
    </row>
    <row r="18331" spans="1:1">
      <c r="A18331" s="27"/>
    </row>
    <row r="18332" spans="1:1">
      <c r="A18332" s="27"/>
    </row>
    <row r="18333" spans="1:1">
      <c r="A18333" s="27"/>
    </row>
    <row r="18334" spans="1:1">
      <c r="A18334" s="27"/>
    </row>
    <row r="18335" spans="1:1">
      <c r="A18335" s="27"/>
    </row>
    <row r="18336" spans="1:1">
      <c r="A18336" s="27"/>
    </row>
    <row r="18337" spans="1:1">
      <c r="A18337" s="27"/>
    </row>
    <row r="18338" spans="1:1">
      <c r="A18338" s="27"/>
    </row>
    <row r="18339" spans="1:1">
      <c r="A18339" s="27"/>
    </row>
    <row r="18340" spans="1:1">
      <c r="A18340" s="27"/>
    </row>
    <row r="18341" spans="1:1">
      <c r="A18341" s="27"/>
    </row>
    <row r="18342" spans="1:1">
      <c r="A18342" s="27"/>
    </row>
    <row r="18343" spans="1:1">
      <c r="A18343" s="27"/>
    </row>
    <row r="18344" spans="1:1">
      <c r="A18344" s="27"/>
    </row>
    <row r="18345" spans="1:1">
      <c r="A18345" s="27"/>
    </row>
    <row r="18346" spans="1:1">
      <c r="A18346" s="27"/>
    </row>
    <row r="18347" spans="1:1">
      <c r="A18347" s="27"/>
    </row>
    <row r="18348" spans="1:1">
      <c r="A18348" s="27"/>
    </row>
    <row r="18349" spans="1:1">
      <c r="A18349" s="27"/>
    </row>
    <row r="18350" spans="1:1">
      <c r="A18350" s="27"/>
    </row>
    <row r="18351" spans="1:1">
      <c r="A18351" s="27"/>
    </row>
    <row r="18352" spans="1:1">
      <c r="A18352" s="27"/>
    </row>
    <row r="18353" spans="1:1">
      <c r="A18353" s="27"/>
    </row>
    <row r="18354" spans="1:1">
      <c r="A18354" s="27"/>
    </row>
    <row r="18355" spans="1:1">
      <c r="A18355" s="27"/>
    </row>
    <row r="18356" spans="1:1">
      <c r="A18356" s="27"/>
    </row>
    <row r="18357" spans="1:1">
      <c r="A18357" s="27"/>
    </row>
    <row r="18358" spans="1:1">
      <c r="A18358" s="27"/>
    </row>
    <row r="18359" spans="1:1">
      <c r="A18359" s="27"/>
    </row>
    <row r="18360" spans="1:1">
      <c r="A18360" s="27"/>
    </row>
    <row r="18361" spans="1:1">
      <c r="A18361" s="27"/>
    </row>
    <row r="18362" spans="1:1">
      <c r="A18362" s="27"/>
    </row>
    <row r="18363" spans="1:1">
      <c r="A18363" s="27"/>
    </row>
    <row r="18364" spans="1:1">
      <c r="A18364" s="27"/>
    </row>
    <row r="18365" spans="1:1">
      <c r="A18365" s="27"/>
    </row>
    <row r="18366" spans="1:1">
      <c r="A18366" s="27"/>
    </row>
    <row r="18367" spans="1:1">
      <c r="A18367" s="27"/>
    </row>
    <row r="18368" spans="1:1">
      <c r="A18368" s="27"/>
    </row>
    <row r="18369" spans="1:1">
      <c r="A18369" s="27"/>
    </row>
    <row r="18370" spans="1:1">
      <c r="A18370" s="27"/>
    </row>
    <row r="18371" spans="1:1">
      <c r="A18371" s="27"/>
    </row>
    <row r="18372" spans="1:1">
      <c r="A18372" s="27"/>
    </row>
    <row r="18373" spans="1:1">
      <c r="A18373" s="27"/>
    </row>
    <row r="18374" spans="1:1">
      <c r="A18374" s="27"/>
    </row>
    <row r="18375" spans="1:1">
      <c r="A18375" s="27"/>
    </row>
    <row r="18376" spans="1:1">
      <c r="A18376" s="27"/>
    </row>
    <row r="18377" spans="1:1">
      <c r="A18377" s="27"/>
    </row>
    <row r="18378" spans="1:1">
      <c r="A18378" s="27"/>
    </row>
    <row r="18379" spans="1:1">
      <c r="A18379" s="27"/>
    </row>
    <row r="18380" spans="1:1">
      <c r="A18380" s="27"/>
    </row>
    <row r="18381" spans="1:1">
      <c r="A18381" s="27"/>
    </row>
    <row r="18382" spans="1:1">
      <c r="A18382" s="27"/>
    </row>
    <row r="18383" spans="1:1">
      <c r="A18383" s="27"/>
    </row>
    <row r="18384" spans="1:1">
      <c r="A18384" s="27"/>
    </row>
    <row r="18385" spans="1:1">
      <c r="A18385" s="27"/>
    </row>
    <row r="18386" spans="1:1">
      <c r="A18386" s="27"/>
    </row>
    <row r="18387" spans="1:1">
      <c r="A18387" s="27"/>
    </row>
    <row r="18388" spans="1:1">
      <c r="A18388" s="27"/>
    </row>
    <row r="18389" spans="1:1">
      <c r="A18389" s="27"/>
    </row>
    <row r="18390" spans="1:1">
      <c r="A18390" s="27"/>
    </row>
    <row r="18391" spans="1:1">
      <c r="A18391" s="27"/>
    </row>
    <row r="18392" spans="1:1">
      <c r="A18392" s="27"/>
    </row>
    <row r="18393" spans="1:1">
      <c r="A18393" s="27"/>
    </row>
    <row r="18394" spans="1:1">
      <c r="A18394" s="27"/>
    </row>
    <row r="18395" spans="1:1">
      <c r="A18395" s="27"/>
    </row>
    <row r="18396" spans="1:1">
      <c r="A18396" s="27"/>
    </row>
    <row r="18397" spans="1:1">
      <c r="A18397" s="27"/>
    </row>
    <row r="18398" spans="1:1">
      <c r="A18398" s="27"/>
    </row>
    <row r="18399" spans="1:1">
      <c r="A18399" s="27"/>
    </row>
    <row r="18400" spans="1:1">
      <c r="A18400" s="27"/>
    </row>
    <row r="18401" spans="1:1">
      <c r="A18401" s="27"/>
    </row>
    <row r="18402" spans="1:1">
      <c r="A18402" s="27"/>
    </row>
    <row r="18403" spans="1:1">
      <c r="A18403" s="27"/>
    </row>
    <row r="18404" spans="1:1">
      <c r="A18404" s="27"/>
    </row>
    <row r="18405" spans="1:1">
      <c r="A18405" s="27"/>
    </row>
    <row r="18406" spans="1:1">
      <c r="A18406" s="27"/>
    </row>
    <row r="18407" spans="1:1">
      <c r="A18407" s="27"/>
    </row>
    <row r="18408" spans="1:1">
      <c r="A18408" s="27"/>
    </row>
    <row r="18409" spans="1:1">
      <c r="A18409" s="27"/>
    </row>
    <row r="18410" spans="1:1">
      <c r="A18410" s="27"/>
    </row>
    <row r="18411" spans="1:1">
      <c r="A18411" s="27"/>
    </row>
    <row r="18412" spans="1:1">
      <c r="A18412" s="27"/>
    </row>
    <row r="18413" spans="1:1">
      <c r="A18413" s="27"/>
    </row>
    <row r="18414" spans="1:1">
      <c r="A18414" s="27"/>
    </row>
    <row r="18415" spans="1:1">
      <c r="A18415" s="27"/>
    </row>
    <row r="18416" spans="1:1">
      <c r="A18416" s="27"/>
    </row>
    <row r="18417" spans="1:1">
      <c r="A18417" s="27"/>
    </row>
    <row r="18418" spans="1:1">
      <c r="A18418" s="27"/>
    </row>
    <row r="18419" spans="1:1">
      <c r="A18419" s="27"/>
    </row>
    <row r="18420" spans="1:1">
      <c r="A18420" s="27"/>
    </row>
    <row r="18421" spans="1:1">
      <c r="A18421" s="27"/>
    </row>
    <row r="18422" spans="1:1">
      <c r="A18422" s="27"/>
    </row>
    <row r="18423" spans="1:1">
      <c r="A18423" s="27"/>
    </row>
    <row r="18424" spans="1:1">
      <c r="A18424" s="27"/>
    </row>
    <row r="18425" spans="1:1">
      <c r="A18425" s="27"/>
    </row>
    <row r="18426" spans="1:1">
      <c r="A18426" s="27"/>
    </row>
    <row r="18427" spans="1:1">
      <c r="A18427" s="27"/>
    </row>
    <row r="18428" spans="1:1">
      <c r="A18428" s="27"/>
    </row>
    <row r="18429" spans="1:1">
      <c r="A18429" s="27"/>
    </row>
    <row r="18430" spans="1:1">
      <c r="A18430" s="27"/>
    </row>
    <row r="18431" spans="1:1">
      <c r="A18431" s="27"/>
    </row>
    <row r="18432" spans="1:1">
      <c r="A18432" s="27"/>
    </row>
    <row r="18433" spans="1:1">
      <c r="A18433" s="27"/>
    </row>
    <row r="18434" spans="1:1">
      <c r="A18434" s="27"/>
    </row>
    <row r="18435" spans="1:1">
      <c r="A18435" s="27"/>
    </row>
    <row r="18436" spans="1:1">
      <c r="A18436" s="27"/>
    </row>
    <row r="18437" spans="1:1">
      <c r="A18437" s="27"/>
    </row>
    <row r="18438" spans="1:1">
      <c r="A18438" s="27"/>
    </row>
    <row r="18439" spans="1:1">
      <c r="A18439" s="27"/>
    </row>
    <row r="18440" spans="1:1">
      <c r="A18440" s="27"/>
    </row>
    <row r="18441" spans="1:1">
      <c r="A18441" s="27"/>
    </row>
    <row r="18442" spans="1:1">
      <c r="A18442" s="27"/>
    </row>
    <row r="18443" spans="1:1">
      <c r="A18443" s="27"/>
    </row>
    <row r="18444" spans="1:1">
      <c r="A18444" s="27"/>
    </row>
    <row r="18445" spans="1:1">
      <c r="A18445" s="27"/>
    </row>
    <row r="18446" spans="1:1">
      <c r="A18446" s="27"/>
    </row>
    <row r="18447" spans="1:1">
      <c r="A18447" s="27"/>
    </row>
    <row r="18448" spans="1:1">
      <c r="A18448" s="27"/>
    </row>
    <row r="18449" spans="1:1">
      <c r="A18449" s="27"/>
    </row>
    <row r="18450" spans="1:1">
      <c r="A18450" s="27"/>
    </row>
    <row r="18451" spans="1:1">
      <c r="A18451" s="27"/>
    </row>
    <row r="18452" spans="1:1">
      <c r="A18452" s="27"/>
    </row>
    <row r="18453" spans="1:1">
      <c r="A18453" s="27"/>
    </row>
    <row r="18454" spans="1:1">
      <c r="A18454" s="27"/>
    </row>
    <row r="18455" spans="1:1">
      <c r="A18455" s="27"/>
    </row>
    <row r="18456" spans="1:1">
      <c r="A18456" s="27"/>
    </row>
    <row r="18457" spans="1:1">
      <c r="A18457" s="27"/>
    </row>
    <row r="18458" spans="1:1">
      <c r="A18458" s="27"/>
    </row>
    <row r="18459" spans="1:1">
      <c r="A18459" s="27"/>
    </row>
    <row r="18460" spans="1:1">
      <c r="A18460" s="27"/>
    </row>
    <row r="18461" spans="1:1">
      <c r="A18461" s="27"/>
    </row>
    <row r="18462" spans="1:1">
      <c r="A18462" s="27"/>
    </row>
    <row r="18463" spans="1:1">
      <c r="A18463" s="27"/>
    </row>
    <row r="18464" spans="1:1">
      <c r="A18464" s="27"/>
    </row>
    <row r="18465" spans="1:1">
      <c r="A18465" s="27"/>
    </row>
    <row r="18466" spans="1:1">
      <c r="A18466" s="27"/>
    </row>
    <row r="18467" spans="1:1">
      <c r="A18467" s="27"/>
    </row>
    <row r="18468" spans="1:1">
      <c r="A18468" s="27"/>
    </row>
    <row r="18469" spans="1:1">
      <c r="A18469" s="27"/>
    </row>
    <row r="18470" spans="1:1">
      <c r="A18470" s="27"/>
    </row>
    <row r="18471" spans="1:1">
      <c r="A18471" s="27"/>
    </row>
    <row r="18472" spans="1:1">
      <c r="A18472" s="27"/>
    </row>
    <row r="18473" spans="1:1">
      <c r="A18473" s="27"/>
    </row>
    <row r="18474" spans="1:1">
      <c r="A18474" s="27"/>
    </row>
    <row r="18475" spans="1:1">
      <c r="A18475" s="27"/>
    </row>
    <row r="18476" spans="1:1">
      <c r="A18476" s="27"/>
    </row>
    <row r="18477" spans="1:1">
      <c r="A18477" s="27"/>
    </row>
    <row r="18478" spans="1:1">
      <c r="A18478" s="27"/>
    </row>
    <row r="18479" spans="1:1">
      <c r="A18479" s="27"/>
    </row>
    <row r="18480" spans="1:1">
      <c r="A18480" s="27"/>
    </row>
    <row r="18481" spans="1:1">
      <c r="A18481" s="27"/>
    </row>
    <row r="18482" spans="1:1">
      <c r="A18482" s="27"/>
    </row>
    <row r="18483" spans="1:1">
      <c r="A18483" s="27"/>
    </row>
    <row r="18484" spans="1:1">
      <c r="A18484" s="27"/>
    </row>
    <row r="18485" spans="1:1">
      <c r="A18485" s="27"/>
    </row>
    <row r="18486" spans="1:1">
      <c r="A18486" s="27"/>
    </row>
    <row r="18487" spans="1:1">
      <c r="A18487" s="27"/>
    </row>
    <row r="18488" spans="1:1">
      <c r="A18488" s="27"/>
    </row>
    <row r="18489" spans="1:1">
      <c r="A18489" s="27"/>
    </row>
    <row r="18490" spans="1:1">
      <c r="A18490" s="27"/>
    </row>
    <row r="18491" spans="1:1">
      <c r="A18491" s="27"/>
    </row>
    <row r="18492" spans="1:1">
      <c r="A18492" s="27"/>
    </row>
    <row r="18493" spans="1:1">
      <c r="A18493" s="27"/>
    </row>
    <row r="18494" spans="1:1">
      <c r="A18494" s="27"/>
    </row>
    <row r="18495" spans="1:1">
      <c r="A18495" s="27"/>
    </row>
    <row r="18496" spans="1:1">
      <c r="A18496" s="27"/>
    </row>
    <row r="18497" spans="1:1">
      <c r="A18497" s="27"/>
    </row>
    <row r="18498" spans="1:1">
      <c r="A18498" s="27"/>
    </row>
    <row r="18499" spans="1:1">
      <c r="A18499" s="27"/>
    </row>
    <row r="18500" spans="1:1">
      <c r="A18500" s="27"/>
    </row>
    <row r="18501" spans="1:1">
      <c r="A18501" s="27"/>
    </row>
    <row r="18502" spans="1:1">
      <c r="A18502" s="27"/>
    </row>
    <row r="18503" spans="1:1">
      <c r="A18503" s="27"/>
    </row>
    <row r="18504" spans="1:1">
      <c r="A18504" s="27"/>
    </row>
    <row r="18505" spans="1:1">
      <c r="A18505" s="27"/>
    </row>
    <row r="18506" spans="1:1">
      <c r="A18506" s="27"/>
    </row>
    <row r="18507" spans="1:1">
      <c r="A18507" s="27"/>
    </row>
    <row r="18508" spans="1:1">
      <c r="A18508" s="27"/>
    </row>
    <row r="18509" spans="1:1">
      <c r="A18509" s="27"/>
    </row>
    <row r="18510" spans="1:1">
      <c r="A18510" s="27"/>
    </row>
    <row r="18511" spans="1:1">
      <c r="A18511" s="27"/>
    </row>
    <row r="18512" spans="1:1">
      <c r="A18512" s="27"/>
    </row>
    <row r="18513" spans="1:1">
      <c r="A18513" s="27"/>
    </row>
    <row r="18514" spans="1:1">
      <c r="A18514" s="27"/>
    </row>
    <row r="18515" spans="1:1">
      <c r="A18515" s="27"/>
    </row>
    <row r="18516" spans="1:1">
      <c r="A18516" s="27"/>
    </row>
    <row r="18517" spans="1:1">
      <c r="A18517" s="27"/>
    </row>
    <row r="18518" spans="1:1">
      <c r="A18518" s="27"/>
    </row>
    <row r="18519" spans="1:1">
      <c r="A18519" s="27"/>
    </row>
    <row r="18520" spans="1:1">
      <c r="A18520" s="27"/>
    </row>
    <row r="18521" spans="1:1">
      <c r="A18521" s="27"/>
    </row>
    <row r="18522" spans="1:1">
      <c r="A18522" s="27"/>
    </row>
    <row r="18523" spans="1:1">
      <c r="A18523" s="27"/>
    </row>
    <row r="18524" spans="1:1">
      <c r="A18524" s="27"/>
    </row>
    <row r="18525" spans="1:1">
      <c r="A18525" s="27"/>
    </row>
    <row r="18526" spans="1:1">
      <c r="A18526" s="27"/>
    </row>
    <row r="18527" spans="1:1">
      <c r="A18527" s="27"/>
    </row>
    <row r="18528" spans="1:1">
      <c r="A18528" s="27"/>
    </row>
    <row r="18529" spans="1:1">
      <c r="A18529" s="27"/>
    </row>
    <row r="18530" spans="1:1">
      <c r="A18530" s="27"/>
    </row>
    <row r="18531" spans="1:1">
      <c r="A18531" s="27"/>
    </row>
    <row r="18532" spans="1:1">
      <c r="A18532" s="27"/>
    </row>
    <row r="18533" spans="1:1">
      <c r="A18533" s="27"/>
    </row>
    <row r="18534" spans="1:1">
      <c r="A18534" s="27"/>
    </row>
    <row r="18535" spans="1:1">
      <c r="A18535" s="27"/>
    </row>
    <row r="18536" spans="1:1">
      <c r="A18536" s="27"/>
    </row>
    <row r="18537" spans="1:1">
      <c r="A18537" s="27"/>
    </row>
    <row r="18538" spans="1:1">
      <c r="A18538" s="27"/>
    </row>
    <row r="18539" spans="1:1">
      <c r="A18539" s="27"/>
    </row>
    <row r="18540" spans="1:1">
      <c r="A18540" s="27"/>
    </row>
    <row r="18541" spans="1:1">
      <c r="A18541" s="27"/>
    </row>
    <row r="18542" spans="1:1">
      <c r="A18542" s="27"/>
    </row>
    <row r="18543" spans="1:1">
      <c r="A18543" s="27"/>
    </row>
    <row r="18544" spans="1:1">
      <c r="A18544" s="27"/>
    </row>
    <row r="18545" spans="1:1">
      <c r="A18545" s="27"/>
    </row>
    <row r="18546" spans="1:1">
      <c r="A18546" s="27"/>
    </row>
    <row r="18547" spans="1:1">
      <c r="A18547" s="27"/>
    </row>
    <row r="18548" spans="1:1">
      <c r="A18548" s="27"/>
    </row>
    <row r="18549" spans="1:1">
      <c r="A18549" s="27"/>
    </row>
    <row r="18550" spans="1:1">
      <c r="A18550" s="27"/>
    </row>
    <row r="18551" spans="1:1">
      <c r="A18551" s="27"/>
    </row>
    <row r="18552" spans="1:1">
      <c r="A18552" s="27"/>
    </row>
    <row r="18553" spans="1:1">
      <c r="A18553" s="27"/>
    </row>
    <row r="18554" spans="1:1">
      <c r="A18554" s="27"/>
    </row>
    <row r="18555" spans="1:1">
      <c r="A18555" s="27"/>
    </row>
    <row r="18556" spans="1:1">
      <c r="A18556" s="27"/>
    </row>
    <row r="18557" spans="1:1">
      <c r="A18557" s="27"/>
    </row>
    <row r="18558" spans="1:1">
      <c r="A18558" s="27"/>
    </row>
    <row r="18559" spans="1:1">
      <c r="A18559" s="27"/>
    </row>
    <row r="18560" spans="1:1">
      <c r="A18560" s="27"/>
    </row>
    <row r="18561" spans="1:1">
      <c r="A18561" s="27"/>
    </row>
    <row r="18562" spans="1:1">
      <c r="A18562" s="27"/>
    </row>
    <row r="18563" spans="1:1">
      <c r="A18563" s="27"/>
    </row>
    <row r="18564" spans="1:1">
      <c r="A18564" s="27"/>
    </row>
    <row r="18565" spans="1:1">
      <c r="A18565" s="27"/>
    </row>
    <row r="18566" spans="1:1">
      <c r="A18566" s="27"/>
    </row>
    <row r="18567" spans="1:1">
      <c r="A18567" s="27"/>
    </row>
    <row r="18568" spans="1:1">
      <c r="A18568" s="27"/>
    </row>
    <row r="18569" spans="1:1">
      <c r="A18569" s="27"/>
    </row>
    <row r="18570" spans="1:1">
      <c r="A18570" s="27"/>
    </row>
    <row r="18571" spans="1:1">
      <c r="A18571" s="27"/>
    </row>
    <row r="18572" spans="1:1">
      <c r="A18572" s="27"/>
    </row>
    <row r="18573" spans="1:1">
      <c r="A18573" s="27"/>
    </row>
    <row r="18574" spans="1:1">
      <c r="A18574" s="27"/>
    </row>
    <row r="18575" spans="1:1">
      <c r="A18575" s="27"/>
    </row>
    <row r="18576" spans="1:1">
      <c r="A18576" s="27"/>
    </row>
    <row r="18577" spans="1:1">
      <c r="A18577" s="27"/>
    </row>
    <row r="18578" spans="1:1">
      <c r="A18578" s="27"/>
    </row>
    <row r="18579" spans="1:1">
      <c r="A18579" s="27"/>
    </row>
    <row r="18580" spans="1:1">
      <c r="A18580" s="27"/>
    </row>
    <row r="18581" spans="1:1">
      <c r="A18581" s="27"/>
    </row>
    <row r="18582" spans="1:1">
      <c r="A18582" s="27"/>
    </row>
    <row r="18583" spans="1:1">
      <c r="A18583" s="27"/>
    </row>
    <row r="18584" spans="1:1">
      <c r="A18584" s="27"/>
    </row>
    <row r="18585" spans="1:1">
      <c r="A18585" s="27"/>
    </row>
    <row r="18586" spans="1:1">
      <c r="A18586" s="27"/>
    </row>
    <row r="18587" spans="1:1">
      <c r="A18587" s="27"/>
    </row>
    <row r="18588" spans="1:1">
      <c r="A18588" s="27"/>
    </row>
    <row r="18589" spans="1:1">
      <c r="A18589" s="27"/>
    </row>
    <row r="18590" spans="1:1">
      <c r="A18590" s="27"/>
    </row>
    <row r="18591" spans="1:1">
      <c r="A18591" s="27"/>
    </row>
    <row r="18592" spans="1:1">
      <c r="A18592" s="27"/>
    </row>
    <row r="18593" spans="1:1">
      <c r="A18593" s="27"/>
    </row>
    <row r="18594" spans="1:1">
      <c r="A18594" s="27"/>
    </row>
    <row r="18595" spans="1:1">
      <c r="A18595" s="27"/>
    </row>
    <row r="18596" spans="1:1">
      <c r="A18596" s="27"/>
    </row>
    <row r="18597" spans="1:1">
      <c r="A18597" s="27"/>
    </row>
    <row r="18598" spans="1:1">
      <c r="A18598" s="27"/>
    </row>
    <row r="18599" spans="1:1">
      <c r="A18599" s="27"/>
    </row>
    <row r="18600" spans="1:1">
      <c r="A18600" s="27"/>
    </row>
    <row r="18601" spans="1:1">
      <c r="A18601" s="27"/>
    </row>
    <row r="18602" spans="1:1">
      <c r="A18602" s="27"/>
    </row>
    <row r="18603" spans="1:1">
      <c r="A18603" s="27"/>
    </row>
    <row r="18604" spans="1:1">
      <c r="A18604" s="27"/>
    </row>
    <row r="18605" spans="1:1">
      <c r="A18605" s="27"/>
    </row>
    <row r="18606" spans="1:1">
      <c r="A18606" s="27"/>
    </row>
    <row r="18607" spans="1:1">
      <c r="A18607" s="27"/>
    </row>
    <row r="18608" spans="1:1">
      <c r="A18608" s="27"/>
    </row>
    <row r="18609" spans="1:1">
      <c r="A18609" s="27"/>
    </row>
    <row r="18610" spans="1:1">
      <c r="A18610" s="27"/>
    </row>
    <row r="18611" spans="1:1">
      <c r="A18611" s="27"/>
    </row>
    <row r="18612" spans="1:1">
      <c r="A18612" s="27"/>
    </row>
    <row r="18613" spans="1:1">
      <c r="A18613" s="27"/>
    </row>
    <row r="18614" spans="1:1">
      <c r="A18614" s="27"/>
    </row>
    <row r="18615" spans="1:1">
      <c r="A18615" s="27"/>
    </row>
    <row r="18616" spans="1:1">
      <c r="A18616" s="27"/>
    </row>
    <row r="18617" spans="1:1">
      <c r="A18617" s="27"/>
    </row>
    <row r="18618" spans="1:1">
      <c r="A18618" s="27"/>
    </row>
    <row r="18619" spans="1:1">
      <c r="A18619" s="27"/>
    </row>
    <row r="18620" spans="1:1">
      <c r="A18620" s="27"/>
    </row>
    <row r="18621" spans="1:1">
      <c r="A18621" s="27"/>
    </row>
    <row r="18622" spans="1:1">
      <c r="A18622" s="27"/>
    </row>
    <row r="18623" spans="1:1">
      <c r="A18623" s="27"/>
    </row>
    <row r="18624" spans="1:1">
      <c r="A18624" s="27"/>
    </row>
    <row r="18625" spans="1:1">
      <c r="A18625" s="27"/>
    </row>
    <row r="18626" spans="1:1">
      <c r="A18626" s="27"/>
    </row>
    <row r="18627" spans="1:1">
      <c r="A18627" s="27"/>
    </row>
    <row r="18628" spans="1:1">
      <c r="A18628" s="27"/>
    </row>
    <row r="18629" spans="1:1">
      <c r="A18629" s="27"/>
    </row>
    <row r="18630" spans="1:1">
      <c r="A18630" s="27"/>
    </row>
    <row r="18631" spans="1:1">
      <c r="A18631" s="27"/>
    </row>
    <row r="18632" spans="1:1">
      <c r="A18632" s="27"/>
    </row>
    <row r="18633" spans="1:1">
      <c r="A18633" s="27"/>
    </row>
    <row r="18634" spans="1:1">
      <c r="A18634" s="27"/>
    </row>
    <row r="18635" spans="1:1">
      <c r="A18635" s="27"/>
    </row>
    <row r="18636" spans="1:1">
      <c r="A18636" s="27"/>
    </row>
    <row r="18637" spans="1:1">
      <c r="A18637" s="27"/>
    </row>
    <row r="18638" spans="1:1">
      <c r="A18638" s="27"/>
    </row>
    <row r="18639" spans="1:1">
      <c r="A18639" s="27"/>
    </row>
    <row r="18640" spans="1:1">
      <c r="A18640" s="27"/>
    </row>
    <row r="18641" spans="1:1">
      <c r="A18641" s="27"/>
    </row>
    <row r="18642" spans="1:1">
      <c r="A18642" s="27"/>
    </row>
    <row r="18643" spans="1:1">
      <c r="A18643" s="27"/>
    </row>
    <row r="18644" spans="1:1">
      <c r="A18644" s="27"/>
    </row>
    <row r="18645" spans="1:1">
      <c r="A18645" s="27"/>
    </row>
    <row r="18646" spans="1:1">
      <c r="A18646" s="27"/>
    </row>
    <row r="18647" spans="1:1">
      <c r="A18647" s="27"/>
    </row>
    <row r="18648" spans="1:1">
      <c r="A18648" s="27"/>
    </row>
    <row r="18649" spans="1:1">
      <c r="A18649" s="27"/>
    </row>
    <row r="18650" spans="1:1">
      <c r="A18650" s="27"/>
    </row>
    <row r="18651" spans="1:1">
      <c r="A18651" s="27"/>
    </row>
    <row r="18652" spans="1:1">
      <c r="A18652" s="27"/>
    </row>
    <row r="18653" spans="1:1">
      <c r="A18653" s="27"/>
    </row>
    <row r="18654" spans="1:1">
      <c r="A18654" s="27"/>
    </row>
    <row r="18655" spans="1:1">
      <c r="A18655" s="27"/>
    </row>
    <row r="18656" spans="1:1">
      <c r="A18656" s="27"/>
    </row>
    <row r="18657" spans="1:1">
      <c r="A18657" s="27"/>
    </row>
    <row r="18658" spans="1:1">
      <c r="A18658" s="27"/>
    </row>
    <row r="18659" spans="1:1">
      <c r="A18659" s="27"/>
    </row>
    <row r="18660" spans="1:1">
      <c r="A18660" s="27"/>
    </row>
    <row r="18661" spans="1:1">
      <c r="A18661" s="27"/>
    </row>
    <row r="18662" spans="1:1">
      <c r="A18662" s="27"/>
    </row>
    <row r="18663" spans="1:1">
      <c r="A18663" s="27"/>
    </row>
    <row r="18664" spans="1:1">
      <c r="A18664" s="27"/>
    </row>
    <row r="18665" spans="1:1">
      <c r="A18665" s="27"/>
    </row>
    <row r="18666" spans="1:1">
      <c r="A18666" s="27"/>
    </row>
    <row r="18667" spans="1:1">
      <c r="A18667" s="27"/>
    </row>
    <row r="18668" spans="1:1">
      <c r="A18668" s="27"/>
    </row>
    <row r="18669" spans="1:1">
      <c r="A18669" s="27"/>
    </row>
    <row r="18670" spans="1:1">
      <c r="A18670" s="27"/>
    </row>
    <row r="18671" spans="1:1">
      <c r="A18671" s="27"/>
    </row>
    <row r="18672" spans="1:1">
      <c r="A18672" s="27"/>
    </row>
    <row r="18673" spans="1:1">
      <c r="A18673" s="27"/>
    </row>
    <row r="18674" spans="1:1">
      <c r="A18674" s="27"/>
    </row>
    <row r="18675" spans="1:1">
      <c r="A18675" s="27"/>
    </row>
    <row r="18676" spans="1:1">
      <c r="A18676" s="27"/>
    </row>
    <row r="18677" spans="1:1">
      <c r="A18677" s="27"/>
    </row>
    <row r="18678" spans="1:1">
      <c r="A18678" s="27"/>
    </row>
    <row r="18679" spans="1:1">
      <c r="A18679" s="27"/>
    </row>
    <row r="18680" spans="1:1">
      <c r="A18680" s="27"/>
    </row>
    <row r="18681" spans="1:1">
      <c r="A18681" s="27"/>
    </row>
    <row r="18682" spans="1:1">
      <c r="A18682" s="27"/>
    </row>
    <row r="18683" spans="1:1">
      <c r="A18683" s="27"/>
    </row>
    <row r="18684" spans="1:1">
      <c r="A18684" s="27"/>
    </row>
    <row r="18685" spans="1:1">
      <c r="A18685" s="27"/>
    </row>
    <row r="18686" spans="1:1">
      <c r="A18686" s="27"/>
    </row>
    <row r="18687" spans="1:1">
      <c r="A18687" s="27"/>
    </row>
    <row r="18688" spans="1:1">
      <c r="A18688" s="27"/>
    </row>
    <row r="18689" spans="1:1">
      <c r="A18689" s="27"/>
    </row>
    <row r="18690" spans="1:1">
      <c r="A18690" s="27"/>
    </row>
    <row r="18691" spans="1:1">
      <c r="A18691" s="27"/>
    </row>
    <row r="18692" spans="1:1">
      <c r="A18692" s="27"/>
    </row>
    <row r="18693" spans="1:1">
      <c r="A18693" s="27"/>
    </row>
    <row r="18694" spans="1:1">
      <c r="A18694" s="27"/>
    </row>
    <row r="18695" spans="1:1">
      <c r="A18695" s="27"/>
    </row>
    <row r="18696" spans="1:1">
      <c r="A18696" s="27"/>
    </row>
    <row r="18697" spans="1:1">
      <c r="A18697" s="27"/>
    </row>
    <row r="18698" spans="1:1">
      <c r="A18698" s="27"/>
    </row>
    <row r="18699" spans="1:1">
      <c r="A18699" s="27"/>
    </row>
    <row r="18700" spans="1:1">
      <c r="A18700" s="27"/>
    </row>
    <row r="18701" spans="1:1">
      <c r="A18701" s="27"/>
    </row>
    <row r="18702" spans="1:1">
      <c r="A18702" s="27"/>
    </row>
    <row r="18703" spans="1:1">
      <c r="A18703" s="27"/>
    </row>
    <row r="18704" spans="1:1">
      <c r="A18704" s="27"/>
    </row>
    <row r="18705" spans="1:1">
      <c r="A18705" s="27"/>
    </row>
    <row r="18706" spans="1:1">
      <c r="A18706" s="27"/>
    </row>
    <row r="18707" spans="1:1">
      <c r="A18707" s="27"/>
    </row>
    <row r="18708" spans="1:1">
      <c r="A18708" s="27"/>
    </row>
    <row r="18709" spans="1:1">
      <c r="A18709" s="27"/>
    </row>
    <row r="18710" spans="1:1">
      <c r="A18710" s="27"/>
    </row>
    <row r="18711" spans="1:1">
      <c r="A18711" s="27"/>
    </row>
    <row r="18712" spans="1:1">
      <c r="A18712" s="27"/>
    </row>
    <row r="18713" spans="1:1">
      <c r="A18713" s="27"/>
    </row>
    <row r="18714" spans="1:1">
      <c r="A18714" s="27"/>
    </row>
    <row r="18715" spans="1:1">
      <c r="A18715" s="27"/>
    </row>
    <row r="18716" spans="1:1">
      <c r="A18716" s="27"/>
    </row>
    <row r="18717" spans="1:1">
      <c r="A18717" s="27"/>
    </row>
    <row r="18718" spans="1:1">
      <c r="A18718" s="27"/>
    </row>
    <row r="18719" spans="1:1">
      <c r="A18719" s="27"/>
    </row>
    <row r="18720" spans="1:1">
      <c r="A18720" s="27"/>
    </row>
    <row r="18721" spans="1:1">
      <c r="A18721" s="27"/>
    </row>
    <row r="18722" spans="1:1">
      <c r="A18722" s="27"/>
    </row>
    <row r="18723" spans="1:1">
      <c r="A18723" s="27"/>
    </row>
    <row r="18724" spans="1:1">
      <c r="A18724" s="27"/>
    </row>
    <row r="18725" spans="1:1">
      <c r="A18725" s="27"/>
    </row>
    <row r="18726" spans="1:1">
      <c r="A18726" s="27"/>
    </row>
    <row r="18727" spans="1:1">
      <c r="A18727" s="27"/>
    </row>
    <row r="18728" spans="1:1">
      <c r="A18728" s="27"/>
    </row>
    <row r="18729" spans="1:1">
      <c r="A18729" s="27"/>
    </row>
    <row r="18730" spans="1:1">
      <c r="A18730" s="27"/>
    </row>
    <row r="18731" spans="1:1">
      <c r="A18731" s="27"/>
    </row>
    <row r="18732" spans="1:1">
      <c r="A18732" s="27"/>
    </row>
    <row r="18733" spans="1:1">
      <c r="A18733" s="27"/>
    </row>
    <row r="18734" spans="1:1">
      <c r="A18734" s="27"/>
    </row>
    <row r="18735" spans="1:1">
      <c r="A18735" s="27"/>
    </row>
    <row r="18736" spans="1:1">
      <c r="A18736" s="27"/>
    </row>
    <row r="18737" spans="1:1">
      <c r="A18737" s="27"/>
    </row>
    <row r="18738" spans="1:1">
      <c r="A18738" s="27"/>
    </row>
    <row r="18739" spans="1:1">
      <c r="A18739" s="27"/>
    </row>
    <row r="18740" spans="1:1">
      <c r="A18740" s="27"/>
    </row>
    <row r="18741" spans="1:1">
      <c r="A18741" s="27"/>
    </row>
    <row r="18742" spans="1:1">
      <c r="A18742" s="27"/>
    </row>
    <row r="18743" spans="1:1">
      <c r="A18743" s="27"/>
    </row>
    <row r="18744" spans="1:1">
      <c r="A18744" s="27"/>
    </row>
    <row r="18745" spans="1:1">
      <c r="A18745" s="27"/>
    </row>
    <row r="18746" spans="1:1">
      <c r="A18746" s="27"/>
    </row>
    <row r="18747" spans="1:1">
      <c r="A18747" s="27"/>
    </row>
    <row r="18748" spans="1:1">
      <c r="A18748" s="27"/>
    </row>
    <row r="18749" spans="1:1">
      <c r="A18749" s="27"/>
    </row>
    <row r="18750" spans="1:1">
      <c r="A18750" s="27"/>
    </row>
    <row r="18751" spans="1:1">
      <c r="A18751" s="27"/>
    </row>
    <row r="18752" spans="1:1">
      <c r="A18752" s="27"/>
    </row>
    <row r="18753" spans="1:1">
      <c r="A18753" s="27"/>
    </row>
    <row r="18754" spans="1:1">
      <c r="A18754" s="27"/>
    </row>
    <row r="18755" spans="1:1">
      <c r="A18755" s="27"/>
    </row>
    <row r="18756" spans="1:1">
      <c r="A18756" s="27"/>
    </row>
    <row r="18757" spans="1:1">
      <c r="A18757" s="27"/>
    </row>
    <row r="18758" spans="1:1">
      <c r="A18758" s="27"/>
    </row>
    <row r="18759" spans="1:1">
      <c r="A18759" s="27"/>
    </row>
    <row r="18760" spans="1:1">
      <c r="A18760" s="27"/>
    </row>
    <row r="18761" spans="1:1">
      <c r="A18761" s="27"/>
    </row>
    <row r="18762" spans="1:1">
      <c r="A18762" s="27"/>
    </row>
    <row r="18763" spans="1:1">
      <c r="A18763" s="27"/>
    </row>
    <row r="18764" spans="1:1">
      <c r="A18764" s="27"/>
    </row>
    <row r="18765" spans="1:1">
      <c r="A18765" s="27"/>
    </row>
    <row r="18766" spans="1:1">
      <c r="A18766" s="27"/>
    </row>
    <row r="18767" spans="1:1">
      <c r="A18767" s="27"/>
    </row>
    <row r="18768" spans="1:1">
      <c r="A18768" s="27"/>
    </row>
    <row r="18769" spans="1:1">
      <c r="A18769" s="27"/>
    </row>
    <row r="18770" spans="1:1">
      <c r="A18770" s="27"/>
    </row>
    <row r="18771" spans="1:1">
      <c r="A18771" s="27"/>
    </row>
    <row r="18772" spans="1:1">
      <c r="A18772" s="27"/>
    </row>
    <row r="18773" spans="1:1">
      <c r="A18773" s="27"/>
    </row>
    <row r="18774" spans="1:1">
      <c r="A18774" s="27"/>
    </row>
    <row r="18775" spans="1:1">
      <c r="A18775" s="27"/>
    </row>
    <row r="18776" spans="1:1">
      <c r="A18776" s="27"/>
    </row>
    <row r="18777" spans="1:1">
      <c r="A18777" s="27"/>
    </row>
    <row r="18778" spans="1:1">
      <c r="A18778" s="27"/>
    </row>
    <row r="18779" spans="1:1">
      <c r="A18779" s="27"/>
    </row>
    <row r="18780" spans="1:1">
      <c r="A18780" s="27"/>
    </row>
    <row r="18781" spans="1:1">
      <c r="A18781" s="27"/>
    </row>
    <row r="18782" spans="1:1">
      <c r="A18782" s="27"/>
    </row>
    <row r="18783" spans="1:1">
      <c r="A18783" s="27"/>
    </row>
    <row r="18784" spans="1:1">
      <c r="A18784" s="27"/>
    </row>
    <row r="18785" spans="1:1">
      <c r="A18785" s="27"/>
    </row>
    <row r="18786" spans="1:1">
      <c r="A18786" s="27"/>
    </row>
    <row r="18787" spans="1:1">
      <c r="A18787" s="27"/>
    </row>
    <row r="18788" spans="1:1">
      <c r="A18788" s="27"/>
    </row>
    <row r="18789" spans="1:1">
      <c r="A18789" s="27"/>
    </row>
    <row r="18790" spans="1:1">
      <c r="A18790" s="27"/>
    </row>
    <row r="18791" spans="1:1">
      <c r="A18791" s="27"/>
    </row>
    <row r="18792" spans="1:1">
      <c r="A18792" s="27"/>
    </row>
    <row r="18793" spans="1:1">
      <c r="A18793" s="27"/>
    </row>
    <row r="18794" spans="1:1">
      <c r="A18794" s="27"/>
    </row>
    <row r="18795" spans="1:1">
      <c r="A18795" s="27"/>
    </row>
    <row r="18796" spans="1:1">
      <c r="A18796" s="27"/>
    </row>
    <row r="18797" spans="1:1">
      <c r="A18797" s="27"/>
    </row>
    <row r="18798" spans="1:1">
      <c r="A18798" s="27"/>
    </row>
    <row r="18799" spans="1:1">
      <c r="A18799" s="27"/>
    </row>
    <row r="18800" spans="1:1">
      <c r="A18800" s="27"/>
    </row>
    <row r="18801" spans="1:1">
      <c r="A18801" s="27"/>
    </row>
    <row r="18802" spans="1:1">
      <c r="A18802" s="27"/>
    </row>
    <row r="18803" spans="1:1">
      <c r="A18803" s="27"/>
    </row>
    <row r="18804" spans="1:1">
      <c r="A18804" s="27"/>
    </row>
    <row r="18805" spans="1:1">
      <c r="A18805" s="27"/>
    </row>
    <row r="18806" spans="1:1">
      <c r="A18806" s="27"/>
    </row>
    <row r="18807" spans="1:1">
      <c r="A18807" s="27"/>
    </row>
    <row r="18808" spans="1:1">
      <c r="A18808" s="27"/>
    </row>
    <row r="18809" spans="1:1">
      <c r="A18809" s="27"/>
    </row>
    <row r="18810" spans="1:1">
      <c r="A18810" s="27"/>
    </row>
    <row r="18811" spans="1:1">
      <c r="A18811" s="27"/>
    </row>
    <row r="18812" spans="1:1">
      <c r="A18812" s="27"/>
    </row>
    <row r="18813" spans="1:1">
      <c r="A18813" s="27"/>
    </row>
    <row r="18814" spans="1:1">
      <c r="A18814" s="27"/>
    </row>
    <row r="18815" spans="1:1">
      <c r="A18815" s="27"/>
    </row>
    <row r="18816" spans="1:1">
      <c r="A18816" s="27"/>
    </row>
    <row r="18817" spans="1:1">
      <c r="A18817" s="27"/>
    </row>
    <row r="18818" spans="1:1">
      <c r="A18818" s="27"/>
    </row>
    <row r="18819" spans="1:1">
      <c r="A18819" s="27"/>
    </row>
    <row r="18820" spans="1:1">
      <c r="A18820" s="27"/>
    </row>
    <row r="18821" spans="1:1">
      <c r="A18821" s="27"/>
    </row>
    <row r="18822" spans="1:1">
      <c r="A18822" s="27"/>
    </row>
    <row r="18823" spans="1:1">
      <c r="A18823" s="27"/>
    </row>
    <row r="18824" spans="1:1">
      <c r="A18824" s="27"/>
    </row>
    <row r="18825" spans="1:1">
      <c r="A18825" s="27"/>
    </row>
    <row r="18826" spans="1:1">
      <c r="A18826" s="27"/>
    </row>
    <row r="18827" spans="1:1">
      <c r="A18827" s="27"/>
    </row>
    <row r="18828" spans="1:1">
      <c r="A18828" s="27"/>
    </row>
    <row r="18829" spans="1:1">
      <c r="A18829" s="27"/>
    </row>
    <row r="18830" spans="1:1">
      <c r="A18830" s="27"/>
    </row>
    <row r="18831" spans="1:1">
      <c r="A18831" s="27"/>
    </row>
    <row r="18832" spans="1:1">
      <c r="A18832" s="27"/>
    </row>
    <row r="18833" spans="1:1">
      <c r="A18833" s="27"/>
    </row>
    <row r="18834" spans="1:1">
      <c r="A18834" s="27"/>
    </row>
    <row r="18835" spans="1:1">
      <c r="A18835" s="27"/>
    </row>
    <row r="18836" spans="1:1">
      <c r="A18836" s="27"/>
    </row>
    <row r="18837" spans="1:1">
      <c r="A18837" s="27"/>
    </row>
    <row r="18838" spans="1:1">
      <c r="A18838" s="27"/>
    </row>
    <row r="18839" spans="1:1">
      <c r="A18839" s="27"/>
    </row>
    <row r="18840" spans="1:1">
      <c r="A18840" s="27"/>
    </row>
    <row r="18841" spans="1:1">
      <c r="A18841" s="27"/>
    </row>
    <row r="18842" spans="1:1">
      <c r="A18842" s="27"/>
    </row>
    <row r="18843" spans="1:1">
      <c r="A18843" s="27"/>
    </row>
    <row r="18844" spans="1:1">
      <c r="A18844" s="27"/>
    </row>
    <row r="18845" spans="1:1">
      <c r="A18845" s="27"/>
    </row>
    <row r="18846" spans="1:1">
      <c r="A18846" s="27"/>
    </row>
    <row r="18847" spans="1:1">
      <c r="A18847" s="27"/>
    </row>
    <row r="18848" spans="1:1">
      <c r="A18848" s="27"/>
    </row>
    <row r="18849" spans="1:1">
      <c r="A18849" s="27"/>
    </row>
    <row r="18850" spans="1:1">
      <c r="A18850" s="27"/>
    </row>
    <row r="18851" spans="1:1">
      <c r="A18851" s="27"/>
    </row>
    <row r="18852" spans="1:1">
      <c r="A18852" s="27"/>
    </row>
    <row r="18853" spans="1:1">
      <c r="A18853" s="27"/>
    </row>
    <row r="18854" spans="1:1">
      <c r="A18854" s="27"/>
    </row>
    <row r="18855" spans="1:1">
      <c r="A18855" s="27"/>
    </row>
    <row r="18856" spans="1:1">
      <c r="A18856" s="27"/>
    </row>
    <row r="18857" spans="1:1">
      <c r="A18857" s="27"/>
    </row>
    <row r="18858" spans="1:1">
      <c r="A18858" s="27"/>
    </row>
    <row r="18859" spans="1:1">
      <c r="A18859" s="27"/>
    </row>
    <row r="18860" spans="1:1">
      <c r="A18860" s="27"/>
    </row>
    <row r="18861" spans="1:1">
      <c r="A18861" s="27"/>
    </row>
    <row r="18862" spans="1:1">
      <c r="A18862" s="27"/>
    </row>
    <row r="18863" spans="1:1">
      <c r="A18863" s="27"/>
    </row>
    <row r="18864" spans="1:1">
      <c r="A18864" s="27"/>
    </row>
    <row r="18865" spans="1:1">
      <c r="A18865" s="27"/>
    </row>
    <row r="18866" spans="1:1">
      <c r="A18866" s="27"/>
    </row>
    <row r="18867" spans="1:1">
      <c r="A18867" s="27"/>
    </row>
    <row r="18868" spans="1:1">
      <c r="A18868" s="27"/>
    </row>
    <row r="18869" spans="1:1">
      <c r="A18869" s="27"/>
    </row>
    <row r="18870" spans="1:1">
      <c r="A18870" s="27"/>
    </row>
    <row r="18871" spans="1:1">
      <c r="A18871" s="27"/>
    </row>
    <row r="18872" spans="1:1">
      <c r="A18872" s="27"/>
    </row>
    <row r="18873" spans="1:1">
      <c r="A18873" s="27"/>
    </row>
    <row r="18874" spans="1:1">
      <c r="A18874" s="27"/>
    </row>
    <row r="18875" spans="1:1">
      <c r="A18875" s="27"/>
    </row>
    <row r="18876" spans="1:1">
      <c r="A18876" s="27"/>
    </row>
    <row r="18877" spans="1:1">
      <c r="A18877" s="27"/>
    </row>
    <row r="18878" spans="1:1">
      <c r="A18878" s="27"/>
    </row>
    <row r="18879" spans="1:1">
      <c r="A18879" s="27"/>
    </row>
    <row r="18880" spans="1:1">
      <c r="A18880" s="27"/>
    </row>
    <row r="18881" spans="1:1">
      <c r="A18881" s="27"/>
    </row>
    <row r="18882" spans="1:1">
      <c r="A18882" s="27"/>
    </row>
    <row r="18883" spans="1:1">
      <c r="A18883" s="27"/>
    </row>
    <row r="18884" spans="1:1">
      <c r="A18884" s="27"/>
    </row>
    <row r="18885" spans="1:1">
      <c r="A18885" s="27"/>
    </row>
    <row r="18886" spans="1:1">
      <c r="A18886" s="27"/>
    </row>
    <row r="18887" spans="1:1">
      <c r="A18887" s="27"/>
    </row>
    <row r="18888" spans="1:1">
      <c r="A18888" s="27"/>
    </row>
    <row r="18889" spans="1:1">
      <c r="A18889" s="27"/>
    </row>
    <row r="18890" spans="1:1">
      <c r="A18890" s="27"/>
    </row>
    <row r="18891" spans="1:1">
      <c r="A18891" s="27"/>
    </row>
    <row r="18892" spans="1:1">
      <c r="A18892" s="27"/>
    </row>
    <row r="18893" spans="1:1">
      <c r="A18893" s="27"/>
    </row>
    <row r="18894" spans="1:1">
      <c r="A18894" s="27"/>
    </row>
    <row r="18895" spans="1:1">
      <c r="A18895" s="27"/>
    </row>
    <row r="18896" spans="1:1">
      <c r="A18896" s="27"/>
    </row>
    <row r="18897" spans="1:1">
      <c r="A18897" s="27"/>
    </row>
    <row r="18898" spans="1:1">
      <c r="A18898" s="27"/>
    </row>
    <row r="18899" spans="1:1">
      <c r="A18899" s="27"/>
    </row>
    <row r="18900" spans="1:1">
      <c r="A18900" s="27"/>
    </row>
    <row r="18901" spans="1:1">
      <c r="A18901" s="27"/>
    </row>
    <row r="18902" spans="1:1">
      <c r="A18902" s="27"/>
    </row>
    <row r="18903" spans="1:1">
      <c r="A18903" s="27"/>
    </row>
    <row r="18904" spans="1:1">
      <c r="A18904" s="27"/>
    </row>
    <row r="18905" spans="1:1">
      <c r="A18905" s="27"/>
    </row>
    <row r="18906" spans="1:1">
      <c r="A18906" s="27"/>
    </row>
    <row r="18907" spans="1:1">
      <c r="A18907" s="27"/>
    </row>
    <row r="18908" spans="1:1">
      <c r="A18908" s="27"/>
    </row>
    <row r="18909" spans="1:1">
      <c r="A18909" s="27"/>
    </row>
    <row r="18910" spans="1:1">
      <c r="A18910" s="27"/>
    </row>
    <row r="18911" spans="1:1">
      <c r="A18911" s="27"/>
    </row>
    <row r="18912" spans="1:1">
      <c r="A18912" s="27"/>
    </row>
    <row r="18913" spans="1:1">
      <c r="A18913" s="27"/>
    </row>
    <row r="18914" spans="1:1">
      <c r="A18914" s="27"/>
    </row>
    <row r="18915" spans="1:1">
      <c r="A18915" s="27"/>
    </row>
    <row r="18916" spans="1:1">
      <c r="A18916" s="27"/>
    </row>
    <row r="18917" spans="1:1">
      <c r="A18917" s="27"/>
    </row>
    <row r="18918" spans="1:1">
      <c r="A18918" s="27"/>
    </row>
    <row r="18919" spans="1:1">
      <c r="A18919" s="27"/>
    </row>
    <row r="18920" spans="1:1">
      <c r="A18920" s="27"/>
    </row>
    <row r="18921" spans="1:1">
      <c r="A18921" s="27"/>
    </row>
    <row r="18922" spans="1:1">
      <c r="A18922" s="27"/>
    </row>
    <row r="18923" spans="1:1">
      <c r="A18923" s="27"/>
    </row>
    <row r="18924" spans="1:1">
      <c r="A18924" s="27"/>
    </row>
    <row r="18925" spans="1:1">
      <c r="A18925" s="27"/>
    </row>
    <row r="18926" spans="1:1">
      <c r="A18926" s="27"/>
    </row>
    <row r="18927" spans="1:1">
      <c r="A18927" s="27"/>
    </row>
    <row r="18928" spans="1:1">
      <c r="A18928" s="27"/>
    </row>
    <row r="18929" spans="1:1">
      <c r="A18929" s="27"/>
    </row>
    <row r="18930" spans="1:1">
      <c r="A18930" s="27"/>
    </row>
    <row r="18931" spans="1:1">
      <c r="A18931" s="27"/>
    </row>
    <row r="18932" spans="1:1">
      <c r="A18932" s="27"/>
    </row>
    <row r="18933" spans="1:1">
      <c r="A18933" s="27"/>
    </row>
    <row r="18934" spans="1:1">
      <c r="A18934" s="27"/>
    </row>
    <row r="18935" spans="1:1">
      <c r="A18935" s="27"/>
    </row>
    <row r="18936" spans="1:1">
      <c r="A18936" s="27"/>
    </row>
    <row r="18937" spans="1:1">
      <c r="A18937" s="27"/>
    </row>
    <row r="18938" spans="1:1">
      <c r="A18938" s="27"/>
    </row>
    <row r="18939" spans="1:1">
      <c r="A18939" s="27"/>
    </row>
    <row r="18940" spans="1:1">
      <c r="A18940" s="27"/>
    </row>
    <row r="18941" spans="1:1">
      <c r="A18941" s="27"/>
    </row>
    <row r="18942" spans="1:1">
      <c r="A18942" s="27"/>
    </row>
    <row r="18943" spans="1:1">
      <c r="A18943" s="27"/>
    </row>
    <row r="18944" spans="1:1">
      <c r="A18944" s="27"/>
    </row>
    <row r="18945" spans="1:1">
      <c r="A18945" s="27"/>
    </row>
    <row r="18946" spans="1:1">
      <c r="A18946" s="27"/>
    </row>
    <row r="18947" spans="1:1">
      <c r="A18947" s="27"/>
    </row>
    <row r="18948" spans="1:1">
      <c r="A18948" s="27"/>
    </row>
    <row r="18949" spans="1:1">
      <c r="A18949" s="27"/>
    </row>
    <row r="18950" spans="1:1">
      <c r="A18950" s="27"/>
    </row>
    <row r="18951" spans="1:1">
      <c r="A18951" s="27"/>
    </row>
    <row r="18952" spans="1:1">
      <c r="A18952" s="27"/>
    </row>
    <row r="18953" spans="1:1">
      <c r="A18953" s="27"/>
    </row>
    <row r="18954" spans="1:1">
      <c r="A18954" s="27"/>
    </row>
    <row r="18955" spans="1:1">
      <c r="A18955" s="27"/>
    </row>
    <row r="18956" spans="1:1">
      <c r="A18956" s="27"/>
    </row>
    <row r="18957" spans="1:1">
      <c r="A18957" s="27"/>
    </row>
    <row r="18958" spans="1:1">
      <c r="A18958" s="27"/>
    </row>
    <row r="18959" spans="1:1">
      <c r="A18959" s="27"/>
    </row>
    <row r="18960" spans="1:1">
      <c r="A18960" s="27"/>
    </row>
    <row r="18961" spans="1:1">
      <c r="A18961" s="27"/>
    </row>
    <row r="18962" spans="1:1">
      <c r="A18962" s="27"/>
    </row>
    <row r="18963" spans="1:1">
      <c r="A18963" s="27"/>
    </row>
    <row r="18964" spans="1:1">
      <c r="A18964" s="27"/>
    </row>
    <row r="18965" spans="1:1">
      <c r="A18965" s="27"/>
    </row>
    <row r="18966" spans="1:1">
      <c r="A18966" s="27"/>
    </row>
    <row r="18967" spans="1:1">
      <c r="A18967" s="27"/>
    </row>
    <row r="18968" spans="1:1">
      <c r="A18968" s="27"/>
    </row>
    <row r="18969" spans="1:1">
      <c r="A18969" s="27"/>
    </row>
    <row r="18970" spans="1:1">
      <c r="A18970" s="27"/>
    </row>
    <row r="18971" spans="1:1">
      <c r="A18971" s="27"/>
    </row>
    <row r="18972" spans="1:1">
      <c r="A18972" s="27"/>
    </row>
    <row r="18973" spans="1:1">
      <c r="A18973" s="27"/>
    </row>
    <row r="18974" spans="1:1">
      <c r="A18974" s="27"/>
    </row>
    <row r="18975" spans="1:1">
      <c r="A18975" s="27"/>
    </row>
    <row r="18976" spans="1:1">
      <c r="A18976" s="27"/>
    </row>
    <row r="18977" spans="1:1">
      <c r="A18977" s="27"/>
    </row>
    <row r="18978" spans="1:1">
      <c r="A18978" s="27"/>
    </row>
    <row r="18979" spans="1:1">
      <c r="A18979" s="27"/>
    </row>
    <row r="18980" spans="1:1">
      <c r="A18980" s="27"/>
    </row>
    <row r="18981" spans="1:1">
      <c r="A18981" s="27"/>
    </row>
    <row r="18982" spans="1:1">
      <c r="A18982" s="27"/>
    </row>
    <row r="18983" spans="1:1">
      <c r="A18983" s="27"/>
    </row>
    <row r="18984" spans="1:1">
      <c r="A18984" s="27"/>
    </row>
    <row r="18985" spans="1:1">
      <c r="A18985" s="27"/>
    </row>
    <row r="18986" spans="1:1">
      <c r="A18986" s="27"/>
    </row>
    <row r="18987" spans="1:1">
      <c r="A18987" s="27"/>
    </row>
    <row r="18988" spans="1:1">
      <c r="A18988" s="27"/>
    </row>
    <row r="18989" spans="1:1">
      <c r="A18989" s="27"/>
    </row>
    <row r="18990" spans="1:1">
      <c r="A18990" s="27"/>
    </row>
    <row r="18991" spans="1:1">
      <c r="A18991" s="27"/>
    </row>
    <row r="18992" spans="1:1">
      <c r="A18992" s="27"/>
    </row>
    <row r="18993" spans="1:1">
      <c r="A18993" s="27"/>
    </row>
    <row r="18994" spans="1:1">
      <c r="A18994" s="27"/>
    </row>
    <row r="18995" spans="1:1">
      <c r="A18995" s="27"/>
    </row>
    <row r="18996" spans="1:1">
      <c r="A18996" s="27"/>
    </row>
    <row r="18997" spans="1:1">
      <c r="A18997" s="27"/>
    </row>
    <row r="18998" spans="1:1">
      <c r="A18998" s="27"/>
    </row>
    <row r="18999" spans="1:1">
      <c r="A18999" s="27"/>
    </row>
    <row r="19000" spans="1:1">
      <c r="A19000" s="27"/>
    </row>
    <row r="19001" spans="1:1">
      <c r="A19001" s="27"/>
    </row>
    <row r="19002" spans="1:1">
      <c r="A19002" s="27"/>
    </row>
    <row r="19003" spans="1:1">
      <c r="A19003" s="27"/>
    </row>
    <row r="19004" spans="1:1">
      <c r="A19004" s="27"/>
    </row>
    <row r="19005" spans="1:1">
      <c r="A19005" s="27"/>
    </row>
    <row r="19006" spans="1:1">
      <c r="A19006" s="27"/>
    </row>
    <row r="19007" spans="1:1">
      <c r="A19007" s="27"/>
    </row>
    <row r="19008" spans="1:1">
      <c r="A19008" s="27"/>
    </row>
    <row r="19009" spans="1:1">
      <c r="A19009" s="27"/>
    </row>
    <row r="19010" spans="1:1">
      <c r="A19010" s="27"/>
    </row>
    <row r="19011" spans="1:1">
      <c r="A19011" s="27"/>
    </row>
    <row r="19012" spans="1:1">
      <c r="A19012" s="27"/>
    </row>
    <row r="19013" spans="1:1">
      <c r="A19013" s="27"/>
    </row>
    <row r="19014" spans="1:1">
      <c r="A19014" s="27"/>
    </row>
    <row r="19015" spans="1:1">
      <c r="A19015" s="27"/>
    </row>
    <row r="19016" spans="1:1">
      <c r="A19016" s="27"/>
    </row>
    <row r="19017" spans="1:1">
      <c r="A19017" s="27"/>
    </row>
    <row r="19018" spans="1:1">
      <c r="A19018" s="27"/>
    </row>
    <row r="19019" spans="1:1">
      <c r="A19019" s="27"/>
    </row>
    <row r="19020" spans="1:1">
      <c r="A19020" s="27"/>
    </row>
    <row r="19021" spans="1:1">
      <c r="A19021" s="27"/>
    </row>
    <row r="19022" spans="1:1">
      <c r="A19022" s="27"/>
    </row>
    <row r="19023" spans="1:1">
      <c r="A19023" s="27"/>
    </row>
    <row r="19024" spans="1:1">
      <c r="A19024" s="27"/>
    </row>
    <row r="19025" spans="1:1">
      <c r="A19025" s="27"/>
    </row>
    <row r="19026" spans="1:1">
      <c r="A19026" s="27"/>
    </row>
    <row r="19027" spans="1:1">
      <c r="A19027" s="27"/>
    </row>
    <row r="19028" spans="1:1">
      <c r="A19028" s="27"/>
    </row>
    <row r="19029" spans="1:1">
      <c r="A19029" s="27"/>
    </row>
    <row r="19030" spans="1:1">
      <c r="A19030" s="27"/>
    </row>
    <row r="19031" spans="1:1">
      <c r="A19031" s="27"/>
    </row>
    <row r="19032" spans="1:1">
      <c r="A19032" s="27"/>
    </row>
    <row r="19033" spans="1:1">
      <c r="A19033" s="27"/>
    </row>
    <row r="19034" spans="1:1">
      <c r="A19034" s="27"/>
    </row>
    <row r="19035" spans="1:1">
      <c r="A19035" s="27"/>
    </row>
    <row r="19036" spans="1:1">
      <c r="A19036" s="27"/>
    </row>
    <row r="19037" spans="1:1">
      <c r="A19037" s="27"/>
    </row>
    <row r="19038" spans="1:1">
      <c r="A19038" s="27"/>
    </row>
    <row r="19039" spans="1:1">
      <c r="A19039" s="27"/>
    </row>
    <row r="19040" spans="1:1">
      <c r="A19040" s="27"/>
    </row>
    <row r="19041" spans="1:1">
      <c r="A19041" s="27"/>
    </row>
    <row r="19042" spans="1:1">
      <c r="A19042" s="27"/>
    </row>
    <row r="19043" spans="1:1">
      <c r="A19043" s="27"/>
    </row>
    <row r="19044" spans="1:1">
      <c r="A19044" s="27"/>
    </row>
    <row r="19045" spans="1:1">
      <c r="A19045" s="27"/>
    </row>
    <row r="19046" spans="1:1">
      <c r="A19046" s="27"/>
    </row>
    <row r="19047" spans="1:1">
      <c r="A19047" s="27"/>
    </row>
    <row r="19048" spans="1:1">
      <c r="A19048" s="27"/>
    </row>
    <row r="19049" spans="1:1">
      <c r="A19049" s="27"/>
    </row>
    <row r="19050" spans="1:1">
      <c r="A19050" s="27"/>
    </row>
    <row r="19051" spans="1:1">
      <c r="A19051" s="27"/>
    </row>
    <row r="19052" spans="1:1">
      <c r="A19052" s="27"/>
    </row>
    <row r="19053" spans="1:1">
      <c r="A19053" s="27"/>
    </row>
    <row r="19054" spans="1:1">
      <c r="A19054" s="27"/>
    </row>
    <row r="19055" spans="1:1">
      <c r="A19055" s="27"/>
    </row>
    <row r="19056" spans="1:1">
      <c r="A19056" s="27"/>
    </row>
    <row r="19057" spans="1:1">
      <c r="A19057" s="27"/>
    </row>
    <row r="19058" spans="1:1">
      <c r="A19058" s="27"/>
    </row>
    <row r="19059" spans="1:1">
      <c r="A19059" s="27"/>
    </row>
    <row r="19060" spans="1:1">
      <c r="A19060" s="27"/>
    </row>
    <row r="19061" spans="1:1">
      <c r="A19061" s="27"/>
    </row>
    <row r="19062" spans="1:1">
      <c r="A19062" s="27"/>
    </row>
    <row r="19063" spans="1:1">
      <c r="A19063" s="27"/>
    </row>
    <row r="19064" spans="1:1">
      <c r="A19064" s="27"/>
    </row>
    <row r="19065" spans="1:1">
      <c r="A19065" s="27"/>
    </row>
    <row r="19066" spans="1:1">
      <c r="A19066" s="27"/>
    </row>
    <row r="19067" spans="1:1">
      <c r="A19067" s="27"/>
    </row>
    <row r="19068" spans="1:1">
      <c r="A19068" s="27"/>
    </row>
    <row r="19069" spans="1:1">
      <c r="A19069" s="27"/>
    </row>
    <row r="19070" spans="1:1">
      <c r="A19070" s="27"/>
    </row>
    <row r="19071" spans="1:1">
      <c r="A19071" s="27"/>
    </row>
    <row r="19072" spans="1:1">
      <c r="A19072" s="27"/>
    </row>
    <row r="19073" spans="1:1">
      <c r="A19073" s="27"/>
    </row>
    <row r="19074" spans="1:1">
      <c r="A19074" s="27"/>
    </row>
    <row r="19075" spans="1:1">
      <c r="A19075" s="27"/>
    </row>
    <row r="19076" spans="1:1">
      <c r="A19076" s="27"/>
    </row>
    <row r="19077" spans="1:1">
      <c r="A19077" s="27"/>
    </row>
    <row r="19078" spans="1:1">
      <c r="A19078" s="27"/>
    </row>
    <row r="19079" spans="1:1">
      <c r="A19079" s="27"/>
    </row>
    <row r="19080" spans="1:1">
      <c r="A19080" s="27"/>
    </row>
    <row r="19081" spans="1:1">
      <c r="A19081" s="27"/>
    </row>
    <row r="19082" spans="1:1">
      <c r="A19082" s="27"/>
    </row>
    <row r="19083" spans="1:1">
      <c r="A19083" s="27"/>
    </row>
    <row r="19084" spans="1:1">
      <c r="A19084" s="27"/>
    </row>
    <row r="19085" spans="1:1">
      <c r="A19085" s="27"/>
    </row>
    <row r="19086" spans="1:1">
      <c r="A19086" s="27"/>
    </row>
    <row r="19087" spans="1:1">
      <c r="A19087" s="27"/>
    </row>
    <row r="19088" spans="1:1">
      <c r="A19088" s="27"/>
    </row>
    <row r="19089" spans="1:1">
      <c r="A19089" s="27"/>
    </row>
    <row r="19090" spans="1:1">
      <c r="A19090" s="27"/>
    </row>
    <row r="19091" spans="1:1">
      <c r="A19091" s="27"/>
    </row>
    <row r="19092" spans="1:1">
      <c r="A19092" s="27"/>
    </row>
    <row r="19093" spans="1:1">
      <c r="A19093" s="27"/>
    </row>
    <row r="19094" spans="1:1">
      <c r="A19094" s="27"/>
    </row>
    <row r="19095" spans="1:1">
      <c r="A19095" s="27"/>
    </row>
    <row r="19096" spans="1:1">
      <c r="A19096" s="27"/>
    </row>
    <row r="19097" spans="1:1">
      <c r="A19097" s="27"/>
    </row>
    <row r="19098" spans="1:1">
      <c r="A19098" s="27"/>
    </row>
    <row r="19099" spans="1:1">
      <c r="A19099" s="27"/>
    </row>
    <row r="19100" spans="1:1">
      <c r="A19100" s="27"/>
    </row>
    <row r="19101" spans="1:1">
      <c r="A19101" s="27"/>
    </row>
    <row r="19102" spans="1:1">
      <c r="A19102" s="27"/>
    </row>
    <row r="19103" spans="1:1">
      <c r="A19103" s="27"/>
    </row>
    <row r="19104" spans="1:1">
      <c r="A19104" s="27"/>
    </row>
    <row r="19105" spans="1:1">
      <c r="A19105" s="27"/>
    </row>
    <row r="19106" spans="1:1">
      <c r="A19106" s="27"/>
    </row>
    <row r="19107" spans="1:1">
      <c r="A19107" s="27"/>
    </row>
    <row r="19108" spans="1:1">
      <c r="A19108" s="27"/>
    </row>
    <row r="19109" spans="1:1">
      <c r="A19109" s="27"/>
    </row>
    <row r="19110" spans="1:1">
      <c r="A19110" s="27"/>
    </row>
    <row r="19111" spans="1:1">
      <c r="A19111" s="27"/>
    </row>
    <row r="19112" spans="1:1">
      <c r="A19112" s="27"/>
    </row>
    <row r="19113" spans="1:1">
      <c r="A19113" s="27"/>
    </row>
    <row r="19114" spans="1:1">
      <c r="A19114" s="27"/>
    </row>
    <row r="19115" spans="1:1">
      <c r="A19115" s="27"/>
    </row>
    <row r="19116" spans="1:1">
      <c r="A19116" s="27"/>
    </row>
    <row r="19117" spans="1:1">
      <c r="A19117" s="27"/>
    </row>
    <row r="19118" spans="1:1">
      <c r="A19118" s="27"/>
    </row>
    <row r="19119" spans="1:1">
      <c r="A19119" s="27"/>
    </row>
    <row r="19120" spans="1:1">
      <c r="A19120" s="27"/>
    </row>
    <row r="19121" spans="1:1">
      <c r="A19121" s="27"/>
    </row>
    <row r="19122" spans="1:1">
      <c r="A19122" s="27"/>
    </row>
    <row r="19123" spans="1:1">
      <c r="A19123" s="27"/>
    </row>
    <row r="19124" spans="1:1">
      <c r="A19124" s="27"/>
    </row>
    <row r="19125" spans="1:1">
      <c r="A19125" s="27"/>
    </row>
    <row r="19126" spans="1:1">
      <c r="A19126" s="27"/>
    </row>
    <row r="19127" spans="1:1">
      <c r="A19127" s="27"/>
    </row>
    <row r="19128" spans="1:1">
      <c r="A19128" s="27"/>
    </row>
    <row r="19129" spans="1:1">
      <c r="A19129" s="27"/>
    </row>
    <row r="19130" spans="1:1">
      <c r="A19130" s="27"/>
    </row>
    <row r="19131" spans="1:1">
      <c r="A19131" s="27"/>
    </row>
    <row r="19132" spans="1:1">
      <c r="A19132" s="27"/>
    </row>
    <row r="19133" spans="1:1">
      <c r="A19133" s="27"/>
    </row>
    <row r="19134" spans="1:1">
      <c r="A19134" s="27"/>
    </row>
    <row r="19135" spans="1:1">
      <c r="A19135" s="27"/>
    </row>
    <row r="19136" spans="1:1">
      <c r="A19136" s="27"/>
    </row>
    <row r="19137" spans="1:1">
      <c r="A19137" s="27"/>
    </row>
    <row r="19138" spans="1:1">
      <c r="A19138" s="27"/>
    </row>
    <row r="19139" spans="1:1">
      <c r="A19139" s="27"/>
    </row>
    <row r="19140" spans="1:1">
      <c r="A19140" s="27"/>
    </row>
    <row r="19141" spans="1:1">
      <c r="A19141" s="27"/>
    </row>
    <row r="19142" spans="1:1">
      <c r="A19142" s="27"/>
    </row>
    <row r="19143" spans="1:1">
      <c r="A19143" s="27"/>
    </row>
    <row r="19144" spans="1:1">
      <c r="A19144" s="27"/>
    </row>
    <row r="19145" spans="1:1">
      <c r="A19145" s="27"/>
    </row>
    <row r="19146" spans="1:1">
      <c r="A19146" s="27"/>
    </row>
    <row r="19147" spans="1:1">
      <c r="A19147" s="27"/>
    </row>
    <row r="19148" spans="1:1">
      <c r="A19148" s="27"/>
    </row>
    <row r="19149" spans="1:1">
      <c r="A19149" s="27"/>
    </row>
    <row r="19150" spans="1:1">
      <c r="A19150" s="27"/>
    </row>
    <row r="19151" spans="1:1">
      <c r="A19151" s="27"/>
    </row>
    <row r="19152" spans="1:1">
      <c r="A19152" s="27"/>
    </row>
    <row r="19153" spans="1:1">
      <c r="A19153" s="27"/>
    </row>
    <row r="19154" spans="1:1">
      <c r="A19154" s="27"/>
    </row>
    <row r="19155" spans="1:1">
      <c r="A19155" s="27"/>
    </row>
    <row r="19156" spans="1:1">
      <c r="A19156" s="27"/>
    </row>
    <row r="19157" spans="1:1">
      <c r="A19157" s="27"/>
    </row>
    <row r="19158" spans="1:1">
      <c r="A19158" s="27"/>
    </row>
    <row r="19159" spans="1:1">
      <c r="A19159" s="27"/>
    </row>
    <row r="19160" spans="1:1">
      <c r="A19160" s="27"/>
    </row>
    <row r="19161" spans="1:1">
      <c r="A19161" s="27"/>
    </row>
    <row r="19162" spans="1:1">
      <c r="A19162" s="27"/>
    </row>
    <row r="19163" spans="1:1">
      <c r="A19163" s="27"/>
    </row>
    <row r="19164" spans="1:1">
      <c r="A19164" s="27"/>
    </row>
    <row r="19165" spans="1:1">
      <c r="A19165" s="27"/>
    </row>
    <row r="19166" spans="1:1">
      <c r="A19166" s="27"/>
    </row>
    <row r="19167" spans="1:1">
      <c r="A19167" s="27"/>
    </row>
    <row r="19168" spans="1:1">
      <c r="A19168" s="27"/>
    </row>
    <row r="19169" spans="1:1">
      <c r="A19169" s="27"/>
    </row>
    <row r="19170" spans="1:1">
      <c r="A19170" s="27"/>
    </row>
    <row r="19171" spans="1:1">
      <c r="A19171" s="27"/>
    </row>
    <row r="19172" spans="1:1">
      <c r="A19172" s="27"/>
    </row>
    <row r="19173" spans="1:1">
      <c r="A19173" s="27"/>
    </row>
    <row r="19174" spans="1:1">
      <c r="A19174" s="27"/>
    </row>
    <row r="19175" spans="1:1">
      <c r="A19175" s="27"/>
    </row>
    <row r="19176" spans="1:1">
      <c r="A19176" s="27"/>
    </row>
    <row r="19177" spans="1:1">
      <c r="A19177" s="27"/>
    </row>
    <row r="19178" spans="1:1">
      <c r="A19178" s="27"/>
    </row>
    <row r="19179" spans="1:1">
      <c r="A19179" s="27"/>
    </row>
    <row r="19180" spans="1:1">
      <c r="A19180" s="27"/>
    </row>
    <row r="19181" spans="1:1">
      <c r="A19181" s="27"/>
    </row>
    <row r="19182" spans="1:1">
      <c r="A19182" s="27"/>
    </row>
    <row r="19183" spans="1:1">
      <c r="A19183" s="27"/>
    </row>
    <row r="19184" spans="1:1">
      <c r="A19184" s="27"/>
    </row>
    <row r="19185" spans="1:1">
      <c r="A19185" s="27"/>
    </row>
    <row r="19186" spans="1:1">
      <c r="A19186" s="27"/>
    </row>
    <row r="19187" spans="1:1">
      <c r="A19187" s="27"/>
    </row>
    <row r="19188" spans="1:1">
      <c r="A19188" s="27"/>
    </row>
    <row r="19189" spans="1:1">
      <c r="A19189" s="27"/>
    </row>
    <row r="19190" spans="1:1">
      <c r="A19190" s="27"/>
    </row>
    <row r="19191" spans="1:1">
      <c r="A19191" s="27"/>
    </row>
    <row r="19192" spans="1:1">
      <c r="A19192" s="27"/>
    </row>
    <row r="19193" spans="1:1">
      <c r="A19193" s="27"/>
    </row>
    <row r="19194" spans="1:1">
      <c r="A19194" s="27"/>
    </row>
    <row r="19195" spans="1:1">
      <c r="A19195" s="27"/>
    </row>
    <row r="19196" spans="1:1">
      <c r="A19196" s="27"/>
    </row>
    <row r="19197" spans="1:1">
      <c r="A19197" s="27"/>
    </row>
    <row r="19198" spans="1:1">
      <c r="A19198" s="27"/>
    </row>
    <row r="19199" spans="1:1">
      <c r="A19199" s="27"/>
    </row>
    <row r="19200" spans="1:1">
      <c r="A19200" s="27"/>
    </row>
    <row r="19201" spans="1:1">
      <c r="A19201" s="27"/>
    </row>
    <row r="19202" spans="1:1">
      <c r="A19202" s="27"/>
    </row>
    <row r="19203" spans="1:1">
      <c r="A19203" s="27"/>
    </row>
    <row r="19204" spans="1:1">
      <c r="A19204" s="27"/>
    </row>
    <row r="19205" spans="1:1">
      <c r="A19205" s="27"/>
    </row>
    <row r="19206" spans="1:1">
      <c r="A19206" s="27"/>
    </row>
    <row r="19207" spans="1:1">
      <c r="A19207" s="27"/>
    </row>
    <row r="19208" spans="1:1">
      <c r="A19208" s="27"/>
    </row>
    <row r="19209" spans="1:1">
      <c r="A19209" s="27"/>
    </row>
    <row r="19210" spans="1:1">
      <c r="A19210" s="27"/>
    </row>
    <row r="19211" spans="1:1">
      <c r="A19211" s="27"/>
    </row>
    <row r="19212" spans="1:1">
      <c r="A19212" s="27"/>
    </row>
    <row r="19213" spans="1:1">
      <c r="A19213" s="27"/>
    </row>
    <row r="19214" spans="1:1">
      <c r="A19214" s="27"/>
    </row>
    <row r="19215" spans="1:1">
      <c r="A19215" s="27"/>
    </row>
    <row r="19216" spans="1:1">
      <c r="A19216" s="27"/>
    </row>
    <row r="19217" spans="1:1">
      <c r="A19217" s="27"/>
    </row>
    <row r="19218" spans="1:1">
      <c r="A19218" s="27"/>
    </row>
    <row r="19219" spans="1:1">
      <c r="A19219" s="27"/>
    </row>
    <row r="19220" spans="1:1">
      <c r="A19220" s="27"/>
    </row>
    <row r="19221" spans="1:1">
      <c r="A19221" s="27"/>
    </row>
    <row r="19222" spans="1:1">
      <c r="A19222" s="27"/>
    </row>
    <row r="19223" spans="1:1">
      <c r="A19223" s="27"/>
    </row>
    <row r="19224" spans="1:1">
      <c r="A19224" s="27"/>
    </row>
    <row r="19225" spans="1:1">
      <c r="A19225" s="27"/>
    </row>
    <row r="19226" spans="1:1">
      <c r="A19226" s="27"/>
    </row>
    <row r="19227" spans="1:1">
      <c r="A19227" s="27"/>
    </row>
    <row r="19228" spans="1:1">
      <c r="A19228" s="27"/>
    </row>
    <row r="19229" spans="1:1">
      <c r="A19229" s="27"/>
    </row>
    <row r="19230" spans="1:1">
      <c r="A19230" s="27"/>
    </row>
    <row r="19231" spans="1:1">
      <c r="A19231" s="27"/>
    </row>
    <row r="19232" spans="1:1">
      <c r="A19232" s="27"/>
    </row>
    <row r="19233" spans="1:1">
      <c r="A19233" s="27"/>
    </row>
    <row r="19234" spans="1:1">
      <c r="A19234" s="27"/>
    </row>
    <row r="19235" spans="1:1">
      <c r="A19235" s="27"/>
    </row>
    <row r="19236" spans="1:1">
      <c r="A19236" s="27"/>
    </row>
    <row r="19237" spans="1:1">
      <c r="A19237" s="27"/>
    </row>
    <row r="19238" spans="1:1">
      <c r="A19238" s="27"/>
    </row>
    <row r="19239" spans="1:1">
      <c r="A19239" s="27"/>
    </row>
    <row r="19240" spans="1:1">
      <c r="A19240" s="27"/>
    </row>
    <row r="19241" spans="1:1">
      <c r="A19241" s="27"/>
    </row>
    <row r="19242" spans="1:1">
      <c r="A19242" s="27"/>
    </row>
    <row r="19243" spans="1:1">
      <c r="A19243" s="27"/>
    </row>
    <row r="19244" spans="1:1">
      <c r="A19244" s="27"/>
    </row>
    <row r="19245" spans="1:1">
      <c r="A19245" s="27"/>
    </row>
    <row r="19246" spans="1:1">
      <c r="A19246" s="27"/>
    </row>
    <row r="19247" spans="1:1">
      <c r="A19247" s="27"/>
    </row>
    <row r="19248" spans="1:1">
      <c r="A19248" s="27"/>
    </row>
    <row r="19249" spans="1:1">
      <c r="A19249" s="27"/>
    </row>
    <row r="19250" spans="1:1">
      <c r="A19250" s="27"/>
    </row>
    <row r="19251" spans="1:1">
      <c r="A19251" s="27"/>
    </row>
    <row r="19252" spans="1:1">
      <c r="A19252" s="27"/>
    </row>
    <row r="19253" spans="1:1">
      <c r="A19253" s="27"/>
    </row>
    <row r="19254" spans="1:1">
      <c r="A19254" s="27"/>
    </row>
    <row r="19255" spans="1:1">
      <c r="A19255" s="27"/>
    </row>
    <row r="19256" spans="1:1">
      <c r="A19256" s="27"/>
    </row>
    <row r="19257" spans="1:1">
      <c r="A19257" s="27"/>
    </row>
    <row r="19258" spans="1:1">
      <c r="A19258" s="27"/>
    </row>
    <row r="19259" spans="1:1">
      <c r="A19259" s="27"/>
    </row>
    <row r="19260" spans="1:1">
      <c r="A19260" s="27"/>
    </row>
    <row r="19261" spans="1:1">
      <c r="A19261" s="27"/>
    </row>
    <row r="19262" spans="1:1">
      <c r="A19262" s="27"/>
    </row>
    <row r="19263" spans="1:1">
      <c r="A19263" s="27"/>
    </row>
    <row r="19264" spans="1:1">
      <c r="A19264" s="27"/>
    </row>
    <row r="19265" spans="1:1">
      <c r="A19265" s="27"/>
    </row>
    <row r="19266" spans="1:1">
      <c r="A19266" s="27"/>
    </row>
    <row r="19267" spans="1:1">
      <c r="A19267" s="27"/>
    </row>
    <row r="19268" spans="1:1">
      <c r="A19268" s="27"/>
    </row>
    <row r="19269" spans="1:1">
      <c r="A19269" s="27"/>
    </row>
    <row r="19270" spans="1:1">
      <c r="A19270" s="27"/>
    </row>
    <row r="19271" spans="1:1">
      <c r="A19271" s="27"/>
    </row>
    <row r="19272" spans="1:1">
      <c r="A19272" s="27"/>
    </row>
    <row r="19273" spans="1:1">
      <c r="A19273" s="27"/>
    </row>
    <row r="19274" spans="1:1">
      <c r="A19274" s="27"/>
    </row>
    <row r="19275" spans="1:1">
      <c r="A19275" s="27"/>
    </row>
    <row r="19276" spans="1:1">
      <c r="A19276" s="27"/>
    </row>
    <row r="19277" spans="1:1">
      <c r="A19277" s="27"/>
    </row>
    <row r="19278" spans="1:1">
      <c r="A19278" s="27"/>
    </row>
    <row r="19279" spans="1:1">
      <c r="A19279" s="27"/>
    </row>
    <row r="19280" spans="1:1">
      <c r="A19280" s="27"/>
    </row>
    <row r="19281" spans="1:1">
      <c r="A19281" s="27"/>
    </row>
    <row r="19282" spans="1:1">
      <c r="A19282" s="27"/>
    </row>
    <row r="19283" spans="1:1">
      <c r="A19283" s="27"/>
    </row>
    <row r="19284" spans="1:1">
      <c r="A19284" s="27"/>
    </row>
    <row r="19285" spans="1:1">
      <c r="A19285" s="27"/>
    </row>
    <row r="19286" spans="1:1">
      <c r="A19286" s="27"/>
    </row>
    <row r="19287" spans="1:1">
      <c r="A19287" s="27"/>
    </row>
    <row r="19288" spans="1:1">
      <c r="A19288" s="27"/>
    </row>
    <row r="19289" spans="1:1">
      <c r="A19289" s="27"/>
    </row>
    <row r="19290" spans="1:1">
      <c r="A19290" s="27"/>
    </row>
    <row r="19291" spans="1:1">
      <c r="A19291" s="27"/>
    </row>
    <row r="19292" spans="1:1">
      <c r="A19292" s="27"/>
    </row>
    <row r="19293" spans="1:1">
      <c r="A19293" s="27"/>
    </row>
    <row r="19294" spans="1:1">
      <c r="A19294" s="27"/>
    </row>
    <row r="19295" spans="1:1">
      <c r="A19295" s="27"/>
    </row>
    <row r="19296" spans="1:1">
      <c r="A19296" s="27"/>
    </row>
    <row r="19297" spans="1:1">
      <c r="A19297" s="27"/>
    </row>
    <row r="19298" spans="1:1">
      <c r="A19298" s="27"/>
    </row>
    <row r="19299" spans="1:1">
      <c r="A19299" s="27"/>
    </row>
    <row r="19300" spans="1:1">
      <c r="A19300" s="27"/>
    </row>
    <row r="19301" spans="1:1">
      <c r="A19301" s="27"/>
    </row>
    <row r="19302" spans="1:1">
      <c r="A19302" s="27"/>
    </row>
    <row r="19303" spans="1:1">
      <c r="A19303" s="27"/>
    </row>
    <row r="19304" spans="1:1">
      <c r="A19304" s="27"/>
    </row>
    <row r="19305" spans="1:1">
      <c r="A19305" s="27"/>
    </row>
    <row r="19306" spans="1:1">
      <c r="A19306" s="27"/>
    </row>
    <row r="19307" spans="1:1">
      <c r="A19307" s="27"/>
    </row>
    <row r="19308" spans="1:1">
      <c r="A19308" s="27"/>
    </row>
    <row r="19309" spans="1:1">
      <c r="A19309" s="27"/>
    </row>
    <row r="19310" spans="1:1">
      <c r="A19310" s="27"/>
    </row>
    <row r="19311" spans="1:1">
      <c r="A19311" s="27"/>
    </row>
    <row r="19312" spans="1:1">
      <c r="A19312" s="27"/>
    </row>
    <row r="19313" spans="1:1">
      <c r="A19313" s="27"/>
    </row>
    <row r="19314" spans="1:1">
      <c r="A19314" s="27"/>
    </row>
    <row r="19315" spans="1:1">
      <c r="A19315" s="27"/>
    </row>
    <row r="19316" spans="1:1">
      <c r="A19316" s="27"/>
    </row>
    <row r="19317" spans="1:1">
      <c r="A19317" s="27"/>
    </row>
    <row r="19318" spans="1:1">
      <c r="A19318" s="27"/>
    </row>
    <row r="19319" spans="1:1">
      <c r="A19319" s="27"/>
    </row>
    <row r="19320" spans="1:1">
      <c r="A19320" s="27"/>
    </row>
    <row r="19321" spans="1:1">
      <c r="A19321" s="27"/>
    </row>
    <row r="19322" spans="1:1">
      <c r="A19322" s="27"/>
    </row>
    <row r="19323" spans="1:1">
      <c r="A19323" s="27"/>
    </row>
    <row r="19324" spans="1:1">
      <c r="A19324" s="27"/>
    </row>
    <row r="19325" spans="1:1">
      <c r="A19325" s="27"/>
    </row>
    <row r="19326" spans="1:1">
      <c r="A19326" s="27"/>
    </row>
    <row r="19327" spans="1:1">
      <c r="A19327" s="27"/>
    </row>
    <row r="19328" spans="1:1">
      <c r="A19328" s="27"/>
    </row>
    <row r="19329" spans="1:1">
      <c r="A19329" s="27"/>
    </row>
    <row r="19330" spans="1:1">
      <c r="A19330" s="27"/>
    </row>
    <row r="19331" spans="1:1">
      <c r="A19331" s="27"/>
    </row>
    <row r="19332" spans="1:1">
      <c r="A19332" s="27"/>
    </row>
    <row r="19333" spans="1:1">
      <c r="A19333" s="27"/>
    </row>
    <row r="19334" spans="1:1">
      <c r="A19334" s="27"/>
    </row>
    <row r="19335" spans="1:1">
      <c r="A19335" s="27"/>
    </row>
    <row r="19336" spans="1:1">
      <c r="A19336" s="27"/>
    </row>
    <row r="19337" spans="1:1">
      <c r="A19337" s="27"/>
    </row>
    <row r="19338" spans="1:1">
      <c r="A19338" s="27"/>
    </row>
    <row r="19339" spans="1:1">
      <c r="A19339" s="27"/>
    </row>
    <row r="19340" spans="1:1">
      <c r="A19340" s="27"/>
    </row>
    <row r="19341" spans="1:1">
      <c r="A19341" s="27"/>
    </row>
    <row r="19342" spans="1:1">
      <c r="A19342" s="27"/>
    </row>
    <row r="19343" spans="1:1">
      <c r="A19343" s="27"/>
    </row>
    <row r="19344" spans="1:1">
      <c r="A19344" s="27"/>
    </row>
    <row r="19345" spans="1:1">
      <c r="A19345" s="27"/>
    </row>
    <row r="19346" spans="1:1">
      <c r="A19346" s="27"/>
    </row>
    <row r="19347" spans="1:1">
      <c r="A19347" s="27"/>
    </row>
    <row r="19348" spans="1:1">
      <c r="A19348" s="27"/>
    </row>
    <row r="19349" spans="1:1">
      <c r="A19349" s="27"/>
    </row>
    <row r="19350" spans="1:1">
      <c r="A19350" s="27"/>
    </row>
    <row r="19351" spans="1:1">
      <c r="A19351" s="27"/>
    </row>
    <row r="19352" spans="1:1">
      <c r="A19352" s="27"/>
    </row>
    <row r="19353" spans="1:1">
      <c r="A19353" s="27"/>
    </row>
    <row r="19354" spans="1:1">
      <c r="A19354" s="27"/>
    </row>
    <row r="19355" spans="1:1">
      <c r="A19355" s="27"/>
    </row>
    <row r="19356" spans="1:1">
      <c r="A19356" s="27"/>
    </row>
    <row r="19357" spans="1:1">
      <c r="A19357" s="27"/>
    </row>
    <row r="19358" spans="1:1">
      <c r="A19358" s="27"/>
    </row>
    <row r="19359" spans="1:1">
      <c r="A19359" s="27"/>
    </row>
    <row r="19360" spans="1:1">
      <c r="A19360" s="27"/>
    </row>
    <row r="19361" spans="1:1">
      <c r="A19361" s="27"/>
    </row>
    <row r="19362" spans="1:1">
      <c r="A19362" s="27"/>
    </row>
    <row r="19363" spans="1:1">
      <c r="A19363" s="27"/>
    </row>
    <row r="19364" spans="1:1">
      <c r="A19364" s="27"/>
    </row>
    <row r="19365" spans="1:1">
      <c r="A19365" s="27"/>
    </row>
    <row r="19366" spans="1:1">
      <c r="A19366" s="27"/>
    </row>
    <row r="19367" spans="1:1">
      <c r="A19367" s="27"/>
    </row>
    <row r="19368" spans="1:1">
      <c r="A19368" s="27"/>
    </row>
    <row r="19369" spans="1:1">
      <c r="A19369" s="27"/>
    </row>
    <row r="19370" spans="1:1">
      <c r="A19370" s="27"/>
    </row>
    <row r="19371" spans="1:1">
      <c r="A19371" s="27"/>
    </row>
    <row r="19372" spans="1:1">
      <c r="A19372" s="27"/>
    </row>
    <row r="19373" spans="1:1">
      <c r="A19373" s="27"/>
    </row>
    <row r="19374" spans="1:1">
      <c r="A19374" s="27"/>
    </row>
    <row r="19375" spans="1:1">
      <c r="A19375" s="27"/>
    </row>
    <row r="19376" spans="1:1">
      <c r="A19376" s="27"/>
    </row>
    <row r="19377" spans="1:1">
      <c r="A19377" s="27"/>
    </row>
    <row r="19378" spans="1:1">
      <c r="A19378" s="27"/>
    </row>
    <row r="19379" spans="1:1">
      <c r="A19379" s="27"/>
    </row>
    <row r="19380" spans="1:1">
      <c r="A19380" s="27"/>
    </row>
    <row r="19381" spans="1:1">
      <c r="A19381" s="27"/>
    </row>
    <row r="19382" spans="1:1">
      <c r="A19382" s="27"/>
    </row>
    <row r="19383" spans="1:1">
      <c r="A19383" s="27"/>
    </row>
    <row r="19384" spans="1:1">
      <c r="A19384" s="27"/>
    </row>
    <row r="19385" spans="1:1">
      <c r="A19385" s="27"/>
    </row>
    <row r="19386" spans="1:1">
      <c r="A19386" s="27"/>
    </row>
    <row r="19387" spans="1:1">
      <c r="A19387" s="27"/>
    </row>
    <row r="19388" spans="1:1">
      <c r="A19388" s="27"/>
    </row>
    <row r="19389" spans="1:1">
      <c r="A19389" s="27"/>
    </row>
    <row r="19390" spans="1:1">
      <c r="A19390" s="27"/>
    </row>
    <row r="19391" spans="1:1">
      <c r="A19391" s="27"/>
    </row>
    <row r="19392" spans="1:1">
      <c r="A19392" s="27"/>
    </row>
    <row r="19393" spans="1:1">
      <c r="A19393" s="27"/>
    </row>
    <row r="19394" spans="1:1">
      <c r="A19394" s="27"/>
    </row>
    <row r="19395" spans="1:1">
      <c r="A19395" s="27"/>
    </row>
    <row r="19396" spans="1:1">
      <c r="A19396" s="27"/>
    </row>
    <row r="19397" spans="1:1">
      <c r="A19397" s="27"/>
    </row>
    <row r="19398" spans="1:1">
      <c r="A19398" s="27"/>
    </row>
    <row r="19399" spans="1:1">
      <c r="A19399" s="27"/>
    </row>
    <row r="19400" spans="1:1">
      <c r="A19400" s="27"/>
    </row>
    <row r="19401" spans="1:1">
      <c r="A19401" s="27"/>
    </row>
    <row r="19402" spans="1:1">
      <c r="A19402" s="27"/>
    </row>
    <row r="19403" spans="1:1">
      <c r="A19403" s="27"/>
    </row>
    <row r="19404" spans="1:1">
      <c r="A19404" s="27"/>
    </row>
    <row r="19405" spans="1:1">
      <c r="A19405" s="27"/>
    </row>
    <row r="19406" spans="1:1">
      <c r="A19406" s="27"/>
    </row>
    <row r="19407" spans="1:1">
      <c r="A19407" s="27"/>
    </row>
    <row r="19408" spans="1:1">
      <c r="A19408" s="27"/>
    </row>
    <row r="19409" spans="1:1">
      <c r="A19409" s="27"/>
    </row>
    <row r="19410" spans="1:1">
      <c r="A19410" s="27"/>
    </row>
    <row r="19411" spans="1:1">
      <c r="A19411" s="27"/>
    </row>
    <row r="19412" spans="1:1">
      <c r="A19412" s="27"/>
    </row>
    <row r="19413" spans="1:1">
      <c r="A19413" s="27"/>
    </row>
    <row r="19414" spans="1:1">
      <c r="A19414" s="27"/>
    </row>
    <row r="19415" spans="1:1">
      <c r="A19415" s="27"/>
    </row>
    <row r="19416" spans="1:1">
      <c r="A19416" s="27"/>
    </row>
    <row r="19417" spans="1:1">
      <c r="A19417" s="27"/>
    </row>
    <row r="19418" spans="1:1">
      <c r="A19418" s="27"/>
    </row>
    <row r="19419" spans="1:1">
      <c r="A19419" s="27"/>
    </row>
    <row r="19420" spans="1:1">
      <c r="A19420" s="27"/>
    </row>
    <row r="19421" spans="1:1">
      <c r="A19421" s="27"/>
    </row>
    <row r="19422" spans="1:1">
      <c r="A19422" s="27"/>
    </row>
    <row r="19423" spans="1:1">
      <c r="A19423" s="27"/>
    </row>
    <row r="19424" spans="1:1">
      <c r="A19424" s="27"/>
    </row>
    <row r="19425" spans="1:1">
      <c r="A19425" s="27"/>
    </row>
    <row r="19426" spans="1:1">
      <c r="A19426" s="27"/>
    </row>
    <row r="19427" spans="1:1">
      <c r="A19427" s="27"/>
    </row>
    <row r="19428" spans="1:1">
      <c r="A19428" s="27"/>
    </row>
    <row r="19429" spans="1:1">
      <c r="A19429" s="27"/>
    </row>
    <row r="19430" spans="1:1">
      <c r="A19430" s="27"/>
    </row>
    <row r="19431" spans="1:1">
      <c r="A19431" s="27"/>
    </row>
    <row r="19432" spans="1:1">
      <c r="A19432" s="27"/>
    </row>
    <row r="19433" spans="1:1">
      <c r="A19433" s="27"/>
    </row>
    <row r="19434" spans="1:1">
      <c r="A19434" s="27"/>
    </row>
    <row r="19435" spans="1:1">
      <c r="A19435" s="27"/>
    </row>
    <row r="19436" spans="1:1">
      <c r="A19436" s="27"/>
    </row>
    <row r="19437" spans="1:1">
      <c r="A19437" s="27"/>
    </row>
    <row r="19438" spans="1:1">
      <c r="A19438" s="27"/>
    </row>
    <row r="19439" spans="1:1">
      <c r="A19439" s="27"/>
    </row>
    <row r="19440" spans="1:1">
      <c r="A19440" s="27"/>
    </row>
    <row r="19441" spans="1:1">
      <c r="A19441" s="27"/>
    </row>
    <row r="19442" spans="1:1">
      <c r="A19442" s="27"/>
    </row>
    <row r="19443" spans="1:1">
      <c r="A19443" s="27"/>
    </row>
    <row r="19444" spans="1:1">
      <c r="A19444" s="27"/>
    </row>
    <row r="19445" spans="1:1">
      <c r="A19445" s="27"/>
    </row>
    <row r="19446" spans="1:1">
      <c r="A19446" s="27"/>
    </row>
    <row r="19447" spans="1:1">
      <c r="A19447" s="27"/>
    </row>
    <row r="19448" spans="1:1">
      <c r="A19448" s="27"/>
    </row>
    <row r="19449" spans="1:1">
      <c r="A19449" s="27"/>
    </row>
    <row r="19450" spans="1:1">
      <c r="A19450" s="27"/>
    </row>
    <row r="19451" spans="1:1">
      <c r="A19451" s="27"/>
    </row>
    <row r="19452" spans="1:1">
      <c r="A19452" s="27"/>
    </row>
    <row r="19453" spans="1:1">
      <c r="A19453" s="27"/>
    </row>
    <row r="19454" spans="1:1">
      <c r="A19454" s="27"/>
    </row>
    <row r="19455" spans="1:1">
      <c r="A19455" s="27"/>
    </row>
    <row r="19456" spans="1:1">
      <c r="A19456" s="27"/>
    </row>
    <row r="19457" spans="1:1">
      <c r="A19457" s="27"/>
    </row>
    <row r="19458" spans="1:1">
      <c r="A19458" s="27"/>
    </row>
    <row r="19459" spans="1:1">
      <c r="A19459" s="27"/>
    </row>
    <row r="19460" spans="1:1">
      <c r="A19460" s="27"/>
    </row>
    <row r="19461" spans="1:1">
      <c r="A19461" s="27"/>
    </row>
    <row r="19462" spans="1:1">
      <c r="A19462" s="27"/>
    </row>
    <row r="19463" spans="1:1">
      <c r="A19463" s="27"/>
    </row>
    <row r="19464" spans="1:1">
      <c r="A19464" s="27"/>
    </row>
    <row r="19465" spans="1:1">
      <c r="A19465" s="27"/>
    </row>
    <row r="19466" spans="1:1">
      <c r="A19466" s="27"/>
    </row>
    <row r="19467" spans="1:1">
      <c r="A19467" s="27"/>
    </row>
    <row r="19468" spans="1:1">
      <c r="A19468" s="27"/>
    </row>
    <row r="19469" spans="1:1">
      <c r="A19469" s="27"/>
    </row>
    <row r="19470" spans="1:1">
      <c r="A19470" s="27"/>
    </row>
    <row r="19471" spans="1:1">
      <c r="A19471" s="27"/>
    </row>
    <row r="19472" spans="1:1">
      <c r="A19472" s="27"/>
    </row>
    <row r="19473" spans="1:1">
      <c r="A19473" s="27"/>
    </row>
    <row r="19474" spans="1:1">
      <c r="A19474" s="27"/>
    </row>
    <row r="19475" spans="1:1">
      <c r="A19475" s="27"/>
    </row>
    <row r="19476" spans="1:1">
      <c r="A19476" s="27"/>
    </row>
    <row r="19477" spans="1:1">
      <c r="A19477" s="27"/>
    </row>
    <row r="19478" spans="1:1">
      <c r="A19478" s="27"/>
    </row>
    <row r="19479" spans="1:1">
      <c r="A19479" s="27"/>
    </row>
    <row r="19480" spans="1:1">
      <c r="A19480" s="27"/>
    </row>
    <row r="19481" spans="1:1">
      <c r="A19481" s="27"/>
    </row>
    <row r="19482" spans="1:1">
      <c r="A19482" s="27"/>
    </row>
    <row r="19483" spans="1:1">
      <c r="A19483" s="27"/>
    </row>
    <row r="19484" spans="1:1">
      <c r="A19484" s="27"/>
    </row>
    <row r="19485" spans="1:1">
      <c r="A19485" s="27"/>
    </row>
    <row r="19486" spans="1:1">
      <c r="A19486" s="27"/>
    </row>
    <row r="19487" spans="1:1">
      <c r="A19487" s="27"/>
    </row>
    <row r="19488" spans="1:1">
      <c r="A19488" s="27"/>
    </row>
    <row r="19489" spans="1:1">
      <c r="A19489" s="27"/>
    </row>
    <row r="19490" spans="1:1">
      <c r="A19490" s="27"/>
    </row>
    <row r="19491" spans="1:1">
      <c r="A19491" s="27"/>
    </row>
    <row r="19492" spans="1:1">
      <c r="A19492" s="27"/>
    </row>
    <row r="19493" spans="1:1">
      <c r="A19493" s="27"/>
    </row>
    <row r="19494" spans="1:1">
      <c r="A19494" s="27"/>
    </row>
    <row r="19495" spans="1:1">
      <c r="A19495" s="27"/>
    </row>
    <row r="19496" spans="1:1">
      <c r="A19496" s="27"/>
    </row>
    <row r="19497" spans="1:1">
      <c r="A19497" s="27"/>
    </row>
    <row r="19498" spans="1:1">
      <c r="A19498" s="27"/>
    </row>
    <row r="19499" spans="1:1">
      <c r="A19499" s="27"/>
    </row>
    <row r="19500" spans="1:1">
      <c r="A19500" s="27"/>
    </row>
    <row r="19501" spans="1:1">
      <c r="A19501" s="27"/>
    </row>
    <row r="19502" spans="1:1">
      <c r="A19502" s="27"/>
    </row>
    <row r="19503" spans="1:1">
      <c r="A19503" s="27"/>
    </row>
    <row r="19504" spans="1:1">
      <c r="A19504" s="27"/>
    </row>
    <row r="19505" spans="1:1">
      <c r="A19505" s="27"/>
    </row>
    <row r="19506" spans="1:1">
      <c r="A19506" s="27"/>
    </row>
    <row r="19507" spans="1:1">
      <c r="A19507" s="27"/>
    </row>
    <row r="19508" spans="1:1">
      <c r="A19508" s="27"/>
    </row>
    <row r="19509" spans="1:1">
      <c r="A19509" s="27"/>
    </row>
    <row r="19510" spans="1:1">
      <c r="A19510" s="27"/>
    </row>
    <row r="19511" spans="1:1">
      <c r="A19511" s="27"/>
    </row>
    <row r="19512" spans="1:1">
      <c r="A19512" s="27"/>
    </row>
    <row r="19513" spans="1:1">
      <c r="A19513" s="27"/>
    </row>
    <row r="19514" spans="1:1">
      <c r="A19514" s="27"/>
    </row>
    <row r="19515" spans="1:1">
      <c r="A19515" s="27"/>
    </row>
    <row r="19516" spans="1:1">
      <c r="A19516" s="27"/>
    </row>
    <row r="19517" spans="1:1">
      <c r="A19517" s="27"/>
    </row>
    <row r="19518" spans="1:1">
      <c r="A19518" s="27"/>
    </row>
    <row r="19519" spans="1:1">
      <c r="A19519" s="27"/>
    </row>
    <row r="19520" spans="1:1">
      <c r="A19520" s="27"/>
    </row>
    <row r="19521" spans="1:1">
      <c r="A19521" s="27"/>
    </row>
    <row r="19522" spans="1:1">
      <c r="A19522" s="27"/>
    </row>
    <row r="19523" spans="1:1">
      <c r="A19523" s="27"/>
    </row>
    <row r="19524" spans="1:1">
      <c r="A19524" s="27"/>
    </row>
    <row r="19525" spans="1:1">
      <c r="A19525" s="27"/>
    </row>
    <row r="19526" spans="1:1">
      <c r="A19526" s="27"/>
    </row>
    <row r="19527" spans="1:1">
      <c r="A19527" s="27"/>
    </row>
    <row r="19528" spans="1:1">
      <c r="A19528" s="27"/>
    </row>
    <row r="19529" spans="1:1">
      <c r="A19529" s="27"/>
    </row>
    <row r="19530" spans="1:1">
      <c r="A19530" s="27"/>
    </row>
    <row r="19531" spans="1:1">
      <c r="A19531" s="27"/>
    </row>
    <row r="19532" spans="1:1">
      <c r="A19532" s="27"/>
    </row>
    <row r="19533" spans="1:1">
      <c r="A19533" s="27"/>
    </row>
    <row r="19534" spans="1:1">
      <c r="A19534" s="27"/>
    </row>
    <row r="19535" spans="1:1">
      <c r="A19535" s="27"/>
    </row>
    <row r="19536" spans="1:1">
      <c r="A19536" s="27"/>
    </row>
    <row r="19537" spans="1:1">
      <c r="A19537" s="27"/>
    </row>
    <row r="19538" spans="1:1">
      <c r="A19538" s="27"/>
    </row>
    <row r="19539" spans="1:1">
      <c r="A19539" s="27"/>
    </row>
    <row r="19540" spans="1:1">
      <c r="A19540" s="27"/>
    </row>
    <row r="19541" spans="1:1">
      <c r="A19541" s="27"/>
    </row>
    <row r="19542" spans="1:1">
      <c r="A19542" s="27"/>
    </row>
    <row r="19543" spans="1:1">
      <c r="A19543" s="27"/>
    </row>
    <row r="19544" spans="1:1">
      <c r="A19544" s="27"/>
    </row>
    <row r="19545" spans="1:1">
      <c r="A19545" s="27"/>
    </row>
    <row r="19546" spans="1:1">
      <c r="A19546" s="27"/>
    </row>
    <row r="19547" spans="1:1">
      <c r="A19547" s="27"/>
    </row>
    <row r="19548" spans="1:1">
      <c r="A19548" s="27"/>
    </row>
    <row r="19549" spans="1:1">
      <c r="A19549" s="27"/>
    </row>
    <row r="19550" spans="1:1">
      <c r="A19550" s="27"/>
    </row>
    <row r="19551" spans="1:1">
      <c r="A19551" s="27"/>
    </row>
    <row r="19552" spans="1:1">
      <c r="A19552" s="27"/>
    </row>
    <row r="19553" spans="1:1">
      <c r="A19553" s="27"/>
    </row>
    <row r="19554" spans="1:1">
      <c r="A19554" s="27"/>
    </row>
    <row r="19555" spans="1:1">
      <c r="A19555" s="27"/>
    </row>
    <row r="19556" spans="1:1">
      <c r="A19556" s="27"/>
    </row>
    <row r="19557" spans="1:1">
      <c r="A19557" s="27"/>
    </row>
    <row r="19558" spans="1:1">
      <c r="A19558" s="27"/>
    </row>
    <row r="19559" spans="1:1">
      <c r="A19559" s="27"/>
    </row>
    <row r="19560" spans="1:1">
      <c r="A19560" s="27"/>
    </row>
    <row r="19561" spans="1:1">
      <c r="A19561" s="27"/>
    </row>
    <row r="19562" spans="1:1">
      <c r="A19562" s="27"/>
    </row>
    <row r="19563" spans="1:1">
      <c r="A19563" s="27"/>
    </row>
    <row r="19564" spans="1:1">
      <c r="A19564" s="27"/>
    </row>
    <row r="19565" spans="1:1">
      <c r="A19565" s="27"/>
    </row>
    <row r="19566" spans="1:1">
      <c r="A19566" s="27"/>
    </row>
    <row r="19567" spans="1:1">
      <c r="A19567" s="27"/>
    </row>
    <row r="19568" spans="1:1">
      <c r="A19568" s="27"/>
    </row>
    <row r="19569" spans="1:1">
      <c r="A19569" s="27"/>
    </row>
    <row r="19570" spans="1:1">
      <c r="A19570" s="27"/>
    </row>
    <row r="19571" spans="1:1">
      <c r="A19571" s="27"/>
    </row>
    <row r="19572" spans="1:1">
      <c r="A19572" s="27"/>
    </row>
    <row r="19573" spans="1:1">
      <c r="A19573" s="27"/>
    </row>
    <row r="19574" spans="1:1">
      <c r="A19574" s="27"/>
    </row>
    <row r="19575" spans="1:1">
      <c r="A19575" s="27"/>
    </row>
    <row r="19576" spans="1:1">
      <c r="A19576" s="27"/>
    </row>
    <row r="19577" spans="1:1">
      <c r="A19577" s="27"/>
    </row>
    <row r="19578" spans="1:1">
      <c r="A19578" s="27"/>
    </row>
    <row r="19579" spans="1:1">
      <c r="A19579" s="27"/>
    </row>
    <row r="19580" spans="1:1">
      <c r="A19580" s="27"/>
    </row>
    <row r="19581" spans="1:1">
      <c r="A19581" s="27"/>
    </row>
    <row r="19582" spans="1:1">
      <c r="A19582" s="27"/>
    </row>
    <row r="19583" spans="1:1">
      <c r="A19583" s="27"/>
    </row>
    <row r="19584" spans="1:1">
      <c r="A19584" s="27"/>
    </row>
    <row r="19585" spans="1:1">
      <c r="A19585" s="27"/>
    </row>
    <row r="19586" spans="1:1">
      <c r="A19586" s="27"/>
    </row>
    <row r="19587" spans="1:1">
      <c r="A19587" s="27"/>
    </row>
    <row r="19588" spans="1:1">
      <c r="A19588" s="27"/>
    </row>
    <row r="19589" spans="1:1">
      <c r="A19589" s="27"/>
    </row>
    <row r="19590" spans="1:1">
      <c r="A19590" s="27"/>
    </row>
    <row r="19591" spans="1:1">
      <c r="A19591" s="27"/>
    </row>
    <row r="19592" spans="1:1">
      <c r="A19592" s="27"/>
    </row>
    <row r="19593" spans="1:1">
      <c r="A19593" s="27"/>
    </row>
    <row r="19594" spans="1:1">
      <c r="A19594" s="27"/>
    </row>
    <row r="19595" spans="1:1">
      <c r="A19595" s="27"/>
    </row>
    <row r="19596" spans="1:1">
      <c r="A19596" s="27"/>
    </row>
    <row r="19597" spans="1:1">
      <c r="A19597" s="27"/>
    </row>
    <row r="19598" spans="1:1">
      <c r="A19598" s="27"/>
    </row>
    <row r="19599" spans="1:1">
      <c r="A19599" s="27"/>
    </row>
    <row r="19600" spans="1:1">
      <c r="A19600" s="27"/>
    </row>
    <row r="19601" spans="1:1">
      <c r="A19601" s="27"/>
    </row>
    <row r="19602" spans="1:1">
      <c r="A19602" s="27"/>
    </row>
    <row r="19603" spans="1:1">
      <c r="A19603" s="27"/>
    </row>
    <row r="19604" spans="1:1">
      <c r="A19604" s="27"/>
    </row>
    <row r="19605" spans="1:1">
      <c r="A19605" s="27"/>
    </row>
    <row r="19606" spans="1:1">
      <c r="A19606" s="27"/>
    </row>
    <row r="19607" spans="1:1">
      <c r="A19607" s="27"/>
    </row>
    <row r="19608" spans="1:1">
      <c r="A19608" s="27"/>
    </row>
    <row r="19609" spans="1:1">
      <c r="A19609" s="27"/>
    </row>
    <row r="19610" spans="1:1">
      <c r="A19610" s="27"/>
    </row>
    <row r="19611" spans="1:1">
      <c r="A19611" s="27"/>
    </row>
    <row r="19612" spans="1:1">
      <c r="A19612" s="27"/>
    </row>
    <row r="19613" spans="1:1">
      <c r="A19613" s="27"/>
    </row>
    <row r="19614" spans="1:1">
      <c r="A19614" s="27"/>
    </row>
    <row r="19615" spans="1:1">
      <c r="A19615" s="27"/>
    </row>
    <row r="19616" spans="1:1">
      <c r="A19616" s="27"/>
    </row>
    <row r="19617" spans="1:1">
      <c r="A19617" s="27"/>
    </row>
    <row r="19618" spans="1:1">
      <c r="A19618" s="27"/>
    </row>
    <row r="19619" spans="1:1">
      <c r="A19619" s="27"/>
    </row>
    <row r="19620" spans="1:1">
      <c r="A19620" s="27"/>
    </row>
    <row r="19621" spans="1:1">
      <c r="A19621" s="27"/>
    </row>
    <row r="19622" spans="1:1">
      <c r="A19622" s="27"/>
    </row>
    <row r="19623" spans="1:1">
      <c r="A19623" s="27"/>
    </row>
    <row r="19624" spans="1:1">
      <c r="A19624" s="27"/>
    </row>
    <row r="19625" spans="1:1">
      <c r="A19625" s="27"/>
    </row>
    <row r="19626" spans="1:1">
      <c r="A19626" s="27"/>
    </row>
    <row r="19627" spans="1:1">
      <c r="A19627" s="27"/>
    </row>
    <row r="19628" spans="1:1">
      <c r="A19628" s="27"/>
    </row>
    <row r="19629" spans="1:1">
      <c r="A19629" s="27"/>
    </row>
    <row r="19630" spans="1:1">
      <c r="A19630" s="27"/>
    </row>
    <row r="19631" spans="1:1">
      <c r="A19631" s="27"/>
    </row>
    <row r="19632" spans="1:1">
      <c r="A19632" s="27"/>
    </row>
    <row r="19633" spans="1:1">
      <c r="A19633" s="27"/>
    </row>
    <row r="19634" spans="1:1">
      <c r="A19634" s="27"/>
    </row>
    <row r="19635" spans="1:1">
      <c r="A19635" s="27"/>
    </row>
    <row r="19636" spans="1:1">
      <c r="A19636" s="27"/>
    </row>
    <row r="19637" spans="1:1">
      <c r="A19637" s="27"/>
    </row>
    <row r="19638" spans="1:1">
      <c r="A19638" s="27"/>
    </row>
    <row r="19639" spans="1:1">
      <c r="A19639" s="27"/>
    </row>
    <row r="19640" spans="1:1">
      <c r="A19640" s="27"/>
    </row>
    <row r="19641" spans="1:1">
      <c r="A19641" s="27"/>
    </row>
    <row r="19642" spans="1:1">
      <c r="A19642" s="27"/>
    </row>
    <row r="19643" spans="1:1">
      <c r="A19643" s="27"/>
    </row>
    <row r="19644" spans="1:1">
      <c r="A19644" s="27"/>
    </row>
    <row r="19645" spans="1:1">
      <c r="A19645" s="27"/>
    </row>
    <row r="19646" spans="1:1">
      <c r="A19646" s="27"/>
    </row>
    <row r="19647" spans="1:1">
      <c r="A19647" s="27"/>
    </row>
    <row r="19648" spans="1:1">
      <c r="A19648" s="27"/>
    </row>
    <row r="19649" spans="1:1">
      <c r="A19649" s="27"/>
    </row>
    <row r="19650" spans="1:1">
      <c r="A19650" s="27"/>
    </row>
    <row r="19651" spans="1:1">
      <c r="A19651" s="27"/>
    </row>
    <row r="19652" spans="1:1">
      <c r="A19652" s="27"/>
    </row>
    <row r="19653" spans="1:1">
      <c r="A19653" s="27"/>
    </row>
    <row r="19654" spans="1:1">
      <c r="A19654" s="27"/>
    </row>
    <row r="19655" spans="1:1">
      <c r="A19655" s="27"/>
    </row>
    <row r="19656" spans="1:1">
      <c r="A19656" s="27"/>
    </row>
    <row r="19657" spans="1:1">
      <c r="A19657" s="27"/>
    </row>
    <row r="19658" spans="1:1">
      <c r="A19658" s="27"/>
    </row>
    <row r="19659" spans="1:1">
      <c r="A19659" s="27"/>
    </row>
    <row r="19660" spans="1:1">
      <c r="A19660" s="27"/>
    </row>
    <row r="19661" spans="1:1">
      <c r="A19661" s="27"/>
    </row>
    <row r="19662" spans="1:1">
      <c r="A19662" s="27"/>
    </row>
    <row r="19663" spans="1:1">
      <c r="A19663" s="27"/>
    </row>
    <row r="19664" spans="1:1">
      <c r="A19664" s="27"/>
    </row>
    <row r="19665" spans="1:1">
      <c r="A19665" s="27"/>
    </row>
    <row r="19666" spans="1:1">
      <c r="A19666" s="27"/>
    </row>
    <row r="19667" spans="1:1">
      <c r="A19667" s="27"/>
    </row>
    <row r="19668" spans="1:1">
      <c r="A19668" s="27"/>
    </row>
    <row r="19669" spans="1:1">
      <c r="A19669" s="27"/>
    </row>
    <row r="19670" spans="1:1">
      <c r="A19670" s="27"/>
    </row>
    <row r="19671" spans="1:1">
      <c r="A19671" s="27"/>
    </row>
    <row r="19672" spans="1:1">
      <c r="A19672" s="27"/>
    </row>
    <row r="19673" spans="1:1">
      <c r="A19673" s="27"/>
    </row>
    <row r="19674" spans="1:1">
      <c r="A19674" s="27"/>
    </row>
    <row r="19675" spans="1:1">
      <c r="A19675" s="27"/>
    </row>
    <row r="19676" spans="1:1">
      <c r="A19676" s="27"/>
    </row>
    <row r="19677" spans="1:1">
      <c r="A19677" s="27"/>
    </row>
    <row r="19678" spans="1:1">
      <c r="A19678" s="27"/>
    </row>
    <row r="19679" spans="1:1">
      <c r="A19679" s="27"/>
    </row>
    <row r="19680" spans="1:1">
      <c r="A19680" s="27"/>
    </row>
    <row r="19681" spans="1:1">
      <c r="A19681" s="27"/>
    </row>
    <row r="19682" spans="1:1">
      <c r="A19682" s="27"/>
    </row>
    <row r="19683" spans="1:1">
      <c r="A19683" s="27"/>
    </row>
    <row r="19684" spans="1:1">
      <c r="A19684" s="27"/>
    </row>
    <row r="19685" spans="1:1">
      <c r="A19685" s="27"/>
    </row>
    <row r="19686" spans="1:1">
      <c r="A19686" s="27"/>
    </row>
    <row r="19687" spans="1:1">
      <c r="A19687" s="27"/>
    </row>
    <row r="19688" spans="1:1">
      <c r="A19688" s="27"/>
    </row>
    <row r="19689" spans="1:1">
      <c r="A19689" s="27"/>
    </row>
    <row r="19690" spans="1:1">
      <c r="A19690" s="27"/>
    </row>
    <row r="19691" spans="1:1">
      <c r="A19691" s="27"/>
    </row>
    <row r="19692" spans="1:1">
      <c r="A19692" s="27"/>
    </row>
    <row r="19693" spans="1:1">
      <c r="A19693" s="27"/>
    </row>
    <row r="19694" spans="1:1">
      <c r="A19694" s="27"/>
    </row>
    <row r="19695" spans="1:1">
      <c r="A19695" s="27"/>
    </row>
    <row r="19696" spans="1:1">
      <c r="A19696" s="27"/>
    </row>
    <row r="19697" spans="1:1">
      <c r="A19697" s="27"/>
    </row>
    <row r="19698" spans="1:1">
      <c r="A19698" s="27"/>
    </row>
    <row r="19699" spans="1:1">
      <c r="A19699" s="27"/>
    </row>
    <row r="19700" spans="1:1">
      <c r="A19700" s="27"/>
    </row>
    <row r="19701" spans="1:1">
      <c r="A19701" s="27"/>
    </row>
    <row r="19702" spans="1:1">
      <c r="A19702" s="27"/>
    </row>
    <row r="19703" spans="1:1">
      <c r="A19703" s="27"/>
    </row>
    <row r="19704" spans="1:1">
      <c r="A19704" s="27"/>
    </row>
    <row r="19705" spans="1:1">
      <c r="A19705" s="27"/>
    </row>
    <row r="19706" spans="1:1">
      <c r="A19706" s="27"/>
    </row>
    <row r="19707" spans="1:1">
      <c r="A19707" s="27"/>
    </row>
    <row r="19708" spans="1:1">
      <c r="A19708" s="27"/>
    </row>
    <row r="19709" spans="1:1">
      <c r="A19709" s="27"/>
    </row>
    <row r="19710" spans="1:1">
      <c r="A19710" s="27"/>
    </row>
    <row r="19711" spans="1:1">
      <c r="A19711" s="27"/>
    </row>
    <row r="19712" spans="1:1">
      <c r="A19712" s="27"/>
    </row>
    <row r="19713" spans="1:1">
      <c r="A19713" s="27"/>
    </row>
    <row r="19714" spans="1:1">
      <c r="A19714" s="27"/>
    </row>
    <row r="19715" spans="1:1">
      <c r="A19715" s="27"/>
    </row>
    <row r="19716" spans="1:1">
      <c r="A19716" s="27"/>
    </row>
    <row r="19717" spans="1:1">
      <c r="A19717" s="27"/>
    </row>
    <row r="19718" spans="1:1">
      <c r="A19718" s="27"/>
    </row>
    <row r="19719" spans="1:1">
      <c r="A19719" s="27"/>
    </row>
    <row r="19720" spans="1:1">
      <c r="A19720" s="27"/>
    </row>
    <row r="19721" spans="1:1">
      <c r="A19721" s="27"/>
    </row>
    <row r="19722" spans="1:1">
      <c r="A19722" s="27"/>
    </row>
    <row r="19723" spans="1:1">
      <c r="A19723" s="27"/>
    </row>
    <row r="19724" spans="1:1">
      <c r="A19724" s="27"/>
    </row>
    <row r="19725" spans="1:1">
      <c r="A19725" s="27"/>
    </row>
    <row r="19726" spans="1:1">
      <c r="A19726" s="27"/>
    </row>
    <row r="19727" spans="1:1">
      <c r="A19727" s="27"/>
    </row>
    <row r="19728" spans="1:1">
      <c r="A19728" s="27"/>
    </row>
    <row r="19729" spans="1:1">
      <c r="A19729" s="27"/>
    </row>
    <row r="19730" spans="1:1">
      <c r="A19730" s="27"/>
    </row>
    <row r="19731" spans="1:1">
      <c r="A19731" s="27"/>
    </row>
    <row r="19732" spans="1:1">
      <c r="A19732" s="27"/>
    </row>
    <row r="19733" spans="1:1">
      <c r="A19733" s="27"/>
    </row>
    <row r="19734" spans="1:1">
      <c r="A19734" s="27"/>
    </row>
    <row r="19735" spans="1:1">
      <c r="A19735" s="27"/>
    </row>
    <row r="19736" spans="1:1">
      <c r="A19736" s="27"/>
    </row>
    <row r="19737" spans="1:1">
      <c r="A19737" s="27"/>
    </row>
    <row r="19738" spans="1:1">
      <c r="A19738" s="27"/>
    </row>
    <row r="19739" spans="1:1">
      <c r="A19739" s="27"/>
    </row>
    <row r="19740" spans="1:1">
      <c r="A19740" s="27"/>
    </row>
    <row r="19741" spans="1:1">
      <c r="A19741" s="27"/>
    </row>
    <row r="19742" spans="1:1">
      <c r="A19742" s="27"/>
    </row>
    <row r="19743" spans="1:1">
      <c r="A19743" s="27"/>
    </row>
    <row r="19744" spans="1:1">
      <c r="A19744" s="27"/>
    </row>
    <row r="19745" spans="1:1">
      <c r="A19745" s="27"/>
    </row>
    <row r="19746" spans="1:1">
      <c r="A19746" s="27"/>
    </row>
    <row r="19747" spans="1:1">
      <c r="A19747" s="27"/>
    </row>
    <row r="19748" spans="1:1">
      <c r="A19748" s="27"/>
    </row>
    <row r="19749" spans="1:1">
      <c r="A19749" s="27"/>
    </row>
    <row r="19750" spans="1:1">
      <c r="A19750" s="27"/>
    </row>
    <row r="19751" spans="1:1">
      <c r="A19751" s="27"/>
    </row>
    <row r="19752" spans="1:1">
      <c r="A19752" s="27"/>
    </row>
    <row r="19753" spans="1:1">
      <c r="A19753" s="27"/>
    </row>
    <row r="19754" spans="1:1">
      <c r="A19754" s="27"/>
    </row>
    <row r="19755" spans="1:1">
      <c r="A19755" s="27"/>
    </row>
    <row r="19756" spans="1:1">
      <c r="A19756" s="27"/>
    </row>
    <row r="19757" spans="1:1">
      <c r="A19757" s="27"/>
    </row>
    <row r="19758" spans="1:1">
      <c r="A19758" s="27"/>
    </row>
    <row r="19759" spans="1:1">
      <c r="A19759" s="27"/>
    </row>
    <row r="19760" spans="1:1">
      <c r="A19760" s="27"/>
    </row>
    <row r="19761" spans="1:1">
      <c r="A19761" s="27"/>
    </row>
    <row r="19762" spans="1:1">
      <c r="A19762" s="27"/>
    </row>
    <row r="19763" spans="1:1">
      <c r="A19763" s="27"/>
    </row>
    <row r="19764" spans="1:1">
      <c r="A19764" s="27"/>
    </row>
    <row r="19765" spans="1:1">
      <c r="A19765" s="27"/>
    </row>
    <row r="19766" spans="1:1">
      <c r="A19766" s="27"/>
    </row>
    <row r="19767" spans="1:1">
      <c r="A19767" s="27"/>
    </row>
    <row r="19768" spans="1:1">
      <c r="A19768" s="27"/>
    </row>
    <row r="19769" spans="1:1">
      <c r="A19769" s="27"/>
    </row>
    <row r="19770" spans="1:1">
      <c r="A19770" s="27"/>
    </row>
    <row r="19771" spans="1:1">
      <c r="A19771" s="27"/>
    </row>
    <row r="19772" spans="1:1">
      <c r="A19772" s="27"/>
    </row>
    <row r="19773" spans="1:1">
      <c r="A19773" s="27"/>
    </row>
    <row r="19774" spans="1:1">
      <c r="A19774" s="27"/>
    </row>
    <row r="19775" spans="1:1">
      <c r="A19775" s="27"/>
    </row>
    <row r="19776" spans="1:1">
      <c r="A19776" s="27"/>
    </row>
    <row r="19777" spans="1:1">
      <c r="A19777" s="27"/>
    </row>
    <row r="19778" spans="1:1">
      <c r="A19778" s="27"/>
    </row>
    <row r="19779" spans="1:1">
      <c r="A19779" s="27"/>
    </row>
    <row r="19780" spans="1:1">
      <c r="A19780" s="27"/>
    </row>
    <row r="19781" spans="1:1">
      <c r="A19781" s="27"/>
    </row>
    <row r="19782" spans="1:1">
      <c r="A19782" s="27"/>
    </row>
    <row r="19783" spans="1:1">
      <c r="A19783" s="27"/>
    </row>
    <row r="19784" spans="1:1">
      <c r="A19784" s="27"/>
    </row>
    <row r="19785" spans="1:1">
      <c r="A19785" s="27"/>
    </row>
    <row r="19786" spans="1:1">
      <c r="A19786" s="27"/>
    </row>
    <row r="19787" spans="1:1">
      <c r="A19787" s="27"/>
    </row>
    <row r="19788" spans="1:1">
      <c r="A19788" s="27"/>
    </row>
    <row r="19789" spans="1:1">
      <c r="A19789" s="27"/>
    </row>
    <row r="19790" spans="1:1">
      <c r="A19790" s="27"/>
    </row>
    <row r="19791" spans="1:1">
      <c r="A19791" s="27"/>
    </row>
    <row r="19792" spans="1:1">
      <c r="A19792" s="27"/>
    </row>
    <row r="19793" spans="1:1">
      <c r="A19793" s="27"/>
    </row>
    <row r="19794" spans="1:1">
      <c r="A19794" s="27"/>
    </row>
    <row r="19795" spans="1:1">
      <c r="A19795" s="27"/>
    </row>
    <row r="19796" spans="1:1">
      <c r="A19796" s="27"/>
    </row>
    <row r="19797" spans="1:1">
      <c r="A19797" s="27"/>
    </row>
    <row r="19798" spans="1:1">
      <c r="A19798" s="27"/>
    </row>
    <row r="19799" spans="1:1">
      <c r="A19799" s="27"/>
    </row>
    <row r="19800" spans="1:1">
      <c r="A19800" s="27"/>
    </row>
    <row r="19801" spans="1:1">
      <c r="A19801" s="27"/>
    </row>
    <row r="19802" spans="1:1">
      <c r="A19802" s="27"/>
    </row>
    <row r="19803" spans="1:1">
      <c r="A19803" s="27"/>
    </row>
    <row r="19804" spans="1:1">
      <c r="A19804" s="27"/>
    </row>
    <row r="19805" spans="1:1">
      <c r="A19805" s="27"/>
    </row>
    <row r="19806" spans="1:1">
      <c r="A19806" s="27"/>
    </row>
    <row r="19807" spans="1:1">
      <c r="A19807" s="27"/>
    </row>
    <row r="19808" spans="1:1">
      <c r="A19808" s="27"/>
    </row>
    <row r="19809" spans="1:1">
      <c r="A19809" s="27"/>
    </row>
    <row r="19810" spans="1:1">
      <c r="A19810" s="27"/>
    </row>
    <row r="19811" spans="1:1">
      <c r="A19811" s="27"/>
    </row>
    <row r="19812" spans="1:1">
      <c r="A19812" s="27"/>
    </row>
    <row r="19813" spans="1:1">
      <c r="A19813" s="27"/>
    </row>
    <row r="19814" spans="1:1">
      <c r="A19814" s="27"/>
    </row>
    <row r="19815" spans="1:1">
      <c r="A19815" s="27"/>
    </row>
    <row r="19816" spans="1:1">
      <c r="A19816" s="27"/>
    </row>
    <row r="19817" spans="1:1">
      <c r="A19817" s="27"/>
    </row>
    <row r="19818" spans="1:1">
      <c r="A19818" s="27"/>
    </row>
    <row r="19819" spans="1:1">
      <c r="A19819" s="27"/>
    </row>
    <row r="19820" spans="1:1">
      <c r="A19820" s="27"/>
    </row>
    <row r="19821" spans="1:1">
      <c r="A19821" s="27"/>
    </row>
    <row r="19822" spans="1:1">
      <c r="A19822" s="27"/>
    </row>
    <row r="19823" spans="1:1">
      <c r="A19823" s="27"/>
    </row>
    <row r="19824" spans="1:1">
      <c r="A19824" s="27"/>
    </row>
    <row r="19825" spans="1:1">
      <c r="A19825" s="27"/>
    </row>
    <row r="19826" spans="1:1">
      <c r="A19826" s="27"/>
    </row>
    <row r="19827" spans="1:1">
      <c r="A19827" s="27"/>
    </row>
    <row r="19828" spans="1:1">
      <c r="A19828" s="27"/>
    </row>
    <row r="19829" spans="1:1">
      <c r="A19829" s="27"/>
    </row>
    <row r="19830" spans="1:1">
      <c r="A19830" s="27"/>
    </row>
    <row r="19831" spans="1:1">
      <c r="A19831" s="27"/>
    </row>
    <row r="19832" spans="1:1">
      <c r="A19832" s="27"/>
    </row>
    <row r="19833" spans="1:1">
      <c r="A19833" s="27"/>
    </row>
    <row r="19834" spans="1:1">
      <c r="A19834" s="27"/>
    </row>
    <row r="19835" spans="1:1">
      <c r="A19835" s="27"/>
    </row>
    <row r="19836" spans="1:1">
      <c r="A19836" s="27"/>
    </row>
    <row r="19837" spans="1:1">
      <c r="A19837" s="27"/>
    </row>
    <row r="19838" spans="1:1">
      <c r="A19838" s="27"/>
    </row>
    <row r="19839" spans="1:1">
      <c r="A19839" s="27"/>
    </row>
    <row r="19840" spans="1:1">
      <c r="A19840" s="27"/>
    </row>
    <row r="19841" spans="1:1">
      <c r="A19841" s="27"/>
    </row>
    <row r="19842" spans="1:1">
      <c r="A19842" s="27"/>
    </row>
    <row r="19843" spans="1:1">
      <c r="A19843" s="27"/>
    </row>
    <row r="19844" spans="1:1">
      <c r="A19844" s="27"/>
    </row>
    <row r="19845" spans="1:1">
      <c r="A19845" s="27"/>
    </row>
    <row r="19846" spans="1:1">
      <c r="A19846" s="27"/>
    </row>
    <row r="19847" spans="1:1">
      <c r="A19847" s="27"/>
    </row>
    <row r="19848" spans="1:1">
      <c r="A19848" s="27"/>
    </row>
    <row r="19849" spans="1:1">
      <c r="A19849" s="27"/>
    </row>
    <row r="19850" spans="1:1">
      <c r="A19850" s="27"/>
    </row>
    <row r="19851" spans="1:1">
      <c r="A19851" s="27"/>
    </row>
    <row r="19852" spans="1:1">
      <c r="A19852" s="27"/>
    </row>
    <row r="19853" spans="1:1">
      <c r="A19853" s="27"/>
    </row>
    <row r="19854" spans="1:1">
      <c r="A19854" s="27"/>
    </row>
    <row r="19855" spans="1:1">
      <c r="A19855" s="27"/>
    </row>
    <row r="19856" spans="1:1">
      <c r="A19856" s="27"/>
    </row>
    <row r="19857" spans="1:1">
      <c r="A19857" s="27"/>
    </row>
    <row r="19858" spans="1:1">
      <c r="A19858" s="27"/>
    </row>
    <row r="19859" spans="1:1">
      <c r="A19859" s="27"/>
    </row>
    <row r="19860" spans="1:1">
      <c r="A19860" s="27"/>
    </row>
    <row r="19861" spans="1:1">
      <c r="A19861" s="27"/>
    </row>
    <row r="19862" spans="1:1">
      <c r="A19862" s="27"/>
    </row>
    <row r="19863" spans="1:1">
      <c r="A19863" s="27"/>
    </row>
    <row r="19864" spans="1:1">
      <c r="A19864" s="27"/>
    </row>
    <row r="19865" spans="1:1">
      <c r="A19865" s="27"/>
    </row>
    <row r="19866" spans="1:1">
      <c r="A19866" s="27"/>
    </row>
    <row r="19867" spans="1:1">
      <c r="A19867" s="27"/>
    </row>
    <row r="19868" spans="1:1">
      <c r="A19868" s="27"/>
    </row>
    <row r="19869" spans="1:1">
      <c r="A19869" s="27"/>
    </row>
    <row r="19870" spans="1:1">
      <c r="A19870" s="27"/>
    </row>
    <row r="19871" spans="1:1">
      <c r="A19871" s="27"/>
    </row>
    <row r="19872" spans="1:1">
      <c r="A19872" s="27"/>
    </row>
    <row r="19873" spans="1:1">
      <c r="A19873" s="27"/>
    </row>
    <row r="19874" spans="1:1">
      <c r="A19874" s="27"/>
    </row>
    <row r="19875" spans="1:1">
      <c r="A19875" s="27"/>
    </row>
    <row r="19876" spans="1:1">
      <c r="A19876" s="27"/>
    </row>
    <row r="19877" spans="1:1">
      <c r="A19877" s="27"/>
    </row>
    <row r="19878" spans="1:1">
      <c r="A19878" s="27"/>
    </row>
    <row r="19879" spans="1:1">
      <c r="A19879" s="27"/>
    </row>
    <row r="19880" spans="1:1">
      <c r="A19880" s="27"/>
    </row>
    <row r="19881" spans="1:1">
      <c r="A19881" s="27"/>
    </row>
    <row r="19882" spans="1:1">
      <c r="A19882" s="27"/>
    </row>
    <row r="19883" spans="1:1">
      <c r="A19883" s="27"/>
    </row>
    <row r="19884" spans="1:1">
      <c r="A19884" s="27"/>
    </row>
    <row r="19885" spans="1:1">
      <c r="A19885" s="27"/>
    </row>
    <row r="19886" spans="1:1">
      <c r="A19886" s="27"/>
    </row>
    <row r="19887" spans="1:1">
      <c r="A19887" s="27"/>
    </row>
    <row r="19888" spans="1:1">
      <c r="A19888" s="27"/>
    </row>
    <row r="19889" spans="1:1">
      <c r="A19889" s="27"/>
    </row>
    <row r="19890" spans="1:1">
      <c r="A19890" s="27"/>
    </row>
    <row r="19891" spans="1:1">
      <c r="A19891" s="27"/>
    </row>
    <row r="19892" spans="1:1">
      <c r="A19892" s="27"/>
    </row>
    <row r="19893" spans="1:1">
      <c r="A19893" s="27"/>
    </row>
    <row r="19894" spans="1:1">
      <c r="A19894" s="27"/>
    </row>
    <row r="19895" spans="1:1">
      <c r="A19895" s="27"/>
    </row>
    <row r="19896" spans="1:1">
      <c r="A19896" s="27"/>
    </row>
    <row r="19897" spans="1:1">
      <c r="A19897" s="27"/>
    </row>
    <row r="19898" spans="1:1">
      <c r="A19898" s="27"/>
    </row>
    <row r="19899" spans="1:1">
      <c r="A19899" s="27"/>
    </row>
    <row r="19900" spans="1:1">
      <c r="A19900" s="27"/>
    </row>
    <row r="19901" spans="1:1">
      <c r="A19901" s="27"/>
    </row>
    <row r="19902" spans="1:1">
      <c r="A19902" s="27"/>
    </row>
    <row r="19903" spans="1:1">
      <c r="A19903" s="27"/>
    </row>
    <row r="19904" spans="1:1">
      <c r="A19904" s="27"/>
    </row>
    <row r="19905" spans="1:1">
      <c r="A19905" s="27"/>
    </row>
    <row r="19906" spans="1:1">
      <c r="A19906" s="27"/>
    </row>
    <row r="19907" spans="1:1">
      <c r="A19907" s="27"/>
    </row>
    <row r="19908" spans="1:1">
      <c r="A19908" s="27"/>
    </row>
    <row r="19909" spans="1:1">
      <c r="A19909" s="27"/>
    </row>
    <row r="19910" spans="1:1">
      <c r="A19910" s="27"/>
    </row>
    <row r="19911" spans="1:1">
      <c r="A19911" s="27"/>
    </row>
    <row r="19912" spans="1:1">
      <c r="A19912" s="27"/>
    </row>
    <row r="19913" spans="1:1">
      <c r="A19913" s="27"/>
    </row>
    <row r="19914" spans="1:1">
      <c r="A19914" s="27"/>
    </row>
    <row r="19915" spans="1:1">
      <c r="A19915" s="27"/>
    </row>
    <row r="19916" spans="1:1">
      <c r="A19916" s="27"/>
    </row>
    <row r="19917" spans="1:1">
      <c r="A19917" s="27"/>
    </row>
    <row r="19918" spans="1:1">
      <c r="A19918" s="27"/>
    </row>
    <row r="19919" spans="1:1">
      <c r="A19919" s="27"/>
    </row>
    <row r="19920" spans="1:1">
      <c r="A19920" s="27"/>
    </row>
    <row r="19921" spans="1:1">
      <c r="A19921" s="27"/>
    </row>
    <row r="19922" spans="1:1">
      <c r="A19922" s="27"/>
    </row>
    <row r="19923" spans="1:1">
      <c r="A19923" s="27"/>
    </row>
    <row r="19924" spans="1:1">
      <c r="A19924" s="27"/>
    </row>
    <row r="19925" spans="1:1">
      <c r="A19925" s="27"/>
    </row>
    <row r="19926" spans="1:1">
      <c r="A19926" s="27"/>
    </row>
    <row r="19927" spans="1:1">
      <c r="A19927" s="27"/>
    </row>
    <row r="19928" spans="1:1">
      <c r="A19928" s="27"/>
    </row>
    <row r="19929" spans="1:1">
      <c r="A19929" s="27"/>
    </row>
    <row r="19930" spans="1:1">
      <c r="A19930" s="27"/>
    </row>
    <row r="19931" spans="1:1">
      <c r="A19931" s="27"/>
    </row>
    <row r="19932" spans="1:1">
      <c r="A19932" s="27"/>
    </row>
    <row r="19933" spans="1:1">
      <c r="A19933" s="27"/>
    </row>
    <row r="19934" spans="1:1">
      <c r="A19934" s="27"/>
    </row>
    <row r="19935" spans="1:1">
      <c r="A19935" s="27"/>
    </row>
    <row r="19936" spans="1:1">
      <c r="A19936" s="27"/>
    </row>
    <row r="19937" spans="1:1">
      <c r="A19937" s="27"/>
    </row>
    <row r="19938" spans="1:1">
      <c r="A19938" s="27"/>
    </row>
    <row r="19939" spans="1:1">
      <c r="A19939" s="27"/>
    </row>
    <row r="19940" spans="1:1">
      <c r="A19940" s="27"/>
    </row>
    <row r="19941" spans="1:1">
      <c r="A19941" s="27"/>
    </row>
    <row r="19942" spans="1:1">
      <c r="A19942" s="27"/>
    </row>
    <row r="19943" spans="1:1">
      <c r="A19943" s="27"/>
    </row>
    <row r="19944" spans="1:1">
      <c r="A19944" s="27"/>
    </row>
    <row r="19945" spans="1:1">
      <c r="A19945" s="27"/>
    </row>
    <row r="19946" spans="1:1">
      <c r="A19946" s="27"/>
    </row>
    <row r="19947" spans="1:1">
      <c r="A19947" s="27"/>
    </row>
    <row r="19948" spans="1:1">
      <c r="A19948" s="27"/>
    </row>
    <row r="19949" spans="1:1">
      <c r="A19949" s="27"/>
    </row>
    <row r="19950" spans="1:1">
      <c r="A19950" s="27"/>
    </row>
    <row r="19951" spans="1:1">
      <c r="A19951" s="27"/>
    </row>
    <row r="19952" spans="1:1">
      <c r="A19952" s="27"/>
    </row>
    <row r="19953" spans="1:1">
      <c r="A19953" s="27"/>
    </row>
    <row r="19954" spans="1:1">
      <c r="A19954" s="27"/>
    </row>
    <row r="19955" spans="1:1">
      <c r="A19955" s="27"/>
    </row>
    <row r="19956" spans="1:1">
      <c r="A19956" s="27"/>
    </row>
    <row r="19957" spans="1:1">
      <c r="A19957" s="27"/>
    </row>
    <row r="19958" spans="1:1">
      <c r="A19958" s="27"/>
    </row>
    <row r="19959" spans="1:1">
      <c r="A19959" s="27"/>
    </row>
    <row r="19960" spans="1:1">
      <c r="A19960" s="27"/>
    </row>
    <row r="19961" spans="1:1">
      <c r="A19961" s="27"/>
    </row>
    <row r="19962" spans="1:1">
      <c r="A19962" s="27"/>
    </row>
    <row r="19963" spans="1:1">
      <c r="A19963" s="27"/>
    </row>
    <row r="19964" spans="1:1">
      <c r="A19964" s="27"/>
    </row>
    <row r="19965" spans="1:1">
      <c r="A19965" s="27"/>
    </row>
    <row r="19966" spans="1:1">
      <c r="A19966" s="27"/>
    </row>
    <row r="19967" spans="1:1">
      <c r="A19967" s="27"/>
    </row>
    <row r="19968" spans="1:1">
      <c r="A19968" s="27"/>
    </row>
    <row r="19969" spans="1:1">
      <c r="A19969" s="27"/>
    </row>
    <row r="19970" spans="1:1">
      <c r="A19970" s="27"/>
    </row>
    <row r="19971" spans="1:1">
      <c r="A19971" s="27"/>
    </row>
    <row r="19972" spans="1:1">
      <c r="A19972" s="27"/>
    </row>
    <row r="19973" spans="1:1">
      <c r="A19973" s="27"/>
    </row>
    <row r="19974" spans="1:1">
      <c r="A19974" s="27"/>
    </row>
    <row r="19975" spans="1:1">
      <c r="A19975" s="27"/>
    </row>
    <row r="19976" spans="1:1">
      <c r="A19976" s="27"/>
    </row>
    <row r="19977" spans="1:1">
      <c r="A19977" s="27"/>
    </row>
    <row r="19978" spans="1:1">
      <c r="A19978" s="27"/>
    </row>
    <row r="19979" spans="1:1">
      <c r="A19979" s="27"/>
    </row>
    <row r="19980" spans="1:1">
      <c r="A19980" s="27"/>
    </row>
    <row r="19981" spans="1:1">
      <c r="A19981" s="27"/>
    </row>
    <row r="19982" spans="1:1">
      <c r="A19982" s="27"/>
    </row>
    <row r="19983" spans="1:1">
      <c r="A19983" s="27"/>
    </row>
    <row r="19984" spans="1:1">
      <c r="A19984" s="27"/>
    </row>
    <row r="19985" spans="1:1">
      <c r="A19985" s="27"/>
    </row>
    <row r="19986" spans="1:1">
      <c r="A19986" s="27"/>
    </row>
    <row r="19987" spans="1:1">
      <c r="A19987" s="27"/>
    </row>
    <row r="19988" spans="1:1">
      <c r="A19988" s="27"/>
    </row>
    <row r="19989" spans="1:1">
      <c r="A19989" s="27"/>
    </row>
    <row r="19990" spans="1:1">
      <c r="A19990" s="27"/>
    </row>
    <row r="19991" spans="1:1">
      <c r="A19991" s="27"/>
    </row>
    <row r="19992" spans="1:1">
      <c r="A19992" s="27"/>
    </row>
    <row r="19993" spans="1:1">
      <c r="A19993" s="27"/>
    </row>
    <row r="19994" spans="1:1">
      <c r="A19994" s="27"/>
    </row>
    <row r="19995" spans="1:1">
      <c r="A19995" s="27"/>
    </row>
    <row r="19996" spans="1:1">
      <c r="A19996" s="27"/>
    </row>
    <row r="19997" spans="1:1">
      <c r="A19997" s="27"/>
    </row>
    <row r="19998" spans="1:1">
      <c r="A19998" s="27"/>
    </row>
    <row r="19999" spans="1:1">
      <c r="A19999" s="27"/>
    </row>
    <row r="20000" spans="1:1">
      <c r="A20000" s="27"/>
    </row>
    <row r="20001" spans="1:1">
      <c r="A20001" s="27"/>
    </row>
    <row r="20002" spans="1:1">
      <c r="A20002" s="27"/>
    </row>
    <row r="20003" spans="1:1">
      <c r="A20003" s="27"/>
    </row>
    <row r="20004" spans="1:1">
      <c r="A20004" s="27"/>
    </row>
    <row r="20005" spans="1:1">
      <c r="A20005" s="27"/>
    </row>
    <row r="20006" spans="1:1">
      <c r="A20006" s="27"/>
    </row>
    <row r="20007" spans="1:1">
      <c r="A20007" s="27"/>
    </row>
    <row r="20008" spans="1:1">
      <c r="A20008" s="27"/>
    </row>
    <row r="20009" spans="1:1">
      <c r="A20009" s="27"/>
    </row>
    <row r="20010" spans="1:1">
      <c r="A20010" s="27"/>
    </row>
    <row r="20011" spans="1:1">
      <c r="A20011" s="27"/>
    </row>
    <row r="20012" spans="1:1">
      <c r="A20012" s="27"/>
    </row>
    <row r="20013" spans="1:1">
      <c r="A20013" s="27"/>
    </row>
    <row r="20014" spans="1:1">
      <c r="A20014" s="27"/>
    </row>
    <row r="20015" spans="1:1">
      <c r="A20015" s="27"/>
    </row>
    <row r="20016" spans="1:1">
      <c r="A20016" s="27"/>
    </row>
    <row r="20017" spans="1:1">
      <c r="A20017" s="27"/>
    </row>
    <row r="20018" spans="1:1">
      <c r="A20018" s="27"/>
    </row>
    <row r="20019" spans="1:1">
      <c r="A20019" s="27"/>
    </row>
    <row r="20020" spans="1:1">
      <c r="A20020" s="27"/>
    </row>
    <row r="20021" spans="1:1">
      <c r="A20021" s="27"/>
    </row>
    <row r="20022" spans="1:1">
      <c r="A20022" s="27"/>
    </row>
    <row r="20023" spans="1:1">
      <c r="A20023" s="27"/>
    </row>
    <row r="20024" spans="1:1">
      <c r="A20024" s="27"/>
    </row>
    <row r="20025" spans="1:1">
      <c r="A20025" s="27"/>
    </row>
    <row r="20026" spans="1:1">
      <c r="A20026" s="27"/>
    </row>
    <row r="20027" spans="1:1">
      <c r="A20027" s="27"/>
    </row>
    <row r="20028" spans="1:1">
      <c r="A20028" s="27"/>
    </row>
    <row r="20029" spans="1:1">
      <c r="A20029" s="27"/>
    </row>
    <row r="20030" spans="1:1">
      <c r="A20030" s="27"/>
    </row>
    <row r="20031" spans="1:1">
      <c r="A20031" s="27"/>
    </row>
    <row r="20032" spans="1:1">
      <c r="A20032" s="27"/>
    </row>
    <row r="20033" spans="1:1">
      <c r="A20033" s="27"/>
    </row>
    <row r="20034" spans="1:1">
      <c r="A20034" s="27"/>
    </row>
    <row r="20035" spans="1:1">
      <c r="A20035" s="27"/>
    </row>
    <row r="20036" spans="1:1">
      <c r="A20036" s="27"/>
    </row>
    <row r="20037" spans="1:1">
      <c r="A20037" s="27"/>
    </row>
    <row r="20038" spans="1:1">
      <c r="A20038" s="27"/>
    </row>
    <row r="20039" spans="1:1">
      <c r="A20039" s="27"/>
    </row>
    <row r="20040" spans="1:1">
      <c r="A20040" s="27"/>
    </row>
    <row r="20041" spans="1:1">
      <c r="A20041" s="27"/>
    </row>
    <row r="20042" spans="1:1">
      <c r="A20042" s="27"/>
    </row>
    <row r="20043" spans="1:1">
      <c r="A20043" s="27"/>
    </row>
    <row r="20044" spans="1:1">
      <c r="A20044" s="27"/>
    </row>
    <row r="20045" spans="1:1">
      <c r="A20045" s="27"/>
    </row>
    <row r="20046" spans="1:1">
      <c r="A20046" s="27"/>
    </row>
    <row r="20047" spans="1:1">
      <c r="A20047" s="27"/>
    </row>
    <row r="20048" spans="1:1">
      <c r="A20048" s="27"/>
    </row>
    <row r="20049" spans="1:1">
      <c r="A20049" s="27"/>
    </row>
    <row r="20050" spans="1:1">
      <c r="A20050" s="27"/>
    </row>
    <row r="20051" spans="1:1">
      <c r="A20051" s="27"/>
    </row>
    <row r="20052" spans="1:1">
      <c r="A20052" s="27"/>
    </row>
    <row r="20053" spans="1:1">
      <c r="A20053" s="27"/>
    </row>
    <row r="20054" spans="1:1">
      <c r="A20054" s="27"/>
    </row>
    <row r="20055" spans="1:1">
      <c r="A20055" s="27"/>
    </row>
    <row r="20056" spans="1:1">
      <c r="A20056" s="27"/>
    </row>
    <row r="20057" spans="1:1">
      <c r="A20057" s="27"/>
    </row>
    <row r="20058" spans="1:1">
      <c r="A20058" s="27"/>
    </row>
    <row r="20059" spans="1:1">
      <c r="A20059" s="27"/>
    </row>
    <row r="20060" spans="1:1">
      <c r="A20060" s="27"/>
    </row>
    <row r="20061" spans="1:1">
      <c r="A20061" s="27"/>
    </row>
    <row r="20062" spans="1:1">
      <c r="A20062" s="27"/>
    </row>
    <row r="20063" spans="1:1">
      <c r="A20063" s="27"/>
    </row>
    <row r="20064" spans="1:1">
      <c r="A20064" s="27"/>
    </row>
    <row r="20065" spans="1:1">
      <c r="A20065" s="27"/>
    </row>
    <row r="20066" spans="1:1">
      <c r="A20066" s="27"/>
    </row>
    <row r="20067" spans="1:1">
      <c r="A20067" s="27"/>
    </row>
    <row r="20068" spans="1:1">
      <c r="A20068" s="27"/>
    </row>
    <row r="20069" spans="1:1">
      <c r="A20069" s="27"/>
    </row>
    <row r="20070" spans="1:1">
      <c r="A20070" s="27"/>
    </row>
    <row r="20071" spans="1:1">
      <c r="A20071" s="27"/>
    </row>
    <row r="20072" spans="1:1">
      <c r="A20072" s="27"/>
    </row>
    <row r="20073" spans="1:1">
      <c r="A20073" s="27"/>
    </row>
    <row r="20074" spans="1:1">
      <c r="A20074" s="27"/>
    </row>
    <row r="20075" spans="1:1">
      <c r="A20075" s="27"/>
    </row>
    <row r="20076" spans="1:1">
      <c r="A20076" s="27"/>
    </row>
    <row r="20077" spans="1:1">
      <c r="A20077" s="27"/>
    </row>
    <row r="20078" spans="1:1">
      <c r="A20078" s="27"/>
    </row>
    <row r="20079" spans="1:1">
      <c r="A20079" s="27"/>
    </row>
    <row r="20080" spans="1:1">
      <c r="A20080" s="27"/>
    </row>
    <row r="20081" spans="1:1">
      <c r="A20081" s="27"/>
    </row>
    <row r="20082" spans="1:1">
      <c r="A20082" s="27"/>
    </row>
    <row r="20083" spans="1:1">
      <c r="A20083" s="27"/>
    </row>
    <row r="20084" spans="1:1">
      <c r="A20084" s="27"/>
    </row>
    <row r="20085" spans="1:1">
      <c r="A20085" s="27"/>
    </row>
    <row r="20086" spans="1:1">
      <c r="A20086" s="27"/>
    </row>
    <row r="20087" spans="1:1">
      <c r="A20087" s="27"/>
    </row>
    <row r="20088" spans="1:1">
      <c r="A20088" s="27"/>
    </row>
    <row r="20089" spans="1:1">
      <c r="A20089" s="27"/>
    </row>
    <row r="20090" spans="1:1">
      <c r="A20090" s="27"/>
    </row>
    <row r="20091" spans="1:1">
      <c r="A20091" s="27"/>
    </row>
    <row r="20092" spans="1:1">
      <c r="A20092" s="27"/>
    </row>
    <row r="20093" spans="1:1">
      <c r="A20093" s="27"/>
    </row>
    <row r="20094" spans="1:1">
      <c r="A20094" s="27"/>
    </row>
    <row r="20095" spans="1:1">
      <c r="A20095" s="27"/>
    </row>
    <row r="20096" spans="1:1">
      <c r="A20096" s="27"/>
    </row>
    <row r="20097" spans="1:1">
      <c r="A20097" s="27"/>
    </row>
    <row r="20098" spans="1:1">
      <c r="A20098" s="27"/>
    </row>
    <row r="20099" spans="1:1">
      <c r="A20099" s="27"/>
    </row>
    <row r="20100" spans="1:1">
      <c r="A20100" s="27"/>
    </row>
    <row r="20101" spans="1:1">
      <c r="A20101" s="27"/>
    </row>
    <row r="20102" spans="1:1">
      <c r="A20102" s="27"/>
    </row>
    <row r="20103" spans="1:1">
      <c r="A20103" s="27"/>
    </row>
    <row r="20104" spans="1:1">
      <c r="A20104" s="27"/>
    </row>
    <row r="20105" spans="1:1">
      <c r="A20105" s="27"/>
    </row>
    <row r="20106" spans="1:1">
      <c r="A20106" s="27"/>
    </row>
    <row r="20107" spans="1:1">
      <c r="A20107" s="27"/>
    </row>
    <row r="20108" spans="1:1">
      <c r="A20108" s="27"/>
    </row>
    <row r="20109" spans="1:1">
      <c r="A20109" s="27"/>
    </row>
    <row r="20110" spans="1:1">
      <c r="A20110" s="27"/>
    </row>
    <row r="20111" spans="1:1">
      <c r="A20111" s="27"/>
    </row>
    <row r="20112" spans="1:1">
      <c r="A20112" s="27"/>
    </row>
    <row r="20113" spans="1:1">
      <c r="A20113" s="27"/>
    </row>
    <row r="20114" spans="1:1">
      <c r="A20114" s="27"/>
    </row>
    <row r="20115" spans="1:1">
      <c r="A20115" s="27"/>
    </row>
    <row r="20116" spans="1:1">
      <c r="A20116" s="27"/>
    </row>
    <row r="20117" spans="1:1">
      <c r="A20117" s="27"/>
    </row>
    <row r="20118" spans="1:1">
      <c r="A20118" s="27"/>
    </row>
    <row r="20119" spans="1:1">
      <c r="A20119" s="27"/>
    </row>
    <row r="20120" spans="1:1">
      <c r="A20120" s="27"/>
    </row>
    <row r="20121" spans="1:1">
      <c r="A20121" s="27"/>
    </row>
    <row r="20122" spans="1:1">
      <c r="A20122" s="27"/>
    </row>
    <row r="20123" spans="1:1">
      <c r="A20123" s="27"/>
    </row>
    <row r="20124" spans="1:1">
      <c r="A20124" s="27"/>
    </row>
    <row r="20125" spans="1:1">
      <c r="A20125" s="27"/>
    </row>
    <row r="20126" spans="1:1">
      <c r="A20126" s="27"/>
    </row>
    <row r="20127" spans="1:1">
      <c r="A20127" s="27"/>
    </row>
    <row r="20128" spans="1:1">
      <c r="A20128" s="27"/>
    </row>
    <row r="20129" spans="1:1">
      <c r="A20129" s="27"/>
    </row>
    <row r="20130" spans="1:1">
      <c r="A20130" s="27"/>
    </row>
    <row r="20131" spans="1:1">
      <c r="A20131" s="27"/>
    </row>
    <row r="20132" spans="1:1">
      <c r="A20132" s="27"/>
    </row>
    <row r="20133" spans="1:1">
      <c r="A20133" s="27"/>
    </row>
    <row r="20134" spans="1:1">
      <c r="A20134" s="27"/>
    </row>
    <row r="20135" spans="1:1">
      <c r="A20135" s="27"/>
    </row>
    <row r="20136" spans="1:1">
      <c r="A20136" s="27"/>
    </row>
    <row r="20137" spans="1:1">
      <c r="A20137" s="27"/>
    </row>
    <row r="20138" spans="1:1">
      <c r="A20138" s="27"/>
    </row>
    <row r="20139" spans="1:1">
      <c r="A20139" s="27"/>
    </row>
    <row r="20140" spans="1:1">
      <c r="A20140" s="27"/>
    </row>
    <row r="20141" spans="1:1">
      <c r="A20141" s="27"/>
    </row>
    <row r="20142" spans="1:1">
      <c r="A20142" s="27"/>
    </row>
    <row r="20143" spans="1:1">
      <c r="A20143" s="27"/>
    </row>
    <row r="20144" spans="1:1">
      <c r="A20144" s="27"/>
    </row>
    <row r="20145" spans="1:1">
      <c r="A20145" s="27"/>
    </row>
    <row r="20146" spans="1:1">
      <c r="A20146" s="27"/>
    </row>
    <row r="20147" spans="1:1">
      <c r="A20147" s="27"/>
    </row>
    <row r="20148" spans="1:1">
      <c r="A20148" s="27"/>
    </row>
    <row r="20149" spans="1:1">
      <c r="A20149" s="27"/>
    </row>
    <row r="20150" spans="1:1">
      <c r="A20150" s="27"/>
    </row>
    <row r="20151" spans="1:1">
      <c r="A20151" s="27"/>
    </row>
    <row r="20152" spans="1:1">
      <c r="A20152" s="27"/>
    </row>
    <row r="20153" spans="1:1">
      <c r="A20153" s="27"/>
    </row>
    <row r="20154" spans="1:1">
      <c r="A20154" s="27"/>
    </row>
    <row r="20155" spans="1:1">
      <c r="A20155" s="27"/>
    </row>
    <row r="20156" spans="1:1">
      <c r="A20156" s="27"/>
    </row>
    <row r="20157" spans="1:1">
      <c r="A20157" s="27"/>
    </row>
    <row r="20158" spans="1:1">
      <c r="A20158" s="27"/>
    </row>
    <row r="20159" spans="1:1">
      <c r="A20159" s="27"/>
    </row>
    <row r="20160" spans="1:1">
      <c r="A20160" s="27"/>
    </row>
    <row r="20161" spans="1:1">
      <c r="A20161" s="27"/>
    </row>
    <row r="20162" spans="1:1">
      <c r="A20162" s="27"/>
    </row>
    <row r="20163" spans="1:1">
      <c r="A20163" s="27"/>
    </row>
    <row r="20164" spans="1:1">
      <c r="A20164" s="27"/>
    </row>
    <row r="20165" spans="1:1">
      <c r="A20165" s="27"/>
    </row>
    <row r="20166" spans="1:1">
      <c r="A20166" s="27"/>
    </row>
    <row r="20167" spans="1:1">
      <c r="A20167" s="27"/>
    </row>
    <row r="20168" spans="1:1">
      <c r="A20168" s="27"/>
    </row>
    <row r="20169" spans="1:1">
      <c r="A20169" s="27"/>
    </row>
    <row r="20170" spans="1:1">
      <c r="A20170" s="27"/>
    </row>
    <row r="20171" spans="1:1">
      <c r="A20171" s="27"/>
    </row>
    <row r="20172" spans="1:1">
      <c r="A20172" s="27"/>
    </row>
    <row r="20173" spans="1:1">
      <c r="A20173" s="27"/>
    </row>
    <row r="20174" spans="1:1">
      <c r="A20174" s="27"/>
    </row>
    <row r="20175" spans="1:1">
      <c r="A20175" s="27"/>
    </row>
    <row r="20176" spans="1:1">
      <c r="A20176" s="27"/>
    </row>
    <row r="20177" spans="1:1">
      <c r="A20177" s="27"/>
    </row>
    <row r="20178" spans="1:1">
      <c r="A20178" s="27"/>
    </row>
    <row r="20179" spans="1:1">
      <c r="A20179" s="27"/>
    </row>
    <row r="20180" spans="1:1">
      <c r="A20180" s="27"/>
    </row>
    <row r="20181" spans="1:1">
      <c r="A20181" s="27"/>
    </row>
    <row r="20182" spans="1:1">
      <c r="A20182" s="27"/>
    </row>
    <row r="20183" spans="1:1">
      <c r="A20183" s="27"/>
    </row>
    <row r="20184" spans="1:1">
      <c r="A20184" s="27"/>
    </row>
    <row r="20185" spans="1:1">
      <c r="A20185" s="27"/>
    </row>
    <row r="20186" spans="1:1">
      <c r="A20186" s="27"/>
    </row>
    <row r="20187" spans="1:1">
      <c r="A20187" s="27"/>
    </row>
    <row r="20188" spans="1:1">
      <c r="A20188" s="27"/>
    </row>
    <row r="20189" spans="1:1">
      <c r="A20189" s="27"/>
    </row>
    <row r="20190" spans="1:1">
      <c r="A20190" s="27"/>
    </row>
    <row r="20191" spans="1:1">
      <c r="A20191" s="27"/>
    </row>
    <row r="20192" spans="1:1">
      <c r="A20192" s="27"/>
    </row>
    <row r="20193" spans="1:1">
      <c r="A20193" s="27"/>
    </row>
    <row r="20194" spans="1:1">
      <c r="A20194" s="27"/>
    </row>
    <row r="20195" spans="1:1">
      <c r="A20195" s="27"/>
    </row>
    <row r="20196" spans="1:1">
      <c r="A20196" s="27"/>
    </row>
    <row r="20197" spans="1:1">
      <c r="A20197" s="27"/>
    </row>
    <row r="20198" spans="1:1">
      <c r="A20198" s="27"/>
    </row>
    <row r="20199" spans="1:1">
      <c r="A20199" s="27"/>
    </row>
    <row r="20200" spans="1:1">
      <c r="A20200" s="27"/>
    </row>
    <row r="20201" spans="1:1">
      <c r="A20201" s="27"/>
    </row>
    <row r="20202" spans="1:1">
      <c r="A20202" s="27"/>
    </row>
    <row r="20203" spans="1:1">
      <c r="A20203" s="27"/>
    </row>
    <row r="20204" spans="1:1">
      <c r="A20204" s="27"/>
    </row>
    <row r="20205" spans="1:1">
      <c r="A20205" s="27"/>
    </row>
    <row r="20206" spans="1:1">
      <c r="A20206" s="27"/>
    </row>
    <row r="20207" spans="1:1">
      <c r="A20207" s="27"/>
    </row>
    <row r="20208" spans="1:1">
      <c r="A20208" s="27"/>
    </row>
    <row r="20209" spans="1:1">
      <c r="A20209" s="27"/>
    </row>
    <row r="20210" spans="1:1">
      <c r="A20210" s="27"/>
    </row>
    <row r="20211" spans="1:1">
      <c r="A20211" s="27"/>
    </row>
    <row r="20212" spans="1:1">
      <c r="A20212" s="27"/>
    </row>
    <row r="20213" spans="1:1">
      <c r="A20213" s="27"/>
    </row>
    <row r="20214" spans="1:1">
      <c r="A20214" s="27"/>
    </row>
    <row r="20215" spans="1:1">
      <c r="A20215" s="27"/>
    </row>
    <row r="20216" spans="1:1">
      <c r="A20216" s="27"/>
    </row>
    <row r="20217" spans="1:1">
      <c r="A20217" s="27"/>
    </row>
    <row r="20218" spans="1:1">
      <c r="A20218" s="27"/>
    </row>
    <row r="20219" spans="1:1">
      <c r="A20219" s="27"/>
    </row>
    <row r="20220" spans="1:1">
      <c r="A20220" s="27"/>
    </row>
    <row r="20221" spans="1:1">
      <c r="A20221" s="27"/>
    </row>
    <row r="20222" spans="1:1">
      <c r="A20222" s="27"/>
    </row>
    <row r="20223" spans="1:1">
      <c r="A20223" s="27"/>
    </row>
    <row r="20224" spans="1:1">
      <c r="A20224" s="27"/>
    </row>
    <row r="20225" spans="1:1">
      <c r="A20225" s="27"/>
    </row>
    <row r="20226" spans="1:1">
      <c r="A20226" s="27"/>
    </row>
    <row r="20227" spans="1:1">
      <c r="A20227" s="27"/>
    </row>
    <row r="20228" spans="1:1">
      <c r="A20228" s="27"/>
    </row>
    <row r="20229" spans="1:1">
      <c r="A20229" s="27"/>
    </row>
    <row r="20230" spans="1:1">
      <c r="A20230" s="27"/>
    </row>
    <row r="20231" spans="1:1">
      <c r="A20231" s="27"/>
    </row>
    <row r="20232" spans="1:1">
      <c r="A20232" s="27"/>
    </row>
    <row r="20233" spans="1:1">
      <c r="A20233" s="27"/>
    </row>
    <row r="20234" spans="1:1">
      <c r="A20234" s="27"/>
    </row>
    <row r="20235" spans="1:1">
      <c r="A20235" s="27"/>
    </row>
    <row r="20236" spans="1:1">
      <c r="A20236" s="27"/>
    </row>
    <row r="20237" spans="1:1">
      <c r="A20237" s="27"/>
    </row>
    <row r="20238" spans="1:1">
      <c r="A20238" s="27"/>
    </row>
    <row r="20239" spans="1:1">
      <c r="A20239" s="27"/>
    </row>
    <row r="20240" spans="1:1">
      <c r="A20240" s="27"/>
    </row>
    <row r="20241" spans="1:1">
      <c r="A20241" s="27"/>
    </row>
    <row r="20242" spans="1:1">
      <c r="A20242" s="27"/>
    </row>
    <row r="20243" spans="1:1">
      <c r="A20243" s="27"/>
    </row>
    <row r="20244" spans="1:1">
      <c r="A20244" s="27"/>
    </row>
    <row r="20245" spans="1:1">
      <c r="A20245" s="27"/>
    </row>
    <row r="20246" spans="1:1">
      <c r="A20246" s="27"/>
    </row>
    <row r="20247" spans="1:1">
      <c r="A20247" s="27"/>
    </row>
    <row r="20248" spans="1:1">
      <c r="A20248" s="27"/>
    </row>
    <row r="20249" spans="1:1">
      <c r="A20249" s="27"/>
    </row>
    <row r="20250" spans="1:1">
      <c r="A20250" s="27"/>
    </row>
    <row r="20251" spans="1:1">
      <c r="A20251" s="27"/>
    </row>
    <row r="20252" spans="1:1">
      <c r="A20252" s="27"/>
    </row>
    <row r="20253" spans="1:1">
      <c r="A20253" s="27"/>
    </row>
    <row r="20254" spans="1:1">
      <c r="A20254" s="27"/>
    </row>
    <row r="20255" spans="1:1">
      <c r="A20255" s="27"/>
    </row>
    <row r="20256" spans="1:1">
      <c r="A20256" s="27"/>
    </row>
    <row r="20257" spans="1:1">
      <c r="A20257" s="27"/>
    </row>
    <row r="20258" spans="1:1">
      <c r="A20258" s="27"/>
    </row>
    <row r="20259" spans="1:1">
      <c r="A20259" s="27"/>
    </row>
    <row r="20260" spans="1:1">
      <c r="A20260" s="27"/>
    </row>
    <row r="20261" spans="1:1">
      <c r="A20261" s="27"/>
    </row>
    <row r="20262" spans="1:1">
      <c r="A20262" s="27"/>
    </row>
    <row r="20263" spans="1:1">
      <c r="A20263" s="27"/>
    </row>
    <row r="20264" spans="1:1">
      <c r="A20264" s="27"/>
    </row>
    <row r="20265" spans="1:1">
      <c r="A20265" s="27"/>
    </row>
    <row r="20266" spans="1:1">
      <c r="A20266" s="27"/>
    </row>
    <row r="20267" spans="1:1">
      <c r="A20267" s="27"/>
    </row>
    <row r="20268" spans="1:1">
      <c r="A20268" s="27"/>
    </row>
    <row r="20269" spans="1:1">
      <c r="A20269" s="27"/>
    </row>
    <row r="20270" spans="1:1">
      <c r="A20270" s="27"/>
    </row>
    <row r="20271" spans="1:1">
      <c r="A20271" s="27"/>
    </row>
    <row r="20272" spans="1:1">
      <c r="A20272" s="27"/>
    </row>
    <row r="20273" spans="1:1">
      <c r="A20273" s="27"/>
    </row>
    <row r="20274" spans="1:1">
      <c r="A20274" s="27"/>
    </row>
    <row r="20275" spans="1:1">
      <c r="A20275" s="27"/>
    </row>
    <row r="20276" spans="1:1">
      <c r="A20276" s="27"/>
    </row>
    <row r="20277" spans="1:1">
      <c r="A20277" s="27"/>
    </row>
    <row r="20278" spans="1:1">
      <c r="A20278" s="27"/>
    </row>
    <row r="20279" spans="1:1">
      <c r="A20279" s="27"/>
    </row>
    <row r="20280" spans="1:1">
      <c r="A20280" s="27"/>
    </row>
    <row r="20281" spans="1:1">
      <c r="A20281" s="27"/>
    </row>
    <row r="20282" spans="1:1">
      <c r="A20282" s="27"/>
    </row>
    <row r="20283" spans="1:1">
      <c r="A20283" s="27"/>
    </row>
    <row r="20284" spans="1:1">
      <c r="A20284" s="27"/>
    </row>
    <row r="20285" spans="1:1">
      <c r="A20285" s="27"/>
    </row>
    <row r="20286" spans="1:1">
      <c r="A20286" s="27"/>
    </row>
    <row r="20287" spans="1:1">
      <c r="A20287" s="27"/>
    </row>
    <row r="20288" spans="1:1">
      <c r="A20288" s="27"/>
    </row>
    <row r="20289" spans="1:1">
      <c r="A20289" s="27"/>
    </row>
    <row r="20290" spans="1:1">
      <c r="A20290" s="27"/>
    </row>
    <row r="20291" spans="1:1">
      <c r="A20291" s="27"/>
    </row>
    <row r="20292" spans="1:1">
      <c r="A20292" s="27"/>
    </row>
    <row r="20293" spans="1:1">
      <c r="A20293" s="27"/>
    </row>
    <row r="20294" spans="1:1">
      <c r="A20294" s="27"/>
    </row>
    <row r="20295" spans="1:1">
      <c r="A20295" s="27"/>
    </row>
    <row r="20296" spans="1:1">
      <c r="A20296" s="27"/>
    </row>
    <row r="20297" spans="1:1">
      <c r="A20297" s="27"/>
    </row>
    <row r="20298" spans="1:1">
      <c r="A20298" s="27"/>
    </row>
    <row r="20299" spans="1:1">
      <c r="A20299" s="27"/>
    </row>
    <row r="20300" spans="1:1">
      <c r="A20300" s="27"/>
    </row>
    <row r="20301" spans="1:1">
      <c r="A20301" s="27"/>
    </row>
    <row r="20302" spans="1:1">
      <c r="A20302" s="27"/>
    </row>
    <row r="20303" spans="1:1">
      <c r="A20303" s="27"/>
    </row>
    <row r="20304" spans="1:1">
      <c r="A20304" s="27"/>
    </row>
    <row r="20305" spans="1:1">
      <c r="A20305" s="27"/>
    </row>
    <row r="20306" spans="1:1">
      <c r="A20306" s="27"/>
    </row>
    <row r="20307" spans="1:1">
      <c r="A20307" s="27"/>
    </row>
    <row r="20308" spans="1:1">
      <c r="A20308" s="27"/>
    </row>
    <row r="20309" spans="1:1">
      <c r="A20309" s="27"/>
    </row>
    <row r="20310" spans="1:1">
      <c r="A20310" s="27"/>
    </row>
    <row r="20311" spans="1:1">
      <c r="A20311" s="27"/>
    </row>
    <row r="20312" spans="1:1">
      <c r="A20312" s="27"/>
    </row>
    <row r="20313" spans="1:1">
      <c r="A20313" s="27"/>
    </row>
    <row r="20314" spans="1:1">
      <c r="A20314" s="27"/>
    </row>
    <row r="20315" spans="1:1">
      <c r="A20315" s="27"/>
    </row>
    <row r="20316" spans="1:1">
      <c r="A20316" s="27"/>
    </row>
    <row r="20317" spans="1:1">
      <c r="A20317" s="27"/>
    </row>
    <row r="20318" spans="1:1">
      <c r="A20318" s="27"/>
    </row>
    <row r="20319" spans="1:1">
      <c r="A20319" s="27"/>
    </row>
    <row r="20320" spans="1:1">
      <c r="A20320" s="27"/>
    </row>
    <row r="20321" spans="1:1">
      <c r="A20321" s="27"/>
    </row>
    <row r="20322" spans="1:1">
      <c r="A20322" s="27"/>
    </row>
    <row r="20323" spans="1:1">
      <c r="A20323" s="27"/>
    </row>
    <row r="20324" spans="1:1">
      <c r="A20324" s="27"/>
    </row>
    <row r="20325" spans="1:1">
      <c r="A20325" s="27"/>
    </row>
    <row r="20326" spans="1:1">
      <c r="A20326" s="27"/>
    </row>
    <row r="20327" spans="1:1">
      <c r="A20327" s="27"/>
    </row>
    <row r="20328" spans="1:1">
      <c r="A20328" s="27"/>
    </row>
    <row r="20329" spans="1:1">
      <c r="A20329" s="27"/>
    </row>
    <row r="20330" spans="1:1">
      <c r="A20330" s="27"/>
    </row>
    <row r="20331" spans="1:1">
      <c r="A20331" s="27"/>
    </row>
    <row r="20332" spans="1:1">
      <c r="A20332" s="27"/>
    </row>
    <row r="20333" spans="1:1">
      <c r="A20333" s="27"/>
    </row>
    <row r="20334" spans="1:1">
      <c r="A20334" s="27"/>
    </row>
    <row r="20335" spans="1:1">
      <c r="A20335" s="27"/>
    </row>
    <row r="20336" spans="1:1">
      <c r="A20336" s="27"/>
    </row>
    <row r="20337" spans="1:1">
      <c r="A20337" s="27"/>
    </row>
    <row r="20338" spans="1:1">
      <c r="A20338" s="27"/>
    </row>
    <row r="20339" spans="1:1">
      <c r="A20339" s="27"/>
    </row>
    <row r="20340" spans="1:1">
      <c r="A20340" s="27"/>
    </row>
    <row r="20341" spans="1:1">
      <c r="A20341" s="27"/>
    </row>
    <row r="20342" spans="1:1">
      <c r="A20342" s="27"/>
    </row>
    <row r="20343" spans="1:1">
      <c r="A20343" s="27"/>
    </row>
    <row r="20344" spans="1:1">
      <c r="A20344" s="27"/>
    </row>
    <row r="20345" spans="1:1">
      <c r="A20345" s="27"/>
    </row>
    <row r="20346" spans="1:1">
      <c r="A20346" s="27"/>
    </row>
    <row r="20347" spans="1:1">
      <c r="A20347" s="27"/>
    </row>
    <row r="20348" spans="1:1">
      <c r="A20348" s="27"/>
    </row>
    <row r="20349" spans="1:1">
      <c r="A20349" s="27"/>
    </row>
    <row r="20350" spans="1:1">
      <c r="A20350" s="27"/>
    </row>
    <row r="20351" spans="1:1">
      <c r="A20351" s="27"/>
    </row>
    <row r="20352" spans="1:1">
      <c r="A20352" s="27"/>
    </row>
    <row r="20353" spans="1:1">
      <c r="A20353" s="27"/>
    </row>
    <row r="20354" spans="1:1">
      <c r="A20354" s="27"/>
    </row>
    <row r="20355" spans="1:1">
      <c r="A20355" s="27"/>
    </row>
    <row r="20356" spans="1:1">
      <c r="A20356" s="27"/>
    </row>
    <row r="20357" spans="1:1">
      <c r="A20357" s="27"/>
    </row>
    <row r="20358" spans="1:1">
      <c r="A20358" s="27"/>
    </row>
    <row r="20359" spans="1:1">
      <c r="A20359" s="27"/>
    </row>
    <row r="20360" spans="1:1">
      <c r="A20360" s="27"/>
    </row>
    <row r="20361" spans="1:1">
      <c r="A20361" s="27"/>
    </row>
    <row r="20362" spans="1:1">
      <c r="A20362" s="27"/>
    </row>
    <row r="20363" spans="1:1">
      <c r="A20363" s="27"/>
    </row>
    <row r="20364" spans="1:1">
      <c r="A20364" s="27"/>
    </row>
    <row r="20365" spans="1:1">
      <c r="A20365" s="27"/>
    </row>
    <row r="20366" spans="1:1">
      <c r="A20366" s="27"/>
    </row>
    <row r="20367" spans="1:1">
      <c r="A20367" s="27"/>
    </row>
    <row r="20368" spans="1:1">
      <c r="A20368" s="27"/>
    </row>
    <row r="20369" spans="1:1">
      <c r="A20369" s="27"/>
    </row>
    <row r="20370" spans="1:1">
      <c r="A20370" s="27"/>
    </row>
    <row r="20371" spans="1:1">
      <c r="A20371" s="27"/>
    </row>
    <row r="20372" spans="1:1">
      <c r="A20372" s="27"/>
    </row>
    <row r="20373" spans="1:1">
      <c r="A20373" s="27"/>
    </row>
    <row r="20374" spans="1:1">
      <c r="A20374" s="27"/>
    </row>
    <row r="20375" spans="1:1">
      <c r="A20375" s="27"/>
    </row>
    <row r="20376" spans="1:1">
      <c r="A20376" s="27"/>
    </row>
    <row r="20377" spans="1:1">
      <c r="A20377" s="27"/>
    </row>
    <row r="20378" spans="1:1">
      <c r="A20378" s="27"/>
    </row>
    <row r="20379" spans="1:1">
      <c r="A20379" s="27"/>
    </row>
    <row r="20380" spans="1:1">
      <c r="A20380" s="27"/>
    </row>
    <row r="20381" spans="1:1">
      <c r="A20381" s="27"/>
    </row>
    <row r="20382" spans="1:1">
      <c r="A20382" s="27"/>
    </row>
    <row r="20383" spans="1:1">
      <c r="A20383" s="27"/>
    </row>
    <row r="20384" spans="1:1">
      <c r="A20384" s="27"/>
    </row>
    <row r="20385" spans="1:1">
      <c r="A20385" s="27"/>
    </row>
    <row r="20386" spans="1:1">
      <c r="A20386" s="27"/>
    </row>
    <row r="20387" spans="1:1">
      <c r="A20387" s="27"/>
    </row>
    <row r="20388" spans="1:1">
      <c r="A20388" s="27"/>
    </row>
    <row r="20389" spans="1:1">
      <c r="A20389" s="27"/>
    </row>
    <row r="20390" spans="1:1">
      <c r="A20390" s="27"/>
    </row>
    <row r="20391" spans="1:1">
      <c r="A20391" s="27"/>
    </row>
    <row r="20392" spans="1:1">
      <c r="A20392" s="27"/>
    </row>
    <row r="20393" spans="1:1">
      <c r="A20393" s="27"/>
    </row>
    <row r="20394" spans="1:1">
      <c r="A20394" s="27"/>
    </row>
    <row r="20395" spans="1:1">
      <c r="A20395" s="27"/>
    </row>
    <row r="20396" spans="1:1">
      <c r="A20396" s="27"/>
    </row>
    <row r="20397" spans="1:1">
      <c r="A20397" s="27"/>
    </row>
    <row r="20398" spans="1:1">
      <c r="A20398" s="27"/>
    </row>
    <row r="20399" spans="1:1">
      <c r="A20399" s="27"/>
    </row>
    <row r="20400" spans="1:1">
      <c r="A20400" s="27"/>
    </row>
    <row r="20401" spans="1:1">
      <c r="A20401" s="27"/>
    </row>
    <row r="20402" spans="1:1">
      <c r="A20402" s="27"/>
    </row>
    <row r="20403" spans="1:1">
      <c r="A20403" s="27"/>
    </row>
    <row r="20404" spans="1:1">
      <c r="A20404" s="27"/>
    </row>
    <row r="20405" spans="1:1">
      <c r="A20405" s="27"/>
    </row>
    <row r="20406" spans="1:1">
      <c r="A20406" s="27"/>
    </row>
    <row r="20407" spans="1:1">
      <c r="A20407" s="27"/>
    </row>
    <row r="20408" spans="1:1">
      <c r="A20408" s="27"/>
    </row>
    <row r="20409" spans="1:1">
      <c r="A20409" s="27"/>
    </row>
    <row r="20410" spans="1:1">
      <c r="A20410" s="27"/>
    </row>
    <row r="20411" spans="1:1">
      <c r="A20411" s="27"/>
    </row>
    <row r="20412" spans="1:1">
      <c r="A20412" s="27"/>
    </row>
    <row r="20413" spans="1:1">
      <c r="A20413" s="27"/>
    </row>
    <row r="20414" spans="1:1">
      <c r="A20414" s="27"/>
    </row>
    <row r="20415" spans="1:1">
      <c r="A20415" s="27"/>
    </row>
    <row r="20416" spans="1:1">
      <c r="A20416" s="27"/>
    </row>
    <row r="20417" spans="1:1">
      <c r="A20417" s="27"/>
    </row>
    <row r="20418" spans="1:1">
      <c r="A20418" s="27"/>
    </row>
    <row r="20419" spans="1:1">
      <c r="A20419" s="27"/>
    </row>
    <row r="20420" spans="1:1">
      <c r="A20420" s="27"/>
    </row>
    <row r="20421" spans="1:1">
      <c r="A20421" s="27"/>
    </row>
    <row r="20422" spans="1:1">
      <c r="A20422" s="27"/>
    </row>
    <row r="20423" spans="1:1">
      <c r="A20423" s="27"/>
    </row>
    <row r="20424" spans="1:1">
      <c r="A20424" s="27"/>
    </row>
    <row r="20425" spans="1:1">
      <c r="A20425" s="27"/>
    </row>
    <row r="20426" spans="1:1">
      <c r="A20426" s="27"/>
    </row>
    <row r="20427" spans="1:1">
      <c r="A20427" s="27"/>
    </row>
    <row r="20428" spans="1:1">
      <c r="A20428" s="27"/>
    </row>
    <row r="20429" spans="1:1">
      <c r="A20429" s="27"/>
    </row>
    <row r="20430" spans="1:1">
      <c r="A20430" s="27"/>
    </row>
    <row r="20431" spans="1:1">
      <c r="A20431" s="27"/>
    </row>
    <row r="20432" spans="1:1">
      <c r="A20432" s="27"/>
    </row>
    <row r="20433" spans="1:1">
      <c r="A20433" s="27"/>
    </row>
    <row r="20434" spans="1:1">
      <c r="A20434" s="27"/>
    </row>
    <row r="20435" spans="1:1">
      <c r="A20435" s="27"/>
    </row>
    <row r="20436" spans="1:1">
      <c r="A20436" s="27"/>
    </row>
    <row r="20437" spans="1:1">
      <c r="A20437" s="27"/>
    </row>
    <row r="20438" spans="1:1">
      <c r="A20438" s="27"/>
    </row>
    <row r="20439" spans="1:1">
      <c r="A20439" s="27"/>
    </row>
    <row r="20440" spans="1:1">
      <c r="A20440" s="27"/>
    </row>
    <row r="20441" spans="1:1">
      <c r="A20441" s="27"/>
    </row>
    <row r="20442" spans="1:1">
      <c r="A20442" s="27"/>
    </row>
    <row r="20443" spans="1:1">
      <c r="A20443" s="27"/>
    </row>
    <row r="20444" spans="1:1">
      <c r="A20444" s="27"/>
    </row>
    <row r="20445" spans="1:1">
      <c r="A20445" s="27"/>
    </row>
    <row r="20446" spans="1:1">
      <c r="A20446" s="27"/>
    </row>
    <row r="20447" spans="1:1">
      <c r="A20447" s="27"/>
    </row>
    <row r="20448" spans="1:1">
      <c r="A20448" s="27"/>
    </row>
    <row r="20449" spans="1:1">
      <c r="A20449" s="27"/>
    </row>
    <row r="20450" spans="1:1">
      <c r="A20450" s="27"/>
    </row>
    <row r="20451" spans="1:1">
      <c r="A20451" s="27"/>
    </row>
    <row r="20452" spans="1:1">
      <c r="A20452" s="27"/>
    </row>
    <row r="20453" spans="1:1">
      <c r="A20453" s="27"/>
    </row>
    <row r="20454" spans="1:1">
      <c r="A20454" s="27"/>
    </row>
    <row r="20455" spans="1:1">
      <c r="A20455" s="27"/>
    </row>
    <row r="20456" spans="1:1">
      <c r="A20456" s="27"/>
    </row>
    <row r="20457" spans="1:1">
      <c r="A20457" s="27"/>
    </row>
    <row r="20458" spans="1:1">
      <c r="A20458" s="27"/>
    </row>
    <row r="20459" spans="1:1">
      <c r="A20459" s="27"/>
    </row>
    <row r="20460" spans="1:1">
      <c r="A20460" s="27"/>
    </row>
    <row r="20461" spans="1:1">
      <c r="A20461" s="27"/>
    </row>
    <row r="20462" spans="1:1">
      <c r="A20462" s="27"/>
    </row>
    <row r="20463" spans="1:1">
      <c r="A20463" s="27"/>
    </row>
    <row r="20464" spans="1:1">
      <c r="A20464" s="27"/>
    </row>
    <row r="20465" spans="1:1">
      <c r="A20465" s="27"/>
    </row>
    <row r="20466" spans="1:1">
      <c r="A20466" s="27"/>
    </row>
    <row r="20467" spans="1:1">
      <c r="A20467" s="27"/>
    </row>
    <row r="20468" spans="1:1">
      <c r="A20468" s="27"/>
    </row>
    <row r="20469" spans="1:1">
      <c r="A20469" s="27"/>
    </row>
    <row r="20470" spans="1:1">
      <c r="A20470" s="27"/>
    </row>
    <row r="20471" spans="1:1">
      <c r="A20471" s="27"/>
    </row>
    <row r="20472" spans="1:1">
      <c r="A20472" s="27"/>
    </row>
    <row r="20473" spans="1:1">
      <c r="A20473" s="27"/>
    </row>
    <row r="20474" spans="1:1">
      <c r="A20474" s="27"/>
    </row>
    <row r="20475" spans="1:1">
      <c r="A20475" s="27"/>
    </row>
    <row r="20476" spans="1:1">
      <c r="A20476" s="27"/>
    </row>
    <row r="20477" spans="1:1">
      <c r="A20477" s="27"/>
    </row>
    <row r="20478" spans="1:1">
      <c r="A20478" s="27"/>
    </row>
    <row r="20479" spans="1:1">
      <c r="A20479" s="27"/>
    </row>
    <row r="20480" spans="1:1">
      <c r="A20480" s="27"/>
    </row>
    <row r="20481" spans="1:1">
      <c r="A20481" s="27"/>
    </row>
    <row r="20482" spans="1:1">
      <c r="A20482" s="27"/>
    </row>
    <row r="20483" spans="1:1">
      <c r="A20483" s="27"/>
    </row>
    <row r="20484" spans="1:1">
      <c r="A20484" s="27"/>
    </row>
    <row r="20485" spans="1:1">
      <c r="A20485" s="27"/>
    </row>
    <row r="20486" spans="1:1">
      <c r="A20486" s="27"/>
    </row>
    <row r="20487" spans="1:1">
      <c r="A20487" s="27"/>
    </row>
    <row r="20488" spans="1:1">
      <c r="A20488" s="27"/>
    </row>
    <row r="20489" spans="1:1">
      <c r="A20489" s="27"/>
    </row>
    <row r="20490" spans="1:1">
      <c r="A20490" s="27"/>
    </row>
    <row r="20491" spans="1:1">
      <c r="A20491" s="27"/>
    </row>
    <row r="20492" spans="1:1">
      <c r="A20492" s="27"/>
    </row>
    <row r="20493" spans="1:1">
      <c r="A20493" s="27"/>
    </row>
    <row r="20494" spans="1:1">
      <c r="A20494" s="27"/>
    </row>
    <row r="20495" spans="1:1">
      <c r="A20495" s="27"/>
    </row>
    <row r="20496" spans="1:1">
      <c r="A20496" s="27"/>
    </row>
    <row r="20497" spans="1:1">
      <c r="A20497" s="27"/>
    </row>
    <row r="20498" spans="1:1">
      <c r="A20498" s="27"/>
    </row>
    <row r="20499" spans="1:1">
      <c r="A20499" s="27"/>
    </row>
    <row r="20500" spans="1:1">
      <c r="A20500" s="27"/>
    </row>
    <row r="20501" spans="1:1">
      <c r="A20501" s="27"/>
    </row>
    <row r="20502" spans="1:1">
      <c r="A20502" s="27"/>
    </row>
    <row r="20503" spans="1:1">
      <c r="A20503" s="27"/>
    </row>
    <row r="20504" spans="1:1">
      <c r="A20504" s="27"/>
    </row>
    <row r="20505" spans="1:1">
      <c r="A20505" s="27"/>
    </row>
    <row r="20506" spans="1:1">
      <c r="A20506" s="27"/>
    </row>
    <row r="20507" spans="1:1">
      <c r="A20507" s="27"/>
    </row>
    <row r="20508" spans="1:1">
      <c r="A20508" s="27"/>
    </row>
    <row r="20509" spans="1:1">
      <c r="A20509" s="27"/>
    </row>
    <row r="20510" spans="1:1">
      <c r="A20510" s="27"/>
    </row>
    <row r="20511" spans="1:1">
      <c r="A20511" s="27"/>
    </row>
    <row r="20512" spans="1:1">
      <c r="A20512" s="27"/>
    </row>
    <row r="20513" spans="1:1">
      <c r="A20513" s="27"/>
    </row>
    <row r="20514" spans="1:1">
      <c r="A20514" s="27"/>
    </row>
    <row r="20515" spans="1:1">
      <c r="A20515" s="27"/>
    </row>
    <row r="20516" spans="1:1">
      <c r="A20516" s="27"/>
    </row>
    <row r="20517" spans="1:1">
      <c r="A20517" s="27"/>
    </row>
    <row r="20518" spans="1:1">
      <c r="A20518" s="27"/>
    </row>
    <row r="20519" spans="1:1">
      <c r="A20519" s="27"/>
    </row>
    <row r="20520" spans="1:1">
      <c r="A20520" s="27"/>
    </row>
    <row r="20521" spans="1:1">
      <c r="A20521" s="27"/>
    </row>
    <row r="20522" spans="1:1">
      <c r="A20522" s="27"/>
    </row>
    <row r="20523" spans="1:1">
      <c r="A20523" s="27"/>
    </row>
    <row r="20524" spans="1:1">
      <c r="A20524" s="27"/>
    </row>
    <row r="20525" spans="1:1">
      <c r="A20525" s="27"/>
    </row>
    <row r="20526" spans="1:1">
      <c r="A20526" s="27"/>
    </row>
    <row r="20527" spans="1:1">
      <c r="A20527" s="27"/>
    </row>
    <row r="20528" spans="1:1">
      <c r="A20528" s="27"/>
    </row>
    <row r="20529" spans="1:1">
      <c r="A20529" s="27"/>
    </row>
    <row r="20530" spans="1:1">
      <c r="A20530" s="27"/>
    </row>
    <row r="20531" spans="1:1">
      <c r="A20531" s="27"/>
    </row>
    <row r="20532" spans="1:1">
      <c r="A20532" s="27"/>
    </row>
    <row r="20533" spans="1:1">
      <c r="A20533" s="27"/>
    </row>
    <row r="20534" spans="1:1">
      <c r="A20534" s="27"/>
    </row>
    <row r="20535" spans="1:1">
      <c r="A20535" s="27"/>
    </row>
    <row r="20536" spans="1:1">
      <c r="A20536" s="27"/>
    </row>
    <row r="20537" spans="1:1">
      <c r="A20537" s="27"/>
    </row>
    <row r="20538" spans="1:1">
      <c r="A20538" s="27"/>
    </row>
    <row r="20539" spans="1:1">
      <c r="A20539" s="27"/>
    </row>
    <row r="20540" spans="1:1">
      <c r="A20540" s="27"/>
    </row>
    <row r="20541" spans="1:1">
      <c r="A20541" s="27"/>
    </row>
    <row r="20542" spans="1:1">
      <c r="A20542" s="27"/>
    </row>
    <row r="20543" spans="1:1">
      <c r="A20543" s="27"/>
    </row>
    <row r="20544" spans="1:1">
      <c r="A20544" s="27"/>
    </row>
    <row r="20545" spans="1:1">
      <c r="A20545" s="27"/>
    </row>
    <row r="20546" spans="1:1">
      <c r="A20546" s="27"/>
    </row>
    <row r="20547" spans="1:1">
      <c r="A20547" s="27"/>
    </row>
    <row r="20548" spans="1:1">
      <c r="A20548" s="27"/>
    </row>
    <row r="20549" spans="1:1">
      <c r="A20549" s="27"/>
    </row>
    <row r="20550" spans="1:1">
      <c r="A20550" s="27"/>
    </row>
    <row r="20551" spans="1:1">
      <c r="A20551" s="27"/>
    </row>
    <row r="20552" spans="1:1">
      <c r="A20552" s="27"/>
    </row>
    <row r="20553" spans="1:1">
      <c r="A20553" s="27"/>
    </row>
    <row r="20554" spans="1:1">
      <c r="A20554" s="27"/>
    </row>
    <row r="20555" spans="1:1">
      <c r="A20555" s="27"/>
    </row>
    <row r="20556" spans="1:1">
      <c r="A20556" s="27"/>
    </row>
    <row r="20557" spans="1:1">
      <c r="A20557" s="27"/>
    </row>
    <row r="20558" spans="1:1">
      <c r="A20558" s="27"/>
    </row>
    <row r="20559" spans="1:1">
      <c r="A20559" s="27"/>
    </row>
    <row r="20560" spans="1:1">
      <c r="A20560" s="27"/>
    </row>
    <row r="20561" spans="1:1">
      <c r="A20561" s="27"/>
    </row>
    <row r="20562" spans="1:1">
      <c r="A20562" s="27"/>
    </row>
    <row r="20563" spans="1:1">
      <c r="A20563" s="27"/>
    </row>
    <row r="20564" spans="1:1">
      <c r="A20564" s="27"/>
    </row>
    <row r="20565" spans="1:1">
      <c r="A20565" s="27"/>
    </row>
    <row r="20566" spans="1:1">
      <c r="A20566" s="27"/>
    </row>
    <row r="20567" spans="1:1">
      <c r="A20567" s="27"/>
    </row>
    <row r="20568" spans="1:1">
      <c r="A20568" s="27"/>
    </row>
    <row r="20569" spans="1:1">
      <c r="A20569" s="27"/>
    </row>
    <row r="20570" spans="1:1">
      <c r="A20570" s="27"/>
    </row>
    <row r="20571" spans="1:1">
      <c r="A20571" s="27"/>
    </row>
    <row r="20572" spans="1:1">
      <c r="A20572" s="27"/>
    </row>
    <row r="20573" spans="1:1">
      <c r="A20573" s="27"/>
    </row>
    <row r="20574" spans="1:1">
      <c r="A20574" s="27"/>
    </row>
    <row r="20575" spans="1:1">
      <c r="A20575" s="27"/>
    </row>
    <row r="20576" spans="1:1">
      <c r="A20576" s="27"/>
    </row>
    <row r="20577" spans="1:1">
      <c r="A20577" s="27"/>
    </row>
    <row r="20578" spans="1:1">
      <c r="A20578" s="27"/>
    </row>
    <row r="20579" spans="1:1">
      <c r="A20579" s="27"/>
    </row>
    <row r="20580" spans="1:1">
      <c r="A20580" s="27"/>
    </row>
    <row r="20581" spans="1:1">
      <c r="A20581" s="27"/>
    </row>
    <row r="20582" spans="1:1">
      <c r="A20582" s="27"/>
    </row>
    <row r="20583" spans="1:1">
      <c r="A20583" s="27"/>
    </row>
    <row r="20584" spans="1:1">
      <c r="A20584" s="27"/>
    </row>
    <row r="20585" spans="1:1">
      <c r="A20585" s="27"/>
    </row>
    <row r="20586" spans="1:1">
      <c r="A20586" s="27"/>
    </row>
    <row r="20587" spans="1:1">
      <c r="A20587" s="27"/>
    </row>
    <row r="20588" spans="1:1">
      <c r="A20588" s="27"/>
    </row>
    <row r="20589" spans="1:1">
      <c r="A20589" s="27"/>
    </row>
    <row r="20590" spans="1:1">
      <c r="A20590" s="27"/>
    </row>
    <row r="20591" spans="1:1">
      <c r="A20591" s="27"/>
    </row>
    <row r="20592" spans="1:1">
      <c r="A20592" s="27"/>
    </row>
    <row r="20593" spans="1:1">
      <c r="A20593" s="27"/>
    </row>
    <row r="20594" spans="1:1">
      <c r="A20594" s="27"/>
    </row>
    <row r="20595" spans="1:1">
      <c r="A20595" s="27"/>
    </row>
    <row r="20596" spans="1:1">
      <c r="A20596" s="27"/>
    </row>
    <row r="20597" spans="1:1">
      <c r="A20597" s="27"/>
    </row>
    <row r="20598" spans="1:1">
      <c r="A20598" s="27"/>
    </row>
    <row r="20599" spans="1:1">
      <c r="A20599" s="27"/>
    </row>
    <row r="20600" spans="1:1">
      <c r="A20600" s="27"/>
    </row>
    <row r="20601" spans="1:1">
      <c r="A20601" s="27"/>
    </row>
    <row r="20602" spans="1:1">
      <c r="A20602" s="27"/>
    </row>
    <row r="20603" spans="1:1">
      <c r="A20603" s="27"/>
    </row>
    <row r="20604" spans="1:1">
      <c r="A20604" s="27"/>
    </row>
    <row r="20605" spans="1:1">
      <c r="A20605" s="27"/>
    </row>
    <row r="20606" spans="1:1">
      <c r="A20606" s="27"/>
    </row>
    <row r="20607" spans="1:1">
      <c r="A20607" s="27"/>
    </row>
    <row r="20608" spans="1:1">
      <c r="A20608" s="27"/>
    </row>
    <row r="20609" spans="1:1">
      <c r="A20609" s="27"/>
    </row>
    <row r="20610" spans="1:1">
      <c r="A20610" s="27"/>
    </row>
    <row r="20611" spans="1:1">
      <c r="A20611" s="27"/>
    </row>
    <row r="20612" spans="1:1">
      <c r="A20612" s="27"/>
    </row>
    <row r="20613" spans="1:1">
      <c r="A20613" s="27"/>
    </row>
    <row r="20614" spans="1:1">
      <c r="A20614" s="27"/>
    </row>
    <row r="20615" spans="1:1">
      <c r="A20615" s="27"/>
    </row>
    <row r="20616" spans="1:1">
      <c r="A20616" s="27"/>
    </row>
    <row r="20617" spans="1:1">
      <c r="A20617" s="27"/>
    </row>
    <row r="20618" spans="1:1">
      <c r="A20618" s="27"/>
    </row>
    <row r="20619" spans="1:1">
      <c r="A20619" s="27"/>
    </row>
    <row r="20620" spans="1:1">
      <c r="A20620" s="27"/>
    </row>
    <row r="20621" spans="1:1">
      <c r="A20621" s="27"/>
    </row>
    <row r="20622" spans="1:1">
      <c r="A20622" s="27"/>
    </row>
    <row r="20623" spans="1:1">
      <c r="A20623" s="27"/>
    </row>
    <row r="20624" spans="1:1">
      <c r="A20624" s="27"/>
    </row>
    <row r="20625" spans="1:1">
      <c r="A20625" s="27"/>
    </row>
    <row r="20626" spans="1:1">
      <c r="A20626" s="27"/>
    </row>
    <row r="20627" spans="1:1">
      <c r="A20627" s="27"/>
    </row>
    <row r="20628" spans="1:1">
      <c r="A20628" s="27"/>
    </row>
    <row r="20629" spans="1:1">
      <c r="A20629" s="27"/>
    </row>
    <row r="20630" spans="1:1">
      <c r="A20630" s="27"/>
    </row>
    <row r="20631" spans="1:1">
      <c r="A20631" s="27"/>
    </row>
    <row r="20632" spans="1:1">
      <c r="A20632" s="27"/>
    </row>
    <row r="20633" spans="1:1">
      <c r="A20633" s="27"/>
    </row>
    <row r="20634" spans="1:1">
      <c r="A20634" s="27"/>
    </row>
    <row r="20635" spans="1:1">
      <c r="A20635" s="27"/>
    </row>
    <row r="20636" spans="1:1">
      <c r="A20636" s="27"/>
    </row>
    <row r="20637" spans="1:1">
      <c r="A20637" s="27"/>
    </row>
    <row r="20638" spans="1:1">
      <c r="A20638" s="27"/>
    </row>
    <row r="20639" spans="1:1">
      <c r="A20639" s="27"/>
    </row>
    <row r="20640" spans="1:1">
      <c r="A20640" s="27"/>
    </row>
    <row r="20641" spans="1:1">
      <c r="A20641" s="27"/>
    </row>
    <row r="20642" spans="1:1">
      <c r="A20642" s="27"/>
    </row>
    <row r="20643" spans="1:1">
      <c r="A20643" s="27"/>
    </row>
    <row r="20644" spans="1:1">
      <c r="A20644" s="27"/>
    </row>
    <row r="20645" spans="1:1">
      <c r="A20645" s="27"/>
    </row>
    <row r="20646" spans="1:1">
      <c r="A20646" s="27"/>
    </row>
    <row r="20647" spans="1:1">
      <c r="A20647" s="27"/>
    </row>
    <row r="20648" spans="1:1">
      <c r="A20648" s="27"/>
    </row>
    <row r="20649" spans="1:1">
      <c r="A20649" s="27"/>
    </row>
    <row r="20650" spans="1:1">
      <c r="A20650" s="27"/>
    </row>
    <row r="20651" spans="1:1">
      <c r="A20651" s="27"/>
    </row>
    <row r="20652" spans="1:1">
      <c r="A20652" s="27"/>
    </row>
    <row r="20653" spans="1:1">
      <c r="A20653" s="27"/>
    </row>
    <row r="20654" spans="1:1">
      <c r="A20654" s="27"/>
    </row>
    <row r="20655" spans="1:1">
      <c r="A20655" s="27"/>
    </row>
    <row r="20656" spans="1:1">
      <c r="A20656" s="27"/>
    </row>
    <row r="20657" spans="1:1">
      <c r="A20657" s="27"/>
    </row>
    <row r="20658" spans="1:1">
      <c r="A20658" s="27"/>
    </row>
    <row r="20659" spans="1:1">
      <c r="A20659" s="27"/>
    </row>
    <row r="20660" spans="1:1">
      <c r="A20660" s="27"/>
    </row>
    <row r="20661" spans="1:1">
      <c r="A20661" s="27"/>
    </row>
    <row r="20662" spans="1:1">
      <c r="A20662" s="27"/>
    </row>
    <row r="20663" spans="1:1">
      <c r="A20663" s="27"/>
    </row>
    <row r="20664" spans="1:1">
      <c r="A20664" s="27"/>
    </row>
    <row r="20665" spans="1:1">
      <c r="A20665" s="27"/>
    </row>
    <row r="20666" spans="1:1">
      <c r="A20666" s="27"/>
    </row>
    <row r="20667" spans="1:1">
      <c r="A20667" s="27"/>
    </row>
    <row r="20668" spans="1:1">
      <c r="A20668" s="27"/>
    </row>
    <row r="20669" spans="1:1">
      <c r="A20669" s="27"/>
    </row>
    <row r="20670" spans="1:1">
      <c r="A20670" s="27"/>
    </row>
    <row r="20671" spans="1:1">
      <c r="A20671" s="27"/>
    </row>
    <row r="20672" spans="1:1">
      <c r="A20672" s="27"/>
    </row>
    <row r="20673" spans="1:1">
      <c r="A20673" s="27"/>
    </row>
    <row r="20674" spans="1:1">
      <c r="A20674" s="27"/>
    </row>
    <row r="20675" spans="1:1">
      <c r="A20675" s="27"/>
    </row>
    <row r="20676" spans="1:1">
      <c r="A20676" s="27"/>
    </row>
    <row r="20677" spans="1:1">
      <c r="A20677" s="27"/>
    </row>
    <row r="20678" spans="1:1">
      <c r="A20678" s="27"/>
    </row>
    <row r="20679" spans="1:1">
      <c r="A20679" s="27"/>
    </row>
    <row r="20680" spans="1:1">
      <c r="A20680" s="27"/>
    </row>
    <row r="20681" spans="1:1">
      <c r="A20681" s="27"/>
    </row>
    <row r="20682" spans="1:1">
      <c r="A20682" s="27"/>
    </row>
    <row r="20683" spans="1:1">
      <c r="A20683" s="27"/>
    </row>
    <row r="20684" spans="1:1">
      <c r="A20684" s="27"/>
    </row>
    <row r="20685" spans="1:1">
      <c r="A20685" s="27"/>
    </row>
    <row r="20686" spans="1:1">
      <c r="A20686" s="27"/>
    </row>
    <row r="20687" spans="1:1">
      <c r="A20687" s="27"/>
    </row>
    <row r="20688" spans="1:1">
      <c r="A20688" s="27"/>
    </row>
    <row r="20689" spans="1:1">
      <c r="A20689" s="27"/>
    </row>
    <row r="20690" spans="1:1">
      <c r="A20690" s="27"/>
    </row>
    <row r="20691" spans="1:1">
      <c r="A20691" s="27"/>
    </row>
    <row r="20692" spans="1:1">
      <c r="A20692" s="27"/>
    </row>
    <row r="20693" spans="1:1">
      <c r="A20693" s="27"/>
    </row>
    <row r="20694" spans="1:1">
      <c r="A20694" s="27"/>
    </row>
    <row r="20695" spans="1:1">
      <c r="A20695" s="27"/>
    </row>
    <row r="20696" spans="1:1">
      <c r="A20696" s="27"/>
    </row>
    <row r="20697" spans="1:1">
      <c r="A20697" s="27"/>
    </row>
    <row r="20698" spans="1:1">
      <c r="A20698" s="27"/>
    </row>
    <row r="20699" spans="1:1">
      <c r="A20699" s="27"/>
    </row>
    <row r="20700" spans="1:1">
      <c r="A20700" s="27"/>
    </row>
    <row r="20701" spans="1:1">
      <c r="A20701" s="27"/>
    </row>
    <row r="20702" spans="1:1">
      <c r="A20702" s="27"/>
    </row>
    <row r="20703" spans="1:1">
      <c r="A20703" s="27"/>
    </row>
    <row r="20704" spans="1:1">
      <c r="A20704" s="27"/>
    </row>
    <row r="20705" spans="1:1">
      <c r="A20705" s="27"/>
    </row>
    <row r="20706" spans="1:1">
      <c r="A20706" s="27"/>
    </row>
    <row r="20707" spans="1:1">
      <c r="A20707" s="27"/>
    </row>
    <row r="20708" spans="1:1">
      <c r="A20708" s="27"/>
    </row>
    <row r="20709" spans="1:1">
      <c r="A20709" s="27"/>
    </row>
    <row r="20710" spans="1:1">
      <c r="A20710" s="27"/>
    </row>
    <row r="20711" spans="1:1">
      <c r="A20711" s="27"/>
    </row>
    <row r="20712" spans="1:1">
      <c r="A20712" s="27"/>
    </row>
    <row r="20713" spans="1:1">
      <c r="A20713" s="27"/>
    </row>
    <row r="20714" spans="1:1">
      <c r="A20714" s="27"/>
    </row>
    <row r="20715" spans="1:1">
      <c r="A20715" s="27"/>
    </row>
    <row r="20716" spans="1:1">
      <c r="A20716" s="27"/>
    </row>
    <row r="20717" spans="1:1">
      <c r="A20717" s="27"/>
    </row>
    <row r="20718" spans="1:1">
      <c r="A20718" s="27"/>
    </row>
    <row r="20719" spans="1:1">
      <c r="A20719" s="27"/>
    </row>
    <row r="20720" spans="1:1">
      <c r="A20720" s="27"/>
    </row>
    <row r="20721" spans="1:1">
      <c r="A20721" s="27"/>
    </row>
    <row r="20722" spans="1:1">
      <c r="A20722" s="27"/>
    </row>
    <row r="20723" spans="1:1">
      <c r="A20723" s="27"/>
    </row>
    <row r="20724" spans="1:1">
      <c r="A20724" s="27"/>
    </row>
    <row r="20725" spans="1:1">
      <c r="A20725" s="27"/>
    </row>
    <row r="20726" spans="1:1">
      <c r="A20726" s="27"/>
    </row>
    <row r="20727" spans="1:1">
      <c r="A20727" s="27"/>
    </row>
    <row r="20728" spans="1:1">
      <c r="A20728" s="27"/>
    </row>
    <row r="20729" spans="1:1">
      <c r="A20729" s="27"/>
    </row>
    <row r="20730" spans="1:1">
      <c r="A20730" s="27"/>
    </row>
    <row r="20731" spans="1:1">
      <c r="A20731" s="27"/>
    </row>
    <row r="20732" spans="1:1">
      <c r="A20732" s="27"/>
    </row>
    <row r="20733" spans="1:1">
      <c r="A20733" s="27"/>
    </row>
    <row r="20734" spans="1:1">
      <c r="A20734" s="27"/>
    </row>
    <row r="20735" spans="1:1">
      <c r="A20735" s="27"/>
    </row>
    <row r="20736" spans="1:1">
      <c r="A20736" s="27"/>
    </row>
    <row r="20737" spans="1:1">
      <c r="A20737" s="27"/>
    </row>
    <row r="20738" spans="1:1">
      <c r="A20738" s="27"/>
    </row>
    <row r="20739" spans="1:1">
      <c r="A20739" s="27"/>
    </row>
    <row r="20740" spans="1:1">
      <c r="A20740" s="27"/>
    </row>
    <row r="20741" spans="1:1">
      <c r="A20741" s="27"/>
    </row>
    <row r="20742" spans="1:1">
      <c r="A20742" s="27"/>
    </row>
    <row r="20743" spans="1:1">
      <c r="A20743" s="27"/>
    </row>
    <row r="20744" spans="1:1">
      <c r="A20744" s="27"/>
    </row>
    <row r="20745" spans="1:1">
      <c r="A20745" s="27"/>
    </row>
    <row r="20746" spans="1:1">
      <c r="A20746" s="27"/>
    </row>
    <row r="20747" spans="1:1">
      <c r="A20747" s="27"/>
    </row>
    <row r="20748" spans="1:1">
      <c r="A20748" s="27"/>
    </row>
    <row r="20749" spans="1:1">
      <c r="A20749" s="27"/>
    </row>
    <row r="20750" spans="1:1">
      <c r="A20750" s="27"/>
    </row>
    <row r="20751" spans="1:1">
      <c r="A20751" s="27"/>
    </row>
    <row r="20752" spans="1:1">
      <c r="A20752" s="27"/>
    </row>
    <row r="20753" spans="1:1">
      <c r="A20753" s="27"/>
    </row>
    <row r="20754" spans="1:1">
      <c r="A20754" s="27"/>
    </row>
    <row r="20755" spans="1:1">
      <c r="A20755" s="27"/>
    </row>
    <row r="20756" spans="1:1">
      <c r="A20756" s="27"/>
    </row>
    <row r="20757" spans="1:1">
      <c r="A20757" s="27"/>
    </row>
    <row r="20758" spans="1:1">
      <c r="A20758" s="27"/>
    </row>
    <row r="20759" spans="1:1">
      <c r="A20759" s="27"/>
    </row>
    <row r="20760" spans="1:1">
      <c r="A20760" s="27"/>
    </row>
    <row r="20761" spans="1:1">
      <c r="A20761" s="27"/>
    </row>
    <row r="20762" spans="1:1">
      <c r="A20762" s="27"/>
    </row>
    <row r="20763" spans="1:1">
      <c r="A20763" s="27"/>
    </row>
    <row r="20764" spans="1:1">
      <c r="A20764" s="27"/>
    </row>
    <row r="20765" spans="1:1">
      <c r="A20765" s="27"/>
    </row>
    <row r="20766" spans="1:1">
      <c r="A20766" s="27"/>
    </row>
    <row r="20767" spans="1:1">
      <c r="A20767" s="27"/>
    </row>
    <row r="20768" spans="1:1">
      <c r="A20768" s="27"/>
    </row>
    <row r="20769" spans="1:1">
      <c r="A20769" s="27"/>
    </row>
    <row r="20770" spans="1:1">
      <c r="A20770" s="27"/>
    </row>
    <row r="20771" spans="1:1">
      <c r="A20771" s="27"/>
    </row>
    <row r="20772" spans="1:1">
      <c r="A20772" s="27"/>
    </row>
    <row r="20773" spans="1:1">
      <c r="A20773" s="27"/>
    </row>
    <row r="20774" spans="1:1">
      <c r="A20774" s="27"/>
    </row>
    <row r="20775" spans="1:1">
      <c r="A20775" s="27"/>
    </row>
    <row r="20776" spans="1:1">
      <c r="A20776" s="27"/>
    </row>
    <row r="20777" spans="1:1">
      <c r="A20777" s="27"/>
    </row>
    <row r="20778" spans="1:1">
      <c r="A20778" s="27"/>
    </row>
    <row r="20779" spans="1:1">
      <c r="A20779" s="27"/>
    </row>
    <row r="20780" spans="1:1">
      <c r="A20780" s="27"/>
    </row>
    <row r="20781" spans="1:1">
      <c r="A20781" s="27"/>
    </row>
    <row r="20782" spans="1:1">
      <c r="A20782" s="27"/>
    </row>
    <row r="20783" spans="1:1">
      <c r="A20783" s="27"/>
    </row>
    <row r="20784" spans="1:1">
      <c r="A20784" s="27"/>
    </row>
    <row r="20785" spans="1:1">
      <c r="A20785" s="27"/>
    </row>
    <row r="20786" spans="1:1">
      <c r="A20786" s="27"/>
    </row>
    <row r="20787" spans="1:1">
      <c r="A20787" s="27"/>
    </row>
    <row r="20788" spans="1:1">
      <c r="A20788" s="27"/>
    </row>
    <row r="20789" spans="1:1">
      <c r="A20789" s="27"/>
    </row>
    <row r="20790" spans="1:1">
      <c r="A20790" s="27"/>
    </row>
    <row r="20791" spans="1:1">
      <c r="A20791" s="27"/>
    </row>
    <row r="20792" spans="1:1">
      <c r="A20792" s="27"/>
    </row>
    <row r="20793" spans="1:1">
      <c r="A20793" s="27"/>
    </row>
    <row r="20794" spans="1:1">
      <c r="A20794" s="27"/>
    </row>
    <row r="20795" spans="1:1">
      <c r="A20795" s="27"/>
    </row>
    <row r="20796" spans="1:1">
      <c r="A20796" s="27"/>
    </row>
    <row r="20797" spans="1:1">
      <c r="A20797" s="27"/>
    </row>
    <row r="20798" spans="1:1">
      <c r="A20798" s="27"/>
    </row>
    <row r="20799" spans="1:1">
      <c r="A20799" s="27"/>
    </row>
    <row r="20800" spans="1:1">
      <c r="A20800" s="27"/>
    </row>
    <row r="20801" spans="1:1">
      <c r="A20801" s="27"/>
    </row>
    <row r="20802" spans="1:1">
      <c r="A20802" s="27"/>
    </row>
    <row r="20803" spans="1:1">
      <c r="A20803" s="27"/>
    </row>
    <row r="20804" spans="1:1">
      <c r="A20804" s="27"/>
    </row>
    <row r="20805" spans="1:1">
      <c r="A20805" s="27"/>
    </row>
    <row r="20806" spans="1:1">
      <c r="A20806" s="27"/>
    </row>
    <row r="20807" spans="1:1">
      <c r="A20807" s="27"/>
    </row>
    <row r="20808" spans="1:1">
      <c r="A20808" s="27"/>
    </row>
    <row r="20809" spans="1:1">
      <c r="A20809" s="27"/>
    </row>
    <row r="20810" spans="1:1">
      <c r="A20810" s="27"/>
    </row>
    <row r="20811" spans="1:1">
      <c r="A20811" s="27"/>
    </row>
    <row r="20812" spans="1:1">
      <c r="A20812" s="27"/>
    </row>
    <row r="20813" spans="1:1">
      <c r="A20813" s="27"/>
    </row>
    <row r="20814" spans="1:1">
      <c r="A20814" s="27"/>
    </row>
    <row r="20815" spans="1:1">
      <c r="A20815" s="27"/>
    </row>
    <row r="20816" spans="1:1">
      <c r="A20816" s="27"/>
    </row>
    <row r="20817" spans="1:1">
      <c r="A20817" s="27"/>
    </row>
    <row r="20818" spans="1:1">
      <c r="A20818" s="27"/>
    </row>
    <row r="20819" spans="1:1">
      <c r="A20819" s="27"/>
    </row>
    <row r="20820" spans="1:1">
      <c r="A20820" s="27"/>
    </row>
    <row r="20821" spans="1:1">
      <c r="A20821" s="27"/>
    </row>
    <row r="20822" spans="1:1">
      <c r="A20822" s="27"/>
    </row>
    <row r="20823" spans="1:1">
      <c r="A20823" s="27"/>
    </row>
    <row r="20824" spans="1:1">
      <c r="A20824" s="27"/>
    </row>
    <row r="20825" spans="1:1">
      <c r="A20825" s="27"/>
    </row>
    <row r="20826" spans="1:1">
      <c r="A20826" s="27"/>
    </row>
    <row r="20827" spans="1:1">
      <c r="A20827" s="27"/>
    </row>
    <row r="20828" spans="1:1">
      <c r="A20828" s="27"/>
    </row>
    <row r="20829" spans="1:1">
      <c r="A20829" s="27"/>
    </row>
    <row r="20830" spans="1:1">
      <c r="A20830" s="27"/>
    </row>
    <row r="20831" spans="1:1">
      <c r="A20831" s="27"/>
    </row>
    <row r="20832" spans="1:1">
      <c r="A20832" s="27"/>
    </row>
    <row r="20833" spans="1:1">
      <c r="A20833" s="27"/>
    </row>
    <row r="20834" spans="1:1">
      <c r="A20834" s="27"/>
    </row>
    <row r="20835" spans="1:1">
      <c r="A20835" s="27"/>
    </row>
    <row r="20836" spans="1:1">
      <c r="A20836" s="27"/>
    </row>
    <row r="20837" spans="1:1">
      <c r="A20837" s="27"/>
    </row>
    <row r="20838" spans="1:1">
      <c r="A20838" s="27"/>
    </row>
    <row r="20839" spans="1:1">
      <c r="A20839" s="27"/>
    </row>
    <row r="20840" spans="1:1">
      <c r="A20840" s="27"/>
    </row>
    <row r="20841" spans="1:1">
      <c r="A20841" s="27"/>
    </row>
    <row r="20842" spans="1:1">
      <c r="A20842" s="27"/>
    </row>
    <row r="20843" spans="1:1">
      <c r="A20843" s="27"/>
    </row>
    <row r="20844" spans="1:1">
      <c r="A20844" s="27"/>
    </row>
    <row r="20845" spans="1:1">
      <c r="A20845" s="27"/>
    </row>
    <row r="20846" spans="1:1">
      <c r="A20846" s="27"/>
    </row>
    <row r="20847" spans="1:1">
      <c r="A20847" s="27"/>
    </row>
    <row r="20848" spans="1:1">
      <c r="A20848" s="27"/>
    </row>
    <row r="20849" spans="1:1">
      <c r="A20849" s="27"/>
    </row>
    <row r="20850" spans="1:1">
      <c r="A20850" s="27"/>
    </row>
    <row r="20851" spans="1:1">
      <c r="A20851" s="27"/>
    </row>
    <row r="20852" spans="1:1">
      <c r="A20852" s="27"/>
    </row>
    <row r="20853" spans="1:1">
      <c r="A20853" s="27"/>
    </row>
    <row r="20854" spans="1:1">
      <c r="A20854" s="27"/>
    </row>
    <row r="20855" spans="1:1">
      <c r="A20855" s="27"/>
    </row>
    <row r="20856" spans="1:1">
      <c r="A20856" s="27"/>
    </row>
    <row r="20857" spans="1:1">
      <c r="A20857" s="27"/>
    </row>
    <row r="20858" spans="1:1">
      <c r="A20858" s="27"/>
    </row>
    <row r="20859" spans="1:1">
      <c r="A20859" s="27"/>
    </row>
    <row r="20860" spans="1:1">
      <c r="A20860" s="27"/>
    </row>
    <row r="20861" spans="1:1">
      <c r="A20861" s="27"/>
    </row>
    <row r="20862" spans="1:1">
      <c r="A20862" s="27"/>
    </row>
    <row r="20863" spans="1:1">
      <c r="A20863" s="27"/>
    </row>
    <row r="20864" spans="1:1">
      <c r="A20864" s="27"/>
    </row>
    <row r="20865" spans="1:1">
      <c r="A20865" s="27"/>
    </row>
    <row r="20866" spans="1:1">
      <c r="A20866" s="27"/>
    </row>
    <row r="20867" spans="1:1">
      <c r="A20867" s="27"/>
    </row>
    <row r="20868" spans="1:1">
      <c r="A20868" s="27"/>
    </row>
    <row r="20869" spans="1:1">
      <c r="A20869" s="27"/>
    </row>
    <row r="20870" spans="1:1">
      <c r="A20870" s="27"/>
    </row>
    <row r="20871" spans="1:1">
      <c r="A20871" s="27"/>
    </row>
    <row r="20872" spans="1:1">
      <c r="A20872" s="27"/>
    </row>
    <row r="20873" spans="1:1">
      <c r="A20873" s="27"/>
    </row>
    <row r="20874" spans="1:1">
      <c r="A20874" s="27"/>
    </row>
    <row r="20875" spans="1:1">
      <c r="A20875" s="27"/>
    </row>
    <row r="20876" spans="1:1">
      <c r="A20876" s="27"/>
    </row>
    <row r="20877" spans="1:1">
      <c r="A20877" s="27"/>
    </row>
    <row r="20878" spans="1:1">
      <c r="A20878" s="27"/>
    </row>
    <row r="20879" spans="1:1">
      <c r="A20879" s="27"/>
    </row>
    <row r="20880" spans="1:1">
      <c r="A20880" s="27"/>
    </row>
    <row r="20881" spans="1:1">
      <c r="A20881" s="27"/>
    </row>
    <row r="20882" spans="1:1">
      <c r="A20882" s="27"/>
    </row>
    <row r="20883" spans="1:1">
      <c r="A20883" s="27"/>
    </row>
    <row r="20884" spans="1:1">
      <c r="A20884" s="27"/>
    </row>
    <row r="20885" spans="1:1">
      <c r="A20885" s="27"/>
    </row>
    <row r="20886" spans="1:1">
      <c r="A20886" s="27"/>
    </row>
    <row r="20887" spans="1:1">
      <c r="A20887" s="27"/>
    </row>
    <row r="20888" spans="1:1">
      <c r="A20888" s="27"/>
    </row>
    <row r="20889" spans="1:1">
      <c r="A20889" s="27"/>
    </row>
    <row r="20890" spans="1:1">
      <c r="A20890" s="27"/>
    </row>
    <row r="20891" spans="1:1">
      <c r="A20891" s="27"/>
    </row>
    <row r="20892" spans="1:1">
      <c r="A20892" s="27"/>
    </row>
    <row r="20893" spans="1:1">
      <c r="A20893" s="27"/>
    </row>
    <row r="20894" spans="1:1">
      <c r="A20894" s="27"/>
    </row>
    <row r="20895" spans="1:1">
      <c r="A20895" s="27"/>
    </row>
    <row r="20896" spans="1:1">
      <c r="A20896" s="27"/>
    </row>
    <row r="20897" spans="1:1">
      <c r="A20897" s="27"/>
    </row>
    <row r="20898" spans="1:1">
      <c r="A20898" s="27"/>
    </row>
    <row r="20899" spans="1:1">
      <c r="A20899" s="27"/>
    </row>
    <row r="20900" spans="1:1">
      <c r="A20900" s="27"/>
    </row>
    <row r="20901" spans="1:1">
      <c r="A20901" s="27"/>
    </row>
    <row r="20902" spans="1:1">
      <c r="A20902" s="27"/>
    </row>
    <row r="20903" spans="1:1">
      <c r="A20903" s="27"/>
    </row>
    <row r="20904" spans="1:1">
      <c r="A20904" s="27"/>
    </row>
    <row r="20905" spans="1:1">
      <c r="A20905" s="27"/>
    </row>
    <row r="20906" spans="1:1">
      <c r="A20906" s="27"/>
    </row>
    <row r="20907" spans="1:1">
      <c r="A20907" s="27"/>
    </row>
    <row r="20908" spans="1:1">
      <c r="A20908" s="27"/>
    </row>
    <row r="20909" spans="1:1">
      <c r="A20909" s="27"/>
    </row>
    <row r="20910" spans="1:1">
      <c r="A20910" s="27"/>
    </row>
    <row r="20911" spans="1:1">
      <c r="A20911" s="27"/>
    </row>
    <row r="20912" spans="1:1">
      <c r="A20912" s="27"/>
    </row>
    <row r="20913" spans="1:1">
      <c r="A20913" s="27"/>
    </row>
    <row r="20914" spans="1:1">
      <c r="A20914" s="27"/>
    </row>
    <row r="20915" spans="1:1">
      <c r="A20915" s="27"/>
    </row>
    <row r="20916" spans="1:1">
      <c r="A20916" s="27"/>
    </row>
    <row r="20917" spans="1:1">
      <c r="A20917" s="27"/>
    </row>
    <row r="20918" spans="1:1">
      <c r="A20918" s="27"/>
    </row>
    <row r="20919" spans="1:1">
      <c r="A20919" s="27"/>
    </row>
    <row r="20920" spans="1:1">
      <c r="A20920" s="27"/>
    </row>
    <row r="20921" spans="1:1">
      <c r="A20921" s="27"/>
    </row>
    <row r="20922" spans="1:1">
      <c r="A20922" s="27"/>
    </row>
    <row r="20923" spans="1:1">
      <c r="A20923" s="27"/>
    </row>
    <row r="20924" spans="1:1">
      <c r="A20924" s="27"/>
    </row>
    <row r="20925" spans="1:1">
      <c r="A20925" s="27"/>
    </row>
    <row r="20926" spans="1:1">
      <c r="A20926" s="27"/>
    </row>
    <row r="20927" spans="1:1">
      <c r="A20927" s="27"/>
    </row>
    <row r="20928" spans="1:1">
      <c r="A20928" s="27"/>
    </row>
    <row r="20929" spans="1:1">
      <c r="A20929" s="27"/>
    </row>
    <row r="20930" spans="1:1">
      <c r="A20930" s="27"/>
    </row>
    <row r="20931" spans="1:1">
      <c r="A20931" s="27"/>
    </row>
    <row r="20932" spans="1:1">
      <c r="A20932" s="27"/>
    </row>
    <row r="20933" spans="1:1">
      <c r="A20933" s="27"/>
    </row>
    <row r="20934" spans="1:1">
      <c r="A20934" s="27"/>
    </row>
    <row r="20935" spans="1:1">
      <c r="A20935" s="27"/>
    </row>
    <row r="20936" spans="1:1">
      <c r="A20936" s="27"/>
    </row>
    <row r="20937" spans="1:1">
      <c r="A20937" s="27"/>
    </row>
    <row r="20938" spans="1:1">
      <c r="A20938" s="27"/>
    </row>
    <row r="20939" spans="1:1">
      <c r="A20939" s="27"/>
    </row>
    <row r="20940" spans="1:1">
      <c r="A20940" s="27"/>
    </row>
    <row r="20941" spans="1:1">
      <c r="A20941" s="27"/>
    </row>
    <row r="20942" spans="1:1">
      <c r="A20942" s="27"/>
    </row>
    <row r="20943" spans="1:1">
      <c r="A20943" s="27"/>
    </row>
    <row r="20944" spans="1:1">
      <c r="A20944" s="27"/>
    </row>
    <row r="20945" spans="1:1">
      <c r="A20945" s="27"/>
    </row>
    <row r="20946" spans="1:1">
      <c r="A20946" s="27"/>
    </row>
    <row r="20947" spans="1:1">
      <c r="A20947" s="27"/>
    </row>
    <row r="20948" spans="1:1">
      <c r="A20948" s="27"/>
    </row>
    <row r="20949" spans="1:1">
      <c r="A20949" s="27"/>
    </row>
    <row r="20950" spans="1:1">
      <c r="A20950" s="27"/>
    </row>
    <row r="20951" spans="1:1">
      <c r="A20951" s="27"/>
    </row>
    <row r="20952" spans="1:1">
      <c r="A20952" s="27"/>
    </row>
    <row r="20953" spans="1:1">
      <c r="A20953" s="27"/>
    </row>
    <row r="20954" spans="1:1">
      <c r="A20954" s="27"/>
    </row>
    <row r="20955" spans="1:1">
      <c r="A20955" s="27"/>
    </row>
    <row r="20956" spans="1:1">
      <c r="A20956" s="27"/>
    </row>
    <row r="20957" spans="1:1">
      <c r="A20957" s="27"/>
    </row>
    <row r="20958" spans="1:1">
      <c r="A20958" s="27"/>
    </row>
    <row r="20959" spans="1:1">
      <c r="A20959" s="27"/>
    </row>
    <row r="20960" spans="1:1">
      <c r="A20960" s="27"/>
    </row>
    <row r="20961" spans="1:1">
      <c r="A20961" s="27"/>
    </row>
    <row r="20962" spans="1:1">
      <c r="A20962" s="27"/>
    </row>
    <row r="20963" spans="1:1">
      <c r="A20963" s="27"/>
    </row>
    <row r="20964" spans="1:1">
      <c r="A20964" s="27"/>
    </row>
    <row r="20965" spans="1:1">
      <c r="A20965" s="27"/>
    </row>
    <row r="20966" spans="1:1">
      <c r="A20966" s="27"/>
    </row>
    <row r="20967" spans="1:1">
      <c r="A20967" s="27"/>
    </row>
    <row r="20968" spans="1:1">
      <c r="A20968" s="27"/>
    </row>
    <row r="20969" spans="1:1">
      <c r="A20969" s="27"/>
    </row>
    <row r="20970" spans="1:1">
      <c r="A20970" s="27"/>
    </row>
    <row r="20971" spans="1:1">
      <c r="A20971" s="27"/>
    </row>
    <row r="20972" spans="1:1">
      <c r="A20972" s="27"/>
    </row>
    <row r="20973" spans="1:1">
      <c r="A20973" s="27"/>
    </row>
    <row r="20974" spans="1:1">
      <c r="A20974" s="27"/>
    </row>
    <row r="20975" spans="1:1">
      <c r="A20975" s="27"/>
    </row>
    <row r="20976" spans="1:1">
      <c r="A20976" s="27"/>
    </row>
    <row r="20977" spans="1:1">
      <c r="A20977" s="27"/>
    </row>
    <row r="20978" spans="1:1">
      <c r="A20978" s="27"/>
    </row>
    <row r="20979" spans="1:1">
      <c r="A20979" s="27"/>
    </row>
    <row r="20980" spans="1:1">
      <c r="A20980" s="27"/>
    </row>
    <row r="20981" spans="1:1">
      <c r="A20981" s="27"/>
    </row>
    <row r="20982" spans="1:1">
      <c r="A20982" s="27"/>
    </row>
    <row r="20983" spans="1:1">
      <c r="A20983" s="27"/>
    </row>
    <row r="20984" spans="1:1">
      <c r="A20984" s="27"/>
    </row>
    <row r="20985" spans="1:1">
      <c r="A20985" s="27"/>
    </row>
    <row r="20986" spans="1:1">
      <c r="A20986" s="27"/>
    </row>
    <row r="20987" spans="1:1">
      <c r="A20987" s="27"/>
    </row>
    <row r="20988" spans="1:1">
      <c r="A20988" s="27"/>
    </row>
    <row r="20989" spans="1:1">
      <c r="A20989" s="27"/>
    </row>
    <row r="20990" spans="1:1">
      <c r="A20990" s="27"/>
    </row>
    <row r="20991" spans="1:1">
      <c r="A20991" s="27"/>
    </row>
    <row r="20992" spans="1:1">
      <c r="A20992" s="27"/>
    </row>
    <row r="20993" spans="1:1">
      <c r="A20993" s="27"/>
    </row>
    <row r="20994" spans="1:1">
      <c r="A20994" s="27"/>
    </row>
    <row r="20995" spans="1:1">
      <c r="A20995" s="27"/>
    </row>
    <row r="20996" spans="1:1">
      <c r="A20996" s="27"/>
    </row>
    <row r="20997" spans="1:1">
      <c r="A20997" s="27"/>
    </row>
    <row r="20998" spans="1:1">
      <c r="A20998" s="27"/>
    </row>
    <row r="20999" spans="1:1">
      <c r="A20999" s="27"/>
    </row>
    <row r="21000" spans="1:1">
      <c r="A21000" s="27"/>
    </row>
    <row r="21001" spans="1:1">
      <c r="A21001" s="27"/>
    </row>
    <row r="21002" spans="1:1">
      <c r="A21002" s="27"/>
    </row>
    <row r="21003" spans="1:1">
      <c r="A21003" s="27"/>
    </row>
    <row r="21004" spans="1:1">
      <c r="A21004" s="27"/>
    </row>
    <row r="21005" spans="1:1">
      <c r="A21005" s="27"/>
    </row>
    <row r="21006" spans="1:1">
      <c r="A21006" s="27"/>
    </row>
    <row r="21007" spans="1:1">
      <c r="A21007" s="27"/>
    </row>
    <row r="21008" spans="1:1">
      <c r="A21008" s="27"/>
    </row>
    <row r="21009" spans="1:1">
      <c r="A21009" s="27"/>
    </row>
    <row r="21010" spans="1:1">
      <c r="A21010" s="27"/>
    </row>
    <row r="21011" spans="1:1">
      <c r="A21011" s="27"/>
    </row>
    <row r="21012" spans="1:1">
      <c r="A21012" s="27"/>
    </row>
    <row r="21013" spans="1:1">
      <c r="A21013" s="27"/>
    </row>
    <row r="21014" spans="1:1">
      <c r="A21014" s="27"/>
    </row>
    <row r="21015" spans="1:1">
      <c r="A21015" s="27"/>
    </row>
    <row r="21016" spans="1:1">
      <c r="A21016" s="27"/>
    </row>
    <row r="21017" spans="1:1">
      <c r="A21017" s="27"/>
    </row>
    <row r="21018" spans="1:1">
      <c r="A21018" s="27"/>
    </row>
    <row r="21019" spans="1:1">
      <c r="A21019" s="27"/>
    </row>
    <row r="21020" spans="1:1">
      <c r="A21020" s="27"/>
    </row>
    <row r="21021" spans="1:1">
      <c r="A21021" s="27"/>
    </row>
    <row r="21022" spans="1:1">
      <c r="A21022" s="27"/>
    </row>
    <row r="21023" spans="1:1">
      <c r="A21023" s="27"/>
    </row>
    <row r="21024" spans="1:1">
      <c r="A21024" s="27"/>
    </row>
    <row r="21025" spans="1:1">
      <c r="A21025" s="27"/>
    </row>
    <row r="21026" spans="1:1">
      <c r="A21026" s="27"/>
    </row>
    <row r="21027" spans="1:1">
      <c r="A21027" s="27"/>
    </row>
    <row r="21028" spans="1:1">
      <c r="A21028" s="27"/>
    </row>
    <row r="21029" spans="1:1">
      <c r="A21029" s="27"/>
    </row>
    <row r="21030" spans="1:1">
      <c r="A21030" s="27"/>
    </row>
    <row r="21031" spans="1:1">
      <c r="A21031" s="27"/>
    </row>
    <row r="21032" spans="1:1">
      <c r="A21032" s="27"/>
    </row>
    <row r="21033" spans="1:1">
      <c r="A21033" s="27"/>
    </row>
    <row r="21034" spans="1:1">
      <c r="A21034" s="27"/>
    </row>
    <row r="21035" spans="1:1">
      <c r="A21035" s="27"/>
    </row>
    <row r="21036" spans="1:1">
      <c r="A21036" s="27"/>
    </row>
    <row r="21037" spans="1:1">
      <c r="A21037" s="27"/>
    </row>
    <row r="21038" spans="1:1">
      <c r="A21038" s="27"/>
    </row>
    <row r="21039" spans="1:1">
      <c r="A21039" s="27"/>
    </row>
    <row r="21040" spans="1:1">
      <c r="A21040" s="27"/>
    </row>
    <row r="21041" spans="1:1">
      <c r="A21041" s="27"/>
    </row>
    <row r="21042" spans="1:1">
      <c r="A21042" s="27"/>
    </row>
    <row r="21043" spans="1:1">
      <c r="A21043" s="27"/>
    </row>
    <row r="21044" spans="1:1">
      <c r="A21044" s="27"/>
    </row>
    <row r="21045" spans="1:1">
      <c r="A21045" s="27"/>
    </row>
    <row r="21046" spans="1:1">
      <c r="A21046" s="27"/>
    </row>
    <row r="21047" spans="1:1">
      <c r="A21047" s="27"/>
    </row>
    <row r="21048" spans="1:1">
      <c r="A21048" s="27"/>
    </row>
    <row r="21049" spans="1:1">
      <c r="A21049" s="27"/>
    </row>
    <row r="21050" spans="1:1">
      <c r="A21050" s="27"/>
    </row>
    <row r="21051" spans="1:1">
      <c r="A21051" s="27"/>
    </row>
    <row r="21052" spans="1:1">
      <c r="A21052" s="27"/>
    </row>
    <row r="21053" spans="1:1">
      <c r="A21053" s="27"/>
    </row>
    <row r="21054" spans="1:1">
      <c r="A21054" s="27"/>
    </row>
    <row r="21055" spans="1:1">
      <c r="A21055" s="27"/>
    </row>
    <row r="21056" spans="1:1">
      <c r="A21056" s="27"/>
    </row>
    <row r="21057" spans="1:1">
      <c r="A21057" s="27"/>
    </row>
    <row r="21058" spans="1:1">
      <c r="A21058" s="27"/>
    </row>
    <row r="21059" spans="1:1">
      <c r="A21059" s="27"/>
    </row>
    <row r="21060" spans="1:1">
      <c r="A21060" s="27"/>
    </row>
    <row r="21061" spans="1:1">
      <c r="A21061" s="27"/>
    </row>
    <row r="21062" spans="1:1">
      <c r="A21062" s="27"/>
    </row>
    <row r="21063" spans="1:1">
      <c r="A21063" s="27"/>
    </row>
    <row r="21064" spans="1:1">
      <c r="A21064" s="27"/>
    </row>
    <row r="21065" spans="1:1">
      <c r="A21065" s="27"/>
    </row>
    <row r="21066" spans="1:1">
      <c r="A21066" s="27"/>
    </row>
    <row r="21067" spans="1:1">
      <c r="A21067" s="27"/>
    </row>
    <row r="21068" spans="1:1">
      <c r="A21068" s="27"/>
    </row>
    <row r="21069" spans="1:1">
      <c r="A21069" s="27"/>
    </row>
    <row r="21070" spans="1:1">
      <c r="A21070" s="27"/>
    </row>
    <row r="21071" spans="1:1">
      <c r="A21071" s="27"/>
    </row>
    <row r="21072" spans="1:1">
      <c r="A21072" s="27"/>
    </row>
    <row r="21073" spans="1:1">
      <c r="A21073" s="27"/>
    </row>
    <row r="21074" spans="1:1">
      <c r="A21074" s="27"/>
    </row>
    <row r="21075" spans="1:1">
      <c r="A21075" s="27"/>
    </row>
    <row r="21076" spans="1:1">
      <c r="A21076" s="27"/>
    </row>
    <row r="21077" spans="1:1">
      <c r="A21077" s="27"/>
    </row>
    <row r="21078" spans="1:1">
      <c r="A21078" s="27"/>
    </row>
    <row r="21079" spans="1:1">
      <c r="A21079" s="27"/>
    </row>
    <row r="21080" spans="1:1">
      <c r="A21080" s="27"/>
    </row>
    <row r="21081" spans="1:1">
      <c r="A21081" s="27"/>
    </row>
    <row r="21082" spans="1:1">
      <c r="A21082" s="27"/>
    </row>
    <row r="21083" spans="1:1">
      <c r="A21083" s="27"/>
    </row>
    <row r="21084" spans="1:1">
      <c r="A21084" s="27"/>
    </row>
    <row r="21085" spans="1:1">
      <c r="A21085" s="27"/>
    </row>
    <row r="21086" spans="1:1">
      <c r="A21086" s="27"/>
    </row>
    <row r="21087" spans="1:1">
      <c r="A21087" s="27"/>
    </row>
    <row r="21088" spans="1:1">
      <c r="A21088" s="27"/>
    </row>
    <row r="21089" spans="1:1">
      <c r="A21089" s="27"/>
    </row>
    <row r="21090" spans="1:1">
      <c r="A21090" s="27"/>
    </row>
    <row r="21091" spans="1:1">
      <c r="A21091" s="27"/>
    </row>
    <row r="21092" spans="1:1">
      <c r="A21092" s="27"/>
    </row>
    <row r="21093" spans="1:1">
      <c r="A21093" s="27"/>
    </row>
    <row r="21094" spans="1:1">
      <c r="A21094" s="27"/>
    </row>
    <row r="21095" spans="1:1">
      <c r="A21095" s="27"/>
    </row>
    <row r="21096" spans="1:1">
      <c r="A21096" s="27"/>
    </row>
    <row r="21097" spans="1:1">
      <c r="A21097" s="27"/>
    </row>
    <row r="21098" spans="1:1">
      <c r="A21098" s="27"/>
    </row>
    <row r="21099" spans="1:1">
      <c r="A21099" s="27"/>
    </row>
    <row r="21100" spans="1:1">
      <c r="A21100" s="27"/>
    </row>
    <row r="21101" spans="1:1">
      <c r="A21101" s="27"/>
    </row>
    <row r="21102" spans="1:1">
      <c r="A21102" s="27"/>
    </row>
    <row r="21103" spans="1:1">
      <c r="A21103" s="27"/>
    </row>
    <row r="21104" spans="1:1">
      <c r="A21104" s="27"/>
    </row>
    <row r="21105" spans="1:1">
      <c r="A21105" s="27"/>
    </row>
    <row r="21106" spans="1:1">
      <c r="A21106" s="27"/>
    </row>
    <row r="21107" spans="1:1">
      <c r="A21107" s="27"/>
    </row>
    <row r="21108" spans="1:1">
      <c r="A21108" s="27"/>
    </row>
    <row r="21109" spans="1:1">
      <c r="A21109" s="27"/>
    </row>
    <row r="21110" spans="1:1">
      <c r="A21110" s="27"/>
    </row>
    <row r="21111" spans="1:1">
      <c r="A21111" s="27"/>
    </row>
    <row r="21112" spans="1:1">
      <c r="A21112" s="27"/>
    </row>
    <row r="21113" spans="1:1">
      <c r="A21113" s="27"/>
    </row>
    <row r="21114" spans="1:1">
      <c r="A21114" s="27"/>
    </row>
    <row r="21115" spans="1:1">
      <c r="A21115" s="27"/>
    </row>
    <row r="21116" spans="1:1">
      <c r="A21116" s="27"/>
    </row>
    <row r="21117" spans="1:1">
      <c r="A21117" s="27"/>
    </row>
    <row r="21118" spans="1:1">
      <c r="A21118" s="27"/>
    </row>
    <row r="21119" spans="1:1">
      <c r="A21119" s="27"/>
    </row>
    <row r="21120" spans="1:1">
      <c r="A21120" s="27"/>
    </row>
    <row r="21121" spans="1:1">
      <c r="A21121" s="27"/>
    </row>
    <row r="21122" spans="1:1">
      <c r="A21122" s="27"/>
    </row>
    <row r="21123" spans="1:1">
      <c r="A21123" s="27"/>
    </row>
    <row r="21124" spans="1:1">
      <c r="A21124" s="27"/>
    </row>
    <row r="21125" spans="1:1">
      <c r="A21125" s="27"/>
    </row>
    <row r="21126" spans="1:1">
      <c r="A21126" s="27"/>
    </row>
    <row r="21127" spans="1:1">
      <c r="A21127" s="27"/>
    </row>
    <row r="21128" spans="1:1">
      <c r="A21128" s="27"/>
    </row>
    <row r="21129" spans="1:1">
      <c r="A21129" s="27"/>
    </row>
    <row r="21130" spans="1:1">
      <c r="A21130" s="27"/>
    </row>
    <row r="21131" spans="1:1">
      <c r="A21131" s="27"/>
    </row>
    <row r="21132" spans="1:1">
      <c r="A21132" s="27"/>
    </row>
    <row r="21133" spans="1:1">
      <c r="A21133" s="27"/>
    </row>
    <row r="21134" spans="1:1">
      <c r="A21134" s="27"/>
    </row>
    <row r="21135" spans="1:1">
      <c r="A21135" s="27"/>
    </row>
    <row r="21136" spans="1:1">
      <c r="A21136" s="27"/>
    </row>
    <row r="21137" spans="1:1">
      <c r="A21137" s="27"/>
    </row>
    <row r="21138" spans="1:1">
      <c r="A21138" s="27"/>
    </row>
    <row r="21139" spans="1:1">
      <c r="A21139" s="27"/>
    </row>
    <row r="21140" spans="1:1">
      <c r="A21140" s="27"/>
    </row>
    <row r="21141" spans="1:1">
      <c r="A21141" s="27"/>
    </row>
    <row r="21142" spans="1:1">
      <c r="A21142" s="27"/>
    </row>
    <row r="21143" spans="1:1">
      <c r="A21143" s="27"/>
    </row>
    <row r="21144" spans="1:1">
      <c r="A21144" s="27"/>
    </row>
    <row r="21145" spans="1:1">
      <c r="A21145" s="27"/>
    </row>
    <row r="21146" spans="1:1">
      <c r="A21146" s="27"/>
    </row>
    <row r="21147" spans="1:1">
      <c r="A21147" s="27"/>
    </row>
    <row r="21148" spans="1:1">
      <c r="A21148" s="27"/>
    </row>
    <row r="21149" spans="1:1">
      <c r="A21149" s="27"/>
    </row>
    <row r="21150" spans="1:1">
      <c r="A21150" s="27"/>
    </row>
    <row r="21151" spans="1:1">
      <c r="A21151" s="27"/>
    </row>
    <row r="21152" spans="1:1">
      <c r="A21152" s="27"/>
    </row>
    <row r="21153" spans="1:1">
      <c r="A21153" s="27"/>
    </row>
    <row r="21154" spans="1:1">
      <c r="A21154" s="27"/>
    </row>
    <row r="21155" spans="1:1">
      <c r="A21155" s="27"/>
    </row>
    <row r="21156" spans="1:1">
      <c r="A21156" s="27"/>
    </row>
    <row r="21157" spans="1:1">
      <c r="A21157" s="27"/>
    </row>
    <row r="21158" spans="1:1">
      <c r="A21158" s="27"/>
    </row>
    <row r="21159" spans="1:1">
      <c r="A21159" s="27"/>
    </row>
    <row r="21160" spans="1:1">
      <c r="A21160" s="27"/>
    </row>
    <row r="21161" spans="1:1">
      <c r="A21161" s="27"/>
    </row>
    <row r="21162" spans="1:1">
      <c r="A21162" s="27"/>
    </row>
    <row r="21163" spans="1:1">
      <c r="A21163" s="27"/>
    </row>
    <row r="21164" spans="1:1">
      <c r="A21164" s="27"/>
    </row>
    <row r="21165" spans="1:1">
      <c r="A21165" s="27"/>
    </row>
    <row r="21166" spans="1:1">
      <c r="A21166" s="27"/>
    </row>
    <row r="21167" spans="1:1">
      <c r="A21167" s="27"/>
    </row>
    <row r="21168" spans="1:1">
      <c r="A21168" s="27"/>
    </row>
    <row r="21169" spans="1:1">
      <c r="A21169" s="27"/>
    </row>
    <row r="21170" spans="1:1">
      <c r="A21170" s="27"/>
    </row>
    <row r="21171" spans="1:1">
      <c r="A21171" s="27"/>
    </row>
    <row r="21172" spans="1:1">
      <c r="A21172" s="27"/>
    </row>
    <row r="21173" spans="1:1">
      <c r="A21173" s="27"/>
    </row>
    <row r="21174" spans="1:1">
      <c r="A21174" s="27"/>
    </row>
    <row r="21175" spans="1:1">
      <c r="A21175" s="27"/>
    </row>
    <row r="21176" spans="1:1">
      <c r="A21176" s="27"/>
    </row>
    <row r="21177" spans="1:1">
      <c r="A21177" s="27"/>
    </row>
    <row r="21178" spans="1:1">
      <c r="A21178" s="27"/>
    </row>
    <row r="21179" spans="1:1">
      <c r="A21179" s="27"/>
    </row>
    <row r="21180" spans="1:1">
      <c r="A21180" s="27"/>
    </row>
    <row r="21181" spans="1:1">
      <c r="A21181" s="27"/>
    </row>
    <row r="21182" spans="1:1">
      <c r="A21182" s="27"/>
    </row>
    <row r="21183" spans="1:1">
      <c r="A21183" s="27"/>
    </row>
    <row r="21184" spans="1:1">
      <c r="A21184" s="27"/>
    </row>
    <row r="21185" spans="1:1">
      <c r="A21185" s="27"/>
    </row>
    <row r="21186" spans="1:1">
      <c r="A21186" s="27"/>
    </row>
    <row r="21187" spans="1:1">
      <c r="A21187" s="27"/>
    </row>
    <row r="21188" spans="1:1">
      <c r="A21188" s="27"/>
    </row>
    <row r="21189" spans="1:1">
      <c r="A21189" s="27"/>
    </row>
    <row r="21190" spans="1:1">
      <c r="A21190" s="27"/>
    </row>
    <row r="21191" spans="1:1">
      <c r="A21191" s="27"/>
    </row>
    <row r="21192" spans="1:1">
      <c r="A21192" s="27"/>
    </row>
    <row r="21193" spans="1:1">
      <c r="A21193" s="27"/>
    </row>
    <row r="21194" spans="1:1">
      <c r="A21194" s="27"/>
    </row>
    <row r="21195" spans="1:1">
      <c r="A21195" s="27"/>
    </row>
    <row r="21196" spans="1:1">
      <c r="A21196" s="27"/>
    </row>
    <row r="21197" spans="1:1">
      <c r="A21197" s="27"/>
    </row>
    <row r="21198" spans="1:1">
      <c r="A21198" s="27"/>
    </row>
    <row r="21199" spans="1:1">
      <c r="A21199" s="27"/>
    </row>
    <row r="21200" spans="1:1">
      <c r="A21200" s="27"/>
    </row>
    <row r="21201" spans="1:1">
      <c r="A21201" s="27"/>
    </row>
    <row r="21202" spans="1:1">
      <c r="A21202" s="27"/>
    </row>
    <row r="21203" spans="1:1">
      <c r="A21203" s="27"/>
    </row>
    <row r="21204" spans="1:1">
      <c r="A21204" s="27"/>
    </row>
    <row r="21205" spans="1:1">
      <c r="A21205" s="27"/>
    </row>
    <row r="21206" spans="1:1">
      <c r="A21206" s="27"/>
    </row>
    <row r="21207" spans="1:1">
      <c r="A21207" s="27"/>
    </row>
    <row r="21208" spans="1:1">
      <c r="A21208" s="27"/>
    </row>
    <row r="21209" spans="1:1">
      <c r="A21209" s="27"/>
    </row>
    <row r="21210" spans="1:1">
      <c r="A21210" s="27"/>
    </row>
    <row r="21211" spans="1:1">
      <c r="A21211" s="27"/>
    </row>
    <row r="21212" spans="1:1">
      <c r="A21212" s="27"/>
    </row>
    <row r="21213" spans="1:1">
      <c r="A21213" s="27"/>
    </row>
    <row r="21214" spans="1:1">
      <c r="A21214" s="27"/>
    </row>
    <row r="21215" spans="1:1">
      <c r="A21215" s="27"/>
    </row>
    <row r="21216" spans="1:1">
      <c r="A21216" s="27"/>
    </row>
    <row r="21217" spans="1:1">
      <c r="A21217" s="27"/>
    </row>
    <row r="21218" spans="1:1">
      <c r="A21218" s="27"/>
    </row>
    <row r="21219" spans="1:1">
      <c r="A21219" s="27"/>
    </row>
    <row r="21220" spans="1:1">
      <c r="A21220" s="27"/>
    </row>
    <row r="21221" spans="1:1">
      <c r="A21221" s="27"/>
    </row>
    <row r="21222" spans="1:1">
      <c r="A21222" s="27"/>
    </row>
    <row r="21223" spans="1:1">
      <c r="A21223" s="27"/>
    </row>
    <row r="21224" spans="1:1">
      <c r="A21224" s="27"/>
    </row>
    <row r="21225" spans="1:1">
      <c r="A21225" s="27"/>
    </row>
    <row r="21226" spans="1:1">
      <c r="A21226" s="27"/>
    </row>
    <row r="21227" spans="1:1">
      <c r="A21227" s="27"/>
    </row>
    <row r="21228" spans="1:1">
      <c r="A21228" s="27"/>
    </row>
    <row r="21229" spans="1:1">
      <c r="A21229" s="27"/>
    </row>
    <row r="21230" spans="1:1">
      <c r="A21230" s="27"/>
    </row>
    <row r="21231" spans="1:1">
      <c r="A21231" s="27"/>
    </row>
    <row r="21232" spans="1:1">
      <c r="A21232" s="27"/>
    </row>
    <row r="21233" spans="1:1">
      <c r="A21233" s="27"/>
    </row>
    <row r="21234" spans="1:1">
      <c r="A21234" s="27"/>
    </row>
    <row r="21235" spans="1:1">
      <c r="A21235" s="27"/>
    </row>
    <row r="21236" spans="1:1">
      <c r="A21236" s="27"/>
    </row>
    <row r="21237" spans="1:1">
      <c r="A21237" s="27"/>
    </row>
    <row r="21238" spans="1:1">
      <c r="A21238" s="27"/>
    </row>
    <row r="21239" spans="1:1">
      <c r="A21239" s="27"/>
    </row>
    <row r="21240" spans="1:1">
      <c r="A21240" s="27"/>
    </row>
    <row r="21241" spans="1:1">
      <c r="A21241" s="27"/>
    </row>
    <row r="21242" spans="1:1">
      <c r="A21242" s="27"/>
    </row>
    <row r="21243" spans="1:1">
      <c r="A21243" s="27"/>
    </row>
    <row r="21244" spans="1:1">
      <c r="A21244" s="27"/>
    </row>
    <row r="21245" spans="1:1">
      <c r="A21245" s="27"/>
    </row>
    <row r="21246" spans="1:1">
      <c r="A21246" s="27"/>
    </row>
    <row r="21247" spans="1:1">
      <c r="A21247" s="27"/>
    </row>
    <row r="21248" spans="1:1">
      <c r="A21248" s="27"/>
    </row>
    <row r="21249" spans="1:1">
      <c r="A21249" s="27"/>
    </row>
    <row r="21250" spans="1:1">
      <c r="A21250" s="27"/>
    </row>
    <row r="21251" spans="1:1">
      <c r="A21251" s="27"/>
    </row>
    <row r="21252" spans="1:1">
      <c r="A21252" s="27"/>
    </row>
    <row r="21253" spans="1:1">
      <c r="A21253" s="27"/>
    </row>
    <row r="21254" spans="1:1">
      <c r="A21254" s="27"/>
    </row>
    <row r="21255" spans="1:1">
      <c r="A21255" s="27"/>
    </row>
    <row r="21256" spans="1:1">
      <c r="A21256" s="27"/>
    </row>
    <row r="21257" spans="1:1">
      <c r="A21257" s="27"/>
    </row>
    <row r="21258" spans="1:1">
      <c r="A21258" s="27"/>
    </row>
    <row r="21259" spans="1:1">
      <c r="A21259" s="27"/>
    </row>
    <row r="21260" spans="1:1">
      <c r="A21260" s="27"/>
    </row>
    <row r="21261" spans="1:1">
      <c r="A21261" s="27"/>
    </row>
    <row r="21262" spans="1:1">
      <c r="A21262" s="27"/>
    </row>
    <row r="21263" spans="1:1">
      <c r="A21263" s="27"/>
    </row>
    <row r="21264" spans="1:1">
      <c r="A21264" s="27"/>
    </row>
    <row r="21265" spans="1:1">
      <c r="A21265" s="27"/>
    </row>
    <row r="21266" spans="1:1">
      <c r="A21266" s="27"/>
    </row>
    <row r="21267" spans="1:1">
      <c r="A21267" s="27"/>
    </row>
    <row r="21268" spans="1:1">
      <c r="A21268" s="27"/>
    </row>
    <row r="21269" spans="1:1">
      <c r="A21269" s="27"/>
    </row>
    <row r="21270" spans="1:1">
      <c r="A21270" s="27"/>
    </row>
    <row r="21271" spans="1:1">
      <c r="A21271" s="27"/>
    </row>
    <row r="21272" spans="1:1">
      <c r="A21272" s="27"/>
    </row>
    <row r="21273" spans="1:1">
      <c r="A21273" s="27"/>
    </row>
    <row r="21274" spans="1:1">
      <c r="A21274" s="27"/>
    </row>
    <row r="21275" spans="1:1">
      <c r="A21275" s="27"/>
    </row>
    <row r="21276" spans="1:1">
      <c r="A21276" s="27"/>
    </row>
    <row r="21277" spans="1:1">
      <c r="A21277" s="27"/>
    </row>
    <row r="21278" spans="1:1">
      <c r="A21278" s="27"/>
    </row>
    <row r="21279" spans="1:1">
      <c r="A21279" s="27"/>
    </row>
    <row r="21280" spans="1:1">
      <c r="A21280" s="27"/>
    </row>
    <row r="21281" spans="1:1">
      <c r="A21281" s="27"/>
    </row>
    <row r="21282" spans="1:1">
      <c r="A21282" s="27"/>
    </row>
    <row r="21283" spans="1:1">
      <c r="A21283" s="27"/>
    </row>
    <row r="21284" spans="1:1">
      <c r="A21284" s="27"/>
    </row>
    <row r="21285" spans="1:1">
      <c r="A21285" s="27"/>
    </row>
    <row r="21286" spans="1:1">
      <c r="A21286" s="27"/>
    </row>
    <row r="21287" spans="1:1">
      <c r="A21287" s="27"/>
    </row>
    <row r="21288" spans="1:1">
      <c r="A21288" s="27"/>
    </row>
    <row r="21289" spans="1:1">
      <c r="A21289" s="27"/>
    </row>
    <row r="21290" spans="1:1">
      <c r="A21290" s="27"/>
    </row>
    <row r="21291" spans="1:1">
      <c r="A21291" s="27"/>
    </row>
    <row r="21292" spans="1:1">
      <c r="A21292" s="27"/>
    </row>
    <row r="21293" spans="1:1">
      <c r="A21293" s="27"/>
    </row>
    <row r="21294" spans="1:1">
      <c r="A21294" s="27"/>
    </row>
    <row r="21295" spans="1:1">
      <c r="A21295" s="27"/>
    </row>
    <row r="21296" spans="1:1">
      <c r="A21296" s="27"/>
    </row>
    <row r="21297" spans="1:1">
      <c r="A21297" s="27"/>
    </row>
    <row r="21298" spans="1:1">
      <c r="A21298" s="27"/>
    </row>
    <row r="21299" spans="1:1">
      <c r="A21299" s="27"/>
    </row>
    <row r="21300" spans="1:1">
      <c r="A21300" s="27"/>
    </row>
    <row r="21301" spans="1:1">
      <c r="A21301" s="27"/>
    </row>
    <row r="21302" spans="1:1">
      <c r="A21302" s="27"/>
    </row>
    <row r="21303" spans="1:1">
      <c r="A21303" s="27"/>
    </row>
    <row r="21304" spans="1:1">
      <c r="A21304" s="27"/>
    </row>
    <row r="21305" spans="1:1">
      <c r="A21305" s="27"/>
    </row>
    <row r="21306" spans="1:1">
      <c r="A21306" s="27"/>
    </row>
    <row r="21307" spans="1:1">
      <c r="A21307" s="27"/>
    </row>
    <row r="21308" spans="1:1">
      <c r="A21308" s="27"/>
    </row>
    <row r="21309" spans="1:1">
      <c r="A21309" s="27"/>
    </row>
    <row r="21310" spans="1:1">
      <c r="A21310" s="27"/>
    </row>
    <row r="21311" spans="1:1">
      <c r="A21311" s="27"/>
    </row>
    <row r="21312" spans="1:1">
      <c r="A21312" s="27"/>
    </row>
    <row r="21313" spans="1:1">
      <c r="A21313" s="27"/>
    </row>
    <row r="21314" spans="1:1">
      <c r="A21314" s="27"/>
    </row>
    <row r="21315" spans="1:1">
      <c r="A21315" s="27"/>
    </row>
    <row r="21316" spans="1:1">
      <c r="A21316" s="27"/>
    </row>
    <row r="21317" spans="1:1">
      <c r="A21317" s="27"/>
    </row>
    <row r="21318" spans="1:1">
      <c r="A21318" s="27"/>
    </row>
    <row r="21319" spans="1:1">
      <c r="A21319" s="27"/>
    </row>
    <row r="21320" spans="1:1">
      <c r="A21320" s="27"/>
    </row>
    <row r="21321" spans="1:1">
      <c r="A21321" s="27"/>
    </row>
    <row r="21322" spans="1:1">
      <c r="A21322" s="27"/>
    </row>
    <row r="21323" spans="1:1">
      <c r="A21323" s="27"/>
    </row>
    <row r="21324" spans="1:1">
      <c r="A21324" s="27"/>
    </row>
    <row r="21325" spans="1:1">
      <c r="A21325" s="27"/>
    </row>
    <row r="21326" spans="1:1">
      <c r="A21326" s="27"/>
    </row>
    <row r="21327" spans="1:1">
      <c r="A21327" s="27"/>
    </row>
    <row r="21328" spans="1:1">
      <c r="A21328" s="27"/>
    </row>
    <row r="21329" spans="1:1">
      <c r="A21329" s="27"/>
    </row>
    <row r="21330" spans="1:1">
      <c r="A21330" s="27"/>
    </row>
    <row r="21331" spans="1:1">
      <c r="A21331" s="27"/>
    </row>
    <row r="21332" spans="1:1">
      <c r="A21332" s="27"/>
    </row>
    <row r="21333" spans="1:1">
      <c r="A21333" s="27"/>
    </row>
    <row r="21334" spans="1:1">
      <c r="A21334" s="27"/>
    </row>
    <row r="21335" spans="1:1">
      <c r="A21335" s="27"/>
    </row>
    <row r="21336" spans="1:1">
      <c r="A21336" s="27"/>
    </row>
    <row r="21337" spans="1:1">
      <c r="A21337" s="27"/>
    </row>
    <row r="21338" spans="1:1">
      <c r="A21338" s="27"/>
    </row>
    <row r="21339" spans="1:1">
      <c r="A21339" s="27"/>
    </row>
    <row r="21340" spans="1:1">
      <c r="A21340" s="27"/>
    </row>
    <row r="21341" spans="1:1">
      <c r="A21341" s="27"/>
    </row>
    <row r="21342" spans="1:1">
      <c r="A21342" s="27"/>
    </row>
    <row r="21343" spans="1:1">
      <c r="A21343" s="27"/>
    </row>
    <row r="21344" spans="1:1">
      <c r="A21344" s="27"/>
    </row>
    <row r="21345" spans="1:1">
      <c r="A21345" s="27"/>
    </row>
    <row r="21346" spans="1:1">
      <c r="A21346" s="27"/>
    </row>
    <row r="21347" spans="1:1">
      <c r="A21347" s="27"/>
    </row>
    <row r="21348" spans="1:1">
      <c r="A21348" s="27"/>
    </row>
    <row r="21349" spans="1:1">
      <c r="A21349" s="27"/>
    </row>
    <row r="21350" spans="1:1">
      <c r="A21350" s="27"/>
    </row>
    <row r="21351" spans="1:1">
      <c r="A21351" s="27"/>
    </row>
    <row r="21352" spans="1:1">
      <c r="A21352" s="27"/>
    </row>
    <row r="21353" spans="1:1">
      <c r="A21353" s="27"/>
    </row>
    <row r="21354" spans="1:1">
      <c r="A21354" s="27"/>
    </row>
    <row r="21355" spans="1:1">
      <c r="A21355" s="27"/>
    </row>
    <row r="21356" spans="1:1">
      <c r="A21356" s="27"/>
    </row>
    <row r="21357" spans="1:1">
      <c r="A21357" s="27"/>
    </row>
    <row r="21358" spans="1:1">
      <c r="A21358" s="27"/>
    </row>
    <row r="21359" spans="1:1">
      <c r="A21359" s="27"/>
    </row>
    <row r="21360" spans="1:1">
      <c r="A21360" s="27"/>
    </row>
    <row r="21361" spans="1:1">
      <c r="A21361" s="27"/>
    </row>
    <row r="21362" spans="1:1">
      <c r="A21362" s="27"/>
    </row>
    <row r="21363" spans="1:1">
      <c r="A21363" s="27"/>
    </row>
    <row r="21364" spans="1:1">
      <c r="A21364" s="27"/>
    </row>
    <row r="21365" spans="1:1">
      <c r="A21365" s="27"/>
    </row>
    <row r="21366" spans="1:1">
      <c r="A21366" s="27"/>
    </row>
    <row r="21367" spans="1:1">
      <c r="A21367" s="27"/>
    </row>
    <row r="21368" spans="1:1">
      <c r="A21368" s="27"/>
    </row>
    <row r="21369" spans="1:1">
      <c r="A21369" s="27"/>
    </row>
    <row r="21370" spans="1:1">
      <c r="A21370" s="27"/>
    </row>
    <row r="21371" spans="1:1">
      <c r="A21371" s="27"/>
    </row>
    <row r="21372" spans="1:1">
      <c r="A21372" s="27"/>
    </row>
    <row r="21373" spans="1:1">
      <c r="A21373" s="27"/>
    </row>
    <row r="21374" spans="1:1">
      <c r="A21374" s="27"/>
    </row>
    <row r="21375" spans="1:1">
      <c r="A21375" s="27"/>
    </row>
    <row r="21376" spans="1:1">
      <c r="A21376" s="27"/>
    </row>
    <row r="21377" spans="1:1">
      <c r="A21377" s="27"/>
    </row>
    <row r="21378" spans="1:1">
      <c r="A21378" s="27"/>
    </row>
    <row r="21379" spans="1:1">
      <c r="A21379" s="27"/>
    </row>
    <row r="21380" spans="1:1">
      <c r="A21380" s="27"/>
    </row>
    <row r="21381" spans="1:1">
      <c r="A21381" s="27"/>
    </row>
    <row r="21382" spans="1:1">
      <c r="A21382" s="27"/>
    </row>
    <row r="21383" spans="1:1">
      <c r="A21383" s="27"/>
    </row>
    <row r="21384" spans="1:1">
      <c r="A21384" s="27"/>
    </row>
    <row r="21385" spans="1:1">
      <c r="A21385" s="27"/>
    </row>
    <row r="21386" spans="1:1">
      <c r="A21386" s="27"/>
    </row>
    <row r="21387" spans="1:1">
      <c r="A21387" s="27"/>
    </row>
    <row r="21388" spans="1:1">
      <c r="A21388" s="27"/>
    </row>
    <row r="21389" spans="1:1">
      <c r="A21389" s="27"/>
    </row>
    <row r="21390" spans="1:1">
      <c r="A21390" s="27"/>
    </row>
    <row r="21391" spans="1:1">
      <c r="A21391" s="27"/>
    </row>
    <row r="21392" spans="1:1">
      <c r="A21392" s="27"/>
    </row>
    <row r="21393" spans="1:1">
      <c r="A21393" s="27"/>
    </row>
    <row r="21394" spans="1:1">
      <c r="A21394" s="27"/>
    </row>
    <row r="21395" spans="1:1">
      <c r="A21395" s="27"/>
    </row>
    <row r="21396" spans="1:1">
      <c r="A21396" s="27"/>
    </row>
    <row r="21397" spans="1:1">
      <c r="A21397" s="27"/>
    </row>
    <row r="21398" spans="1:1">
      <c r="A21398" s="27"/>
    </row>
    <row r="21399" spans="1:1">
      <c r="A21399" s="27"/>
    </row>
    <row r="21400" spans="1:1">
      <c r="A21400" s="27"/>
    </row>
    <row r="21401" spans="1:1">
      <c r="A21401" s="27"/>
    </row>
    <row r="21402" spans="1:1">
      <c r="A21402" s="27"/>
    </row>
    <row r="21403" spans="1:1">
      <c r="A21403" s="27"/>
    </row>
    <row r="21404" spans="1:1">
      <c r="A21404" s="27"/>
    </row>
    <row r="21405" spans="1:1">
      <c r="A21405" s="27"/>
    </row>
    <row r="21406" spans="1:1">
      <c r="A21406" s="27"/>
    </row>
    <row r="21407" spans="1:1">
      <c r="A21407" s="27"/>
    </row>
    <row r="21408" spans="1:1">
      <c r="A21408" s="27"/>
    </row>
    <row r="21409" spans="1:1">
      <c r="A21409" s="27"/>
    </row>
    <row r="21410" spans="1:1">
      <c r="A21410" s="27"/>
    </row>
    <row r="21411" spans="1:1">
      <c r="A21411" s="27"/>
    </row>
    <row r="21412" spans="1:1">
      <c r="A21412" s="27"/>
    </row>
    <row r="21413" spans="1:1">
      <c r="A21413" s="27"/>
    </row>
    <row r="21414" spans="1:1">
      <c r="A21414" s="27"/>
    </row>
    <row r="21415" spans="1:1">
      <c r="A21415" s="27"/>
    </row>
    <row r="21416" spans="1:1">
      <c r="A21416" s="27"/>
    </row>
    <row r="21417" spans="1:1">
      <c r="A21417" s="27"/>
    </row>
    <row r="21418" spans="1:1">
      <c r="A21418" s="27"/>
    </row>
    <row r="21419" spans="1:1">
      <c r="A21419" s="27"/>
    </row>
    <row r="21420" spans="1:1">
      <c r="A21420" s="27"/>
    </row>
    <row r="21421" spans="1:1">
      <c r="A21421" s="27"/>
    </row>
    <row r="21422" spans="1:1">
      <c r="A21422" s="27"/>
    </row>
    <row r="21423" spans="1:1">
      <c r="A21423" s="27"/>
    </row>
    <row r="21424" spans="1:1">
      <c r="A21424" s="27"/>
    </row>
    <row r="21425" spans="1:1">
      <c r="A21425" s="27"/>
    </row>
    <row r="21426" spans="1:1">
      <c r="A21426" s="27"/>
    </row>
    <row r="21427" spans="1:1">
      <c r="A21427" s="27"/>
    </row>
    <row r="21428" spans="1:1">
      <c r="A21428" s="27"/>
    </row>
    <row r="21429" spans="1:1">
      <c r="A21429" s="27"/>
    </row>
    <row r="21430" spans="1:1">
      <c r="A21430" s="27"/>
    </row>
    <row r="21431" spans="1:1">
      <c r="A21431" s="27"/>
    </row>
    <row r="21432" spans="1:1">
      <c r="A21432" s="27"/>
    </row>
    <row r="21433" spans="1:1">
      <c r="A21433" s="27"/>
    </row>
    <row r="21434" spans="1:1">
      <c r="A21434" s="27"/>
    </row>
    <row r="21435" spans="1:1">
      <c r="A21435" s="27"/>
    </row>
    <row r="21436" spans="1:1">
      <c r="A21436" s="27"/>
    </row>
    <row r="21437" spans="1:1">
      <c r="A21437" s="27"/>
    </row>
    <row r="21438" spans="1:1">
      <c r="A21438" s="27"/>
    </row>
    <row r="21439" spans="1:1">
      <c r="A21439" s="27"/>
    </row>
    <row r="21440" spans="1:1">
      <c r="A21440" s="27"/>
    </row>
    <row r="21441" spans="1:1">
      <c r="A21441" s="27"/>
    </row>
    <row r="21442" spans="1:1">
      <c r="A21442" s="27"/>
    </row>
    <row r="21443" spans="1:1">
      <c r="A21443" s="27"/>
    </row>
    <row r="21444" spans="1:1">
      <c r="A21444" s="27"/>
    </row>
    <row r="21445" spans="1:1">
      <c r="A21445" s="27"/>
    </row>
    <row r="21446" spans="1:1">
      <c r="A21446" s="27"/>
    </row>
    <row r="21447" spans="1:1">
      <c r="A21447" s="27"/>
    </row>
    <row r="21448" spans="1:1">
      <c r="A21448" s="27"/>
    </row>
    <row r="21449" spans="1:1">
      <c r="A21449" s="27"/>
    </row>
    <row r="21450" spans="1:1">
      <c r="A21450" s="27"/>
    </row>
    <row r="21451" spans="1:1">
      <c r="A21451" s="27"/>
    </row>
    <row r="21452" spans="1:1">
      <c r="A21452" s="27"/>
    </row>
    <row r="21453" spans="1:1">
      <c r="A21453" s="27"/>
    </row>
    <row r="21454" spans="1:1">
      <c r="A21454" s="27"/>
    </row>
    <row r="21455" spans="1:1">
      <c r="A21455" s="27"/>
    </row>
    <row r="21456" spans="1:1">
      <c r="A21456" s="27"/>
    </row>
    <row r="21457" spans="1:1">
      <c r="A21457" s="27"/>
    </row>
    <row r="21458" spans="1:1">
      <c r="A21458" s="27"/>
    </row>
    <row r="21459" spans="1:1">
      <c r="A21459" s="27"/>
    </row>
    <row r="21460" spans="1:1">
      <c r="A21460" s="27"/>
    </row>
    <row r="21461" spans="1:1">
      <c r="A21461" s="27"/>
    </row>
    <row r="21462" spans="1:1">
      <c r="A21462" s="27"/>
    </row>
    <row r="21463" spans="1:1">
      <c r="A21463" s="27"/>
    </row>
    <row r="21464" spans="1:1">
      <c r="A21464" s="27"/>
    </row>
    <row r="21465" spans="1:1">
      <c r="A21465" s="27"/>
    </row>
    <row r="21466" spans="1:1">
      <c r="A21466" s="27"/>
    </row>
    <row r="21467" spans="1:1">
      <c r="A21467" s="27"/>
    </row>
    <row r="21468" spans="1:1">
      <c r="A21468" s="27"/>
    </row>
    <row r="21469" spans="1:1">
      <c r="A21469" s="27"/>
    </row>
    <row r="21470" spans="1:1">
      <c r="A21470" s="27"/>
    </row>
    <row r="21471" spans="1:1">
      <c r="A21471" s="27"/>
    </row>
    <row r="21472" spans="1:1">
      <c r="A21472" s="27"/>
    </row>
    <row r="21473" spans="1:1">
      <c r="A21473" s="27"/>
    </row>
    <row r="21474" spans="1:1">
      <c r="A21474" s="27"/>
    </row>
    <row r="21475" spans="1:1">
      <c r="A21475" s="27"/>
    </row>
    <row r="21476" spans="1:1">
      <c r="A21476" s="27"/>
    </row>
    <row r="21477" spans="1:1">
      <c r="A21477" s="27"/>
    </row>
    <row r="21478" spans="1:1">
      <c r="A21478" s="27"/>
    </row>
    <row r="21479" spans="1:1">
      <c r="A21479" s="27"/>
    </row>
    <row r="21480" spans="1:1">
      <c r="A21480" s="27"/>
    </row>
    <row r="21481" spans="1:1">
      <c r="A21481" s="27"/>
    </row>
    <row r="21482" spans="1:1">
      <c r="A21482" s="27"/>
    </row>
    <row r="21483" spans="1:1">
      <c r="A21483" s="27"/>
    </row>
    <row r="21484" spans="1:1">
      <c r="A21484" s="27"/>
    </row>
    <row r="21485" spans="1:1">
      <c r="A21485" s="27"/>
    </row>
    <row r="21486" spans="1:1">
      <c r="A21486" s="27"/>
    </row>
    <row r="21487" spans="1:1">
      <c r="A21487" s="27"/>
    </row>
    <row r="21488" spans="1:1">
      <c r="A21488" s="27"/>
    </row>
    <row r="21489" spans="1:1">
      <c r="A21489" s="27"/>
    </row>
    <row r="21490" spans="1:1">
      <c r="A21490" s="27"/>
    </row>
    <row r="21491" spans="1:1">
      <c r="A21491" s="27"/>
    </row>
    <row r="21492" spans="1:1">
      <c r="A21492" s="27"/>
    </row>
    <row r="21493" spans="1:1">
      <c r="A21493" s="27"/>
    </row>
    <row r="21494" spans="1:1">
      <c r="A21494" s="27"/>
    </row>
    <row r="21495" spans="1:1">
      <c r="A21495" s="27"/>
    </row>
    <row r="21496" spans="1:1">
      <c r="A21496" s="27"/>
    </row>
    <row r="21497" spans="1:1">
      <c r="A21497" s="27"/>
    </row>
    <row r="21498" spans="1:1">
      <c r="A21498" s="27"/>
    </row>
    <row r="21499" spans="1:1">
      <c r="A21499" s="27"/>
    </row>
    <row r="21500" spans="1:1">
      <c r="A21500" s="27"/>
    </row>
    <row r="21501" spans="1:1">
      <c r="A21501" s="27"/>
    </row>
    <row r="21502" spans="1:1">
      <c r="A21502" s="27"/>
    </row>
    <row r="21503" spans="1:1">
      <c r="A21503" s="27"/>
    </row>
    <row r="21504" spans="1:1">
      <c r="A21504" s="27"/>
    </row>
    <row r="21505" spans="1:1">
      <c r="A21505" s="27"/>
    </row>
    <row r="21506" spans="1:1">
      <c r="A21506" s="27"/>
    </row>
    <row r="21507" spans="1:1">
      <c r="A21507" s="27"/>
    </row>
    <row r="21508" spans="1:1">
      <c r="A21508" s="27"/>
    </row>
    <row r="21509" spans="1:1">
      <c r="A21509" s="27"/>
    </row>
    <row r="21510" spans="1:1">
      <c r="A21510" s="27"/>
    </row>
    <row r="21511" spans="1:1">
      <c r="A21511" s="27"/>
    </row>
    <row r="21512" spans="1:1">
      <c r="A21512" s="27"/>
    </row>
    <row r="21513" spans="1:1">
      <c r="A21513" s="27"/>
    </row>
    <row r="21514" spans="1:1">
      <c r="A21514" s="27"/>
    </row>
    <row r="21515" spans="1:1">
      <c r="A21515" s="27"/>
    </row>
    <row r="21516" spans="1:1">
      <c r="A21516" s="27"/>
    </row>
    <row r="21517" spans="1:1">
      <c r="A21517" s="27"/>
    </row>
    <row r="21518" spans="1:1">
      <c r="A21518" s="27"/>
    </row>
    <row r="21519" spans="1:1">
      <c r="A21519" s="27"/>
    </row>
    <row r="21520" spans="1:1">
      <c r="A21520" s="27"/>
    </row>
    <row r="21521" spans="1:1">
      <c r="A21521" s="27"/>
    </row>
    <row r="21522" spans="1:1">
      <c r="A21522" s="27"/>
    </row>
    <row r="21523" spans="1:1">
      <c r="A21523" s="27"/>
    </row>
    <row r="21524" spans="1:1">
      <c r="A21524" s="27"/>
    </row>
    <row r="21525" spans="1:1">
      <c r="A21525" s="27"/>
    </row>
    <row r="21526" spans="1:1">
      <c r="A21526" s="27"/>
    </row>
    <row r="21527" spans="1:1">
      <c r="A21527" s="27"/>
    </row>
    <row r="21528" spans="1:1">
      <c r="A21528" s="27"/>
    </row>
    <row r="21529" spans="1:1">
      <c r="A21529" s="27"/>
    </row>
    <row r="21530" spans="1:1">
      <c r="A21530" s="27"/>
    </row>
    <row r="21531" spans="1:1">
      <c r="A21531" s="27"/>
    </row>
    <row r="21532" spans="1:1">
      <c r="A21532" s="27"/>
    </row>
    <row r="21533" spans="1:1">
      <c r="A21533" s="27"/>
    </row>
    <row r="21534" spans="1:1">
      <c r="A21534" s="27"/>
    </row>
    <row r="21535" spans="1:1">
      <c r="A21535" s="27"/>
    </row>
    <row r="21536" spans="1:1">
      <c r="A21536" s="27"/>
    </row>
    <row r="21537" spans="1:1">
      <c r="A21537" s="27"/>
    </row>
    <row r="21538" spans="1:1">
      <c r="A21538" s="27"/>
    </row>
    <row r="21539" spans="1:1">
      <c r="A21539" s="27"/>
    </row>
    <row r="21540" spans="1:1">
      <c r="A21540" s="27"/>
    </row>
    <row r="21541" spans="1:1">
      <c r="A21541" s="27"/>
    </row>
    <row r="21542" spans="1:1">
      <c r="A21542" s="27"/>
    </row>
    <row r="21543" spans="1:1">
      <c r="A21543" s="27"/>
    </row>
    <row r="21544" spans="1:1">
      <c r="A21544" s="27"/>
    </row>
    <row r="21545" spans="1:1">
      <c r="A21545" s="27"/>
    </row>
    <row r="21546" spans="1:1">
      <c r="A21546" s="27"/>
    </row>
    <row r="21547" spans="1:1">
      <c r="A21547" s="27"/>
    </row>
    <row r="21548" spans="1:1">
      <c r="A21548" s="27"/>
    </row>
    <row r="21549" spans="1:1">
      <c r="A21549" s="27"/>
    </row>
    <row r="21550" spans="1:1">
      <c r="A21550" s="27"/>
    </row>
    <row r="21551" spans="1:1">
      <c r="A21551" s="27"/>
    </row>
    <row r="21552" spans="1:1">
      <c r="A21552" s="27"/>
    </row>
    <row r="21553" spans="1:1">
      <c r="A21553" s="27"/>
    </row>
    <row r="21554" spans="1:1">
      <c r="A21554" s="27"/>
    </row>
    <row r="21555" spans="1:1">
      <c r="A21555" s="27"/>
    </row>
    <row r="21556" spans="1:1">
      <c r="A21556" s="27"/>
    </row>
    <row r="21557" spans="1:1">
      <c r="A21557" s="27"/>
    </row>
    <row r="21558" spans="1:1">
      <c r="A21558" s="27"/>
    </row>
    <row r="21559" spans="1:1">
      <c r="A21559" s="27"/>
    </row>
    <row r="21560" spans="1:1">
      <c r="A21560" s="27"/>
    </row>
    <row r="21561" spans="1:1">
      <c r="A21561" s="27"/>
    </row>
    <row r="21562" spans="1:1">
      <c r="A21562" s="27"/>
    </row>
    <row r="21563" spans="1:1">
      <c r="A21563" s="27"/>
    </row>
    <row r="21564" spans="1:1">
      <c r="A21564" s="27"/>
    </row>
    <row r="21565" spans="1:1">
      <c r="A21565" s="27"/>
    </row>
    <row r="21566" spans="1:1">
      <c r="A21566" s="27"/>
    </row>
    <row r="21567" spans="1:1">
      <c r="A21567" s="27"/>
    </row>
    <row r="21568" spans="1:1">
      <c r="A21568" s="27"/>
    </row>
    <row r="21569" spans="1:1">
      <c r="A21569" s="27"/>
    </row>
    <row r="21570" spans="1:1">
      <c r="A21570" s="27"/>
    </row>
    <row r="21571" spans="1:1">
      <c r="A21571" s="27"/>
    </row>
    <row r="21572" spans="1:1">
      <c r="A21572" s="27"/>
    </row>
    <row r="21573" spans="1:1">
      <c r="A21573" s="27"/>
    </row>
    <row r="21574" spans="1:1">
      <c r="A21574" s="27"/>
    </row>
    <row r="21575" spans="1:1">
      <c r="A21575" s="27"/>
    </row>
    <row r="21576" spans="1:1">
      <c r="A21576" s="27"/>
    </row>
    <row r="21577" spans="1:1">
      <c r="A21577" s="27"/>
    </row>
    <row r="21578" spans="1:1">
      <c r="A21578" s="27"/>
    </row>
    <row r="21579" spans="1:1">
      <c r="A21579" s="27"/>
    </row>
    <row r="21580" spans="1:1">
      <c r="A21580" s="27"/>
    </row>
    <row r="21581" spans="1:1">
      <c r="A21581" s="27"/>
    </row>
    <row r="21582" spans="1:1">
      <c r="A21582" s="27"/>
    </row>
    <row r="21583" spans="1:1">
      <c r="A21583" s="27"/>
    </row>
    <row r="21584" spans="1:1">
      <c r="A21584" s="27"/>
    </row>
    <row r="21585" spans="1:1">
      <c r="A21585" s="27"/>
    </row>
    <row r="21586" spans="1:1">
      <c r="A21586" s="27"/>
    </row>
    <row r="21587" spans="1:1">
      <c r="A21587" s="27"/>
    </row>
    <row r="21588" spans="1:1">
      <c r="A21588" s="27"/>
    </row>
    <row r="21589" spans="1:1">
      <c r="A21589" s="27"/>
    </row>
    <row r="21590" spans="1:1">
      <c r="A21590" s="27"/>
    </row>
    <row r="21591" spans="1:1">
      <c r="A21591" s="27"/>
    </row>
    <row r="21592" spans="1:1">
      <c r="A21592" s="27"/>
    </row>
    <row r="21593" spans="1:1">
      <c r="A21593" s="27"/>
    </row>
    <row r="21594" spans="1:1">
      <c r="A21594" s="27"/>
    </row>
    <row r="21595" spans="1:1">
      <c r="A21595" s="27"/>
    </row>
    <row r="21596" spans="1:1">
      <c r="A21596" s="27"/>
    </row>
    <row r="21597" spans="1:1">
      <c r="A21597" s="27"/>
    </row>
    <row r="21598" spans="1:1">
      <c r="A21598" s="27"/>
    </row>
    <row r="21599" spans="1:1">
      <c r="A21599" s="27"/>
    </row>
    <row r="21600" spans="1:1">
      <c r="A21600" s="27"/>
    </row>
    <row r="21601" spans="1:1">
      <c r="A21601" s="27"/>
    </row>
    <row r="21602" spans="1:1">
      <c r="A21602" s="27"/>
    </row>
    <row r="21603" spans="1:1">
      <c r="A21603" s="27"/>
    </row>
    <row r="21604" spans="1:1">
      <c r="A21604" s="27"/>
    </row>
    <row r="21605" spans="1:1">
      <c r="A21605" s="27"/>
    </row>
    <row r="21606" spans="1:1">
      <c r="A21606" s="27"/>
    </row>
    <row r="21607" spans="1:1">
      <c r="A21607" s="27"/>
    </row>
    <row r="21608" spans="1:1">
      <c r="A21608" s="27"/>
    </row>
    <row r="21609" spans="1:1">
      <c r="A21609" s="27"/>
    </row>
    <row r="21610" spans="1:1">
      <c r="A21610" s="27"/>
    </row>
    <row r="21611" spans="1:1">
      <c r="A21611" s="27"/>
    </row>
    <row r="21612" spans="1:1">
      <c r="A21612" s="27"/>
    </row>
    <row r="21613" spans="1:1">
      <c r="A21613" s="27"/>
    </row>
    <row r="21614" spans="1:1">
      <c r="A21614" s="27"/>
    </row>
    <row r="21615" spans="1:1">
      <c r="A21615" s="27"/>
    </row>
    <row r="21616" spans="1:1">
      <c r="A21616" s="27"/>
    </row>
    <row r="21617" spans="1:1">
      <c r="A21617" s="27"/>
    </row>
    <row r="21618" spans="1:1">
      <c r="A21618" s="27"/>
    </row>
    <row r="21619" spans="1:1">
      <c r="A21619" s="27"/>
    </row>
    <row r="21620" spans="1:1">
      <c r="A21620" s="27"/>
    </row>
    <row r="21621" spans="1:1">
      <c r="A21621" s="27"/>
    </row>
    <row r="21622" spans="1:1">
      <c r="A21622" s="27"/>
    </row>
    <row r="21623" spans="1:1">
      <c r="A21623" s="27"/>
    </row>
    <row r="21624" spans="1:1">
      <c r="A21624" s="27"/>
    </row>
    <row r="21625" spans="1:1">
      <c r="A21625" s="27"/>
    </row>
    <row r="21626" spans="1:1">
      <c r="A21626" s="27"/>
    </row>
    <row r="21627" spans="1:1">
      <c r="A21627" s="27"/>
    </row>
    <row r="21628" spans="1:1">
      <c r="A21628" s="27"/>
    </row>
    <row r="21629" spans="1:1">
      <c r="A21629" s="27"/>
    </row>
    <row r="21630" spans="1:1">
      <c r="A21630" s="27"/>
    </row>
    <row r="21631" spans="1:1">
      <c r="A21631" s="27"/>
    </row>
    <row r="21632" spans="1:1">
      <c r="A21632" s="27"/>
    </row>
    <row r="21633" spans="1:1">
      <c r="A21633" s="27"/>
    </row>
    <row r="21634" spans="1:1">
      <c r="A21634" s="27"/>
    </row>
    <row r="21635" spans="1:1">
      <c r="A21635" s="27"/>
    </row>
    <row r="21636" spans="1:1">
      <c r="A21636" s="27"/>
    </row>
    <row r="21637" spans="1:1">
      <c r="A21637" s="27"/>
    </row>
    <row r="21638" spans="1:1">
      <c r="A21638" s="27"/>
    </row>
    <row r="21639" spans="1:1">
      <c r="A21639" s="27"/>
    </row>
    <row r="21640" spans="1:1">
      <c r="A21640" s="27"/>
    </row>
    <row r="21641" spans="1:1">
      <c r="A21641" s="27"/>
    </row>
    <row r="21642" spans="1:1">
      <c r="A21642" s="27"/>
    </row>
    <row r="21643" spans="1:1">
      <c r="A21643" s="27"/>
    </row>
    <row r="21644" spans="1:1">
      <c r="A21644" s="27"/>
    </row>
    <row r="21645" spans="1:1">
      <c r="A21645" s="27"/>
    </row>
    <row r="21646" spans="1:1">
      <c r="A21646" s="27"/>
    </row>
    <row r="21647" spans="1:1">
      <c r="A21647" s="27"/>
    </row>
    <row r="21648" spans="1:1">
      <c r="A21648" s="27"/>
    </row>
    <row r="21649" spans="1:1">
      <c r="A21649" s="27"/>
    </row>
    <row r="21650" spans="1:1">
      <c r="A21650" s="27"/>
    </row>
    <row r="21651" spans="1:1">
      <c r="A21651" s="27"/>
    </row>
    <row r="21652" spans="1:1">
      <c r="A21652" s="27"/>
    </row>
    <row r="21653" spans="1:1">
      <c r="A21653" s="27"/>
    </row>
    <row r="21654" spans="1:1">
      <c r="A21654" s="27"/>
    </row>
    <row r="21655" spans="1:1">
      <c r="A21655" s="27"/>
    </row>
    <row r="21656" spans="1:1">
      <c r="A21656" s="27"/>
    </row>
    <row r="21657" spans="1:1">
      <c r="A21657" s="27"/>
    </row>
    <row r="21658" spans="1:1">
      <c r="A21658" s="27"/>
    </row>
    <row r="21659" spans="1:1">
      <c r="A21659" s="27"/>
    </row>
    <row r="21660" spans="1:1">
      <c r="A21660" s="27"/>
    </row>
    <row r="21661" spans="1:1">
      <c r="A21661" s="27"/>
    </row>
    <row r="21662" spans="1:1">
      <c r="A21662" s="27"/>
    </row>
    <row r="21663" spans="1:1">
      <c r="A21663" s="27"/>
    </row>
    <row r="21664" spans="1:1">
      <c r="A21664" s="27"/>
    </row>
    <row r="21665" spans="1:1">
      <c r="A21665" s="27"/>
    </row>
    <row r="21666" spans="1:1">
      <c r="A21666" s="27"/>
    </row>
    <row r="21667" spans="1:1">
      <c r="A21667" s="27"/>
    </row>
    <row r="21668" spans="1:1">
      <c r="A21668" s="27"/>
    </row>
    <row r="21669" spans="1:1">
      <c r="A21669" s="27"/>
    </row>
    <row r="21670" spans="1:1">
      <c r="A21670" s="27"/>
    </row>
    <row r="21671" spans="1:1">
      <c r="A21671" s="27"/>
    </row>
    <row r="21672" spans="1:1">
      <c r="A21672" s="27"/>
    </row>
    <row r="21673" spans="1:1">
      <c r="A21673" s="27"/>
    </row>
    <row r="21674" spans="1:1">
      <c r="A21674" s="27"/>
    </row>
    <row r="21675" spans="1:1">
      <c r="A21675" s="27"/>
    </row>
    <row r="21676" spans="1:1">
      <c r="A21676" s="27"/>
    </row>
    <row r="21677" spans="1:1">
      <c r="A21677" s="27"/>
    </row>
    <row r="21678" spans="1:1">
      <c r="A21678" s="27"/>
    </row>
    <row r="21679" spans="1:1">
      <c r="A21679" s="27"/>
    </row>
    <row r="21680" spans="1:1">
      <c r="A21680" s="27"/>
    </row>
    <row r="21681" spans="1:1">
      <c r="A21681" s="27"/>
    </row>
    <row r="21682" spans="1:1">
      <c r="A21682" s="27"/>
    </row>
    <row r="21683" spans="1:1">
      <c r="A21683" s="27"/>
    </row>
    <row r="21684" spans="1:1">
      <c r="A21684" s="27"/>
    </row>
    <row r="21685" spans="1:1">
      <c r="A21685" s="27"/>
    </row>
    <row r="21686" spans="1:1">
      <c r="A21686" s="27"/>
    </row>
    <row r="21687" spans="1:1">
      <c r="A21687" s="27"/>
    </row>
    <row r="21688" spans="1:1">
      <c r="A21688" s="27"/>
    </row>
    <row r="21689" spans="1:1">
      <c r="A21689" s="27"/>
    </row>
    <row r="21690" spans="1:1">
      <c r="A21690" s="27"/>
    </row>
    <row r="21691" spans="1:1">
      <c r="A21691" s="27"/>
    </row>
    <row r="21692" spans="1:1">
      <c r="A21692" s="27"/>
    </row>
    <row r="21693" spans="1:1">
      <c r="A21693" s="27"/>
    </row>
    <row r="21694" spans="1:1">
      <c r="A21694" s="27"/>
    </row>
    <row r="21695" spans="1:1">
      <c r="A21695" s="27"/>
    </row>
    <row r="21696" spans="1:1">
      <c r="A21696" s="27"/>
    </row>
    <row r="21697" spans="1:1">
      <c r="A21697" s="27"/>
    </row>
    <row r="21698" spans="1:1">
      <c r="A21698" s="27"/>
    </row>
    <row r="21699" spans="1:1">
      <c r="A21699" s="27"/>
    </row>
    <row r="21700" spans="1:1">
      <c r="A21700" s="27"/>
    </row>
    <row r="21701" spans="1:1">
      <c r="A21701" s="27"/>
    </row>
    <row r="21702" spans="1:1">
      <c r="A21702" s="27"/>
    </row>
    <row r="21703" spans="1:1">
      <c r="A21703" s="27"/>
    </row>
    <row r="21704" spans="1:1">
      <c r="A21704" s="27"/>
    </row>
    <row r="21705" spans="1:1">
      <c r="A21705" s="27"/>
    </row>
    <row r="21706" spans="1:1">
      <c r="A21706" s="27"/>
    </row>
    <row r="21707" spans="1:1">
      <c r="A21707" s="27"/>
    </row>
    <row r="21708" spans="1:1">
      <c r="A21708" s="27"/>
    </row>
    <row r="21709" spans="1:1">
      <c r="A21709" s="27"/>
    </row>
    <row r="21710" spans="1:1">
      <c r="A21710" s="27"/>
    </row>
    <row r="21711" spans="1:1">
      <c r="A21711" s="27"/>
    </row>
    <row r="21712" spans="1:1">
      <c r="A21712" s="27"/>
    </row>
    <row r="21713" spans="1:1">
      <c r="A21713" s="27"/>
    </row>
    <row r="21714" spans="1:1">
      <c r="A21714" s="27"/>
    </row>
    <row r="21715" spans="1:1">
      <c r="A21715" s="27"/>
    </row>
    <row r="21716" spans="1:1">
      <c r="A21716" s="27"/>
    </row>
    <row r="21717" spans="1:1">
      <c r="A21717" s="27"/>
    </row>
    <row r="21718" spans="1:1">
      <c r="A21718" s="27"/>
    </row>
    <row r="21719" spans="1:1">
      <c r="A21719" s="27"/>
    </row>
    <row r="21720" spans="1:1">
      <c r="A21720" s="27"/>
    </row>
    <row r="21721" spans="1:1">
      <c r="A21721" s="27"/>
    </row>
    <row r="21722" spans="1:1">
      <c r="A21722" s="27"/>
    </row>
    <row r="21723" spans="1:1">
      <c r="A21723" s="27"/>
    </row>
    <row r="21724" spans="1:1">
      <c r="A21724" s="27"/>
    </row>
    <row r="21725" spans="1:1">
      <c r="A21725" s="27"/>
    </row>
    <row r="21726" spans="1:1">
      <c r="A21726" s="27"/>
    </row>
    <row r="21727" spans="1:1">
      <c r="A21727" s="27"/>
    </row>
    <row r="21728" spans="1:1">
      <c r="A21728" s="27"/>
    </row>
    <row r="21729" spans="1:1">
      <c r="A21729" s="27"/>
    </row>
    <row r="21730" spans="1:1">
      <c r="A21730" s="27"/>
    </row>
    <row r="21731" spans="1:1">
      <c r="A21731" s="27"/>
    </row>
    <row r="21732" spans="1:1">
      <c r="A21732" s="27"/>
    </row>
    <row r="21733" spans="1:1">
      <c r="A21733" s="27"/>
    </row>
    <row r="21734" spans="1:1">
      <c r="A21734" s="27"/>
    </row>
    <row r="21735" spans="1:1">
      <c r="A21735" s="27"/>
    </row>
    <row r="21736" spans="1:1">
      <c r="A21736" s="27"/>
    </row>
    <row r="21737" spans="1:1">
      <c r="A21737" s="27"/>
    </row>
    <row r="21738" spans="1:1">
      <c r="A21738" s="27"/>
    </row>
    <row r="21739" spans="1:1">
      <c r="A21739" s="27"/>
    </row>
    <row r="21740" spans="1:1">
      <c r="A21740" s="27"/>
    </row>
    <row r="21741" spans="1:1">
      <c r="A21741" s="27"/>
    </row>
    <row r="21742" spans="1:1">
      <c r="A21742" s="27"/>
    </row>
    <row r="21743" spans="1:1">
      <c r="A21743" s="27"/>
    </row>
    <row r="21744" spans="1:1">
      <c r="A21744" s="27"/>
    </row>
    <row r="21745" spans="1:1">
      <c r="A21745" s="27"/>
    </row>
    <row r="21746" spans="1:1">
      <c r="A21746" s="27"/>
    </row>
    <row r="21747" spans="1:1">
      <c r="A21747" s="27"/>
    </row>
    <row r="21748" spans="1:1">
      <c r="A21748" s="27"/>
    </row>
    <row r="21749" spans="1:1">
      <c r="A21749" s="27"/>
    </row>
    <row r="21750" spans="1:1">
      <c r="A21750" s="27"/>
    </row>
    <row r="21751" spans="1:1">
      <c r="A21751" s="27"/>
    </row>
    <row r="21752" spans="1:1">
      <c r="A21752" s="27"/>
    </row>
    <row r="21753" spans="1:1">
      <c r="A21753" s="27"/>
    </row>
    <row r="21754" spans="1:1">
      <c r="A21754" s="27"/>
    </row>
    <row r="21755" spans="1:1">
      <c r="A21755" s="27"/>
    </row>
    <row r="21756" spans="1:1">
      <c r="A21756" s="27"/>
    </row>
    <row r="21757" spans="1:1">
      <c r="A21757" s="27"/>
    </row>
    <row r="21758" spans="1:1">
      <c r="A21758" s="27"/>
    </row>
    <row r="21759" spans="1:1">
      <c r="A21759" s="27"/>
    </row>
    <row r="21760" spans="1:1">
      <c r="A21760" s="27"/>
    </row>
    <row r="21761" spans="1:1">
      <c r="A21761" s="27"/>
    </row>
    <row r="21762" spans="1:1">
      <c r="A21762" s="27"/>
    </row>
    <row r="21763" spans="1:1">
      <c r="A21763" s="27"/>
    </row>
    <row r="21764" spans="1:1">
      <c r="A21764" s="27"/>
    </row>
    <row r="21765" spans="1:1">
      <c r="A21765" s="27"/>
    </row>
    <row r="21766" spans="1:1">
      <c r="A21766" s="27"/>
    </row>
    <row r="21767" spans="1:1">
      <c r="A21767" s="27"/>
    </row>
    <row r="21768" spans="1:1">
      <c r="A21768" s="27"/>
    </row>
    <row r="21769" spans="1:1">
      <c r="A21769" s="27"/>
    </row>
    <row r="21770" spans="1:1">
      <c r="A21770" s="27"/>
    </row>
    <row r="21771" spans="1:1">
      <c r="A21771" s="27"/>
    </row>
    <row r="21772" spans="1:1">
      <c r="A21772" s="27"/>
    </row>
    <row r="21773" spans="1:1">
      <c r="A21773" s="27"/>
    </row>
    <row r="21774" spans="1:1">
      <c r="A21774" s="27"/>
    </row>
    <row r="21775" spans="1:1">
      <c r="A21775" s="27"/>
    </row>
    <row r="21776" spans="1:1">
      <c r="A21776" s="27"/>
    </row>
    <row r="21777" spans="1:1">
      <c r="A21777" s="27"/>
    </row>
    <row r="21778" spans="1:1">
      <c r="A21778" s="27"/>
    </row>
    <row r="21779" spans="1:1">
      <c r="A21779" s="27"/>
    </row>
    <row r="21780" spans="1:1">
      <c r="A21780" s="27"/>
    </row>
    <row r="21781" spans="1:1">
      <c r="A21781" s="27"/>
    </row>
    <row r="21782" spans="1:1">
      <c r="A21782" s="27"/>
    </row>
    <row r="21783" spans="1:1">
      <c r="A21783" s="27"/>
    </row>
    <row r="21784" spans="1:1">
      <c r="A21784" s="27"/>
    </row>
    <row r="21785" spans="1:1">
      <c r="A21785" s="27"/>
    </row>
    <row r="21786" spans="1:1">
      <c r="A21786" s="27"/>
    </row>
    <row r="21787" spans="1:1">
      <c r="A21787" s="27"/>
    </row>
    <row r="21788" spans="1:1">
      <c r="A21788" s="27"/>
    </row>
    <row r="21789" spans="1:1">
      <c r="A21789" s="27"/>
    </row>
    <row r="21790" spans="1:1">
      <c r="A21790" s="27"/>
    </row>
    <row r="21791" spans="1:1">
      <c r="A21791" s="27"/>
    </row>
    <row r="21792" spans="1:1">
      <c r="A21792" s="27"/>
    </row>
    <row r="21793" spans="1:1">
      <c r="A21793" s="27"/>
    </row>
    <row r="21794" spans="1:1">
      <c r="A21794" s="27"/>
    </row>
    <row r="21795" spans="1:1">
      <c r="A21795" s="27"/>
    </row>
    <row r="21796" spans="1:1">
      <c r="A21796" s="27"/>
    </row>
    <row r="21797" spans="1:1">
      <c r="A21797" s="27"/>
    </row>
    <row r="21798" spans="1:1">
      <c r="A21798" s="27"/>
    </row>
    <row r="21799" spans="1:1">
      <c r="A21799" s="27"/>
    </row>
    <row r="21800" spans="1:1">
      <c r="A21800" s="27"/>
    </row>
    <row r="21801" spans="1:1">
      <c r="A21801" s="27"/>
    </row>
    <row r="21802" spans="1:1">
      <c r="A21802" s="27"/>
    </row>
    <row r="21803" spans="1:1">
      <c r="A21803" s="27"/>
    </row>
    <row r="21804" spans="1:1">
      <c r="A21804" s="27"/>
    </row>
    <row r="21805" spans="1:1">
      <c r="A21805" s="27"/>
    </row>
    <row r="21806" spans="1:1">
      <c r="A21806" s="27"/>
    </row>
    <row r="21807" spans="1:1">
      <c r="A21807" s="27"/>
    </row>
    <row r="21808" spans="1:1">
      <c r="A21808" s="27"/>
    </row>
    <row r="21809" spans="1:1">
      <c r="A21809" s="27"/>
    </row>
    <row r="21810" spans="1:1">
      <c r="A21810" s="27"/>
    </row>
    <row r="21811" spans="1:1">
      <c r="A21811" s="27"/>
    </row>
    <row r="21812" spans="1:1">
      <c r="A21812" s="27"/>
    </row>
    <row r="21813" spans="1:1">
      <c r="A21813" s="27"/>
    </row>
    <row r="21814" spans="1:1">
      <c r="A21814" s="27"/>
    </row>
    <row r="21815" spans="1:1">
      <c r="A21815" s="27"/>
    </row>
    <row r="21816" spans="1:1">
      <c r="A21816" s="27"/>
    </row>
    <row r="21817" spans="1:1">
      <c r="A21817" s="27"/>
    </row>
    <row r="21818" spans="1:1">
      <c r="A21818" s="27"/>
    </row>
    <row r="21819" spans="1:1">
      <c r="A21819" s="27"/>
    </row>
    <row r="21820" spans="1:1">
      <c r="A21820" s="27"/>
    </row>
    <row r="21821" spans="1:1">
      <c r="A21821" s="27"/>
    </row>
    <row r="21822" spans="1:1">
      <c r="A21822" s="27"/>
    </row>
    <row r="21823" spans="1:1">
      <c r="A21823" s="27"/>
    </row>
    <row r="21824" spans="1:1">
      <c r="A21824" s="27"/>
    </row>
    <row r="21825" spans="1:1">
      <c r="A21825" s="27"/>
    </row>
    <row r="21826" spans="1:1">
      <c r="A21826" s="27"/>
    </row>
    <row r="21827" spans="1:1">
      <c r="A21827" s="27"/>
    </row>
    <row r="21828" spans="1:1">
      <c r="A21828" s="27"/>
    </row>
    <row r="21829" spans="1:1">
      <c r="A21829" s="27"/>
    </row>
    <row r="21830" spans="1:1">
      <c r="A21830" s="27"/>
    </row>
    <row r="21831" spans="1:1">
      <c r="A21831" s="27"/>
    </row>
    <row r="21832" spans="1:1">
      <c r="A21832" s="27"/>
    </row>
    <row r="21833" spans="1:1">
      <c r="A21833" s="27"/>
    </row>
    <row r="21834" spans="1:1">
      <c r="A21834" s="27"/>
    </row>
    <row r="21835" spans="1:1">
      <c r="A21835" s="27"/>
    </row>
    <row r="21836" spans="1:1">
      <c r="A21836" s="27"/>
    </row>
    <row r="21837" spans="1:1">
      <c r="A21837" s="27"/>
    </row>
    <row r="21838" spans="1:1">
      <c r="A21838" s="27"/>
    </row>
    <row r="21839" spans="1:1">
      <c r="A21839" s="27"/>
    </row>
    <row r="21840" spans="1:1">
      <c r="A21840" s="27"/>
    </row>
    <row r="21841" spans="1:1">
      <c r="A21841" s="27"/>
    </row>
    <row r="21842" spans="1:1">
      <c r="A21842" s="27"/>
    </row>
    <row r="21843" spans="1:1">
      <c r="A21843" s="27"/>
    </row>
    <row r="21844" spans="1:1">
      <c r="A21844" s="27"/>
    </row>
    <row r="21845" spans="1:1">
      <c r="A21845" s="27"/>
    </row>
    <row r="21846" spans="1:1">
      <c r="A21846" s="27"/>
    </row>
    <row r="21847" spans="1:1">
      <c r="A21847" s="27"/>
    </row>
    <row r="21848" spans="1:1">
      <c r="A21848" s="27"/>
    </row>
    <row r="21849" spans="1:1">
      <c r="A21849" s="27"/>
    </row>
    <row r="21850" spans="1:1">
      <c r="A21850" s="27"/>
    </row>
    <row r="21851" spans="1:1">
      <c r="A21851" s="27"/>
    </row>
    <row r="21852" spans="1:1">
      <c r="A21852" s="27"/>
    </row>
    <row r="21853" spans="1:1">
      <c r="A21853" s="27"/>
    </row>
    <row r="21854" spans="1:1">
      <c r="A21854" s="27"/>
    </row>
    <row r="21855" spans="1:1">
      <c r="A21855" s="27"/>
    </row>
    <row r="21856" spans="1:1">
      <c r="A21856" s="27"/>
    </row>
    <row r="21857" spans="1:1">
      <c r="A21857" s="27"/>
    </row>
    <row r="21858" spans="1:1">
      <c r="A21858" s="27"/>
    </row>
    <row r="21859" spans="1:1">
      <c r="A21859" s="27"/>
    </row>
    <row r="21860" spans="1:1">
      <c r="A21860" s="27"/>
    </row>
    <row r="21861" spans="1:1">
      <c r="A21861" s="27"/>
    </row>
    <row r="21862" spans="1:1">
      <c r="A21862" s="27"/>
    </row>
    <row r="21863" spans="1:1">
      <c r="A21863" s="27"/>
    </row>
    <row r="21864" spans="1:1">
      <c r="A21864" s="27"/>
    </row>
    <row r="21865" spans="1:1">
      <c r="A21865" s="27"/>
    </row>
    <row r="21866" spans="1:1">
      <c r="A21866" s="27"/>
    </row>
    <row r="21867" spans="1:1">
      <c r="A21867" s="27"/>
    </row>
    <row r="21868" spans="1:1">
      <c r="A21868" s="27"/>
    </row>
    <row r="21869" spans="1:1">
      <c r="A21869" s="27"/>
    </row>
    <row r="21870" spans="1:1">
      <c r="A21870" s="27"/>
    </row>
    <row r="21871" spans="1:1">
      <c r="A21871" s="27"/>
    </row>
    <row r="21872" spans="1:1">
      <c r="A21872" s="27"/>
    </row>
    <row r="21873" spans="1:1">
      <c r="A21873" s="27"/>
    </row>
    <row r="21874" spans="1:1">
      <c r="A21874" s="27"/>
    </row>
    <row r="21875" spans="1:1">
      <c r="A21875" s="27"/>
    </row>
    <row r="21876" spans="1:1">
      <c r="A21876" s="27"/>
    </row>
    <row r="21877" spans="1:1">
      <c r="A21877" s="27"/>
    </row>
    <row r="21878" spans="1:1">
      <c r="A21878" s="27"/>
    </row>
    <row r="21879" spans="1:1">
      <c r="A21879" s="27"/>
    </row>
    <row r="21880" spans="1:1">
      <c r="A21880" s="27"/>
    </row>
    <row r="21881" spans="1:1">
      <c r="A21881" s="27"/>
    </row>
    <row r="21882" spans="1:1">
      <c r="A21882" s="27"/>
    </row>
    <row r="21883" spans="1:1">
      <c r="A21883" s="27"/>
    </row>
    <row r="21884" spans="1:1">
      <c r="A21884" s="27"/>
    </row>
    <row r="21885" spans="1:1">
      <c r="A21885" s="27"/>
    </row>
    <row r="21886" spans="1:1">
      <c r="A21886" s="27"/>
    </row>
    <row r="21887" spans="1:1">
      <c r="A21887" s="27"/>
    </row>
    <row r="21888" spans="1:1">
      <c r="A21888" s="27"/>
    </row>
    <row r="21889" spans="1:1">
      <c r="A21889" s="27"/>
    </row>
    <row r="21890" spans="1:1">
      <c r="A21890" s="27"/>
    </row>
    <row r="21891" spans="1:1">
      <c r="A21891" s="27"/>
    </row>
    <row r="21892" spans="1:1">
      <c r="A21892" s="27"/>
    </row>
    <row r="21893" spans="1:1">
      <c r="A21893" s="27"/>
    </row>
    <row r="21894" spans="1:1">
      <c r="A21894" s="27"/>
    </row>
    <row r="21895" spans="1:1">
      <c r="A21895" s="27"/>
    </row>
    <row r="21896" spans="1:1">
      <c r="A21896" s="27"/>
    </row>
    <row r="21897" spans="1:1">
      <c r="A21897" s="27"/>
    </row>
    <row r="21898" spans="1:1">
      <c r="A21898" s="27"/>
    </row>
    <row r="21899" spans="1:1">
      <c r="A21899" s="27"/>
    </row>
    <row r="21900" spans="1:1">
      <c r="A21900" s="27"/>
    </row>
    <row r="21901" spans="1:1">
      <c r="A21901" s="27"/>
    </row>
    <row r="21902" spans="1:1">
      <c r="A21902" s="27"/>
    </row>
    <row r="21903" spans="1:1">
      <c r="A21903" s="27"/>
    </row>
    <row r="21904" spans="1:1">
      <c r="A21904" s="27"/>
    </row>
    <row r="21905" spans="1:1">
      <c r="A21905" s="27"/>
    </row>
    <row r="21906" spans="1:1">
      <c r="A21906" s="27"/>
    </row>
    <row r="21907" spans="1:1">
      <c r="A21907" s="27"/>
    </row>
    <row r="21908" spans="1:1">
      <c r="A21908" s="27"/>
    </row>
    <row r="21909" spans="1:1">
      <c r="A21909" s="27"/>
    </row>
    <row r="21910" spans="1:1">
      <c r="A21910" s="27"/>
    </row>
    <row r="21911" spans="1:1">
      <c r="A21911" s="27"/>
    </row>
    <row r="21912" spans="1:1">
      <c r="A21912" s="27"/>
    </row>
    <row r="21913" spans="1:1">
      <c r="A21913" s="27"/>
    </row>
    <row r="21914" spans="1:1">
      <c r="A21914" s="27"/>
    </row>
    <row r="21915" spans="1:1">
      <c r="A21915" s="27"/>
    </row>
    <row r="21916" spans="1:1">
      <c r="A21916" s="27"/>
    </row>
    <row r="21917" spans="1:1">
      <c r="A21917" s="27"/>
    </row>
    <row r="21918" spans="1:1">
      <c r="A21918" s="27"/>
    </row>
    <row r="21919" spans="1:1">
      <c r="A21919" s="27"/>
    </row>
    <row r="21920" spans="1:1">
      <c r="A21920" s="27"/>
    </row>
    <row r="21921" spans="1:1">
      <c r="A21921" s="27"/>
    </row>
    <row r="21922" spans="1:1">
      <c r="A21922" s="27"/>
    </row>
    <row r="21923" spans="1:1">
      <c r="A21923" s="27"/>
    </row>
    <row r="21924" spans="1:1">
      <c r="A21924" s="27"/>
    </row>
    <row r="21925" spans="1:1">
      <c r="A21925" s="27"/>
    </row>
    <row r="21926" spans="1:1">
      <c r="A21926" s="27"/>
    </row>
    <row r="21927" spans="1:1">
      <c r="A21927" s="27"/>
    </row>
    <row r="21928" spans="1:1">
      <c r="A21928" s="27"/>
    </row>
    <row r="21929" spans="1:1">
      <c r="A21929" s="27"/>
    </row>
    <row r="21930" spans="1:1">
      <c r="A21930" s="27"/>
    </row>
    <row r="21931" spans="1:1">
      <c r="A21931" s="27"/>
    </row>
    <row r="21932" spans="1:1">
      <c r="A21932" s="27"/>
    </row>
    <row r="21933" spans="1:1">
      <c r="A21933" s="27"/>
    </row>
    <row r="21934" spans="1:1">
      <c r="A21934" s="27"/>
    </row>
    <row r="21935" spans="1:1">
      <c r="A21935" s="27"/>
    </row>
    <row r="21936" spans="1:1">
      <c r="A21936" s="27"/>
    </row>
    <row r="21937" spans="1:1">
      <c r="A21937" s="27"/>
    </row>
    <row r="21938" spans="1:1">
      <c r="A21938" s="27"/>
    </row>
    <row r="21939" spans="1:1">
      <c r="A21939" s="27"/>
    </row>
    <row r="21940" spans="1:1">
      <c r="A21940" s="27"/>
    </row>
    <row r="21941" spans="1:1">
      <c r="A21941" s="27"/>
    </row>
    <row r="21942" spans="1:1">
      <c r="A21942" s="27"/>
    </row>
    <row r="21943" spans="1:1">
      <c r="A21943" s="27"/>
    </row>
    <row r="21944" spans="1:1">
      <c r="A21944" s="27"/>
    </row>
    <row r="21945" spans="1:1">
      <c r="A21945" s="27"/>
    </row>
    <row r="21946" spans="1:1">
      <c r="A21946" s="27"/>
    </row>
    <row r="21947" spans="1:1">
      <c r="A21947" s="27"/>
    </row>
    <row r="21948" spans="1:1">
      <c r="A21948" s="27"/>
    </row>
    <row r="21949" spans="1:1">
      <c r="A21949" s="27"/>
    </row>
    <row r="21950" spans="1:1">
      <c r="A21950" s="27"/>
    </row>
    <row r="21951" spans="1:1">
      <c r="A21951" s="27"/>
    </row>
    <row r="21952" spans="1:1">
      <c r="A21952" s="27"/>
    </row>
    <row r="21953" spans="1:1">
      <c r="A21953" s="27"/>
    </row>
    <row r="21954" spans="1:1">
      <c r="A21954" s="27"/>
    </row>
    <row r="21955" spans="1:1">
      <c r="A21955" s="27"/>
    </row>
    <row r="21956" spans="1:1">
      <c r="A21956" s="27"/>
    </row>
    <row r="21957" spans="1:1">
      <c r="A21957" s="27"/>
    </row>
    <row r="21958" spans="1:1">
      <c r="A21958" s="27"/>
    </row>
    <row r="21959" spans="1:1">
      <c r="A21959" s="27"/>
    </row>
    <row r="21960" spans="1:1">
      <c r="A21960" s="27"/>
    </row>
    <row r="21961" spans="1:1">
      <c r="A21961" s="27"/>
    </row>
    <row r="21962" spans="1:1">
      <c r="A21962" s="27"/>
    </row>
    <row r="21963" spans="1:1">
      <c r="A21963" s="27"/>
    </row>
    <row r="21964" spans="1:1">
      <c r="A21964" s="27"/>
    </row>
    <row r="21965" spans="1:1">
      <c r="A21965" s="27"/>
    </row>
    <row r="21966" spans="1:1">
      <c r="A21966" s="27"/>
    </row>
    <row r="21967" spans="1:1">
      <c r="A21967" s="27"/>
    </row>
    <row r="21968" spans="1:1">
      <c r="A21968" s="27"/>
    </row>
    <row r="21969" spans="1:1">
      <c r="A21969" s="27"/>
    </row>
    <row r="21970" spans="1:1">
      <c r="A21970" s="27"/>
    </row>
    <row r="21971" spans="1:1">
      <c r="A21971" s="27"/>
    </row>
    <row r="21972" spans="1:1">
      <c r="A21972" s="27"/>
    </row>
    <row r="21973" spans="1:1">
      <c r="A21973" s="27"/>
    </row>
    <row r="21974" spans="1:1">
      <c r="A21974" s="27"/>
    </row>
    <row r="21975" spans="1:1">
      <c r="A21975" s="27"/>
    </row>
    <row r="21976" spans="1:1">
      <c r="A21976" s="27"/>
    </row>
    <row r="21977" spans="1:1">
      <c r="A21977" s="27"/>
    </row>
    <row r="21978" spans="1:1">
      <c r="A21978" s="27"/>
    </row>
    <row r="21979" spans="1:1">
      <c r="A21979" s="27"/>
    </row>
    <row r="21980" spans="1:1">
      <c r="A21980" s="27"/>
    </row>
    <row r="21981" spans="1:1">
      <c r="A21981" s="27"/>
    </row>
    <row r="21982" spans="1:1">
      <c r="A21982" s="27"/>
    </row>
    <row r="21983" spans="1:1">
      <c r="A21983" s="27"/>
    </row>
    <row r="21984" spans="1:1">
      <c r="A21984" s="27"/>
    </row>
    <row r="21985" spans="1:1">
      <c r="A21985" s="27"/>
    </row>
    <row r="21986" spans="1:1">
      <c r="A21986" s="27"/>
    </row>
    <row r="21987" spans="1:1">
      <c r="A21987" s="27"/>
    </row>
    <row r="21988" spans="1:1">
      <c r="A21988" s="27"/>
    </row>
    <row r="21989" spans="1:1">
      <c r="A21989" s="27"/>
    </row>
    <row r="21990" spans="1:1">
      <c r="A21990" s="27"/>
    </row>
    <row r="21991" spans="1:1">
      <c r="A21991" s="27"/>
    </row>
    <row r="21992" spans="1:1">
      <c r="A21992" s="27"/>
    </row>
    <row r="21993" spans="1:1">
      <c r="A21993" s="27"/>
    </row>
    <row r="21994" spans="1:1">
      <c r="A21994" s="27"/>
    </row>
    <row r="21995" spans="1:1">
      <c r="A21995" s="27"/>
    </row>
    <row r="21996" spans="1:1">
      <c r="A21996" s="27"/>
    </row>
    <row r="21997" spans="1:1">
      <c r="A21997" s="27"/>
    </row>
    <row r="21998" spans="1:1">
      <c r="A21998" s="27"/>
    </row>
    <row r="21999" spans="1:1">
      <c r="A21999" s="27"/>
    </row>
    <row r="22000" spans="1:1">
      <c r="A22000" s="27"/>
    </row>
    <row r="22001" spans="1:1">
      <c r="A22001" s="27"/>
    </row>
    <row r="22002" spans="1:1">
      <c r="A22002" s="27"/>
    </row>
    <row r="22003" spans="1:1">
      <c r="A22003" s="27"/>
    </row>
    <row r="22004" spans="1:1">
      <c r="A22004" s="27"/>
    </row>
    <row r="22005" spans="1:1">
      <c r="A22005" s="27"/>
    </row>
    <row r="22006" spans="1:1">
      <c r="A22006" s="27"/>
    </row>
    <row r="22007" spans="1:1">
      <c r="A22007" s="27"/>
    </row>
    <row r="22008" spans="1:1">
      <c r="A22008" s="27"/>
    </row>
    <row r="22009" spans="1:1">
      <c r="A22009" s="27"/>
    </row>
    <row r="22010" spans="1:1">
      <c r="A22010" s="27"/>
    </row>
    <row r="22011" spans="1:1">
      <c r="A22011" s="27"/>
    </row>
    <row r="22012" spans="1:1">
      <c r="A22012" s="27"/>
    </row>
    <row r="22013" spans="1:1">
      <c r="A22013" s="27"/>
    </row>
    <row r="22014" spans="1:1">
      <c r="A22014" s="27"/>
    </row>
    <row r="22015" spans="1:1">
      <c r="A22015" s="27"/>
    </row>
    <row r="22016" spans="1:1">
      <c r="A22016" s="27"/>
    </row>
    <row r="22017" spans="1:1">
      <c r="A22017" s="27"/>
    </row>
    <row r="22018" spans="1:1">
      <c r="A22018" s="27"/>
    </row>
    <row r="22019" spans="1:1">
      <c r="A22019" s="27"/>
    </row>
    <row r="22020" spans="1:1">
      <c r="A22020" s="27"/>
    </row>
    <row r="22021" spans="1:1">
      <c r="A22021" s="27"/>
    </row>
    <row r="22022" spans="1:1">
      <c r="A22022" s="27"/>
    </row>
    <row r="22023" spans="1:1">
      <c r="A22023" s="27"/>
    </row>
    <row r="22024" spans="1:1">
      <c r="A22024" s="27"/>
    </row>
    <row r="22025" spans="1:1">
      <c r="A22025" s="27"/>
    </row>
    <row r="22026" spans="1:1">
      <c r="A22026" s="27"/>
    </row>
    <row r="22027" spans="1:1">
      <c r="A22027" s="27"/>
    </row>
    <row r="22028" spans="1:1">
      <c r="A22028" s="27"/>
    </row>
    <row r="22029" spans="1:1">
      <c r="A22029" s="27"/>
    </row>
    <row r="22030" spans="1:1">
      <c r="A22030" s="27"/>
    </row>
    <row r="22031" spans="1:1">
      <c r="A22031" s="27"/>
    </row>
    <row r="22032" spans="1:1">
      <c r="A22032" s="27"/>
    </row>
    <row r="22033" spans="1:1">
      <c r="A22033" s="27"/>
    </row>
    <row r="22034" spans="1:1">
      <c r="A22034" s="27"/>
    </row>
    <row r="22035" spans="1:1">
      <c r="A22035" s="27"/>
    </row>
    <row r="22036" spans="1:1">
      <c r="A22036" s="27"/>
    </row>
    <row r="22037" spans="1:1">
      <c r="A22037" s="27"/>
    </row>
    <row r="22038" spans="1:1">
      <c r="A22038" s="27"/>
    </row>
    <row r="22039" spans="1:1">
      <c r="A22039" s="27"/>
    </row>
    <row r="22040" spans="1:1">
      <c r="A22040" s="27"/>
    </row>
    <row r="22041" spans="1:1">
      <c r="A22041" s="27"/>
    </row>
    <row r="22042" spans="1:1">
      <c r="A22042" s="27"/>
    </row>
    <row r="22043" spans="1:1">
      <c r="A22043" s="27"/>
    </row>
    <row r="22044" spans="1:1">
      <c r="A22044" s="27"/>
    </row>
    <row r="22045" spans="1:1">
      <c r="A22045" s="27"/>
    </row>
    <row r="22046" spans="1:1">
      <c r="A22046" s="27"/>
    </row>
    <row r="22047" spans="1:1">
      <c r="A22047" s="27"/>
    </row>
    <row r="22048" spans="1:1">
      <c r="A22048" s="27"/>
    </row>
    <row r="22049" spans="1:1">
      <c r="A22049" s="27"/>
    </row>
    <row r="22050" spans="1:1">
      <c r="A22050" s="27"/>
    </row>
    <row r="22051" spans="1:1">
      <c r="A22051" s="27"/>
    </row>
    <row r="22052" spans="1:1">
      <c r="A22052" s="27"/>
    </row>
    <row r="22053" spans="1:1">
      <c r="A22053" s="27"/>
    </row>
    <row r="22054" spans="1:1">
      <c r="A22054" s="27"/>
    </row>
    <row r="22055" spans="1:1">
      <c r="A22055" s="27"/>
    </row>
    <row r="22056" spans="1:1">
      <c r="A22056" s="27"/>
    </row>
    <row r="22057" spans="1:1">
      <c r="A22057" s="27"/>
    </row>
    <row r="22058" spans="1:1">
      <c r="A22058" s="27"/>
    </row>
    <row r="22059" spans="1:1">
      <c r="A22059" s="27"/>
    </row>
    <row r="22060" spans="1:1">
      <c r="A22060" s="27"/>
    </row>
    <row r="22061" spans="1:1">
      <c r="A22061" s="27"/>
    </row>
    <row r="22062" spans="1:1">
      <c r="A22062" s="27"/>
    </row>
    <row r="22063" spans="1:1">
      <c r="A22063" s="27"/>
    </row>
    <row r="22064" spans="1:1">
      <c r="A22064" s="27"/>
    </row>
    <row r="22065" spans="1:1">
      <c r="A22065" s="27"/>
    </row>
    <row r="22066" spans="1:1">
      <c r="A22066" s="27"/>
    </row>
    <row r="22067" spans="1:1">
      <c r="A22067" s="27"/>
    </row>
    <row r="22068" spans="1:1">
      <c r="A22068" s="27"/>
    </row>
    <row r="22069" spans="1:1">
      <c r="A22069" s="27"/>
    </row>
    <row r="22070" spans="1:1">
      <c r="A22070" s="27"/>
    </row>
    <row r="22071" spans="1:1">
      <c r="A22071" s="27"/>
    </row>
    <row r="22072" spans="1:1">
      <c r="A22072" s="27"/>
    </row>
    <row r="22073" spans="1:1">
      <c r="A22073" s="27"/>
    </row>
    <row r="22074" spans="1:1">
      <c r="A22074" s="27"/>
    </row>
    <row r="22075" spans="1:1">
      <c r="A22075" s="27"/>
    </row>
    <row r="22076" spans="1:1">
      <c r="A22076" s="27"/>
    </row>
    <row r="22077" spans="1:1">
      <c r="A22077" s="27"/>
    </row>
    <row r="22078" spans="1:1">
      <c r="A22078" s="27"/>
    </row>
    <row r="22079" spans="1:1">
      <c r="A22079" s="27"/>
    </row>
    <row r="22080" spans="1:1">
      <c r="A22080" s="27"/>
    </row>
    <row r="22081" spans="1:1">
      <c r="A22081" s="27"/>
    </row>
    <row r="22082" spans="1:1">
      <c r="A22082" s="27"/>
    </row>
    <row r="22083" spans="1:1">
      <c r="A22083" s="27"/>
    </row>
    <row r="22084" spans="1:1">
      <c r="A22084" s="27"/>
    </row>
    <row r="22085" spans="1:1">
      <c r="A22085" s="27"/>
    </row>
    <row r="22086" spans="1:1">
      <c r="A22086" s="27"/>
    </row>
    <row r="22087" spans="1:1">
      <c r="A22087" s="27"/>
    </row>
    <row r="22088" spans="1:1">
      <c r="A22088" s="27"/>
    </row>
    <row r="22089" spans="1:1">
      <c r="A22089" s="27"/>
    </row>
    <row r="22090" spans="1:1">
      <c r="A22090" s="27"/>
    </row>
    <row r="22091" spans="1:1">
      <c r="A22091" s="27"/>
    </row>
    <row r="22092" spans="1:1">
      <c r="A22092" s="27"/>
    </row>
    <row r="22093" spans="1:1">
      <c r="A22093" s="27"/>
    </row>
    <row r="22094" spans="1:1">
      <c r="A22094" s="27"/>
    </row>
    <row r="22095" spans="1:1">
      <c r="A22095" s="27"/>
    </row>
    <row r="22096" spans="1:1">
      <c r="A22096" s="27"/>
    </row>
    <row r="22097" spans="1:1">
      <c r="A22097" s="27"/>
    </row>
    <row r="22098" spans="1:1">
      <c r="A22098" s="27"/>
    </row>
    <row r="22099" spans="1:1">
      <c r="A22099" s="27"/>
    </row>
    <row r="22100" spans="1:1">
      <c r="A22100" s="27"/>
    </row>
    <row r="22101" spans="1:1">
      <c r="A22101" s="27"/>
    </row>
    <row r="22102" spans="1:1">
      <c r="A22102" s="27"/>
    </row>
    <row r="22103" spans="1:1">
      <c r="A22103" s="27"/>
    </row>
    <row r="22104" spans="1:1">
      <c r="A22104" s="27"/>
    </row>
    <row r="22105" spans="1:1">
      <c r="A22105" s="27"/>
    </row>
    <row r="22106" spans="1:1">
      <c r="A22106" s="27"/>
    </row>
    <row r="22107" spans="1:1">
      <c r="A22107" s="27"/>
    </row>
    <row r="22108" spans="1:1">
      <c r="A22108" s="27"/>
    </row>
    <row r="22109" spans="1:1">
      <c r="A22109" s="27"/>
    </row>
    <row r="22110" spans="1:1">
      <c r="A22110" s="27"/>
    </row>
    <row r="22111" spans="1:1">
      <c r="A22111" s="27"/>
    </row>
    <row r="22112" spans="1:1">
      <c r="A22112" s="27"/>
    </row>
    <row r="22113" spans="1:1">
      <c r="A22113" s="27"/>
    </row>
    <row r="22114" spans="1:1">
      <c r="A22114" s="27"/>
    </row>
    <row r="22115" spans="1:1">
      <c r="A22115" s="27"/>
    </row>
    <row r="22116" spans="1:1">
      <c r="A22116" s="27"/>
    </row>
    <row r="22117" spans="1:1">
      <c r="A22117" s="27"/>
    </row>
    <row r="22118" spans="1:1">
      <c r="A22118" s="27"/>
    </row>
    <row r="22119" spans="1:1">
      <c r="A22119" s="27"/>
    </row>
    <row r="22120" spans="1:1">
      <c r="A22120" s="27"/>
    </row>
    <row r="22121" spans="1:1">
      <c r="A22121" s="27"/>
    </row>
    <row r="22122" spans="1:1">
      <c r="A22122" s="27"/>
    </row>
    <row r="22123" spans="1:1">
      <c r="A22123" s="27"/>
    </row>
    <row r="22124" spans="1:1">
      <c r="A22124" s="27"/>
    </row>
    <row r="22125" spans="1:1">
      <c r="A22125" s="27"/>
    </row>
    <row r="22126" spans="1:1">
      <c r="A22126" s="27"/>
    </row>
    <row r="22127" spans="1:1">
      <c r="A22127" s="27"/>
    </row>
    <row r="22128" spans="1:1">
      <c r="A22128" s="27"/>
    </row>
    <row r="22129" spans="1:1">
      <c r="A22129" s="27"/>
    </row>
    <row r="22130" spans="1:1">
      <c r="A22130" s="27"/>
    </row>
    <row r="22131" spans="1:1">
      <c r="A22131" s="27"/>
    </row>
    <row r="22132" spans="1:1">
      <c r="A22132" s="27"/>
    </row>
    <row r="22133" spans="1:1">
      <c r="A22133" s="27"/>
    </row>
    <row r="22134" spans="1:1">
      <c r="A22134" s="27"/>
    </row>
    <row r="22135" spans="1:1">
      <c r="A22135" s="27"/>
    </row>
    <row r="22136" spans="1:1">
      <c r="A22136" s="27"/>
    </row>
    <row r="22137" spans="1:1">
      <c r="A22137" s="27"/>
    </row>
    <row r="22138" spans="1:1">
      <c r="A22138" s="27"/>
    </row>
    <row r="22139" spans="1:1">
      <c r="A22139" s="27"/>
    </row>
    <row r="22140" spans="1:1">
      <c r="A22140" s="27"/>
    </row>
    <row r="22141" spans="1:1">
      <c r="A22141" s="27"/>
    </row>
    <row r="22142" spans="1:1">
      <c r="A22142" s="27"/>
    </row>
    <row r="22143" spans="1:1">
      <c r="A22143" s="27"/>
    </row>
    <row r="22144" spans="1:1">
      <c r="A22144" s="27"/>
    </row>
    <row r="22145" spans="1:1">
      <c r="A22145" s="27"/>
    </row>
    <row r="22146" spans="1:1">
      <c r="A22146" s="27"/>
    </row>
    <row r="22147" spans="1:1">
      <c r="A22147" s="27"/>
    </row>
    <row r="22148" spans="1:1">
      <c r="A22148" s="27"/>
    </row>
    <row r="22149" spans="1:1">
      <c r="A22149" s="27"/>
    </row>
    <row r="22150" spans="1:1">
      <c r="A22150" s="27"/>
    </row>
    <row r="22151" spans="1:1">
      <c r="A22151" s="27"/>
    </row>
    <row r="22152" spans="1:1">
      <c r="A22152" s="27"/>
    </row>
    <row r="22153" spans="1:1">
      <c r="A22153" s="27"/>
    </row>
    <row r="22154" spans="1:1">
      <c r="A22154" s="27"/>
    </row>
    <row r="22155" spans="1:1">
      <c r="A22155" s="27"/>
    </row>
    <row r="22156" spans="1:1">
      <c r="A22156" s="27"/>
    </row>
    <row r="22157" spans="1:1">
      <c r="A22157" s="27"/>
    </row>
    <row r="22158" spans="1:1">
      <c r="A22158" s="27"/>
    </row>
    <row r="22159" spans="1:1">
      <c r="A22159" s="27"/>
    </row>
    <row r="22160" spans="1:1">
      <c r="A22160" s="27"/>
    </row>
    <row r="22161" spans="1:1">
      <c r="A22161" s="27"/>
    </row>
    <row r="22162" spans="1:1">
      <c r="A22162" s="27"/>
    </row>
    <row r="22163" spans="1:1">
      <c r="A22163" s="27"/>
    </row>
    <row r="22164" spans="1:1">
      <c r="A22164" s="27"/>
    </row>
    <row r="22165" spans="1:1">
      <c r="A22165" s="27"/>
    </row>
    <row r="22166" spans="1:1">
      <c r="A22166" s="27"/>
    </row>
    <row r="22167" spans="1:1">
      <c r="A22167" s="27"/>
    </row>
    <row r="22168" spans="1:1">
      <c r="A22168" s="27"/>
    </row>
    <row r="22169" spans="1:1">
      <c r="A22169" s="27"/>
    </row>
    <row r="22170" spans="1:1">
      <c r="A22170" s="27"/>
    </row>
    <row r="22171" spans="1:1">
      <c r="A22171" s="27"/>
    </row>
    <row r="22172" spans="1:1">
      <c r="A22172" s="27"/>
    </row>
    <row r="22173" spans="1:1">
      <c r="A22173" s="27"/>
    </row>
    <row r="22174" spans="1:1">
      <c r="A22174" s="27"/>
    </row>
    <row r="22175" spans="1:1">
      <c r="A22175" s="27"/>
    </row>
    <row r="22176" spans="1:1">
      <c r="A22176" s="27"/>
    </row>
    <row r="22177" spans="1:1">
      <c r="A22177" s="27"/>
    </row>
    <row r="22178" spans="1:1">
      <c r="A22178" s="27"/>
    </row>
    <row r="22179" spans="1:1">
      <c r="A22179" s="27"/>
    </row>
    <row r="22180" spans="1:1">
      <c r="A22180" s="27"/>
    </row>
    <row r="22181" spans="1:1">
      <c r="A22181" s="27"/>
    </row>
    <row r="22182" spans="1:1">
      <c r="A22182" s="27"/>
    </row>
    <row r="22183" spans="1:1">
      <c r="A22183" s="27"/>
    </row>
    <row r="22184" spans="1:1">
      <c r="A22184" s="27"/>
    </row>
    <row r="22185" spans="1:1">
      <c r="A22185" s="27"/>
    </row>
    <row r="22186" spans="1:1">
      <c r="A22186" s="27"/>
    </row>
    <row r="22187" spans="1:1">
      <c r="A22187" s="27"/>
    </row>
    <row r="22188" spans="1:1">
      <c r="A22188" s="27"/>
    </row>
    <row r="22189" spans="1:1">
      <c r="A22189" s="27"/>
    </row>
    <row r="22190" spans="1:1">
      <c r="A22190" s="27"/>
    </row>
    <row r="22191" spans="1:1">
      <c r="A22191" s="27"/>
    </row>
    <row r="22192" spans="1:1">
      <c r="A22192" s="27"/>
    </row>
    <row r="22193" spans="1:1">
      <c r="A22193" s="27"/>
    </row>
    <row r="22194" spans="1:1">
      <c r="A22194" s="27"/>
    </row>
    <row r="22195" spans="1:1">
      <c r="A22195" s="27"/>
    </row>
    <row r="22196" spans="1:1">
      <c r="A22196" s="27"/>
    </row>
    <row r="22197" spans="1:1">
      <c r="A22197" s="27"/>
    </row>
    <row r="22198" spans="1:1">
      <c r="A22198" s="27"/>
    </row>
    <row r="22199" spans="1:1">
      <c r="A22199" s="27"/>
    </row>
    <row r="22200" spans="1:1">
      <c r="A22200" s="27"/>
    </row>
    <row r="22201" spans="1:1">
      <c r="A22201" s="27"/>
    </row>
    <row r="22202" spans="1:1">
      <c r="A22202" s="27"/>
    </row>
    <row r="22203" spans="1:1">
      <c r="A22203" s="27"/>
    </row>
    <row r="22204" spans="1:1">
      <c r="A22204" s="27"/>
    </row>
    <row r="22205" spans="1:1">
      <c r="A22205" s="27"/>
    </row>
    <row r="22206" spans="1:1">
      <c r="A22206" s="27"/>
    </row>
    <row r="22207" spans="1:1">
      <c r="A22207" s="27"/>
    </row>
    <row r="22208" spans="1:1">
      <c r="A22208" s="27"/>
    </row>
    <row r="22209" spans="1:1">
      <c r="A22209" s="27"/>
    </row>
    <row r="22210" spans="1:1">
      <c r="A22210" s="27"/>
    </row>
    <row r="22211" spans="1:1">
      <c r="A22211" s="27"/>
    </row>
    <row r="22212" spans="1:1">
      <c r="A22212" s="27"/>
    </row>
    <row r="22213" spans="1:1">
      <c r="A22213" s="27"/>
    </row>
    <row r="22214" spans="1:1">
      <c r="A22214" s="27"/>
    </row>
    <row r="22215" spans="1:1">
      <c r="A22215" s="27"/>
    </row>
    <row r="22216" spans="1:1">
      <c r="A22216" s="27"/>
    </row>
    <row r="22217" spans="1:1">
      <c r="A22217" s="27"/>
    </row>
    <row r="22218" spans="1:1">
      <c r="A22218" s="27"/>
    </row>
    <row r="22219" spans="1:1">
      <c r="A22219" s="27"/>
    </row>
    <row r="22220" spans="1:1">
      <c r="A22220" s="27"/>
    </row>
    <row r="22221" spans="1:1">
      <c r="A22221" s="27"/>
    </row>
    <row r="22222" spans="1:1">
      <c r="A22222" s="27"/>
    </row>
    <row r="22223" spans="1:1">
      <c r="A22223" s="27"/>
    </row>
    <row r="22224" spans="1:1">
      <c r="A22224" s="27"/>
    </row>
    <row r="22225" spans="1:1">
      <c r="A22225" s="27"/>
    </row>
    <row r="22226" spans="1:1">
      <c r="A22226" s="27"/>
    </row>
    <row r="22227" spans="1:1">
      <c r="A22227" s="27"/>
    </row>
    <row r="22228" spans="1:1">
      <c r="A22228" s="27"/>
    </row>
    <row r="22229" spans="1:1">
      <c r="A22229" s="27"/>
    </row>
    <row r="22230" spans="1:1">
      <c r="A22230" s="27"/>
    </row>
    <row r="22231" spans="1:1">
      <c r="A22231" s="27"/>
    </row>
    <row r="22232" spans="1:1">
      <c r="A22232" s="27"/>
    </row>
    <row r="22233" spans="1:1">
      <c r="A22233" s="27"/>
    </row>
    <row r="22234" spans="1:1">
      <c r="A22234" s="27"/>
    </row>
    <row r="22235" spans="1:1">
      <c r="A22235" s="27"/>
    </row>
    <row r="22236" spans="1:1">
      <c r="A22236" s="27"/>
    </row>
    <row r="22237" spans="1:1">
      <c r="A22237" s="27"/>
    </row>
    <row r="22238" spans="1:1">
      <c r="A22238" s="27"/>
    </row>
    <row r="22239" spans="1:1">
      <c r="A22239" s="27"/>
    </row>
    <row r="22240" spans="1:1">
      <c r="A22240" s="27"/>
    </row>
    <row r="22241" spans="1:1">
      <c r="A22241" s="27"/>
    </row>
    <row r="22242" spans="1:1">
      <c r="A22242" s="27"/>
    </row>
    <row r="22243" spans="1:1">
      <c r="A22243" s="27"/>
    </row>
    <row r="22244" spans="1:1">
      <c r="A22244" s="27"/>
    </row>
    <row r="22245" spans="1:1">
      <c r="A22245" s="27"/>
    </row>
    <row r="22246" spans="1:1">
      <c r="A22246" s="27"/>
    </row>
    <row r="22247" spans="1:1">
      <c r="A22247" s="27"/>
    </row>
    <row r="22248" spans="1:1">
      <c r="A22248" s="27"/>
    </row>
    <row r="22249" spans="1:1">
      <c r="A22249" s="27"/>
    </row>
    <row r="22250" spans="1:1">
      <c r="A22250" s="27"/>
    </row>
    <row r="22251" spans="1:1">
      <c r="A22251" s="27"/>
    </row>
    <row r="22252" spans="1:1">
      <c r="A22252" s="27"/>
    </row>
    <row r="22253" spans="1:1">
      <c r="A22253" s="27"/>
    </row>
    <row r="22254" spans="1:1">
      <c r="A22254" s="27"/>
    </row>
    <row r="22255" spans="1:1">
      <c r="A22255" s="27"/>
    </row>
    <row r="22256" spans="1:1">
      <c r="A22256" s="27"/>
    </row>
    <row r="22257" spans="1:1">
      <c r="A22257" s="27"/>
    </row>
    <row r="22258" spans="1:1">
      <c r="A22258" s="27"/>
    </row>
    <row r="22259" spans="1:1">
      <c r="A22259" s="27"/>
    </row>
    <row r="22260" spans="1:1">
      <c r="A22260" s="27"/>
    </row>
    <row r="22261" spans="1:1">
      <c r="A22261" s="27"/>
    </row>
    <row r="22262" spans="1:1">
      <c r="A22262" s="27"/>
    </row>
    <row r="22263" spans="1:1">
      <c r="A22263" s="27"/>
    </row>
    <row r="22264" spans="1:1">
      <c r="A22264" s="27"/>
    </row>
    <row r="22265" spans="1:1">
      <c r="A22265" s="27"/>
    </row>
    <row r="22266" spans="1:1">
      <c r="A22266" s="27"/>
    </row>
    <row r="22267" spans="1:1">
      <c r="A22267" s="27"/>
    </row>
    <row r="22268" spans="1:1">
      <c r="A22268" s="27"/>
    </row>
    <row r="22269" spans="1:1">
      <c r="A22269" s="27"/>
    </row>
    <row r="22270" spans="1:1">
      <c r="A22270" s="27"/>
    </row>
    <row r="22271" spans="1:1">
      <c r="A22271" s="27"/>
    </row>
    <row r="22272" spans="1:1">
      <c r="A22272" s="27"/>
    </row>
    <row r="22273" spans="1:1">
      <c r="A22273" s="27"/>
    </row>
    <row r="22274" spans="1:1">
      <c r="A22274" s="27"/>
    </row>
    <row r="22275" spans="1:1">
      <c r="A22275" s="27"/>
    </row>
    <row r="22276" spans="1:1">
      <c r="A22276" s="27"/>
    </row>
    <row r="22277" spans="1:1">
      <c r="A22277" s="27"/>
    </row>
    <row r="22278" spans="1:1">
      <c r="A22278" s="27"/>
    </row>
    <row r="22279" spans="1:1">
      <c r="A22279" s="27"/>
    </row>
    <row r="22280" spans="1:1">
      <c r="A22280" s="27"/>
    </row>
    <row r="22281" spans="1:1">
      <c r="A22281" s="27"/>
    </row>
    <row r="22282" spans="1:1">
      <c r="A22282" s="27"/>
    </row>
    <row r="22283" spans="1:1">
      <c r="A22283" s="27"/>
    </row>
    <row r="22284" spans="1:1">
      <c r="A22284" s="27"/>
    </row>
    <row r="22285" spans="1:1">
      <c r="A22285" s="27"/>
    </row>
    <row r="22286" spans="1:1">
      <c r="A22286" s="27"/>
    </row>
    <row r="22287" spans="1:1">
      <c r="A22287" s="27"/>
    </row>
    <row r="22288" spans="1:1">
      <c r="A22288" s="27"/>
    </row>
    <row r="22289" spans="1:1">
      <c r="A22289" s="27"/>
    </row>
    <row r="22290" spans="1:1">
      <c r="A22290" s="27"/>
    </row>
    <row r="22291" spans="1:1">
      <c r="A22291" s="27"/>
    </row>
    <row r="22292" spans="1:1">
      <c r="A22292" s="27"/>
    </row>
    <row r="22293" spans="1:1">
      <c r="A22293" s="27"/>
    </row>
    <row r="22294" spans="1:1">
      <c r="A22294" s="27"/>
    </row>
    <row r="22295" spans="1:1">
      <c r="A22295" s="27"/>
    </row>
    <row r="22296" spans="1:1">
      <c r="A22296" s="27"/>
    </row>
    <row r="22297" spans="1:1">
      <c r="A22297" s="27"/>
    </row>
    <row r="22298" spans="1:1">
      <c r="A22298" s="27"/>
    </row>
    <row r="22299" spans="1:1">
      <c r="A22299" s="27"/>
    </row>
    <row r="22300" spans="1:1">
      <c r="A22300" s="27"/>
    </row>
    <row r="22301" spans="1:1">
      <c r="A22301" s="27"/>
    </row>
    <row r="22302" spans="1:1">
      <c r="A22302" s="27"/>
    </row>
    <row r="22303" spans="1:1">
      <c r="A22303" s="27"/>
    </row>
    <row r="22304" spans="1:1">
      <c r="A22304" s="27"/>
    </row>
    <row r="22305" spans="1:1">
      <c r="A22305" s="27"/>
    </row>
    <row r="22306" spans="1:1">
      <c r="A22306" s="27"/>
    </row>
    <row r="22307" spans="1:1">
      <c r="A22307" s="27"/>
    </row>
    <row r="22308" spans="1:1">
      <c r="A22308" s="27"/>
    </row>
    <row r="22309" spans="1:1">
      <c r="A22309" s="27"/>
    </row>
    <row r="22310" spans="1:1">
      <c r="A22310" s="27"/>
    </row>
    <row r="22311" spans="1:1">
      <c r="A22311" s="27"/>
    </row>
    <row r="22312" spans="1:1">
      <c r="A22312" s="27"/>
    </row>
    <row r="22313" spans="1:1">
      <c r="A22313" s="27"/>
    </row>
    <row r="22314" spans="1:1">
      <c r="A22314" s="27"/>
    </row>
    <row r="22315" spans="1:1">
      <c r="A22315" s="27"/>
    </row>
    <row r="22316" spans="1:1">
      <c r="A22316" s="27"/>
    </row>
    <row r="22317" spans="1:1">
      <c r="A22317" s="27"/>
    </row>
    <row r="22318" spans="1:1">
      <c r="A22318" s="27"/>
    </row>
    <row r="22319" spans="1:1">
      <c r="A22319" s="27"/>
    </row>
    <row r="22320" spans="1:1">
      <c r="A22320" s="27"/>
    </row>
    <row r="22321" spans="1:1">
      <c r="A22321" s="27"/>
    </row>
    <row r="22322" spans="1:1">
      <c r="A22322" s="27"/>
    </row>
    <row r="22323" spans="1:1">
      <c r="A22323" s="27"/>
    </row>
    <row r="22324" spans="1:1">
      <c r="A22324" s="27"/>
    </row>
    <row r="22325" spans="1:1">
      <c r="A22325" s="27"/>
    </row>
    <row r="22326" spans="1:1">
      <c r="A22326" s="27"/>
    </row>
    <row r="22327" spans="1:1">
      <c r="A22327" s="27"/>
    </row>
    <row r="22328" spans="1:1">
      <c r="A22328" s="27"/>
    </row>
    <row r="22329" spans="1:1">
      <c r="A22329" s="27"/>
    </row>
    <row r="22330" spans="1:1">
      <c r="A22330" s="27"/>
    </row>
    <row r="22331" spans="1:1">
      <c r="A22331" s="27"/>
    </row>
    <row r="22332" spans="1:1">
      <c r="A22332" s="27"/>
    </row>
    <row r="22333" spans="1:1">
      <c r="A22333" s="27"/>
    </row>
    <row r="22334" spans="1:1">
      <c r="A22334" s="27"/>
    </row>
    <row r="22335" spans="1:1">
      <c r="A22335" s="27"/>
    </row>
    <row r="22336" spans="1:1">
      <c r="A22336" s="27"/>
    </row>
    <row r="22337" spans="1:1">
      <c r="A22337" s="27"/>
    </row>
    <row r="22338" spans="1:1">
      <c r="A22338" s="27"/>
    </row>
    <row r="22339" spans="1:1">
      <c r="A22339" s="27"/>
    </row>
    <row r="22340" spans="1:1">
      <c r="A22340" s="27"/>
    </row>
    <row r="22341" spans="1:1">
      <c r="A22341" s="27"/>
    </row>
    <row r="22342" spans="1:1">
      <c r="A22342" s="27"/>
    </row>
    <row r="22343" spans="1:1">
      <c r="A22343" s="27"/>
    </row>
    <row r="22344" spans="1:1">
      <c r="A22344" s="27"/>
    </row>
    <row r="22345" spans="1:1">
      <c r="A22345" s="27"/>
    </row>
    <row r="22346" spans="1:1">
      <c r="A22346" s="27"/>
    </row>
    <row r="22347" spans="1:1">
      <c r="A22347" s="27"/>
    </row>
    <row r="22348" spans="1:1">
      <c r="A22348" s="27"/>
    </row>
    <row r="22349" spans="1:1">
      <c r="A22349" s="27"/>
    </row>
    <row r="22350" spans="1:1">
      <c r="A22350" s="27"/>
    </row>
    <row r="22351" spans="1:1">
      <c r="A22351" s="27"/>
    </row>
    <row r="22352" spans="1:1">
      <c r="A22352" s="27"/>
    </row>
    <row r="22353" spans="1:1">
      <c r="A22353" s="27"/>
    </row>
    <row r="22354" spans="1:1">
      <c r="A22354" s="27"/>
    </row>
    <row r="22355" spans="1:1">
      <c r="A22355" s="27"/>
    </row>
    <row r="22356" spans="1:1">
      <c r="A22356" s="27"/>
    </row>
    <row r="22357" spans="1:1">
      <c r="A22357" s="27"/>
    </row>
    <row r="22358" spans="1:1">
      <c r="A22358" s="27"/>
    </row>
    <row r="22359" spans="1:1">
      <c r="A22359" s="27"/>
    </row>
    <row r="22360" spans="1:1">
      <c r="A22360" s="27"/>
    </row>
    <row r="22361" spans="1:1">
      <c r="A22361" s="27"/>
    </row>
    <row r="22362" spans="1:1">
      <c r="A22362" s="27"/>
    </row>
    <row r="22363" spans="1:1">
      <c r="A22363" s="27"/>
    </row>
    <row r="22364" spans="1:1">
      <c r="A22364" s="27"/>
    </row>
    <row r="22365" spans="1:1">
      <c r="A22365" s="27"/>
    </row>
    <row r="22366" spans="1:1">
      <c r="A22366" s="27"/>
    </row>
    <row r="22367" spans="1:1">
      <c r="A22367" s="27"/>
    </row>
    <row r="22368" spans="1:1">
      <c r="A22368" s="27"/>
    </row>
    <row r="22369" spans="1:1">
      <c r="A22369" s="27"/>
    </row>
    <row r="22370" spans="1:1">
      <c r="A22370" s="27"/>
    </row>
    <row r="22371" spans="1:1">
      <c r="A22371" s="27"/>
    </row>
    <row r="22372" spans="1:1">
      <c r="A22372" s="27"/>
    </row>
    <row r="22373" spans="1:1">
      <c r="A22373" s="27"/>
    </row>
    <row r="22374" spans="1:1">
      <c r="A22374" s="27"/>
    </row>
    <row r="22375" spans="1:1">
      <c r="A22375" s="27"/>
    </row>
    <row r="22376" spans="1:1">
      <c r="A22376" s="27"/>
    </row>
    <row r="22377" spans="1:1">
      <c r="A22377" s="27"/>
    </row>
    <row r="22378" spans="1:1">
      <c r="A22378" s="27"/>
    </row>
    <row r="22379" spans="1:1">
      <c r="A22379" s="27"/>
    </row>
    <row r="22380" spans="1:1">
      <c r="A22380" s="27"/>
    </row>
    <row r="22381" spans="1:1">
      <c r="A22381" s="27"/>
    </row>
    <row r="22382" spans="1:1">
      <c r="A22382" s="27"/>
    </row>
    <row r="22383" spans="1:1">
      <c r="A22383" s="27"/>
    </row>
    <row r="22384" spans="1:1">
      <c r="A22384" s="27"/>
    </row>
    <row r="22385" spans="1:1">
      <c r="A22385" s="27"/>
    </row>
    <row r="22386" spans="1:1">
      <c r="A22386" s="27"/>
    </row>
    <row r="22387" spans="1:1">
      <c r="A22387" s="27"/>
    </row>
    <row r="22388" spans="1:1">
      <c r="A22388" s="27"/>
    </row>
    <row r="22389" spans="1:1">
      <c r="A22389" s="27"/>
    </row>
    <row r="22390" spans="1:1">
      <c r="A22390" s="27"/>
    </row>
    <row r="22391" spans="1:1">
      <c r="A22391" s="27"/>
    </row>
    <row r="22392" spans="1:1">
      <c r="A22392" s="27"/>
    </row>
    <row r="22393" spans="1:1">
      <c r="A22393" s="27"/>
    </row>
    <row r="22394" spans="1:1">
      <c r="A22394" s="27"/>
    </row>
    <row r="22395" spans="1:1">
      <c r="A22395" s="27"/>
    </row>
    <row r="22396" spans="1:1">
      <c r="A22396" s="27"/>
    </row>
    <row r="22397" spans="1:1">
      <c r="A22397" s="27"/>
    </row>
    <row r="22398" spans="1:1">
      <c r="A22398" s="27"/>
    </row>
    <row r="22399" spans="1:1">
      <c r="A22399" s="27"/>
    </row>
    <row r="22400" spans="1:1">
      <c r="A22400" s="27"/>
    </row>
    <row r="22401" spans="1:1">
      <c r="A22401" s="27"/>
    </row>
    <row r="22402" spans="1:1">
      <c r="A22402" s="27"/>
    </row>
    <row r="22403" spans="1:1">
      <c r="A22403" s="27"/>
    </row>
    <row r="22404" spans="1:1">
      <c r="A22404" s="27"/>
    </row>
    <row r="22405" spans="1:1">
      <c r="A22405" s="27"/>
    </row>
    <row r="22406" spans="1:1">
      <c r="A22406" s="27"/>
    </row>
    <row r="22407" spans="1:1">
      <c r="A22407" s="27"/>
    </row>
    <row r="22408" spans="1:1">
      <c r="A22408" s="27"/>
    </row>
    <row r="22409" spans="1:1">
      <c r="A22409" s="27"/>
    </row>
    <row r="22410" spans="1:1">
      <c r="A22410" s="27"/>
    </row>
    <row r="22411" spans="1:1">
      <c r="A22411" s="27"/>
    </row>
    <row r="22412" spans="1:1">
      <c r="A22412" s="27"/>
    </row>
    <row r="22413" spans="1:1">
      <c r="A22413" s="27"/>
    </row>
    <row r="22414" spans="1:1">
      <c r="A22414" s="27"/>
    </row>
    <row r="22415" spans="1:1">
      <c r="A22415" s="27"/>
    </row>
    <row r="22416" spans="1:1">
      <c r="A22416" s="27"/>
    </row>
    <row r="22417" spans="1:1">
      <c r="A22417" s="27"/>
    </row>
    <row r="22418" spans="1:1">
      <c r="A22418" s="27"/>
    </row>
    <row r="22419" spans="1:1">
      <c r="A22419" s="27"/>
    </row>
    <row r="22420" spans="1:1">
      <c r="A22420" s="27"/>
    </row>
    <row r="22421" spans="1:1">
      <c r="A22421" s="27"/>
    </row>
    <row r="22422" spans="1:1">
      <c r="A22422" s="27"/>
    </row>
    <row r="22423" spans="1:1">
      <c r="A22423" s="27"/>
    </row>
    <row r="22424" spans="1:1">
      <c r="A22424" s="27"/>
    </row>
    <row r="22425" spans="1:1">
      <c r="A22425" s="27"/>
    </row>
    <row r="22426" spans="1:1">
      <c r="A22426" s="27"/>
    </row>
    <row r="22427" spans="1:1">
      <c r="A22427" s="27"/>
    </row>
    <row r="22428" spans="1:1">
      <c r="A22428" s="27"/>
    </row>
    <row r="22429" spans="1:1">
      <c r="A22429" s="27"/>
    </row>
    <row r="22430" spans="1:1">
      <c r="A22430" s="27"/>
    </row>
    <row r="22431" spans="1:1">
      <c r="A22431" s="27"/>
    </row>
    <row r="22432" spans="1:1">
      <c r="A22432" s="27"/>
    </row>
    <row r="22433" spans="1:1">
      <c r="A22433" s="27"/>
    </row>
    <row r="22434" spans="1:1">
      <c r="A22434" s="27"/>
    </row>
    <row r="22435" spans="1:1">
      <c r="A22435" s="27"/>
    </row>
    <row r="22436" spans="1:1">
      <c r="A22436" s="27"/>
    </row>
    <row r="22437" spans="1:1">
      <c r="A22437" s="27"/>
    </row>
    <row r="22438" spans="1:1">
      <c r="A22438" s="27"/>
    </row>
    <row r="22439" spans="1:1">
      <c r="A22439" s="27"/>
    </row>
    <row r="22440" spans="1:1">
      <c r="A22440" s="27"/>
    </row>
    <row r="22441" spans="1:1">
      <c r="A22441" s="27"/>
    </row>
    <row r="22442" spans="1:1">
      <c r="A22442" s="27"/>
    </row>
    <row r="22443" spans="1:1">
      <c r="A22443" s="27"/>
    </row>
    <row r="22444" spans="1:1">
      <c r="A22444" s="27"/>
    </row>
    <row r="22445" spans="1:1">
      <c r="A22445" s="27"/>
    </row>
    <row r="22446" spans="1:1">
      <c r="A22446" s="27"/>
    </row>
    <row r="22447" spans="1:1">
      <c r="A22447" s="27"/>
    </row>
    <row r="22448" spans="1:1">
      <c r="A22448" s="27"/>
    </row>
    <row r="22449" spans="1:1">
      <c r="A22449" s="27"/>
    </row>
    <row r="22450" spans="1:1">
      <c r="A22450" s="27"/>
    </row>
    <row r="22451" spans="1:1">
      <c r="A22451" s="27"/>
    </row>
    <row r="22452" spans="1:1">
      <c r="A22452" s="27"/>
    </row>
    <row r="22453" spans="1:1">
      <c r="A22453" s="27"/>
    </row>
    <row r="22454" spans="1:1">
      <c r="A22454" s="27"/>
    </row>
    <row r="22455" spans="1:1">
      <c r="A22455" s="27"/>
    </row>
    <row r="22456" spans="1:1">
      <c r="A22456" s="27"/>
    </row>
    <row r="22457" spans="1:1">
      <c r="A22457" s="27"/>
    </row>
    <row r="22458" spans="1:1">
      <c r="A22458" s="27"/>
    </row>
    <row r="22459" spans="1:1">
      <c r="A22459" s="27"/>
    </row>
    <row r="22460" spans="1:1">
      <c r="A22460" s="27"/>
    </row>
    <row r="22461" spans="1:1">
      <c r="A22461" s="27"/>
    </row>
    <row r="22462" spans="1:1">
      <c r="A22462" s="27"/>
    </row>
    <row r="22463" spans="1:1">
      <c r="A22463" s="27"/>
    </row>
    <row r="22464" spans="1:1">
      <c r="A22464" s="27"/>
    </row>
    <row r="22465" spans="1:1">
      <c r="A22465" s="27"/>
    </row>
    <row r="22466" spans="1:1">
      <c r="A22466" s="27"/>
    </row>
    <row r="22467" spans="1:1">
      <c r="A22467" s="27"/>
    </row>
    <row r="22468" spans="1:1">
      <c r="A22468" s="27"/>
    </row>
    <row r="22469" spans="1:1">
      <c r="A22469" s="27"/>
    </row>
    <row r="22470" spans="1:1">
      <c r="A22470" s="27"/>
    </row>
    <row r="22471" spans="1:1">
      <c r="A22471" s="27"/>
    </row>
    <row r="22472" spans="1:1">
      <c r="A22472" s="27"/>
    </row>
    <row r="22473" spans="1:1">
      <c r="A22473" s="27"/>
    </row>
    <row r="22474" spans="1:1">
      <c r="A22474" s="27"/>
    </row>
    <row r="22475" spans="1:1">
      <c r="A22475" s="27"/>
    </row>
    <row r="22476" spans="1:1">
      <c r="A22476" s="27"/>
    </row>
    <row r="22477" spans="1:1">
      <c r="A22477" s="27"/>
    </row>
    <row r="22478" spans="1:1">
      <c r="A22478" s="27"/>
    </row>
    <row r="22479" spans="1:1">
      <c r="A22479" s="27"/>
    </row>
    <row r="22480" spans="1:1">
      <c r="A22480" s="27"/>
    </row>
    <row r="22481" spans="1:1">
      <c r="A22481" s="27"/>
    </row>
    <row r="22482" spans="1:1">
      <c r="A22482" s="27"/>
    </row>
    <row r="22483" spans="1:1">
      <c r="A22483" s="27"/>
    </row>
    <row r="22484" spans="1:1">
      <c r="A22484" s="27"/>
    </row>
    <row r="22485" spans="1:1">
      <c r="A22485" s="27"/>
    </row>
    <row r="22486" spans="1:1">
      <c r="A22486" s="27"/>
    </row>
    <row r="22487" spans="1:1">
      <c r="A22487" s="27"/>
    </row>
    <row r="22488" spans="1:1">
      <c r="A22488" s="27"/>
    </row>
    <row r="22489" spans="1:1">
      <c r="A22489" s="27"/>
    </row>
    <row r="22490" spans="1:1">
      <c r="A22490" s="27"/>
    </row>
    <row r="22491" spans="1:1">
      <c r="A22491" s="27"/>
    </row>
    <row r="22492" spans="1:1">
      <c r="A22492" s="27"/>
    </row>
    <row r="22493" spans="1:1">
      <c r="A22493" s="27"/>
    </row>
    <row r="22494" spans="1:1">
      <c r="A22494" s="27"/>
    </row>
    <row r="22495" spans="1:1">
      <c r="A22495" s="27"/>
    </row>
    <row r="22496" spans="1:1">
      <c r="A22496" s="27"/>
    </row>
    <row r="22497" spans="1:1">
      <c r="A22497" s="27"/>
    </row>
    <row r="22498" spans="1:1">
      <c r="A22498" s="27"/>
    </row>
    <row r="22499" spans="1:1">
      <c r="A22499" s="27"/>
    </row>
    <row r="22500" spans="1:1">
      <c r="A22500" s="27"/>
    </row>
    <row r="22501" spans="1:1">
      <c r="A22501" s="27"/>
    </row>
    <row r="22502" spans="1:1">
      <c r="A22502" s="27"/>
    </row>
    <row r="22503" spans="1:1">
      <c r="A22503" s="27"/>
    </row>
    <row r="22504" spans="1:1">
      <c r="A22504" s="27"/>
    </row>
    <row r="22505" spans="1:1">
      <c r="A22505" s="27"/>
    </row>
    <row r="22506" spans="1:1">
      <c r="A22506" s="27"/>
    </row>
    <row r="22507" spans="1:1">
      <c r="A22507" s="27"/>
    </row>
    <row r="22508" spans="1:1">
      <c r="A22508" s="27"/>
    </row>
    <row r="22509" spans="1:1">
      <c r="A22509" s="27"/>
    </row>
    <row r="22510" spans="1:1">
      <c r="A22510" s="27"/>
    </row>
    <row r="22511" spans="1:1">
      <c r="A22511" s="27"/>
    </row>
    <row r="22512" spans="1:1">
      <c r="A22512" s="27"/>
    </row>
    <row r="22513" spans="1:1">
      <c r="A22513" s="27"/>
    </row>
    <row r="22514" spans="1:1">
      <c r="A22514" s="27"/>
    </row>
    <row r="22515" spans="1:1">
      <c r="A22515" s="27"/>
    </row>
    <row r="22516" spans="1:1">
      <c r="A22516" s="27"/>
    </row>
    <row r="22517" spans="1:1">
      <c r="A22517" s="27"/>
    </row>
    <row r="22518" spans="1:1">
      <c r="A22518" s="27"/>
    </row>
    <row r="22519" spans="1:1">
      <c r="A22519" s="27"/>
    </row>
    <row r="22520" spans="1:1">
      <c r="A22520" s="27"/>
    </row>
    <row r="22521" spans="1:1">
      <c r="A22521" s="27"/>
    </row>
    <row r="22522" spans="1:1">
      <c r="A22522" s="27"/>
    </row>
    <row r="22523" spans="1:1">
      <c r="A22523" s="27"/>
    </row>
    <row r="22524" spans="1:1">
      <c r="A22524" s="27"/>
    </row>
    <row r="22525" spans="1:1">
      <c r="A22525" s="27"/>
    </row>
    <row r="22526" spans="1:1">
      <c r="A22526" s="27"/>
    </row>
    <row r="22527" spans="1:1">
      <c r="A22527" s="27"/>
    </row>
    <row r="22528" spans="1:1">
      <c r="A22528" s="27"/>
    </row>
    <row r="22529" spans="1:1">
      <c r="A22529" s="27"/>
    </row>
    <row r="22530" spans="1:1">
      <c r="A22530" s="27"/>
    </row>
    <row r="22531" spans="1:1">
      <c r="A22531" s="27"/>
    </row>
    <row r="22532" spans="1:1">
      <c r="A22532" s="27"/>
    </row>
    <row r="22533" spans="1:1">
      <c r="A22533" s="27"/>
    </row>
    <row r="22534" spans="1:1">
      <c r="A22534" s="27"/>
    </row>
    <row r="22535" spans="1:1">
      <c r="A22535" s="27"/>
    </row>
    <row r="22536" spans="1:1">
      <c r="A22536" s="27"/>
    </row>
    <row r="22537" spans="1:1">
      <c r="A22537" s="27"/>
    </row>
    <row r="22538" spans="1:1">
      <c r="A22538" s="27"/>
    </row>
    <row r="22539" spans="1:1">
      <c r="A22539" s="27"/>
    </row>
    <row r="22540" spans="1:1">
      <c r="A22540" s="27"/>
    </row>
    <row r="22541" spans="1:1">
      <c r="A22541" s="27"/>
    </row>
    <row r="22542" spans="1:1">
      <c r="A22542" s="27"/>
    </row>
    <row r="22543" spans="1:1">
      <c r="A22543" s="27"/>
    </row>
    <row r="22544" spans="1:1">
      <c r="A22544" s="27"/>
    </row>
    <row r="22545" spans="1:1">
      <c r="A22545" s="27"/>
    </row>
    <row r="22546" spans="1:1">
      <c r="A22546" s="27"/>
    </row>
    <row r="22547" spans="1:1">
      <c r="A22547" s="27"/>
    </row>
    <row r="22548" spans="1:1">
      <c r="A22548" s="27"/>
    </row>
    <row r="22549" spans="1:1">
      <c r="A22549" s="27"/>
    </row>
    <row r="22550" spans="1:1">
      <c r="A22550" s="27"/>
    </row>
    <row r="22551" spans="1:1">
      <c r="A22551" s="27"/>
    </row>
    <row r="22552" spans="1:1">
      <c r="A22552" s="27"/>
    </row>
    <row r="22553" spans="1:1">
      <c r="A22553" s="27"/>
    </row>
    <row r="22554" spans="1:1">
      <c r="A22554" s="27"/>
    </row>
    <row r="22555" spans="1:1">
      <c r="A22555" s="27"/>
    </row>
    <row r="22556" spans="1:1">
      <c r="A22556" s="27"/>
    </row>
    <row r="22557" spans="1:1">
      <c r="A22557" s="27"/>
    </row>
    <row r="22558" spans="1:1">
      <c r="A22558" s="27"/>
    </row>
    <row r="22559" spans="1:1">
      <c r="A22559" s="27"/>
    </row>
    <row r="22560" spans="1:1">
      <c r="A22560" s="27"/>
    </row>
    <row r="22561" spans="1:1">
      <c r="A22561" s="27"/>
    </row>
    <row r="22562" spans="1:1">
      <c r="A22562" s="27"/>
    </row>
    <row r="22563" spans="1:1">
      <c r="A22563" s="27"/>
    </row>
    <row r="22564" spans="1:1">
      <c r="A22564" s="27"/>
    </row>
    <row r="22565" spans="1:1">
      <c r="A22565" s="27"/>
    </row>
    <row r="22566" spans="1:1">
      <c r="A22566" s="27"/>
    </row>
    <row r="22567" spans="1:1">
      <c r="A22567" s="27"/>
    </row>
    <row r="22568" spans="1:1">
      <c r="A22568" s="27"/>
    </row>
    <row r="22569" spans="1:1">
      <c r="A22569" s="27"/>
    </row>
    <row r="22570" spans="1:1">
      <c r="A22570" s="27"/>
    </row>
    <row r="22571" spans="1:1">
      <c r="A22571" s="27"/>
    </row>
    <row r="22572" spans="1:1">
      <c r="A22572" s="27"/>
    </row>
    <row r="22573" spans="1:1">
      <c r="A22573" s="27"/>
    </row>
    <row r="22574" spans="1:1">
      <c r="A22574" s="27"/>
    </row>
    <row r="22575" spans="1:1">
      <c r="A22575" s="27"/>
    </row>
    <row r="22576" spans="1:1">
      <c r="A22576" s="27"/>
    </row>
    <row r="22577" spans="1:1">
      <c r="A22577" s="27"/>
    </row>
    <row r="22578" spans="1:1">
      <c r="A22578" s="27"/>
    </row>
    <row r="22579" spans="1:1">
      <c r="A22579" s="27"/>
    </row>
    <row r="22580" spans="1:1">
      <c r="A22580" s="27"/>
    </row>
    <row r="22581" spans="1:1">
      <c r="A22581" s="27"/>
    </row>
    <row r="22582" spans="1:1">
      <c r="A22582" s="27"/>
    </row>
    <row r="22583" spans="1:1">
      <c r="A22583" s="27"/>
    </row>
    <row r="22584" spans="1:1">
      <c r="A22584" s="27"/>
    </row>
    <row r="22585" spans="1:1">
      <c r="A22585" s="27"/>
    </row>
    <row r="22586" spans="1:1">
      <c r="A22586" s="27"/>
    </row>
    <row r="22587" spans="1:1">
      <c r="A22587" s="27"/>
    </row>
    <row r="22588" spans="1:1">
      <c r="A22588" s="27"/>
    </row>
    <row r="22589" spans="1:1">
      <c r="A22589" s="27"/>
    </row>
    <row r="22590" spans="1:1">
      <c r="A22590" s="27"/>
    </row>
    <row r="22591" spans="1:1">
      <c r="A22591" s="27"/>
    </row>
    <row r="22592" spans="1:1">
      <c r="A22592" s="27"/>
    </row>
    <row r="22593" spans="1:1">
      <c r="A22593" s="27"/>
    </row>
    <row r="22594" spans="1:1">
      <c r="A22594" s="27"/>
    </row>
    <row r="22595" spans="1:1">
      <c r="A22595" s="27"/>
    </row>
    <row r="22596" spans="1:1">
      <c r="A22596" s="27"/>
    </row>
    <row r="22597" spans="1:1">
      <c r="A22597" s="27"/>
    </row>
    <row r="22598" spans="1:1">
      <c r="A22598" s="27"/>
    </row>
    <row r="22599" spans="1:1">
      <c r="A22599" s="27"/>
    </row>
    <row r="22600" spans="1:1">
      <c r="A22600" s="27"/>
    </row>
    <row r="22601" spans="1:1">
      <c r="A22601" s="27"/>
    </row>
    <row r="22602" spans="1:1">
      <c r="A22602" s="27"/>
    </row>
    <row r="22603" spans="1:1">
      <c r="A22603" s="27"/>
    </row>
    <row r="22604" spans="1:1">
      <c r="A22604" s="27"/>
    </row>
    <row r="22605" spans="1:1">
      <c r="A22605" s="27"/>
    </row>
    <row r="22606" spans="1:1">
      <c r="A22606" s="27"/>
    </row>
    <row r="22607" spans="1:1">
      <c r="A22607" s="27"/>
    </row>
    <row r="22608" spans="1:1">
      <c r="A22608" s="27"/>
    </row>
    <row r="22609" spans="1:1">
      <c r="A22609" s="27"/>
    </row>
    <row r="22610" spans="1:1">
      <c r="A22610" s="27"/>
    </row>
    <row r="22611" spans="1:1">
      <c r="A22611" s="27"/>
    </row>
    <row r="22612" spans="1:1">
      <c r="A22612" s="27"/>
    </row>
    <row r="22613" spans="1:1">
      <c r="A22613" s="27"/>
    </row>
    <row r="22614" spans="1:1">
      <c r="A22614" s="27"/>
    </row>
    <row r="22615" spans="1:1">
      <c r="A22615" s="27"/>
    </row>
    <row r="22616" spans="1:1">
      <c r="A22616" s="27"/>
    </row>
    <row r="22617" spans="1:1">
      <c r="A22617" s="27"/>
    </row>
    <row r="22618" spans="1:1">
      <c r="A22618" s="27"/>
    </row>
    <row r="22619" spans="1:1">
      <c r="A22619" s="27"/>
    </row>
    <row r="22620" spans="1:1">
      <c r="A22620" s="27"/>
    </row>
    <row r="22621" spans="1:1">
      <c r="A22621" s="27"/>
    </row>
    <row r="22622" spans="1:1">
      <c r="A22622" s="27"/>
    </row>
    <row r="22623" spans="1:1">
      <c r="A22623" s="27"/>
    </row>
    <row r="22624" spans="1:1">
      <c r="A22624" s="27"/>
    </row>
    <row r="22625" spans="1:1">
      <c r="A22625" s="27"/>
    </row>
    <row r="22626" spans="1:1">
      <c r="A22626" s="27"/>
    </row>
    <row r="22627" spans="1:1">
      <c r="A22627" s="27"/>
    </row>
    <row r="22628" spans="1:1">
      <c r="A22628" s="27"/>
    </row>
    <row r="22629" spans="1:1">
      <c r="A22629" s="27"/>
    </row>
    <row r="22630" spans="1:1">
      <c r="A22630" s="27"/>
    </row>
    <row r="22631" spans="1:1">
      <c r="A22631" s="27"/>
    </row>
    <row r="22632" spans="1:1">
      <c r="A22632" s="27"/>
    </row>
    <row r="22633" spans="1:1">
      <c r="A22633" s="27"/>
    </row>
    <row r="22634" spans="1:1">
      <c r="A22634" s="27"/>
    </row>
    <row r="22635" spans="1:1">
      <c r="A22635" s="27"/>
    </row>
    <row r="22636" spans="1:1">
      <c r="A22636" s="27"/>
    </row>
    <row r="22637" spans="1:1">
      <c r="A22637" s="27"/>
    </row>
    <row r="22638" spans="1:1">
      <c r="A22638" s="27"/>
    </row>
    <row r="22639" spans="1:1">
      <c r="A22639" s="27"/>
    </row>
    <row r="22640" spans="1:1">
      <c r="A22640" s="27"/>
    </row>
    <row r="22641" spans="1:1">
      <c r="A22641" s="27"/>
    </row>
    <row r="22642" spans="1:1">
      <c r="A22642" s="27"/>
    </row>
    <row r="22643" spans="1:1">
      <c r="A22643" s="27"/>
    </row>
    <row r="22644" spans="1:1">
      <c r="A22644" s="27"/>
    </row>
    <row r="22645" spans="1:1">
      <c r="A22645" s="27"/>
    </row>
    <row r="22646" spans="1:1">
      <c r="A22646" s="27"/>
    </row>
    <row r="22647" spans="1:1">
      <c r="A22647" s="27"/>
    </row>
    <row r="22648" spans="1:1">
      <c r="A22648" s="27"/>
    </row>
    <row r="22649" spans="1:1">
      <c r="A22649" s="27"/>
    </row>
    <row r="22650" spans="1:1">
      <c r="A22650" s="27"/>
    </row>
    <row r="22651" spans="1:1">
      <c r="A22651" s="27"/>
    </row>
    <row r="22652" spans="1:1">
      <c r="A22652" s="27"/>
    </row>
    <row r="22653" spans="1:1">
      <c r="A22653" s="27"/>
    </row>
    <row r="22654" spans="1:1">
      <c r="A22654" s="27"/>
    </row>
    <row r="22655" spans="1:1">
      <c r="A22655" s="27"/>
    </row>
    <row r="22656" spans="1:1">
      <c r="A22656" s="27"/>
    </row>
    <row r="22657" spans="1:1">
      <c r="A22657" s="27"/>
    </row>
    <row r="22658" spans="1:1">
      <c r="A22658" s="27"/>
    </row>
    <row r="22659" spans="1:1">
      <c r="A22659" s="27"/>
    </row>
    <row r="22660" spans="1:1">
      <c r="A22660" s="27"/>
    </row>
    <row r="22661" spans="1:1">
      <c r="A22661" s="27"/>
    </row>
    <row r="22662" spans="1:1">
      <c r="A22662" s="27"/>
    </row>
    <row r="22663" spans="1:1">
      <c r="A22663" s="27"/>
    </row>
    <row r="22664" spans="1:1">
      <c r="A22664" s="27"/>
    </row>
    <row r="22665" spans="1:1">
      <c r="A22665" s="27"/>
    </row>
    <row r="22666" spans="1:1">
      <c r="A22666" s="27"/>
    </row>
    <row r="22667" spans="1:1">
      <c r="A22667" s="27"/>
    </row>
    <row r="22668" spans="1:1">
      <c r="A22668" s="27"/>
    </row>
    <row r="22669" spans="1:1">
      <c r="A22669" s="27"/>
    </row>
    <row r="22670" spans="1:1">
      <c r="A22670" s="27"/>
    </row>
    <row r="22671" spans="1:1">
      <c r="A22671" s="27"/>
    </row>
    <row r="22672" spans="1:1">
      <c r="A22672" s="27"/>
    </row>
    <row r="22673" spans="1:1">
      <c r="A22673" s="27"/>
    </row>
    <row r="22674" spans="1:1">
      <c r="A22674" s="27"/>
    </row>
    <row r="22675" spans="1:1">
      <c r="A22675" s="27"/>
    </row>
    <row r="22676" spans="1:1">
      <c r="A22676" s="27"/>
    </row>
    <row r="22677" spans="1:1">
      <c r="A22677" s="27"/>
    </row>
    <row r="22678" spans="1:1">
      <c r="A22678" s="27"/>
    </row>
    <row r="22679" spans="1:1">
      <c r="A22679" s="27"/>
    </row>
    <row r="22680" spans="1:1">
      <c r="A22680" s="27"/>
    </row>
    <row r="22681" spans="1:1">
      <c r="A22681" s="27"/>
    </row>
    <row r="22682" spans="1:1">
      <c r="A22682" s="27"/>
    </row>
    <row r="22683" spans="1:1">
      <c r="A22683" s="27"/>
    </row>
    <row r="22684" spans="1:1">
      <c r="A22684" s="27"/>
    </row>
    <row r="22685" spans="1:1">
      <c r="A22685" s="27"/>
    </row>
    <row r="22686" spans="1:1">
      <c r="A22686" s="27"/>
    </row>
    <row r="22687" spans="1:1">
      <c r="A22687" s="27"/>
    </row>
    <row r="22688" spans="1:1">
      <c r="A22688" s="27"/>
    </row>
    <row r="22689" spans="1:1">
      <c r="A22689" s="27"/>
    </row>
    <row r="22690" spans="1:1">
      <c r="A22690" s="27"/>
    </row>
    <row r="22691" spans="1:1">
      <c r="A22691" s="27"/>
    </row>
    <row r="22692" spans="1:1">
      <c r="A22692" s="27"/>
    </row>
    <row r="22693" spans="1:1">
      <c r="A22693" s="27"/>
    </row>
    <row r="22694" spans="1:1">
      <c r="A22694" s="27"/>
    </row>
    <row r="22695" spans="1:1">
      <c r="A22695" s="27"/>
    </row>
    <row r="22696" spans="1:1">
      <c r="A22696" s="27"/>
    </row>
    <row r="22697" spans="1:1">
      <c r="A22697" s="27"/>
    </row>
    <row r="22698" spans="1:1">
      <c r="A22698" s="27"/>
    </row>
    <row r="22699" spans="1:1">
      <c r="A22699" s="27"/>
    </row>
    <row r="22700" spans="1:1">
      <c r="A22700" s="27"/>
    </row>
    <row r="22701" spans="1:1">
      <c r="A22701" s="27"/>
    </row>
    <row r="22702" spans="1:1">
      <c r="A22702" s="27"/>
    </row>
    <row r="22703" spans="1:1">
      <c r="A22703" s="27"/>
    </row>
    <row r="22704" spans="1:1">
      <c r="A22704" s="27"/>
    </row>
    <row r="22705" spans="1:1">
      <c r="A22705" s="27"/>
    </row>
    <row r="22706" spans="1:1">
      <c r="A22706" s="27"/>
    </row>
    <row r="22707" spans="1:1">
      <c r="A22707" s="27"/>
    </row>
    <row r="22708" spans="1:1">
      <c r="A22708" s="27"/>
    </row>
    <row r="22709" spans="1:1">
      <c r="A22709" s="27"/>
    </row>
    <row r="22710" spans="1:1">
      <c r="A22710" s="27"/>
    </row>
    <row r="22711" spans="1:1">
      <c r="A22711" s="27"/>
    </row>
    <row r="22712" spans="1:1">
      <c r="A22712" s="27"/>
    </row>
    <row r="22713" spans="1:1">
      <c r="A22713" s="27"/>
    </row>
    <row r="22714" spans="1:1">
      <c r="A22714" s="27"/>
    </row>
    <row r="22715" spans="1:1">
      <c r="A22715" s="27"/>
    </row>
    <row r="22716" spans="1:1">
      <c r="A22716" s="27"/>
    </row>
    <row r="22717" spans="1:1">
      <c r="A22717" s="27"/>
    </row>
    <row r="22718" spans="1:1">
      <c r="A22718" s="27"/>
    </row>
    <row r="22719" spans="1:1">
      <c r="A22719" s="27"/>
    </row>
    <row r="22720" spans="1:1">
      <c r="A22720" s="27"/>
    </row>
    <row r="22721" spans="1:1">
      <c r="A22721" s="27"/>
    </row>
    <row r="22722" spans="1:1">
      <c r="A22722" s="27"/>
    </row>
    <row r="22723" spans="1:1">
      <c r="A22723" s="27"/>
    </row>
    <row r="22724" spans="1:1">
      <c r="A22724" s="27"/>
    </row>
    <row r="22725" spans="1:1">
      <c r="A22725" s="27"/>
    </row>
    <row r="22726" spans="1:1">
      <c r="A22726" s="27"/>
    </row>
    <row r="22727" spans="1:1">
      <c r="A22727" s="27"/>
    </row>
    <row r="22728" spans="1:1">
      <c r="A22728" s="27"/>
    </row>
    <row r="22729" spans="1:1">
      <c r="A22729" s="27"/>
    </row>
    <row r="22730" spans="1:1">
      <c r="A22730" s="27"/>
    </row>
    <row r="22731" spans="1:1">
      <c r="A22731" s="27"/>
    </row>
    <row r="22732" spans="1:1">
      <c r="A22732" s="27"/>
    </row>
    <row r="22733" spans="1:1">
      <c r="A22733" s="27"/>
    </row>
    <row r="22734" spans="1:1">
      <c r="A22734" s="27"/>
    </row>
    <row r="22735" spans="1:1">
      <c r="A22735" s="27"/>
    </row>
    <row r="22736" spans="1:1">
      <c r="A22736" s="27"/>
    </row>
    <row r="22737" spans="1:1">
      <c r="A22737" s="27"/>
    </row>
    <row r="22738" spans="1:1">
      <c r="A22738" s="27"/>
    </row>
    <row r="22739" spans="1:1">
      <c r="A22739" s="27"/>
    </row>
    <row r="22740" spans="1:1">
      <c r="A22740" s="27"/>
    </row>
    <row r="22741" spans="1:1">
      <c r="A22741" s="27"/>
    </row>
    <row r="22742" spans="1:1">
      <c r="A22742" s="27"/>
    </row>
    <row r="22743" spans="1:1">
      <c r="A22743" s="27"/>
    </row>
    <row r="22744" spans="1:1">
      <c r="A22744" s="27"/>
    </row>
    <row r="22745" spans="1:1">
      <c r="A22745" s="27"/>
    </row>
    <row r="22746" spans="1:1">
      <c r="A22746" s="27"/>
    </row>
    <row r="22747" spans="1:1">
      <c r="A22747" s="27"/>
    </row>
    <row r="22748" spans="1:1">
      <c r="A22748" s="27"/>
    </row>
    <row r="22749" spans="1:1">
      <c r="A22749" s="27"/>
    </row>
    <row r="22750" spans="1:1">
      <c r="A22750" s="27"/>
    </row>
    <row r="22751" spans="1:1">
      <c r="A22751" s="27"/>
    </row>
    <row r="22752" spans="1:1">
      <c r="A22752" s="27"/>
    </row>
    <row r="22753" spans="1:1">
      <c r="A22753" s="27"/>
    </row>
    <row r="22754" spans="1:1">
      <c r="A22754" s="27"/>
    </row>
    <row r="22755" spans="1:1">
      <c r="A22755" s="27"/>
    </row>
    <row r="22756" spans="1:1">
      <c r="A22756" s="27"/>
    </row>
    <row r="22757" spans="1:1">
      <c r="A22757" s="27"/>
    </row>
    <row r="22758" spans="1:1">
      <c r="A22758" s="27"/>
    </row>
    <row r="22759" spans="1:1">
      <c r="A22759" s="27"/>
    </row>
    <row r="22760" spans="1:1">
      <c r="A22760" s="27"/>
    </row>
    <row r="22761" spans="1:1">
      <c r="A22761" s="27"/>
    </row>
    <row r="22762" spans="1:1">
      <c r="A22762" s="27"/>
    </row>
    <row r="22763" spans="1:1">
      <c r="A22763" s="27"/>
    </row>
    <row r="22764" spans="1:1">
      <c r="A22764" s="27"/>
    </row>
    <row r="22765" spans="1:1">
      <c r="A22765" s="27"/>
    </row>
    <row r="22766" spans="1:1">
      <c r="A22766" s="27"/>
    </row>
    <row r="22767" spans="1:1">
      <c r="A22767" s="27"/>
    </row>
    <row r="22768" spans="1:1">
      <c r="A22768" s="27"/>
    </row>
    <row r="22769" spans="1:1">
      <c r="A22769" s="27"/>
    </row>
    <row r="22770" spans="1:1">
      <c r="A22770" s="27"/>
    </row>
    <row r="22771" spans="1:1">
      <c r="A22771" s="27"/>
    </row>
    <row r="22772" spans="1:1">
      <c r="A22772" s="27"/>
    </row>
    <row r="22773" spans="1:1">
      <c r="A22773" s="27"/>
    </row>
    <row r="22774" spans="1:1">
      <c r="A22774" s="27"/>
    </row>
    <row r="22775" spans="1:1">
      <c r="A22775" s="27"/>
    </row>
    <row r="22776" spans="1:1">
      <c r="A22776" s="27"/>
    </row>
    <row r="22777" spans="1:1">
      <c r="A22777" s="27"/>
    </row>
    <row r="22778" spans="1:1">
      <c r="A22778" s="27"/>
    </row>
    <row r="22779" spans="1:1">
      <c r="A22779" s="27"/>
    </row>
    <row r="22780" spans="1:1">
      <c r="A22780" s="27"/>
    </row>
    <row r="22781" spans="1:1">
      <c r="A22781" s="27"/>
    </row>
    <row r="22782" spans="1:1">
      <c r="A22782" s="27"/>
    </row>
    <row r="22783" spans="1:1">
      <c r="A22783" s="27"/>
    </row>
    <row r="22784" spans="1:1">
      <c r="A22784" s="27"/>
    </row>
    <row r="22785" spans="1:1">
      <c r="A22785" s="27"/>
    </row>
    <row r="22786" spans="1:1">
      <c r="A22786" s="27"/>
    </row>
    <row r="22787" spans="1:1">
      <c r="A22787" s="27"/>
    </row>
    <row r="22788" spans="1:1">
      <c r="A22788" s="27"/>
    </row>
    <row r="22789" spans="1:1">
      <c r="A22789" s="27"/>
    </row>
    <row r="22790" spans="1:1">
      <c r="A22790" s="27"/>
    </row>
    <row r="22791" spans="1:1">
      <c r="A22791" s="27"/>
    </row>
    <row r="22792" spans="1:1">
      <c r="A22792" s="27"/>
    </row>
    <row r="22793" spans="1:1">
      <c r="A22793" s="27"/>
    </row>
    <row r="22794" spans="1:1">
      <c r="A22794" s="27"/>
    </row>
    <row r="22795" spans="1:1">
      <c r="A22795" s="27"/>
    </row>
    <row r="22796" spans="1:1">
      <c r="A22796" s="27"/>
    </row>
    <row r="22797" spans="1:1">
      <c r="A22797" s="27"/>
    </row>
    <row r="22798" spans="1:1">
      <c r="A22798" s="27"/>
    </row>
    <row r="22799" spans="1:1">
      <c r="A22799" s="27"/>
    </row>
    <row r="22800" spans="1:1">
      <c r="A22800" s="27"/>
    </row>
    <row r="22801" spans="1:1">
      <c r="A22801" s="27"/>
    </row>
    <row r="22802" spans="1:1">
      <c r="A22802" s="27"/>
    </row>
    <row r="22803" spans="1:1">
      <c r="A22803" s="27"/>
    </row>
    <row r="22804" spans="1:1">
      <c r="A22804" s="27"/>
    </row>
    <row r="22805" spans="1:1">
      <c r="A22805" s="27"/>
    </row>
    <row r="22806" spans="1:1">
      <c r="A22806" s="27"/>
    </row>
    <row r="22807" spans="1:1">
      <c r="A22807" s="27"/>
    </row>
    <row r="22808" spans="1:1">
      <c r="A22808" s="27"/>
    </row>
    <row r="22809" spans="1:1">
      <c r="A22809" s="27"/>
    </row>
    <row r="22810" spans="1:1">
      <c r="A22810" s="27"/>
    </row>
    <row r="22811" spans="1:1">
      <c r="A22811" s="27"/>
    </row>
    <row r="22812" spans="1:1">
      <c r="A22812" s="27"/>
    </row>
    <row r="22813" spans="1:1">
      <c r="A22813" s="27"/>
    </row>
    <row r="22814" spans="1:1">
      <c r="A22814" s="27"/>
    </row>
    <row r="22815" spans="1:1">
      <c r="A22815" s="27"/>
    </row>
    <row r="22816" spans="1:1">
      <c r="A22816" s="27"/>
    </row>
    <row r="22817" spans="1:1">
      <c r="A22817" s="27"/>
    </row>
    <row r="22818" spans="1:1">
      <c r="A22818" s="27"/>
    </row>
    <row r="22819" spans="1:1">
      <c r="A22819" s="27"/>
    </row>
    <row r="22820" spans="1:1">
      <c r="A22820" s="27"/>
    </row>
    <row r="22821" spans="1:1">
      <c r="A22821" s="27"/>
    </row>
    <row r="22822" spans="1:1">
      <c r="A22822" s="27"/>
    </row>
    <row r="22823" spans="1:1">
      <c r="A22823" s="27"/>
    </row>
    <row r="22824" spans="1:1">
      <c r="A22824" s="27"/>
    </row>
    <row r="22825" spans="1:1">
      <c r="A22825" s="27"/>
    </row>
    <row r="22826" spans="1:1">
      <c r="A22826" s="27"/>
    </row>
    <row r="22827" spans="1:1">
      <c r="A22827" s="27"/>
    </row>
    <row r="22828" spans="1:1">
      <c r="A22828" s="27"/>
    </row>
    <row r="22829" spans="1:1">
      <c r="A22829" s="27"/>
    </row>
    <row r="22830" spans="1:1">
      <c r="A22830" s="27"/>
    </row>
    <row r="22831" spans="1:1">
      <c r="A22831" s="27"/>
    </row>
    <row r="22832" spans="1:1">
      <c r="A22832" s="27"/>
    </row>
    <row r="22833" spans="1:1">
      <c r="A22833" s="27"/>
    </row>
    <row r="22834" spans="1:1">
      <c r="A22834" s="27"/>
    </row>
    <row r="22835" spans="1:1">
      <c r="A22835" s="27"/>
    </row>
    <row r="22836" spans="1:1">
      <c r="A22836" s="27"/>
    </row>
    <row r="22837" spans="1:1">
      <c r="A22837" s="27"/>
    </row>
    <row r="22838" spans="1:1">
      <c r="A22838" s="27"/>
    </row>
    <row r="22839" spans="1:1">
      <c r="A22839" s="27"/>
    </row>
    <row r="22840" spans="1:1">
      <c r="A22840" s="27"/>
    </row>
    <row r="22841" spans="1:1">
      <c r="A22841" s="27"/>
    </row>
    <row r="22842" spans="1:1">
      <c r="A22842" s="27"/>
    </row>
    <row r="22843" spans="1:1">
      <c r="A22843" s="27"/>
    </row>
    <row r="22844" spans="1:1">
      <c r="A22844" s="27"/>
    </row>
    <row r="22845" spans="1:1">
      <c r="A22845" s="27"/>
    </row>
    <row r="22846" spans="1:1">
      <c r="A22846" s="27"/>
    </row>
    <row r="22847" spans="1:1">
      <c r="A22847" s="27"/>
    </row>
    <row r="22848" spans="1:1">
      <c r="A22848" s="27"/>
    </row>
    <row r="22849" spans="1:1">
      <c r="A22849" s="27"/>
    </row>
    <row r="22850" spans="1:1">
      <c r="A22850" s="27"/>
    </row>
    <row r="22851" spans="1:1">
      <c r="A22851" s="27"/>
    </row>
    <row r="22852" spans="1:1">
      <c r="A22852" s="27"/>
    </row>
    <row r="22853" spans="1:1">
      <c r="A22853" s="27"/>
    </row>
    <row r="22854" spans="1:1">
      <c r="A22854" s="27"/>
    </row>
    <row r="22855" spans="1:1">
      <c r="A22855" s="27"/>
    </row>
    <row r="22856" spans="1:1">
      <c r="A22856" s="27"/>
    </row>
    <row r="22857" spans="1:1">
      <c r="A22857" s="27"/>
    </row>
    <row r="22858" spans="1:1">
      <c r="A22858" s="27"/>
    </row>
    <row r="22859" spans="1:1">
      <c r="A22859" s="27"/>
    </row>
    <row r="22860" spans="1:1">
      <c r="A22860" s="27"/>
    </row>
    <row r="22861" spans="1:1">
      <c r="A22861" s="27"/>
    </row>
    <row r="22862" spans="1:1">
      <c r="A22862" s="27"/>
    </row>
    <row r="22863" spans="1:1">
      <c r="A22863" s="27"/>
    </row>
    <row r="22864" spans="1:1">
      <c r="A22864" s="27"/>
    </row>
    <row r="22865" spans="1:1">
      <c r="A22865" s="27"/>
    </row>
    <row r="22866" spans="1:1">
      <c r="A22866" s="27"/>
    </row>
    <row r="22867" spans="1:1">
      <c r="A22867" s="27"/>
    </row>
    <row r="22868" spans="1:1">
      <c r="A22868" s="27"/>
    </row>
    <row r="22869" spans="1:1">
      <c r="A22869" s="27"/>
    </row>
    <row r="22870" spans="1:1">
      <c r="A22870" s="27"/>
    </row>
    <row r="22871" spans="1:1">
      <c r="A22871" s="27"/>
    </row>
    <row r="22872" spans="1:1">
      <c r="A22872" s="27"/>
    </row>
    <row r="22873" spans="1:1">
      <c r="A22873" s="27"/>
    </row>
    <row r="22874" spans="1:1">
      <c r="A22874" s="27"/>
    </row>
    <row r="22875" spans="1:1">
      <c r="A22875" s="27"/>
    </row>
    <row r="22876" spans="1:1">
      <c r="A22876" s="27"/>
    </row>
    <row r="22877" spans="1:1">
      <c r="A22877" s="27"/>
    </row>
    <row r="22878" spans="1:1">
      <c r="A22878" s="27"/>
    </row>
    <row r="22879" spans="1:1">
      <c r="A22879" s="27"/>
    </row>
    <row r="22880" spans="1:1">
      <c r="A22880" s="27"/>
    </row>
    <row r="22881" spans="1:1">
      <c r="A22881" s="27"/>
    </row>
    <row r="22882" spans="1:1">
      <c r="A22882" s="27"/>
    </row>
    <row r="22883" spans="1:1">
      <c r="A22883" s="27"/>
    </row>
    <row r="22884" spans="1:1">
      <c r="A22884" s="27"/>
    </row>
    <row r="22885" spans="1:1">
      <c r="A22885" s="27"/>
    </row>
    <row r="22886" spans="1:1">
      <c r="A22886" s="27"/>
    </row>
    <row r="22887" spans="1:1">
      <c r="A22887" s="27"/>
    </row>
    <row r="22888" spans="1:1">
      <c r="A22888" s="27"/>
    </row>
    <row r="22889" spans="1:1">
      <c r="A22889" s="27"/>
    </row>
    <row r="22890" spans="1:1">
      <c r="A22890" s="27"/>
    </row>
    <row r="22891" spans="1:1">
      <c r="A22891" s="27"/>
    </row>
    <row r="22892" spans="1:1">
      <c r="A22892" s="27"/>
    </row>
    <row r="22893" spans="1:1">
      <c r="A22893" s="27"/>
    </row>
    <row r="22894" spans="1:1">
      <c r="A22894" s="27"/>
    </row>
    <row r="22895" spans="1:1">
      <c r="A22895" s="27"/>
    </row>
    <row r="22896" spans="1:1">
      <c r="A22896" s="27"/>
    </row>
    <row r="22897" spans="1:1">
      <c r="A22897" s="27"/>
    </row>
    <row r="22898" spans="1:1">
      <c r="A22898" s="27"/>
    </row>
    <row r="22899" spans="1:1">
      <c r="A22899" s="27"/>
    </row>
    <row r="22900" spans="1:1">
      <c r="A22900" s="27"/>
    </row>
    <row r="22901" spans="1:1">
      <c r="A22901" s="27"/>
    </row>
    <row r="22902" spans="1:1">
      <c r="A22902" s="27"/>
    </row>
    <row r="22903" spans="1:1">
      <c r="A22903" s="27"/>
    </row>
    <row r="22904" spans="1:1">
      <c r="A22904" s="27"/>
    </row>
    <row r="22905" spans="1:1">
      <c r="A22905" s="27"/>
    </row>
    <row r="22906" spans="1:1">
      <c r="A22906" s="27"/>
    </row>
    <row r="22907" spans="1:1">
      <c r="A22907" s="27"/>
    </row>
    <row r="22908" spans="1:1">
      <c r="A22908" s="27"/>
    </row>
    <row r="22909" spans="1:1">
      <c r="A22909" s="27"/>
    </row>
    <row r="22910" spans="1:1">
      <c r="A22910" s="27"/>
    </row>
    <row r="22911" spans="1:1">
      <c r="A22911" s="27"/>
    </row>
    <row r="22912" spans="1:1">
      <c r="A22912" s="27"/>
    </row>
    <row r="22913" spans="1:1">
      <c r="A22913" s="27"/>
    </row>
    <row r="22914" spans="1:1">
      <c r="A22914" s="27"/>
    </row>
    <row r="22915" spans="1:1">
      <c r="A22915" s="27"/>
    </row>
    <row r="22916" spans="1:1">
      <c r="A22916" s="27"/>
    </row>
    <row r="22917" spans="1:1">
      <c r="A22917" s="27"/>
    </row>
    <row r="22918" spans="1:1">
      <c r="A22918" s="27"/>
    </row>
    <row r="22919" spans="1:1">
      <c r="A22919" s="27"/>
    </row>
    <row r="22920" spans="1:1">
      <c r="A22920" s="27"/>
    </row>
    <row r="22921" spans="1:1">
      <c r="A22921" s="27"/>
    </row>
    <row r="22922" spans="1:1">
      <c r="A22922" s="27"/>
    </row>
    <row r="22923" spans="1:1">
      <c r="A22923" s="27"/>
    </row>
    <row r="22924" spans="1:1">
      <c r="A22924" s="27"/>
    </row>
    <row r="22925" spans="1:1">
      <c r="A22925" s="27"/>
    </row>
    <row r="22926" spans="1:1">
      <c r="A22926" s="27"/>
    </row>
    <row r="22927" spans="1:1">
      <c r="A22927" s="27"/>
    </row>
    <row r="22928" spans="1:1">
      <c r="A22928" s="27"/>
    </row>
    <row r="22929" spans="1:1">
      <c r="A22929" s="27"/>
    </row>
    <row r="22930" spans="1:1">
      <c r="A22930" s="27"/>
    </row>
    <row r="22931" spans="1:1">
      <c r="A22931" s="27"/>
    </row>
    <row r="22932" spans="1:1">
      <c r="A22932" s="27"/>
    </row>
    <row r="22933" spans="1:1">
      <c r="A22933" s="27"/>
    </row>
    <row r="22934" spans="1:1">
      <c r="A22934" s="27"/>
    </row>
    <row r="22935" spans="1:1">
      <c r="A22935" s="27"/>
    </row>
    <row r="22936" spans="1:1">
      <c r="A22936" s="27"/>
    </row>
    <row r="22937" spans="1:1">
      <c r="A22937" s="27"/>
    </row>
    <row r="22938" spans="1:1">
      <c r="A22938" s="27"/>
    </row>
    <row r="22939" spans="1:1">
      <c r="A22939" s="27"/>
    </row>
    <row r="22940" spans="1:1">
      <c r="A22940" s="27"/>
    </row>
    <row r="22941" spans="1:1">
      <c r="A22941" s="27"/>
    </row>
    <row r="22942" spans="1:1">
      <c r="A22942" s="27"/>
    </row>
    <row r="22943" spans="1:1">
      <c r="A22943" s="27"/>
    </row>
    <row r="22944" spans="1:1">
      <c r="A22944" s="27"/>
    </row>
    <row r="22945" spans="1:1">
      <c r="A22945" s="27"/>
    </row>
    <row r="22946" spans="1:1">
      <c r="A22946" s="27"/>
    </row>
    <row r="22947" spans="1:1">
      <c r="A22947" s="27"/>
    </row>
    <row r="22948" spans="1:1">
      <c r="A22948" s="27"/>
    </row>
    <row r="22949" spans="1:1">
      <c r="A22949" s="27"/>
    </row>
    <row r="22950" spans="1:1">
      <c r="A22950" s="27"/>
    </row>
    <row r="22951" spans="1:1">
      <c r="A22951" s="27"/>
    </row>
    <row r="22952" spans="1:1">
      <c r="A22952" s="27"/>
    </row>
    <row r="22953" spans="1:1">
      <c r="A22953" s="27"/>
    </row>
    <row r="22954" spans="1:1">
      <c r="A22954" s="27"/>
    </row>
    <row r="22955" spans="1:1">
      <c r="A22955" s="27"/>
    </row>
    <row r="22956" spans="1:1">
      <c r="A22956" s="27"/>
    </row>
    <row r="22957" spans="1:1">
      <c r="A22957" s="27"/>
    </row>
    <row r="22958" spans="1:1">
      <c r="A22958" s="27"/>
    </row>
    <row r="22959" spans="1:1">
      <c r="A22959" s="27"/>
    </row>
    <row r="22960" spans="1:1">
      <c r="A22960" s="27"/>
    </row>
    <row r="22961" spans="1:1">
      <c r="A22961" s="27"/>
    </row>
    <row r="22962" spans="1:1">
      <c r="A22962" s="27"/>
    </row>
    <row r="22963" spans="1:1">
      <c r="A22963" s="27"/>
    </row>
    <row r="22964" spans="1:1">
      <c r="A22964" s="27"/>
    </row>
    <row r="22965" spans="1:1">
      <c r="A22965" s="27"/>
    </row>
    <row r="22966" spans="1:1">
      <c r="A22966" s="27"/>
    </row>
    <row r="22967" spans="1:1">
      <c r="A22967" s="27"/>
    </row>
    <row r="22968" spans="1:1">
      <c r="A22968" s="27"/>
    </row>
    <row r="22969" spans="1:1">
      <c r="A22969" s="27"/>
    </row>
    <row r="22970" spans="1:1">
      <c r="A22970" s="27"/>
    </row>
    <row r="22971" spans="1:1">
      <c r="A22971" s="27"/>
    </row>
    <row r="22972" spans="1:1">
      <c r="A22972" s="27"/>
    </row>
    <row r="22973" spans="1:1">
      <c r="A22973" s="27"/>
    </row>
    <row r="22974" spans="1:1">
      <c r="A22974" s="27"/>
    </row>
    <row r="22975" spans="1:1">
      <c r="A22975" s="27"/>
    </row>
    <row r="22976" spans="1:1">
      <c r="A22976" s="27"/>
    </row>
    <row r="22977" spans="1:1">
      <c r="A22977" s="27"/>
    </row>
    <row r="22978" spans="1:1">
      <c r="A22978" s="27"/>
    </row>
    <row r="22979" spans="1:1">
      <c r="A22979" s="27"/>
    </row>
    <row r="22980" spans="1:1">
      <c r="A22980" s="27"/>
    </row>
    <row r="22981" spans="1:1">
      <c r="A22981" s="27"/>
    </row>
    <row r="22982" spans="1:1">
      <c r="A22982" s="27"/>
    </row>
    <row r="22983" spans="1:1">
      <c r="A22983" s="27"/>
    </row>
    <row r="22984" spans="1:1">
      <c r="A22984" s="27"/>
    </row>
    <row r="22985" spans="1:1">
      <c r="A22985" s="27"/>
    </row>
    <row r="22986" spans="1:1">
      <c r="A22986" s="27"/>
    </row>
    <row r="22987" spans="1:1">
      <c r="A22987" s="27"/>
    </row>
    <row r="22988" spans="1:1">
      <c r="A22988" s="27"/>
    </row>
    <row r="22989" spans="1:1">
      <c r="A22989" s="27"/>
    </row>
    <row r="22990" spans="1:1">
      <c r="A22990" s="27"/>
    </row>
    <row r="22991" spans="1:1">
      <c r="A22991" s="27"/>
    </row>
    <row r="22992" spans="1:1">
      <c r="A22992" s="27"/>
    </row>
    <row r="22993" spans="1:1">
      <c r="A22993" s="27"/>
    </row>
    <row r="22994" spans="1:1">
      <c r="A22994" s="27"/>
    </row>
    <row r="22995" spans="1:1">
      <c r="A22995" s="27"/>
    </row>
    <row r="22996" spans="1:1">
      <c r="A22996" s="27"/>
    </row>
    <row r="22997" spans="1:1">
      <c r="A22997" s="27"/>
    </row>
    <row r="22998" spans="1:1">
      <c r="A22998" s="27"/>
    </row>
    <row r="22999" spans="1:1">
      <c r="A22999" s="27"/>
    </row>
    <row r="23000" spans="1:1">
      <c r="A23000" s="27"/>
    </row>
    <row r="23001" spans="1:1">
      <c r="A23001" s="27"/>
    </row>
    <row r="23002" spans="1:1">
      <c r="A23002" s="27"/>
    </row>
    <row r="23003" spans="1:1">
      <c r="A23003" s="27"/>
    </row>
    <row r="23004" spans="1:1">
      <c r="A23004" s="27"/>
    </row>
    <row r="23005" spans="1:1">
      <c r="A23005" s="27"/>
    </row>
    <row r="23006" spans="1:1">
      <c r="A23006" s="27"/>
    </row>
    <row r="23007" spans="1:1">
      <c r="A23007" s="27"/>
    </row>
    <row r="23008" spans="1:1">
      <c r="A23008" s="27"/>
    </row>
    <row r="23009" spans="1:1">
      <c r="A23009" s="27"/>
    </row>
    <row r="23010" spans="1:1">
      <c r="A23010" s="27"/>
    </row>
    <row r="23011" spans="1:1">
      <c r="A23011" s="27"/>
    </row>
    <row r="23012" spans="1:1">
      <c r="A23012" s="27"/>
    </row>
    <row r="23013" spans="1:1">
      <c r="A23013" s="27"/>
    </row>
    <row r="23014" spans="1:1">
      <c r="A23014" s="27"/>
    </row>
    <row r="23015" spans="1:1">
      <c r="A23015" s="27"/>
    </row>
    <row r="23016" spans="1:1">
      <c r="A23016" s="27"/>
    </row>
    <row r="23017" spans="1:1">
      <c r="A23017" s="27"/>
    </row>
    <row r="23018" spans="1:1">
      <c r="A23018" s="27"/>
    </row>
    <row r="23019" spans="1:1">
      <c r="A23019" s="27"/>
    </row>
    <row r="23020" spans="1:1">
      <c r="A23020" s="27"/>
    </row>
    <row r="23021" spans="1:1">
      <c r="A23021" s="27"/>
    </row>
    <row r="23022" spans="1:1">
      <c r="A23022" s="27"/>
    </row>
    <row r="23023" spans="1:1">
      <c r="A23023" s="27"/>
    </row>
    <row r="23024" spans="1:1">
      <c r="A23024" s="27"/>
    </row>
    <row r="23025" spans="1:1">
      <c r="A23025" s="27"/>
    </row>
    <row r="23026" spans="1:1">
      <c r="A23026" s="27"/>
    </row>
    <row r="23027" spans="1:1">
      <c r="A23027" s="27"/>
    </row>
    <row r="23028" spans="1:1">
      <c r="A23028" s="27"/>
    </row>
    <row r="23029" spans="1:1">
      <c r="A23029" s="27"/>
    </row>
    <row r="23030" spans="1:1">
      <c r="A23030" s="27"/>
    </row>
    <row r="23031" spans="1:1">
      <c r="A23031" s="27"/>
    </row>
    <row r="23032" spans="1:1">
      <c r="A23032" s="27"/>
    </row>
    <row r="23033" spans="1:1">
      <c r="A23033" s="27"/>
    </row>
    <row r="23034" spans="1:1">
      <c r="A23034" s="27"/>
    </row>
    <row r="23035" spans="1:1">
      <c r="A23035" s="27"/>
    </row>
    <row r="23036" spans="1:1">
      <c r="A23036" s="27"/>
    </row>
    <row r="23037" spans="1:1">
      <c r="A23037" s="27"/>
    </row>
    <row r="23038" spans="1:1">
      <c r="A23038" s="27"/>
    </row>
    <row r="23039" spans="1:1">
      <c r="A23039" s="27"/>
    </row>
    <row r="23040" spans="1:1">
      <c r="A23040" s="27"/>
    </row>
    <row r="23041" spans="1:1">
      <c r="A23041" s="27"/>
    </row>
    <row r="23042" spans="1:1">
      <c r="A23042" s="27"/>
    </row>
    <row r="23043" spans="1:1">
      <c r="A23043" s="27"/>
    </row>
    <row r="23044" spans="1:1">
      <c r="A23044" s="27"/>
    </row>
    <row r="23045" spans="1:1">
      <c r="A23045" s="27"/>
    </row>
    <row r="23046" spans="1:1">
      <c r="A23046" s="27"/>
    </row>
    <row r="23047" spans="1:1">
      <c r="A23047" s="27"/>
    </row>
    <row r="23048" spans="1:1">
      <c r="A23048" s="27"/>
    </row>
    <row r="23049" spans="1:1">
      <c r="A23049" s="27"/>
    </row>
    <row r="23050" spans="1:1">
      <c r="A23050" s="27"/>
    </row>
    <row r="23051" spans="1:1">
      <c r="A23051" s="27"/>
    </row>
    <row r="23052" spans="1:1">
      <c r="A23052" s="27"/>
    </row>
    <row r="23053" spans="1:1">
      <c r="A23053" s="27"/>
    </row>
    <row r="23054" spans="1:1">
      <c r="A23054" s="27"/>
    </row>
    <row r="23055" spans="1:1">
      <c r="A23055" s="27"/>
    </row>
    <row r="23056" spans="1:1">
      <c r="A23056" s="27"/>
    </row>
    <row r="23057" spans="1:1">
      <c r="A23057" s="27"/>
    </row>
    <row r="23058" spans="1:1">
      <c r="A23058" s="27"/>
    </row>
    <row r="23059" spans="1:1">
      <c r="A23059" s="27"/>
    </row>
    <row r="23060" spans="1:1">
      <c r="A23060" s="27"/>
    </row>
    <row r="23061" spans="1:1">
      <c r="A23061" s="27"/>
    </row>
    <row r="23062" spans="1:1">
      <c r="A23062" s="27"/>
    </row>
    <row r="23063" spans="1:1">
      <c r="A23063" s="27"/>
    </row>
    <row r="23064" spans="1:1">
      <c r="A23064" s="27"/>
    </row>
    <row r="23065" spans="1:1">
      <c r="A23065" s="27"/>
    </row>
    <row r="23066" spans="1:1">
      <c r="A23066" s="27"/>
    </row>
    <row r="23067" spans="1:1">
      <c r="A23067" s="27"/>
    </row>
    <row r="23068" spans="1:1">
      <c r="A23068" s="27"/>
    </row>
    <row r="23069" spans="1:1">
      <c r="A23069" s="27"/>
    </row>
    <row r="23070" spans="1:1">
      <c r="A23070" s="27"/>
    </row>
    <row r="23071" spans="1:1">
      <c r="A23071" s="27"/>
    </row>
    <row r="23072" spans="1:1">
      <c r="A23072" s="27"/>
    </row>
    <row r="23073" spans="1:1">
      <c r="A23073" s="27"/>
    </row>
    <row r="23074" spans="1:1">
      <c r="A23074" s="27"/>
    </row>
    <row r="23075" spans="1:1">
      <c r="A23075" s="27"/>
    </row>
    <row r="23076" spans="1:1">
      <c r="A23076" s="27"/>
    </row>
    <row r="23077" spans="1:1">
      <c r="A23077" s="27"/>
    </row>
    <row r="23078" spans="1:1">
      <c r="A23078" s="27"/>
    </row>
    <row r="23079" spans="1:1">
      <c r="A23079" s="27"/>
    </row>
    <row r="23080" spans="1:1">
      <c r="A23080" s="27"/>
    </row>
    <row r="23081" spans="1:1">
      <c r="A23081" s="27"/>
    </row>
    <row r="23082" spans="1:1">
      <c r="A23082" s="27"/>
    </row>
    <row r="23083" spans="1:1">
      <c r="A23083" s="27"/>
    </row>
    <row r="23084" spans="1:1">
      <c r="A23084" s="27"/>
    </row>
    <row r="23085" spans="1:1">
      <c r="A23085" s="27"/>
    </row>
    <row r="23086" spans="1:1">
      <c r="A23086" s="27"/>
    </row>
    <row r="23087" spans="1:1">
      <c r="A23087" s="27"/>
    </row>
    <row r="23088" spans="1:1">
      <c r="A23088" s="27"/>
    </row>
    <row r="23089" spans="1:1">
      <c r="A23089" s="27"/>
    </row>
    <row r="23090" spans="1:1">
      <c r="A23090" s="27"/>
    </row>
    <row r="23091" spans="1:1">
      <c r="A23091" s="27"/>
    </row>
    <row r="23092" spans="1:1">
      <c r="A23092" s="27"/>
    </row>
    <row r="23093" spans="1:1">
      <c r="A23093" s="27"/>
    </row>
    <row r="23094" spans="1:1">
      <c r="A23094" s="27"/>
    </row>
    <row r="23095" spans="1:1">
      <c r="A23095" s="27"/>
    </row>
    <row r="23096" spans="1:1">
      <c r="A23096" s="27"/>
    </row>
    <row r="23097" spans="1:1">
      <c r="A23097" s="27"/>
    </row>
    <row r="23098" spans="1:1">
      <c r="A23098" s="27"/>
    </row>
    <row r="23099" spans="1:1">
      <c r="A23099" s="27"/>
    </row>
    <row r="23100" spans="1:1">
      <c r="A23100" s="27"/>
    </row>
    <row r="23101" spans="1:1">
      <c r="A23101" s="27"/>
    </row>
    <row r="23102" spans="1:1">
      <c r="A23102" s="27"/>
    </row>
    <row r="23103" spans="1:1">
      <c r="A23103" s="27"/>
    </row>
    <row r="23104" spans="1:1">
      <c r="A23104" s="27"/>
    </row>
    <row r="23105" spans="1:1">
      <c r="A23105" s="27"/>
    </row>
    <row r="23106" spans="1:1">
      <c r="A23106" s="27"/>
    </row>
    <row r="23107" spans="1:1">
      <c r="A23107" s="27"/>
    </row>
    <row r="23108" spans="1:1">
      <c r="A23108" s="27"/>
    </row>
    <row r="23109" spans="1:1">
      <c r="A23109" s="27"/>
    </row>
    <row r="23110" spans="1:1">
      <c r="A23110" s="27"/>
    </row>
    <row r="23111" spans="1:1">
      <c r="A23111" s="27"/>
    </row>
    <row r="23112" spans="1:1">
      <c r="A23112" s="27"/>
    </row>
    <row r="23113" spans="1:1">
      <c r="A23113" s="27"/>
    </row>
    <row r="23114" spans="1:1">
      <c r="A23114" s="27"/>
    </row>
    <row r="23115" spans="1:1">
      <c r="A23115" s="27"/>
    </row>
    <row r="23116" spans="1:1">
      <c r="A23116" s="27"/>
    </row>
    <row r="23117" spans="1:1">
      <c r="A23117" s="27"/>
    </row>
    <row r="23118" spans="1:1">
      <c r="A23118" s="27"/>
    </row>
    <row r="23119" spans="1:1">
      <c r="A23119" s="27"/>
    </row>
    <row r="23120" spans="1:1">
      <c r="A23120" s="27"/>
    </row>
    <row r="23121" spans="1:1">
      <c r="A23121" s="27"/>
    </row>
    <row r="23122" spans="1:1">
      <c r="A23122" s="27"/>
    </row>
    <row r="23123" spans="1:1">
      <c r="A23123" s="27"/>
    </row>
    <row r="23124" spans="1:1">
      <c r="A23124" s="27"/>
    </row>
    <row r="23125" spans="1:1">
      <c r="A23125" s="27"/>
    </row>
    <row r="23126" spans="1:1">
      <c r="A23126" s="27"/>
    </row>
    <row r="23127" spans="1:1">
      <c r="A23127" s="27"/>
    </row>
    <row r="23128" spans="1:1">
      <c r="A23128" s="27"/>
    </row>
    <row r="23129" spans="1:1">
      <c r="A23129" s="27"/>
    </row>
    <row r="23130" spans="1:1">
      <c r="A23130" s="27"/>
    </row>
    <row r="23131" spans="1:1">
      <c r="A23131" s="27"/>
    </row>
    <row r="23132" spans="1:1">
      <c r="A23132" s="27"/>
    </row>
    <row r="23133" spans="1:1">
      <c r="A23133" s="27"/>
    </row>
    <row r="23134" spans="1:1">
      <c r="A23134" s="27"/>
    </row>
    <row r="23135" spans="1:1">
      <c r="A23135" s="27"/>
    </row>
    <row r="23136" spans="1:1">
      <c r="A23136" s="27"/>
    </row>
    <row r="23137" spans="1:1">
      <c r="A23137" s="27"/>
    </row>
    <row r="23138" spans="1:1">
      <c r="A23138" s="27"/>
    </row>
    <row r="23139" spans="1:1">
      <c r="A23139" s="27"/>
    </row>
    <row r="23140" spans="1:1">
      <c r="A23140" s="27"/>
    </row>
    <row r="23141" spans="1:1">
      <c r="A23141" s="27"/>
    </row>
    <row r="23142" spans="1:1">
      <c r="A23142" s="27"/>
    </row>
    <row r="23143" spans="1:1">
      <c r="A23143" s="27"/>
    </row>
    <row r="23144" spans="1:1">
      <c r="A23144" s="27"/>
    </row>
    <row r="23145" spans="1:1">
      <c r="A23145" s="27"/>
    </row>
    <row r="23146" spans="1:1">
      <c r="A23146" s="27"/>
    </row>
    <row r="23147" spans="1:1">
      <c r="A23147" s="27"/>
    </row>
    <row r="23148" spans="1:1">
      <c r="A23148" s="27"/>
    </row>
    <row r="23149" spans="1:1">
      <c r="A23149" s="27"/>
    </row>
    <row r="23150" spans="1:1">
      <c r="A23150" s="27"/>
    </row>
    <row r="23151" spans="1:1">
      <c r="A23151" s="27"/>
    </row>
    <row r="23152" spans="1:1">
      <c r="A23152" s="27"/>
    </row>
    <row r="23153" spans="1:1">
      <c r="A23153" s="27"/>
    </row>
    <row r="23154" spans="1:1">
      <c r="A23154" s="27"/>
    </row>
    <row r="23155" spans="1:1">
      <c r="A23155" s="27"/>
    </row>
    <row r="23156" spans="1:1">
      <c r="A23156" s="27"/>
    </row>
    <row r="23157" spans="1:1">
      <c r="A23157" s="27"/>
    </row>
    <row r="23158" spans="1:1">
      <c r="A23158" s="27"/>
    </row>
    <row r="23159" spans="1:1">
      <c r="A23159" s="27"/>
    </row>
    <row r="23160" spans="1:1">
      <c r="A23160" s="27"/>
    </row>
    <row r="23161" spans="1:1">
      <c r="A23161" s="27"/>
    </row>
    <row r="23162" spans="1:1">
      <c r="A23162" s="27"/>
    </row>
    <row r="23163" spans="1:1">
      <c r="A23163" s="27"/>
    </row>
    <row r="23164" spans="1:1">
      <c r="A23164" s="27"/>
    </row>
    <row r="23165" spans="1:1">
      <c r="A23165" s="27"/>
    </row>
    <row r="23166" spans="1:1">
      <c r="A23166" s="27"/>
    </row>
    <row r="23167" spans="1:1">
      <c r="A23167" s="27"/>
    </row>
    <row r="23168" spans="1:1">
      <c r="A23168" s="27"/>
    </row>
    <row r="23169" spans="1:1">
      <c r="A23169" s="27"/>
    </row>
    <row r="23170" spans="1:1">
      <c r="A23170" s="27"/>
    </row>
    <row r="23171" spans="1:1">
      <c r="A23171" s="27"/>
    </row>
    <row r="23172" spans="1:1">
      <c r="A23172" s="27"/>
    </row>
    <row r="23173" spans="1:1">
      <c r="A23173" s="27"/>
    </row>
    <row r="23174" spans="1:1">
      <c r="A23174" s="27"/>
    </row>
    <row r="23175" spans="1:1">
      <c r="A23175" s="27"/>
    </row>
    <row r="23176" spans="1:1">
      <c r="A23176" s="27"/>
    </row>
    <row r="23177" spans="1:1">
      <c r="A23177" s="27"/>
    </row>
    <row r="23178" spans="1:1">
      <c r="A23178" s="27"/>
    </row>
    <row r="23179" spans="1:1">
      <c r="A23179" s="27"/>
    </row>
    <row r="23180" spans="1:1">
      <c r="A23180" s="27"/>
    </row>
    <row r="23181" spans="1:1">
      <c r="A23181" s="27"/>
    </row>
    <row r="23182" spans="1:1">
      <c r="A23182" s="27"/>
    </row>
    <row r="23183" spans="1:1">
      <c r="A23183" s="27"/>
    </row>
    <row r="23184" spans="1:1">
      <c r="A23184" s="27"/>
    </row>
    <row r="23185" spans="1:1">
      <c r="A23185" s="27"/>
    </row>
    <row r="23186" spans="1:1">
      <c r="A23186" s="27"/>
    </row>
    <row r="23187" spans="1:1">
      <c r="A23187" s="27"/>
    </row>
    <row r="23188" spans="1:1">
      <c r="A23188" s="27"/>
    </row>
    <row r="23189" spans="1:1">
      <c r="A23189" s="27"/>
    </row>
    <row r="23190" spans="1:1">
      <c r="A23190" s="27"/>
    </row>
    <row r="23191" spans="1:1">
      <c r="A23191" s="27"/>
    </row>
    <row r="23192" spans="1:1">
      <c r="A23192" s="27"/>
    </row>
    <row r="23193" spans="1:1">
      <c r="A23193" s="27"/>
    </row>
    <row r="23194" spans="1:1">
      <c r="A23194" s="27"/>
    </row>
    <row r="23195" spans="1:1">
      <c r="A23195" s="27"/>
    </row>
    <row r="23196" spans="1:1">
      <c r="A23196" s="27"/>
    </row>
    <row r="23197" spans="1:1">
      <c r="A23197" s="27"/>
    </row>
    <row r="23198" spans="1:1">
      <c r="A23198" s="27"/>
    </row>
    <row r="23199" spans="1:1">
      <c r="A23199" s="27"/>
    </row>
    <row r="23200" spans="1:1">
      <c r="A23200" s="27"/>
    </row>
    <row r="23201" spans="1:1">
      <c r="A23201" s="27"/>
    </row>
    <row r="23202" spans="1:1">
      <c r="A23202" s="27"/>
    </row>
    <row r="23203" spans="1:1">
      <c r="A23203" s="27"/>
    </row>
    <row r="23204" spans="1:1">
      <c r="A23204" s="27"/>
    </row>
    <row r="23205" spans="1:1">
      <c r="A23205" s="27"/>
    </row>
    <row r="23206" spans="1:1">
      <c r="A23206" s="27"/>
    </row>
    <row r="23207" spans="1:1">
      <c r="A23207" s="27"/>
    </row>
    <row r="23208" spans="1:1">
      <c r="A23208" s="27"/>
    </row>
    <row r="23209" spans="1:1">
      <c r="A23209" s="27"/>
    </row>
    <row r="23210" spans="1:1">
      <c r="A23210" s="27"/>
    </row>
    <row r="23211" spans="1:1">
      <c r="A23211" s="27"/>
    </row>
    <row r="23212" spans="1:1">
      <c r="A23212" s="27"/>
    </row>
    <row r="23213" spans="1:1">
      <c r="A23213" s="27"/>
    </row>
    <row r="23214" spans="1:1">
      <c r="A23214" s="27"/>
    </row>
    <row r="23215" spans="1:1">
      <c r="A23215" s="27"/>
    </row>
    <row r="23216" spans="1:1">
      <c r="A23216" s="27"/>
    </row>
    <row r="23217" spans="1:1">
      <c r="A23217" s="27"/>
    </row>
    <row r="23218" spans="1:1">
      <c r="A23218" s="27"/>
    </row>
    <row r="23219" spans="1:1">
      <c r="A23219" s="27"/>
    </row>
    <row r="23220" spans="1:1">
      <c r="A23220" s="27"/>
    </row>
    <row r="23221" spans="1:1">
      <c r="A23221" s="27"/>
    </row>
    <row r="23222" spans="1:1">
      <c r="A23222" s="27"/>
    </row>
    <row r="23223" spans="1:1">
      <c r="A23223" s="27"/>
    </row>
    <row r="23224" spans="1:1">
      <c r="A23224" s="27"/>
    </row>
    <row r="23225" spans="1:1">
      <c r="A23225" s="27"/>
    </row>
    <row r="23226" spans="1:1">
      <c r="A23226" s="27"/>
    </row>
    <row r="23227" spans="1:1">
      <c r="A23227" s="27"/>
    </row>
    <row r="23228" spans="1:1">
      <c r="A23228" s="27"/>
    </row>
    <row r="23229" spans="1:1">
      <c r="A23229" s="27"/>
    </row>
    <row r="23230" spans="1:1">
      <c r="A23230" s="27"/>
    </row>
    <row r="23231" spans="1:1">
      <c r="A23231" s="27"/>
    </row>
    <row r="23232" spans="1:1">
      <c r="A23232" s="27"/>
    </row>
    <row r="23233" spans="1:1">
      <c r="A23233" s="27"/>
    </row>
    <row r="23234" spans="1:1">
      <c r="A23234" s="27"/>
    </row>
    <row r="23235" spans="1:1">
      <c r="A23235" s="27"/>
    </row>
    <row r="23236" spans="1:1">
      <c r="A23236" s="27"/>
    </row>
    <row r="23237" spans="1:1">
      <c r="A23237" s="27"/>
    </row>
    <row r="23238" spans="1:1">
      <c r="A23238" s="27"/>
    </row>
    <row r="23239" spans="1:1">
      <c r="A23239" s="27"/>
    </row>
    <row r="23240" spans="1:1">
      <c r="A23240" s="27"/>
    </row>
    <row r="23241" spans="1:1">
      <c r="A23241" s="27"/>
    </row>
    <row r="23242" spans="1:1">
      <c r="A23242" s="27"/>
    </row>
    <row r="23243" spans="1:1">
      <c r="A23243" s="27"/>
    </row>
    <row r="23244" spans="1:1">
      <c r="A23244" s="27"/>
    </row>
    <row r="23245" spans="1:1">
      <c r="A23245" s="27"/>
    </row>
    <row r="23246" spans="1:1">
      <c r="A23246" s="27"/>
    </row>
    <row r="23247" spans="1:1">
      <c r="A23247" s="27"/>
    </row>
    <row r="23248" spans="1:1">
      <c r="A23248" s="27"/>
    </row>
    <row r="23249" spans="1:1">
      <c r="A23249" s="27"/>
    </row>
    <row r="23250" spans="1:1">
      <c r="A23250" s="27"/>
    </row>
    <row r="23251" spans="1:1">
      <c r="A23251" s="27"/>
    </row>
    <row r="23252" spans="1:1">
      <c r="A23252" s="27"/>
    </row>
    <row r="23253" spans="1:1">
      <c r="A23253" s="27"/>
    </row>
    <row r="23254" spans="1:1">
      <c r="A23254" s="27"/>
    </row>
    <row r="23255" spans="1:1">
      <c r="A23255" s="27"/>
    </row>
    <row r="23256" spans="1:1">
      <c r="A23256" s="27"/>
    </row>
    <row r="23257" spans="1:1">
      <c r="A23257" s="27"/>
    </row>
    <row r="23258" spans="1:1">
      <c r="A23258" s="27"/>
    </row>
    <row r="23259" spans="1:1">
      <c r="A23259" s="27"/>
    </row>
    <row r="23260" spans="1:1">
      <c r="A23260" s="27"/>
    </row>
    <row r="23261" spans="1:1">
      <c r="A23261" s="27"/>
    </row>
    <row r="23262" spans="1:1">
      <c r="A23262" s="27"/>
    </row>
    <row r="23263" spans="1:1">
      <c r="A23263" s="27"/>
    </row>
    <row r="23264" spans="1:1">
      <c r="A23264" s="27"/>
    </row>
    <row r="23265" spans="1:1">
      <c r="A23265" s="27"/>
    </row>
    <row r="23266" spans="1:1">
      <c r="A23266" s="27"/>
    </row>
    <row r="23267" spans="1:1">
      <c r="A23267" s="27"/>
    </row>
    <row r="23268" spans="1:1">
      <c r="A23268" s="27"/>
    </row>
    <row r="23269" spans="1:1">
      <c r="A23269" s="27"/>
    </row>
    <row r="23270" spans="1:1">
      <c r="A23270" s="27"/>
    </row>
    <row r="23271" spans="1:1">
      <c r="A23271" s="27"/>
    </row>
    <row r="23272" spans="1:1">
      <c r="A23272" s="27"/>
    </row>
    <row r="23273" spans="1:1">
      <c r="A23273" s="27"/>
    </row>
    <row r="23274" spans="1:1">
      <c r="A23274" s="27"/>
    </row>
    <row r="23275" spans="1:1">
      <c r="A23275" s="27"/>
    </row>
    <row r="23276" spans="1:1">
      <c r="A23276" s="27"/>
    </row>
    <row r="23277" spans="1:1">
      <c r="A23277" s="27"/>
    </row>
    <row r="23278" spans="1:1">
      <c r="A23278" s="27"/>
    </row>
    <row r="23279" spans="1:1">
      <c r="A23279" s="27"/>
    </row>
    <row r="23280" spans="1:1">
      <c r="A23280" s="27"/>
    </row>
    <row r="23281" spans="1:1">
      <c r="A23281" s="27"/>
    </row>
    <row r="23282" spans="1:1">
      <c r="A23282" s="27"/>
    </row>
    <row r="23283" spans="1:1">
      <c r="A23283" s="27"/>
    </row>
    <row r="23284" spans="1:1">
      <c r="A23284" s="27"/>
    </row>
    <row r="23285" spans="1:1">
      <c r="A23285" s="27"/>
    </row>
    <row r="23286" spans="1:1">
      <c r="A23286" s="27"/>
    </row>
    <row r="23287" spans="1:1">
      <c r="A23287" s="27"/>
    </row>
    <row r="23288" spans="1:1">
      <c r="A23288" s="27"/>
    </row>
    <row r="23289" spans="1:1">
      <c r="A23289" s="27"/>
    </row>
    <row r="23290" spans="1:1">
      <c r="A23290" s="27"/>
    </row>
    <row r="23291" spans="1:1">
      <c r="A23291" s="27"/>
    </row>
    <row r="23292" spans="1:1">
      <c r="A23292" s="27"/>
    </row>
    <row r="23293" spans="1:1">
      <c r="A23293" s="27"/>
    </row>
    <row r="23294" spans="1:1">
      <c r="A23294" s="27"/>
    </row>
    <row r="23295" spans="1:1">
      <c r="A23295" s="27"/>
    </row>
    <row r="23296" spans="1:1">
      <c r="A23296" s="27"/>
    </row>
    <row r="23297" spans="1:1">
      <c r="A23297" s="27"/>
    </row>
    <row r="23298" spans="1:1">
      <c r="A23298" s="27"/>
    </row>
    <row r="23299" spans="1:1">
      <c r="A23299" s="27"/>
    </row>
    <row r="23300" spans="1:1">
      <c r="A23300" s="27"/>
    </row>
    <row r="23301" spans="1:1">
      <c r="A23301" s="27"/>
    </row>
    <row r="23302" spans="1:1">
      <c r="A23302" s="27"/>
    </row>
    <row r="23303" spans="1:1">
      <c r="A23303" s="27"/>
    </row>
    <row r="23304" spans="1:1">
      <c r="A23304" s="27"/>
    </row>
    <row r="23305" spans="1:1">
      <c r="A23305" s="27"/>
    </row>
    <row r="23306" spans="1:1">
      <c r="A23306" s="27"/>
    </row>
    <row r="23307" spans="1:1">
      <c r="A23307" s="27"/>
    </row>
    <row r="23308" spans="1:1">
      <c r="A23308" s="27"/>
    </row>
    <row r="23309" spans="1:1">
      <c r="A23309" s="27"/>
    </row>
    <row r="23310" spans="1:1">
      <c r="A23310" s="27"/>
    </row>
    <row r="23311" spans="1:1">
      <c r="A23311" s="27"/>
    </row>
    <row r="23312" spans="1:1">
      <c r="A23312" s="27"/>
    </row>
    <row r="23313" spans="1:1">
      <c r="A23313" s="27"/>
    </row>
    <row r="23314" spans="1:1">
      <c r="A23314" s="27"/>
    </row>
    <row r="23315" spans="1:1">
      <c r="A23315" s="27"/>
    </row>
    <row r="23316" spans="1:1">
      <c r="A23316" s="27"/>
    </row>
    <row r="23317" spans="1:1">
      <c r="A23317" s="27"/>
    </row>
    <row r="23318" spans="1:1">
      <c r="A23318" s="27"/>
    </row>
    <row r="23319" spans="1:1">
      <c r="A23319" s="27"/>
    </row>
    <row r="23320" spans="1:1">
      <c r="A23320" s="27"/>
    </row>
    <row r="23321" spans="1:1">
      <c r="A23321" s="27"/>
    </row>
    <row r="23322" spans="1:1">
      <c r="A23322" s="27"/>
    </row>
    <row r="23323" spans="1:1">
      <c r="A23323" s="27"/>
    </row>
    <row r="23324" spans="1:1">
      <c r="A23324" s="27"/>
    </row>
    <row r="23325" spans="1:1">
      <c r="A23325" s="27"/>
    </row>
    <row r="23326" spans="1:1">
      <c r="A23326" s="27"/>
    </row>
    <row r="23327" spans="1:1">
      <c r="A23327" s="27"/>
    </row>
    <row r="23328" spans="1:1">
      <c r="A23328" s="27"/>
    </row>
    <row r="23329" spans="1:1">
      <c r="A23329" s="27"/>
    </row>
    <row r="23330" spans="1:1">
      <c r="A23330" s="27"/>
    </row>
    <row r="23331" spans="1:1">
      <c r="A23331" s="27"/>
    </row>
    <row r="23332" spans="1:1">
      <c r="A23332" s="27"/>
    </row>
    <row r="23333" spans="1:1">
      <c r="A23333" s="27"/>
    </row>
    <row r="23334" spans="1:1">
      <c r="A23334" s="27"/>
    </row>
    <row r="23335" spans="1:1">
      <c r="A23335" s="27"/>
    </row>
    <row r="23336" spans="1:1">
      <c r="A23336" s="27"/>
    </row>
    <row r="23337" spans="1:1">
      <c r="A23337" s="27"/>
    </row>
    <row r="23338" spans="1:1">
      <c r="A23338" s="27"/>
    </row>
    <row r="23339" spans="1:1">
      <c r="A23339" s="27"/>
    </row>
    <row r="23340" spans="1:1">
      <c r="A23340" s="27"/>
    </row>
    <row r="23341" spans="1:1">
      <c r="A23341" s="27"/>
    </row>
    <row r="23342" spans="1:1">
      <c r="A23342" s="27"/>
    </row>
    <row r="23343" spans="1:1">
      <c r="A23343" s="27"/>
    </row>
    <row r="23344" spans="1:1">
      <c r="A23344" s="27"/>
    </row>
    <row r="23345" spans="1:1">
      <c r="A23345" s="27"/>
    </row>
    <row r="23346" spans="1:1">
      <c r="A23346" s="27"/>
    </row>
    <row r="23347" spans="1:1">
      <c r="A23347" s="27"/>
    </row>
    <row r="23348" spans="1:1">
      <c r="A23348" s="27"/>
    </row>
    <row r="23349" spans="1:1">
      <c r="A23349" s="27"/>
    </row>
    <row r="23350" spans="1:1">
      <c r="A23350" s="27"/>
    </row>
    <row r="23351" spans="1:1">
      <c r="A23351" s="27"/>
    </row>
    <row r="23352" spans="1:1">
      <c r="A23352" s="27"/>
    </row>
    <row r="23353" spans="1:1">
      <c r="A23353" s="27"/>
    </row>
    <row r="23354" spans="1:1">
      <c r="A23354" s="27"/>
    </row>
    <row r="23355" spans="1:1">
      <c r="A23355" s="27"/>
    </row>
    <row r="23356" spans="1:1">
      <c r="A23356" s="27"/>
    </row>
    <row r="23357" spans="1:1">
      <c r="A23357" s="27"/>
    </row>
    <row r="23358" spans="1:1">
      <c r="A23358" s="27"/>
    </row>
    <row r="23359" spans="1:1">
      <c r="A23359" s="27"/>
    </row>
    <row r="23360" spans="1:1">
      <c r="A23360" s="27"/>
    </row>
    <row r="23361" spans="1:1">
      <c r="A23361" s="27"/>
    </row>
    <row r="23362" spans="1:1">
      <c r="A23362" s="27"/>
    </row>
    <row r="23363" spans="1:1">
      <c r="A23363" s="27"/>
    </row>
    <row r="23364" spans="1:1">
      <c r="A23364" s="27"/>
    </row>
    <row r="23365" spans="1:1">
      <c r="A23365" s="27"/>
    </row>
    <row r="23366" spans="1:1">
      <c r="A23366" s="27"/>
    </row>
    <row r="23367" spans="1:1">
      <c r="A23367" s="27"/>
    </row>
    <row r="23368" spans="1:1">
      <c r="A23368" s="27"/>
    </row>
    <row r="23369" spans="1:1">
      <c r="A23369" s="27"/>
    </row>
    <row r="23370" spans="1:1">
      <c r="A23370" s="27"/>
    </row>
    <row r="23371" spans="1:1">
      <c r="A23371" s="27"/>
    </row>
    <row r="23372" spans="1:1">
      <c r="A23372" s="27"/>
    </row>
    <row r="23373" spans="1:1">
      <c r="A23373" s="27"/>
    </row>
    <row r="23374" spans="1:1">
      <c r="A23374" s="27"/>
    </row>
    <row r="23375" spans="1:1">
      <c r="A23375" s="27"/>
    </row>
    <row r="23376" spans="1:1">
      <c r="A23376" s="27"/>
    </row>
    <row r="23377" spans="1:1">
      <c r="A23377" s="27"/>
    </row>
    <row r="23378" spans="1:1">
      <c r="A23378" s="27"/>
    </row>
    <row r="23379" spans="1:1">
      <c r="A23379" s="27"/>
    </row>
    <row r="23380" spans="1:1">
      <c r="A23380" s="27"/>
    </row>
    <row r="23381" spans="1:1">
      <c r="A23381" s="27"/>
    </row>
    <row r="23382" spans="1:1">
      <c r="A23382" s="27"/>
    </row>
    <row r="23383" spans="1:1">
      <c r="A23383" s="27"/>
    </row>
    <row r="23384" spans="1:1">
      <c r="A23384" s="27"/>
    </row>
    <row r="23385" spans="1:1">
      <c r="A23385" s="27"/>
    </row>
    <row r="23386" spans="1:1">
      <c r="A23386" s="27"/>
    </row>
    <row r="23387" spans="1:1">
      <c r="A23387" s="27"/>
    </row>
    <row r="23388" spans="1:1">
      <c r="A23388" s="27"/>
    </row>
    <row r="23389" spans="1:1">
      <c r="A23389" s="27"/>
    </row>
    <row r="23390" spans="1:1">
      <c r="A23390" s="27"/>
    </row>
    <row r="23391" spans="1:1">
      <c r="A23391" s="27"/>
    </row>
    <row r="23392" spans="1:1">
      <c r="A23392" s="27"/>
    </row>
    <row r="23393" spans="1:1">
      <c r="A23393" s="27"/>
    </row>
    <row r="23394" spans="1:1">
      <c r="A23394" s="27"/>
    </row>
    <row r="23395" spans="1:1">
      <c r="A23395" s="27"/>
    </row>
    <row r="23396" spans="1:1">
      <c r="A23396" s="27"/>
    </row>
    <row r="23397" spans="1:1">
      <c r="A23397" s="27"/>
    </row>
    <row r="23398" spans="1:1">
      <c r="A23398" s="27"/>
    </row>
    <row r="23399" spans="1:1">
      <c r="A23399" s="27"/>
    </row>
    <row r="23400" spans="1:1">
      <c r="A23400" s="27"/>
    </row>
    <row r="23401" spans="1:1">
      <c r="A23401" s="27"/>
    </row>
    <row r="23402" spans="1:1">
      <c r="A23402" s="27"/>
    </row>
    <row r="23403" spans="1:1">
      <c r="A23403" s="27"/>
    </row>
    <row r="23404" spans="1:1">
      <c r="A23404" s="27"/>
    </row>
    <row r="23405" spans="1:1">
      <c r="A23405" s="27"/>
    </row>
    <row r="23406" spans="1:1">
      <c r="A23406" s="27"/>
    </row>
    <row r="23407" spans="1:1">
      <c r="A23407" s="27"/>
    </row>
    <row r="23408" spans="1:1">
      <c r="A23408" s="27"/>
    </row>
    <row r="23409" spans="1:1">
      <c r="A23409" s="27"/>
    </row>
    <row r="23410" spans="1:1">
      <c r="A23410" s="27"/>
    </row>
    <row r="23411" spans="1:1">
      <c r="A23411" s="27"/>
    </row>
    <row r="23412" spans="1:1">
      <c r="A23412" s="27"/>
    </row>
    <row r="23413" spans="1:1">
      <c r="A23413" s="27"/>
    </row>
    <row r="23414" spans="1:1">
      <c r="A23414" s="27"/>
    </row>
    <row r="23415" spans="1:1">
      <c r="A23415" s="27"/>
    </row>
    <row r="23416" spans="1:1">
      <c r="A23416" s="27"/>
    </row>
    <row r="23417" spans="1:1">
      <c r="A23417" s="27"/>
    </row>
    <row r="23418" spans="1:1">
      <c r="A23418" s="27"/>
    </row>
    <row r="23419" spans="1:1">
      <c r="A23419" s="27"/>
    </row>
    <row r="23420" spans="1:1">
      <c r="A23420" s="27"/>
    </row>
    <row r="23421" spans="1:1">
      <c r="A23421" s="27"/>
    </row>
    <row r="23422" spans="1:1">
      <c r="A23422" s="27"/>
    </row>
    <row r="23423" spans="1:1">
      <c r="A23423" s="27"/>
    </row>
    <row r="23424" spans="1:1">
      <c r="A23424" s="27"/>
    </row>
    <row r="23425" spans="1:1">
      <c r="A23425" s="27"/>
    </row>
    <row r="23426" spans="1:1">
      <c r="A23426" s="27"/>
    </row>
    <row r="23427" spans="1:1">
      <c r="A23427" s="27"/>
    </row>
    <row r="23428" spans="1:1">
      <c r="A23428" s="27"/>
    </row>
    <row r="23429" spans="1:1">
      <c r="A23429" s="27"/>
    </row>
    <row r="23430" spans="1:1">
      <c r="A23430" s="27"/>
    </row>
    <row r="23431" spans="1:1">
      <c r="A23431" s="27"/>
    </row>
    <row r="23432" spans="1:1">
      <c r="A23432" s="27"/>
    </row>
    <row r="23433" spans="1:1">
      <c r="A23433" s="27"/>
    </row>
    <row r="23434" spans="1:1">
      <c r="A23434" s="27"/>
    </row>
    <row r="23435" spans="1:1">
      <c r="A23435" s="27"/>
    </row>
    <row r="23436" spans="1:1">
      <c r="A23436" s="27"/>
    </row>
    <row r="23437" spans="1:1">
      <c r="A23437" s="27"/>
    </row>
    <row r="23438" spans="1:1">
      <c r="A23438" s="27"/>
    </row>
    <row r="23439" spans="1:1">
      <c r="A23439" s="27"/>
    </row>
    <row r="23440" spans="1:1">
      <c r="A23440" s="27"/>
    </row>
    <row r="23441" spans="1:1">
      <c r="A23441" s="27"/>
    </row>
    <row r="23442" spans="1:1">
      <c r="A23442" s="27"/>
    </row>
    <row r="23443" spans="1:1">
      <c r="A23443" s="27"/>
    </row>
    <row r="23444" spans="1:1">
      <c r="A23444" s="27"/>
    </row>
    <row r="23445" spans="1:1">
      <c r="A23445" s="27"/>
    </row>
    <row r="23446" spans="1:1">
      <c r="A23446" s="27"/>
    </row>
    <row r="23447" spans="1:1">
      <c r="A23447" s="27"/>
    </row>
    <row r="23448" spans="1:1">
      <c r="A23448" s="27"/>
    </row>
    <row r="23449" spans="1:1">
      <c r="A23449" s="27"/>
    </row>
    <row r="23450" spans="1:1">
      <c r="A23450" s="27"/>
    </row>
    <row r="23451" spans="1:1">
      <c r="A23451" s="27"/>
    </row>
    <row r="23452" spans="1:1">
      <c r="A23452" s="27"/>
    </row>
    <row r="23453" spans="1:1">
      <c r="A23453" s="27"/>
    </row>
    <row r="23454" spans="1:1">
      <c r="A23454" s="27"/>
    </row>
    <row r="23455" spans="1:1">
      <c r="A23455" s="27"/>
    </row>
    <row r="23456" spans="1:1">
      <c r="A23456" s="27"/>
    </row>
    <row r="23457" spans="1:1">
      <c r="A23457" s="27"/>
    </row>
    <row r="23458" spans="1:1">
      <c r="A23458" s="27"/>
    </row>
    <row r="23459" spans="1:1">
      <c r="A23459" s="27"/>
    </row>
    <row r="23460" spans="1:1">
      <c r="A23460" s="27"/>
    </row>
    <row r="23461" spans="1:1">
      <c r="A23461" s="27"/>
    </row>
    <row r="23462" spans="1:1">
      <c r="A23462" s="27"/>
    </row>
    <row r="23463" spans="1:1">
      <c r="A23463" s="27"/>
    </row>
    <row r="23464" spans="1:1">
      <c r="A23464" s="27"/>
    </row>
    <row r="23465" spans="1:1">
      <c r="A23465" s="27"/>
    </row>
    <row r="23466" spans="1:1">
      <c r="A23466" s="27"/>
    </row>
    <row r="23467" spans="1:1">
      <c r="A23467" s="27"/>
    </row>
    <row r="23468" spans="1:1">
      <c r="A23468" s="27"/>
    </row>
    <row r="23469" spans="1:1">
      <c r="A23469" s="27"/>
    </row>
    <row r="23470" spans="1:1">
      <c r="A23470" s="27"/>
    </row>
    <row r="23471" spans="1:1">
      <c r="A23471" s="27"/>
    </row>
    <row r="23472" spans="1:1">
      <c r="A23472" s="27"/>
    </row>
    <row r="23473" spans="1:1">
      <c r="A23473" s="27"/>
    </row>
    <row r="23474" spans="1:1">
      <c r="A23474" s="27"/>
    </row>
    <row r="23475" spans="1:1">
      <c r="A23475" s="27"/>
    </row>
    <row r="23476" spans="1:1">
      <c r="A23476" s="27"/>
    </row>
    <row r="23477" spans="1:1">
      <c r="A23477" s="27"/>
    </row>
    <row r="23478" spans="1:1">
      <c r="A23478" s="27"/>
    </row>
    <row r="23479" spans="1:1">
      <c r="A23479" s="27"/>
    </row>
    <row r="23480" spans="1:1">
      <c r="A23480" s="27"/>
    </row>
    <row r="23481" spans="1:1">
      <c r="A23481" s="27"/>
    </row>
    <row r="23482" spans="1:1">
      <c r="A23482" s="27"/>
    </row>
    <row r="23483" spans="1:1">
      <c r="A23483" s="27"/>
    </row>
    <row r="23484" spans="1:1">
      <c r="A23484" s="27"/>
    </row>
    <row r="23485" spans="1:1">
      <c r="A23485" s="27"/>
    </row>
    <row r="23486" spans="1:1">
      <c r="A23486" s="27"/>
    </row>
    <row r="23487" spans="1:1">
      <c r="A23487" s="27"/>
    </row>
    <row r="23488" spans="1:1">
      <c r="A23488" s="27"/>
    </row>
    <row r="23489" spans="1:1">
      <c r="A23489" s="27"/>
    </row>
    <row r="23490" spans="1:1">
      <c r="A23490" s="27"/>
    </row>
    <row r="23491" spans="1:1">
      <c r="A23491" s="27"/>
    </row>
    <row r="23492" spans="1:1">
      <c r="A23492" s="27"/>
    </row>
    <row r="23493" spans="1:1">
      <c r="A23493" s="27"/>
    </row>
    <row r="23494" spans="1:1">
      <c r="A23494" s="27"/>
    </row>
    <row r="23495" spans="1:1">
      <c r="A23495" s="27"/>
    </row>
    <row r="23496" spans="1:1">
      <c r="A23496" s="27"/>
    </row>
    <row r="23497" spans="1:1">
      <c r="A23497" s="27"/>
    </row>
    <row r="23498" spans="1:1">
      <c r="A23498" s="27"/>
    </row>
    <row r="23499" spans="1:1">
      <c r="A23499" s="27"/>
    </row>
    <row r="23500" spans="1:1">
      <c r="A23500" s="27"/>
    </row>
    <row r="23501" spans="1:1">
      <c r="A23501" s="27"/>
    </row>
    <row r="23502" spans="1:1">
      <c r="A23502" s="27"/>
    </row>
    <row r="23503" spans="1:1">
      <c r="A23503" s="27"/>
    </row>
    <row r="23504" spans="1:1">
      <c r="A23504" s="27"/>
    </row>
    <row r="23505" spans="1:1">
      <c r="A23505" s="27"/>
    </row>
    <row r="23506" spans="1:1">
      <c r="A23506" s="27"/>
    </row>
    <row r="23507" spans="1:1">
      <c r="A23507" s="27"/>
    </row>
    <row r="23508" spans="1:1">
      <c r="A23508" s="27"/>
    </row>
    <row r="23509" spans="1:1">
      <c r="A23509" s="27"/>
    </row>
    <row r="23510" spans="1:1">
      <c r="A23510" s="27"/>
    </row>
    <row r="23511" spans="1:1">
      <c r="A23511" s="27"/>
    </row>
    <row r="23512" spans="1:1">
      <c r="A23512" s="27"/>
    </row>
    <row r="23513" spans="1:1">
      <c r="A23513" s="27"/>
    </row>
    <row r="23514" spans="1:1">
      <c r="A23514" s="27"/>
    </row>
    <row r="23515" spans="1:1">
      <c r="A23515" s="27"/>
    </row>
    <row r="23516" spans="1:1">
      <c r="A23516" s="27"/>
    </row>
    <row r="23517" spans="1:1">
      <c r="A23517" s="27"/>
    </row>
    <row r="23518" spans="1:1">
      <c r="A23518" s="27"/>
    </row>
    <row r="23519" spans="1:1">
      <c r="A23519" s="27"/>
    </row>
    <row r="23520" spans="1:1">
      <c r="A23520" s="27"/>
    </row>
    <row r="23521" spans="1:1">
      <c r="A23521" s="27"/>
    </row>
    <row r="23522" spans="1:1">
      <c r="A23522" s="27"/>
    </row>
    <row r="23523" spans="1:1">
      <c r="A23523" s="27"/>
    </row>
    <row r="23524" spans="1:1">
      <c r="A23524" s="27"/>
    </row>
    <row r="23525" spans="1:1">
      <c r="A23525" s="27"/>
    </row>
    <row r="23526" spans="1:1">
      <c r="A23526" s="27"/>
    </row>
    <row r="23527" spans="1:1">
      <c r="A23527" s="27"/>
    </row>
    <row r="23528" spans="1:1">
      <c r="A23528" s="27"/>
    </row>
    <row r="23529" spans="1:1">
      <c r="A23529" s="27"/>
    </row>
    <row r="23530" spans="1:1">
      <c r="A23530" s="27"/>
    </row>
    <row r="23531" spans="1:1">
      <c r="A23531" s="27"/>
    </row>
    <row r="23532" spans="1:1">
      <c r="A23532" s="27"/>
    </row>
    <row r="23533" spans="1:1">
      <c r="A23533" s="27"/>
    </row>
    <row r="23534" spans="1:1">
      <c r="A23534" s="27"/>
    </row>
    <row r="23535" spans="1:1">
      <c r="A23535" s="27"/>
    </row>
    <row r="23536" spans="1:1">
      <c r="A23536" s="27"/>
    </row>
    <row r="23537" spans="1:1">
      <c r="A23537" s="27"/>
    </row>
    <row r="23538" spans="1:1">
      <c r="A23538" s="27"/>
    </row>
    <row r="23539" spans="1:1">
      <c r="A23539" s="27"/>
    </row>
    <row r="23540" spans="1:1">
      <c r="A23540" s="27"/>
    </row>
    <row r="23541" spans="1:1">
      <c r="A23541" s="27"/>
    </row>
    <row r="23542" spans="1:1">
      <c r="A23542" s="27"/>
    </row>
    <row r="23543" spans="1:1">
      <c r="A23543" s="27"/>
    </row>
    <row r="23544" spans="1:1">
      <c r="A23544" s="27"/>
    </row>
    <row r="23545" spans="1:1">
      <c r="A23545" s="27"/>
    </row>
    <row r="23546" spans="1:1">
      <c r="A23546" s="27"/>
    </row>
    <row r="23547" spans="1:1">
      <c r="A23547" s="27"/>
    </row>
    <row r="23548" spans="1:1">
      <c r="A23548" s="27"/>
    </row>
    <row r="23549" spans="1:1">
      <c r="A23549" s="27"/>
    </row>
    <row r="23550" spans="1:1">
      <c r="A23550" s="27"/>
    </row>
    <row r="23551" spans="1:1">
      <c r="A23551" s="27"/>
    </row>
    <row r="23552" spans="1:1">
      <c r="A23552" s="27"/>
    </row>
    <row r="23553" spans="1:1">
      <c r="A23553" s="27"/>
    </row>
    <row r="23554" spans="1:1">
      <c r="A23554" s="27"/>
    </row>
    <row r="23555" spans="1:1">
      <c r="A23555" s="27"/>
    </row>
    <row r="23556" spans="1:1">
      <c r="A23556" s="27"/>
    </row>
    <row r="23557" spans="1:1">
      <c r="A23557" s="27"/>
    </row>
    <row r="23558" spans="1:1">
      <c r="A23558" s="27"/>
    </row>
    <row r="23559" spans="1:1">
      <c r="A23559" s="27"/>
    </row>
    <row r="23560" spans="1:1">
      <c r="A23560" s="27"/>
    </row>
    <row r="23561" spans="1:1">
      <c r="A23561" s="27"/>
    </row>
    <row r="23562" spans="1:1">
      <c r="A23562" s="27"/>
    </row>
    <row r="23563" spans="1:1">
      <c r="A23563" s="27"/>
    </row>
    <row r="23564" spans="1:1">
      <c r="A23564" s="27"/>
    </row>
    <row r="23565" spans="1:1">
      <c r="A23565" s="27"/>
    </row>
    <row r="23566" spans="1:1">
      <c r="A23566" s="27"/>
    </row>
    <row r="23567" spans="1:1">
      <c r="A23567" s="27"/>
    </row>
    <row r="23568" spans="1:1">
      <c r="A23568" s="27"/>
    </row>
    <row r="23569" spans="1:1">
      <c r="A23569" s="27"/>
    </row>
    <row r="23570" spans="1:1">
      <c r="A23570" s="27"/>
    </row>
    <row r="23571" spans="1:1">
      <c r="A23571" s="27"/>
    </row>
    <row r="23572" spans="1:1">
      <c r="A23572" s="27"/>
    </row>
    <row r="23573" spans="1:1">
      <c r="A23573" s="27"/>
    </row>
    <row r="23574" spans="1:1">
      <c r="A23574" s="27"/>
    </row>
    <row r="23575" spans="1:1">
      <c r="A23575" s="27"/>
    </row>
    <row r="23576" spans="1:1">
      <c r="A23576" s="27"/>
    </row>
    <row r="23577" spans="1:1">
      <c r="A23577" s="27"/>
    </row>
    <row r="23578" spans="1:1">
      <c r="A23578" s="27"/>
    </row>
    <row r="23579" spans="1:1">
      <c r="A23579" s="27"/>
    </row>
    <row r="23580" spans="1:1">
      <c r="A23580" s="27"/>
    </row>
    <row r="23581" spans="1:1">
      <c r="A23581" s="27"/>
    </row>
    <row r="23582" spans="1:1">
      <c r="A23582" s="27"/>
    </row>
    <row r="23583" spans="1:1">
      <c r="A23583" s="27"/>
    </row>
    <row r="23584" spans="1:1">
      <c r="A23584" s="27"/>
    </row>
    <row r="23585" spans="1:1">
      <c r="A23585" s="27"/>
    </row>
    <row r="23586" spans="1:1">
      <c r="A23586" s="27"/>
    </row>
    <row r="23587" spans="1:1">
      <c r="A23587" s="27"/>
    </row>
    <row r="23588" spans="1:1">
      <c r="A23588" s="27"/>
    </row>
    <row r="23589" spans="1:1">
      <c r="A23589" s="27"/>
    </row>
    <row r="23590" spans="1:1">
      <c r="A23590" s="27"/>
    </row>
    <row r="23591" spans="1:1">
      <c r="A23591" s="27"/>
    </row>
    <row r="23592" spans="1:1">
      <c r="A23592" s="27"/>
    </row>
    <row r="23593" spans="1:1">
      <c r="A23593" s="27"/>
    </row>
    <row r="23594" spans="1:1">
      <c r="A23594" s="27"/>
    </row>
    <row r="23595" spans="1:1">
      <c r="A23595" s="27"/>
    </row>
    <row r="23596" spans="1:1">
      <c r="A23596" s="27"/>
    </row>
    <row r="23597" spans="1:1">
      <c r="A23597" s="27"/>
    </row>
    <row r="23598" spans="1:1">
      <c r="A23598" s="27"/>
    </row>
    <row r="23599" spans="1:1">
      <c r="A23599" s="27"/>
    </row>
    <row r="23600" spans="1:1">
      <c r="A23600" s="27"/>
    </row>
    <row r="23601" spans="1:1">
      <c r="A23601" s="27"/>
    </row>
    <row r="23602" spans="1:1">
      <c r="A23602" s="27"/>
    </row>
    <row r="23603" spans="1:1">
      <c r="A23603" s="27"/>
    </row>
    <row r="23604" spans="1:1">
      <c r="A23604" s="27"/>
    </row>
    <row r="23605" spans="1:1">
      <c r="A23605" s="27"/>
    </row>
    <row r="23606" spans="1:1">
      <c r="A23606" s="27"/>
    </row>
    <row r="23607" spans="1:1">
      <c r="A23607" s="27"/>
    </row>
    <row r="23608" spans="1:1">
      <c r="A23608" s="27"/>
    </row>
    <row r="23609" spans="1:1">
      <c r="A23609" s="27"/>
    </row>
    <row r="23610" spans="1:1">
      <c r="A23610" s="27"/>
    </row>
    <row r="23611" spans="1:1">
      <c r="A23611" s="27"/>
    </row>
    <row r="23612" spans="1:1">
      <c r="A23612" s="27"/>
    </row>
    <row r="23613" spans="1:1">
      <c r="A23613" s="27"/>
    </row>
    <row r="23614" spans="1:1">
      <c r="A23614" s="27"/>
    </row>
    <row r="23615" spans="1:1">
      <c r="A23615" s="27"/>
    </row>
    <row r="23616" spans="1:1">
      <c r="A23616" s="27"/>
    </row>
    <row r="23617" spans="1:1">
      <c r="A23617" s="27"/>
    </row>
    <row r="23618" spans="1:1">
      <c r="A23618" s="27"/>
    </row>
    <row r="23619" spans="1:1">
      <c r="A23619" s="27"/>
    </row>
    <row r="23620" spans="1:1">
      <c r="A23620" s="27"/>
    </row>
    <row r="23621" spans="1:1">
      <c r="A23621" s="27"/>
    </row>
    <row r="23622" spans="1:1">
      <c r="A23622" s="27"/>
    </row>
    <row r="23623" spans="1:1">
      <c r="A23623" s="27"/>
    </row>
    <row r="23624" spans="1:1">
      <c r="A23624" s="27"/>
    </row>
    <row r="23625" spans="1:1">
      <c r="A23625" s="27"/>
    </row>
    <row r="23626" spans="1:1">
      <c r="A23626" s="27"/>
    </row>
    <row r="23627" spans="1:1">
      <c r="A23627" s="27"/>
    </row>
    <row r="23628" spans="1:1">
      <c r="A23628" s="27"/>
    </row>
    <row r="23629" spans="1:1">
      <c r="A23629" s="27"/>
    </row>
    <row r="23630" spans="1:1">
      <c r="A23630" s="27"/>
    </row>
    <row r="23631" spans="1:1">
      <c r="A23631" s="27"/>
    </row>
    <row r="23632" spans="1:1">
      <c r="A23632" s="27"/>
    </row>
    <row r="23633" spans="1:1">
      <c r="A23633" s="27"/>
    </row>
    <row r="23634" spans="1:1">
      <c r="A23634" s="27"/>
    </row>
    <row r="23635" spans="1:1">
      <c r="A23635" s="27"/>
    </row>
    <row r="23636" spans="1:1">
      <c r="A23636" s="27"/>
    </row>
    <row r="23637" spans="1:1">
      <c r="A23637" s="27"/>
    </row>
    <row r="23638" spans="1:1">
      <c r="A23638" s="27"/>
    </row>
    <row r="23639" spans="1:1">
      <c r="A23639" s="27"/>
    </row>
    <row r="23640" spans="1:1">
      <c r="A23640" s="27"/>
    </row>
    <row r="23641" spans="1:1">
      <c r="A23641" s="27"/>
    </row>
    <row r="23642" spans="1:1">
      <c r="A23642" s="27"/>
    </row>
    <row r="23643" spans="1:1">
      <c r="A23643" s="27"/>
    </row>
    <row r="23644" spans="1:1">
      <c r="A23644" s="27"/>
    </row>
    <row r="23645" spans="1:1">
      <c r="A23645" s="27"/>
    </row>
    <row r="23646" spans="1:1">
      <c r="A23646" s="27"/>
    </row>
    <row r="23647" spans="1:1">
      <c r="A23647" s="27"/>
    </row>
    <row r="23648" spans="1:1">
      <c r="A23648" s="27"/>
    </row>
    <row r="23649" spans="1:1">
      <c r="A23649" s="27"/>
    </row>
    <row r="23650" spans="1:1">
      <c r="A23650" s="27"/>
    </row>
    <row r="23651" spans="1:1">
      <c r="A23651" s="27"/>
    </row>
    <row r="23652" spans="1:1">
      <c r="A23652" s="27"/>
    </row>
    <row r="23653" spans="1:1">
      <c r="A23653" s="27"/>
    </row>
    <row r="23654" spans="1:1">
      <c r="A23654" s="27"/>
    </row>
    <row r="23655" spans="1:1">
      <c r="A23655" s="27"/>
    </row>
    <row r="23656" spans="1:1">
      <c r="A23656" s="27"/>
    </row>
    <row r="23657" spans="1:1">
      <c r="A23657" s="27"/>
    </row>
    <row r="23658" spans="1:1">
      <c r="A23658" s="27"/>
    </row>
    <row r="23659" spans="1:1">
      <c r="A23659" s="27"/>
    </row>
    <row r="23660" spans="1:1">
      <c r="A23660" s="27"/>
    </row>
    <row r="23661" spans="1:1">
      <c r="A23661" s="27"/>
    </row>
    <row r="23662" spans="1:1">
      <c r="A23662" s="27"/>
    </row>
    <row r="23663" spans="1:1">
      <c r="A23663" s="27"/>
    </row>
    <row r="23664" spans="1:1">
      <c r="A23664" s="27"/>
    </row>
    <row r="23665" spans="1:1">
      <c r="A23665" s="27"/>
    </row>
    <row r="23666" spans="1:1">
      <c r="A23666" s="27"/>
    </row>
    <row r="23667" spans="1:1">
      <c r="A23667" s="27"/>
    </row>
    <row r="23668" spans="1:1">
      <c r="A23668" s="27"/>
    </row>
    <row r="23669" spans="1:1">
      <c r="A23669" s="27"/>
    </row>
    <row r="23670" spans="1:1">
      <c r="A23670" s="27"/>
    </row>
    <row r="23671" spans="1:1">
      <c r="A23671" s="27"/>
    </row>
    <row r="23672" spans="1:1">
      <c r="A23672" s="27"/>
    </row>
    <row r="23673" spans="1:1">
      <c r="A23673" s="27"/>
    </row>
    <row r="23674" spans="1:1">
      <c r="A23674" s="27"/>
    </row>
    <row r="23675" spans="1:1">
      <c r="A23675" s="27"/>
    </row>
    <row r="23676" spans="1:1">
      <c r="A23676" s="27"/>
    </row>
    <row r="23677" spans="1:1">
      <c r="A23677" s="27"/>
    </row>
    <row r="23678" spans="1:1">
      <c r="A23678" s="27"/>
    </row>
    <row r="23679" spans="1:1">
      <c r="A23679" s="27"/>
    </row>
    <row r="23680" spans="1:1">
      <c r="A23680" s="27"/>
    </row>
    <row r="23681" spans="1:1">
      <c r="A23681" s="27"/>
    </row>
    <row r="23682" spans="1:1">
      <c r="A23682" s="27"/>
    </row>
    <row r="23683" spans="1:1">
      <c r="A23683" s="27"/>
    </row>
    <row r="23684" spans="1:1">
      <c r="A23684" s="27"/>
    </row>
    <row r="23685" spans="1:1">
      <c r="A23685" s="27"/>
    </row>
    <row r="23686" spans="1:1">
      <c r="A23686" s="27"/>
    </row>
    <row r="23687" spans="1:1">
      <c r="A23687" s="27"/>
    </row>
    <row r="23688" spans="1:1">
      <c r="A23688" s="27"/>
    </row>
    <row r="23689" spans="1:1">
      <c r="A23689" s="27"/>
    </row>
    <row r="23690" spans="1:1">
      <c r="A23690" s="27"/>
    </row>
    <row r="23691" spans="1:1">
      <c r="A23691" s="27"/>
    </row>
    <row r="23692" spans="1:1">
      <c r="A23692" s="27"/>
    </row>
    <row r="23693" spans="1:1">
      <c r="A23693" s="27"/>
    </row>
    <row r="23694" spans="1:1">
      <c r="A23694" s="27"/>
    </row>
    <row r="23695" spans="1:1">
      <c r="A23695" s="27"/>
    </row>
    <row r="23696" spans="1:1">
      <c r="A23696" s="27"/>
    </row>
    <row r="23697" spans="1:1">
      <c r="A23697" s="27"/>
    </row>
    <row r="23698" spans="1:1">
      <c r="A23698" s="27"/>
    </row>
    <row r="23699" spans="1:1">
      <c r="A23699" s="27"/>
    </row>
    <row r="23700" spans="1:1">
      <c r="A23700" s="27"/>
    </row>
    <row r="23701" spans="1:1">
      <c r="A23701" s="27"/>
    </row>
    <row r="23702" spans="1:1">
      <c r="A23702" s="27"/>
    </row>
    <row r="23703" spans="1:1">
      <c r="A23703" s="27"/>
    </row>
    <row r="23704" spans="1:1">
      <c r="A23704" s="27"/>
    </row>
    <row r="23705" spans="1:1">
      <c r="A23705" s="27"/>
    </row>
    <row r="23706" spans="1:1">
      <c r="A23706" s="27"/>
    </row>
    <row r="23707" spans="1:1">
      <c r="A23707" s="27"/>
    </row>
    <row r="23708" spans="1:1">
      <c r="A23708" s="27"/>
    </row>
    <row r="23709" spans="1:1">
      <c r="A23709" s="27"/>
    </row>
    <row r="23710" spans="1:1">
      <c r="A23710" s="27"/>
    </row>
    <row r="23711" spans="1:1">
      <c r="A23711" s="27"/>
    </row>
    <row r="23712" spans="1:1">
      <c r="A23712" s="27"/>
    </row>
    <row r="23713" spans="1:1">
      <c r="A23713" s="27"/>
    </row>
    <row r="23714" spans="1:1">
      <c r="A23714" s="27"/>
    </row>
    <row r="23715" spans="1:1">
      <c r="A23715" s="27"/>
    </row>
    <row r="23716" spans="1:1">
      <c r="A23716" s="27"/>
    </row>
    <row r="23717" spans="1:1">
      <c r="A23717" s="27"/>
    </row>
    <row r="23718" spans="1:1">
      <c r="A23718" s="27"/>
    </row>
    <row r="23719" spans="1:1">
      <c r="A23719" s="27"/>
    </row>
    <row r="23720" spans="1:1">
      <c r="A23720" s="27"/>
    </row>
    <row r="23721" spans="1:1">
      <c r="A23721" s="27"/>
    </row>
    <row r="23722" spans="1:1">
      <c r="A23722" s="27"/>
    </row>
    <row r="23723" spans="1:1">
      <c r="A23723" s="27"/>
    </row>
    <row r="23724" spans="1:1">
      <c r="A23724" s="27"/>
    </row>
    <row r="23725" spans="1:1">
      <c r="A23725" s="27"/>
    </row>
    <row r="23726" spans="1:1">
      <c r="A23726" s="27"/>
    </row>
    <row r="23727" spans="1:1">
      <c r="A23727" s="27"/>
    </row>
    <row r="23728" spans="1:1">
      <c r="A23728" s="27"/>
    </row>
    <row r="23729" spans="1:1">
      <c r="A23729" s="27"/>
    </row>
    <row r="23730" spans="1:1">
      <c r="A23730" s="27"/>
    </row>
    <row r="23731" spans="1:1">
      <c r="A23731" s="27"/>
    </row>
    <row r="23732" spans="1:1">
      <c r="A23732" s="27"/>
    </row>
    <row r="23733" spans="1:1">
      <c r="A23733" s="27"/>
    </row>
    <row r="23734" spans="1:1">
      <c r="A23734" s="27"/>
    </row>
    <row r="23735" spans="1:1">
      <c r="A23735" s="27"/>
    </row>
    <row r="23736" spans="1:1">
      <c r="A23736" s="27"/>
    </row>
    <row r="23737" spans="1:1">
      <c r="A23737" s="27"/>
    </row>
    <row r="23738" spans="1:1">
      <c r="A23738" s="27"/>
    </row>
    <row r="23739" spans="1:1">
      <c r="A23739" s="27"/>
    </row>
    <row r="23740" spans="1:1">
      <c r="A23740" s="27"/>
    </row>
    <row r="23741" spans="1:1">
      <c r="A23741" s="27"/>
    </row>
    <row r="23742" spans="1:1">
      <c r="A23742" s="27"/>
    </row>
    <row r="23743" spans="1:1">
      <c r="A23743" s="27"/>
    </row>
    <row r="23744" spans="1:1">
      <c r="A23744" s="27"/>
    </row>
    <row r="23745" spans="1:1">
      <c r="A23745" s="27"/>
    </row>
    <row r="23746" spans="1:1">
      <c r="A23746" s="27"/>
    </row>
    <row r="23747" spans="1:1">
      <c r="A23747" s="27"/>
    </row>
    <row r="23748" spans="1:1">
      <c r="A23748" s="27"/>
    </row>
    <row r="23749" spans="1:1">
      <c r="A23749" s="27"/>
    </row>
    <row r="23750" spans="1:1">
      <c r="A23750" s="27"/>
    </row>
    <row r="23751" spans="1:1">
      <c r="A23751" s="27"/>
    </row>
    <row r="23752" spans="1:1">
      <c r="A23752" s="27"/>
    </row>
    <row r="23753" spans="1:1">
      <c r="A23753" s="27"/>
    </row>
    <row r="23754" spans="1:1">
      <c r="A23754" s="27"/>
    </row>
    <row r="23755" spans="1:1">
      <c r="A23755" s="27"/>
    </row>
    <row r="23756" spans="1:1">
      <c r="A23756" s="27"/>
    </row>
    <row r="23757" spans="1:1">
      <c r="A23757" s="27"/>
    </row>
    <row r="23758" spans="1:1">
      <c r="A23758" s="27"/>
    </row>
    <row r="23759" spans="1:1">
      <c r="A23759" s="27"/>
    </row>
    <row r="23760" spans="1:1">
      <c r="A23760" s="27"/>
    </row>
    <row r="23761" spans="1:1">
      <c r="A23761" s="27"/>
    </row>
    <row r="23762" spans="1:1">
      <c r="A23762" s="27"/>
    </row>
    <row r="23763" spans="1:1">
      <c r="A23763" s="27"/>
    </row>
    <row r="23764" spans="1:1">
      <c r="A23764" s="27"/>
    </row>
    <row r="23765" spans="1:1">
      <c r="A23765" s="27"/>
    </row>
    <row r="23766" spans="1:1">
      <c r="A23766" s="27"/>
    </row>
    <row r="23767" spans="1:1">
      <c r="A23767" s="27"/>
    </row>
    <row r="23768" spans="1:1">
      <c r="A23768" s="27"/>
    </row>
    <row r="23769" spans="1:1">
      <c r="A23769" s="27"/>
    </row>
    <row r="23770" spans="1:1">
      <c r="A23770" s="27"/>
    </row>
    <row r="23771" spans="1:1">
      <c r="A23771" s="27"/>
    </row>
    <row r="23772" spans="1:1">
      <c r="A23772" s="27"/>
    </row>
    <row r="23773" spans="1:1">
      <c r="A23773" s="27"/>
    </row>
    <row r="23774" spans="1:1">
      <c r="A23774" s="27"/>
    </row>
    <row r="23775" spans="1:1">
      <c r="A23775" s="27"/>
    </row>
    <row r="23776" spans="1:1">
      <c r="A23776" s="27"/>
    </row>
    <row r="23777" spans="1:1">
      <c r="A23777" s="27"/>
    </row>
    <row r="23778" spans="1:1">
      <c r="A23778" s="27"/>
    </row>
    <row r="23779" spans="1:1">
      <c r="A23779" s="27"/>
    </row>
    <row r="23780" spans="1:1">
      <c r="A23780" s="27"/>
    </row>
    <row r="23781" spans="1:1">
      <c r="A23781" s="27"/>
    </row>
    <row r="23782" spans="1:1">
      <c r="A23782" s="27"/>
    </row>
    <row r="23783" spans="1:1">
      <c r="A23783" s="27"/>
    </row>
    <row r="23784" spans="1:1">
      <c r="A23784" s="27"/>
    </row>
    <row r="23785" spans="1:1">
      <c r="A23785" s="27"/>
    </row>
    <row r="23786" spans="1:1">
      <c r="A23786" s="27"/>
    </row>
    <row r="23787" spans="1:1">
      <c r="A23787" s="27"/>
    </row>
    <row r="23788" spans="1:1">
      <c r="A23788" s="27"/>
    </row>
    <row r="23789" spans="1:1">
      <c r="A23789" s="27"/>
    </row>
    <row r="23790" spans="1:1">
      <c r="A23790" s="27"/>
    </row>
    <row r="23791" spans="1:1">
      <c r="A23791" s="27"/>
    </row>
    <row r="23792" spans="1:1">
      <c r="A23792" s="27"/>
    </row>
    <row r="23793" spans="1:1">
      <c r="A23793" s="27"/>
    </row>
    <row r="23794" spans="1:1">
      <c r="A23794" s="27"/>
    </row>
    <row r="23795" spans="1:1">
      <c r="A23795" s="27"/>
    </row>
    <row r="23796" spans="1:1">
      <c r="A23796" s="27"/>
    </row>
    <row r="23797" spans="1:1">
      <c r="A23797" s="27"/>
    </row>
    <row r="23798" spans="1:1">
      <c r="A23798" s="27"/>
    </row>
    <row r="23799" spans="1:1">
      <c r="A23799" s="27"/>
    </row>
    <row r="23800" spans="1:1">
      <c r="A23800" s="27"/>
    </row>
    <row r="23801" spans="1:1">
      <c r="A23801" s="27"/>
    </row>
    <row r="23802" spans="1:1">
      <c r="A23802" s="27"/>
    </row>
    <row r="23803" spans="1:1">
      <c r="A23803" s="27"/>
    </row>
    <row r="23804" spans="1:1">
      <c r="A23804" s="27"/>
    </row>
    <row r="23805" spans="1:1">
      <c r="A23805" s="27"/>
    </row>
    <row r="23806" spans="1:1">
      <c r="A23806" s="27"/>
    </row>
    <row r="23807" spans="1:1">
      <c r="A23807" s="27"/>
    </row>
    <row r="23808" spans="1:1">
      <c r="A23808" s="27"/>
    </row>
    <row r="23809" spans="1:1">
      <c r="A23809" s="27"/>
    </row>
    <row r="23810" spans="1:1">
      <c r="A23810" s="27"/>
    </row>
    <row r="23811" spans="1:1">
      <c r="A23811" s="27"/>
    </row>
    <row r="23812" spans="1:1">
      <c r="A23812" s="27"/>
    </row>
    <row r="23813" spans="1:1">
      <c r="A23813" s="27"/>
    </row>
    <row r="23814" spans="1:1">
      <c r="A23814" s="27"/>
    </row>
    <row r="23815" spans="1:1">
      <c r="A23815" s="27"/>
    </row>
    <row r="23816" spans="1:1">
      <c r="A23816" s="27"/>
    </row>
    <row r="23817" spans="1:1">
      <c r="A23817" s="27"/>
    </row>
    <row r="23818" spans="1:1">
      <c r="A23818" s="27"/>
    </row>
    <row r="23819" spans="1:1">
      <c r="A23819" s="27"/>
    </row>
    <row r="23820" spans="1:1">
      <c r="A23820" s="27"/>
    </row>
    <row r="23821" spans="1:1">
      <c r="A23821" s="27"/>
    </row>
    <row r="23822" spans="1:1">
      <c r="A23822" s="27"/>
    </row>
    <row r="23823" spans="1:1">
      <c r="A23823" s="27"/>
    </row>
    <row r="23824" spans="1:1">
      <c r="A23824" s="27"/>
    </row>
    <row r="23825" spans="1:1">
      <c r="A23825" s="27"/>
    </row>
    <row r="23826" spans="1:1">
      <c r="A23826" s="27"/>
    </row>
    <row r="23827" spans="1:1">
      <c r="A23827" s="27"/>
    </row>
    <row r="23828" spans="1:1">
      <c r="A23828" s="27"/>
    </row>
    <row r="23829" spans="1:1">
      <c r="A23829" s="27"/>
    </row>
    <row r="23830" spans="1:1">
      <c r="A23830" s="27"/>
    </row>
    <row r="23831" spans="1:1">
      <c r="A23831" s="27"/>
    </row>
    <row r="23832" spans="1:1">
      <c r="A23832" s="27"/>
    </row>
    <row r="23833" spans="1:1">
      <c r="A23833" s="27"/>
    </row>
    <row r="23834" spans="1:1">
      <c r="A23834" s="27"/>
    </row>
    <row r="23835" spans="1:1">
      <c r="A23835" s="27"/>
    </row>
    <row r="23836" spans="1:1">
      <c r="A23836" s="27"/>
    </row>
    <row r="23837" spans="1:1">
      <c r="A23837" s="27"/>
    </row>
    <row r="23838" spans="1:1">
      <c r="A23838" s="27"/>
    </row>
    <row r="23839" spans="1:1">
      <c r="A23839" s="27"/>
    </row>
    <row r="23840" spans="1:1">
      <c r="A23840" s="27"/>
    </row>
    <row r="23841" spans="1:1">
      <c r="A23841" s="27"/>
    </row>
    <row r="23842" spans="1:1">
      <c r="A23842" s="27"/>
    </row>
    <row r="23843" spans="1:1">
      <c r="A23843" s="27"/>
    </row>
    <row r="23844" spans="1:1">
      <c r="A23844" s="27"/>
    </row>
    <row r="23845" spans="1:1">
      <c r="A23845" s="27"/>
    </row>
    <row r="23846" spans="1:1">
      <c r="A23846" s="27"/>
    </row>
    <row r="23847" spans="1:1">
      <c r="A23847" s="27"/>
    </row>
    <row r="23848" spans="1:1">
      <c r="A23848" s="27"/>
    </row>
    <row r="23849" spans="1:1">
      <c r="A23849" s="27"/>
    </row>
    <row r="23850" spans="1:1">
      <c r="A23850" s="27"/>
    </row>
    <row r="23851" spans="1:1">
      <c r="A23851" s="27"/>
    </row>
    <row r="23852" spans="1:1">
      <c r="A23852" s="27"/>
    </row>
    <row r="23853" spans="1:1">
      <c r="A23853" s="27"/>
    </row>
    <row r="23854" spans="1:1">
      <c r="A23854" s="27"/>
    </row>
    <row r="23855" spans="1:1">
      <c r="A23855" s="27"/>
    </row>
    <row r="23856" spans="1:1">
      <c r="A23856" s="27"/>
    </row>
    <row r="23857" spans="1:1">
      <c r="A23857" s="27"/>
    </row>
    <row r="23858" spans="1:1">
      <c r="A23858" s="27"/>
    </row>
    <row r="23859" spans="1:1">
      <c r="A23859" s="27"/>
    </row>
    <row r="23860" spans="1:1">
      <c r="A23860" s="27"/>
    </row>
    <row r="23861" spans="1:1">
      <c r="A23861" s="27"/>
    </row>
    <row r="23862" spans="1:1">
      <c r="A23862" s="27"/>
    </row>
    <row r="23863" spans="1:1">
      <c r="A23863" s="27"/>
    </row>
    <row r="23864" spans="1:1">
      <c r="A23864" s="27"/>
    </row>
    <row r="23865" spans="1:1">
      <c r="A23865" s="27"/>
    </row>
    <row r="23866" spans="1:1">
      <c r="A23866" s="27"/>
    </row>
    <row r="23867" spans="1:1">
      <c r="A23867" s="27"/>
    </row>
    <row r="23868" spans="1:1">
      <c r="A23868" s="27"/>
    </row>
    <row r="23869" spans="1:1">
      <c r="A23869" s="27"/>
    </row>
    <row r="23870" spans="1:1">
      <c r="A23870" s="27"/>
    </row>
    <row r="23871" spans="1:1">
      <c r="A23871" s="27"/>
    </row>
    <row r="23872" spans="1:1">
      <c r="A23872" s="27"/>
    </row>
    <row r="23873" spans="1:1">
      <c r="A23873" s="27"/>
    </row>
    <row r="23874" spans="1:1">
      <c r="A23874" s="27"/>
    </row>
    <row r="23875" spans="1:1">
      <c r="A23875" s="27"/>
    </row>
    <row r="23876" spans="1:1">
      <c r="A23876" s="27"/>
    </row>
    <row r="23877" spans="1:1">
      <c r="A23877" s="27"/>
    </row>
    <row r="23878" spans="1:1">
      <c r="A23878" s="27"/>
    </row>
    <row r="23879" spans="1:1">
      <c r="A23879" s="27"/>
    </row>
    <row r="23880" spans="1:1">
      <c r="A23880" s="27"/>
    </row>
    <row r="23881" spans="1:1">
      <c r="A23881" s="27"/>
    </row>
    <row r="23882" spans="1:1">
      <c r="A23882" s="27"/>
    </row>
    <row r="23883" spans="1:1">
      <c r="A23883" s="27"/>
    </row>
    <row r="23884" spans="1:1">
      <c r="A23884" s="27"/>
    </row>
    <row r="23885" spans="1:1">
      <c r="A23885" s="27"/>
    </row>
    <row r="23886" spans="1:1">
      <c r="A23886" s="27"/>
    </row>
    <row r="23887" spans="1:1">
      <c r="A23887" s="27"/>
    </row>
    <row r="23888" spans="1:1">
      <c r="A23888" s="27"/>
    </row>
    <row r="23889" spans="1:1">
      <c r="A23889" s="27"/>
    </row>
    <row r="23890" spans="1:1">
      <c r="A23890" s="27"/>
    </row>
    <row r="23891" spans="1:1">
      <c r="A23891" s="27"/>
    </row>
    <row r="23892" spans="1:1">
      <c r="A23892" s="27"/>
    </row>
    <row r="23893" spans="1:1">
      <c r="A23893" s="27"/>
    </row>
    <row r="23894" spans="1:1">
      <c r="A23894" s="27"/>
    </row>
    <row r="23895" spans="1:1">
      <c r="A23895" s="27"/>
    </row>
    <row r="23896" spans="1:1">
      <c r="A23896" s="27"/>
    </row>
    <row r="23897" spans="1:1">
      <c r="A23897" s="27"/>
    </row>
    <row r="23898" spans="1:1">
      <c r="A23898" s="27"/>
    </row>
    <row r="23899" spans="1:1">
      <c r="A23899" s="27"/>
    </row>
    <row r="23900" spans="1:1">
      <c r="A23900" s="27"/>
    </row>
    <row r="23901" spans="1:1">
      <c r="A23901" s="27"/>
    </row>
    <row r="23902" spans="1:1">
      <c r="A23902" s="27"/>
    </row>
    <row r="23903" spans="1:1">
      <c r="A23903" s="27"/>
    </row>
    <row r="23904" spans="1:1">
      <c r="A23904" s="27"/>
    </row>
    <row r="23905" spans="1:1">
      <c r="A23905" s="27"/>
    </row>
    <row r="23906" spans="1:1">
      <c r="A23906" s="27"/>
    </row>
    <row r="23907" spans="1:1">
      <c r="A23907" s="27"/>
    </row>
    <row r="23908" spans="1:1">
      <c r="A23908" s="27"/>
    </row>
    <row r="23909" spans="1:1">
      <c r="A23909" s="27"/>
    </row>
    <row r="23910" spans="1:1">
      <c r="A23910" s="27"/>
    </row>
    <row r="23911" spans="1:1">
      <c r="A23911" s="27"/>
    </row>
    <row r="23912" spans="1:1">
      <c r="A23912" s="27"/>
    </row>
    <row r="23913" spans="1:1">
      <c r="A23913" s="27"/>
    </row>
    <row r="23914" spans="1:1">
      <c r="A23914" s="27"/>
    </row>
    <row r="23915" spans="1:1">
      <c r="A23915" s="27"/>
    </row>
    <row r="23916" spans="1:1">
      <c r="A23916" s="27"/>
    </row>
    <row r="23917" spans="1:1">
      <c r="A23917" s="27"/>
    </row>
    <row r="23918" spans="1:1">
      <c r="A23918" s="27"/>
    </row>
    <row r="23919" spans="1:1">
      <c r="A23919" s="27"/>
    </row>
    <row r="23920" spans="1:1">
      <c r="A23920" s="27"/>
    </row>
    <row r="23921" spans="1:1">
      <c r="A23921" s="27"/>
    </row>
    <row r="23922" spans="1:1">
      <c r="A23922" s="27"/>
    </row>
    <row r="23923" spans="1:1">
      <c r="A23923" s="27"/>
    </row>
    <row r="23924" spans="1:1">
      <c r="A23924" s="27"/>
    </row>
    <row r="23925" spans="1:1">
      <c r="A23925" s="27"/>
    </row>
    <row r="23926" spans="1:1">
      <c r="A23926" s="27"/>
    </row>
    <row r="23927" spans="1:1">
      <c r="A23927" s="27"/>
    </row>
    <row r="23928" spans="1:1">
      <c r="A23928" s="27"/>
    </row>
    <row r="23929" spans="1:1">
      <c r="A23929" s="27"/>
    </row>
    <row r="23930" spans="1:1">
      <c r="A23930" s="27"/>
    </row>
    <row r="23931" spans="1:1">
      <c r="A23931" s="27"/>
    </row>
    <row r="23932" spans="1:1">
      <c r="A23932" s="27"/>
    </row>
    <row r="23933" spans="1:1">
      <c r="A23933" s="27"/>
    </row>
    <row r="23934" spans="1:1">
      <c r="A23934" s="27"/>
    </row>
    <row r="23935" spans="1:1">
      <c r="A23935" s="27"/>
    </row>
    <row r="23936" spans="1:1">
      <c r="A23936" s="27"/>
    </row>
    <row r="23937" spans="1:1">
      <c r="A23937" s="27"/>
    </row>
    <row r="23938" spans="1:1">
      <c r="A23938" s="27"/>
    </row>
    <row r="23939" spans="1:1">
      <c r="A23939" s="27"/>
    </row>
    <row r="23940" spans="1:1">
      <c r="A23940" s="27"/>
    </row>
    <row r="23941" spans="1:1">
      <c r="A23941" s="27"/>
    </row>
    <row r="23942" spans="1:1">
      <c r="A23942" s="27"/>
    </row>
    <row r="23943" spans="1:1">
      <c r="A23943" s="27"/>
    </row>
    <row r="23944" spans="1:1">
      <c r="A23944" s="27"/>
    </row>
    <row r="23945" spans="1:1">
      <c r="A23945" s="27"/>
    </row>
    <row r="23946" spans="1:1">
      <c r="A23946" s="27"/>
    </row>
    <row r="23947" spans="1:1">
      <c r="A23947" s="27"/>
    </row>
    <row r="23948" spans="1:1">
      <c r="A23948" s="27"/>
    </row>
    <row r="23949" spans="1:1">
      <c r="A23949" s="27"/>
    </row>
    <row r="23950" spans="1:1">
      <c r="A23950" s="27"/>
    </row>
    <row r="23951" spans="1:1">
      <c r="A23951" s="27"/>
    </row>
    <row r="23952" spans="1:1">
      <c r="A23952" s="27"/>
    </row>
    <row r="23953" spans="1:1">
      <c r="A23953" s="27"/>
    </row>
    <row r="23954" spans="1:1">
      <c r="A23954" s="27"/>
    </row>
    <row r="23955" spans="1:1">
      <c r="A23955" s="27"/>
    </row>
    <row r="23956" spans="1:1">
      <c r="A23956" s="27"/>
    </row>
    <row r="23957" spans="1:1">
      <c r="A23957" s="27"/>
    </row>
    <row r="23958" spans="1:1">
      <c r="A23958" s="27"/>
    </row>
    <row r="23959" spans="1:1">
      <c r="A23959" s="27"/>
    </row>
    <row r="23960" spans="1:1">
      <c r="A23960" s="27"/>
    </row>
    <row r="23961" spans="1:1">
      <c r="A23961" s="27"/>
    </row>
    <row r="23962" spans="1:1">
      <c r="A23962" s="27"/>
    </row>
    <row r="23963" spans="1:1">
      <c r="A23963" s="27"/>
    </row>
    <row r="23964" spans="1:1">
      <c r="A23964" s="27"/>
    </row>
    <row r="23965" spans="1:1">
      <c r="A23965" s="27"/>
    </row>
    <row r="23966" spans="1:1">
      <c r="A23966" s="27"/>
    </row>
    <row r="23967" spans="1:1">
      <c r="A23967" s="27"/>
    </row>
    <row r="23968" spans="1:1">
      <c r="A23968" s="27"/>
    </row>
    <row r="23969" spans="1:1">
      <c r="A23969" s="27"/>
    </row>
    <row r="23970" spans="1:1">
      <c r="A23970" s="27"/>
    </row>
    <row r="23971" spans="1:1">
      <c r="A23971" s="27"/>
    </row>
    <row r="23972" spans="1:1">
      <c r="A23972" s="27"/>
    </row>
    <row r="23973" spans="1:1">
      <c r="A23973" s="27"/>
    </row>
    <row r="23974" spans="1:1">
      <c r="A23974" s="27"/>
    </row>
    <row r="23975" spans="1:1">
      <c r="A23975" s="27"/>
    </row>
    <row r="23976" spans="1:1">
      <c r="A23976" s="27"/>
    </row>
    <row r="23977" spans="1:1">
      <c r="A23977" s="27"/>
    </row>
    <row r="23978" spans="1:1">
      <c r="A23978" s="27"/>
    </row>
    <row r="23979" spans="1:1">
      <c r="A23979" s="27"/>
    </row>
    <row r="23980" spans="1:1">
      <c r="A23980" s="27"/>
    </row>
    <row r="23981" spans="1:1">
      <c r="A23981" s="27"/>
    </row>
    <row r="23982" spans="1:1">
      <c r="A23982" s="27"/>
    </row>
    <row r="23983" spans="1:1">
      <c r="A23983" s="27"/>
    </row>
    <row r="23984" spans="1:1">
      <c r="A23984" s="27"/>
    </row>
    <row r="23985" spans="1:1">
      <c r="A23985" s="27"/>
    </row>
    <row r="23986" spans="1:1">
      <c r="A23986" s="27"/>
    </row>
    <row r="23987" spans="1:1">
      <c r="A23987" s="27"/>
    </row>
    <row r="23988" spans="1:1">
      <c r="A23988" s="27"/>
    </row>
    <row r="23989" spans="1:1">
      <c r="A23989" s="27"/>
    </row>
    <row r="23990" spans="1:1">
      <c r="A23990" s="27"/>
    </row>
    <row r="23991" spans="1:1">
      <c r="A23991" s="27"/>
    </row>
    <row r="23992" spans="1:1">
      <c r="A23992" s="27"/>
    </row>
    <row r="23993" spans="1:1">
      <c r="A23993" s="27"/>
    </row>
    <row r="23994" spans="1:1">
      <c r="A23994" s="27"/>
    </row>
    <row r="23995" spans="1:1">
      <c r="A23995" s="27"/>
    </row>
    <row r="23996" spans="1:1">
      <c r="A23996" s="27"/>
    </row>
    <row r="23997" spans="1:1">
      <c r="A23997" s="27"/>
    </row>
    <row r="23998" spans="1:1">
      <c r="A23998" s="27"/>
    </row>
    <row r="23999" spans="1:1">
      <c r="A23999" s="27"/>
    </row>
    <row r="24000" spans="1:1">
      <c r="A24000" s="27"/>
    </row>
    <row r="24001" spans="1:1">
      <c r="A24001" s="27"/>
    </row>
    <row r="24002" spans="1:1">
      <c r="A24002" s="27"/>
    </row>
    <row r="24003" spans="1:1">
      <c r="A24003" s="27"/>
    </row>
    <row r="24004" spans="1:1">
      <c r="A24004" s="27"/>
    </row>
    <row r="24005" spans="1:1">
      <c r="A24005" s="27"/>
    </row>
    <row r="24006" spans="1:1">
      <c r="A24006" s="27"/>
    </row>
    <row r="24007" spans="1:1">
      <c r="A24007" s="27"/>
    </row>
    <row r="24008" spans="1:1">
      <c r="A24008" s="27"/>
    </row>
    <row r="24009" spans="1:1">
      <c r="A24009" s="27"/>
    </row>
    <row r="24010" spans="1:1">
      <c r="A24010" s="27"/>
    </row>
    <row r="24011" spans="1:1">
      <c r="A24011" s="27"/>
    </row>
    <row r="24012" spans="1:1">
      <c r="A24012" s="27"/>
    </row>
    <row r="24013" spans="1:1">
      <c r="A24013" s="27"/>
    </row>
    <row r="24014" spans="1:1">
      <c r="A24014" s="27"/>
    </row>
    <row r="24015" spans="1:1">
      <c r="A24015" s="27"/>
    </row>
    <row r="24016" spans="1:1">
      <c r="A24016" s="27"/>
    </row>
    <row r="24017" spans="1:1">
      <c r="A24017" s="27"/>
    </row>
    <row r="24018" spans="1:1">
      <c r="A24018" s="27"/>
    </row>
    <row r="24019" spans="1:1">
      <c r="A24019" s="27"/>
    </row>
    <row r="24020" spans="1:1">
      <c r="A24020" s="27"/>
    </row>
    <row r="24021" spans="1:1">
      <c r="A24021" s="27"/>
    </row>
    <row r="24022" spans="1:1">
      <c r="A24022" s="27"/>
    </row>
    <row r="24023" spans="1:1">
      <c r="A24023" s="27"/>
    </row>
    <row r="24024" spans="1:1">
      <c r="A24024" s="27"/>
    </row>
    <row r="24025" spans="1:1">
      <c r="A24025" s="27"/>
    </row>
    <row r="24026" spans="1:1">
      <c r="A24026" s="27"/>
    </row>
    <row r="24027" spans="1:1">
      <c r="A24027" s="27"/>
    </row>
    <row r="24028" spans="1:1">
      <c r="A24028" s="27"/>
    </row>
    <row r="24029" spans="1:1">
      <c r="A24029" s="27"/>
    </row>
    <row r="24030" spans="1:1">
      <c r="A24030" s="27"/>
    </row>
    <row r="24031" spans="1:1">
      <c r="A24031" s="27"/>
    </row>
    <row r="24032" spans="1:1">
      <c r="A24032" s="27"/>
    </row>
    <row r="24033" spans="1:1">
      <c r="A24033" s="27"/>
    </row>
    <row r="24034" spans="1:1">
      <c r="A24034" s="27"/>
    </row>
    <row r="24035" spans="1:1">
      <c r="A24035" s="27"/>
    </row>
    <row r="24036" spans="1:1">
      <c r="A24036" s="27"/>
    </row>
    <row r="24037" spans="1:1">
      <c r="A24037" s="27"/>
    </row>
    <row r="24038" spans="1:1">
      <c r="A24038" s="27"/>
    </row>
    <row r="24039" spans="1:1">
      <c r="A24039" s="27"/>
    </row>
    <row r="24040" spans="1:1">
      <c r="A24040" s="27"/>
    </row>
    <row r="24041" spans="1:1">
      <c r="A24041" s="27"/>
    </row>
    <row r="24042" spans="1:1">
      <c r="A24042" s="27"/>
    </row>
    <row r="24043" spans="1:1">
      <c r="A24043" s="27"/>
    </row>
    <row r="24044" spans="1:1">
      <c r="A24044" s="27"/>
    </row>
    <row r="24045" spans="1:1">
      <c r="A24045" s="27"/>
    </row>
    <row r="24046" spans="1:1">
      <c r="A24046" s="27"/>
    </row>
    <row r="24047" spans="1:1">
      <c r="A24047" s="27"/>
    </row>
    <row r="24048" spans="1:1">
      <c r="A24048" s="27"/>
    </row>
    <row r="24049" spans="1:1">
      <c r="A24049" s="27"/>
    </row>
    <row r="24050" spans="1:1">
      <c r="A24050" s="27"/>
    </row>
    <row r="24051" spans="1:1">
      <c r="A24051" s="27"/>
    </row>
    <row r="24052" spans="1:1">
      <c r="A24052" s="27"/>
    </row>
    <row r="24053" spans="1:1">
      <c r="A24053" s="27"/>
    </row>
    <row r="24054" spans="1:1">
      <c r="A24054" s="27"/>
    </row>
    <row r="24055" spans="1:1">
      <c r="A24055" s="27"/>
    </row>
    <row r="24056" spans="1:1">
      <c r="A24056" s="27"/>
    </row>
    <row r="24057" spans="1:1">
      <c r="A24057" s="27"/>
    </row>
    <row r="24058" spans="1:1">
      <c r="A24058" s="27"/>
    </row>
    <row r="24059" spans="1:1">
      <c r="A24059" s="27"/>
    </row>
    <row r="24060" spans="1:1">
      <c r="A24060" s="27"/>
    </row>
    <row r="24061" spans="1:1">
      <c r="A24061" s="27"/>
    </row>
    <row r="24062" spans="1:1">
      <c r="A24062" s="27"/>
    </row>
    <row r="24063" spans="1:1">
      <c r="A24063" s="27"/>
    </row>
    <row r="24064" spans="1:1">
      <c r="A24064" s="27"/>
    </row>
    <row r="24065" spans="1:1">
      <c r="A24065" s="27"/>
    </row>
    <row r="24066" spans="1:1">
      <c r="A24066" s="27"/>
    </row>
    <row r="24067" spans="1:1">
      <c r="A24067" s="27"/>
    </row>
    <row r="24068" spans="1:1">
      <c r="A24068" s="27"/>
    </row>
    <row r="24069" spans="1:1">
      <c r="A24069" s="27"/>
    </row>
    <row r="24070" spans="1:1">
      <c r="A24070" s="27"/>
    </row>
    <row r="24071" spans="1:1">
      <c r="A24071" s="27"/>
    </row>
    <row r="24072" spans="1:1">
      <c r="A24072" s="27"/>
    </row>
    <row r="24073" spans="1:1">
      <c r="A24073" s="27"/>
    </row>
    <row r="24074" spans="1:1">
      <c r="A24074" s="27"/>
    </row>
    <row r="24075" spans="1:1">
      <c r="A24075" s="27"/>
    </row>
    <row r="24076" spans="1:1">
      <c r="A24076" s="27"/>
    </row>
    <row r="24077" spans="1:1">
      <c r="A24077" s="27"/>
    </row>
    <row r="24078" spans="1:1">
      <c r="A24078" s="27"/>
    </row>
    <row r="24079" spans="1:1">
      <c r="A24079" s="27"/>
    </row>
    <row r="24080" spans="1:1">
      <c r="A24080" s="27"/>
    </row>
    <row r="24081" spans="1:1">
      <c r="A24081" s="27"/>
    </row>
    <row r="24082" spans="1:1">
      <c r="A24082" s="27"/>
    </row>
    <row r="24083" spans="1:1">
      <c r="A24083" s="27"/>
    </row>
    <row r="24084" spans="1:1">
      <c r="A24084" s="27"/>
    </row>
    <row r="24085" spans="1:1">
      <c r="A24085" s="27"/>
    </row>
    <row r="24086" spans="1:1">
      <c r="A24086" s="27"/>
    </row>
    <row r="24087" spans="1:1">
      <c r="A24087" s="27"/>
    </row>
    <row r="24088" spans="1:1">
      <c r="A24088" s="27"/>
    </row>
    <row r="24089" spans="1:1">
      <c r="A24089" s="27"/>
    </row>
    <row r="24090" spans="1:1">
      <c r="A24090" s="27"/>
    </row>
    <row r="24091" spans="1:1">
      <c r="A24091" s="27"/>
    </row>
    <row r="24092" spans="1:1">
      <c r="A24092" s="27"/>
    </row>
    <row r="24093" spans="1:1">
      <c r="A24093" s="27"/>
    </row>
    <row r="24094" spans="1:1">
      <c r="A24094" s="27"/>
    </row>
    <row r="24095" spans="1:1">
      <c r="A24095" s="27"/>
    </row>
    <row r="24096" spans="1:1">
      <c r="A24096" s="27"/>
    </row>
    <row r="24097" spans="1:1">
      <c r="A24097" s="27"/>
    </row>
    <row r="24098" spans="1:1">
      <c r="A24098" s="27"/>
    </row>
    <row r="24099" spans="1:1">
      <c r="A24099" s="27"/>
    </row>
    <row r="24100" spans="1:1">
      <c r="A24100" s="27"/>
    </row>
    <row r="24101" spans="1:1">
      <c r="A24101" s="27"/>
    </row>
    <row r="24102" spans="1:1">
      <c r="A24102" s="27"/>
    </row>
    <row r="24103" spans="1:1">
      <c r="A24103" s="27"/>
    </row>
    <row r="24104" spans="1:1">
      <c r="A24104" s="27"/>
    </row>
    <row r="24105" spans="1:1">
      <c r="A24105" s="27"/>
    </row>
    <row r="24106" spans="1:1">
      <c r="A24106" s="27"/>
    </row>
    <row r="24107" spans="1:1">
      <c r="A24107" s="27"/>
    </row>
    <row r="24108" spans="1:1">
      <c r="A24108" s="27"/>
    </row>
    <row r="24109" spans="1:1">
      <c r="A24109" s="27"/>
    </row>
    <row r="24110" spans="1:1">
      <c r="A24110" s="27"/>
    </row>
    <row r="24111" spans="1:1">
      <c r="A24111" s="27"/>
    </row>
    <row r="24112" spans="1:1">
      <c r="A24112" s="27"/>
    </row>
    <row r="24113" spans="1:1">
      <c r="A24113" s="27"/>
    </row>
    <row r="24114" spans="1:1">
      <c r="A24114" s="27"/>
    </row>
    <row r="24115" spans="1:1">
      <c r="A24115" s="27"/>
    </row>
    <row r="24116" spans="1:1">
      <c r="A24116" s="27"/>
    </row>
    <row r="24117" spans="1:1">
      <c r="A24117" s="27"/>
    </row>
    <row r="24118" spans="1:1">
      <c r="A24118" s="27"/>
    </row>
    <row r="24119" spans="1:1">
      <c r="A24119" s="27"/>
    </row>
    <row r="24120" spans="1:1">
      <c r="A24120" s="27"/>
    </row>
    <row r="24121" spans="1:1">
      <c r="A24121" s="27"/>
    </row>
    <row r="24122" spans="1:1">
      <c r="A24122" s="27"/>
    </row>
    <row r="24123" spans="1:1">
      <c r="A24123" s="27"/>
    </row>
    <row r="24124" spans="1:1">
      <c r="A24124" s="27"/>
    </row>
    <row r="24125" spans="1:1">
      <c r="A24125" s="27"/>
    </row>
    <row r="24126" spans="1:1">
      <c r="A24126" s="27"/>
    </row>
    <row r="24127" spans="1:1">
      <c r="A24127" s="27"/>
    </row>
    <row r="24128" spans="1:1">
      <c r="A24128" s="27"/>
    </row>
    <row r="24129" spans="1:1">
      <c r="A24129" s="27"/>
    </row>
    <row r="24130" spans="1:1">
      <c r="A24130" s="27"/>
    </row>
    <row r="24131" spans="1:1">
      <c r="A24131" s="27"/>
    </row>
    <row r="24132" spans="1:1">
      <c r="A24132" s="27"/>
    </row>
    <row r="24133" spans="1:1">
      <c r="A24133" s="27"/>
    </row>
    <row r="24134" spans="1:1">
      <c r="A24134" s="27"/>
    </row>
    <row r="24135" spans="1:1">
      <c r="A24135" s="27"/>
    </row>
    <row r="24136" spans="1:1">
      <c r="A24136" s="27"/>
    </row>
    <row r="24137" spans="1:1">
      <c r="A24137" s="27"/>
    </row>
    <row r="24138" spans="1:1">
      <c r="A24138" s="27"/>
    </row>
    <row r="24139" spans="1:1">
      <c r="A24139" s="27"/>
    </row>
    <row r="24140" spans="1:1">
      <c r="A24140" s="27"/>
    </row>
    <row r="24141" spans="1:1">
      <c r="A24141" s="27"/>
    </row>
    <row r="24142" spans="1:1">
      <c r="A24142" s="27"/>
    </row>
    <row r="24143" spans="1:1">
      <c r="A24143" s="27"/>
    </row>
    <row r="24144" spans="1:1">
      <c r="A24144" s="27"/>
    </row>
    <row r="24145" spans="1:1">
      <c r="A24145" s="27"/>
    </row>
    <row r="24146" spans="1:1">
      <c r="A24146" s="27"/>
    </row>
    <row r="24147" spans="1:1">
      <c r="A24147" s="27"/>
    </row>
    <row r="24148" spans="1:1">
      <c r="A24148" s="27"/>
    </row>
    <row r="24149" spans="1:1">
      <c r="A24149" s="27"/>
    </row>
    <row r="24150" spans="1:1">
      <c r="A24150" s="27"/>
    </row>
    <row r="24151" spans="1:1">
      <c r="A24151" s="27"/>
    </row>
    <row r="24152" spans="1:1">
      <c r="A24152" s="27"/>
    </row>
    <row r="24153" spans="1:1">
      <c r="A24153" s="27"/>
    </row>
    <row r="24154" spans="1:1">
      <c r="A24154" s="27"/>
    </row>
    <row r="24155" spans="1:1">
      <c r="A24155" s="27"/>
    </row>
    <row r="24156" spans="1:1">
      <c r="A24156" s="27"/>
    </row>
    <row r="24157" spans="1:1">
      <c r="A24157" s="27"/>
    </row>
    <row r="24158" spans="1:1">
      <c r="A24158" s="27"/>
    </row>
    <row r="24159" spans="1:1">
      <c r="A24159" s="27"/>
    </row>
    <row r="24160" spans="1:1">
      <c r="A24160" s="27"/>
    </row>
    <row r="24161" spans="1:1">
      <c r="A24161" s="27"/>
    </row>
    <row r="24162" spans="1:1">
      <c r="A24162" s="27"/>
    </row>
    <row r="24163" spans="1:1">
      <c r="A24163" s="27"/>
    </row>
    <row r="24164" spans="1:1">
      <c r="A24164" s="27"/>
    </row>
    <row r="24165" spans="1:1">
      <c r="A24165" s="27"/>
    </row>
    <row r="24166" spans="1:1">
      <c r="A24166" s="27"/>
    </row>
    <row r="24167" spans="1:1">
      <c r="A24167" s="27"/>
    </row>
    <row r="24168" spans="1:1">
      <c r="A24168" s="27"/>
    </row>
    <row r="24169" spans="1:1">
      <c r="A24169" s="27"/>
    </row>
    <row r="24170" spans="1:1">
      <c r="A24170" s="27"/>
    </row>
    <row r="24171" spans="1:1">
      <c r="A24171" s="27"/>
    </row>
    <row r="24172" spans="1:1">
      <c r="A24172" s="27"/>
    </row>
    <row r="24173" spans="1:1">
      <c r="A24173" s="27"/>
    </row>
    <row r="24174" spans="1:1">
      <c r="A24174" s="27"/>
    </row>
    <row r="24175" spans="1:1">
      <c r="A24175" s="27"/>
    </row>
    <row r="24176" spans="1:1">
      <c r="A24176" s="27"/>
    </row>
    <row r="24177" spans="1:1">
      <c r="A24177" s="27"/>
    </row>
    <row r="24178" spans="1:1">
      <c r="A24178" s="27"/>
    </row>
    <row r="24179" spans="1:1">
      <c r="A24179" s="27"/>
    </row>
    <row r="24180" spans="1:1">
      <c r="A24180" s="27"/>
    </row>
    <row r="24181" spans="1:1">
      <c r="A24181" s="27"/>
    </row>
    <row r="24182" spans="1:1">
      <c r="A24182" s="27"/>
    </row>
    <row r="24183" spans="1:1">
      <c r="A24183" s="27"/>
    </row>
    <row r="24184" spans="1:1">
      <c r="A24184" s="27"/>
    </row>
    <row r="24185" spans="1:1">
      <c r="A24185" s="27"/>
    </row>
    <row r="24186" spans="1:1">
      <c r="A24186" s="27"/>
    </row>
    <row r="24187" spans="1:1">
      <c r="A24187" s="27"/>
    </row>
    <row r="24188" spans="1:1">
      <c r="A24188" s="27"/>
    </row>
    <row r="24189" spans="1:1">
      <c r="A24189" s="27"/>
    </row>
    <row r="24190" spans="1:1">
      <c r="A24190" s="27"/>
    </row>
    <row r="24191" spans="1:1">
      <c r="A24191" s="27"/>
    </row>
    <row r="24192" spans="1:1">
      <c r="A24192" s="27"/>
    </row>
    <row r="24193" spans="1:1">
      <c r="A24193" s="27"/>
    </row>
    <row r="24194" spans="1:1">
      <c r="A24194" s="27"/>
    </row>
    <row r="24195" spans="1:1">
      <c r="A24195" s="27"/>
    </row>
    <row r="24196" spans="1:1">
      <c r="A24196" s="27"/>
    </row>
    <row r="24197" spans="1:1">
      <c r="A24197" s="27"/>
    </row>
    <row r="24198" spans="1:1">
      <c r="A24198" s="27"/>
    </row>
    <row r="24199" spans="1:1">
      <c r="A24199" s="27"/>
    </row>
    <row r="24200" spans="1:1">
      <c r="A24200" s="27"/>
    </row>
    <row r="24201" spans="1:1">
      <c r="A24201" s="27"/>
    </row>
    <row r="24202" spans="1:1">
      <c r="A24202" s="27"/>
    </row>
    <row r="24203" spans="1:1">
      <c r="A24203" s="27"/>
    </row>
    <row r="24204" spans="1:1">
      <c r="A24204" s="27"/>
    </row>
    <row r="24205" spans="1:1">
      <c r="A24205" s="27"/>
    </row>
    <row r="24206" spans="1:1">
      <c r="A24206" s="27"/>
    </row>
    <row r="24207" spans="1:1">
      <c r="A24207" s="27"/>
    </row>
    <row r="24208" spans="1:1">
      <c r="A24208" s="27"/>
    </row>
    <row r="24209" spans="1:1">
      <c r="A24209" s="27"/>
    </row>
    <row r="24210" spans="1:1">
      <c r="A24210" s="27"/>
    </row>
    <row r="24211" spans="1:1">
      <c r="A24211" s="27"/>
    </row>
    <row r="24212" spans="1:1">
      <c r="A24212" s="27"/>
    </row>
    <row r="24213" spans="1:1">
      <c r="A24213" s="27"/>
    </row>
    <row r="24214" spans="1:1">
      <c r="A24214" s="27"/>
    </row>
    <row r="24215" spans="1:1">
      <c r="A24215" s="27"/>
    </row>
    <row r="24216" spans="1:1">
      <c r="A24216" s="27"/>
    </row>
    <row r="24217" spans="1:1">
      <c r="A24217" s="27"/>
    </row>
    <row r="24218" spans="1:1">
      <c r="A24218" s="27"/>
    </row>
    <row r="24219" spans="1:1">
      <c r="A24219" s="27"/>
    </row>
    <row r="24220" spans="1:1">
      <c r="A24220" s="27"/>
    </row>
    <row r="24221" spans="1:1">
      <c r="A24221" s="27"/>
    </row>
    <row r="24222" spans="1:1">
      <c r="A24222" s="27"/>
    </row>
    <row r="24223" spans="1:1">
      <c r="A24223" s="27"/>
    </row>
    <row r="24224" spans="1:1">
      <c r="A24224" s="27"/>
    </row>
    <row r="24225" spans="1:1">
      <c r="A24225" s="27"/>
    </row>
    <row r="24226" spans="1:1">
      <c r="A24226" s="27"/>
    </row>
    <row r="24227" spans="1:1">
      <c r="A24227" s="27"/>
    </row>
    <row r="24228" spans="1:1">
      <c r="A24228" s="27"/>
    </row>
    <row r="24229" spans="1:1">
      <c r="A24229" s="27"/>
    </row>
    <row r="24230" spans="1:1">
      <c r="A24230" s="27"/>
    </row>
    <row r="24231" spans="1:1">
      <c r="A24231" s="27"/>
    </row>
    <row r="24232" spans="1:1">
      <c r="A24232" s="27"/>
    </row>
    <row r="24233" spans="1:1">
      <c r="A24233" s="27"/>
    </row>
    <row r="24234" spans="1:1">
      <c r="A24234" s="27"/>
    </row>
    <row r="24235" spans="1:1">
      <c r="A24235" s="27"/>
    </row>
    <row r="24236" spans="1:1">
      <c r="A24236" s="27"/>
    </row>
    <row r="24237" spans="1:1">
      <c r="A24237" s="27"/>
    </row>
    <row r="24238" spans="1:1">
      <c r="A24238" s="27"/>
    </row>
    <row r="24239" spans="1:1">
      <c r="A24239" s="27"/>
    </row>
    <row r="24240" spans="1:1">
      <c r="A24240" s="27"/>
    </row>
    <row r="24241" spans="1:1">
      <c r="A24241" s="27"/>
    </row>
    <row r="24242" spans="1:1">
      <c r="A24242" s="27"/>
    </row>
    <row r="24243" spans="1:1">
      <c r="A24243" s="27"/>
    </row>
    <row r="24244" spans="1:1">
      <c r="A24244" s="27"/>
    </row>
    <row r="24245" spans="1:1">
      <c r="A24245" s="27"/>
    </row>
    <row r="24246" spans="1:1">
      <c r="A24246" s="27"/>
    </row>
    <row r="24247" spans="1:1">
      <c r="A24247" s="27"/>
    </row>
    <row r="24248" spans="1:1">
      <c r="A24248" s="27"/>
    </row>
    <row r="24249" spans="1:1">
      <c r="A24249" s="27"/>
    </row>
    <row r="24250" spans="1:1">
      <c r="A24250" s="27"/>
    </row>
    <row r="24251" spans="1:1">
      <c r="A24251" s="27"/>
    </row>
    <row r="24252" spans="1:1">
      <c r="A24252" s="27"/>
    </row>
    <row r="24253" spans="1:1">
      <c r="A24253" s="27"/>
    </row>
    <row r="24254" spans="1:1">
      <c r="A24254" s="27"/>
    </row>
    <row r="24255" spans="1:1">
      <c r="A24255" s="27"/>
    </row>
    <row r="24256" spans="1:1">
      <c r="A24256" s="27"/>
    </row>
    <row r="24257" spans="1:1">
      <c r="A24257" s="27"/>
    </row>
    <row r="24258" spans="1:1">
      <c r="A24258" s="27"/>
    </row>
    <row r="24259" spans="1:1">
      <c r="A24259" s="27"/>
    </row>
    <row r="24260" spans="1:1">
      <c r="A24260" s="27"/>
    </row>
    <row r="24261" spans="1:1">
      <c r="A24261" s="27"/>
    </row>
    <row r="24262" spans="1:1">
      <c r="A24262" s="27"/>
    </row>
    <row r="24263" spans="1:1">
      <c r="A24263" s="27"/>
    </row>
    <row r="24264" spans="1:1">
      <c r="A24264" s="27"/>
    </row>
    <row r="24265" spans="1:1">
      <c r="A24265" s="27"/>
    </row>
    <row r="24266" spans="1:1">
      <c r="A24266" s="27"/>
    </row>
    <row r="24267" spans="1:1">
      <c r="A24267" s="27"/>
    </row>
    <row r="24268" spans="1:1">
      <c r="A24268" s="27"/>
    </row>
    <row r="24269" spans="1:1">
      <c r="A24269" s="27"/>
    </row>
    <row r="24270" spans="1:1">
      <c r="A24270" s="27"/>
    </row>
    <row r="24271" spans="1:1">
      <c r="A24271" s="27"/>
    </row>
    <row r="24272" spans="1:1">
      <c r="A24272" s="27"/>
    </row>
    <row r="24273" spans="1:1">
      <c r="A24273" s="27"/>
    </row>
    <row r="24274" spans="1:1">
      <c r="A24274" s="27"/>
    </row>
    <row r="24275" spans="1:1">
      <c r="A24275" s="27"/>
    </row>
    <row r="24276" spans="1:1">
      <c r="A24276" s="27"/>
    </row>
    <row r="24277" spans="1:1">
      <c r="A24277" s="27"/>
    </row>
    <row r="24278" spans="1:1">
      <c r="A24278" s="27"/>
    </row>
    <row r="24279" spans="1:1">
      <c r="A24279" s="27"/>
    </row>
    <row r="24280" spans="1:1">
      <c r="A24280" s="27"/>
    </row>
    <row r="24281" spans="1:1">
      <c r="A24281" s="27"/>
    </row>
    <row r="24282" spans="1:1">
      <c r="A24282" s="27"/>
    </row>
    <row r="24283" spans="1:1">
      <c r="A24283" s="27"/>
    </row>
    <row r="24284" spans="1:1">
      <c r="A24284" s="27"/>
    </row>
    <row r="24285" spans="1:1">
      <c r="A24285" s="27"/>
    </row>
    <row r="24286" spans="1:1">
      <c r="A24286" s="27"/>
    </row>
    <row r="24287" spans="1:1">
      <c r="A24287" s="27"/>
    </row>
    <row r="24288" spans="1:1">
      <c r="A24288" s="27"/>
    </row>
    <row r="24289" spans="1:1">
      <c r="A24289" s="27"/>
    </row>
    <row r="24290" spans="1:1">
      <c r="A24290" s="27"/>
    </row>
    <row r="24291" spans="1:1">
      <c r="A24291" s="27"/>
    </row>
    <row r="24292" spans="1:1">
      <c r="A24292" s="27"/>
    </row>
    <row r="24293" spans="1:1">
      <c r="A24293" s="27"/>
    </row>
    <row r="24294" spans="1:1">
      <c r="A24294" s="27"/>
    </row>
    <row r="24295" spans="1:1">
      <c r="A24295" s="27"/>
    </row>
    <row r="24296" spans="1:1">
      <c r="A24296" s="27"/>
    </row>
    <row r="24297" spans="1:1">
      <c r="A24297" s="27"/>
    </row>
    <row r="24298" spans="1:1">
      <c r="A24298" s="27"/>
    </row>
    <row r="24299" spans="1:1">
      <c r="A24299" s="27"/>
    </row>
    <row r="24300" spans="1:1">
      <c r="A24300" s="27"/>
    </row>
    <row r="24301" spans="1:1">
      <c r="A24301" s="27"/>
    </row>
    <row r="24302" spans="1:1">
      <c r="A24302" s="27"/>
    </row>
    <row r="24303" spans="1:1">
      <c r="A24303" s="27"/>
    </row>
    <row r="24304" spans="1:1">
      <c r="A24304" s="27"/>
    </row>
    <row r="24305" spans="1:1">
      <c r="A24305" s="27"/>
    </row>
    <row r="24306" spans="1:1">
      <c r="A24306" s="27"/>
    </row>
    <row r="24307" spans="1:1">
      <c r="A24307" s="27"/>
    </row>
    <row r="24308" spans="1:1">
      <c r="A24308" s="27"/>
    </row>
    <row r="24309" spans="1:1">
      <c r="A24309" s="27"/>
    </row>
    <row r="24310" spans="1:1">
      <c r="A24310" s="27"/>
    </row>
    <row r="24311" spans="1:1">
      <c r="A24311" s="27"/>
    </row>
    <row r="24312" spans="1:1">
      <c r="A24312" s="27"/>
    </row>
    <row r="24313" spans="1:1">
      <c r="A24313" s="27"/>
    </row>
    <row r="24314" spans="1:1">
      <c r="A24314" s="27"/>
    </row>
    <row r="24315" spans="1:1">
      <c r="A24315" s="27"/>
    </row>
    <row r="24316" spans="1:1">
      <c r="A24316" s="27"/>
    </row>
    <row r="24317" spans="1:1">
      <c r="A24317" s="27"/>
    </row>
    <row r="24318" spans="1:1">
      <c r="A24318" s="27"/>
    </row>
    <row r="24319" spans="1:1">
      <c r="A24319" s="27"/>
    </row>
    <row r="24320" spans="1:1">
      <c r="A24320" s="27"/>
    </row>
    <row r="24321" spans="1:1">
      <c r="A24321" s="27"/>
    </row>
    <row r="24322" spans="1:1">
      <c r="A24322" s="27"/>
    </row>
    <row r="24323" spans="1:1">
      <c r="A24323" s="27"/>
    </row>
    <row r="24324" spans="1:1">
      <c r="A24324" s="27"/>
    </row>
    <row r="24325" spans="1:1">
      <c r="A24325" s="27"/>
    </row>
    <row r="24326" spans="1:1">
      <c r="A24326" s="27"/>
    </row>
    <row r="24327" spans="1:1">
      <c r="A24327" s="27"/>
    </row>
    <row r="24328" spans="1:1">
      <c r="A24328" s="27"/>
    </row>
    <row r="24329" spans="1:1">
      <c r="A24329" s="27"/>
    </row>
    <row r="24330" spans="1:1">
      <c r="A24330" s="27"/>
    </row>
    <row r="24331" spans="1:1">
      <c r="A24331" s="27"/>
    </row>
    <row r="24332" spans="1:1">
      <c r="A24332" s="27"/>
    </row>
    <row r="24333" spans="1:1">
      <c r="A24333" s="27"/>
    </row>
    <row r="24334" spans="1:1">
      <c r="A24334" s="27"/>
    </row>
    <row r="24335" spans="1:1">
      <c r="A24335" s="27"/>
    </row>
    <row r="24336" spans="1:1">
      <c r="A24336" s="27"/>
    </row>
    <row r="24337" spans="1:1">
      <c r="A24337" s="27"/>
    </row>
    <row r="24338" spans="1:1">
      <c r="A24338" s="27"/>
    </row>
    <row r="24339" spans="1:1">
      <c r="A24339" s="27"/>
    </row>
    <row r="24340" spans="1:1">
      <c r="A24340" s="27"/>
    </row>
    <row r="24341" spans="1:1">
      <c r="A24341" s="27"/>
    </row>
    <row r="24342" spans="1:1">
      <c r="A24342" s="27"/>
    </row>
    <row r="24343" spans="1:1">
      <c r="A24343" s="27"/>
    </row>
    <row r="24344" spans="1:1">
      <c r="A24344" s="27"/>
    </row>
    <row r="24345" spans="1:1">
      <c r="A24345" s="27"/>
    </row>
    <row r="24346" spans="1:1">
      <c r="A24346" s="27"/>
    </row>
    <row r="24347" spans="1:1">
      <c r="A24347" s="27"/>
    </row>
    <row r="24348" spans="1:1">
      <c r="A24348" s="27"/>
    </row>
    <row r="24349" spans="1:1">
      <c r="A24349" s="27"/>
    </row>
    <row r="24350" spans="1:1">
      <c r="A24350" s="27"/>
    </row>
    <row r="24351" spans="1:1">
      <c r="A24351" s="27"/>
    </row>
    <row r="24352" spans="1:1">
      <c r="A24352" s="27"/>
    </row>
    <row r="24353" spans="1:1">
      <c r="A24353" s="27"/>
    </row>
    <row r="24354" spans="1:1">
      <c r="A24354" s="27"/>
    </row>
    <row r="24355" spans="1:1">
      <c r="A24355" s="27"/>
    </row>
    <row r="24356" spans="1:1">
      <c r="A24356" s="27"/>
    </row>
    <row r="24357" spans="1:1">
      <c r="A24357" s="27"/>
    </row>
    <row r="24358" spans="1:1">
      <c r="A24358" s="27"/>
    </row>
    <row r="24359" spans="1:1">
      <c r="A24359" s="27"/>
    </row>
    <row r="24360" spans="1:1">
      <c r="A24360" s="27"/>
    </row>
    <row r="24361" spans="1:1">
      <c r="A24361" s="27"/>
    </row>
    <row r="24362" spans="1:1">
      <c r="A24362" s="27"/>
    </row>
    <row r="24363" spans="1:1">
      <c r="A24363" s="27"/>
    </row>
    <row r="24364" spans="1:1">
      <c r="A24364" s="27"/>
    </row>
    <row r="24365" spans="1:1">
      <c r="A24365" s="27"/>
    </row>
    <row r="24366" spans="1:1">
      <c r="A24366" s="27"/>
    </row>
    <row r="24367" spans="1:1">
      <c r="A24367" s="27"/>
    </row>
    <row r="24368" spans="1:1">
      <c r="A24368" s="27"/>
    </row>
    <row r="24369" spans="1:1">
      <c r="A24369" s="27"/>
    </row>
    <row r="24370" spans="1:1">
      <c r="A24370" s="27"/>
    </row>
    <row r="24371" spans="1:1">
      <c r="A24371" s="27"/>
    </row>
    <row r="24372" spans="1:1">
      <c r="A24372" s="27"/>
    </row>
    <row r="24373" spans="1:1">
      <c r="A24373" s="27"/>
    </row>
    <row r="24374" spans="1:1">
      <c r="A24374" s="27"/>
    </row>
    <row r="24375" spans="1:1">
      <c r="A24375" s="27"/>
    </row>
    <row r="24376" spans="1:1">
      <c r="A24376" s="27"/>
    </row>
    <row r="24377" spans="1:1">
      <c r="A24377" s="27"/>
    </row>
    <row r="24378" spans="1:1">
      <c r="A24378" s="27"/>
    </row>
    <row r="24379" spans="1:1">
      <c r="A24379" s="27"/>
    </row>
    <row r="24380" spans="1:1">
      <c r="A24380" s="27"/>
    </row>
    <row r="24381" spans="1:1">
      <c r="A24381" s="27"/>
    </row>
    <row r="24382" spans="1:1">
      <c r="A24382" s="27"/>
    </row>
    <row r="24383" spans="1:1">
      <c r="A24383" s="27"/>
    </row>
    <row r="24384" spans="1:1">
      <c r="A24384" s="27"/>
    </row>
    <row r="24385" spans="1:1">
      <c r="A24385" s="27"/>
    </row>
    <row r="24386" spans="1:1">
      <c r="A24386" s="27"/>
    </row>
    <row r="24387" spans="1:1">
      <c r="A24387" s="27"/>
    </row>
    <row r="24388" spans="1:1">
      <c r="A24388" s="27"/>
    </row>
    <row r="24389" spans="1:1">
      <c r="A24389" s="27"/>
    </row>
    <row r="24390" spans="1:1">
      <c r="A24390" s="27"/>
    </row>
    <row r="24391" spans="1:1">
      <c r="A24391" s="27"/>
    </row>
    <row r="24392" spans="1:1">
      <c r="A24392" s="27"/>
    </row>
    <row r="24393" spans="1:1">
      <c r="A24393" s="27"/>
    </row>
    <row r="24394" spans="1:1">
      <c r="A24394" s="27"/>
    </row>
    <row r="24395" spans="1:1">
      <c r="A24395" s="27"/>
    </row>
    <row r="24396" spans="1:1">
      <c r="A24396" s="27"/>
    </row>
    <row r="24397" spans="1:1">
      <c r="A24397" s="27"/>
    </row>
    <row r="24398" spans="1:1">
      <c r="A24398" s="27"/>
    </row>
    <row r="24399" spans="1:1">
      <c r="A24399" s="27"/>
    </row>
    <row r="24400" spans="1:1">
      <c r="A24400" s="27"/>
    </row>
    <row r="24401" spans="1:1">
      <c r="A24401" s="27"/>
    </row>
    <row r="24402" spans="1:1">
      <c r="A24402" s="27"/>
    </row>
    <row r="24403" spans="1:1">
      <c r="A24403" s="27"/>
    </row>
    <row r="24404" spans="1:1">
      <c r="A24404" s="27"/>
    </row>
    <row r="24405" spans="1:1">
      <c r="A24405" s="27"/>
    </row>
    <row r="24406" spans="1:1">
      <c r="A24406" s="27"/>
    </row>
    <row r="24407" spans="1:1">
      <c r="A24407" s="27"/>
    </row>
    <row r="24408" spans="1:1">
      <c r="A24408" s="27"/>
    </row>
    <row r="24409" spans="1:1">
      <c r="A24409" s="27"/>
    </row>
    <row r="24410" spans="1:1">
      <c r="A24410" s="27"/>
    </row>
    <row r="24411" spans="1:1">
      <c r="A24411" s="27"/>
    </row>
    <row r="24412" spans="1:1">
      <c r="A24412" s="27"/>
    </row>
    <row r="24413" spans="1:1">
      <c r="A24413" s="27"/>
    </row>
    <row r="24414" spans="1:1">
      <c r="A24414" s="27"/>
    </row>
    <row r="24415" spans="1:1">
      <c r="A24415" s="27"/>
    </row>
    <row r="24416" spans="1:1">
      <c r="A24416" s="27"/>
    </row>
    <row r="24417" spans="1:1">
      <c r="A24417" s="27"/>
    </row>
    <row r="24418" spans="1:1">
      <c r="A24418" s="27"/>
    </row>
    <row r="24419" spans="1:1">
      <c r="A24419" s="27"/>
    </row>
    <row r="24420" spans="1:1">
      <c r="A24420" s="27"/>
    </row>
    <row r="24421" spans="1:1">
      <c r="A24421" s="27"/>
    </row>
    <row r="24422" spans="1:1">
      <c r="A24422" s="27"/>
    </row>
    <row r="24423" spans="1:1">
      <c r="A24423" s="27"/>
    </row>
    <row r="24424" spans="1:1">
      <c r="A24424" s="27"/>
    </row>
    <row r="24425" spans="1:1">
      <c r="A24425" s="27"/>
    </row>
    <row r="24426" spans="1:1">
      <c r="A24426" s="27"/>
    </row>
    <row r="24427" spans="1:1">
      <c r="A24427" s="27"/>
    </row>
    <row r="24428" spans="1:1">
      <c r="A24428" s="27"/>
    </row>
    <row r="24429" spans="1:1">
      <c r="A24429" s="27"/>
    </row>
    <row r="24430" spans="1:1">
      <c r="A24430" s="27"/>
    </row>
    <row r="24431" spans="1:1">
      <c r="A24431" s="27"/>
    </row>
    <row r="24432" spans="1:1">
      <c r="A24432" s="27"/>
    </row>
    <row r="24433" spans="1:1">
      <c r="A24433" s="27"/>
    </row>
    <row r="24434" spans="1:1">
      <c r="A24434" s="27"/>
    </row>
    <row r="24435" spans="1:1">
      <c r="A24435" s="27"/>
    </row>
    <row r="24436" spans="1:1">
      <c r="A24436" s="27"/>
    </row>
    <row r="24437" spans="1:1">
      <c r="A24437" s="27"/>
    </row>
    <row r="24438" spans="1:1">
      <c r="A24438" s="27"/>
    </row>
    <row r="24439" spans="1:1">
      <c r="A24439" s="27"/>
    </row>
    <row r="24440" spans="1:1">
      <c r="A24440" s="27"/>
    </row>
    <row r="24441" spans="1:1">
      <c r="A24441" s="27"/>
    </row>
    <row r="24442" spans="1:1">
      <c r="A24442" s="27"/>
    </row>
    <row r="24443" spans="1:1">
      <c r="A24443" s="27"/>
    </row>
    <row r="24444" spans="1:1">
      <c r="A24444" s="27"/>
    </row>
    <row r="24445" spans="1:1">
      <c r="A24445" s="27"/>
    </row>
    <row r="24446" spans="1:1">
      <c r="A24446" s="27"/>
    </row>
    <row r="24447" spans="1:1">
      <c r="A24447" s="27"/>
    </row>
    <row r="24448" spans="1:1">
      <c r="A24448" s="27"/>
    </row>
    <row r="24449" spans="1:1">
      <c r="A24449" s="27"/>
    </row>
    <row r="24450" spans="1:1">
      <c r="A24450" s="27"/>
    </row>
    <row r="24451" spans="1:1">
      <c r="A24451" s="27"/>
    </row>
    <row r="24452" spans="1:1">
      <c r="A24452" s="27"/>
    </row>
    <row r="24453" spans="1:1">
      <c r="A24453" s="27"/>
    </row>
    <row r="24454" spans="1:1">
      <c r="A24454" s="27"/>
    </row>
    <row r="24455" spans="1:1">
      <c r="A24455" s="27"/>
    </row>
    <row r="24456" spans="1:1">
      <c r="A24456" s="27"/>
    </row>
    <row r="24457" spans="1:1">
      <c r="A24457" s="27"/>
    </row>
    <row r="24458" spans="1:1">
      <c r="A24458" s="27"/>
    </row>
    <row r="24459" spans="1:1">
      <c r="A24459" s="27"/>
    </row>
    <row r="24460" spans="1:1">
      <c r="A24460" s="27"/>
    </row>
    <row r="24461" spans="1:1">
      <c r="A24461" s="27"/>
    </row>
    <row r="24462" spans="1:1">
      <c r="A24462" s="27"/>
    </row>
    <row r="24463" spans="1:1">
      <c r="A24463" s="27"/>
    </row>
    <row r="24464" spans="1:1">
      <c r="A24464" s="27"/>
    </row>
    <row r="24465" spans="1:1">
      <c r="A24465" s="27"/>
    </row>
    <row r="24466" spans="1:1">
      <c r="A24466" s="27"/>
    </row>
    <row r="24467" spans="1:1">
      <c r="A24467" s="27"/>
    </row>
    <row r="24468" spans="1:1">
      <c r="A24468" s="27"/>
    </row>
    <row r="24469" spans="1:1">
      <c r="A24469" s="27"/>
    </row>
    <row r="24470" spans="1:1">
      <c r="A24470" s="27"/>
    </row>
    <row r="24471" spans="1:1">
      <c r="A24471" s="27"/>
    </row>
    <row r="24472" spans="1:1">
      <c r="A24472" s="27"/>
    </row>
    <row r="24473" spans="1:1">
      <c r="A24473" s="27"/>
    </row>
    <row r="24474" spans="1:1">
      <c r="A24474" s="27"/>
    </row>
    <row r="24475" spans="1:1">
      <c r="A24475" s="27"/>
    </row>
    <row r="24476" spans="1:1">
      <c r="A24476" s="27"/>
    </row>
    <row r="24477" spans="1:1">
      <c r="A24477" s="27"/>
    </row>
    <row r="24478" spans="1:1">
      <c r="A24478" s="27"/>
    </row>
    <row r="24479" spans="1:1">
      <c r="A24479" s="27"/>
    </row>
    <row r="24480" spans="1:1">
      <c r="A24480" s="27"/>
    </row>
    <row r="24481" spans="1:1">
      <c r="A24481" s="27"/>
    </row>
    <row r="24482" spans="1:1">
      <c r="A24482" s="27"/>
    </row>
    <row r="24483" spans="1:1">
      <c r="A24483" s="27"/>
    </row>
    <row r="24484" spans="1:1">
      <c r="A24484" s="27"/>
    </row>
    <row r="24485" spans="1:1">
      <c r="A24485" s="27"/>
    </row>
    <row r="24486" spans="1:1">
      <c r="A24486" s="27"/>
    </row>
    <row r="24487" spans="1:1">
      <c r="A24487" s="27"/>
    </row>
    <row r="24488" spans="1:1">
      <c r="A24488" s="27"/>
    </row>
    <row r="24489" spans="1:1">
      <c r="A24489" s="27"/>
    </row>
    <row r="24490" spans="1:1">
      <c r="A24490" s="27"/>
    </row>
    <row r="24491" spans="1:1">
      <c r="A24491" s="27"/>
    </row>
    <row r="24492" spans="1:1">
      <c r="A24492" s="27"/>
    </row>
    <row r="24493" spans="1:1">
      <c r="A24493" s="27"/>
    </row>
    <row r="24494" spans="1:1">
      <c r="A24494" s="27"/>
    </row>
    <row r="24495" spans="1:1">
      <c r="A24495" s="27"/>
    </row>
    <row r="24496" spans="1:1">
      <c r="A24496" s="27"/>
    </row>
    <row r="24497" spans="1:1">
      <c r="A24497" s="27"/>
    </row>
    <row r="24498" spans="1:1">
      <c r="A24498" s="27"/>
    </row>
    <row r="24499" spans="1:1">
      <c r="A24499" s="27"/>
    </row>
    <row r="24500" spans="1:1">
      <c r="A24500" s="27"/>
    </row>
    <row r="24501" spans="1:1">
      <c r="A24501" s="27"/>
    </row>
    <row r="24502" spans="1:1">
      <c r="A24502" s="27"/>
    </row>
    <row r="24503" spans="1:1">
      <c r="A24503" s="27"/>
    </row>
    <row r="24504" spans="1:1">
      <c r="A24504" s="27"/>
    </row>
    <row r="24505" spans="1:1">
      <c r="A24505" s="27"/>
    </row>
    <row r="24506" spans="1:1">
      <c r="A24506" s="27"/>
    </row>
    <row r="24507" spans="1:1">
      <c r="A24507" s="27"/>
    </row>
    <row r="24508" spans="1:1">
      <c r="A24508" s="27"/>
    </row>
    <row r="24509" spans="1:1">
      <c r="A24509" s="27"/>
    </row>
    <row r="24510" spans="1:1">
      <c r="A24510" s="27"/>
    </row>
    <row r="24511" spans="1:1">
      <c r="A24511" s="27"/>
    </row>
    <row r="24512" spans="1:1">
      <c r="A24512" s="27"/>
    </row>
    <row r="24513" spans="1:1">
      <c r="A24513" s="27"/>
    </row>
    <row r="24514" spans="1:1">
      <c r="A24514" s="27"/>
    </row>
    <row r="24515" spans="1:1">
      <c r="A24515" s="27"/>
    </row>
    <row r="24516" spans="1:1">
      <c r="A24516" s="27"/>
    </row>
    <row r="24517" spans="1:1">
      <c r="A24517" s="27"/>
    </row>
    <row r="24518" spans="1:1">
      <c r="A24518" s="27"/>
    </row>
    <row r="24519" spans="1:1">
      <c r="A24519" s="27"/>
    </row>
    <row r="24520" spans="1:1">
      <c r="A24520" s="27"/>
    </row>
    <row r="24521" spans="1:1">
      <c r="A24521" s="27"/>
    </row>
    <row r="24522" spans="1:1">
      <c r="A24522" s="27"/>
    </row>
    <row r="24523" spans="1:1">
      <c r="A24523" s="27"/>
    </row>
    <row r="24524" spans="1:1">
      <c r="A24524" s="27"/>
    </row>
    <row r="24525" spans="1:1">
      <c r="A24525" s="27"/>
    </row>
    <row r="24526" spans="1:1">
      <c r="A24526" s="27"/>
    </row>
    <row r="24527" spans="1:1">
      <c r="A24527" s="27"/>
    </row>
    <row r="24528" spans="1:1">
      <c r="A24528" s="27"/>
    </row>
    <row r="24529" spans="1:1">
      <c r="A24529" s="27"/>
    </row>
    <row r="24530" spans="1:1">
      <c r="A24530" s="27"/>
    </row>
    <row r="24531" spans="1:1">
      <c r="A24531" s="27"/>
    </row>
    <row r="24532" spans="1:1">
      <c r="A24532" s="27"/>
    </row>
    <row r="24533" spans="1:1">
      <c r="A24533" s="27"/>
    </row>
    <row r="24534" spans="1:1">
      <c r="A24534" s="27"/>
    </row>
    <row r="24535" spans="1:1">
      <c r="A24535" s="27"/>
    </row>
    <row r="24536" spans="1:1">
      <c r="A24536" s="27"/>
    </row>
    <row r="24537" spans="1:1">
      <c r="A24537" s="27"/>
    </row>
    <row r="24538" spans="1:1">
      <c r="A24538" s="27"/>
    </row>
    <row r="24539" spans="1:1">
      <c r="A24539" s="27"/>
    </row>
    <row r="24540" spans="1:1">
      <c r="A24540" s="27"/>
    </row>
    <row r="24541" spans="1:1">
      <c r="A24541" s="27"/>
    </row>
    <row r="24542" spans="1:1">
      <c r="A24542" s="27"/>
    </row>
    <row r="24543" spans="1:1">
      <c r="A24543" s="27"/>
    </row>
    <row r="24544" spans="1:1">
      <c r="A24544" s="27"/>
    </row>
    <row r="24545" spans="1:1">
      <c r="A24545" s="27"/>
    </row>
    <row r="24546" spans="1:1">
      <c r="A24546" s="27"/>
    </row>
    <row r="24547" spans="1:1">
      <c r="A24547" s="27"/>
    </row>
    <row r="24548" spans="1:1">
      <c r="A24548" s="27"/>
    </row>
    <row r="24549" spans="1:1">
      <c r="A24549" s="27"/>
    </row>
    <row r="24550" spans="1:1">
      <c r="A24550" s="27"/>
    </row>
    <row r="24551" spans="1:1">
      <c r="A24551" s="27"/>
    </row>
    <row r="24552" spans="1:1">
      <c r="A24552" s="27"/>
    </row>
    <row r="24553" spans="1:1">
      <c r="A24553" s="27"/>
    </row>
    <row r="24554" spans="1:1">
      <c r="A24554" s="27"/>
    </row>
    <row r="24555" spans="1:1">
      <c r="A24555" s="27"/>
    </row>
    <row r="24556" spans="1:1">
      <c r="A24556" s="27"/>
    </row>
    <row r="24557" spans="1:1">
      <c r="A24557" s="27"/>
    </row>
    <row r="24558" spans="1:1">
      <c r="A24558" s="27"/>
    </row>
    <row r="24559" spans="1:1">
      <c r="A24559" s="27"/>
    </row>
    <row r="24560" spans="1:1">
      <c r="A24560" s="27"/>
    </row>
    <row r="24561" spans="1:1">
      <c r="A24561" s="27"/>
    </row>
    <row r="24562" spans="1:1">
      <c r="A24562" s="27"/>
    </row>
    <row r="24563" spans="1:1">
      <c r="A24563" s="27"/>
    </row>
    <row r="24564" spans="1:1">
      <c r="A24564" s="27"/>
    </row>
    <row r="24565" spans="1:1">
      <c r="A24565" s="27"/>
    </row>
    <row r="24566" spans="1:1">
      <c r="A24566" s="27"/>
    </row>
    <row r="24567" spans="1:1">
      <c r="A24567" s="27"/>
    </row>
    <row r="24568" spans="1:1">
      <c r="A24568" s="27"/>
    </row>
    <row r="24569" spans="1:1">
      <c r="A24569" s="27"/>
    </row>
    <row r="24570" spans="1:1">
      <c r="A24570" s="27"/>
    </row>
    <row r="24571" spans="1:1">
      <c r="A24571" s="27"/>
    </row>
    <row r="24572" spans="1:1">
      <c r="A24572" s="27"/>
    </row>
    <row r="24573" spans="1:1">
      <c r="A24573" s="27"/>
    </row>
    <row r="24574" spans="1:1">
      <c r="A24574" s="27"/>
    </row>
    <row r="24575" spans="1:1">
      <c r="A24575" s="27"/>
    </row>
    <row r="24576" spans="1:1">
      <c r="A24576" s="27"/>
    </row>
    <row r="24577" spans="1:1">
      <c r="A24577" s="27"/>
    </row>
    <row r="24578" spans="1:1">
      <c r="A24578" s="27"/>
    </row>
    <row r="24579" spans="1:1">
      <c r="A24579" s="27"/>
    </row>
    <row r="24580" spans="1:1">
      <c r="A24580" s="27"/>
    </row>
    <row r="24581" spans="1:1">
      <c r="A24581" s="27"/>
    </row>
    <row r="24582" spans="1:1">
      <c r="A24582" s="27"/>
    </row>
    <row r="24583" spans="1:1">
      <c r="A24583" s="27"/>
    </row>
    <row r="24584" spans="1:1">
      <c r="A24584" s="27"/>
    </row>
    <row r="24585" spans="1:1">
      <c r="A24585" s="27"/>
    </row>
    <row r="24586" spans="1:1">
      <c r="A24586" s="27"/>
    </row>
    <row r="24587" spans="1:1">
      <c r="A24587" s="27"/>
    </row>
    <row r="24588" spans="1:1">
      <c r="A24588" s="27"/>
    </row>
    <row r="24589" spans="1:1">
      <c r="A24589" s="27"/>
    </row>
    <row r="24590" spans="1:1">
      <c r="A24590" s="27"/>
    </row>
    <row r="24591" spans="1:1">
      <c r="A24591" s="27"/>
    </row>
    <row r="24592" spans="1:1">
      <c r="A24592" s="27"/>
    </row>
    <row r="24593" spans="1:1">
      <c r="A24593" s="27"/>
    </row>
    <row r="24594" spans="1:1">
      <c r="A24594" s="27"/>
    </row>
    <row r="24595" spans="1:1">
      <c r="A24595" s="27"/>
    </row>
    <row r="24596" spans="1:1">
      <c r="A24596" s="27"/>
    </row>
    <row r="24597" spans="1:1">
      <c r="A24597" s="27"/>
    </row>
    <row r="24598" spans="1:1">
      <c r="A24598" s="27"/>
    </row>
    <row r="24599" spans="1:1">
      <c r="A24599" s="27"/>
    </row>
    <row r="24600" spans="1:1">
      <c r="A24600" s="27"/>
    </row>
    <row r="24601" spans="1:1">
      <c r="A24601" s="27"/>
    </row>
    <row r="24602" spans="1:1">
      <c r="A24602" s="27"/>
    </row>
    <row r="24603" spans="1:1">
      <c r="A24603" s="27"/>
    </row>
    <row r="24604" spans="1:1">
      <c r="A24604" s="27"/>
    </row>
    <row r="24605" spans="1:1">
      <c r="A24605" s="27"/>
    </row>
    <row r="24606" spans="1:1">
      <c r="A24606" s="27"/>
    </row>
    <row r="24607" spans="1:1">
      <c r="A24607" s="27"/>
    </row>
    <row r="24608" spans="1:1">
      <c r="A24608" s="27"/>
    </row>
    <row r="24609" spans="1:1">
      <c r="A24609" s="27"/>
    </row>
    <row r="24610" spans="1:1">
      <c r="A24610" s="27"/>
    </row>
    <row r="24611" spans="1:1">
      <c r="A24611" s="27"/>
    </row>
    <row r="24612" spans="1:1">
      <c r="A24612" s="27"/>
    </row>
    <row r="24613" spans="1:1">
      <c r="A24613" s="27"/>
    </row>
    <row r="24614" spans="1:1">
      <c r="A24614" s="27"/>
    </row>
    <row r="24615" spans="1:1">
      <c r="A24615" s="27"/>
    </row>
    <row r="24616" spans="1:1">
      <c r="A24616" s="27"/>
    </row>
    <row r="24617" spans="1:1">
      <c r="A24617" s="27"/>
    </row>
    <row r="24618" spans="1:1">
      <c r="A24618" s="27"/>
    </row>
    <row r="24619" spans="1:1">
      <c r="A24619" s="27"/>
    </row>
    <row r="24620" spans="1:1">
      <c r="A24620" s="27"/>
    </row>
    <row r="24621" spans="1:1">
      <c r="A24621" s="27"/>
    </row>
    <row r="24622" spans="1:1">
      <c r="A24622" s="27"/>
    </row>
    <row r="24623" spans="1:1">
      <c r="A24623" s="27"/>
    </row>
    <row r="24624" spans="1:1">
      <c r="A24624" s="27"/>
    </row>
    <row r="24625" spans="1:1">
      <c r="A24625" s="27"/>
    </row>
    <row r="24626" spans="1:1">
      <c r="A24626" s="27"/>
    </row>
    <row r="24627" spans="1:1">
      <c r="A24627" s="27"/>
    </row>
    <row r="24628" spans="1:1">
      <c r="A24628" s="27"/>
    </row>
    <row r="24629" spans="1:1">
      <c r="A24629" s="27"/>
    </row>
    <row r="24630" spans="1:1">
      <c r="A24630" s="27"/>
    </row>
    <row r="24631" spans="1:1">
      <c r="A24631" s="27"/>
    </row>
    <row r="24632" spans="1:1">
      <c r="A24632" s="27"/>
    </row>
    <row r="24633" spans="1:1">
      <c r="A24633" s="27"/>
    </row>
    <row r="24634" spans="1:1">
      <c r="A24634" s="27"/>
    </row>
    <row r="24635" spans="1:1">
      <c r="A24635" s="27"/>
    </row>
    <row r="24636" spans="1:1">
      <c r="A24636" s="27"/>
    </row>
    <row r="24637" spans="1:1">
      <c r="A24637" s="27"/>
    </row>
    <row r="24638" spans="1:1">
      <c r="A24638" s="27"/>
    </row>
    <row r="24639" spans="1:1">
      <c r="A24639" s="27"/>
    </row>
    <row r="24640" spans="1:1">
      <c r="A24640" s="27"/>
    </row>
    <row r="24641" spans="1:1">
      <c r="A24641" s="27"/>
    </row>
    <row r="24642" spans="1:1">
      <c r="A24642" s="27"/>
    </row>
    <row r="24643" spans="1:1">
      <c r="A24643" s="27"/>
    </row>
    <row r="24644" spans="1:1">
      <c r="A24644" s="27"/>
    </row>
    <row r="24645" spans="1:1">
      <c r="A24645" s="27"/>
    </row>
    <row r="24646" spans="1:1">
      <c r="A24646" s="27"/>
    </row>
    <row r="24647" spans="1:1">
      <c r="A24647" s="27"/>
    </row>
    <row r="24648" spans="1:1">
      <c r="A24648" s="27"/>
    </row>
    <row r="24649" spans="1:1">
      <c r="A24649" s="27"/>
    </row>
    <row r="24650" spans="1:1">
      <c r="A24650" s="27"/>
    </row>
    <row r="24651" spans="1:1">
      <c r="A24651" s="27"/>
    </row>
    <row r="24652" spans="1:1">
      <c r="A24652" s="27"/>
    </row>
    <row r="24653" spans="1:1">
      <c r="A24653" s="27"/>
    </row>
    <row r="24654" spans="1:1">
      <c r="A24654" s="27"/>
    </row>
    <row r="24655" spans="1:1">
      <c r="A24655" s="27"/>
    </row>
    <row r="24656" spans="1:1">
      <c r="A24656" s="27"/>
    </row>
    <row r="24657" spans="1:1">
      <c r="A24657" s="27"/>
    </row>
    <row r="24658" spans="1:1">
      <c r="A24658" s="27"/>
    </row>
    <row r="24659" spans="1:1">
      <c r="A24659" s="27"/>
    </row>
    <row r="24660" spans="1:1">
      <c r="A24660" s="27"/>
    </row>
    <row r="24661" spans="1:1">
      <c r="A24661" s="27"/>
    </row>
    <row r="24662" spans="1:1">
      <c r="A24662" s="27"/>
    </row>
    <row r="24663" spans="1:1">
      <c r="A24663" s="27"/>
    </row>
    <row r="24664" spans="1:1">
      <c r="A24664" s="27"/>
    </row>
    <row r="24665" spans="1:1">
      <c r="A24665" s="27"/>
    </row>
    <row r="24666" spans="1:1">
      <c r="A24666" s="27"/>
    </row>
    <row r="24667" spans="1:1">
      <c r="A24667" s="27"/>
    </row>
    <row r="24668" spans="1:1">
      <c r="A24668" s="27"/>
    </row>
    <row r="24669" spans="1:1">
      <c r="A24669" s="27"/>
    </row>
    <row r="24670" spans="1:1">
      <c r="A24670" s="27"/>
    </row>
    <row r="24671" spans="1:1">
      <c r="A24671" s="27"/>
    </row>
    <row r="24672" spans="1:1">
      <c r="A24672" s="27"/>
    </row>
    <row r="24673" spans="1:1">
      <c r="A24673" s="27"/>
    </row>
    <row r="24674" spans="1:1">
      <c r="A24674" s="27"/>
    </row>
    <row r="24675" spans="1:1">
      <c r="A24675" s="27"/>
    </row>
    <row r="24676" spans="1:1">
      <c r="A24676" s="27"/>
    </row>
    <row r="24677" spans="1:1">
      <c r="A24677" s="27"/>
    </row>
    <row r="24678" spans="1:1">
      <c r="A24678" s="27"/>
    </row>
    <row r="24679" spans="1:1">
      <c r="A24679" s="27"/>
    </row>
    <row r="24680" spans="1:1">
      <c r="A24680" s="27"/>
    </row>
    <row r="24681" spans="1:1">
      <c r="A24681" s="27"/>
    </row>
    <row r="24682" spans="1:1">
      <c r="A24682" s="27"/>
    </row>
    <row r="24683" spans="1:1">
      <c r="A24683" s="27"/>
    </row>
    <row r="24684" spans="1:1">
      <c r="A24684" s="27"/>
    </row>
    <row r="24685" spans="1:1">
      <c r="A24685" s="27"/>
    </row>
    <row r="24686" spans="1:1">
      <c r="A24686" s="27"/>
    </row>
    <row r="24687" spans="1:1">
      <c r="A24687" s="27"/>
    </row>
    <row r="24688" spans="1:1">
      <c r="A24688" s="27"/>
    </row>
    <row r="24689" spans="1:1">
      <c r="A24689" s="27"/>
    </row>
    <row r="24690" spans="1:1">
      <c r="A24690" s="27"/>
    </row>
    <row r="24691" spans="1:1">
      <c r="A24691" s="27"/>
    </row>
    <row r="24692" spans="1:1">
      <c r="A24692" s="27"/>
    </row>
    <row r="24693" spans="1:1">
      <c r="A24693" s="27"/>
    </row>
    <row r="24694" spans="1:1">
      <c r="A24694" s="27"/>
    </row>
    <row r="24695" spans="1:1">
      <c r="A24695" s="27"/>
    </row>
    <row r="24696" spans="1:1">
      <c r="A24696" s="27"/>
    </row>
    <row r="24697" spans="1:1">
      <c r="A24697" s="27"/>
    </row>
    <row r="24698" spans="1:1">
      <c r="A24698" s="27"/>
    </row>
    <row r="24699" spans="1:1">
      <c r="A24699" s="27"/>
    </row>
    <row r="24700" spans="1:1">
      <c r="A24700" s="27"/>
    </row>
    <row r="24701" spans="1:1">
      <c r="A24701" s="27"/>
    </row>
    <row r="24702" spans="1:1">
      <c r="A24702" s="27"/>
    </row>
    <row r="24703" spans="1:1">
      <c r="A24703" s="27"/>
    </row>
    <row r="24704" spans="1:1">
      <c r="A24704" s="27"/>
    </row>
    <row r="24705" spans="1:1">
      <c r="A24705" s="27"/>
    </row>
    <row r="24706" spans="1:1">
      <c r="A24706" s="27"/>
    </row>
    <row r="24707" spans="1:1">
      <c r="A24707" s="27"/>
    </row>
    <row r="24708" spans="1:1">
      <c r="A24708" s="27"/>
    </row>
    <row r="24709" spans="1:1">
      <c r="A24709" s="27"/>
    </row>
    <row r="24710" spans="1:1">
      <c r="A24710" s="27"/>
    </row>
    <row r="24711" spans="1:1">
      <c r="A24711" s="27"/>
    </row>
    <row r="24712" spans="1:1">
      <c r="A24712" s="27"/>
    </row>
    <row r="24713" spans="1:1">
      <c r="A24713" s="27"/>
    </row>
    <row r="24714" spans="1:1">
      <c r="A24714" s="27"/>
    </row>
    <row r="24715" spans="1:1">
      <c r="A24715" s="27"/>
    </row>
    <row r="24716" spans="1:1">
      <c r="A24716" s="27"/>
    </row>
    <row r="24717" spans="1:1">
      <c r="A24717" s="27"/>
    </row>
    <row r="24718" spans="1:1">
      <c r="A24718" s="27"/>
    </row>
    <row r="24719" spans="1:1">
      <c r="A24719" s="27"/>
    </row>
    <row r="24720" spans="1:1">
      <c r="A24720" s="27"/>
    </row>
    <row r="24721" spans="1:1">
      <c r="A24721" s="27"/>
    </row>
    <row r="24722" spans="1:1">
      <c r="A24722" s="27"/>
    </row>
    <row r="24723" spans="1:1">
      <c r="A24723" s="27"/>
    </row>
    <row r="24724" spans="1:1">
      <c r="A24724" s="27"/>
    </row>
    <row r="24725" spans="1:1">
      <c r="A24725" s="27"/>
    </row>
    <row r="24726" spans="1:1">
      <c r="A24726" s="27"/>
    </row>
    <row r="24727" spans="1:1">
      <c r="A24727" s="27"/>
    </row>
    <row r="24728" spans="1:1">
      <c r="A24728" s="27"/>
    </row>
    <row r="24729" spans="1:1">
      <c r="A24729" s="27"/>
    </row>
    <row r="24730" spans="1:1">
      <c r="A24730" s="27"/>
    </row>
    <row r="24731" spans="1:1">
      <c r="A24731" s="27"/>
    </row>
    <row r="24732" spans="1:1">
      <c r="A24732" s="27"/>
    </row>
    <row r="24733" spans="1:1">
      <c r="A24733" s="27"/>
    </row>
    <row r="24734" spans="1:1">
      <c r="A24734" s="27"/>
    </row>
    <row r="24735" spans="1:1">
      <c r="A24735" s="27"/>
    </row>
    <row r="24736" spans="1:1">
      <c r="A24736" s="27"/>
    </row>
    <row r="24737" spans="1:1">
      <c r="A24737" s="27"/>
    </row>
    <row r="24738" spans="1:1">
      <c r="A24738" s="27"/>
    </row>
    <row r="24739" spans="1:1">
      <c r="A24739" s="27"/>
    </row>
    <row r="24740" spans="1:1">
      <c r="A24740" s="27"/>
    </row>
    <row r="24741" spans="1:1">
      <c r="A24741" s="27"/>
    </row>
    <row r="24742" spans="1:1">
      <c r="A24742" s="27"/>
    </row>
    <row r="24743" spans="1:1">
      <c r="A24743" s="27"/>
    </row>
    <row r="24744" spans="1:1">
      <c r="A24744" s="27"/>
    </row>
    <row r="24745" spans="1:1">
      <c r="A24745" s="27"/>
    </row>
    <row r="24746" spans="1:1">
      <c r="A24746" s="27"/>
    </row>
    <row r="24747" spans="1:1">
      <c r="A24747" s="27"/>
    </row>
    <row r="24748" spans="1:1">
      <c r="A24748" s="27"/>
    </row>
    <row r="24749" spans="1:1">
      <c r="A24749" s="27"/>
    </row>
    <row r="24750" spans="1:1">
      <c r="A24750" s="27"/>
    </row>
    <row r="24751" spans="1:1">
      <c r="A24751" s="27"/>
    </row>
    <row r="24752" spans="1:1">
      <c r="A24752" s="27"/>
    </row>
    <row r="24753" spans="1:1">
      <c r="A24753" s="27"/>
    </row>
    <row r="24754" spans="1:1">
      <c r="A24754" s="27"/>
    </row>
    <row r="24755" spans="1:1">
      <c r="A24755" s="27"/>
    </row>
    <row r="24756" spans="1:1">
      <c r="A24756" s="27"/>
    </row>
    <row r="24757" spans="1:1">
      <c r="A24757" s="27"/>
    </row>
    <row r="24758" spans="1:1">
      <c r="A24758" s="27"/>
    </row>
    <row r="24759" spans="1:1">
      <c r="A24759" s="27"/>
    </row>
    <row r="24760" spans="1:1">
      <c r="A24760" s="27"/>
    </row>
    <row r="24761" spans="1:1">
      <c r="A24761" s="27"/>
    </row>
    <row r="24762" spans="1:1">
      <c r="A24762" s="27"/>
    </row>
    <row r="24763" spans="1:1">
      <c r="A24763" s="27"/>
    </row>
    <row r="24764" spans="1:1">
      <c r="A24764" s="27"/>
    </row>
    <row r="24765" spans="1:1">
      <c r="A24765" s="27"/>
    </row>
    <row r="24766" spans="1:1">
      <c r="A24766" s="27"/>
    </row>
    <row r="24767" spans="1:1">
      <c r="A24767" s="27"/>
    </row>
    <row r="24768" spans="1:1">
      <c r="A24768" s="27"/>
    </row>
    <row r="24769" spans="1:1">
      <c r="A24769" s="27"/>
    </row>
    <row r="24770" spans="1:1">
      <c r="A24770" s="27"/>
    </row>
    <row r="24771" spans="1:1">
      <c r="A24771" s="27"/>
    </row>
    <row r="24772" spans="1:1">
      <c r="A24772" s="27"/>
    </row>
    <row r="24773" spans="1:1">
      <c r="A24773" s="27"/>
    </row>
    <row r="24774" spans="1:1">
      <c r="A24774" s="27"/>
    </row>
    <row r="24775" spans="1:1">
      <c r="A24775" s="27"/>
    </row>
    <row r="24776" spans="1:1">
      <c r="A24776" s="27"/>
    </row>
    <row r="24777" spans="1:1">
      <c r="A24777" s="27"/>
    </row>
    <row r="24778" spans="1:1">
      <c r="A24778" s="27"/>
    </row>
    <row r="24779" spans="1:1">
      <c r="A24779" s="27"/>
    </row>
    <row r="24780" spans="1:1">
      <c r="A24780" s="27"/>
    </row>
    <row r="24781" spans="1:1">
      <c r="A24781" s="27"/>
    </row>
    <row r="24782" spans="1:1">
      <c r="A24782" s="27"/>
    </row>
    <row r="24783" spans="1:1">
      <c r="A24783" s="27"/>
    </row>
    <row r="24784" spans="1:1">
      <c r="A24784" s="27"/>
    </row>
    <row r="24785" spans="1:1">
      <c r="A24785" s="27"/>
    </row>
    <row r="24786" spans="1:1">
      <c r="A24786" s="27"/>
    </row>
    <row r="24787" spans="1:1">
      <c r="A24787" s="27"/>
    </row>
    <row r="24788" spans="1:1">
      <c r="A24788" s="27"/>
    </row>
    <row r="24789" spans="1:1">
      <c r="A24789" s="27"/>
    </row>
    <row r="24790" spans="1:1">
      <c r="A24790" s="27"/>
    </row>
    <row r="24791" spans="1:1">
      <c r="A24791" s="27"/>
    </row>
    <row r="24792" spans="1:1">
      <c r="A24792" s="27"/>
    </row>
    <row r="24793" spans="1:1">
      <c r="A24793" s="27"/>
    </row>
    <row r="24794" spans="1:1">
      <c r="A24794" s="27"/>
    </row>
    <row r="24795" spans="1:1">
      <c r="A24795" s="27"/>
    </row>
    <row r="24796" spans="1:1">
      <c r="A24796" s="27"/>
    </row>
    <row r="24797" spans="1:1">
      <c r="A24797" s="27"/>
    </row>
    <row r="24798" spans="1:1">
      <c r="A24798" s="27"/>
    </row>
    <row r="24799" spans="1:1">
      <c r="A24799" s="27"/>
    </row>
    <row r="24800" spans="1:1">
      <c r="A24800" s="27"/>
    </row>
    <row r="24801" spans="1:1">
      <c r="A24801" s="27"/>
    </row>
    <row r="24802" spans="1:1">
      <c r="A24802" s="27"/>
    </row>
    <row r="24803" spans="1:1">
      <c r="A24803" s="27"/>
    </row>
    <row r="24804" spans="1:1">
      <c r="A24804" s="27"/>
    </row>
    <row r="24805" spans="1:1">
      <c r="A24805" s="27"/>
    </row>
    <row r="24806" spans="1:1">
      <c r="A24806" s="27"/>
    </row>
    <row r="24807" spans="1:1">
      <c r="A24807" s="27"/>
    </row>
    <row r="24808" spans="1:1">
      <c r="A24808" s="27"/>
    </row>
    <row r="24809" spans="1:1">
      <c r="A24809" s="27"/>
    </row>
    <row r="24810" spans="1:1">
      <c r="A24810" s="27"/>
    </row>
    <row r="24811" spans="1:1">
      <c r="A24811" s="27"/>
    </row>
    <row r="24812" spans="1:1">
      <c r="A24812" s="27"/>
    </row>
    <row r="24813" spans="1:1">
      <c r="A24813" s="27"/>
    </row>
    <row r="24814" spans="1:1">
      <c r="A24814" s="27"/>
    </row>
    <row r="24815" spans="1:1">
      <c r="A24815" s="27"/>
    </row>
    <row r="24816" spans="1:1">
      <c r="A24816" s="27"/>
    </row>
    <row r="24817" spans="1:1">
      <c r="A24817" s="27"/>
    </row>
    <row r="24818" spans="1:1">
      <c r="A24818" s="27"/>
    </row>
    <row r="24819" spans="1:1">
      <c r="A24819" s="27"/>
    </row>
    <row r="24820" spans="1:1">
      <c r="A24820" s="27"/>
    </row>
    <row r="24821" spans="1:1">
      <c r="A24821" s="27"/>
    </row>
    <row r="24822" spans="1:1">
      <c r="A24822" s="27"/>
    </row>
    <row r="24823" spans="1:1">
      <c r="A24823" s="27"/>
    </row>
    <row r="24824" spans="1:1">
      <c r="A24824" s="27"/>
    </row>
    <row r="24825" spans="1:1">
      <c r="A24825" s="27"/>
    </row>
    <row r="24826" spans="1:1">
      <c r="A24826" s="27"/>
    </row>
    <row r="24827" spans="1:1">
      <c r="A24827" s="27"/>
    </row>
    <row r="24828" spans="1:1">
      <c r="A24828" s="27"/>
    </row>
    <row r="24829" spans="1:1">
      <c r="A24829" s="27"/>
    </row>
    <row r="24830" spans="1:1">
      <c r="A24830" s="27"/>
    </row>
    <row r="24831" spans="1:1">
      <c r="A24831" s="27"/>
    </row>
    <row r="24832" spans="1:1">
      <c r="A24832" s="27"/>
    </row>
    <row r="24833" spans="1:1">
      <c r="A24833" s="27"/>
    </row>
    <row r="24834" spans="1:1">
      <c r="A24834" s="27"/>
    </row>
    <row r="24835" spans="1:1">
      <c r="A24835" s="27"/>
    </row>
    <row r="24836" spans="1:1">
      <c r="A24836" s="27"/>
    </row>
    <row r="24837" spans="1:1">
      <c r="A24837" s="27"/>
    </row>
    <row r="24838" spans="1:1">
      <c r="A24838" s="27"/>
    </row>
    <row r="24839" spans="1:1">
      <c r="A24839" s="27"/>
    </row>
    <row r="24840" spans="1:1">
      <c r="A24840" s="27"/>
    </row>
    <row r="24841" spans="1:1">
      <c r="A24841" s="27"/>
    </row>
    <row r="24842" spans="1:1">
      <c r="A24842" s="27"/>
    </row>
    <row r="24843" spans="1:1">
      <c r="A24843" s="27"/>
    </row>
    <row r="24844" spans="1:1">
      <c r="A24844" s="27"/>
    </row>
    <row r="24845" spans="1:1">
      <c r="A24845" s="27"/>
    </row>
    <row r="24846" spans="1:1">
      <c r="A24846" s="27"/>
    </row>
    <row r="24847" spans="1:1">
      <c r="A24847" s="27"/>
    </row>
    <row r="24848" spans="1:1">
      <c r="A24848" s="27"/>
    </row>
    <row r="24849" spans="1:1">
      <c r="A24849" s="27"/>
    </row>
    <row r="24850" spans="1:1">
      <c r="A24850" s="27"/>
    </row>
    <row r="24851" spans="1:1">
      <c r="A24851" s="27"/>
    </row>
    <row r="24852" spans="1:1">
      <c r="A24852" s="27"/>
    </row>
    <row r="24853" spans="1:1">
      <c r="A24853" s="27"/>
    </row>
    <row r="24854" spans="1:1">
      <c r="A24854" s="27"/>
    </row>
    <row r="24855" spans="1:1">
      <c r="A24855" s="27"/>
    </row>
    <row r="24856" spans="1:1">
      <c r="A24856" s="27"/>
    </row>
    <row r="24857" spans="1:1">
      <c r="A24857" s="27"/>
    </row>
    <row r="24858" spans="1:1">
      <c r="A24858" s="27"/>
    </row>
    <row r="24859" spans="1:1">
      <c r="A24859" s="27"/>
    </row>
    <row r="24860" spans="1:1">
      <c r="A24860" s="27"/>
    </row>
    <row r="24861" spans="1:1">
      <c r="A24861" s="27"/>
    </row>
    <row r="24862" spans="1:1">
      <c r="A24862" s="27"/>
    </row>
    <row r="24863" spans="1:1">
      <c r="A24863" s="27"/>
    </row>
    <row r="24864" spans="1:1">
      <c r="A24864" s="27"/>
    </row>
    <row r="24865" spans="1:1">
      <c r="A24865" s="27"/>
    </row>
    <row r="24866" spans="1:1">
      <c r="A24866" s="27"/>
    </row>
    <row r="24867" spans="1:1">
      <c r="A24867" s="27"/>
    </row>
    <row r="24868" spans="1:1">
      <c r="A24868" s="27"/>
    </row>
    <row r="24869" spans="1:1">
      <c r="A24869" s="27"/>
    </row>
    <row r="24870" spans="1:1">
      <c r="A24870" s="27"/>
    </row>
    <row r="24871" spans="1:1">
      <c r="A24871" s="27"/>
    </row>
    <row r="24872" spans="1:1">
      <c r="A24872" s="27"/>
    </row>
    <row r="24873" spans="1:1">
      <c r="A24873" s="27"/>
    </row>
    <row r="24874" spans="1:1">
      <c r="A24874" s="27"/>
    </row>
    <row r="24875" spans="1:1">
      <c r="A24875" s="27"/>
    </row>
    <row r="24876" spans="1:1">
      <c r="A24876" s="27"/>
    </row>
    <row r="24877" spans="1:1">
      <c r="A24877" s="27"/>
    </row>
    <row r="24878" spans="1:1">
      <c r="A24878" s="27"/>
    </row>
    <row r="24879" spans="1:1">
      <c r="A24879" s="27"/>
    </row>
    <row r="24880" spans="1:1">
      <c r="A24880" s="27"/>
    </row>
    <row r="24881" spans="1:1">
      <c r="A24881" s="27"/>
    </row>
    <row r="24882" spans="1:1">
      <c r="A24882" s="27"/>
    </row>
    <row r="24883" spans="1:1">
      <c r="A24883" s="27"/>
    </row>
    <row r="24884" spans="1:1">
      <c r="A24884" s="27"/>
    </row>
    <row r="24885" spans="1:1">
      <c r="A24885" s="27"/>
    </row>
    <row r="24886" spans="1:1">
      <c r="A24886" s="27"/>
    </row>
    <row r="24887" spans="1:1">
      <c r="A24887" s="27"/>
    </row>
    <row r="24888" spans="1:1">
      <c r="A24888" s="27"/>
    </row>
    <row r="24889" spans="1:1">
      <c r="A24889" s="27"/>
    </row>
    <row r="24890" spans="1:1">
      <c r="A24890" s="27"/>
    </row>
    <row r="24891" spans="1:1">
      <c r="A24891" s="27"/>
    </row>
    <row r="24892" spans="1:1">
      <c r="A24892" s="27"/>
    </row>
    <row r="24893" spans="1:1">
      <c r="A24893" s="27"/>
    </row>
    <row r="24894" spans="1:1">
      <c r="A24894" s="27"/>
    </row>
    <row r="24895" spans="1:1">
      <c r="A24895" s="27"/>
    </row>
    <row r="24896" spans="1:1">
      <c r="A24896" s="27"/>
    </row>
    <row r="24897" spans="1:1">
      <c r="A24897" s="27"/>
    </row>
    <row r="24898" spans="1:1">
      <c r="A24898" s="27"/>
    </row>
    <row r="24899" spans="1:1">
      <c r="A24899" s="27"/>
    </row>
    <row r="24900" spans="1:1">
      <c r="A24900" s="27"/>
    </row>
    <row r="24901" spans="1:1">
      <c r="A24901" s="27"/>
    </row>
    <row r="24902" spans="1:1">
      <c r="A24902" s="27"/>
    </row>
    <row r="24903" spans="1:1">
      <c r="A24903" s="27"/>
    </row>
    <row r="24904" spans="1:1">
      <c r="A24904" s="27"/>
    </row>
    <row r="24905" spans="1:1">
      <c r="A24905" s="27"/>
    </row>
    <row r="24906" spans="1:1">
      <c r="A24906" s="27"/>
    </row>
    <row r="24907" spans="1:1">
      <c r="A24907" s="27"/>
    </row>
    <row r="24908" spans="1:1">
      <c r="A24908" s="27"/>
    </row>
    <row r="24909" spans="1:1">
      <c r="A24909" s="27"/>
    </row>
    <row r="24910" spans="1:1">
      <c r="A24910" s="27"/>
    </row>
    <row r="24911" spans="1:1">
      <c r="A24911" s="27"/>
    </row>
    <row r="24912" spans="1:1">
      <c r="A24912" s="27"/>
    </row>
    <row r="24913" spans="1:1">
      <c r="A24913" s="27"/>
    </row>
    <row r="24914" spans="1:1">
      <c r="A24914" s="27"/>
    </row>
    <row r="24915" spans="1:1">
      <c r="A24915" s="27"/>
    </row>
    <row r="24916" spans="1:1">
      <c r="A24916" s="27"/>
    </row>
    <row r="24917" spans="1:1">
      <c r="A24917" s="27"/>
    </row>
    <row r="24918" spans="1:1">
      <c r="A24918" s="27"/>
    </row>
    <row r="24919" spans="1:1">
      <c r="A24919" s="27"/>
    </row>
    <row r="24920" spans="1:1">
      <c r="A24920" s="27"/>
    </row>
    <row r="24921" spans="1:1">
      <c r="A24921" s="27"/>
    </row>
    <row r="24922" spans="1:1">
      <c r="A24922" s="27"/>
    </row>
    <row r="24923" spans="1:1">
      <c r="A24923" s="27"/>
    </row>
    <row r="24924" spans="1:1">
      <c r="A24924" s="27"/>
    </row>
    <row r="24925" spans="1:1">
      <c r="A24925" s="27"/>
    </row>
    <row r="24926" spans="1:1">
      <c r="A24926" s="27"/>
    </row>
    <row r="24927" spans="1:1">
      <c r="A24927" s="27"/>
    </row>
    <row r="24928" spans="1:1">
      <c r="A24928" s="27"/>
    </row>
    <row r="24929" spans="1:1">
      <c r="A24929" s="27"/>
    </row>
    <row r="24930" spans="1:1">
      <c r="A24930" s="27"/>
    </row>
    <row r="24931" spans="1:1">
      <c r="A24931" s="27"/>
    </row>
    <row r="24932" spans="1:1">
      <c r="A24932" s="27"/>
    </row>
    <row r="24933" spans="1:1">
      <c r="A24933" s="27"/>
    </row>
    <row r="24934" spans="1:1">
      <c r="A24934" s="27"/>
    </row>
    <row r="24935" spans="1:1">
      <c r="A24935" s="27"/>
    </row>
    <row r="24936" spans="1:1">
      <c r="A24936" s="27"/>
    </row>
    <row r="24937" spans="1:1">
      <c r="A24937" s="27"/>
    </row>
    <row r="24938" spans="1:1">
      <c r="A24938" s="27"/>
    </row>
    <row r="24939" spans="1:1">
      <c r="A24939" s="27"/>
    </row>
    <row r="24940" spans="1:1">
      <c r="A24940" s="27"/>
    </row>
    <row r="24941" spans="1:1">
      <c r="A24941" s="27"/>
    </row>
    <row r="24942" spans="1:1">
      <c r="A24942" s="27"/>
    </row>
    <row r="24943" spans="1:1">
      <c r="A24943" s="27"/>
    </row>
    <row r="24944" spans="1:1">
      <c r="A24944" s="27"/>
    </row>
    <row r="24945" spans="1:1">
      <c r="A24945" s="27"/>
    </row>
    <row r="24946" spans="1:1">
      <c r="A24946" s="27"/>
    </row>
    <row r="24947" spans="1:1">
      <c r="A24947" s="27"/>
    </row>
    <row r="24948" spans="1:1">
      <c r="A24948" s="27"/>
    </row>
    <row r="24949" spans="1:1">
      <c r="A24949" s="27"/>
    </row>
    <row r="24950" spans="1:1">
      <c r="A24950" s="27"/>
    </row>
    <row r="24951" spans="1:1">
      <c r="A24951" s="27"/>
    </row>
    <row r="24952" spans="1:1">
      <c r="A24952" s="27"/>
    </row>
    <row r="24953" spans="1:1">
      <c r="A24953" s="27"/>
    </row>
    <row r="24954" spans="1:1">
      <c r="A24954" s="27"/>
    </row>
    <row r="24955" spans="1:1">
      <c r="A24955" s="27"/>
    </row>
    <row r="24956" spans="1:1">
      <c r="A24956" s="27"/>
    </row>
    <row r="24957" spans="1:1">
      <c r="A24957" s="27"/>
    </row>
    <row r="24958" spans="1:1">
      <c r="A24958" s="27"/>
    </row>
    <row r="24959" spans="1:1">
      <c r="A24959" s="27"/>
    </row>
    <row r="24960" spans="1:1">
      <c r="A24960" s="27"/>
    </row>
    <row r="24961" spans="1:1">
      <c r="A24961" s="27"/>
    </row>
    <row r="24962" spans="1:1">
      <c r="A24962" s="27"/>
    </row>
    <row r="24963" spans="1:1">
      <c r="A24963" s="27"/>
    </row>
    <row r="24964" spans="1:1">
      <c r="A24964" s="27"/>
    </row>
    <row r="24965" spans="1:1">
      <c r="A24965" s="27"/>
    </row>
    <row r="24966" spans="1:1">
      <c r="A24966" s="27"/>
    </row>
    <row r="24967" spans="1:1">
      <c r="A24967" s="27"/>
    </row>
    <row r="24968" spans="1:1">
      <c r="A24968" s="27"/>
    </row>
    <row r="24969" spans="1:1">
      <c r="A24969" s="27"/>
    </row>
    <row r="24970" spans="1:1">
      <c r="A24970" s="27"/>
    </row>
    <row r="24971" spans="1:1">
      <c r="A24971" s="27"/>
    </row>
    <row r="24972" spans="1:1">
      <c r="A24972" s="27"/>
    </row>
    <row r="24973" spans="1:1">
      <c r="A24973" s="27"/>
    </row>
    <row r="24974" spans="1:1">
      <c r="A24974" s="27"/>
    </row>
    <row r="24975" spans="1:1">
      <c r="A24975" s="27"/>
    </row>
    <row r="24976" spans="1:1">
      <c r="A24976" s="27"/>
    </row>
    <row r="24977" spans="1:1">
      <c r="A24977" s="27"/>
    </row>
    <row r="24978" spans="1:1">
      <c r="A24978" s="27"/>
    </row>
    <row r="24979" spans="1:1">
      <c r="A24979" s="27"/>
    </row>
    <row r="24980" spans="1:1">
      <c r="A24980" s="27"/>
    </row>
    <row r="24981" spans="1:1">
      <c r="A24981" s="27"/>
    </row>
    <row r="24982" spans="1:1">
      <c r="A24982" s="27"/>
    </row>
    <row r="24983" spans="1:1">
      <c r="A24983" s="27"/>
    </row>
    <row r="24984" spans="1:1">
      <c r="A24984" s="27"/>
    </row>
    <row r="24985" spans="1:1">
      <c r="A24985" s="27"/>
    </row>
    <row r="24986" spans="1:1">
      <c r="A24986" s="27"/>
    </row>
    <row r="24987" spans="1:1">
      <c r="A24987" s="27"/>
    </row>
    <row r="24988" spans="1:1">
      <c r="A24988" s="27"/>
    </row>
    <row r="24989" spans="1:1">
      <c r="A24989" s="27"/>
    </row>
    <row r="24990" spans="1:1">
      <c r="A24990" s="27"/>
    </row>
    <row r="24991" spans="1:1">
      <c r="A24991" s="27"/>
    </row>
    <row r="24992" spans="1:1">
      <c r="A24992" s="27"/>
    </row>
    <row r="24993" spans="1:1">
      <c r="A24993" s="27"/>
    </row>
    <row r="24994" spans="1:1">
      <c r="A24994" s="27"/>
    </row>
    <row r="24995" spans="1:1">
      <c r="A24995" s="27"/>
    </row>
    <row r="24996" spans="1:1">
      <c r="A24996" s="27"/>
    </row>
    <row r="24997" spans="1:1">
      <c r="A24997" s="27"/>
    </row>
    <row r="24998" spans="1:1">
      <c r="A24998" s="27"/>
    </row>
    <row r="24999" spans="1:1">
      <c r="A24999" s="27"/>
    </row>
    <row r="25000" spans="1:1">
      <c r="A25000" s="27"/>
    </row>
    <row r="25001" spans="1:1">
      <c r="A25001" s="27"/>
    </row>
    <row r="25002" spans="1:1">
      <c r="A25002" s="27"/>
    </row>
    <row r="25003" spans="1:1">
      <c r="A25003" s="27"/>
    </row>
    <row r="25004" spans="1:1">
      <c r="A25004" s="27"/>
    </row>
    <row r="25005" spans="1:1">
      <c r="A25005" s="27"/>
    </row>
    <row r="25006" spans="1:1">
      <c r="A25006" s="27"/>
    </row>
    <row r="25007" spans="1:1">
      <c r="A25007" s="27"/>
    </row>
    <row r="25008" spans="1:1">
      <c r="A25008" s="27"/>
    </row>
    <row r="25009" spans="1:1">
      <c r="A25009" s="27"/>
    </row>
    <row r="25010" spans="1:1">
      <c r="A25010" s="27"/>
    </row>
    <row r="25011" spans="1:1">
      <c r="A25011" s="27"/>
    </row>
    <row r="25012" spans="1:1">
      <c r="A25012" s="27"/>
    </row>
    <row r="25013" spans="1:1">
      <c r="A25013" s="27"/>
    </row>
    <row r="25014" spans="1:1">
      <c r="A25014" s="27"/>
    </row>
    <row r="25015" spans="1:1">
      <c r="A25015" s="27"/>
    </row>
    <row r="25016" spans="1:1">
      <c r="A25016" s="27"/>
    </row>
    <row r="25017" spans="1:1">
      <c r="A25017" s="27"/>
    </row>
    <row r="25018" spans="1:1">
      <c r="A25018" s="27"/>
    </row>
    <row r="25019" spans="1:1">
      <c r="A25019" s="27"/>
    </row>
    <row r="25020" spans="1:1">
      <c r="A25020" s="27"/>
    </row>
    <row r="25021" spans="1:1">
      <c r="A25021" s="27"/>
    </row>
    <row r="25022" spans="1:1">
      <c r="A25022" s="27"/>
    </row>
    <row r="25023" spans="1:1">
      <c r="A25023" s="27"/>
    </row>
    <row r="25024" spans="1:1">
      <c r="A25024" s="27"/>
    </row>
    <row r="25025" spans="1:1">
      <c r="A25025" s="27"/>
    </row>
    <row r="25026" spans="1:1">
      <c r="A25026" s="27"/>
    </row>
    <row r="25027" spans="1:1">
      <c r="A25027" s="27"/>
    </row>
    <row r="25028" spans="1:1">
      <c r="A25028" s="27"/>
    </row>
    <row r="25029" spans="1:1">
      <c r="A25029" s="27"/>
    </row>
    <row r="25030" spans="1:1">
      <c r="A25030" s="27"/>
    </row>
    <row r="25031" spans="1:1">
      <c r="A25031" s="27"/>
    </row>
    <row r="25032" spans="1:1">
      <c r="A25032" s="27"/>
    </row>
    <row r="25033" spans="1:1">
      <c r="A25033" s="27"/>
    </row>
    <row r="25034" spans="1:1">
      <c r="A25034" s="27"/>
    </row>
    <row r="25035" spans="1:1">
      <c r="A25035" s="27"/>
    </row>
    <row r="25036" spans="1:1">
      <c r="A25036" s="27"/>
    </row>
    <row r="25037" spans="1:1">
      <c r="A25037" s="27"/>
    </row>
    <row r="25038" spans="1:1">
      <c r="A25038" s="27"/>
    </row>
    <row r="25039" spans="1:1">
      <c r="A25039" s="27"/>
    </row>
    <row r="25040" spans="1:1">
      <c r="A25040" s="27"/>
    </row>
    <row r="25041" spans="1:1">
      <c r="A25041" s="27"/>
    </row>
    <row r="25042" spans="1:1">
      <c r="A25042" s="27"/>
    </row>
    <row r="25043" spans="1:1">
      <c r="A25043" s="27"/>
    </row>
    <row r="25044" spans="1:1">
      <c r="A25044" s="27"/>
    </row>
    <row r="25045" spans="1:1">
      <c r="A25045" s="27"/>
    </row>
    <row r="25046" spans="1:1">
      <c r="A25046" s="27"/>
    </row>
    <row r="25047" spans="1:1">
      <c r="A25047" s="27"/>
    </row>
    <row r="25048" spans="1:1">
      <c r="A25048" s="27"/>
    </row>
    <row r="25049" spans="1:1">
      <c r="A25049" s="27"/>
    </row>
    <row r="25050" spans="1:1">
      <c r="A25050" s="27"/>
    </row>
    <row r="25051" spans="1:1">
      <c r="A25051" s="27"/>
    </row>
    <row r="25052" spans="1:1">
      <c r="A25052" s="27"/>
    </row>
    <row r="25053" spans="1:1">
      <c r="A25053" s="27"/>
    </row>
    <row r="25054" spans="1:1">
      <c r="A25054" s="27"/>
    </row>
    <row r="25055" spans="1:1">
      <c r="A25055" s="27"/>
    </row>
    <row r="25056" spans="1:1">
      <c r="A25056" s="27"/>
    </row>
    <row r="25057" spans="1:1">
      <c r="A25057" s="27"/>
    </row>
    <row r="25058" spans="1:1">
      <c r="A25058" s="27"/>
    </row>
    <row r="25059" spans="1:1">
      <c r="A25059" s="27"/>
    </row>
    <row r="25060" spans="1:1">
      <c r="A25060" s="27"/>
    </row>
    <row r="25061" spans="1:1">
      <c r="A25061" s="27"/>
    </row>
    <row r="25062" spans="1:1">
      <c r="A25062" s="27"/>
    </row>
    <row r="25063" spans="1:1">
      <c r="A25063" s="27"/>
    </row>
    <row r="25064" spans="1:1">
      <c r="A25064" s="27"/>
    </row>
    <row r="25065" spans="1:1">
      <c r="A25065" s="27"/>
    </row>
    <row r="25066" spans="1:1">
      <c r="A25066" s="27"/>
    </row>
    <row r="25067" spans="1:1">
      <c r="A25067" s="27"/>
    </row>
    <row r="25068" spans="1:1">
      <c r="A25068" s="27"/>
    </row>
    <row r="25069" spans="1:1">
      <c r="A25069" s="27"/>
    </row>
    <row r="25070" spans="1:1">
      <c r="A25070" s="27"/>
    </row>
    <row r="25071" spans="1:1">
      <c r="A25071" s="27"/>
    </row>
    <row r="25072" spans="1:1">
      <c r="A25072" s="27"/>
    </row>
    <row r="25073" spans="1:1">
      <c r="A25073" s="27"/>
    </row>
    <row r="25074" spans="1:1">
      <c r="A25074" s="27"/>
    </row>
    <row r="25075" spans="1:1">
      <c r="A25075" s="27"/>
    </row>
    <row r="25076" spans="1:1">
      <c r="A25076" s="27"/>
    </row>
    <row r="25077" spans="1:1">
      <c r="A25077" s="27"/>
    </row>
    <row r="25078" spans="1:1">
      <c r="A25078" s="27"/>
    </row>
    <row r="25079" spans="1:1">
      <c r="A25079" s="27"/>
    </row>
    <row r="25080" spans="1:1">
      <c r="A25080" s="27"/>
    </row>
    <row r="25081" spans="1:1">
      <c r="A25081" s="27"/>
    </row>
    <row r="25082" spans="1:1">
      <c r="A25082" s="27"/>
    </row>
    <row r="25083" spans="1:1">
      <c r="A25083" s="27"/>
    </row>
    <row r="25084" spans="1:1">
      <c r="A25084" s="27"/>
    </row>
    <row r="25085" spans="1:1">
      <c r="A25085" s="27"/>
    </row>
    <row r="25086" spans="1:1">
      <c r="A25086" s="27"/>
    </row>
    <row r="25087" spans="1:1">
      <c r="A25087" s="27"/>
    </row>
    <row r="25088" spans="1:1">
      <c r="A25088" s="27"/>
    </row>
    <row r="25089" spans="1:1">
      <c r="A25089" s="27"/>
    </row>
    <row r="25090" spans="1:1">
      <c r="A25090" s="27"/>
    </row>
    <row r="25091" spans="1:1">
      <c r="A25091" s="27"/>
    </row>
    <row r="25092" spans="1:1">
      <c r="A25092" s="27"/>
    </row>
    <row r="25093" spans="1:1">
      <c r="A25093" s="27"/>
    </row>
    <row r="25094" spans="1:1">
      <c r="A25094" s="27"/>
    </row>
    <row r="25095" spans="1:1">
      <c r="A25095" s="27"/>
    </row>
    <row r="25096" spans="1:1">
      <c r="A25096" s="27"/>
    </row>
    <row r="25097" spans="1:1">
      <c r="A25097" s="27"/>
    </row>
    <row r="25098" spans="1:1">
      <c r="A25098" s="27"/>
    </row>
    <row r="25099" spans="1:1">
      <c r="A25099" s="27"/>
    </row>
    <row r="25100" spans="1:1">
      <c r="A25100" s="27"/>
    </row>
    <row r="25101" spans="1:1">
      <c r="A25101" s="27"/>
    </row>
    <row r="25102" spans="1:1">
      <c r="A25102" s="27"/>
    </row>
    <row r="25103" spans="1:1">
      <c r="A25103" s="27"/>
    </row>
    <row r="25104" spans="1:1">
      <c r="A25104" s="27"/>
    </row>
    <row r="25105" spans="1:1">
      <c r="A25105" s="27"/>
    </row>
    <row r="25106" spans="1:1">
      <c r="A25106" s="27"/>
    </row>
    <row r="25107" spans="1:1">
      <c r="A25107" s="27"/>
    </row>
    <row r="25108" spans="1:1">
      <c r="A25108" s="27"/>
    </row>
    <row r="25109" spans="1:1">
      <c r="A25109" s="27"/>
    </row>
    <row r="25110" spans="1:1">
      <c r="A25110" s="27"/>
    </row>
    <row r="25111" spans="1:1">
      <c r="A25111" s="27"/>
    </row>
    <row r="25112" spans="1:1">
      <c r="A25112" s="27"/>
    </row>
    <row r="25113" spans="1:1">
      <c r="A25113" s="27"/>
    </row>
    <row r="25114" spans="1:1">
      <c r="A25114" s="27"/>
    </row>
    <row r="25115" spans="1:1">
      <c r="A25115" s="27"/>
    </row>
    <row r="25116" spans="1:1">
      <c r="A25116" s="27"/>
    </row>
    <row r="25117" spans="1:1">
      <c r="A25117" s="27"/>
    </row>
    <row r="25118" spans="1:1">
      <c r="A25118" s="27"/>
    </row>
    <row r="25119" spans="1:1">
      <c r="A25119" s="27"/>
    </row>
    <row r="25120" spans="1:1">
      <c r="A25120" s="27"/>
    </row>
    <row r="25121" spans="1:1">
      <c r="A25121" s="27"/>
    </row>
    <row r="25122" spans="1:1">
      <c r="A25122" s="27"/>
    </row>
    <row r="25123" spans="1:1">
      <c r="A25123" s="27"/>
    </row>
    <row r="25124" spans="1:1">
      <c r="A25124" s="27"/>
    </row>
    <row r="25125" spans="1:1">
      <c r="A25125" s="27"/>
    </row>
    <row r="25126" spans="1:1">
      <c r="A25126" s="27"/>
    </row>
    <row r="25127" spans="1:1">
      <c r="A25127" s="27"/>
    </row>
    <row r="25128" spans="1:1">
      <c r="A25128" s="27"/>
    </row>
    <row r="25129" spans="1:1">
      <c r="A25129" s="27"/>
    </row>
    <row r="25130" spans="1:1">
      <c r="A25130" s="27"/>
    </row>
    <row r="25131" spans="1:1">
      <c r="A25131" s="27"/>
    </row>
    <row r="25132" spans="1:1">
      <c r="A25132" s="27"/>
    </row>
    <row r="25133" spans="1:1">
      <c r="A25133" s="27"/>
    </row>
    <row r="25134" spans="1:1">
      <c r="A25134" s="27"/>
    </row>
    <row r="25135" spans="1:1">
      <c r="A25135" s="27"/>
    </row>
    <row r="25136" spans="1:1">
      <c r="A25136" s="27"/>
    </row>
    <row r="25137" spans="1:1">
      <c r="A25137" s="27"/>
    </row>
    <row r="25138" spans="1:1">
      <c r="A25138" s="27"/>
    </row>
    <row r="25139" spans="1:1">
      <c r="A25139" s="27"/>
    </row>
    <row r="25140" spans="1:1">
      <c r="A25140" s="27"/>
    </row>
    <row r="25141" spans="1:1">
      <c r="A25141" s="27"/>
    </row>
    <row r="25142" spans="1:1">
      <c r="A25142" s="27"/>
    </row>
    <row r="25143" spans="1:1">
      <c r="A25143" s="27"/>
    </row>
    <row r="25144" spans="1:1">
      <c r="A25144" s="27"/>
    </row>
    <row r="25145" spans="1:1">
      <c r="A25145" s="27"/>
    </row>
    <row r="25146" spans="1:1">
      <c r="A25146" s="27"/>
    </row>
    <row r="25147" spans="1:1">
      <c r="A25147" s="27"/>
    </row>
    <row r="25148" spans="1:1">
      <c r="A25148" s="27"/>
    </row>
    <row r="25149" spans="1:1">
      <c r="A25149" s="27"/>
    </row>
    <row r="25150" spans="1:1">
      <c r="A25150" s="27"/>
    </row>
    <row r="25151" spans="1:1">
      <c r="A25151" s="27"/>
    </row>
    <row r="25152" spans="1:1">
      <c r="A25152" s="27"/>
    </row>
    <row r="25153" spans="1:1">
      <c r="A25153" s="27"/>
    </row>
    <row r="25154" spans="1:1">
      <c r="A25154" s="27"/>
    </row>
    <row r="25155" spans="1:1">
      <c r="A25155" s="27"/>
    </row>
    <row r="25156" spans="1:1">
      <c r="A25156" s="27"/>
    </row>
    <row r="25157" spans="1:1">
      <c r="A25157" s="27"/>
    </row>
    <row r="25158" spans="1:1">
      <c r="A25158" s="27"/>
    </row>
    <row r="25159" spans="1:1">
      <c r="A25159" s="27"/>
    </row>
    <row r="25160" spans="1:1">
      <c r="A25160" s="27"/>
    </row>
    <row r="25161" spans="1:1">
      <c r="A25161" s="27"/>
    </row>
    <row r="25162" spans="1:1">
      <c r="A25162" s="27"/>
    </row>
    <row r="25163" spans="1:1">
      <c r="A25163" s="27"/>
    </row>
    <row r="25164" spans="1:1">
      <c r="A25164" s="27"/>
    </row>
    <row r="25165" spans="1:1">
      <c r="A25165" s="27"/>
    </row>
    <row r="25166" spans="1:1">
      <c r="A25166" s="27"/>
    </row>
    <row r="25167" spans="1:1">
      <c r="A25167" s="27"/>
    </row>
    <row r="25168" spans="1:1">
      <c r="A25168" s="27"/>
    </row>
    <row r="25169" spans="1:1">
      <c r="A25169" s="27"/>
    </row>
    <row r="25170" spans="1:1">
      <c r="A25170" s="27"/>
    </row>
    <row r="25171" spans="1:1">
      <c r="A25171" s="27"/>
    </row>
    <row r="25172" spans="1:1">
      <c r="A25172" s="27"/>
    </row>
    <row r="25173" spans="1:1">
      <c r="A25173" s="27"/>
    </row>
    <row r="25174" spans="1:1">
      <c r="A25174" s="27"/>
    </row>
    <row r="25175" spans="1:1">
      <c r="A25175" s="27"/>
    </row>
    <row r="25176" spans="1:1">
      <c r="A25176" s="27"/>
    </row>
    <row r="25177" spans="1:1">
      <c r="A25177" s="27"/>
    </row>
    <row r="25178" spans="1:1">
      <c r="A25178" s="27"/>
    </row>
    <row r="25179" spans="1:1">
      <c r="A25179" s="27"/>
    </row>
    <row r="25180" spans="1:1">
      <c r="A25180" s="27"/>
    </row>
    <row r="25181" spans="1:1">
      <c r="A25181" s="27"/>
    </row>
    <row r="25182" spans="1:1">
      <c r="A25182" s="27"/>
    </row>
    <row r="25183" spans="1:1">
      <c r="A25183" s="27"/>
    </row>
    <row r="25184" spans="1:1">
      <c r="A25184" s="27"/>
    </row>
    <row r="25185" spans="1:1">
      <c r="A25185" s="27"/>
    </row>
    <row r="25186" spans="1:1">
      <c r="A25186" s="27"/>
    </row>
    <row r="25187" spans="1:1">
      <c r="A25187" s="27"/>
    </row>
    <row r="25188" spans="1:1">
      <c r="A25188" s="27"/>
    </row>
    <row r="25189" spans="1:1">
      <c r="A25189" s="27"/>
    </row>
    <row r="25190" spans="1:1">
      <c r="A25190" s="27"/>
    </row>
    <row r="25191" spans="1:1">
      <c r="A25191" s="27"/>
    </row>
    <row r="25192" spans="1:1">
      <c r="A25192" s="27"/>
    </row>
    <row r="25193" spans="1:1">
      <c r="A25193" s="27"/>
    </row>
    <row r="25194" spans="1:1">
      <c r="A25194" s="27"/>
    </row>
    <row r="25195" spans="1:1">
      <c r="A25195" s="27"/>
    </row>
    <row r="25196" spans="1:1">
      <c r="A25196" s="27"/>
    </row>
    <row r="25197" spans="1:1">
      <c r="A25197" s="27"/>
    </row>
    <row r="25198" spans="1:1">
      <c r="A25198" s="27"/>
    </row>
    <row r="25199" spans="1:1">
      <c r="A25199" s="27"/>
    </row>
    <row r="25200" spans="1:1">
      <c r="A25200" s="27"/>
    </row>
    <row r="25201" spans="1:1">
      <c r="A25201" s="27"/>
    </row>
    <row r="25202" spans="1:1">
      <c r="A25202" s="27"/>
    </row>
    <row r="25203" spans="1:1">
      <c r="A25203" s="27"/>
    </row>
    <row r="25204" spans="1:1">
      <c r="A25204" s="27"/>
    </row>
    <row r="25205" spans="1:1">
      <c r="A25205" s="27"/>
    </row>
    <row r="25206" spans="1:1">
      <c r="A25206" s="27"/>
    </row>
    <row r="25207" spans="1:1">
      <c r="A25207" s="27"/>
    </row>
    <row r="25208" spans="1:1">
      <c r="A25208" s="27"/>
    </row>
    <row r="25209" spans="1:1">
      <c r="A25209" s="27"/>
    </row>
    <row r="25210" spans="1:1">
      <c r="A25210" s="27"/>
    </row>
    <row r="25211" spans="1:1">
      <c r="A25211" s="27"/>
    </row>
    <row r="25212" spans="1:1">
      <c r="A25212" s="27"/>
    </row>
    <row r="25213" spans="1:1">
      <c r="A25213" s="27"/>
    </row>
    <row r="25214" spans="1:1">
      <c r="A25214" s="27"/>
    </row>
    <row r="25215" spans="1:1">
      <c r="A25215" s="27"/>
    </row>
    <row r="25216" spans="1:1">
      <c r="A25216" s="27"/>
    </row>
    <row r="25217" spans="1:1">
      <c r="A25217" s="27"/>
    </row>
    <row r="25218" spans="1:1">
      <c r="A25218" s="27"/>
    </row>
    <row r="25219" spans="1:1">
      <c r="A25219" s="27"/>
    </row>
    <row r="25220" spans="1:1">
      <c r="A25220" s="27"/>
    </row>
    <row r="25221" spans="1:1">
      <c r="A25221" s="27"/>
    </row>
    <row r="25222" spans="1:1">
      <c r="A25222" s="27"/>
    </row>
    <row r="25223" spans="1:1">
      <c r="A25223" s="27"/>
    </row>
    <row r="25224" spans="1:1">
      <c r="A25224" s="27"/>
    </row>
    <row r="25225" spans="1:1">
      <c r="A25225" s="27"/>
    </row>
    <row r="25226" spans="1:1">
      <c r="A25226" s="27"/>
    </row>
    <row r="25227" spans="1:1">
      <c r="A25227" s="27"/>
    </row>
    <row r="25228" spans="1:1">
      <c r="A25228" s="27"/>
    </row>
    <row r="25229" spans="1:1">
      <c r="A25229" s="27"/>
    </row>
    <row r="25230" spans="1:1">
      <c r="A25230" s="27"/>
    </row>
    <row r="25231" spans="1:1">
      <c r="A25231" s="27"/>
    </row>
    <row r="25232" spans="1:1">
      <c r="A25232" s="27"/>
    </row>
    <row r="25233" spans="1:1">
      <c r="A25233" s="27"/>
    </row>
    <row r="25234" spans="1:1">
      <c r="A25234" s="27"/>
    </row>
    <row r="25235" spans="1:1">
      <c r="A25235" s="27"/>
    </row>
    <row r="25236" spans="1:1">
      <c r="A25236" s="27"/>
    </row>
    <row r="25237" spans="1:1">
      <c r="A25237" s="27"/>
    </row>
    <row r="25238" spans="1:1">
      <c r="A25238" s="27"/>
    </row>
    <row r="25239" spans="1:1">
      <c r="A25239" s="27"/>
    </row>
    <row r="25240" spans="1:1">
      <c r="A25240" s="27"/>
    </row>
    <row r="25241" spans="1:1">
      <c r="A25241" s="27"/>
    </row>
    <row r="25242" spans="1:1">
      <c r="A25242" s="27"/>
    </row>
    <row r="25243" spans="1:1">
      <c r="A25243" s="27"/>
    </row>
    <row r="25244" spans="1:1">
      <c r="A25244" s="27"/>
    </row>
    <row r="25245" spans="1:1">
      <c r="A25245" s="27"/>
    </row>
    <row r="25246" spans="1:1">
      <c r="A25246" s="27"/>
    </row>
    <row r="25247" spans="1:1">
      <c r="A25247" s="27"/>
    </row>
    <row r="25248" spans="1:1">
      <c r="A25248" s="27"/>
    </row>
    <row r="25249" spans="1:1">
      <c r="A25249" s="27"/>
    </row>
    <row r="25250" spans="1:1">
      <c r="A25250" s="27"/>
    </row>
    <row r="25251" spans="1:1">
      <c r="A25251" s="27"/>
    </row>
    <row r="25252" spans="1:1">
      <c r="A25252" s="27"/>
    </row>
    <row r="25253" spans="1:1">
      <c r="A25253" s="27"/>
    </row>
    <row r="25254" spans="1:1">
      <c r="A25254" s="27"/>
    </row>
    <row r="25255" spans="1:1">
      <c r="A25255" s="27"/>
    </row>
    <row r="25256" spans="1:1">
      <c r="A25256" s="27"/>
    </row>
    <row r="25257" spans="1:1">
      <c r="A25257" s="27"/>
    </row>
    <row r="25258" spans="1:1">
      <c r="A25258" s="27"/>
    </row>
    <row r="25259" spans="1:1">
      <c r="A25259" s="27"/>
    </row>
    <row r="25260" spans="1:1">
      <c r="A25260" s="27"/>
    </row>
    <row r="25261" spans="1:1">
      <c r="A25261" s="27"/>
    </row>
    <row r="25262" spans="1:1">
      <c r="A25262" s="27"/>
    </row>
    <row r="25263" spans="1:1">
      <c r="A25263" s="27"/>
    </row>
    <row r="25264" spans="1:1">
      <c r="A25264" s="27"/>
    </row>
    <row r="25265" spans="1:1">
      <c r="A25265" s="27"/>
    </row>
    <row r="25266" spans="1:1">
      <c r="A25266" s="27"/>
    </row>
    <row r="25267" spans="1:1">
      <c r="A25267" s="27"/>
    </row>
    <row r="25268" spans="1:1">
      <c r="A25268" s="27"/>
    </row>
    <row r="25269" spans="1:1">
      <c r="A25269" s="27"/>
    </row>
    <row r="25270" spans="1:1">
      <c r="A25270" s="27"/>
    </row>
    <row r="25271" spans="1:1">
      <c r="A25271" s="27"/>
    </row>
    <row r="25272" spans="1:1">
      <c r="A25272" s="27"/>
    </row>
    <row r="25273" spans="1:1">
      <c r="A25273" s="27"/>
    </row>
    <row r="25274" spans="1:1">
      <c r="A25274" s="27"/>
    </row>
    <row r="25275" spans="1:1">
      <c r="A25275" s="27"/>
    </row>
    <row r="25276" spans="1:1">
      <c r="A25276" s="27"/>
    </row>
    <row r="25277" spans="1:1">
      <c r="A25277" s="27"/>
    </row>
    <row r="25278" spans="1:1">
      <c r="A25278" s="27"/>
    </row>
    <row r="25279" spans="1:1">
      <c r="A25279" s="27"/>
    </row>
    <row r="25280" spans="1:1">
      <c r="A25280" s="27"/>
    </row>
    <row r="25281" spans="1:1">
      <c r="A25281" s="27"/>
    </row>
    <row r="25282" spans="1:1">
      <c r="A25282" s="27"/>
    </row>
    <row r="25283" spans="1:1">
      <c r="A25283" s="27"/>
    </row>
    <row r="25284" spans="1:1">
      <c r="A25284" s="27"/>
    </row>
    <row r="25285" spans="1:1">
      <c r="A25285" s="27"/>
    </row>
    <row r="25286" spans="1:1">
      <c r="A25286" s="27"/>
    </row>
    <row r="25287" spans="1:1">
      <c r="A25287" s="27"/>
    </row>
    <row r="25288" spans="1:1">
      <c r="A25288" s="27"/>
    </row>
    <row r="25289" spans="1:1">
      <c r="A25289" s="27"/>
    </row>
    <row r="25290" spans="1:1">
      <c r="A25290" s="27"/>
    </row>
    <row r="25291" spans="1:1">
      <c r="A25291" s="27"/>
    </row>
    <row r="25292" spans="1:1">
      <c r="A25292" s="27"/>
    </row>
    <row r="25293" spans="1:1">
      <c r="A25293" s="27"/>
    </row>
    <row r="25294" spans="1:1">
      <c r="A25294" s="27"/>
    </row>
    <row r="25295" spans="1:1">
      <c r="A25295" s="27"/>
    </row>
    <row r="25296" spans="1:1">
      <c r="A25296" s="27"/>
    </row>
    <row r="25297" spans="1:1">
      <c r="A25297" s="27"/>
    </row>
    <row r="25298" spans="1:1">
      <c r="A25298" s="27"/>
    </row>
    <row r="25299" spans="1:1">
      <c r="A25299" s="27"/>
    </row>
    <row r="25300" spans="1:1">
      <c r="A25300" s="27"/>
    </row>
    <row r="25301" spans="1:1">
      <c r="A25301" s="27"/>
    </row>
    <row r="25302" spans="1:1">
      <c r="A25302" s="27"/>
    </row>
    <row r="25303" spans="1:1">
      <c r="A25303" s="27"/>
    </row>
    <row r="25304" spans="1:1">
      <c r="A25304" s="27"/>
    </row>
    <row r="25305" spans="1:1">
      <c r="A25305" s="27"/>
    </row>
    <row r="25306" spans="1:1">
      <c r="A25306" s="27"/>
    </row>
    <row r="25307" spans="1:1">
      <c r="A25307" s="27"/>
    </row>
    <row r="25308" spans="1:1">
      <c r="A25308" s="27"/>
    </row>
    <row r="25309" spans="1:1">
      <c r="A25309" s="27"/>
    </row>
    <row r="25310" spans="1:1">
      <c r="A25310" s="27"/>
    </row>
    <row r="25311" spans="1:1">
      <c r="A25311" s="27"/>
    </row>
    <row r="25312" spans="1:1">
      <c r="A25312" s="27"/>
    </row>
    <row r="25313" spans="1:1">
      <c r="A25313" s="27"/>
    </row>
    <row r="25314" spans="1:1">
      <c r="A25314" s="27"/>
    </row>
    <row r="25315" spans="1:1">
      <c r="A25315" s="27"/>
    </row>
    <row r="25316" spans="1:1">
      <c r="A25316" s="27"/>
    </row>
    <row r="25317" spans="1:1">
      <c r="A25317" s="27"/>
    </row>
    <row r="25318" spans="1:1">
      <c r="A25318" s="27"/>
    </row>
    <row r="25319" spans="1:1">
      <c r="A25319" s="27"/>
    </row>
    <row r="25320" spans="1:1">
      <c r="A25320" s="27"/>
    </row>
    <row r="25321" spans="1:1">
      <c r="A25321" s="27"/>
    </row>
    <row r="25322" spans="1:1">
      <c r="A25322" s="27"/>
    </row>
    <row r="25323" spans="1:1">
      <c r="A25323" s="27"/>
    </row>
    <row r="25324" spans="1:1">
      <c r="A25324" s="27"/>
    </row>
    <row r="25325" spans="1:1">
      <c r="A25325" s="27"/>
    </row>
    <row r="25326" spans="1:1">
      <c r="A25326" s="27"/>
    </row>
    <row r="25327" spans="1:1">
      <c r="A25327" s="27"/>
    </row>
    <row r="25328" spans="1:1">
      <c r="A25328" s="27"/>
    </row>
    <row r="25329" spans="1:1">
      <c r="A25329" s="27"/>
    </row>
    <row r="25330" spans="1:1">
      <c r="A25330" s="27"/>
    </row>
    <row r="25331" spans="1:1">
      <c r="A25331" s="27"/>
    </row>
    <row r="25332" spans="1:1">
      <c r="A25332" s="27"/>
    </row>
    <row r="25333" spans="1:1">
      <c r="A25333" s="27"/>
    </row>
    <row r="25334" spans="1:1">
      <c r="A25334" s="27"/>
    </row>
    <row r="25335" spans="1:1">
      <c r="A25335" s="27"/>
    </row>
    <row r="25336" spans="1:1">
      <c r="A25336" s="27"/>
    </row>
    <row r="25337" spans="1:1">
      <c r="A25337" s="27"/>
    </row>
    <row r="25338" spans="1:1">
      <c r="A25338" s="27"/>
    </row>
    <row r="25339" spans="1:1">
      <c r="A25339" s="27"/>
    </row>
    <row r="25340" spans="1:1">
      <c r="A25340" s="27"/>
    </row>
    <row r="25341" spans="1:1">
      <c r="A25341" s="27"/>
    </row>
    <row r="25342" spans="1:1">
      <c r="A25342" s="27"/>
    </row>
    <row r="25343" spans="1:1">
      <c r="A25343" s="27"/>
    </row>
    <row r="25344" spans="1:1">
      <c r="A25344" s="27"/>
    </row>
    <row r="25345" spans="1:1">
      <c r="A25345" s="27"/>
    </row>
    <row r="25346" spans="1:1">
      <c r="A25346" s="27"/>
    </row>
    <row r="25347" spans="1:1">
      <c r="A25347" s="27"/>
    </row>
    <row r="25348" spans="1:1">
      <c r="A25348" s="27"/>
    </row>
    <row r="25349" spans="1:1">
      <c r="A25349" s="27"/>
    </row>
    <row r="25350" spans="1:1">
      <c r="A25350" s="27"/>
    </row>
    <row r="25351" spans="1:1">
      <c r="A25351" s="27"/>
    </row>
    <row r="25352" spans="1:1">
      <c r="A25352" s="27"/>
    </row>
    <row r="25353" spans="1:1">
      <c r="A25353" s="27"/>
    </row>
    <row r="25354" spans="1:1">
      <c r="A25354" s="27"/>
    </row>
    <row r="25355" spans="1:1">
      <c r="A25355" s="27"/>
    </row>
    <row r="25356" spans="1:1">
      <c r="A25356" s="27"/>
    </row>
    <row r="25357" spans="1:1">
      <c r="A25357" s="27"/>
    </row>
    <row r="25358" spans="1:1">
      <c r="A25358" s="27"/>
    </row>
    <row r="25359" spans="1:1">
      <c r="A25359" s="27"/>
    </row>
    <row r="25360" spans="1:1">
      <c r="A25360" s="27"/>
    </row>
    <row r="25361" spans="1:1">
      <c r="A25361" s="27"/>
    </row>
    <row r="25362" spans="1:1">
      <c r="A25362" s="27"/>
    </row>
    <row r="25363" spans="1:1">
      <c r="A25363" s="27"/>
    </row>
    <row r="25364" spans="1:1">
      <c r="A25364" s="27"/>
    </row>
    <row r="25365" spans="1:1">
      <c r="A25365" s="27"/>
    </row>
    <row r="25366" spans="1:1">
      <c r="A25366" s="27"/>
    </row>
    <row r="25367" spans="1:1">
      <c r="A25367" s="27"/>
    </row>
    <row r="25368" spans="1:1">
      <c r="A25368" s="27"/>
    </row>
    <row r="25369" spans="1:1">
      <c r="A25369" s="27"/>
    </row>
    <row r="25370" spans="1:1">
      <c r="A25370" s="27"/>
    </row>
    <row r="25371" spans="1:1">
      <c r="A25371" s="27"/>
    </row>
    <row r="25372" spans="1:1">
      <c r="A25372" s="27"/>
    </row>
    <row r="25373" spans="1:1">
      <c r="A25373" s="27"/>
    </row>
    <row r="25374" spans="1:1">
      <c r="A25374" s="27"/>
    </row>
    <row r="25375" spans="1:1">
      <c r="A25375" s="27"/>
    </row>
    <row r="25376" spans="1:1">
      <c r="A25376" s="27"/>
    </row>
    <row r="25377" spans="1:1">
      <c r="A25377" s="27"/>
    </row>
    <row r="25378" spans="1:1">
      <c r="A25378" s="27"/>
    </row>
    <row r="25379" spans="1:1">
      <c r="A25379" s="27"/>
    </row>
    <row r="25380" spans="1:1">
      <c r="A25380" s="27"/>
    </row>
    <row r="25381" spans="1:1">
      <c r="A25381" s="27"/>
    </row>
    <row r="25382" spans="1:1">
      <c r="A25382" s="27"/>
    </row>
    <row r="25383" spans="1:1">
      <c r="A25383" s="27"/>
    </row>
    <row r="25384" spans="1:1">
      <c r="A25384" s="27"/>
    </row>
    <row r="25385" spans="1:1">
      <c r="A25385" s="27"/>
    </row>
    <row r="25386" spans="1:1">
      <c r="A25386" s="27"/>
    </row>
    <row r="25387" spans="1:1">
      <c r="A25387" s="27"/>
    </row>
    <row r="25388" spans="1:1">
      <c r="A25388" s="27"/>
    </row>
    <row r="25389" spans="1:1">
      <c r="A25389" s="27"/>
    </row>
    <row r="25390" spans="1:1">
      <c r="A25390" s="27"/>
    </row>
    <row r="25391" spans="1:1">
      <c r="A25391" s="27"/>
    </row>
    <row r="25392" spans="1:1">
      <c r="A25392" s="27"/>
    </row>
    <row r="25393" spans="1:1">
      <c r="A25393" s="27"/>
    </row>
    <row r="25394" spans="1:1">
      <c r="A25394" s="27"/>
    </row>
    <row r="25395" spans="1:1">
      <c r="A25395" s="27"/>
    </row>
    <row r="25396" spans="1:1">
      <c r="A25396" s="27"/>
    </row>
    <row r="25397" spans="1:1">
      <c r="A25397" s="27"/>
    </row>
    <row r="25398" spans="1:1">
      <c r="A25398" s="27"/>
    </row>
    <row r="25399" spans="1:1">
      <c r="A25399" s="27"/>
    </row>
    <row r="25400" spans="1:1">
      <c r="A25400" s="27"/>
    </row>
    <row r="25401" spans="1:1">
      <c r="A25401" s="27"/>
    </row>
    <row r="25402" spans="1:1">
      <c r="A25402" s="27"/>
    </row>
    <row r="25403" spans="1:1">
      <c r="A25403" s="27"/>
    </row>
    <row r="25404" spans="1:1">
      <c r="A25404" s="27"/>
    </row>
    <row r="25405" spans="1:1">
      <c r="A25405" s="27"/>
    </row>
    <row r="25406" spans="1:1">
      <c r="A25406" s="27"/>
    </row>
    <row r="25407" spans="1:1">
      <c r="A25407" s="27"/>
    </row>
    <row r="25408" spans="1:1">
      <c r="A25408" s="27"/>
    </row>
    <row r="25409" spans="1:1">
      <c r="A25409" s="27"/>
    </row>
    <row r="25410" spans="1:1">
      <c r="A25410" s="27"/>
    </row>
    <row r="25411" spans="1:1">
      <c r="A25411" s="27"/>
    </row>
    <row r="25412" spans="1:1">
      <c r="A25412" s="27"/>
    </row>
    <row r="25413" spans="1:1">
      <c r="A25413" s="27"/>
    </row>
    <row r="25414" spans="1:1">
      <c r="A25414" s="27"/>
    </row>
    <row r="25415" spans="1:1">
      <c r="A25415" s="27"/>
    </row>
    <row r="25416" spans="1:1">
      <c r="A25416" s="27"/>
    </row>
    <row r="25417" spans="1:1">
      <c r="A25417" s="27"/>
    </row>
    <row r="25418" spans="1:1">
      <c r="A25418" s="27"/>
    </row>
    <row r="25419" spans="1:1">
      <c r="A25419" s="27"/>
    </row>
    <row r="25420" spans="1:1">
      <c r="A25420" s="27"/>
    </row>
    <row r="25421" spans="1:1">
      <c r="A25421" s="27"/>
    </row>
    <row r="25422" spans="1:1">
      <c r="A25422" s="27"/>
    </row>
    <row r="25423" spans="1:1">
      <c r="A25423" s="27"/>
    </row>
    <row r="25424" spans="1:1">
      <c r="A25424" s="27"/>
    </row>
    <row r="25425" spans="1:1">
      <c r="A25425" s="27"/>
    </row>
    <row r="25426" spans="1:1">
      <c r="A25426" s="27"/>
    </row>
    <row r="25427" spans="1:1">
      <c r="A25427" s="27"/>
    </row>
    <row r="25428" spans="1:1">
      <c r="A25428" s="27"/>
    </row>
    <row r="25429" spans="1:1">
      <c r="A25429" s="27"/>
    </row>
    <row r="25430" spans="1:1">
      <c r="A25430" s="27"/>
    </row>
    <row r="25431" spans="1:1">
      <c r="A25431" s="27"/>
    </row>
    <row r="25432" spans="1:1">
      <c r="A25432" s="27"/>
    </row>
    <row r="25433" spans="1:1">
      <c r="A25433" s="27"/>
    </row>
    <row r="25434" spans="1:1">
      <c r="A25434" s="27"/>
    </row>
    <row r="25435" spans="1:1">
      <c r="A25435" s="27"/>
    </row>
    <row r="25436" spans="1:1">
      <c r="A25436" s="27"/>
    </row>
    <row r="25437" spans="1:1">
      <c r="A25437" s="27"/>
    </row>
    <row r="25438" spans="1:1">
      <c r="A25438" s="27"/>
    </row>
    <row r="25439" spans="1:1">
      <c r="A25439" s="27"/>
    </row>
    <row r="25440" spans="1:1">
      <c r="A25440" s="27"/>
    </row>
    <row r="25441" spans="1:1">
      <c r="A25441" s="27"/>
    </row>
    <row r="25442" spans="1:1">
      <c r="A25442" s="27"/>
    </row>
    <row r="25443" spans="1:1">
      <c r="A25443" s="27"/>
    </row>
    <row r="25444" spans="1:1">
      <c r="A25444" s="27"/>
    </row>
    <row r="25445" spans="1:1">
      <c r="A25445" s="27"/>
    </row>
    <row r="25446" spans="1:1">
      <c r="A25446" s="27"/>
    </row>
    <row r="25447" spans="1:1">
      <c r="A25447" s="27"/>
    </row>
    <row r="25448" spans="1:1">
      <c r="A25448" s="27"/>
    </row>
    <row r="25449" spans="1:1">
      <c r="A25449" s="27"/>
    </row>
    <row r="25450" spans="1:1">
      <c r="A25450" s="27"/>
    </row>
    <row r="25451" spans="1:1">
      <c r="A25451" s="27"/>
    </row>
    <row r="25452" spans="1:1">
      <c r="A25452" s="27"/>
    </row>
    <row r="25453" spans="1:1">
      <c r="A25453" s="27"/>
    </row>
    <row r="25454" spans="1:1">
      <c r="A25454" s="27"/>
    </row>
    <row r="25455" spans="1:1">
      <c r="A25455" s="27"/>
    </row>
    <row r="25456" spans="1:1">
      <c r="A25456" s="27"/>
    </row>
    <row r="25457" spans="1:1">
      <c r="A25457" s="27"/>
    </row>
    <row r="25458" spans="1:1">
      <c r="A25458" s="27"/>
    </row>
    <row r="25459" spans="1:1">
      <c r="A25459" s="27"/>
    </row>
    <row r="25460" spans="1:1">
      <c r="A25460" s="27"/>
    </row>
    <row r="25461" spans="1:1">
      <c r="A25461" s="27"/>
    </row>
    <row r="25462" spans="1:1">
      <c r="A25462" s="27"/>
    </row>
    <row r="25463" spans="1:1">
      <c r="A25463" s="27"/>
    </row>
    <row r="25464" spans="1:1">
      <c r="A25464" s="27"/>
    </row>
    <row r="25465" spans="1:1">
      <c r="A25465" s="27"/>
    </row>
    <row r="25466" spans="1:1">
      <c r="A25466" s="27"/>
    </row>
    <row r="25467" spans="1:1">
      <c r="A25467" s="27"/>
    </row>
    <row r="25468" spans="1:1">
      <c r="A25468" s="27"/>
    </row>
    <row r="25469" spans="1:1">
      <c r="A25469" s="27"/>
    </row>
    <row r="25470" spans="1:1">
      <c r="A25470" s="27"/>
    </row>
    <row r="25471" spans="1:1">
      <c r="A25471" s="27"/>
    </row>
    <row r="25472" spans="1:1">
      <c r="A25472" s="27"/>
    </row>
    <row r="25473" spans="1:1">
      <c r="A25473" s="27"/>
    </row>
    <row r="25474" spans="1:1">
      <c r="A25474" s="27"/>
    </row>
    <row r="25475" spans="1:1">
      <c r="A25475" s="27"/>
    </row>
    <row r="25476" spans="1:1">
      <c r="A25476" s="27"/>
    </row>
    <row r="25477" spans="1:1">
      <c r="A25477" s="27"/>
    </row>
    <row r="25478" spans="1:1">
      <c r="A25478" s="27"/>
    </row>
    <row r="25479" spans="1:1">
      <c r="A25479" s="27"/>
    </row>
    <row r="25480" spans="1:1">
      <c r="A25480" s="27"/>
    </row>
    <row r="25481" spans="1:1">
      <c r="A25481" s="27"/>
    </row>
    <row r="25482" spans="1:1">
      <c r="A25482" s="27"/>
    </row>
    <row r="25483" spans="1:1">
      <c r="A25483" s="27"/>
    </row>
    <row r="25484" spans="1:1">
      <c r="A25484" s="27"/>
    </row>
    <row r="25485" spans="1:1">
      <c r="A25485" s="27"/>
    </row>
    <row r="25486" spans="1:1">
      <c r="A25486" s="27"/>
    </row>
    <row r="25487" spans="1:1">
      <c r="A25487" s="27"/>
    </row>
    <row r="25488" spans="1:1">
      <c r="A25488" s="27"/>
    </row>
    <row r="25489" spans="1:1">
      <c r="A25489" s="27"/>
    </row>
    <row r="25490" spans="1:1">
      <c r="A25490" s="27"/>
    </row>
    <row r="25491" spans="1:1">
      <c r="A25491" s="27"/>
    </row>
    <row r="25492" spans="1:1">
      <c r="A25492" s="27"/>
    </row>
    <row r="25493" spans="1:1">
      <c r="A25493" s="27"/>
    </row>
    <row r="25494" spans="1:1">
      <c r="A25494" s="27"/>
    </row>
    <row r="25495" spans="1:1">
      <c r="A25495" s="27"/>
    </row>
    <row r="25496" spans="1:1">
      <c r="A25496" s="27"/>
    </row>
    <row r="25497" spans="1:1">
      <c r="A25497" s="27"/>
    </row>
    <row r="25498" spans="1:1">
      <c r="A25498" s="27"/>
    </row>
    <row r="25499" spans="1:1">
      <c r="A25499" s="27"/>
    </row>
    <row r="25500" spans="1:1">
      <c r="A25500" s="27"/>
    </row>
    <row r="25501" spans="1:1">
      <c r="A25501" s="27"/>
    </row>
    <row r="25502" spans="1:1">
      <c r="A25502" s="27"/>
    </row>
    <row r="25503" spans="1:1">
      <c r="A25503" s="27"/>
    </row>
    <row r="25504" spans="1:1">
      <c r="A25504" s="27"/>
    </row>
    <row r="25505" spans="1:1">
      <c r="A25505" s="27"/>
    </row>
    <row r="25506" spans="1:1">
      <c r="A25506" s="27"/>
    </row>
    <row r="25507" spans="1:1">
      <c r="A25507" s="27"/>
    </row>
    <row r="25508" spans="1:1">
      <c r="A25508" s="27"/>
    </row>
    <row r="25509" spans="1:1">
      <c r="A25509" s="27"/>
    </row>
    <row r="25510" spans="1:1">
      <c r="A25510" s="27"/>
    </row>
    <row r="25511" spans="1:1">
      <c r="A25511" s="27"/>
    </row>
    <row r="25512" spans="1:1">
      <c r="A25512" s="27"/>
    </row>
    <row r="25513" spans="1:1">
      <c r="A25513" s="27"/>
    </row>
    <row r="25514" spans="1:1">
      <c r="A25514" s="27"/>
    </row>
    <row r="25515" spans="1:1">
      <c r="A25515" s="27"/>
    </row>
    <row r="25516" spans="1:1">
      <c r="A25516" s="27"/>
    </row>
    <row r="25517" spans="1:1">
      <c r="A25517" s="27"/>
    </row>
    <row r="25518" spans="1:1">
      <c r="A25518" s="27"/>
    </row>
    <row r="25519" spans="1:1">
      <c r="A25519" s="27"/>
    </row>
    <row r="25520" spans="1:1">
      <c r="A25520" s="27"/>
    </row>
    <row r="25521" spans="1:1">
      <c r="A25521" s="27"/>
    </row>
    <row r="25522" spans="1:1">
      <c r="A25522" s="27"/>
    </row>
    <row r="25523" spans="1:1">
      <c r="A25523" s="27"/>
    </row>
    <row r="25524" spans="1:1">
      <c r="A25524" s="27"/>
    </row>
    <row r="25525" spans="1:1">
      <c r="A25525" s="27"/>
    </row>
    <row r="25526" spans="1:1">
      <c r="A25526" s="27"/>
    </row>
    <row r="25527" spans="1:1">
      <c r="A25527" s="27"/>
    </row>
    <row r="25528" spans="1:1">
      <c r="A25528" s="27"/>
    </row>
    <row r="25529" spans="1:1">
      <c r="A25529" s="27"/>
    </row>
    <row r="25530" spans="1:1">
      <c r="A25530" s="27"/>
    </row>
    <row r="25531" spans="1:1">
      <c r="A25531" s="27"/>
    </row>
    <row r="25532" spans="1:1">
      <c r="A25532" s="27"/>
    </row>
    <row r="25533" spans="1:1">
      <c r="A25533" s="27"/>
    </row>
    <row r="25534" spans="1:1">
      <c r="A25534" s="27"/>
    </row>
    <row r="25535" spans="1:1">
      <c r="A25535" s="27"/>
    </row>
    <row r="25536" spans="1:1">
      <c r="A25536" s="27"/>
    </row>
    <row r="25537" spans="1:1">
      <c r="A25537" s="27"/>
    </row>
    <row r="25538" spans="1:1">
      <c r="A25538" s="27"/>
    </row>
    <row r="25539" spans="1:1">
      <c r="A25539" s="27"/>
    </row>
    <row r="25540" spans="1:1">
      <c r="A25540" s="27"/>
    </row>
    <row r="25541" spans="1:1">
      <c r="A25541" s="27"/>
    </row>
    <row r="25542" spans="1:1">
      <c r="A25542" s="27"/>
    </row>
    <row r="25543" spans="1:1">
      <c r="A25543" s="27"/>
    </row>
    <row r="25544" spans="1:1">
      <c r="A25544" s="27"/>
    </row>
    <row r="25545" spans="1:1">
      <c r="A25545" s="27"/>
    </row>
    <row r="25546" spans="1:1">
      <c r="A25546" s="27"/>
    </row>
    <row r="25547" spans="1:1">
      <c r="A25547" s="27"/>
    </row>
    <row r="25548" spans="1:1">
      <c r="A25548" s="27"/>
    </row>
    <row r="25549" spans="1:1">
      <c r="A25549" s="27"/>
    </row>
    <row r="25550" spans="1:1">
      <c r="A25550" s="27"/>
    </row>
    <row r="25551" spans="1:1">
      <c r="A25551" s="27"/>
    </row>
    <row r="25552" spans="1:1">
      <c r="A25552" s="27"/>
    </row>
    <row r="25553" spans="1:1">
      <c r="A25553" s="27"/>
    </row>
    <row r="25554" spans="1:1">
      <c r="A25554" s="27"/>
    </row>
    <row r="25555" spans="1:1">
      <c r="A25555" s="27"/>
    </row>
    <row r="25556" spans="1:1">
      <c r="A25556" s="27"/>
    </row>
    <row r="25557" spans="1:1">
      <c r="A25557" s="27"/>
    </row>
    <row r="25558" spans="1:1">
      <c r="A25558" s="27"/>
    </row>
    <row r="25559" spans="1:1">
      <c r="A25559" s="27"/>
    </row>
    <row r="25560" spans="1:1">
      <c r="A25560" s="27"/>
    </row>
    <row r="25561" spans="1:1">
      <c r="A25561" s="27"/>
    </row>
    <row r="25562" spans="1:1">
      <c r="A25562" s="27"/>
    </row>
    <row r="25563" spans="1:1">
      <c r="A25563" s="27"/>
    </row>
    <row r="25564" spans="1:1">
      <c r="A25564" s="27"/>
    </row>
    <row r="25565" spans="1:1">
      <c r="A25565" s="27"/>
    </row>
    <row r="25566" spans="1:1">
      <c r="A25566" s="27"/>
    </row>
    <row r="25567" spans="1:1">
      <c r="A25567" s="27"/>
    </row>
    <row r="25568" spans="1:1">
      <c r="A25568" s="27"/>
    </row>
    <row r="25569" spans="1:1">
      <c r="A25569" s="27"/>
    </row>
    <row r="25570" spans="1:1">
      <c r="A25570" s="27"/>
    </row>
    <row r="25571" spans="1:1">
      <c r="A25571" s="27"/>
    </row>
    <row r="25572" spans="1:1">
      <c r="A25572" s="27"/>
    </row>
    <row r="25573" spans="1:1">
      <c r="A25573" s="27"/>
    </row>
    <row r="25574" spans="1:1">
      <c r="A25574" s="27"/>
    </row>
    <row r="25575" spans="1:1">
      <c r="A25575" s="27"/>
    </row>
    <row r="25576" spans="1:1">
      <c r="A25576" s="27"/>
    </row>
    <row r="25577" spans="1:1">
      <c r="A25577" s="27"/>
    </row>
    <row r="25578" spans="1:1">
      <c r="A25578" s="27"/>
    </row>
    <row r="25579" spans="1:1">
      <c r="A25579" s="27"/>
    </row>
    <row r="25580" spans="1:1">
      <c r="A25580" s="27"/>
    </row>
    <row r="25581" spans="1:1">
      <c r="A25581" s="27"/>
    </row>
    <row r="25582" spans="1:1">
      <c r="A25582" s="27"/>
    </row>
    <row r="25583" spans="1:1">
      <c r="A25583" s="27"/>
    </row>
    <row r="25584" spans="1:1">
      <c r="A25584" s="27"/>
    </row>
    <row r="25585" spans="1:1">
      <c r="A25585" s="27"/>
    </row>
    <row r="25586" spans="1:1">
      <c r="A25586" s="27"/>
    </row>
    <row r="25587" spans="1:1">
      <c r="A25587" s="27"/>
    </row>
    <row r="25588" spans="1:1">
      <c r="A25588" s="27"/>
    </row>
    <row r="25589" spans="1:1">
      <c r="A25589" s="27"/>
    </row>
    <row r="25590" spans="1:1">
      <c r="A25590" s="27"/>
    </row>
    <row r="25591" spans="1:1">
      <c r="A25591" s="27"/>
    </row>
    <row r="25592" spans="1:1">
      <c r="A25592" s="27"/>
    </row>
    <row r="25593" spans="1:1">
      <c r="A25593" s="27"/>
    </row>
    <row r="25594" spans="1:1">
      <c r="A25594" s="27"/>
    </row>
    <row r="25595" spans="1:1">
      <c r="A25595" s="27"/>
    </row>
    <row r="25596" spans="1:1">
      <c r="A25596" s="27"/>
    </row>
    <row r="25597" spans="1:1">
      <c r="A25597" s="27"/>
    </row>
    <row r="25598" spans="1:1">
      <c r="A25598" s="27"/>
    </row>
    <row r="25599" spans="1:1">
      <c r="A25599" s="27"/>
    </row>
    <row r="25600" spans="1:1">
      <c r="A25600" s="27"/>
    </row>
    <row r="25601" spans="1:1">
      <c r="A25601" s="27"/>
    </row>
    <row r="25602" spans="1:1">
      <c r="A25602" s="27"/>
    </row>
    <row r="25603" spans="1:1">
      <c r="A25603" s="27"/>
    </row>
    <row r="25604" spans="1:1">
      <c r="A25604" s="27"/>
    </row>
    <row r="25605" spans="1:1">
      <c r="A25605" s="27"/>
    </row>
    <row r="25606" spans="1:1">
      <c r="A25606" s="27"/>
    </row>
    <row r="25607" spans="1:1">
      <c r="A25607" s="27"/>
    </row>
    <row r="25608" spans="1:1">
      <c r="A25608" s="27"/>
    </row>
    <row r="25609" spans="1:1">
      <c r="A25609" s="27"/>
    </row>
    <row r="25610" spans="1:1">
      <c r="A25610" s="27"/>
    </row>
    <row r="25611" spans="1:1">
      <c r="A25611" s="27"/>
    </row>
    <row r="25612" spans="1:1">
      <c r="A25612" s="27"/>
    </row>
    <row r="25613" spans="1:1">
      <c r="A25613" s="27"/>
    </row>
    <row r="25614" spans="1:1">
      <c r="A25614" s="27"/>
    </row>
    <row r="25615" spans="1:1">
      <c r="A25615" s="27"/>
    </row>
    <row r="25616" spans="1:1">
      <c r="A25616" s="27"/>
    </row>
    <row r="25617" spans="1:1">
      <c r="A25617" s="27"/>
    </row>
    <row r="25618" spans="1:1">
      <c r="A25618" s="27"/>
    </row>
    <row r="25619" spans="1:1">
      <c r="A25619" s="27"/>
    </row>
    <row r="25620" spans="1:1">
      <c r="A25620" s="27"/>
    </row>
    <row r="25621" spans="1:1">
      <c r="A25621" s="27"/>
    </row>
    <row r="25622" spans="1:1">
      <c r="A25622" s="27"/>
    </row>
    <row r="25623" spans="1:1">
      <c r="A25623" s="27"/>
    </row>
    <row r="25624" spans="1:1">
      <c r="A25624" s="27"/>
    </row>
    <row r="25625" spans="1:1">
      <c r="A25625" s="27"/>
    </row>
    <row r="25626" spans="1:1">
      <c r="A25626" s="27"/>
    </row>
    <row r="25627" spans="1:1">
      <c r="A25627" s="27"/>
    </row>
    <row r="25628" spans="1:1">
      <c r="A25628" s="27"/>
    </row>
    <row r="25629" spans="1:1">
      <c r="A25629" s="27"/>
    </row>
    <row r="25630" spans="1:1">
      <c r="A25630" s="27"/>
    </row>
    <row r="25631" spans="1:1">
      <c r="A25631" s="27"/>
    </row>
    <row r="25632" spans="1:1">
      <c r="A25632" s="27"/>
    </row>
    <row r="25633" spans="1:1">
      <c r="A25633" s="27"/>
    </row>
    <row r="25634" spans="1:1">
      <c r="A25634" s="27"/>
    </row>
    <row r="25635" spans="1:1">
      <c r="A25635" s="27"/>
    </row>
    <row r="25636" spans="1:1">
      <c r="A25636" s="27"/>
    </row>
    <row r="25637" spans="1:1">
      <c r="A25637" s="27"/>
    </row>
    <row r="25638" spans="1:1">
      <c r="A25638" s="27"/>
    </row>
    <row r="25639" spans="1:1">
      <c r="A25639" s="27"/>
    </row>
    <row r="25640" spans="1:1">
      <c r="A25640" s="27"/>
    </row>
    <row r="25641" spans="1:1">
      <c r="A25641" s="27"/>
    </row>
    <row r="25642" spans="1:1">
      <c r="A25642" s="27"/>
    </row>
    <row r="25643" spans="1:1">
      <c r="A25643" s="27"/>
    </row>
    <row r="25644" spans="1:1">
      <c r="A25644" s="27"/>
    </row>
    <row r="25645" spans="1:1">
      <c r="A25645" s="27"/>
    </row>
    <row r="25646" spans="1:1">
      <c r="A25646" s="27"/>
    </row>
    <row r="25647" spans="1:1">
      <c r="A25647" s="27"/>
    </row>
    <row r="25648" spans="1:1">
      <c r="A25648" s="27"/>
    </row>
    <row r="25649" spans="1:1">
      <c r="A25649" s="27"/>
    </row>
    <row r="25650" spans="1:1">
      <c r="A25650" s="27"/>
    </row>
    <row r="25651" spans="1:1">
      <c r="A25651" s="27"/>
    </row>
    <row r="25652" spans="1:1">
      <c r="A25652" s="27"/>
    </row>
    <row r="25653" spans="1:1">
      <c r="A25653" s="27"/>
    </row>
    <row r="25654" spans="1:1">
      <c r="A25654" s="27"/>
    </row>
    <row r="25655" spans="1:1">
      <c r="A25655" s="27"/>
    </row>
    <row r="25656" spans="1:1">
      <c r="A25656" s="27"/>
    </row>
    <row r="25657" spans="1:1">
      <c r="A25657" s="27"/>
    </row>
    <row r="25658" spans="1:1">
      <c r="A25658" s="27"/>
    </row>
    <row r="25659" spans="1:1">
      <c r="A25659" s="27"/>
    </row>
    <row r="25660" spans="1:1">
      <c r="A25660" s="27"/>
    </row>
    <row r="25661" spans="1:1">
      <c r="A25661" s="27"/>
    </row>
    <row r="25662" spans="1:1">
      <c r="A25662" s="27"/>
    </row>
    <row r="25663" spans="1:1">
      <c r="A25663" s="27"/>
    </row>
    <row r="25664" spans="1:1">
      <c r="A25664" s="27"/>
    </row>
    <row r="25665" spans="1:1">
      <c r="A25665" s="27"/>
    </row>
    <row r="25666" spans="1:1">
      <c r="A25666" s="27"/>
    </row>
    <row r="25667" spans="1:1">
      <c r="A25667" s="27"/>
    </row>
    <row r="25668" spans="1:1">
      <c r="A25668" s="27"/>
    </row>
    <row r="25669" spans="1:1">
      <c r="A25669" s="27"/>
    </row>
    <row r="25670" spans="1:1">
      <c r="A25670" s="27"/>
    </row>
    <row r="25671" spans="1:1">
      <c r="A25671" s="27"/>
    </row>
    <row r="25672" spans="1:1">
      <c r="A25672" s="27"/>
    </row>
    <row r="25673" spans="1:1">
      <c r="A25673" s="27"/>
    </row>
    <row r="25674" spans="1:1">
      <c r="A25674" s="27"/>
    </row>
    <row r="25675" spans="1:1">
      <c r="A25675" s="27"/>
    </row>
    <row r="25676" spans="1:1">
      <c r="A25676" s="27"/>
    </row>
    <row r="25677" spans="1:1">
      <c r="A25677" s="27"/>
    </row>
    <row r="25678" spans="1:1">
      <c r="A25678" s="27"/>
    </row>
    <row r="25679" spans="1:1">
      <c r="A25679" s="27"/>
    </row>
    <row r="25680" spans="1:1">
      <c r="A25680" s="27"/>
    </row>
    <row r="25681" spans="1:1">
      <c r="A25681" s="27"/>
    </row>
    <row r="25682" spans="1:1">
      <c r="A25682" s="27"/>
    </row>
    <row r="25683" spans="1:1">
      <c r="A25683" s="27"/>
    </row>
    <row r="25684" spans="1:1">
      <c r="A25684" s="27"/>
    </row>
    <row r="25685" spans="1:1">
      <c r="A25685" s="27"/>
    </row>
    <row r="25686" spans="1:1">
      <c r="A25686" s="27"/>
    </row>
    <row r="25687" spans="1:1">
      <c r="A25687" s="27"/>
    </row>
    <row r="25688" spans="1:1">
      <c r="A25688" s="27"/>
    </row>
    <row r="25689" spans="1:1">
      <c r="A25689" s="27"/>
    </row>
    <row r="25690" spans="1:1">
      <c r="A25690" s="27"/>
    </row>
    <row r="25691" spans="1:1">
      <c r="A25691" s="27"/>
    </row>
    <row r="25692" spans="1:1">
      <c r="A25692" s="27"/>
    </row>
    <row r="25693" spans="1:1">
      <c r="A25693" s="27"/>
    </row>
    <row r="25694" spans="1:1">
      <c r="A25694" s="27"/>
    </row>
    <row r="25695" spans="1:1">
      <c r="A25695" s="27"/>
    </row>
    <row r="25696" spans="1:1">
      <c r="A25696" s="27"/>
    </row>
    <row r="25697" spans="1:1">
      <c r="A25697" s="27"/>
    </row>
    <row r="25698" spans="1:1">
      <c r="A25698" s="27"/>
    </row>
    <row r="25699" spans="1:1">
      <c r="A25699" s="27"/>
    </row>
    <row r="25700" spans="1:1">
      <c r="A25700" s="27"/>
    </row>
    <row r="25701" spans="1:1">
      <c r="A25701" s="27"/>
    </row>
    <row r="25702" spans="1:1">
      <c r="A25702" s="27"/>
    </row>
    <row r="25703" spans="1:1">
      <c r="A25703" s="27"/>
    </row>
    <row r="25704" spans="1:1">
      <c r="A25704" s="27"/>
    </row>
    <row r="25705" spans="1:1">
      <c r="A25705" s="27"/>
    </row>
    <row r="25706" spans="1:1">
      <c r="A25706" s="27"/>
    </row>
    <row r="25707" spans="1:1">
      <c r="A25707" s="27"/>
    </row>
    <row r="25708" spans="1:1">
      <c r="A25708" s="27"/>
    </row>
    <row r="25709" spans="1:1">
      <c r="A25709" s="27"/>
    </row>
    <row r="25710" spans="1:1">
      <c r="A25710" s="27"/>
    </row>
    <row r="25711" spans="1:1">
      <c r="A25711" s="27"/>
    </row>
    <row r="25712" spans="1:1">
      <c r="A25712" s="27"/>
    </row>
    <row r="25713" spans="1:1">
      <c r="A25713" s="27"/>
    </row>
    <row r="25714" spans="1:1">
      <c r="A25714" s="27"/>
    </row>
    <row r="25715" spans="1:1">
      <c r="A25715" s="27"/>
    </row>
    <row r="25716" spans="1:1">
      <c r="A25716" s="27"/>
    </row>
    <row r="25717" spans="1:1">
      <c r="A25717" s="27"/>
    </row>
    <row r="25718" spans="1:1">
      <c r="A25718" s="27"/>
    </row>
    <row r="25719" spans="1:1">
      <c r="A25719" s="27"/>
    </row>
    <row r="25720" spans="1:1">
      <c r="A25720" s="27"/>
    </row>
    <row r="25721" spans="1:1">
      <c r="A25721" s="27"/>
    </row>
    <row r="25722" spans="1:1">
      <c r="A25722" s="27"/>
    </row>
    <row r="25723" spans="1:1">
      <c r="A25723" s="27"/>
    </row>
    <row r="25724" spans="1:1">
      <c r="A25724" s="27"/>
    </row>
    <row r="25725" spans="1:1">
      <c r="A25725" s="27"/>
    </row>
    <row r="25726" spans="1:1">
      <c r="A25726" s="27"/>
    </row>
    <row r="25727" spans="1:1">
      <c r="A25727" s="27"/>
    </row>
    <row r="25728" spans="1:1">
      <c r="A25728" s="27"/>
    </row>
    <row r="25729" spans="1:1">
      <c r="A25729" s="27"/>
    </row>
    <row r="25730" spans="1:1">
      <c r="A25730" s="27"/>
    </row>
    <row r="25731" spans="1:1">
      <c r="A25731" s="27"/>
    </row>
    <row r="25732" spans="1:1">
      <c r="A25732" s="27"/>
    </row>
    <row r="25733" spans="1:1">
      <c r="A25733" s="27"/>
    </row>
    <row r="25734" spans="1:1">
      <c r="A25734" s="27"/>
    </row>
    <row r="25735" spans="1:1">
      <c r="A25735" s="27"/>
    </row>
    <row r="25736" spans="1:1">
      <c r="A25736" s="27"/>
    </row>
    <row r="25737" spans="1:1">
      <c r="A25737" s="27"/>
    </row>
    <row r="25738" spans="1:1">
      <c r="A25738" s="27"/>
    </row>
    <row r="25739" spans="1:1">
      <c r="A25739" s="27"/>
    </row>
    <row r="25740" spans="1:1">
      <c r="A25740" s="27"/>
    </row>
    <row r="25741" spans="1:1">
      <c r="A25741" s="27"/>
    </row>
    <row r="25742" spans="1:1">
      <c r="A25742" s="27"/>
    </row>
    <row r="25743" spans="1:1">
      <c r="A25743" s="27"/>
    </row>
    <row r="25744" spans="1:1">
      <c r="A25744" s="27"/>
    </row>
    <row r="25745" spans="1:1">
      <c r="A25745" s="27"/>
    </row>
    <row r="25746" spans="1:1">
      <c r="A25746" s="27"/>
    </row>
    <row r="25747" spans="1:1">
      <c r="A25747" s="27"/>
    </row>
    <row r="25748" spans="1:1">
      <c r="A25748" s="27"/>
    </row>
    <row r="25749" spans="1:1">
      <c r="A25749" s="27"/>
    </row>
    <row r="25750" spans="1:1">
      <c r="A25750" s="27"/>
    </row>
    <row r="25751" spans="1:1">
      <c r="A25751" s="27"/>
    </row>
    <row r="25752" spans="1:1">
      <c r="A25752" s="27"/>
    </row>
    <row r="25753" spans="1:1">
      <c r="A25753" s="27"/>
    </row>
    <row r="25754" spans="1:1">
      <c r="A25754" s="27"/>
    </row>
    <row r="25755" spans="1:1">
      <c r="A25755" s="27"/>
    </row>
    <row r="25756" spans="1:1">
      <c r="A25756" s="27"/>
    </row>
    <row r="25757" spans="1:1">
      <c r="A25757" s="27"/>
    </row>
    <row r="25758" spans="1:1">
      <c r="A25758" s="27"/>
    </row>
    <row r="25759" spans="1:1">
      <c r="A25759" s="27"/>
    </row>
    <row r="25760" spans="1:1">
      <c r="A25760" s="27"/>
    </row>
    <row r="25761" spans="1:1">
      <c r="A25761" s="27"/>
    </row>
    <row r="25762" spans="1:1">
      <c r="A25762" s="27"/>
    </row>
    <row r="25763" spans="1:1">
      <c r="A25763" s="27"/>
    </row>
    <row r="25764" spans="1:1">
      <c r="A25764" s="27"/>
    </row>
    <row r="25765" spans="1:1">
      <c r="A25765" s="27"/>
    </row>
    <row r="25766" spans="1:1">
      <c r="A25766" s="27"/>
    </row>
    <row r="25767" spans="1:1">
      <c r="A25767" s="27"/>
    </row>
    <row r="25768" spans="1:1">
      <c r="A25768" s="27"/>
    </row>
    <row r="25769" spans="1:1">
      <c r="A25769" s="27"/>
    </row>
    <row r="25770" spans="1:1">
      <c r="A25770" s="27"/>
    </row>
    <row r="25771" spans="1:1">
      <c r="A25771" s="27"/>
    </row>
    <row r="25772" spans="1:1">
      <c r="A25772" s="27"/>
    </row>
    <row r="25773" spans="1:1">
      <c r="A25773" s="27"/>
    </row>
    <row r="25774" spans="1:1">
      <c r="A25774" s="27"/>
    </row>
    <row r="25775" spans="1:1">
      <c r="A25775" s="27"/>
    </row>
    <row r="25776" spans="1:1">
      <c r="A25776" s="27"/>
    </row>
    <row r="25777" spans="1:1">
      <c r="A25777" s="27"/>
    </row>
    <row r="25778" spans="1:1">
      <c r="A25778" s="27"/>
    </row>
    <row r="25779" spans="1:1">
      <c r="A25779" s="27"/>
    </row>
    <row r="25780" spans="1:1">
      <c r="A25780" s="27"/>
    </row>
    <row r="25781" spans="1:1">
      <c r="A25781" s="27"/>
    </row>
    <row r="25782" spans="1:1">
      <c r="A25782" s="27"/>
    </row>
    <row r="25783" spans="1:1">
      <c r="A25783" s="27"/>
    </row>
    <row r="25784" spans="1:1">
      <c r="A25784" s="27"/>
    </row>
    <row r="25785" spans="1:1">
      <c r="A25785" s="27"/>
    </row>
    <row r="25786" spans="1:1">
      <c r="A25786" s="27"/>
    </row>
    <row r="25787" spans="1:1">
      <c r="A25787" s="27"/>
    </row>
    <row r="25788" spans="1:1">
      <c r="A25788" s="27"/>
    </row>
    <row r="25789" spans="1:1">
      <c r="A25789" s="27"/>
    </row>
    <row r="25790" spans="1:1">
      <c r="A25790" s="27"/>
    </row>
    <row r="25791" spans="1:1">
      <c r="A25791" s="27"/>
    </row>
    <row r="25792" spans="1:1">
      <c r="A25792" s="27"/>
    </row>
    <row r="25793" spans="1:1">
      <c r="A25793" s="27"/>
    </row>
    <row r="25794" spans="1:1">
      <c r="A25794" s="27"/>
    </row>
    <row r="25795" spans="1:1">
      <c r="A25795" s="27"/>
    </row>
    <row r="25796" spans="1:1">
      <c r="A25796" s="27"/>
    </row>
    <row r="25797" spans="1:1">
      <c r="A25797" s="27"/>
    </row>
    <row r="25798" spans="1:1">
      <c r="A25798" s="27"/>
    </row>
    <row r="25799" spans="1:1">
      <c r="A25799" s="27"/>
    </row>
    <row r="25800" spans="1:1">
      <c r="A25800" s="27"/>
    </row>
    <row r="25801" spans="1:1">
      <c r="A25801" s="27"/>
    </row>
    <row r="25802" spans="1:1">
      <c r="A25802" s="27"/>
    </row>
    <row r="25803" spans="1:1">
      <c r="A25803" s="27"/>
    </row>
    <row r="25804" spans="1:1">
      <c r="A25804" s="27"/>
    </row>
    <row r="25805" spans="1:1">
      <c r="A25805" s="27"/>
    </row>
    <row r="25806" spans="1:1">
      <c r="A25806" s="27"/>
    </row>
    <row r="25807" spans="1:1">
      <c r="A25807" s="27"/>
    </row>
    <row r="25808" spans="1:1">
      <c r="A25808" s="27"/>
    </row>
    <row r="25809" spans="1:1">
      <c r="A25809" s="27"/>
    </row>
    <row r="25810" spans="1:1">
      <c r="A25810" s="27"/>
    </row>
    <row r="25811" spans="1:1">
      <c r="A25811" s="27"/>
    </row>
    <row r="25812" spans="1:1">
      <c r="A25812" s="27"/>
    </row>
    <row r="25813" spans="1:1">
      <c r="A25813" s="27"/>
    </row>
    <row r="25814" spans="1:1">
      <c r="A25814" s="27"/>
    </row>
    <row r="25815" spans="1:1">
      <c r="A25815" s="27"/>
    </row>
    <row r="25816" spans="1:1">
      <c r="A25816" s="27"/>
    </row>
    <row r="25817" spans="1:1">
      <c r="A25817" s="27"/>
    </row>
    <row r="25818" spans="1:1">
      <c r="A25818" s="27"/>
    </row>
    <row r="25819" spans="1:1">
      <c r="A25819" s="27"/>
    </row>
    <row r="25820" spans="1:1">
      <c r="A25820" s="27"/>
    </row>
    <row r="25821" spans="1:1">
      <c r="A25821" s="27"/>
    </row>
    <row r="25822" spans="1:1">
      <c r="A25822" s="27"/>
    </row>
    <row r="25823" spans="1:1">
      <c r="A25823" s="27"/>
    </row>
    <row r="25824" spans="1:1">
      <c r="A25824" s="27"/>
    </row>
    <row r="25825" spans="1:1">
      <c r="A25825" s="27"/>
    </row>
    <row r="25826" spans="1:1">
      <c r="A25826" s="27"/>
    </row>
    <row r="25827" spans="1:1">
      <c r="A25827" s="27"/>
    </row>
    <row r="25828" spans="1:1">
      <c r="A25828" s="27"/>
    </row>
    <row r="25829" spans="1:1">
      <c r="A25829" s="27"/>
    </row>
    <row r="25830" spans="1:1">
      <c r="A25830" s="27"/>
    </row>
    <row r="25831" spans="1:1">
      <c r="A25831" s="27"/>
    </row>
    <row r="25832" spans="1:1">
      <c r="A25832" s="27"/>
    </row>
    <row r="25833" spans="1:1">
      <c r="A25833" s="27"/>
    </row>
    <row r="25834" spans="1:1">
      <c r="A25834" s="27"/>
    </row>
    <row r="25835" spans="1:1">
      <c r="A25835" s="27"/>
    </row>
    <row r="25836" spans="1:1">
      <c r="A25836" s="27"/>
    </row>
    <row r="25837" spans="1:1">
      <c r="A25837" s="27"/>
    </row>
    <row r="25838" spans="1:1">
      <c r="A25838" s="27"/>
    </row>
    <row r="25839" spans="1:1">
      <c r="A25839" s="27"/>
    </row>
    <row r="25840" spans="1:1">
      <c r="A25840" s="27"/>
    </row>
    <row r="25841" spans="1:1">
      <c r="A25841" s="27"/>
    </row>
    <row r="25842" spans="1:1">
      <c r="A25842" s="27"/>
    </row>
    <row r="25843" spans="1:1">
      <c r="A25843" s="27"/>
    </row>
    <row r="25844" spans="1:1">
      <c r="A25844" s="27"/>
    </row>
    <row r="25845" spans="1:1">
      <c r="A25845" s="27"/>
    </row>
    <row r="25846" spans="1:1">
      <c r="A25846" s="27"/>
    </row>
    <row r="25847" spans="1:1">
      <c r="A25847" s="27"/>
    </row>
    <row r="25848" spans="1:1">
      <c r="A25848" s="27"/>
    </row>
    <row r="25849" spans="1:1">
      <c r="A25849" s="27"/>
    </row>
    <row r="25850" spans="1:1">
      <c r="A25850" s="27"/>
    </row>
    <row r="25851" spans="1:1">
      <c r="A25851" s="27"/>
    </row>
    <row r="25852" spans="1:1">
      <c r="A25852" s="27"/>
    </row>
    <row r="25853" spans="1:1">
      <c r="A25853" s="27"/>
    </row>
    <row r="25854" spans="1:1">
      <c r="A25854" s="27"/>
    </row>
    <row r="25855" spans="1:1">
      <c r="A25855" s="27"/>
    </row>
    <row r="25856" spans="1:1">
      <c r="A25856" s="27"/>
    </row>
    <row r="25857" spans="1:1">
      <c r="A25857" s="27"/>
    </row>
    <row r="25858" spans="1:1">
      <c r="A25858" s="27"/>
    </row>
    <row r="25859" spans="1:1">
      <c r="A25859" s="27"/>
    </row>
    <row r="25860" spans="1:1">
      <c r="A25860" s="27"/>
    </row>
    <row r="25861" spans="1:1">
      <c r="A25861" s="27"/>
    </row>
    <row r="25862" spans="1:1">
      <c r="A25862" s="27"/>
    </row>
    <row r="25863" spans="1:1">
      <c r="A25863" s="27"/>
    </row>
    <row r="25864" spans="1:1">
      <c r="A25864" s="27"/>
    </row>
    <row r="25865" spans="1:1">
      <c r="A25865" s="27"/>
    </row>
    <row r="25866" spans="1:1">
      <c r="A25866" s="27"/>
    </row>
    <row r="25867" spans="1:1">
      <c r="A25867" s="27"/>
    </row>
    <row r="25868" spans="1:1">
      <c r="A25868" s="27"/>
    </row>
    <row r="25869" spans="1:1">
      <c r="A25869" s="27"/>
    </row>
    <row r="25870" spans="1:1">
      <c r="A25870" s="27"/>
    </row>
    <row r="25871" spans="1:1">
      <c r="A25871" s="27"/>
    </row>
    <row r="25872" spans="1:1">
      <c r="A25872" s="27"/>
    </row>
    <row r="25873" spans="1:1">
      <c r="A25873" s="27"/>
    </row>
    <row r="25874" spans="1:1">
      <c r="A25874" s="27"/>
    </row>
    <row r="25875" spans="1:1">
      <c r="A25875" s="27"/>
    </row>
    <row r="25876" spans="1:1">
      <c r="A25876" s="27"/>
    </row>
    <row r="25877" spans="1:1">
      <c r="A25877" s="27"/>
    </row>
    <row r="25878" spans="1:1">
      <c r="A25878" s="27"/>
    </row>
    <row r="25879" spans="1:1">
      <c r="A25879" s="27"/>
    </row>
    <row r="25880" spans="1:1">
      <c r="A25880" s="27"/>
    </row>
    <row r="25881" spans="1:1">
      <c r="A25881" s="27"/>
    </row>
    <row r="25882" spans="1:1">
      <c r="A25882" s="27"/>
    </row>
    <row r="25883" spans="1:1">
      <c r="A25883" s="27"/>
    </row>
    <row r="25884" spans="1:1">
      <c r="A25884" s="27"/>
    </row>
    <row r="25885" spans="1:1">
      <c r="A25885" s="27"/>
    </row>
    <row r="25886" spans="1:1">
      <c r="A25886" s="27"/>
    </row>
    <row r="25887" spans="1:1">
      <c r="A25887" s="27"/>
    </row>
    <row r="25888" spans="1:1">
      <c r="A25888" s="27"/>
    </row>
    <row r="25889" spans="1:1">
      <c r="A25889" s="27"/>
    </row>
    <row r="25890" spans="1:1">
      <c r="A25890" s="27"/>
    </row>
    <row r="25891" spans="1:1">
      <c r="A25891" s="27"/>
    </row>
    <row r="25892" spans="1:1">
      <c r="A25892" s="27"/>
    </row>
    <row r="25893" spans="1:1">
      <c r="A25893" s="27"/>
    </row>
    <row r="25894" spans="1:1">
      <c r="A25894" s="27"/>
    </row>
    <row r="25895" spans="1:1">
      <c r="A25895" s="27"/>
    </row>
    <row r="25896" spans="1:1">
      <c r="A25896" s="27"/>
    </row>
    <row r="25897" spans="1:1">
      <c r="A25897" s="27"/>
    </row>
    <row r="25898" spans="1:1">
      <c r="A25898" s="27"/>
    </row>
    <row r="25899" spans="1:1">
      <c r="A25899" s="27"/>
    </row>
    <row r="25900" spans="1:1">
      <c r="A25900" s="27"/>
    </row>
    <row r="25901" spans="1:1">
      <c r="A25901" s="27"/>
    </row>
    <row r="25902" spans="1:1">
      <c r="A25902" s="27"/>
    </row>
    <row r="25903" spans="1:1">
      <c r="A25903" s="27"/>
    </row>
    <row r="25904" spans="1:1">
      <c r="A25904" s="27"/>
    </row>
    <row r="25905" spans="1:1">
      <c r="A25905" s="27"/>
    </row>
    <row r="25906" spans="1:1">
      <c r="A25906" s="27"/>
    </row>
    <row r="25907" spans="1:1">
      <c r="A25907" s="27"/>
    </row>
    <row r="25908" spans="1:1">
      <c r="A25908" s="27"/>
    </row>
    <row r="25909" spans="1:1">
      <c r="A25909" s="27"/>
    </row>
    <row r="25910" spans="1:1">
      <c r="A25910" s="27"/>
    </row>
    <row r="25911" spans="1:1">
      <c r="A25911" s="27"/>
    </row>
    <row r="25912" spans="1:1">
      <c r="A25912" s="27"/>
    </row>
    <row r="25913" spans="1:1">
      <c r="A25913" s="27"/>
    </row>
    <row r="25914" spans="1:1">
      <c r="A25914" s="27"/>
    </row>
    <row r="25915" spans="1:1">
      <c r="A25915" s="27"/>
    </row>
    <row r="25916" spans="1:1">
      <c r="A25916" s="27"/>
    </row>
    <row r="25917" spans="1:1">
      <c r="A25917" s="27"/>
    </row>
    <row r="25918" spans="1:1">
      <c r="A25918" s="27"/>
    </row>
    <row r="25919" spans="1:1">
      <c r="A25919" s="27"/>
    </row>
    <row r="25920" spans="1:1">
      <c r="A25920" s="27"/>
    </row>
    <row r="25921" spans="1:1">
      <c r="A25921" s="27"/>
    </row>
    <row r="25922" spans="1:1">
      <c r="A25922" s="27"/>
    </row>
    <row r="25923" spans="1:1">
      <c r="A25923" s="27"/>
    </row>
    <row r="25924" spans="1:1">
      <c r="A25924" s="27"/>
    </row>
    <row r="25925" spans="1:1">
      <c r="A25925" s="27"/>
    </row>
    <row r="25926" spans="1:1">
      <c r="A25926" s="27"/>
    </row>
    <row r="25927" spans="1:1">
      <c r="A25927" s="27"/>
    </row>
    <row r="25928" spans="1:1">
      <c r="A25928" s="27"/>
    </row>
    <row r="25929" spans="1:1">
      <c r="A25929" s="27"/>
    </row>
    <row r="25930" spans="1:1">
      <c r="A25930" s="27"/>
    </row>
    <row r="25931" spans="1:1">
      <c r="A25931" s="27"/>
    </row>
    <row r="25932" spans="1:1">
      <c r="A25932" s="27"/>
    </row>
    <row r="25933" spans="1:1">
      <c r="A25933" s="27"/>
    </row>
    <row r="25934" spans="1:1">
      <c r="A25934" s="27"/>
    </row>
    <row r="25935" spans="1:1">
      <c r="A25935" s="27"/>
    </row>
    <row r="25936" spans="1:1">
      <c r="A25936" s="27"/>
    </row>
    <row r="25937" spans="1:1">
      <c r="A25937" s="27"/>
    </row>
    <row r="25938" spans="1:1">
      <c r="A25938" s="27"/>
    </row>
    <row r="25939" spans="1:1">
      <c r="A25939" s="27"/>
    </row>
    <row r="25940" spans="1:1">
      <c r="A25940" s="27"/>
    </row>
    <row r="25941" spans="1:1">
      <c r="A25941" s="27"/>
    </row>
    <row r="25942" spans="1:1">
      <c r="A25942" s="27"/>
    </row>
    <row r="25943" spans="1:1">
      <c r="A25943" s="27"/>
    </row>
    <row r="25944" spans="1:1">
      <c r="A25944" s="27"/>
    </row>
    <row r="25945" spans="1:1">
      <c r="A25945" s="27"/>
    </row>
    <row r="25946" spans="1:1">
      <c r="A25946" s="27"/>
    </row>
    <row r="25947" spans="1:1">
      <c r="A25947" s="27"/>
    </row>
    <row r="25948" spans="1:1">
      <c r="A25948" s="27"/>
    </row>
    <row r="25949" spans="1:1">
      <c r="A25949" s="27"/>
    </row>
    <row r="25950" spans="1:1">
      <c r="A25950" s="27"/>
    </row>
    <row r="25951" spans="1:1">
      <c r="A25951" s="27"/>
    </row>
    <row r="25952" spans="1:1">
      <c r="A25952" s="27"/>
    </row>
    <row r="25953" spans="1:1">
      <c r="A25953" s="27"/>
    </row>
    <row r="25954" spans="1:1">
      <c r="A25954" s="27"/>
    </row>
    <row r="25955" spans="1:1">
      <c r="A25955" s="27"/>
    </row>
    <row r="25956" spans="1:1">
      <c r="A25956" s="27"/>
    </row>
    <row r="25957" spans="1:1">
      <c r="A25957" s="27"/>
    </row>
    <row r="25958" spans="1:1">
      <c r="A25958" s="27"/>
    </row>
    <row r="25959" spans="1:1">
      <c r="A25959" s="27"/>
    </row>
    <row r="25960" spans="1:1">
      <c r="A25960" s="27"/>
    </row>
    <row r="25961" spans="1:1">
      <c r="A25961" s="27"/>
    </row>
    <row r="25962" spans="1:1">
      <c r="A25962" s="27"/>
    </row>
    <row r="25963" spans="1:1">
      <c r="A25963" s="27"/>
    </row>
    <row r="25964" spans="1:1">
      <c r="A25964" s="27"/>
    </row>
    <row r="25965" spans="1:1">
      <c r="A25965" s="27"/>
    </row>
    <row r="25966" spans="1:1">
      <c r="A25966" s="27"/>
    </row>
    <row r="25967" spans="1:1">
      <c r="A25967" s="27"/>
    </row>
    <row r="25968" spans="1:1">
      <c r="A25968" s="27"/>
    </row>
    <row r="25969" spans="1:1">
      <c r="A25969" s="27"/>
    </row>
    <row r="25970" spans="1:1">
      <c r="A25970" s="27"/>
    </row>
    <row r="25971" spans="1:1">
      <c r="A25971" s="27"/>
    </row>
    <row r="25972" spans="1:1">
      <c r="A25972" s="27"/>
    </row>
    <row r="25973" spans="1:1">
      <c r="A25973" s="27"/>
    </row>
    <row r="25974" spans="1:1">
      <c r="A25974" s="27"/>
    </row>
    <row r="25975" spans="1:1">
      <c r="A25975" s="27"/>
    </row>
    <row r="25976" spans="1:1">
      <c r="A25976" s="27"/>
    </row>
    <row r="25977" spans="1:1">
      <c r="A25977" s="27"/>
    </row>
    <row r="25978" spans="1:1">
      <c r="A25978" s="27"/>
    </row>
    <row r="25979" spans="1:1">
      <c r="A25979" s="27"/>
    </row>
    <row r="25980" spans="1:1">
      <c r="A25980" s="27"/>
    </row>
    <row r="25981" spans="1:1">
      <c r="A25981" s="27"/>
    </row>
    <row r="25982" spans="1:1">
      <c r="A25982" s="27"/>
    </row>
    <row r="25983" spans="1:1">
      <c r="A25983" s="27"/>
    </row>
    <row r="25984" spans="1:1">
      <c r="A25984" s="27"/>
    </row>
    <row r="25985" spans="1:1">
      <c r="A25985" s="27"/>
    </row>
    <row r="25986" spans="1:1">
      <c r="A25986" s="27"/>
    </row>
    <row r="25987" spans="1:1">
      <c r="A25987" s="27"/>
    </row>
    <row r="25988" spans="1:1">
      <c r="A25988" s="27"/>
    </row>
    <row r="25989" spans="1:1">
      <c r="A25989" s="27"/>
    </row>
    <row r="25990" spans="1:1">
      <c r="A25990" s="27"/>
    </row>
    <row r="25991" spans="1:1">
      <c r="A25991" s="27"/>
    </row>
    <row r="25992" spans="1:1">
      <c r="A25992" s="27"/>
    </row>
    <row r="25993" spans="1:1">
      <c r="A25993" s="27"/>
    </row>
    <row r="25994" spans="1:1">
      <c r="A25994" s="27"/>
    </row>
    <row r="25995" spans="1:1">
      <c r="A25995" s="27"/>
    </row>
    <row r="25996" spans="1:1">
      <c r="A25996" s="27"/>
    </row>
    <row r="25997" spans="1:1">
      <c r="A25997" s="27"/>
    </row>
    <row r="25998" spans="1:1">
      <c r="A25998" s="27"/>
    </row>
    <row r="25999" spans="1:1">
      <c r="A25999" s="27"/>
    </row>
    <row r="26000" spans="1:1">
      <c r="A26000" s="27"/>
    </row>
    <row r="26001" spans="1:1">
      <c r="A26001" s="27"/>
    </row>
    <row r="26002" spans="1:1">
      <c r="A26002" s="27"/>
    </row>
    <row r="26003" spans="1:1">
      <c r="A26003" s="27"/>
    </row>
    <row r="26004" spans="1:1">
      <c r="A26004" s="27"/>
    </row>
    <row r="26005" spans="1:1">
      <c r="A26005" s="27"/>
    </row>
    <row r="26006" spans="1:1">
      <c r="A26006" s="27"/>
    </row>
    <row r="26007" spans="1:1">
      <c r="A26007" s="27"/>
    </row>
    <row r="26008" spans="1:1">
      <c r="A26008" s="27"/>
    </row>
    <row r="26009" spans="1:1">
      <c r="A26009" s="27"/>
    </row>
    <row r="26010" spans="1:1">
      <c r="A26010" s="27"/>
    </row>
    <row r="26011" spans="1:1">
      <c r="A26011" s="27"/>
    </row>
    <row r="26012" spans="1:1">
      <c r="A26012" s="27"/>
    </row>
    <row r="26013" spans="1:1">
      <c r="A26013" s="27"/>
    </row>
    <row r="26014" spans="1:1">
      <c r="A26014" s="27"/>
    </row>
    <row r="26015" spans="1:1">
      <c r="A26015" s="27"/>
    </row>
    <row r="26016" spans="1:1">
      <c r="A26016" s="27"/>
    </row>
    <row r="26017" spans="1:1">
      <c r="A26017" s="27"/>
    </row>
    <row r="26018" spans="1:1">
      <c r="A26018" s="27"/>
    </row>
    <row r="26019" spans="1:1">
      <c r="A26019" s="27"/>
    </row>
    <row r="26020" spans="1:1">
      <c r="A26020" s="27"/>
    </row>
    <row r="26021" spans="1:1">
      <c r="A26021" s="27"/>
    </row>
    <row r="26022" spans="1:1">
      <c r="A26022" s="27"/>
    </row>
    <row r="26023" spans="1:1">
      <c r="A26023" s="27"/>
    </row>
    <row r="26024" spans="1:1">
      <c r="A26024" s="27"/>
    </row>
    <row r="26025" spans="1:1">
      <c r="A26025" s="27"/>
    </row>
    <row r="26026" spans="1:1">
      <c r="A26026" s="27"/>
    </row>
    <row r="26027" spans="1:1">
      <c r="A26027" s="27"/>
    </row>
    <row r="26028" spans="1:1">
      <c r="A26028" s="27"/>
    </row>
    <row r="26029" spans="1:1">
      <c r="A26029" s="27"/>
    </row>
    <row r="26030" spans="1:1">
      <c r="A26030" s="27"/>
    </row>
    <row r="26031" spans="1:1">
      <c r="A26031" s="27"/>
    </row>
    <row r="26032" spans="1:1">
      <c r="A26032" s="27"/>
    </row>
    <row r="26033" spans="1:1">
      <c r="A26033" s="27"/>
    </row>
    <row r="26034" spans="1:1">
      <c r="A26034" s="27"/>
    </row>
    <row r="26035" spans="1:1">
      <c r="A26035" s="27"/>
    </row>
    <row r="26036" spans="1:1">
      <c r="A26036" s="27"/>
    </row>
    <row r="26037" spans="1:1">
      <c r="A26037" s="27"/>
    </row>
    <row r="26038" spans="1:1">
      <c r="A26038" s="27"/>
    </row>
    <row r="26039" spans="1:1">
      <c r="A26039" s="27"/>
    </row>
    <row r="26040" spans="1:1">
      <c r="A26040" s="27"/>
    </row>
    <row r="26041" spans="1:1">
      <c r="A26041" s="27"/>
    </row>
    <row r="26042" spans="1:1">
      <c r="A26042" s="27"/>
    </row>
    <row r="26043" spans="1:1">
      <c r="A26043" s="27"/>
    </row>
    <row r="26044" spans="1:1">
      <c r="A26044" s="27"/>
    </row>
    <row r="26045" spans="1:1">
      <c r="A26045" s="27"/>
    </row>
    <row r="26046" spans="1:1">
      <c r="A26046" s="27"/>
    </row>
    <row r="26047" spans="1:1">
      <c r="A26047" s="27"/>
    </row>
    <row r="26048" spans="1:1">
      <c r="A26048" s="27"/>
    </row>
    <row r="26049" spans="1:1">
      <c r="A26049" s="27"/>
    </row>
    <row r="26050" spans="1:1">
      <c r="A26050" s="27"/>
    </row>
    <row r="26051" spans="1:1">
      <c r="A26051" s="27"/>
    </row>
    <row r="26052" spans="1:1">
      <c r="A26052" s="27"/>
    </row>
    <row r="26053" spans="1:1">
      <c r="A26053" s="27"/>
    </row>
    <row r="26054" spans="1:1">
      <c r="A26054" s="27"/>
    </row>
    <row r="26055" spans="1:1">
      <c r="A26055" s="27"/>
    </row>
    <row r="26056" spans="1:1">
      <c r="A26056" s="27"/>
    </row>
    <row r="26057" spans="1:1">
      <c r="A26057" s="27"/>
    </row>
    <row r="26058" spans="1:1">
      <c r="A26058" s="27"/>
    </row>
    <row r="26059" spans="1:1">
      <c r="A26059" s="27"/>
    </row>
    <row r="26060" spans="1:1">
      <c r="A26060" s="27"/>
    </row>
    <row r="26061" spans="1:1">
      <c r="A26061" s="27"/>
    </row>
    <row r="26062" spans="1:1">
      <c r="A26062" s="27"/>
    </row>
    <row r="26063" spans="1:1">
      <c r="A26063" s="27"/>
    </row>
    <row r="26064" spans="1:1">
      <c r="A26064" s="27"/>
    </row>
    <row r="26065" spans="1:1">
      <c r="A26065" s="27"/>
    </row>
    <row r="26066" spans="1:1">
      <c r="A26066" s="27"/>
    </row>
    <row r="26067" spans="1:1">
      <c r="A26067" s="27"/>
    </row>
    <row r="26068" spans="1:1">
      <c r="A26068" s="27"/>
    </row>
    <row r="26069" spans="1:1">
      <c r="A26069" s="27"/>
    </row>
    <row r="26070" spans="1:1">
      <c r="A26070" s="27"/>
    </row>
    <row r="26071" spans="1:1">
      <c r="A26071" s="27"/>
    </row>
    <row r="26072" spans="1:1">
      <c r="A26072" s="27"/>
    </row>
    <row r="26073" spans="1:1">
      <c r="A26073" s="27"/>
    </row>
    <row r="26074" spans="1:1">
      <c r="A26074" s="27"/>
    </row>
    <row r="26075" spans="1:1">
      <c r="A26075" s="27"/>
    </row>
    <row r="26076" spans="1:1">
      <c r="A26076" s="27"/>
    </row>
    <row r="26077" spans="1:1">
      <c r="A26077" s="27"/>
    </row>
    <row r="26078" spans="1:1">
      <c r="A26078" s="27"/>
    </row>
    <row r="26079" spans="1:1">
      <c r="A26079" s="27"/>
    </row>
    <row r="26080" spans="1:1">
      <c r="A26080" s="27"/>
    </row>
    <row r="26081" spans="1:1">
      <c r="A26081" s="27"/>
    </row>
    <row r="26082" spans="1:1">
      <c r="A26082" s="27"/>
    </row>
    <row r="26083" spans="1:1">
      <c r="A26083" s="27"/>
    </row>
    <row r="26084" spans="1:1">
      <c r="A26084" s="27"/>
    </row>
    <row r="26085" spans="1:1">
      <c r="A26085" s="27"/>
    </row>
    <row r="26086" spans="1:1">
      <c r="A26086" s="27"/>
    </row>
    <row r="26087" spans="1:1">
      <c r="A26087" s="27"/>
    </row>
    <row r="26088" spans="1:1">
      <c r="A26088" s="27"/>
    </row>
    <row r="26089" spans="1:1">
      <c r="A26089" s="27"/>
    </row>
    <row r="26090" spans="1:1">
      <c r="A26090" s="27"/>
    </row>
    <row r="26091" spans="1:1">
      <c r="A26091" s="27"/>
    </row>
    <row r="26092" spans="1:1">
      <c r="A26092" s="27"/>
    </row>
    <row r="26093" spans="1:1">
      <c r="A26093" s="27"/>
    </row>
    <row r="26094" spans="1:1">
      <c r="A26094" s="27"/>
    </row>
    <row r="26095" spans="1:1">
      <c r="A26095" s="27"/>
    </row>
    <row r="26096" spans="1:1">
      <c r="A26096" s="27"/>
    </row>
    <row r="26097" spans="1:1">
      <c r="A26097" s="27"/>
    </row>
    <row r="26098" spans="1:1">
      <c r="A26098" s="27"/>
    </row>
    <row r="26099" spans="1:1">
      <c r="A26099" s="27"/>
    </row>
    <row r="26100" spans="1:1">
      <c r="A26100" s="27"/>
    </row>
    <row r="26101" spans="1:1">
      <c r="A26101" s="27"/>
    </row>
    <row r="26102" spans="1:1">
      <c r="A26102" s="27"/>
    </row>
    <row r="26103" spans="1:1">
      <c r="A26103" s="27"/>
    </row>
    <row r="26104" spans="1:1">
      <c r="A26104" s="27"/>
    </row>
    <row r="26105" spans="1:1">
      <c r="A26105" s="27"/>
    </row>
    <row r="26106" spans="1:1">
      <c r="A26106" s="27"/>
    </row>
    <row r="26107" spans="1:1">
      <c r="A26107" s="27"/>
    </row>
    <row r="26108" spans="1:1">
      <c r="A26108" s="27"/>
    </row>
    <row r="26109" spans="1:1">
      <c r="A26109" s="27"/>
    </row>
    <row r="26110" spans="1:1">
      <c r="A26110" s="27"/>
    </row>
    <row r="26111" spans="1:1">
      <c r="A26111" s="27"/>
    </row>
    <row r="26112" spans="1:1">
      <c r="A26112" s="27"/>
    </row>
    <row r="26113" spans="1:1">
      <c r="A26113" s="27"/>
    </row>
    <row r="26114" spans="1:1">
      <c r="A26114" s="27"/>
    </row>
    <row r="26115" spans="1:1">
      <c r="A26115" s="27"/>
    </row>
    <row r="26116" spans="1:1">
      <c r="A26116" s="27"/>
    </row>
    <row r="26117" spans="1:1">
      <c r="A26117" s="27"/>
    </row>
    <row r="26118" spans="1:1">
      <c r="A26118" s="27"/>
    </row>
    <row r="26119" spans="1:1">
      <c r="A26119" s="27"/>
    </row>
    <row r="26120" spans="1:1">
      <c r="A26120" s="27"/>
    </row>
    <row r="26121" spans="1:1">
      <c r="A26121" s="27"/>
    </row>
    <row r="26122" spans="1:1">
      <c r="A26122" s="27"/>
    </row>
    <row r="26123" spans="1:1">
      <c r="A26123" s="27"/>
    </row>
    <row r="26124" spans="1:1">
      <c r="A26124" s="27"/>
    </row>
    <row r="26125" spans="1:1">
      <c r="A26125" s="27"/>
    </row>
    <row r="26126" spans="1:1">
      <c r="A26126" s="27"/>
    </row>
    <row r="26127" spans="1:1">
      <c r="A26127" s="27"/>
    </row>
    <row r="26128" spans="1:1">
      <c r="A26128" s="27"/>
    </row>
    <row r="26129" spans="1:1">
      <c r="A26129" s="27"/>
    </row>
    <row r="26130" spans="1:1">
      <c r="A26130" s="27"/>
    </row>
    <row r="26131" spans="1:1">
      <c r="A26131" s="27"/>
    </row>
    <row r="26132" spans="1:1">
      <c r="A26132" s="27"/>
    </row>
    <row r="26133" spans="1:1">
      <c r="A26133" s="27"/>
    </row>
    <row r="26134" spans="1:1">
      <c r="A26134" s="27"/>
    </row>
    <row r="26135" spans="1:1">
      <c r="A26135" s="27"/>
    </row>
    <row r="26136" spans="1:1">
      <c r="A26136" s="27"/>
    </row>
    <row r="26137" spans="1:1">
      <c r="A26137" s="27"/>
    </row>
    <row r="26138" spans="1:1">
      <c r="A26138" s="27"/>
    </row>
    <row r="26139" spans="1:1">
      <c r="A26139" s="27"/>
    </row>
    <row r="26140" spans="1:1">
      <c r="A26140" s="27"/>
    </row>
    <row r="26141" spans="1:1">
      <c r="A26141" s="27"/>
    </row>
    <row r="26142" spans="1:1">
      <c r="A26142" s="27"/>
    </row>
    <row r="26143" spans="1:1">
      <c r="A26143" s="27"/>
    </row>
    <row r="26144" spans="1:1">
      <c r="A26144" s="27"/>
    </row>
    <row r="26145" spans="1:1">
      <c r="A26145" s="27"/>
    </row>
    <row r="26146" spans="1:1">
      <c r="A26146" s="27"/>
    </row>
    <row r="26147" spans="1:1">
      <c r="A26147" s="27"/>
    </row>
    <row r="26148" spans="1:1">
      <c r="A26148" s="27"/>
    </row>
    <row r="26149" spans="1:1">
      <c r="A26149" s="27"/>
    </row>
    <row r="26150" spans="1:1">
      <c r="A26150" s="27"/>
    </row>
    <row r="26151" spans="1:1">
      <c r="A26151" s="27"/>
    </row>
    <row r="26152" spans="1:1">
      <c r="A26152" s="27"/>
    </row>
    <row r="26153" spans="1:1">
      <c r="A26153" s="27"/>
    </row>
    <row r="26154" spans="1:1">
      <c r="A26154" s="27"/>
    </row>
    <row r="26155" spans="1:1">
      <c r="A26155" s="27"/>
    </row>
    <row r="26156" spans="1:1">
      <c r="A26156" s="27"/>
    </row>
    <row r="26157" spans="1:1">
      <c r="A26157" s="27"/>
    </row>
    <row r="26158" spans="1:1">
      <c r="A26158" s="27"/>
    </row>
    <row r="26159" spans="1:1">
      <c r="A26159" s="27"/>
    </row>
    <row r="26160" spans="1:1">
      <c r="A26160" s="27"/>
    </row>
    <row r="26161" spans="1:1">
      <c r="A26161" s="27"/>
    </row>
    <row r="26162" spans="1:1">
      <c r="A26162" s="27"/>
    </row>
    <row r="26163" spans="1:1">
      <c r="A26163" s="27"/>
    </row>
    <row r="26164" spans="1:1">
      <c r="A26164" s="27"/>
    </row>
    <row r="26165" spans="1:1">
      <c r="A26165" s="27"/>
    </row>
    <row r="26166" spans="1:1">
      <c r="A26166" s="27"/>
    </row>
    <row r="26167" spans="1:1">
      <c r="A26167" s="27"/>
    </row>
    <row r="26168" spans="1:1">
      <c r="A26168" s="27"/>
    </row>
    <row r="26169" spans="1:1">
      <c r="A26169" s="27"/>
    </row>
    <row r="26170" spans="1:1">
      <c r="A26170" s="27"/>
    </row>
    <row r="26171" spans="1:1">
      <c r="A26171" s="27"/>
    </row>
    <row r="26172" spans="1:1">
      <c r="A26172" s="27"/>
    </row>
    <row r="26173" spans="1:1">
      <c r="A26173" s="27"/>
    </row>
    <row r="26174" spans="1:1">
      <c r="A26174" s="27"/>
    </row>
    <row r="26175" spans="1:1">
      <c r="A26175" s="27"/>
    </row>
    <row r="26176" spans="1:1">
      <c r="A26176" s="27"/>
    </row>
    <row r="26177" spans="1:1">
      <c r="A26177" s="27"/>
    </row>
    <row r="26178" spans="1:1">
      <c r="A26178" s="27"/>
    </row>
    <row r="26179" spans="1:1">
      <c r="A26179" s="27"/>
    </row>
    <row r="26180" spans="1:1">
      <c r="A26180" s="27"/>
    </row>
    <row r="26181" spans="1:1">
      <c r="A26181" s="27"/>
    </row>
    <row r="26182" spans="1:1">
      <c r="A26182" s="27"/>
    </row>
    <row r="26183" spans="1:1">
      <c r="A26183" s="27"/>
    </row>
    <row r="26184" spans="1:1">
      <c r="A26184" s="27"/>
    </row>
    <row r="26185" spans="1:1">
      <c r="A26185" s="27"/>
    </row>
    <row r="26186" spans="1:1">
      <c r="A26186" s="27"/>
    </row>
    <row r="26187" spans="1:1">
      <c r="A26187" s="27"/>
    </row>
    <row r="26188" spans="1:1">
      <c r="A26188" s="27"/>
    </row>
    <row r="26189" spans="1:1">
      <c r="A26189" s="27"/>
    </row>
    <row r="26190" spans="1:1">
      <c r="A26190" s="27"/>
    </row>
    <row r="26191" spans="1:1">
      <c r="A26191" s="27"/>
    </row>
    <row r="26192" spans="1:1">
      <c r="A26192" s="27"/>
    </row>
    <row r="26193" spans="1:1">
      <c r="A26193" s="27"/>
    </row>
    <row r="26194" spans="1:1">
      <c r="A26194" s="27"/>
    </row>
    <row r="26195" spans="1:1">
      <c r="A26195" s="27"/>
    </row>
    <row r="26196" spans="1:1">
      <c r="A26196" s="27"/>
    </row>
    <row r="26197" spans="1:1">
      <c r="A26197" s="27"/>
    </row>
    <row r="26198" spans="1:1">
      <c r="A26198" s="27"/>
    </row>
    <row r="26199" spans="1:1">
      <c r="A26199" s="27"/>
    </row>
    <row r="26200" spans="1:1">
      <c r="A26200" s="27"/>
    </row>
    <row r="26201" spans="1:1">
      <c r="A26201" s="27"/>
    </row>
    <row r="26202" spans="1:1">
      <c r="A26202" s="27"/>
    </row>
    <row r="26203" spans="1:1">
      <c r="A26203" s="27"/>
    </row>
    <row r="26204" spans="1:1">
      <c r="A26204" s="27"/>
    </row>
    <row r="26205" spans="1:1">
      <c r="A26205" s="27"/>
    </row>
    <row r="26206" spans="1:1">
      <c r="A26206" s="27"/>
    </row>
    <row r="26207" spans="1:1">
      <c r="A26207" s="27"/>
    </row>
    <row r="26208" spans="1:1">
      <c r="A26208" s="27"/>
    </row>
    <row r="26209" spans="1:1">
      <c r="A26209" s="27"/>
    </row>
    <row r="26210" spans="1:1">
      <c r="A26210" s="27"/>
    </row>
    <row r="26211" spans="1:1">
      <c r="A26211" s="27"/>
    </row>
    <row r="26212" spans="1:1">
      <c r="A26212" s="27"/>
    </row>
    <row r="26213" spans="1:1">
      <c r="A26213" s="27"/>
    </row>
    <row r="26214" spans="1:1">
      <c r="A26214" s="27"/>
    </row>
    <row r="26215" spans="1:1">
      <c r="A26215" s="27"/>
    </row>
    <row r="26216" spans="1:1">
      <c r="A26216" s="27"/>
    </row>
    <row r="26217" spans="1:1">
      <c r="A26217" s="27"/>
    </row>
    <row r="26218" spans="1:1">
      <c r="A26218" s="27"/>
    </row>
    <row r="26219" spans="1:1">
      <c r="A26219" s="27"/>
    </row>
    <row r="26220" spans="1:1">
      <c r="A26220" s="27"/>
    </row>
    <row r="26221" spans="1:1">
      <c r="A26221" s="27"/>
    </row>
    <row r="26222" spans="1:1">
      <c r="A26222" s="27"/>
    </row>
    <row r="26223" spans="1:1">
      <c r="A26223" s="27"/>
    </row>
    <row r="26224" spans="1:1">
      <c r="A26224" s="27"/>
    </row>
    <row r="26225" spans="1:1">
      <c r="A26225" s="27"/>
    </row>
    <row r="26226" spans="1:1">
      <c r="A26226" s="27"/>
    </row>
    <row r="26227" spans="1:1">
      <c r="A26227" s="27"/>
    </row>
    <row r="26228" spans="1:1">
      <c r="A26228" s="27"/>
    </row>
    <row r="26229" spans="1:1">
      <c r="A26229" s="27"/>
    </row>
    <row r="26230" spans="1:1">
      <c r="A26230" s="27"/>
    </row>
    <row r="26231" spans="1:1">
      <c r="A26231" s="27"/>
    </row>
    <row r="26232" spans="1:1">
      <c r="A26232" s="27"/>
    </row>
    <row r="26233" spans="1:1">
      <c r="A26233" s="27"/>
    </row>
    <row r="26234" spans="1:1">
      <c r="A26234" s="27"/>
    </row>
    <row r="26235" spans="1:1">
      <c r="A26235" s="27"/>
    </row>
    <row r="26236" spans="1:1">
      <c r="A26236" s="27"/>
    </row>
    <row r="26237" spans="1:1">
      <c r="A26237" s="27"/>
    </row>
    <row r="26238" spans="1:1">
      <c r="A26238" s="27"/>
    </row>
    <row r="26239" spans="1:1">
      <c r="A26239" s="27"/>
    </row>
    <row r="26240" spans="1:1">
      <c r="A26240" s="27"/>
    </row>
    <row r="26241" spans="1:1">
      <c r="A26241" s="27"/>
    </row>
    <row r="26242" spans="1:1">
      <c r="A26242" s="27"/>
    </row>
    <row r="26243" spans="1:1">
      <c r="A26243" s="27"/>
    </row>
    <row r="26244" spans="1:1">
      <c r="A26244" s="27"/>
    </row>
    <row r="26245" spans="1:1">
      <c r="A26245" s="27"/>
    </row>
    <row r="26246" spans="1:1">
      <c r="A26246" s="27"/>
    </row>
    <row r="26247" spans="1:1">
      <c r="A26247" s="27"/>
    </row>
    <row r="26248" spans="1:1">
      <c r="A26248" s="27"/>
    </row>
    <row r="26249" spans="1:1">
      <c r="A26249" s="27"/>
    </row>
    <row r="26250" spans="1:1">
      <c r="A26250" s="27"/>
    </row>
    <row r="26251" spans="1:1">
      <c r="A26251" s="27"/>
    </row>
    <row r="26252" spans="1:1">
      <c r="A26252" s="27"/>
    </row>
    <row r="26253" spans="1:1">
      <c r="A26253" s="27"/>
    </row>
    <row r="26254" spans="1:1">
      <c r="A26254" s="27"/>
    </row>
    <row r="26255" spans="1:1">
      <c r="A26255" s="27"/>
    </row>
    <row r="26256" spans="1:1">
      <c r="A26256" s="27"/>
    </row>
    <row r="26257" spans="1:1">
      <c r="A26257" s="27"/>
    </row>
    <row r="26258" spans="1:1">
      <c r="A26258" s="27"/>
    </row>
    <row r="26259" spans="1:1">
      <c r="A26259" s="27"/>
    </row>
    <row r="26260" spans="1:1">
      <c r="A26260" s="27"/>
    </row>
    <row r="26261" spans="1:1">
      <c r="A26261" s="27"/>
    </row>
    <row r="26262" spans="1:1">
      <c r="A26262" s="27"/>
    </row>
    <row r="26263" spans="1:1">
      <c r="A26263" s="27"/>
    </row>
    <row r="26264" spans="1:1">
      <c r="A26264" s="27"/>
    </row>
    <row r="26265" spans="1:1">
      <c r="A26265" s="27"/>
    </row>
    <row r="26266" spans="1:1">
      <c r="A26266" s="27"/>
    </row>
    <row r="26267" spans="1:1">
      <c r="A26267" s="27"/>
    </row>
    <row r="26268" spans="1:1">
      <c r="A26268" s="27"/>
    </row>
    <row r="26269" spans="1:1">
      <c r="A26269" s="27"/>
    </row>
    <row r="26270" spans="1:1">
      <c r="A26270" s="27"/>
    </row>
    <row r="26271" spans="1:1">
      <c r="A26271" s="27"/>
    </row>
    <row r="26272" spans="1:1">
      <c r="A26272" s="27"/>
    </row>
    <row r="26273" spans="1:1">
      <c r="A26273" s="27"/>
    </row>
    <row r="26274" spans="1:1">
      <c r="A26274" s="27"/>
    </row>
    <row r="26275" spans="1:1">
      <c r="A26275" s="27"/>
    </row>
    <row r="26276" spans="1:1">
      <c r="A26276" s="27"/>
    </row>
    <row r="26277" spans="1:1">
      <c r="A26277" s="27"/>
    </row>
    <row r="26278" spans="1:1">
      <c r="A26278" s="27"/>
    </row>
    <row r="26279" spans="1:1">
      <c r="A26279" s="27"/>
    </row>
    <row r="26280" spans="1:1">
      <c r="A26280" s="27"/>
    </row>
    <row r="26281" spans="1:1">
      <c r="A26281" s="27"/>
    </row>
    <row r="26282" spans="1:1">
      <c r="A26282" s="27"/>
    </row>
    <row r="26283" spans="1:1">
      <c r="A26283" s="27"/>
    </row>
    <row r="26284" spans="1:1">
      <c r="A26284" s="27"/>
    </row>
    <row r="26285" spans="1:1">
      <c r="A26285" s="27"/>
    </row>
    <row r="26286" spans="1:1">
      <c r="A26286" s="27"/>
    </row>
    <row r="26287" spans="1:1">
      <c r="A26287" s="27"/>
    </row>
    <row r="26288" spans="1:1">
      <c r="A26288" s="27"/>
    </row>
    <row r="26289" spans="1:1">
      <c r="A26289" s="27"/>
    </row>
    <row r="26290" spans="1:1">
      <c r="A26290" s="27"/>
    </row>
    <row r="26291" spans="1:1">
      <c r="A26291" s="27"/>
    </row>
    <row r="26292" spans="1:1">
      <c r="A26292" s="27"/>
    </row>
    <row r="26293" spans="1:1">
      <c r="A26293" s="27"/>
    </row>
    <row r="26294" spans="1:1">
      <c r="A26294" s="27"/>
    </row>
    <row r="26295" spans="1:1">
      <c r="A26295" s="27"/>
    </row>
    <row r="26296" spans="1:1">
      <c r="A26296" s="27"/>
    </row>
    <row r="26297" spans="1:1">
      <c r="A26297" s="27"/>
    </row>
    <row r="26298" spans="1:1">
      <c r="A26298" s="27"/>
    </row>
    <row r="26299" spans="1:1">
      <c r="A26299" s="27"/>
    </row>
    <row r="26300" spans="1:1">
      <c r="A26300" s="27"/>
    </row>
    <row r="26301" spans="1:1">
      <c r="A26301" s="27"/>
    </row>
    <row r="26302" spans="1:1">
      <c r="A26302" s="27"/>
    </row>
    <row r="26303" spans="1:1">
      <c r="A26303" s="27"/>
    </row>
    <row r="26304" spans="1:1">
      <c r="A26304" s="27"/>
    </row>
    <row r="26305" spans="1:1">
      <c r="A26305" s="27"/>
    </row>
    <row r="26306" spans="1:1">
      <c r="A26306" s="27"/>
    </row>
    <row r="26307" spans="1:1">
      <c r="A26307" s="27"/>
    </row>
    <row r="26308" spans="1:1">
      <c r="A26308" s="27"/>
    </row>
    <row r="26309" spans="1:1">
      <c r="A26309" s="27"/>
    </row>
    <row r="26310" spans="1:1">
      <c r="A26310" s="27"/>
    </row>
    <row r="26311" spans="1:1">
      <c r="A26311" s="27"/>
    </row>
    <row r="26312" spans="1:1">
      <c r="A26312" s="27"/>
    </row>
    <row r="26313" spans="1:1">
      <c r="A26313" s="27"/>
    </row>
    <row r="26314" spans="1:1">
      <c r="A26314" s="27"/>
    </row>
    <row r="26315" spans="1:1">
      <c r="A26315" s="27"/>
    </row>
    <row r="26316" spans="1:1">
      <c r="A26316" s="27"/>
    </row>
    <row r="26317" spans="1:1">
      <c r="A26317" s="27"/>
    </row>
    <row r="26318" spans="1:1">
      <c r="A26318" s="27"/>
    </row>
    <row r="26319" spans="1:1">
      <c r="A26319" s="27"/>
    </row>
    <row r="26320" spans="1:1">
      <c r="A26320" s="27"/>
    </row>
    <row r="26321" spans="1:1">
      <c r="A26321" s="27"/>
    </row>
    <row r="26322" spans="1:1">
      <c r="A26322" s="27"/>
    </row>
    <row r="26323" spans="1:1">
      <c r="A26323" s="27"/>
    </row>
    <row r="26324" spans="1:1">
      <c r="A26324" s="27"/>
    </row>
    <row r="26325" spans="1:1">
      <c r="A26325" s="27"/>
    </row>
    <row r="26326" spans="1:1">
      <c r="A26326" s="27"/>
    </row>
    <row r="26327" spans="1:1">
      <c r="A26327" s="27"/>
    </row>
    <row r="26328" spans="1:1">
      <c r="A26328" s="27"/>
    </row>
    <row r="26329" spans="1:1">
      <c r="A26329" s="27"/>
    </row>
    <row r="26330" spans="1:1">
      <c r="A26330" s="27"/>
    </row>
    <row r="26331" spans="1:1">
      <c r="A26331" s="27"/>
    </row>
    <row r="26332" spans="1:1">
      <c r="A26332" s="27"/>
    </row>
    <row r="26333" spans="1:1">
      <c r="A26333" s="27"/>
    </row>
    <row r="26334" spans="1:1">
      <c r="A26334" s="27"/>
    </row>
    <row r="26335" spans="1:1">
      <c r="A26335" s="27"/>
    </row>
    <row r="26336" spans="1:1">
      <c r="A26336" s="27"/>
    </row>
    <row r="26337" spans="1:1">
      <c r="A26337" s="27"/>
    </row>
    <row r="26338" spans="1:1">
      <c r="A26338" s="27"/>
    </row>
    <row r="26339" spans="1:1">
      <c r="A26339" s="27"/>
    </row>
    <row r="26340" spans="1:1">
      <c r="A26340" s="27"/>
    </row>
    <row r="26341" spans="1:1">
      <c r="A26341" s="27"/>
    </row>
    <row r="26342" spans="1:1">
      <c r="A26342" s="27"/>
    </row>
    <row r="26343" spans="1:1">
      <c r="A26343" s="27"/>
    </row>
    <row r="26344" spans="1:1">
      <c r="A26344" s="27"/>
    </row>
    <row r="26345" spans="1:1">
      <c r="A26345" s="27"/>
    </row>
    <row r="26346" spans="1:1">
      <c r="A26346" s="27"/>
    </row>
    <row r="26347" spans="1:1">
      <c r="A26347" s="27"/>
    </row>
    <row r="26348" spans="1:1">
      <c r="A26348" s="27"/>
    </row>
    <row r="26349" spans="1:1">
      <c r="A26349" s="27"/>
    </row>
    <row r="26350" spans="1:1">
      <c r="A26350" s="27"/>
    </row>
    <row r="26351" spans="1:1">
      <c r="A26351" s="27"/>
    </row>
    <row r="26352" spans="1:1">
      <c r="A26352" s="27"/>
    </row>
    <row r="26353" spans="1:1">
      <c r="A26353" s="27"/>
    </row>
    <row r="26354" spans="1:1">
      <c r="A26354" s="27"/>
    </row>
    <row r="26355" spans="1:1">
      <c r="A26355" s="27"/>
    </row>
    <row r="26356" spans="1:1">
      <c r="A26356" s="27"/>
    </row>
    <row r="26357" spans="1:1">
      <c r="A26357" s="27"/>
    </row>
    <row r="26358" spans="1:1">
      <c r="A26358" s="27"/>
    </row>
    <row r="26359" spans="1:1">
      <c r="A26359" s="27"/>
    </row>
    <row r="26360" spans="1:1">
      <c r="A26360" s="27"/>
    </row>
    <row r="26361" spans="1:1">
      <c r="A26361" s="27"/>
    </row>
    <row r="26362" spans="1:1">
      <c r="A26362" s="27"/>
    </row>
    <row r="26363" spans="1:1">
      <c r="A26363" s="27"/>
    </row>
    <row r="26364" spans="1:1">
      <c r="A26364" s="27"/>
    </row>
    <row r="26365" spans="1:1">
      <c r="A26365" s="27"/>
    </row>
    <row r="26366" spans="1:1">
      <c r="A26366" s="27"/>
    </row>
    <row r="26367" spans="1:1">
      <c r="A26367" s="27"/>
    </row>
    <row r="26368" spans="1:1">
      <c r="A26368" s="27"/>
    </row>
    <row r="26369" spans="1:1">
      <c r="A26369" s="27"/>
    </row>
    <row r="26370" spans="1:1">
      <c r="A26370" s="27"/>
    </row>
    <row r="26371" spans="1:1">
      <c r="A26371" s="27"/>
    </row>
    <row r="26372" spans="1:1">
      <c r="A26372" s="27"/>
    </row>
    <row r="26373" spans="1:1">
      <c r="A26373" s="27"/>
    </row>
    <row r="26374" spans="1:1">
      <c r="A26374" s="27"/>
    </row>
    <row r="26375" spans="1:1">
      <c r="A26375" s="27"/>
    </row>
    <row r="26376" spans="1:1">
      <c r="A26376" s="27"/>
    </row>
    <row r="26377" spans="1:1">
      <c r="A26377" s="27"/>
    </row>
    <row r="26378" spans="1:1">
      <c r="A26378" s="27"/>
    </row>
    <row r="26379" spans="1:1">
      <c r="A26379" s="27"/>
    </row>
    <row r="26380" spans="1:1">
      <c r="A26380" s="27"/>
    </row>
    <row r="26381" spans="1:1">
      <c r="A26381" s="27"/>
    </row>
    <row r="26382" spans="1:1">
      <c r="A26382" s="27"/>
    </row>
    <row r="26383" spans="1:1">
      <c r="A26383" s="27"/>
    </row>
    <row r="26384" spans="1:1">
      <c r="A26384" s="27"/>
    </row>
    <row r="26385" spans="1:1">
      <c r="A26385" s="27"/>
    </row>
    <row r="26386" spans="1:1">
      <c r="A26386" s="27"/>
    </row>
    <row r="26387" spans="1:1">
      <c r="A26387" s="27"/>
    </row>
    <row r="26388" spans="1:1">
      <c r="A26388" s="27"/>
    </row>
    <row r="26389" spans="1:1">
      <c r="A26389" s="27"/>
    </row>
    <row r="26390" spans="1:1">
      <c r="A26390" s="27"/>
    </row>
    <row r="26391" spans="1:1">
      <c r="A26391" s="27"/>
    </row>
    <row r="26392" spans="1:1">
      <c r="A26392" s="27"/>
    </row>
    <row r="26393" spans="1:1">
      <c r="A26393" s="27"/>
    </row>
    <row r="26394" spans="1:1">
      <c r="A26394" s="27"/>
    </row>
    <row r="26395" spans="1:1">
      <c r="A26395" s="27"/>
    </row>
    <row r="26396" spans="1:1">
      <c r="A26396" s="27"/>
    </row>
    <row r="26397" spans="1:1">
      <c r="A26397" s="27"/>
    </row>
    <row r="26398" spans="1:1">
      <c r="A26398" s="27"/>
    </row>
    <row r="26399" spans="1:1">
      <c r="A26399" s="27"/>
    </row>
    <row r="26400" spans="1:1">
      <c r="A26400" s="27"/>
    </row>
    <row r="26401" spans="1:1">
      <c r="A26401" s="27"/>
    </row>
    <row r="26402" spans="1:1">
      <c r="A26402" s="27"/>
    </row>
    <row r="26403" spans="1:1">
      <c r="A26403" s="27"/>
    </row>
    <row r="26404" spans="1:1">
      <c r="A26404" s="27"/>
    </row>
    <row r="26405" spans="1:1">
      <c r="A26405" s="27"/>
    </row>
    <row r="26406" spans="1:1">
      <c r="A26406" s="27"/>
    </row>
    <row r="26407" spans="1:1">
      <c r="A26407" s="27"/>
    </row>
    <row r="26408" spans="1:1">
      <c r="A26408" s="27"/>
    </row>
    <row r="26409" spans="1:1">
      <c r="A26409" s="27"/>
    </row>
    <row r="26410" spans="1:1">
      <c r="A26410" s="27"/>
    </row>
    <row r="26411" spans="1:1">
      <c r="A26411" s="27"/>
    </row>
    <row r="26412" spans="1:1">
      <c r="A26412" s="27"/>
    </row>
    <row r="26413" spans="1:1">
      <c r="A26413" s="27"/>
    </row>
    <row r="26414" spans="1:1">
      <c r="A26414" s="27"/>
    </row>
    <row r="26415" spans="1:1">
      <c r="A26415" s="27"/>
    </row>
    <row r="26416" spans="1:1">
      <c r="A26416" s="27"/>
    </row>
    <row r="26417" spans="1:1">
      <c r="A26417" s="27"/>
    </row>
    <row r="26418" spans="1:1">
      <c r="A26418" s="27"/>
    </row>
    <row r="26419" spans="1:1">
      <c r="A26419" s="27"/>
    </row>
    <row r="26420" spans="1:1">
      <c r="A26420" s="27"/>
    </row>
    <row r="26421" spans="1:1">
      <c r="A26421" s="27"/>
    </row>
    <row r="26422" spans="1:1">
      <c r="A26422" s="27"/>
    </row>
    <row r="26423" spans="1:1">
      <c r="A26423" s="27"/>
    </row>
    <row r="26424" spans="1:1">
      <c r="A26424" s="27"/>
    </row>
    <row r="26425" spans="1:1">
      <c r="A26425" s="27"/>
    </row>
    <row r="26426" spans="1:1">
      <c r="A26426" s="27"/>
    </row>
    <row r="26427" spans="1:1">
      <c r="A26427" s="27"/>
    </row>
    <row r="26428" spans="1:1">
      <c r="A26428" s="27"/>
    </row>
    <row r="26429" spans="1:1">
      <c r="A26429" s="27"/>
    </row>
    <row r="26430" spans="1:1">
      <c r="A26430" s="27"/>
    </row>
    <row r="26431" spans="1:1">
      <c r="A26431" s="27"/>
    </row>
    <row r="26432" spans="1:1">
      <c r="A26432" s="27"/>
    </row>
    <row r="26433" spans="1:1">
      <c r="A26433" s="27"/>
    </row>
    <row r="26434" spans="1:1">
      <c r="A26434" s="27"/>
    </row>
    <row r="26435" spans="1:1">
      <c r="A26435" s="27"/>
    </row>
    <row r="26436" spans="1:1">
      <c r="A26436" s="27"/>
    </row>
    <row r="26437" spans="1:1">
      <c r="A26437" s="27"/>
    </row>
    <row r="26438" spans="1:1">
      <c r="A26438" s="27"/>
    </row>
    <row r="26439" spans="1:1">
      <c r="A26439" s="27"/>
    </row>
    <row r="26440" spans="1:1">
      <c r="A26440" s="27"/>
    </row>
    <row r="26441" spans="1:1">
      <c r="A26441" s="27"/>
    </row>
    <row r="26442" spans="1:1">
      <c r="A26442" s="27"/>
    </row>
    <row r="26443" spans="1:1">
      <c r="A26443" s="27"/>
    </row>
    <row r="26444" spans="1:1">
      <c r="A26444" s="27"/>
    </row>
    <row r="26445" spans="1:1">
      <c r="A26445" s="27"/>
    </row>
    <row r="26446" spans="1:1">
      <c r="A26446" s="27"/>
    </row>
    <row r="26447" spans="1:1">
      <c r="A26447" s="27"/>
    </row>
    <row r="26448" spans="1:1">
      <c r="A26448" s="27"/>
    </row>
    <row r="26449" spans="1:1">
      <c r="A26449" s="27"/>
    </row>
    <row r="26450" spans="1:1">
      <c r="A26450" s="27"/>
    </row>
    <row r="26451" spans="1:1">
      <c r="A26451" s="27"/>
    </row>
    <row r="26452" spans="1:1">
      <c r="A26452" s="27"/>
    </row>
    <row r="26453" spans="1:1">
      <c r="A26453" s="27"/>
    </row>
    <row r="26454" spans="1:1">
      <c r="A26454" s="27"/>
    </row>
    <row r="26455" spans="1:1">
      <c r="A26455" s="27"/>
    </row>
    <row r="26456" spans="1:1">
      <c r="A26456" s="27"/>
    </row>
    <row r="26457" spans="1:1">
      <c r="A26457" s="27"/>
    </row>
    <row r="26458" spans="1:1">
      <c r="A26458" s="27"/>
    </row>
    <row r="26459" spans="1:1">
      <c r="A26459" s="27"/>
    </row>
    <row r="26460" spans="1:1">
      <c r="A26460" s="27"/>
    </row>
    <row r="26461" spans="1:1">
      <c r="A26461" s="27"/>
    </row>
    <row r="26462" spans="1:1">
      <c r="A26462" s="27"/>
    </row>
    <row r="26463" spans="1:1">
      <c r="A26463" s="27"/>
    </row>
    <row r="26464" spans="1:1">
      <c r="A26464" s="27"/>
    </row>
    <row r="26465" spans="1:1">
      <c r="A26465" s="27"/>
    </row>
    <row r="26466" spans="1:1">
      <c r="A26466" s="27"/>
    </row>
    <row r="26467" spans="1:1">
      <c r="A26467" s="27"/>
    </row>
    <row r="26468" spans="1:1">
      <c r="A26468" s="27"/>
    </row>
    <row r="26469" spans="1:1">
      <c r="A26469" s="27"/>
    </row>
    <row r="26470" spans="1:1">
      <c r="A26470" s="27"/>
    </row>
    <row r="26471" spans="1:1">
      <c r="A26471" s="27"/>
    </row>
    <row r="26472" spans="1:1">
      <c r="A26472" s="27"/>
    </row>
    <row r="26473" spans="1:1">
      <c r="A26473" s="27"/>
    </row>
    <row r="26474" spans="1:1">
      <c r="A26474" s="27"/>
    </row>
    <row r="26475" spans="1:1">
      <c r="A26475" s="27"/>
    </row>
    <row r="26476" spans="1:1">
      <c r="A26476" s="27"/>
    </row>
    <row r="26477" spans="1:1">
      <c r="A26477" s="27"/>
    </row>
    <row r="26478" spans="1:1">
      <c r="A26478" s="27"/>
    </row>
    <row r="26479" spans="1:1">
      <c r="A26479" s="27"/>
    </row>
    <row r="26480" spans="1:1">
      <c r="A26480" s="27"/>
    </row>
    <row r="26481" spans="1:1">
      <c r="A26481" s="27"/>
    </row>
    <row r="26482" spans="1:1">
      <c r="A26482" s="27"/>
    </row>
    <row r="26483" spans="1:1">
      <c r="A26483" s="27"/>
    </row>
    <row r="26484" spans="1:1">
      <c r="A26484" s="27"/>
    </row>
    <row r="26485" spans="1:1">
      <c r="A26485" s="27"/>
    </row>
    <row r="26486" spans="1:1">
      <c r="A26486" s="27"/>
    </row>
    <row r="26487" spans="1:1">
      <c r="A26487" s="27"/>
    </row>
    <row r="26488" spans="1:1">
      <c r="A26488" s="27"/>
    </row>
    <row r="26489" spans="1:1">
      <c r="A26489" s="27"/>
    </row>
    <row r="26490" spans="1:1">
      <c r="A26490" s="27"/>
    </row>
    <row r="26491" spans="1:1">
      <c r="A26491" s="27"/>
    </row>
    <row r="26492" spans="1:1">
      <c r="A26492" s="27"/>
    </row>
    <row r="26493" spans="1:1">
      <c r="A26493" s="27"/>
    </row>
    <row r="26494" spans="1:1">
      <c r="A26494" s="27"/>
    </row>
    <row r="26495" spans="1:1">
      <c r="A26495" s="27"/>
    </row>
    <row r="26496" spans="1:1">
      <c r="A26496" s="27"/>
    </row>
    <row r="26497" spans="1:1">
      <c r="A26497" s="27"/>
    </row>
    <row r="26498" spans="1:1">
      <c r="A26498" s="27"/>
    </row>
    <row r="26499" spans="1:1">
      <c r="A26499" s="27"/>
    </row>
    <row r="26500" spans="1:1">
      <c r="A26500" s="27"/>
    </row>
    <row r="26501" spans="1:1">
      <c r="A26501" s="27"/>
    </row>
    <row r="26502" spans="1:1">
      <c r="A26502" s="27"/>
    </row>
    <row r="26503" spans="1:1">
      <c r="A26503" s="27"/>
    </row>
    <row r="26504" spans="1:1">
      <c r="A26504" s="27"/>
    </row>
    <row r="26505" spans="1:1">
      <c r="A26505" s="27"/>
    </row>
    <row r="26506" spans="1:1">
      <c r="A26506" s="27"/>
    </row>
    <row r="26507" spans="1:1">
      <c r="A26507" s="27"/>
    </row>
    <row r="26508" spans="1:1">
      <c r="A26508" s="27"/>
    </row>
    <row r="26509" spans="1:1">
      <c r="A26509" s="27"/>
    </row>
    <row r="26510" spans="1:1">
      <c r="A26510" s="27"/>
    </row>
    <row r="26511" spans="1:1">
      <c r="A26511" s="27"/>
    </row>
    <row r="26512" spans="1:1">
      <c r="A26512" s="27"/>
    </row>
    <row r="26513" spans="1:1">
      <c r="A26513" s="27"/>
    </row>
    <row r="26514" spans="1:1">
      <c r="A26514" s="27"/>
    </row>
    <row r="26515" spans="1:1">
      <c r="A26515" s="27"/>
    </row>
    <row r="26516" spans="1:1">
      <c r="A26516" s="27"/>
    </row>
    <row r="26517" spans="1:1">
      <c r="A26517" s="27"/>
    </row>
    <row r="26518" spans="1:1">
      <c r="A26518" s="27"/>
    </row>
    <row r="26519" spans="1:1">
      <c r="A26519" s="27"/>
    </row>
    <row r="26520" spans="1:1">
      <c r="A26520" s="27"/>
    </row>
    <row r="26521" spans="1:1">
      <c r="A26521" s="27"/>
    </row>
    <row r="26522" spans="1:1">
      <c r="A26522" s="27"/>
    </row>
    <row r="26523" spans="1:1">
      <c r="A26523" s="27"/>
    </row>
    <row r="26524" spans="1:1">
      <c r="A26524" s="27"/>
    </row>
    <row r="26525" spans="1:1">
      <c r="A26525" s="27"/>
    </row>
    <row r="26526" spans="1:1">
      <c r="A26526" s="27"/>
    </row>
    <row r="26527" spans="1:1">
      <c r="A26527" s="27"/>
    </row>
    <row r="26528" spans="1:1">
      <c r="A26528" s="27"/>
    </row>
    <row r="26529" spans="1:1">
      <c r="A26529" s="27"/>
    </row>
    <row r="26530" spans="1:1">
      <c r="A26530" s="27"/>
    </row>
    <row r="26531" spans="1:1">
      <c r="A26531" s="27"/>
    </row>
    <row r="26532" spans="1:1">
      <c r="A26532" s="27"/>
    </row>
    <row r="26533" spans="1:1">
      <c r="A26533" s="27"/>
    </row>
    <row r="26534" spans="1:1">
      <c r="A26534" s="27"/>
    </row>
    <row r="26535" spans="1:1">
      <c r="A26535" s="27"/>
    </row>
    <row r="26536" spans="1:1">
      <c r="A26536" s="27"/>
    </row>
    <row r="26537" spans="1:1">
      <c r="A26537" s="27"/>
    </row>
    <row r="26538" spans="1:1">
      <c r="A26538" s="27"/>
    </row>
    <row r="26539" spans="1:1">
      <c r="A26539" s="27"/>
    </row>
    <row r="26540" spans="1:1">
      <c r="A26540" s="27"/>
    </row>
    <row r="26541" spans="1:1">
      <c r="A26541" s="27"/>
    </row>
    <row r="26542" spans="1:1">
      <c r="A26542" s="27"/>
    </row>
    <row r="26543" spans="1:1">
      <c r="A26543" s="27"/>
    </row>
    <row r="26544" spans="1:1">
      <c r="A26544" s="27"/>
    </row>
    <row r="26545" spans="1:1">
      <c r="A26545" s="27"/>
    </row>
    <row r="26546" spans="1:1">
      <c r="A26546" s="27"/>
    </row>
    <row r="26547" spans="1:1">
      <c r="A26547" s="27"/>
    </row>
    <row r="26548" spans="1:1">
      <c r="A26548" s="27"/>
    </row>
    <row r="26549" spans="1:1">
      <c r="A26549" s="27"/>
    </row>
    <row r="26550" spans="1:1">
      <c r="A26550" s="27"/>
    </row>
    <row r="26551" spans="1:1">
      <c r="A26551" s="27"/>
    </row>
    <row r="26552" spans="1:1">
      <c r="A26552" s="27"/>
    </row>
    <row r="26553" spans="1:1">
      <c r="A26553" s="27"/>
    </row>
    <row r="26554" spans="1:1">
      <c r="A26554" s="27"/>
    </row>
    <row r="26555" spans="1:1">
      <c r="A26555" s="27"/>
    </row>
    <row r="26556" spans="1:1">
      <c r="A26556" s="27"/>
    </row>
    <row r="26557" spans="1:1">
      <c r="A26557" s="27"/>
    </row>
    <row r="26558" spans="1:1">
      <c r="A26558" s="27"/>
    </row>
    <row r="26559" spans="1:1">
      <c r="A26559" s="27"/>
    </row>
    <row r="26560" spans="1:1">
      <c r="A26560" s="27"/>
    </row>
    <row r="26561" spans="1:1">
      <c r="A26561" s="27"/>
    </row>
    <row r="26562" spans="1:1">
      <c r="A26562" s="27"/>
    </row>
    <row r="26563" spans="1:1">
      <c r="A26563" s="27"/>
    </row>
    <row r="26564" spans="1:1">
      <c r="A26564" s="27"/>
    </row>
    <row r="26565" spans="1:1">
      <c r="A26565" s="27"/>
    </row>
    <row r="26566" spans="1:1">
      <c r="A26566" s="27"/>
    </row>
    <row r="26567" spans="1:1">
      <c r="A26567" s="27"/>
    </row>
    <row r="26568" spans="1:1">
      <c r="A26568" s="27"/>
    </row>
    <row r="26569" spans="1:1">
      <c r="A26569" s="27"/>
    </row>
    <row r="26570" spans="1:1">
      <c r="A26570" s="27"/>
    </row>
    <row r="26571" spans="1:1">
      <c r="A26571" s="27"/>
    </row>
    <row r="26572" spans="1:1">
      <c r="A26572" s="27"/>
    </row>
    <row r="26573" spans="1:1">
      <c r="A26573" s="27"/>
    </row>
    <row r="26574" spans="1:1">
      <c r="A26574" s="27"/>
    </row>
    <row r="26575" spans="1:1">
      <c r="A26575" s="27"/>
    </row>
    <row r="26576" spans="1:1">
      <c r="A26576" s="27"/>
    </row>
    <row r="26577" spans="1:1">
      <c r="A26577" s="27"/>
    </row>
    <row r="26578" spans="1:1">
      <c r="A26578" s="27"/>
    </row>
    <row r="26579" spans="1:1">
      <c r="A26579" s="27"/>
    </row>
    <row r="26580" spans="1:1">
      <c r="A26580" s="27"/>
    </row>
    <row r="26581" spans="1:1">
      <c r="A26581" s="27"/>
    </row>
    <row r="26582" spans="1:1">
      <c r="A26582" s="27"/>
    </row>
    <row r="26583" spans="1:1">
      <c r="A26583" s="27"/>
    </row>
    <row r="26584" spans="1:1">
      <c r="A26584" s="27"/>
    </row>
    <row r="26585" spans="1:1">
      <c r="A26585" s="27"/>
    </row>
    <row r="26586" spans="1:1">
      <c r="A26586" s="27"/>
    </row>
    <row r="26587" spans="1:1">
      <c r="A26587" s="27"/>
    </row>
    <row r="26588" spans="1:1">
      <c r="A26588" s="27"/>
    </row>
    <row r="26589" spans="1:1">
      <c r="A26589" s="27"/>
    </row>
    <row r="26590" spans="1:1">
      <c r="A26590" s="27"/>
    </row>
    <row r="26591" spans="1:1">
      <c r="A26591" s="27"/>
    </row>
    <row r="26592" spans="1:1">
      <c r="A26592" s="27"/>
    </row>
    <row r="26593" spans="1:1">
      <c r="A26593" s="27"/>
    </row>
    <row r="26594" spans="1:1">
      <c r="A26594" s="27"/>
    </row>
    <row r="26595" spans="1:1">
      <c r="A26595" s="27"/>
    </row>
    <row r="26596" spans="1:1">
      <c r="A26596" s="27"/>
    </row>
    <row r="26597" spans="1:1">
      <c r="A26597" s="27"/>
    </row>
    <row r="26598" spans="1:1">
      <c r="A26598" s="27"/>
    </row>
    <row r="26599" spans="1:1">
      <c r="A26599" s="27"/>
    </row>
    <row r="26600" spans="1:1">
      <c r="A26600" s="27"/>
    </row>
    <row r="26601" spans="1:1">
      <c r="A26601" s="27"/>
    </row>
    <row r="26602" spans="1:1">
      <c r="A26602" s="27"/>
    </row>
    <row r="26603" spans="1:1">
      <c r="A26603" s="27"/>
    </row>
    <row r="26604" spans="1:1">
      <c r="A26604" s="27"/>
    </row>
    <row r="26605" spans="1:1">
      <c r="A26605" s="27"/>
    </row>
    <row r="26606" spans="1:1">
      <c r="A26606" s="27"/>
    </row>
    <row r="26607" spans="1:1">
      <c r="A26607" s="27"/>
    </row>
    <row r="26608" spans="1:1">
      <c r="A26608" s="27"/>
    </row>
    <row r="26609" spans="1:1">
      <c r="A26609" s="27"/>
    </row>
    <row r="26610" spans="1:1">
      <c r="A26610" s="27"/>
    </row>
    <row r="26611" spans="1:1">
      <c r="A26611" s="27"/>
    </row>
    <row r="26612" spans="1:1">
      <c r="A26612" s="27"/>
    </row>
    <row r="26613" spans="1:1">
      <c r="A26613" s="27"/>
    </row>
    <row r="26614" spans="1:1">
      <c r="A26614" s="27"/>
    </row>
    <row r="26615" spans="1:1">
      <c r="A26615" s="27"/>
    </row>
    <row r="26616" spans="1:1">
      <c r="A26616" s="27"/>
    </row>
    <row r="26617" spans="1:1">
      <c r="A26617" s="27"/>
    </row>
    <row r="26618" spans="1:1">
      <c r="A26618" s="27"/>
    </row>
    <row r="26619" spans="1:1">
      <c r="A26619" s="27"/>
    </row>
    <row r="26620" spans="1:1">
      <c r="A26620" s="27"/>
    </row>
    <row r="26621" spans="1:1">
      <c r="A26621" s="27"/>
    </row>
    <row r="26622" spans="1:1">
      <c r="A26622" s="27"/>
    </row>
    <row r="26623" spans="1:1">
      <c r="A26623" s="27"/>
    </row>
    <row r="26624" spans="1:1">
      <c r="A26624" s="27"/>
    </row>
    <row r="26625" spans="1:1">
      <c r="A26625" s="27"/>
    </row>
    <row r="26626" spans="1:1">
      <c r="A26626" s="27"/>
    </row>
    <row r="26627" spans="1:1">
      <c r="A26627" s="27"/>
    </row>
    <row r="26628" spans="1:1">
      <c r="A26628" s="27"/>
    </row>
    <row r="26629" spans="1:1">
      <c r="A26629" s="27"/>
    </row>
    <row r="26630" spans="1:1">
      <c r="A26630" s="27"/>
    </row>
    <row r="26631" spans="1:1">
      <c r="A26631" s="27"/>
    </row>
    <row r="26632" spans="1:1">
      <c r="A26632" s="27"/>
    </row>
    <row r="26633" spans="1:1">
      <c r="A26633" s="27"/>
    </row>
    <row r="26634" spans="1:1">
      <c r="A26634" s="27"/>
    </row>
    <row r="26635" spans="1:1">
      <c r="A26635" s="27"/>
    </row>
    <row r="26636" spans="1:1">
      <c r="A26636" s="27"/>
    </row>
    <row r="26637" spans="1:1">
      <c r="A26637" s="27"/>
    </row>
    <row r="26638" spans="1:1">
      <c r="A26638" s="27"/>
    </row>
    <row r="26639" spans="1:1">
      <c r="A26639" s="27"/>
    </row>
    <row r="26640" spans="1:1">
      <c r="A26640" s="27"/>
    </row>
    <row r="26641" spans="1:1">
      <c r="A26641" s="27"/>
    </row>
    <row r="26642" spans="1:1">
      <c r="A26642" s="27"/>
    </row>
    <row r="26643" spans="1:1">
      <c r="A26643" s="27"/>
    </row>
    <row r="26644" spans="1:1">
      <c r="A26644" s="27"/>
    </row>
    <row r="26645" spans="1:1">
      <c r="A26645" s="27"/>
    </row>
    <row r="26646" spans="1:1">
      <c r="A26646" s="27"/>
    </row>
    <row r="26647" spans="1:1">
      <c r="A26647" s="27"/>
    </row>
    <row r="26648" spans="1:1">
      <c r="A26648" s="27"/>
    </row>
    <row r="26649" spans="1:1">
      <c r="A26649" s="27"/>
    </row>
    <row r="26650" spans="1:1">
      <c r="A26650" s="27"/>
    </row>
    <row r="26651" spans="1:1">
      <c r="A26651" s="27"/>
    </row>
    <row r="26652" spans="1:1">
      <c r="A26652" s="27"/>
    </row>
    <row r="26653" spans="1:1">
      <c r="A26653" s="27"/>
    </row>
    <row r="26654" spans="1:1">
      <c r="A26654" s="27"/>
    </row>
    <row r="26655" spans="1:1">
      <c r="A26655" s="27"/>
    </row>
    <row r="26656" spans="1:1">
      <c r="A26656" s="27"/>
    </row>
    <row r="26657" spans="1:1">
      <c r="A26657" s="27"/>
    </row>
    <row r="26658" spans="1:1">
      <c r="A26658" s="27"/>
    </row>
    <row r="26659" spans="1:1">
      <c r="A26659" s="27"/>
    </row>
    <row r="26660" spans="1:1">
      <c r="A26660" s="27"/>
    </row>
    <row r="26661" spans="1:1">
      <c r="A26661" s="27"/>
    </row>
    <row r="26662" spans="1:1">
      <c r="A26662" s="27"/>
    </row>
    <row r="26663" spans="1:1">
      <c r="A26663" s="27"/>
    </row>
    <row r="26664" spans="1:1">
      <c r="A26664" s="27"/>
    </row>
    <row r="26665" spans="1:1">
      <c r="A26665" s="27"/>
    </row>
    <row r="26666" spans="1:1">
      <c r="A26666" s="27"/>
    </row>
    <row r="26667" spans="1:1">
      <c r="A26667" s="27"/>
    </row>
    <row r="26668" spans="1:1">
      <c r="A26668" s="27"/>
    </row>
    <row r="26669" spans="1:1">
      <c r="A26669" s="27"/>
    </row>
    <row r="26670" spans="1:1">
      <c r="A26670" s="27"/>
    </row>
    <row r="26671" spans="1:1">
      <c r="A26671" s="27"/>
    </row>
    <row r="26672" spans="1:1">
      <c r="A26672" s="27"/>
    </row>
    <row r="26673" spans="1:1">
      <c r="A26673" s="27"/>
    </row>
    <row r="26674" spans="1:1">
      <c r="A26674" s="27"/>
    </row>
    <row r="26675" spans="1:1">
      <c r="A26675" s="27"/>
    </row>
    <row r="26676" spans="1:1">
      <c r="A26676" s="27"/>
    </row>
    <row r="26677" spans="1:1">
      <c r="A26677" s="27"/>
    </row>
    <row r="26678" spans="1:1">
      <c r="A26678" s="27"/>
    </row>
    <row r="26679" spans="1:1">
      <c r="A26679" s="27"/>
    </row>
    <row r="26680" spans="1:1">
      <c r="A26680" s="27"/>
    </row>
    <row r="26681" spans="1:1">
      <c r="A26681" s="27"/>
    </row>
    <row r="26682" spans="1:1">
      <c r="A26682" s="27"/>
    </row>
    <row r="26683" spans="1:1">
      <c r="A26683" s="27"/>
    </row>
    <row r="26684" spans="1:1">
      <c r="A26684" s="27"/>
    </row>
    <row r="26685" spans="1:1">
      <c r="A26685" s="27"/>
    </row>
    <row r="26686" spans="1:1">
      <c r="A26686" s="27"/>
    </row>
    <row r="26687" spans="1:1">
      <c r="A26687" s="27"/>
    </row>
    <row r="26688" spans="1:1">
      <c r="A26688" s="27"/>
    </row>
    <row r="26689" spans="1:1">
      <c r="A26689" s="27"/>
    </row>
    <row r="26690" spans="1:1">
      <c r="A26690" s="27"/>
    </row>
    <row r="26691" spans="1:1">
      <c r="A26691" s="27"/>
    </row>
    <row r="26692" spans="1:1">
      <c r="A26692" s="27"/>
    </row>
    <row r="26693" spans="1:1">
      <c r="A26693" s="27"/>
    </row>
    <row r="26694" spans="1:1">
      <c r="A26694" s="27"/>
    </row>
    <row r="26695" spans="1:1">
      <c r="A26695" s="27"/>
    </row>
    <row r="26696" spans="1:1">
      <c r="A26696" s="27"/>
    </row>
    <row r="26697" spans="1:1">
      <c r="A26697" s="27"/>
    </row>
    <row r="26698" spans="1:1">
      <c r="A26698" s="27"/>
    </row>
    <row r="26699" spans="1:1">
      <c r="A26699" s="27"/>
    </row>
    <row r="26700" spans="1:1">
      <c r="A26700" s="27"/>
    </row>
    <row r="26701" spans="1:1">
      <c r="A26701" s="27"/>
    </row>
    <row r="26702" spans="1:1">
      <c r="A26702" s="27"/>
    </row>
    <row r="26703" spans="1:1">
      <c r="A26703" s="27"/>
    </row>
    <row r="26704" spans="1:1">
      <c r="A26704" s="27"/>
    </row>
    <row r="26705" spans="1:1">
      <c r="A26705" s="27"/>
    </row>
    <row r="26706" spans="1:1">
      <c r="A26706" s="27"/>
    </row>
    <row r="26707" spans="1:1">
      <c r="A26707" s="27"/>
    </row>
    <row r="26708" spans="1:1">
      <c r="A26708" s="27"/>
    </row>
    <row r="26709" spans="1:1">
      <c r="A26709" s="27"/>
    </row>
    <row r="26710" spans="1:1">
      <c r="A26710" s="27"/>
    </row>
    <row r="26711" spans="1:1">
      <c r="A26711" s="27"/>
    </row>
    <row r="26712" spans="1:1">
      <c r="A26712" s="27"/>
    </row>
    <row r="26713" spans="1:1">
      <c r="A26713" s="27"/>
    </row>
    <row r="26714" spans="1:1">
      <c r="A26714" s="27"/>
    </row>
    <row r="26715" spans="1:1">
      <c r="A26715" s="27"/>
    </row>
    <row r="26716" spans="1:1">
      <c r="A26716" s="27"/>
    </row>
    <row r="26717" spans="1:1">
      <c r="A26717" s="27"/>
    </row>
    <row r="26718" spans="1:1">
      <c r="A26718" s="27"/>
    </row>
    <row r="26719" spans="1:1">
      <c r="A26719" s="27"/>
    </row>
    <row r="26720" spans="1:1">
      <c r="A26720" s="27"/>
    </row>
    <row r="26721" spans="1:1">
      <c r="A26721" s="27"/>
    </row>
    <row r="26722" spans="1:1">
      <c r="A26722" s="27"/>
    </row>
    <row r="26723" spans="1:1">
      <c r="A26723" s="27"/>
    </row>
    <row r="26724" spans="1:1">
      <c r="A26724" s="27"/>
    </row>
    <row r="26725" spans="1:1">
      <c r="A26725" s="27"/>
    </row>
    <row r="26726" spans="1:1">
      <c r="A26726" s="27"/>
    </row>
    <row r="26727" spans="1:1">
      <c r="A26727" s="27"/>
    </row>
    <row r="26728" spans="1:1">
      <c r="A26728" s="27"/>
    </row>
    <row r="26729" spans="1:1">
      <c r="A26729" s="27"/>
    </row>
    <row r="26730" spans="1:1">
      <c r="A26730" s="27"/>
    </row>
    <row r="26731" spans="1:1">
      <c r="A26731" s="27"/>
    </row>
    <row r="26732" spans="1:1">
      <c r="A26732" s="27"/>
    </row>
    <row r="26733" spans="1:1">
      <c r="A26733" s="27"/>
    </row>
    <row r="26734" spans="1:1">
      <c r="A26734" s="27"/>
    </row>
    <row r="26735" spans="1:1">
      <c r="A26735" s="27"/>
    </row>
    <row r="26736" spans="1:1">
      <c r="A26736" s="27"/>
    </row>
    <row r="26737" spans="1:1">
      <c r="A26737" s="27"/>
    </row>
    <row r="26738" spans="1:1">
      <c r="A26738" s="27"/>
    </row>
    <row r="26739" spans="1:1">
      <c r="A26739" s="27"/>
    </row>
    <row r="26740" spans="1:1">
      <c r="A26740" s="27"/>
    </row>
    <row r="26741" spans="1:1">
      <c r="A26741" s="27"/>
    </row>
    <row r="26742" spans="1:1">
      <c r="A26742" s="27"/>
    </row>
    <row r="26743" spans="1:1">
      <c r="A26743" s="27"/>
    </row>
    <row r="26744" spans="1:1">
      <c r="A26744" s="27"/>
    </row>
    <row r="26745" spans="1:1">
      <c r="A26745" s="27"/>
    </row>
    <row r="26746" spans="1:1">
      <c r="A26746" s="27"/>
    </row>
    <row r="26747" spans="1:1">
      <c r="A26747" s="27"/>
    </row>
    <row r="26748" spans="1:1">
      <c r="A26748" s="27"/>
    </row>
    <row r="26749" spans="1:1">
      <c r="A26749" s="27"/>
    </row>
    <row r="26750" spans="1:1">
      <c r="A26750" s="27"/>
    </row>
    <row r="26751" spans="1:1">
      <c r="A26751" s="27"/>
    </row>
    <row r="26752" spans="1:1">
      <c r="A26752" s="27"/>
    </row>
    <row r="26753" spans="1:1">
      <c r="A26753" s="27"/>
    </row>
    <row r="26754" spans="1:1">
      <c r="A26754" s="27"/>
    </row>
    <row r="26755" spans="1:1">
      <c r="A26755" s="27"/>
    </row>
    <row r="26756" spans="1:1">
      <c r="A26756" s="27"/>
    </row>
    <row r="26757" spans="1:1">
      <c r="A26757" s="27"/>
    </row>
    <row r="26758" spans="1:1">
      <c r="A26758" s="27"/>
    </row>
    <row r="26759" spans="1:1">
      <c r="A26759" s="27"/>
    </row>
    <row r="26760" spans="1:1">
      <c r="A26760" s="27"/>
    </row>
    <row r="26761" spans="1:1">
      <c r="A26761" s="27"/>
    </row>
    <row r="26762" spans="1:1">
      <c r="A26762" s="27"/>
    </row>
    <row r="26763" spans="1:1">
      <c r="A26763" s="27"/>
    </row>
    <row r="26764" spans="1:1">
      <c r="A26764" s="27"/>
    </row>
    <row r="26765" spans="1:1">
      <c r="A26765" s="27"/>
    </row>
    <row r="26766" spans="1:1">
      <c r="A26766" s="27"/>
    </row>
    <row r="26767" spans="1:1">
      <c r="A26767" s="27"/>
    </row>
    <row r="26768" spans="1:1">
      <c r="A26768" s="27"/>
    </row>
    <row r="26769" spans="1:1">
      <c r="A26769" s="27"/>
    </row>
    <row r="26770" spans="1:1">
      <c r="A26770" s="27"/>
    </row>
    <row r="26771" spans="1:1">
      <c r="A26771" s="27"/>
    </row>
    <row r="26772" spans="1:1">
      <c r="A26772" s="27"/>
    </row>
    <row r="26773" spans="1:1">
      <c r="A26773" s="27"/>
    </row>
    <row r="26774" spans="1:1">
      <c r="A26774" s="27"/>
    </row>
    <row r="26775" spans="1:1">
      <c r="A26775" s="27"/>
    </row>
    <row r="26776" spans="1:1">
      <c r="A26776" s="27"/>
    </row>
    <row r="26777" spans="1:1">
      <c r="A26777" s="27"/>
    </row>
    <row r="26778" spans="1:1">
      <c r="A26778" s="27"/>
    </row>
    <row r="26779" spans="1:1">
      <c r="A26779" s="27"/>
    </row>
    <row r="26780" spans="1:1">
      <c r="A26780" s="27"/>
    </row>
    <row r="26781" spans="1:1">
      <c r="A26781" s="27"/>
    </row>
    <row r="26782" spans="1:1">
      <c r="A26782" s="27"/>
    </row>
    <row r="26783" spans="1:1">
      <c r="A26783" s="27"/>
    </row>
    <row r="26784" spans="1:1">
      <c r="A26784" s="27"/>
    </row>
    <row r="26785" spans="1:1">
      <c r="A26785" s="27"/>
    </row>
    <row r="26786" spans="1:1">
      <c r="A26786" s="27"/>
    </row>
    <row r="26787" spans="1:1">
      <c r="A26787" s="27"/>
    </row>
    <row r="26788" spans="1:1">
      <c r="A26788" s="27"/>
    </row>
    <row r="26789" spans="1:1">
      <c r="A26789" s="27"/>
    </row>
    <row r="26790" spans="1:1">
      <c r="A26790" s="27"/>
    </row>
    <row r="26791" spans="1:1">
      <c r="A26791" s="27"/>
    </row>
    <row r="26792" spans="1:1">
      <c r="A26792" s="27"/>
    </row>
    <row r="26793" spans="1:1">
      <c r="A26793" s="27"/>
    </row>
    <row r="26794" spans="1:1">
      <c r="A26794" s="27"/>
    </row>
    <row r="26795" spans="1:1">
      <c r="A26795" s="27"/>
    </row>
    <row r="26796" spans="1:1">
      <c r="A26796" s="27"/>
    </row>
    <row r="26797" spans="1:1">
      <c r="A26797" s="27"/>
    </row>
    <row r="26798" spans="1:1">
      <c r="A26798" s="27"/>
    </row>
    <row r="26799" spans="1:1">
      <c r="A26799" s="27"/>
    </row>
    <row r="26800" spans="1:1">
      <c r="A26800" s="27"/>
    </row>
    <row r="26801" spans="1:1">
      <c r="A26801" s="27"/>
    </row>
    <row r="26802" spans="1:1">
      <c r="A26802" s="27"/>
    </row>
    <row r="26803" spans="1:1">
      <c r="A26803" s="27"/>
    </row>
    <row r="26804" spans="1:1">
      <c r="A26804" s="27"/>
    </row>
    <row r="26805" spans="1:1">
      <c r="A26805" s="27"/>
    </row>
    <row r="26806" spans="1:1">
      <c r="A26806" s="27"/>
    </row>
    <row r="26807" spans="1:1">
      <c r="A26807" s="27"/>
    </row>
    <row r="26808" spans="1:1">
      <c r="A26808" s="27"/>
    </row>
    <row r="26809" spans="1:1">
      <c r="A26809" s="27"/>
    </row>
    <row r="26810" spans="1:1">
      <c r="A26810" s="27"/>
    </row>
    <row r="26811" spans="1:1">
      <c r="A26811" s="27"/>
    </row>
    <row r="26812" spans="1:1">
      <c r="A26812" s="27"/>
    </row>
    <row r="26813" spans="1:1">
      <c r="A26813" s="27"/>
    </row>
    <row r="26814" spans="1:1">
      <c r="A26814" s="27"/>
    </row>
    <row r="26815" spans="1:1">
      <c r="A26815" s="27"/>
    </row>
    <row r="26816" spans="1:1">
      <c r="A26816" s="27"/>
    </row>
    <row r="26817" spans="1:1">
      <c r="A26817" s="27"/>
    </row>
    <row r="26818" spans="1:1">
      <c r="A26818" s="27"/>
    </row>
    <row r="26819" spans="1:1">
      <c r="A26819" s="27"/>
    </row>
    <row r="26820" spans="1:1">
      <c r="A26820" s="27"/>
    </row>
    <row r="26821" spans="1:1">
      <c r="A26821" s="27"/>
    </row>
    <row r="26822" spans="1:1">
      <c r="A26822" s="27"/>
    </row>
    <row r="26823" spans="1:1">
      <c r="A26823" s="27"/>
    </row>
    <row r="26824" spans="1:1">
      <c r="A26824" s="27"/>
    </row>
    <row r="26825" spans="1:1">
      <c r="A26825" s="27"/>
    </row>
    <row r="26826" spans="1:1">
      <c r="A26826" s="27"/>
    </row>
    <row r="26827" spans="1:1">
      <c r="A26827" s="27"/>
    </row>
    <row r="26828" spans="1:1">
      <c r="A26828" s="27"/>
    </row>
    <row r="26829" spans="1:1">
      <c r="A26829" s="27"/>
    </row>
    <row r="26830" spans="1:1">
      <c r="A26830" s="27"/>
    </row>
    <row r="26831" spans="1:1">
      <c r="A26831" s="27"/>
    </row>
    <row r="26832" spans="1:1">
      <c r="A26832" s="27"/>
    </row>
    <row r="26833" spans="1:1">
      <c r="A26833" s="27"/>
    </row>
    <row r="26834" spans="1:1">
      <c r="A26834" s="27"/>
    </row>
    <row r="26835" spans="1:1">
      <c r="A26835" s="27"/>
    </row>
    <row r="26836" spans="1:1">
      <c r="A26836" s="27"/>
    </row>
    <row r="26837" spans="1:1">
      <c r="A26837" s="27"/>
    </row>
    <row r="26838" spans="1:1">
      <c r="A26838" s="27"/>
    </row>
    <row r="26839" spans="1:1">
      <c r="A26839" s="27"/>
    </row>
    <row r="26840" spans="1:1">
      <c r="A26840" s="27"/>
    </row>
    <row r="26841" spans="1:1">
      <c r="A26841" s="27"/>
    </row>
    <row r="26842" spans="1:1">
      <c r="A26842" s="27"/>
    </row>
    <row r="26843" spans="1:1">
      <c r="A26843" s="27"/>
    </row>
    <row r="26844" spans="1:1">
      <c r="A26844" s="27"/>
    </row>
    <row r="26845" spans="1:1">
      <c r="A26845" s="27"/>
    </row>
    <row r="26846" spans="1:1">
      <c r="A26846" s="27"/>
    </row>
    <row r="26847" spans="1:1">
      <c r="A26847" s="27"/>
    </row>
    <row r="26848" spans="1:1">
      <c r="A26848" s="27"/>
    </row>
    <row r="26849" spans="1:1">
      <c r="A26849" s="27"/>
    </row>
    <row r="26850" spans="1:1">
      <c r="A26850" s="27"/>
    </row>
    <row r="26851" spans="1:1">
      <c r="A26851" s="27"/>
    </row>
    <row r="26852" spans="1:1">
      <c r="A26852" s="27"/>
    </row>
    <row r="26853" spans="1:1">
      <c r="A26853" s="27"/>
    </row>
    <row r="26854" spans="1:1">
      <c r="A26854" s="27"/>
    </row>
    <row r="26855" spans="1:1">
      <c r="A26855" s="27"/>
    </row>
    <row r="26856" spans="1:1">
      <c r="A26856" s="27"/>
    </row>
    <row r="26857" spans="1:1">
      <c r="A26857" s="27"/>
    </row>
    <row r="26858" spans="1:1">
      <c r="A26858" s="27"/>
    </row>
    <row r="26859" spans="1:1">
      <c r="A26859" s="27"/>
    </row>
    <row r="26860" spans="1:1">
      <c r="A26860" s="27"/>
    </row>
    <row r="26861" spans="1:1">
      <c r="A26861" s="27"/>
    </row>
    <row r="26862" spans="1:1">
      <c r="A26862" s="27"/>
    </row>
    <row r="26863" spans="1:1">
      <c r="A26863" s="27"/>
    </row>
    <row r="26864" spans="1:1">
      <c r="A26864" s="27"/>
    </row>
    <row r="26865" spans="1:1">
      <c r="A26865" s="27"/>
    </row>
    <row r="26866" spans="1:1">
      <c r="A26866" s="27"/>
    </row>
    <row r="26867" spans="1:1">
      <c r="A26867" s="27"/>
    </row>
    <row r="26868" spans="1:1">
      <c r="A26868" s="27"/>
    </row>
    <row r="26869" spans="1:1">
      <c r="A26869" s="27"/>
    </row>
    <row r="26870" spans="1:1">
      <c r="A26870" s="27"/>
    </row>
    <row r="26871" spans="1:1">
      <c r="A26871" s="27"/>
    </row>
    <row r="26872" spans="1:1">
      <c r="A26872" s="27"/>
    </row>
    <row r="26873" spans="1:1">
      <c r="A26873" s="27"/>
    </row>
    <row r="26874" spans="1:1">
      <c r="A26874" s="27"/>
    </row>
    <row r="26875" spans="1:1">
      <c r="A26875" s="27"/>
    </row>
    <row r="26876" spans="1:1">
      <c r="A26876" s="27"/>
    </row>
    <row r="26877" spans="1:1">
      <c r="A26877" s="27"/>
    </row>
    <row r="26878" spans="1:1">
      <c r="A26878" s="27"/>
    </row>
    <row r="26879" spans="1:1">
      <c r="A26879" s="27"/>
    </row>
    <row r="26880" spans="1:1">
      <c r="A26880" s="27"/>
    </row>
    <row r="26881" spans="1:1">
      <c r="A26881" s="27"/>
    </row>
    <row r="26882" spans="1:1">
      <c r="A26882" s="27"/>
    </row>
    <row r="26883" spans="1:1">
      <c r="A26883" s="27"/>
    </row>
    <row r="26884" spans="1:1">
      <c r="A26884" s="27"/>
    </row>
    <row r="26885" spans="1:1">
      <c r="A26885" s="27"/>
    </row>
    <row r="26886" spans="1:1">
      <c r="A26886" s="27"/>
    </row>
    <row r="26887" spans="1:1">
      <c r="A26887" s="27"/>
    </row>
    <row r="26888" spans="1:1">
      <c r="A26888" s="27"/>
    </row>
    <row r="26889" spans="1:1">
      <c r="A26889" s="27"/>
    </row>
    <row r="26890" spans="1:1">
      <c r="A26890" s="27"/>
    </row>
    <row r="26891" spans="1:1">
      <c r="A26891" s="27"/>
    </row>
    <row r="26892" spans="1:1">
      <c r="A26892" s="27"/>
    </row>
    <row r="26893" spans="1:1">
      <c r="A26893" s="27"/>
    </row>
    <row r="26894" spans="1:1">
      <c r="A26894" s="27"/>
    </row>
    <row r="26895" spans="1:1">
      <c r="A26895" s="27"/>
    </row>
    <row r="26896" spans="1:1">
      <c r="A26896" s="27"/>
    </row>
    <row r="26897" spans="1:1">
      <c r="A26897" s="27"/>
    </row>
    <row r="26898" spans="1:1">
      <c r="A26898" s="27"/>
    </row>
    <row r="26899" spans="1:1">
      <c r="A26899" s="27"/>
    </row>
    <row r="26900" spans="1:1">
      <c r="A26900" s="27"/>
    </row>
    <row r="26901" spans="1:1">
      <c r="A26901" s="27"/>
    </row>
    <row r="26902" spans="1:1">
      <c r="A26902" s="27"/>
    </row>
    <row r="26903" spans="1:1">
      <c r="A26903" s="27"/>
    </row>
    <row r="26904" spans="1:1">
      <c r="A26904" s="27"/>
    </row>
    <row r="26905" spans="1:1">
      <c r="A26905" s="27"/>
    </row>
    <row r="26906" spans="1:1">
      <c r="A26906" s="27"/>
    </row>
    <row r="26907" spans="1:1">
      <c r="A26907" s="27"/>
    </row>
    <row r="26908" spans="1:1">
      <c r="A26908" s="27"/>
    </row>
    <row r="26909" spans="1:1">
      <c r="A26909" s="27"/>
    </row>
    <row r="26910" spans="1:1">
      <c r="A26910" s="27"/>
    </row>
    <row r="26911" spans="1:1">
      <c r="A26911" s="27"/>
    </row>
    <row r="26912" spans="1:1">
      <c r="A26912" s="27"/>
    </row>
    <row r="26913" spans="1:1">
      <c r="A26913" s="27"/>
    </row>
    <row r="26914" spans="1:1">
      <c r="A26914" s="27"/>
    </row>
    <row r="26915" spans="1:1">
      <c r="A26915" s="27"/>
    </row>
    <row r="26916" spans="1:1">
      <c r="A26916" s="27"/>
    </row>
    <row r="26917" spans="1:1">
      <c r="A26917" s="27"/>
    </row>
    <row r="26918" spans="1:1">
      <c r="A26918" s="27"/>
    </row>
    <row r="26919" spans="1:1">
      <c r="A26919" s="27"/>
    </row>
    <row r="26920" spans="1:1">
      <c r="A26920" s="27"/>
    </row>
    <row r="26921" spans="1:1">
      <c r="A26921" s="27"/>
    </row>
    <row r="26922" spans="1:1">
      <c r="A26922" s="27"/>
    </row>
    <row r="26923" spans="1:1">
      <c r="A26923" s="27"/>
    </row>
    <row r="26924" spans="1:1">
      <c r="A26924" s="27"/>
    </row>
    <row r="26925" spans="1:1">
      <c r="A26925" s="27"/>
    </row>
    <row r="26926" spans="1:1">
      <c r="A26926" s="27"/>
    </row>
    <row r="26927" spans="1:1">
      <c r="A26927" s="27"/>
    </row>
    <row r="26928" spans="1:1">
      <c r="A26928" s="27"/>
    </row>
    <row r="26929" spans="1:1">
      <c r="A26929" s="27"/>
    </row>
    <row r="26930" spans="1:1">
      <c r="A26930" s="27"/>
    </row>
    <row r="26931" spans="1:1">
      <c r="A26931" s="27"/>
    </row>
    <row r="26932" spans="1:1">
      <c r="A26932" s="27"/>
    </row>
    <row r="26933" spans="1:1">
      <c r="A26933" s="27"/>
    </row>
    <row r="26934" spans="1:1">
      <c r="A26934" s="27"/>
    </row>
    <row r="26935" spans="1:1">
      <c r="A26935" s="27"/>
    </row>
    <row r="26936" spans="1:1">
      <c r="A26936" s="27"/>
    </row>
    <row r="26937" spans="1:1">
      <c r="A26937" s="27"/>
    </row>
    <row r="26938" spans="1:1">
      <c r="A26938" s="27"/>
    </row>
    <row r="26939" spans="1:1">
      <c r="A26939" s="27"/>
    </row>
    <row r="26940" spans="1:1">
      <c r="A26940" s="27"/>
    </row>
    <row r="26941" spans="1:1">
      <c r="A26941" s="27"/>
    </row>
    <row r="26942" spans="1:1">
      <c r="A26942" s="27"/>
    </row>
    <row r="26943" spans="1:1">
      <c r="A26943" s="27"/>
    </row>
    <row r="26944" spans="1:1">
      <c r="A26944" s="27"/>
    </row>
    <row r="26945" spans="1:1">
      <c r="A26945" s="27"/>
    </row>
    <row r="26946" spans="1:1">
      <c r="A26946" s="27"/>
    </row>
    <row r="26947" spans="1:1">
      <c r="A26947" s="27"/>
    </row>
    <row r="26948" spans="1:1">
      <c r="A26948" s="27"/>
    </row>
    <row r="26949" spans="1:1">
      <c r="A26949" s="27"/>
    </row>
    <row r="26950" spans="1:1">
      <c r="A26950" s="27"/>
    </row>
    <row r="26951" spans="1:1">
      <c r="A26951" s="27"/>
    </row>
    <row r="26952" spans="1:1">
      <c r="A26952" s="27"/>
    </row>
    <row r="26953" spans="1:1">
      <c r="A26953" s="27"/>
    </row>
    <row r="26954" spans="1:1">
      <c r="A26954" s="27"/>
    </row>
    <row r="26955" spans="1:1">
      <c r="A26955" s="27"/>
    </row>
    <row r="26956" spans="1:1">
      <c r="A26956" s="27"/>
    </row>
    <row r="26957" spans="1:1">
      <c r="A26957" s="27"/>
    </row>
    <row r="26958" spans="1:1">
      <c r="A26958" s="27"/>
    </row>
    <row r="26959" spans="1:1">
      <c r="A26959" s="27"/>
    </row>
    <row r="26960" spans="1:1">
      <c r="A26960" s="27"/>
    </row>
    <row r="26961" spans="1:1">
      <c r="A26961" s="27"/>
    </row>
    <row r="26962" spans="1:1">
      <c r="A26962" s="27"/>
    </row>
    <row r="26963" spans="1:1">
      <c r="A26963" s="27"/>
    </row>
    <row r="26964" spans="1:1">
      <c r="A26964" s="27"/>
    </row>
    <row r="26965" spans="1:1">
      <c r="A26965" s="27"/>
    </row>
    <row r="26966" spans="1:1">
      <c r="A26966" s="27"/>
    </row>
    <row r="26967" spans="1:1">
      <c r="A26967" s="27"/>
    </row>
    <row r="26968" spans="1:1">
      <c r="A26968" s="27"/>
    </row>
    <row r="26969" spans="1:1">
      <c r="A26969" s="27"/>
    </row>
    <row r="26970" spans="1:1">
      <c r="A26970" s="27"/>
    </row>
    <row r="26971" spans="1:1">
      <c r="A26971" s="27"/>
    </row>
    <row r="26972" spans="1:1">
      <c r="A26972" s="27"/>
    </row>
    <row r="26973" spans="1:1">
      <c r="A26973" s="27"/>
    </row>
    <row r="26974" spans="1:1">
      <c r="A26974" s="27"/>
    </row>
    <row r="26975" spans="1:1">
      <c r="A26975" s="27"/>
    </row>
    <row r="26976" spans="1:1">
      <c r="A26976" s="27"/>
    </row>
    <row r="26977" spans="1:1">
      <c r="A26977" s="27"/>
    </row>
    <row r="26978" spans="1:1">
      <c r="A26978" s="27"/>
    </row>
    <row r="26979" spans="1:1">
      <c r="A26979" s="27"/>
    </row>
    <row r="26980" spans="1:1">
      <c r="A26980" s="27"/>
    </row>
    <row r="26981" spans="1:1">
      <c r="A26981" s="27"/>
    </row>
    <row r="26982" spans="1:1">
      <c r="A26982" s="27"/>
    </row>
    <row r="26983" spans="1:1">
      <c r="A26983" s="27"/>
    </row>
    <row r="26984" spans="1:1">
      <c r="A26984" s="27"/>
    </row>
    <row r="26985" spans="1:1">
      <c r="A26985" s="27"/>
    </row>
    <row r="26986" spans="1:1">
      <c r="A26986" s="27"/>
    </row>
    <row r="26987" spans="1:1">
      <c r="A26987" s="27"/>
    </row>
    <row r="26988" spans="1:1">
      <c r="A26988" s="27"/>
    </row>
    <row r="26989" spans="1:1">
      <c r="A26989" s="27"/>
    </row>
    <row r="26990" spans="1:1">
      <c r="A26990" s="27"/>
    </row>
    <row r="26991" spans="1:1">
      <c r="A26991" s="27"/>
    </row>
    <row r="26992" spans="1:1">
      <c r="A26992" s="27"/>
    </row>
    <row r="26993" spans="1:1">
      <c r="A26993" s="27"/>
    </row>
    <row r="26994" spans="1:1">
      <c r="A26994" s="27"/>
    </row>
    <row r="26995" spans="1:1">
      <c r="A26995" s="27"/>
    </row>
    <row r="26996" spans="1:1">
      <c r="A26996" s="27"/>
    </row>
    <row r="26997" spans="1:1">
      <c r="A26997" s="27"/>
    </row>
    <row r="26998" spans="1:1">
      <c r="A26998" s="27"/>
    </row>
    <row r="26999" spans="1:1">
      <c r="A26999" s="27"/>
    </row>
    <row r="27000" spans="1:1">
      <c r="A27000" s="27"/>
    </row>
    <row r="27001" spans="1:1">
      <c r="A27001" s="27"/>
    </row>
    <row r="27002" spans="1:1">
      <c r="A27002" s="27"/>
    </row>
    <row r="27003" spans="1:1">
      <c r="A27003" s="27"/>
    </row>
    <row r="27004" spans="1:1">
      <c r="A27004" s="27"/>
    </row>
    <row r="27005" spans="1:1">
      <c r="A27005" s="27"/>
    </row>
    <row r="27006" spans="1:1">
      <c r="A27006" s="27"/>
    </row>
    <row r="27007" spans="1:1">
      <c r="A27007" s="27"/>
    </row>
    <row r="27008" spans="1:1">
      <c r="A27008" s="27"/>
    </row>
    <row r="27009" spans="1:1">
      <c r="A27009" s="27"/>
    </row>
    <row r="27010" spans="1:1">
      <c r="A27010" s="27"/>
    </row>
    <row r="27011" spans="1:1">
      <c r="A27011" s="27"/>
    </row>
    <row r="27012" spans="1:1">
      <c r="A27012" s="27"/>
    </row>
    <row r="27013" spans="1:1">
      <c r="A27013" s="27"/>
    </row>
    <row r="27014" spans="1:1">
      <c r="A27014" s="27"/>
    </row>
    <row r="27015" spans="1:1">
      <c r="A27015" s="27"/>
    </row>
    <row r="27016" spans="1:1">
      <c r="A27016" s="27"/>
    </row>
    <row r="27017" spans="1:1">
      <c r="A27017" s="27"/>
    </row>
    <row r="27018" spans="1:1">
      <c r="A27018" s="27"/>
    </row>
    <row r="27019" spans="1:1">
      <c r="A27019" s="27"/>
    </row>
    <row r="27020" spans="1:1">
      <c r="A27020" s="27"/>
    </row>
    <row r="27021" spans="1:1">
      <c r="A27021" s="27"/>
    </row>
    <row r="27022" spans="1:1">
      <c r="A27022" s="27"/>
    </row>
    <row r="27023" spans="1:1">
      <c r="A27023" s="27"/>
    </row>
    <row r="27024" spans="1:1">
      <c r="A27024" s="27"/>
    </row>
    <row r="27025" spans="1:1">
      <c r="A27025" s="27"/>
    </row>
    <row r="27026" spans="1:1">
      <c r="A27026" s="27"/>
    </row>
    <row r="27027" spans="1:1">
      <c r="A27027" s="27"/>
    </row>
    <row r="27028" spans="1:1">
      <c r="A27028" s="27"/>
    </row>
    <row r="27029" spans="1:1">
      <c r="A27029" s="27"/>
    </row>
    <row r="27030" spans="1:1">
      <c r="A27030" s="27"/>
    </row>
    <row r="27031" spans="1:1">
      <c r="A27031" s="27"/>
    </row>
    <row r="27032" spans="1:1">
      <c r="A27032" s="27"/>
    </row>
    <row r="27033" spans="1:1">
      <c r="A27033" s="27"/>
    </row>
    <row r="27034" spans="1:1">
      <c r="A27034" s="27"/>
    </row>
    <row r="27035" spans="1:1">
      <c r="A27035" s="27"/>
    </row>
    <row r="27036" spans="1:1">
      <c r="A27036" s="27"/>
    </row>
    <row r="27037" spans="1:1">
      <c r="A27037" s="27"/>
    </row>
    <row r="27038" spans="1:1">
      <c r="A27038" s="27"/>
    </row>
    <row r="27039" spans="1:1">
      <c r="A27039" s="27"/>
    </row>
    <row r="27040" spans="1:1">
      <c r="A27040" s="27"/>
    </row>
    <row r="27041" spans="1:1">
      <c r="A27041" s="27"/>
    </row>
    <row r="27042" spans="1:1">
      <c r="A27042" s="27"/>
    </row>
    <row r="27043" spans="1:1">
      <c r="A27043" s="27"/>
    </row>
    <row r="27044" spans="1:1">
      <c r="A27044" s="27"/>
    </row>
    <row r="27045" spans="1:1">
      <c r="A27045" s="27"/>
    </row>
    <row r="27046" spans="1:1">
      <c r="A27046" s="27"/>
    </row>
    <row r="27047" spans="1:1">
      <c r="A27047" s="27"/>
    </row>
    <row r="27048" spans="1:1">
      <c r="A27048" s="27"/>
    </row>
    <row r="27049" spans="1:1">
      <c r="A27049" s="27"/>
    </row>
    <row r="27050" spans="1:1">
      <c r="A27050" s="27"/>
    </row>
    <row r="27051" spans="1:1">
      <c r="A27051" s="27"/>
    </row>
    <row r="27052" spans="1:1">
      <c r="A27052" s="27"/>
    </row>
    <row r="27053" spans="1:1">
      <c r="A27053" s="27"/>
    </row>
    <row r="27054" spans="1:1">
      <c r="A27054" s="27"/>
    </row>
    <row r="27055" spans="1:1">
      <c r="A27055" s="27"/>
    </row>
    <row r="27056" spans="1:1">
      <c r="A27056" s="27"/>
    </row>
    <row r="27057" spans="1:1">
      <c r="A27057" s="27"/>
    </row>
    <row r="27058" spans="1:1">
      <c r="A27058" s="27"/>
    </row>
    <row r="27059" spans="1:1">
      <c r="A27059" s="27"/>
    </row>
    <row r="27060" spans="1:1">
      <c r="A27060" s="27"/>
    </row>
    <row r="27061" spans="1:1">
      <c r="A27061" s="27"/>
    </row>
    <row r="27062" spans="1:1">
      <c r="A27062" s="27"/>
    </row>
    <row r="27063" spans="1:1">
      <c r="A27063" s="27"/>
    </row>
    <row r="27064" spans="1:1">
      <c r="A27064" s="27"/>
    </row>
    <row r="27065" spans="1:1">
      <c r="A27065" s="27"/>
    </row>
    <row r="27066" spans="1:1">
      <c r="A27066" s="27"/>
    </row>
    <row r="27067" spans="1:1">
      <c r="A27067" s="27"/>
    </row>
    <row r="27068" spans="1:1">
      <c r="A27068" s="27"/>
    </row>
    <row r="27069" spans="1:1">
      <c r="A27069" s="27"/>
    </row>
    <row r="27070" spans="1:1">
      <c r="A27070" s="27"/>
    </row>
    <row r="27071" spans="1:1">
      <c r="A27071" s="27"/>
    </row>
    <row r="27072" spans="1:1">
      <c r="A27072" s="27"/>
    </row>
    <row r="27073" spans="1:1">
      <c r="A27073" s="27"/>
    </row>
    <row r="27074" spans="1:1">
      <c r="A27074" s="27"/>
    </row>
    <row r="27075" spans="1:1">
      <c r="A27075" s="27"/>
    </row>
    <row r="27076" spans="1:1">
      <c r="A27076" s="27"/>
    </row>
    <row r="27077" spans="1:1">
      <c r="A27077" s="27"/>
    </row>
    <row r="27078" spans="1:1">
      <c r="A27078" s="27"/>
    </row>
    <row r="27079" spans="1:1">
      <c r="A27079" s="27"/>
    </row>
    <row r="27080" spans="1:1">
      <c r="A27080" s="27"/>
    </row>
    <row r="27081" spans="1:1">
      <c r="A27081" s="27"/>
    </row>
    <row r="27082" spans="1:1">
      <c r="A27082" s="27"/>
    </row>
    <row r="27083" spans="1:1">
      <c r="A27083" s="27"/>
    </row>
    <row r="27084" spans="1:1">
      <c r="A27084" s="27"/>
    </row>
    <row r="27085" spans="1:1">
      <c r="A27085" s="27"/>
    </row>
    <row r="27086" spans="1:1">
      <c r="A27086" s="27"/>
    </row>
    <row r="27087" spans="1:1">
      <c r="A27087" s="27"/>
    </row>
    <row r="27088" spans="1:1">
      <c r="A27088" s="27"/>
    </row>
    <row r="27089" spans="1:1">
      <c r="A27089" s="27"/>
    </row>
    <row r="27090" spans="1:1">
      <c r="A27090" s="27"/>
    </row>
    <row r="27091" spans="1:1">
      <c r="A27091" s="27"/>
    </row>
    <row r="27092" spans="1:1">
      <c r="A27092" s="27"/>
    </row>
    <row r="27093" spans="1:1">
      <c r="A27093" s="27"/>
    </row>
    <row r="27094" spans="1:1">
      <c r="A27094" s="27"/>
    </row>
    <row r="27095" spans="1:1">
      <c r="A27095" s="27"/>
    </row>
    <row r="27096" spans="1:1">
      <c r="A27096" s="27"/>
    </row>
    <row r="27097" spans="1:1">
      <c r="A27097" s="27"/>
    </row>
    <row r="27098" spans="1:1">
      <c r="A27098" s="27"/>
    </row>
    <row r="27099" spans="1:1">
      <c r="A27099" s="27"/>
    </row>
    <row r="27100" spans="1:1">
      <c r="A27100" s="27"/>
    </row>
    <row r="27101" spans="1:1">
      <c r="A27101" s="27"/>
    </row>
    <row r="27102" spans="1:1">
      <c r="A27102" s="27"/>
    </row>
    <row r="27103" spans="1:1">
      <c r="A27103" s="27"/>
    </row>
    <row r="27104" spans="1:1">
      <c r="A27104" s="27"/>
    </row>
    <row r="27105" spans="1:1">
      <c r="A27105" s="27"/>
    </row>
    <row r="27106" spans="1:1">
      <c r="A27106" s="27"/>
    </row>
    <row r="27107" spans="1:1">
      <c r="A27107" s="27"/>
    </row>
    <row r="27108" spans="1:1">
      <c r="A27108" s="27"/>
    </row>
    <row r="27109" spans="1:1">
      <c r="A27109" s="27"/>
    </row>
    <row r="27110" spans="1:1">
      <c r="A27110" s="27"/>
    </row>
    <row r="27111" spans="1:1">
      <c r="A27111" s="27"/>
    </row>
    <row r="27112" spans="1:1">
      <c r="A27112" s="27"/>
    </row>
    <row r="27113" spans="1:1">
      <c r="A27113" s="27"/>
    </row>
    <row r="27114" spans="1:1">
      <c r="A27114" s="27"/>
    </row>
    <row r="27115" spans="1:1">
      <c r="A27115" s="27"/>
    </row>
    <row r="27116" spans="1:1">
      <c r="A27116" s="27"/>
    </row>
    <row r="27117" spans="1:1">
      <c r="A27117" s="27"/>
    </row>
    <row r="27118" spans="1:1">
      <c r="A27118" s="27"/>
    </row>
    <row r="27119" spans="1:1">
      <c r="A27119" s="27"/>
    </row>
    <row r="27120" spans="1:1">
      <c r="A27120" s="27"/>
    </row>
    <row r="27121" spans="1:1">
      <c r="A27121" s="27"/>
    </row>
    <row r="27122" spans="1:1">
      <c r="A27122" s="27"/>
    </row>
    <row r="27123" spans="1:1">
      <c r="A27123" s="27"/>
    </row>
    <row r="27124" spans="1:1">
      <c r="A27124" s="27"/>
    </row>
    <row r="27125" spans="1:1">
      <c r="A27125" s="27"/>
    </row>
    <row r="27126" spans="1:1">
      <c r="A27126" s="27"/>
    </row>
    <row r="27127" spans="1:1">
      <c r="A27127" s="27"/>
    </row>
    <row r="27128" spans="1:1">
      <c r="A27128" s="27"/>
    </row>
    <row r="27129" spans="1:1">
      <c r="A27129" s="27"/>
    </row>
    <row r="27130" spans="1:1">
      <c r="A27130" s="27"/>
    </row>
    <row r="27131" spans="1:1">
      <c r="A27131" s="27"/>
    </row>
    <row r="27132" spans="1:1">
      <c r="A27132" s="27"/>
    </row>
    <row r="27133" spans="1:1">
      <c r="A27133" s="27"/>
    </row>
    <row r="27134" spans="1:1">
      <c r="A27134" s="27"/>
    </row>
    <row r="27135" spans="1:1">
      <c r="A27135" s="27"/>
    </row>
    <row r="27136" spans="1:1">
      <c r="A27136" s="27"/>
    </row>
    <row r="27137" spans="1:1">
      <c r="A27137" s="27"/>
    </row>
    <row r="27138" spans="1:1">
      <c r="A27138" s="27"/>
    </row>
    <row r="27139" spans="1:1">
      <c r="A27139" s="27"/>
    </row>
    <row r="27140" spans="1:1">
      <c r="A27140" s="27"/>
    </row>
    <row r="27141" spans="1:1">
      <c r="A27141" s="27"/>
    </row>
    <row r="27142" spans="1:1">
      <c r="A27142" s="27"/>
    </row>
    <row r="27143" spans="1:1">
      <c r="A27143" s="27"/>
    </row>
    <row r="27144" spans="1:1">
      <c r="A27144" s="27"/>
    </row>
    <row r="27145" spans="1:1">
      <c r="A27145" s="27"/>
    </row>
    <row r="27146" spans="1:1">
      <c r="A27146" s="27"/>
    </row>
    <row r="27147" spans="1:1">
      <c r="A27147" s="27"/>
    </row>
    <row r="27148" spans="1:1">
      <c r="A27148" s="27"/>
    </row>
    <row r="27149" spans="1:1">
      <c r="A27149" s="27"/>
    </row>
    <row r="27150" spans="1:1">
      <c r="A27150" s="27"/>
    </row>
    <row r="27151" spans="1:1">
      <c r="A27151" s="27"/>
    </row>
    <row r="27152" spans="1:1">
      <c r="A27152" s="27"/>
    </row>
    <row r="27153" spans="1:1">
      <c r="A27153" s="27"/>
    </row>
    <row r="27154" spans="1:1">
      <c r="A27154" s="27"/>
    </row>
    <row r="27155" spans="1:1">
      <c r="A27155" s="27"/>
    </row>
    <row r="27156" spans="1:1">
      <c r="A27156" s="27"/>
    </row>
    <row r="27157" spans="1:1">
      <c r="A27157" s="27"/>
    </row>
    <row r="27158" spans="1:1">
      <c r="A27158" s="27"/>
    </row>
    <row r="27159" spans="1:1">
      <c r="A27159" s="27"/>
    </row>
    <row r="27160" spans="1:1">
      <c r="A27160" s="27"/>
    </row>
    <row r="27161" spans="1:1">
      <c r="A27161" s="27"/>
    </row>
    <row r="27162" spans="1:1">
      <c r="A27162" s="27"/>
    </row>
    <row r="27163" spans="1:1">
      <c r="A27163" s="27"/>
    </row>
    <row r="27164" spans="1:1">
      <c r="A27164" s="27"/>
    </row>
    <row r="27165" spans="1:1">
      <c r="A27165" s="27"/>
    </row>
    <row r="27166" spans="1:1">
      <c r="A27166" s="27"/>
    </row>
    <row r="27167" spans="1:1">
      <c r="A27167" s="27"/>
    </row>
    <row r="27168" spans="1:1">
      <c r="A27168" s="27"/>
    </row>
    <row r="27169" spans="1:1">
      <c r="A27169" s="27"/>
    </row>
    <row r="27170" spans="1:1">
      <c r="A27170" s="27"/>
    </row>
    <row r="27171" spans="1:1">
      <c r="A27171" s="27"/>
    </row>
    <row r="27172" spans="1:1">
      <c r="A27172" s="27"/>
    </row>
    <row r="27173" spans="1:1">
      <c r="A27173" s="27"/>
    </row>
    <row r="27174" spans="1:1">
      <c r="A27174" s="27"/>
    </row>
    <row r="27175" spans="1:1">
      <c r="A27175" s="27"/>
    </row>
    <row r="27176" spans="1:1">
      <c r="A27176" s="27"/>
    </row>
    <row r="27177" spans="1:1">
      <c r="A27177" s="27"/>
    </row>
    <row r="27178" spans="1:1">
      <c r="A27178" s="27"/>
    </row>
    <row r="27179" spans="1:1">
      <c r="A27179" s="27"/>
    </row>
    <row r="27180" spans="1:1">
      <c r="A27180" s="27"/>
    </row>
    <row r="27181" spans="1:1">
      <c r="A27181" s="27"/>
    </row>
    <row r="27182" spans="1:1">
      <c r="A27182" s="27"/>
    </row>
    <row r="27183" spans="1:1">
      <c r="A27183" s="27"/>
    </row>
    <row r="27184" spans="1:1">
      <c r="A27184" s="27"/>
    </row>
    <row r="27185" spans="1:1">
      <c r="A27185" s="27"/>
    </row>
    <row r="27186" spans="1:1">
      <c r="A27186" s="27"/>
    </row>
    <row r="27187" spans="1:1">
      <c r="A27187" s="27"/>
    </row>
    <row r="27188" spans="1:1">
      <c r="A27188" s="27"/>
    </row>
    <row r="27189" spans="1:1">
      <c r="A27189" s="27"/>
    </row>
    <row r="27190" spans="1:1">
      <c r="A27190" s="27"/>
    </row>
    <row r="27191" spans="1:1">
      <c r="A27191" s="27"/>
    </row>
    <row r="27192" spans="1:1">
      <c r="A27192" s="27"/>
    </row>
    <row r="27193" spans="1:1">
      <c r="A27193" s="27"/>
    </row>
    <row r="27194" spans="1:1">
      <c r="A27194" s="27"/>
    </row>
    <row r="27195" spans="1:1">
      <c r="A27195" s="27"/>
    </row>
    <row r="27196" spans="1:1">
      <c r="A27196" s="27"/>
    </row>
    <row r="27197" spans="1:1">
      <c r="A27197" s="27"/>
    </row>
    <row r="27198" spans="1:1">
      <c r="A27198" s="27"/>
    </row>
    <row r="27199" spans="1:1">
      <c r="A27199" s="27"/>
    </row>
    <row r="27200" spans="1:1">
      <c r="A27200" s="27"/>
    </row>
    <row r="27201" spans="1:1">
      <c r="A27201" s="27"/>
    </row>
    <row r="27202" spans="1:1">
      <c r="A27202" s="27"/>
    </row>
    <row r="27203" spans="1:1">
      <c r="A27203" s="27"/>
    </row>
    <row r="27204" spans="1:1">
      <c r="A27204" s="27"/>
    </row>
    <row r="27205" spans="1:1">
      <c r="A27205" s="27"/>
    </row>
    <row r="27206" spans="1:1">
      <c r="A27206" s="27"/>
    </row>
    <row r="27207" spans="1:1">
      <c r="A27207" s="27"/>
    </row>
    <row r="27208" spans="1:1">
      <c r="A27208" s="27"/>
    </row>
    <row r="27209" spans="1:1">
      <c r="A27209" s="27"/>
    </row>
    <row r="27210" spans="1:1">
      <c r="A27210" s="27"/>
    </row>
    <row r="27211" spans="1:1">
      <c r="A27211" s="27"/>
    </row>
    <row r="27212" spans="1:1">
      <c r="A27212" s="27"/>
    </row>
    <row r="27213" spans="1:1">
      <c r="A27213" s="27"/>
    </row>
    <row r="27214" spans="1:1">
      <c r="A27214" s="27"/>
    </row>
    <row r="27215" spans="1:1">
      <c r="A27215" s="27"/>
    </row>
    <row r="27216" spans="1:1">
      <c r="A27216" s="27"/>
    </row>
    <row r="27217" spans="1:1">
      <c r="A27217" s="27"/>
    </row>
    <row r="27218" spans="1:1">
      <c r="A27218" s="27"/>
    </row>
    <row r="27219" spans="1:1">
      <c r="A27219" s="27"/>
    </row>
    <row r="27220" spans="1:1">
      <c r="A27220" s="27"/>
    </row>
    <row r="27221" spans="1:1">
      <c r="A27221" s="27"/>
    </row>
    <row r="27222" spans="1:1">
      <c r="A27222" s="27"/>
    </row>
    <row r="27223" spans="1:1">
      <c r="A27223" s="27"/>
    </row>
    <row r="27224" spans="1:1">
      <c r="A27224" s="27"/>
    </row>
    <row r="27225" spans="1:1">
      <c r="A27225" s="27"/>
    </row>
    <row r="27226" spans="1:1">
      <c r="A27226" s="27"/>
    </row>
    <row r="27227" spans="1:1">
      <c r="A27227" s="27"/>
    </row>
    <row r="27228" spans="1:1">
      <c r="A27228" s="27"/>
    </row>
    <row r="27229" spans="1:1">
      <c r="A27229" s="27"/>
    </row>
    <row r="27230" spans="1:1">
      <c r="A27230" s="27"/>
    </row>
    <row r="27231" spans="1:1">
      <c r="A27231" s="27"/>
    </row>
    <row r="27232" spans="1:1">
      <c r="A27232" s="27"/>
    </row>
    <row r="27233" spans="1:1">
      <c r="A27233" s="27"/>
    </row>
    <row r="27234" spans="1:1">
      <c r="A27234" s="27"/>
    </row>
    <row r="27235" spans="1:1">
      <c r="A27235" s="27"/>
    </row>
    <row r="27236" spans="1:1">
      <c r="A27236" s="27"/>
    </row>
    <row r="27237" spans="1:1">
      <c r="A27237" s="27"/>
    </row>
    <row r="27238" spans="1:1">
      <c r="A27238" s="27"/>
    </row>
    <row r="27239" spans="1:1">
      <c r="A27239" s="27"/>
    </row>
    <row r="27240" spans="1:1">
      <c r="A27240" s="27"/>
    </row>
    <row r="27241" spans="1:1">
      <c r="A27241" s="27"/>
    </row>
    <row r="27242" spans="1:1">
      <c r="A27242" s="27"/>
    </row>
    <row r="27243" spans="1:1">
      <c r="A27243" s="27"/>
    </row>
    <row r="27244" spans="1:1">
      <c r="A27244" s="27"/>
    </row>
    <row r="27245" spans="1:1">
      <c r="A27245" s="27"/>
    </row>
    <row r="27246" spans="1:1">
      <c r="A27246" s="27"/>
    </row>
    <row r="27247" spans="1:1">
      <c r="A27247" s="27"/>
    </row>
    <row r="27248" spans="1:1">
      <c r="A27248" s="27"/>
    </row>
    <row r="27249" spans="1:1">
      <c r="A27249" s="27"/>
    </row>
    <row r="27250" spans="1:1">
      <c r="A27250" s="27"/>
    </row>
    <row r="27251" spans="1:1">
      <c r="A27251" s="27"/>
    </row>
    <row r="27252" spans="1:1">
      <c r="A27252" s="27"/>
    </row>
    <row r="27253" spans="1:1">
      <c r="A27253" s="27"/>
    </row>
    <row r="27254" spans="1:1">
      <c r="A27254" s="27"/>
    </row>
    <row r="27255" spans="1:1">
      <c r="A27255" s="27"/>
    </row>
    <row r="27256" spans="1:1">
      <c r="A27256" s="27"/>
    </row>
    <row r="27257" spans="1:1">
      <c r="A27257" s="27"/>
    </row>
    <row r="27258" spans="1:1">
      <c r="A27258" s="27"/>
    </row>
    <row r="27259" spans="1:1">
      <c r="A27259" s="27"/>
    </row>
    <row r="27260" spans="1:1">
      <c r="A27260" s="27"/>
    </row>
    <row r="27261" spans="1:1">
      <c r="A27261" s="27"/>
    </row>
    <row r="27262" spans="1:1">
      <c r="A27262" s="27"/>
    </row>
    <row r="27263" spans="1:1">
      <c r="A27263" s="27"/>
    </row>
    <row r="27264" spans="1:1">
      <c r="A27264" s="27"/>
    </row>
    <row r="27265" spans="1:1">
      <c r="A27265" s="27"/>
    </row>
    <row r="27266" spans="1:1">
      <c r="A27266" s="27"/>
    </row>
    <row r="27267" spans="1:1">
      <c r="A27267" s="27"/>
    </row>
    <row r="27268" spans="1:1">
      <c r="A27268" s="27"/>
    </row>
    <row r="27269" spans="1:1">
      <c r="A27269" s="27"/>
    </row>
    <row r="27270" spans="1:1">
      <c r="A27270" s="27"/>
    </row>
    <row r="27271" spans="1:1">
      <c r="A27271" s="27"/>
    </row>
    <row r="27272" spans="1:1">
      <c r="A27272" s="27"/>
    </row>
    <row r="27273" spans="1:1">
      <c r="A27273" s="27"/>
    </row>
    <row r="27274" spans="1:1">
      <c r="A27274" s="27"/>
    </row>
    <row r="27275" spans="1:1">
      <c r="A27275" s="27"/>
    </row>
    <row r="27276" spans="1:1">
      <c r="A27276" s="27"/>
    </row>
    <row r="27277" spans="1:1">
      <c r="A27277" s="27"/>
    </row>
    <row r="27278" spans="1:1">
      <c r="A27278" s="27"/>
    </row>
    <row r="27279" spans="1:1">
      <c r="A27279" s="27"/>
    </row>
    <row r="27280" spans="1:1">
      <c r="A27280" s="27"/>
    </row>
    <row r="27281" spans="1:1">
      <c r="A27281" s="27"/>
    </row>
    <row r="27282" spans="1:1">
      <c r="A27282" s="27"/>
    </row>
    <row r="27283" spans="1:1">
      <c r="A27283" s="27"/>
    </row>
    <row r="27284" spans="1:1">
      <c r="A27284" s="27"/>
    </row>
    <row r="27285" spans="1:1">
      <c r="A27285" s="27"/>
    </row>
    <row r="27286" spans="1:1">
      <c r="A27286" s="27"/>
    </row>
    <row r="27287" spans="1:1">
      <c r="A27287" s="27"/>
    </row>
    <row r="27288" spans="1:1">
      <c r="A27288" s="27"/>
    </row>
    <row r="27289" spans="1:1">
      <c r="A27289" s="27"/>
    </row>
    <row r="27290" spans="1:1">
      <c r="A27290" s="27"/>
    </row>
    <row r="27291" spans="1:1">
      <c r="A27291" s="27"/>
    </row>
    <row r="27292" spans="1:1">
      <c r="A27292" s="27"/>
    </row>
    <row r="27293" spans="1:1">
      <c r="A27293" s="27"/>
    </row>
    <row r="27294" spans="1:1">
      <c r="A27294" s="27"/>
    </row>
    <row r="27295" spans="1:1">
      <c r="A27295" s="27"/>
    </row>
    <row r="27296" spans="1:1">
      <c r="A27296" s="27"/>
    </row>
    <row r="27297" spans="1:1">
      <c r="A27297" s="27"/>
    </row>
    <row r="27298" spans="1:1">
      <c r="A27298" s="27"/>
    </row>
    <row r="27299" spans="1:1">
      <c r="A27299" s="27"/>
    </row>
    <row r="27300" spans="1:1">
      <c r="A27300" s="27"/>
    </row>
    <row r="27301" spans="1:1">
      <c r="A27301" s="27"/>
    </row>
    <row r="27302" spans="1:1">
      <c r="A27302" s="27"/>
    </row>
    <row r="27303" spans="1:1">
      <c r="A27303" s="27"/>
    </row>
    <row r="27304" spans="1:1">
      <c r="A27304" s="27"/>
    </row>
    <row r="27305" spans="1:1">
      <c r="A27305" s="27"/>
    </row>
    <row r="27306" spans="1:1">
      <c r="A27306" s="27"/>
    </row>
    <row r="27307" spans="1:1">
      <c r="A27307" s="27"/>
    </row>
    <row r="27308" spans="1:1">
      <c r="A27308" s="27"/>
    </row>
    <row r="27309" spans="1:1">
      <c r="A27309" s="27"/>
    </row>
    <row r="27310" spans="1:1">
      <c r="A27310" s="27"/>
    </row>
    <row r="27311" spans="1:1">
      <c r="A27311" s="27"/>
    </row>
    <row r="27312" spans="1:1">
      <c r="A27312" s="27"/>
    </row>
    <row r="27313" spans="1:1">
      <c r="A27313" s="27"/>
    </row>
    <row r="27314" spans="1:1">
      <c r="A27314" s="27"/>
    </row>
    <row r="27315" spans="1:1">
      <c r="A27315" s="27"/>
    </row>
    <row r="27316" spans="1:1">
      <c r="A27316" s="27"/>
    </row>
    <row r="27317" spans="1:1">
      <c r="A27317" s="27"/>
    </row>
    <row r="27318" spans="1:1">
      <c r="A27318" s="27"/>
    </row>
    <row r="27319" spans="1:1">
      <c r="A27319" s="27"/>
    </row>
    <row r="27320" spans="1:1">
      <c r="A27320" s="27"/>
    </row>
    <row r="27321" spans="1:1">
      <c r="A27321" s="27"/>
    </row>
    <row r="27322" spans="1:1">
      <c r="A27322" s="27"/>
    </row>
    <row r="27323" spans="1:1">
      <c r="A27323" s="27"/>
    </row>
    <row r="27324" spans="1:1">
      <c r="A27324" s="27"/>
    </row>
    <row r="27325" spans="1:1">
      <c r="A27325" s="27"/>
    </row>
    <row r="27326" spans="1:1">
      <c r="A27326" s="27"/>
    </row>
    <row r="27327" spans="1:1">
      <c r="A27327" s="27"/>
    </row>
    <row r="27328" spans="1:1">
      <c r="A27328" s="27"/>
    </row>
    <row r="27329" spans="1:1">
      <c r="A27329" s="27"/>
    </row>
    <row r="27330" spans="1:1">
      <c r="A27330" s="27"/>
    </row>
    <row r="27331" spans="1:1">
      <c r="A27331" s="27"/>
    </row>
    <row r="27332" spans="1:1">
      <c r="A27332" s="27"/>
    </row>
    <row r="27333" spans="1:1">
      <c r="A27333" s="27"/>
    </row>
    <row r="27334" spans="1:1">
      <c r="A27334" s="27"/>
    </row>
    <row r="27335" spans="1:1">
      <c r="A27335" s="27"/>
    </row>
    <row r="27336" spans="1:1">
      <c r="A27336" s="27"/>
    </row>
    <row r="27337" spans="1:1">
      <c r="A27337" s="27"/>
    </row>
    <row r="27338" spans="1:1">
      <c r="A27338" s="27"/>
    </row>
    <row r="27339" spans="1:1">
      <c r="A27339" s="27"/>
    </row>
    <row r="27340" spans="1:1">
      <c r="A27340" s="27"/>
    </row>
    <row r="27341" spans="1:1">
      <c r="A27341" s="27"/>
    </row>
    <row r="27342" spans="1:1">
      <c r="A27342" s="27"/>
    </row>
    <row r="27343" spans="1:1">
      <c r="A27343" s="27"/>
    </row>
    <row r="27344" spans="1:1">
      <c r="A27344" s="27"/>
    </row>
    <row r="27345" spans="1:1">
      <c r="A27345" s="27"/>
    </row>
    <row r="27346" spans="1:1">
      <c r="A27346" s="27"/>
    </row>
    <row r="27347" spans="1:1">
      <c r="A27347" s="27"/>
    </row>
    <row r="27348" spans="1:1">
      <c r="A27348" s="27"/>
    </row>
    <row r="27349" spans="1:1">
      <c r="A27349" s="27"/>
    </row>
    <row r="27350" spans="1:1">
      <c r="A27350" s="27"/>
    </row>
    <row r="27351" spans="1:1">
      <c r="A27351" s="27"/>
    </row>
    <row r="27352" spans="1:1">
      <c r="A27352" s="27"/>
    </row>
    <row r="27353" spans="1:1">
      <c r="A27353" s="27"/>
    </row>
    <row r="27354" spans="1:1">
      <c r="A27354" s="27"/>
    </row>
    <row r="27355" spans="1:1">
      <c r="A27355" s="27"/>
    </row>
    <row r="27356" spans="1:1">
      <c r="A27356" s="27"/>
    </row>
    <row r="27357" spans="1:1">
      <c r="A27357" s="27"/>
    </row>
    <row r="27358" spans="1:1">
      <c r="A27358" s="27"/>
    </row>
    <row r="27359" spans="1:1">
      <c r="A27359" s="27"/>
    </row>
    <row r="27360" spans="1:1">
      <c r="A27360" s="27"/>
    </row>
    <row r="27361" spans="1:1">
      <c r="A27361" s="27"/>
    </row>
    <row r="27362" spans="1:1">
      <c r="A27362" s="27"/>
    </row>
    <row r="27363" spans="1:1">
      <c r="A27363" s="27"/>
    </row>
    <row r="27364" spans="1:1">
      <c r="A27364" s="27"/>
    </row>
    <row r="27365" spans="1:1">
      <c r="A27365" s="27"/>
    </row>
    <row r="27366" spans="1:1">
      <c r="A27366" s="27"/>
    </row>
    <row r="27367" spans="1:1">
      <c r="A27367" s="27"/>
    </row>
    <row r="27368" spans="1:1">
      <c r="A27368" s="27"/>
    </row>
    <row r="27369" spans="1:1">
      <c r="A27369" s="27"/>
    </row>
    <row r="27370" spans="1:1">
      <c r="A27370" s="27"/>
    </row>
    <row r="27371" spans="1:1">
      <c r="A27371" s="27"/>
    </row>
    <row r="27372" spans="1:1">
      <c r="A27372" s="27"/>
    </row>
    <row r="27373" spans="1:1">
      <c r="A27373" s="27"/>
    </row>
    <row r="27374" spans="1:1">
      <c r="A27374" s="27"/>
    </row>
    <row r="27375" spans="1:1">
      <c r="A27375" s="27"/>
    </row>
    <row r="27376" spans="1:1">
      <c r="A27376" s="27"/>
    </row>
    <row r="27377" spans="1:1">
      <c r="A27377" s="27"/>
    </row>
    <row r="27378" spans="1:1">
      <c r="A27378" s="27"/>
    </row>
    <row r="27379" spans="1:1">
      <c r="A27379" s="27"/>
    </row>
    <row r="27380" spans="1:1">
      <c r="A27380" s="27"/>
    </row>
    <row r="27381" spans="1:1">
      <c r="A27381" s="27"/>
    </row>
    <row r="27382" spans="1:1">
      <c r="A27382" s="27"/>
    </row>
    <row r="27383" spans="1:1">
      <c r="A27383" s="27"/>
    </row>
    <row r="27384" spans="1:1">
      <c r="A27384" s="27"/>
    </row>
    <row r="27385" spans="1:1">
      <c r="A27385" s="27"/>
    </row>
    <row r="27386" spans="1:1">
      <c r="A27386" s="27"/>
    </row>
    <row r="27387" spans="1:1">
      <c r="A27387" s="27"/>
    </row>
    <row r="27388" spans="1:1">
      <c r="A27388" s="27"/>
    </row>
    <row r="27389" spans="1:1">
      <c r="A27389" s="27"/>
    </row>
    <row r="27390" spans="1:1">
      <c r="A27390" s="27"/>
    </row>
    <row r="27391" spans="1:1">
      <c r="A27391" s="27"/>
    </row>
    <row r="27392" spans="1:1">
      <c r="A27392" s="27"/>
    </row>
    <row r="27393" spans="1:1">
      <c r="A27393" s="27"/>
    </row>
    <row r="27394" spans="1:1">
      <c r="A27394" s="27"/>
    </row>
    <row r="27395" spans="1:1">
      <c r="A27395" s="27"/>
    </row>
    <row r="27396" spans="1:1">
      <c r="A27396" s="27"/>
    </row>
    <row r="27397" spans="1:1">
      <c r="A27397" s="27"/>
    </row>
    <row r="27398" spans="1:1">
      <c r="A27398" s="27"/>
    </row>
    <row r="27399" spans="1:1">
      <c r="A27399" s="27"/>
    </row>
    <row r="27400" spans="1:1">
      <c r="A27400" s="27"/>
    </row>
    <row r="27401" spans="1:1">
      <c r="A27401" s="27"/>
    </row>
    <row r="27402" spans="1:1">
      <c r="A27402" s="27"/>
    </row>
    <row r="27403" spans="1:1">
      <c r="A27403" s="27"/>
    </row>
    <row r="27404" spans="1:1">
      <c r="A27404" s="27"/>
    </row>
    <row r="27405" spans="1:1">
      <c r="A27405" s="27"/>
    </row>
    <row r="27406" spans="1:1">
      <c r="A27406" s="27"/>
    </row>
    <row r="27407" spans="1:1">
      <c r="A27407" s="27"/>
    </row>
    <row r="27408" spans="1:1">
      <c r="A27408" s="27"/>
    </row>
    <row r="27409" spans="1:1">
      <c r="A27409" s="27"/>
    </row>
    <row r="27410" spans="1:1">
      <c r="A27410" s="27"/>
    </row>
    <row r="27411" spans="1:1">
      <c r="A27411" s="27"/>
    </row>
    <row r="27412" spans="1:1">
      <c r="A27412" s="27"/>
    </row>
    <row r="27413" spans="1:1">
      <c r="A27413" s="27"/>
    </row>
    <row r="27414" spans="1:1">
      <c r="A27414" s="27"/>
    </row>
    <row r="27415" spans="1:1">
      <c r="A27415" s="27"/>
    </row>
    <row r="27416" spans="1:1">
      <c r="A27416" s="27"/>
    </row>
    <row r="27417" spans="1:1">
      <c r="A27417" s="27"/>
    </row>
    <row r="27418" spans="1:1">
      <c r="A27418" s="27"/>
    </row>
    <row r="27419" spans="1:1">
      <c r="A27419" s="27"/>
    </row>
    <row r="27420" spans="1:1">
      <c r="A27420" s="27"/>
    </row>
    <row r="27421" spans="1:1">
      <c r="A27421" s="27"/>
    </row>
    <row r="27422" spans="1:1">
      <c r="A27422" s="27"/>
    </row>
    <row r="27423" spans="1:1">
      <c r="A27423" s="27"/>
    </row>
    <row r="27424" spans="1:1">
      <c r="A27424" s="27"/>
    </row>
    <row r="27425" spans="1:1">
      <c r="A27425" s="27"/>
    </row>
    <row r="27426" spans="1:1">
      <c r="A27426" s="27"/>
    </row>
    <row r="27427" spans="1:1">
      <c r="A27427" s="27"/>
    </row>
    <row r="27428" spans="1:1">
      <c r="A27428" s="27"/>
    </row>
    <row r="27429" spans="1:1">
      <c r="A27429" s="27"/>
    </row>
    <row r="27430" spans="1:1">
      <c r="A27430" s="27"/>
    </row>
    <row r="27431" spans="1:1">
      <c r="A27431" s="27"/>
    </row>
    <row r="27432" spans="1:1">
      <c r="A27432" s="27"/>
    </row>
    <row r="27433" spans="1:1">
      <c r="A27433" s="27"/>
    </row>
    <row r="27434" spans="1:1">
      <c r="A27434" s="27"/>
    </row>
    <row r="27435" spans="1:1">
      <c r="A27435" s="27"/>
    </row>
    <row r="27436" spans="1:1">
      <c r="A27436" s="27"/>
    </row>
    <row r="27437" spans="1:1">
      <c r="A27437" s="27"/>
    </row>
    <row r="27438" spans="1:1">
      <c r="A27438" s="27"/>
    </row>
    <row r="27439" spans="1:1">
      <c r="A27439" s="27"/>
    </row>
    <row r="27440" spans="1:1">
      <c r="A27440" s="27"/>
    </row>
    <row r="27441" spans="1:1">
      <c r="A27441" s="27"/>
    </row>
    <row r="27442" spans="1:1">
      <c r="A27442" s="27"/>
    </row>
    <row r="27443" spans="1:1">
      <c r="A27443" s="27"/>
    </row>
    <row r="27444" spans="1:1">
      <c r="A27444" s="27"/>
    </row>
    <row r="27445" spans="1:1">
      <c r="A27445" s="27"/>
    </row>
    <row r="27446" spans="1:1">
      <c r="A27446" s="27"/>
    </row>
    <row r="27447" spans="1:1">
      <c r="A27447" s="27"/>
    </row>
    <row r="27448" spans="1:1">
      <c r="A27448" s="27"/>
    </row>
    <row r="27449" spans="1:1">
      <c r="A27449" s="27"/>
    </row>
    <row r="27450" spans="1:1">
      <c r="A27450" s="27"/>
    </row>
    <row r="27451" spans="1:1">
      <c r="A27451" s="27"/>
    </row>
    <row r="27452" spans="1:1">
      <c r="A27452" s="27"/>
    </row>
    <row r="27453" spans="1:1">
      <c r="A27453" s="27"/>
    </row>
    <row r="27454" spans="1:1">
      <c r="A27454" s="27"/>
    </row>
    <row r="27455" spans="1:1">
      <c r="A27455" s="27"/>
    </row>
    <row r="27456" spans="1:1">
      <c r="A27456" s="27"/>
    </row>
    <row r="27457" spans="1:1">
      <c r="A27457" s="27"/>
    </row>
    <row r="27458" spans="1:1">
      <c r="A27458" s="27"/>
    </row>
    <row r="27459" spans="1:1">
      <c r="A27459" s="27"/>
    </row>
    <row r="27460" spans="1:1">
      <c r="A27460" s="27"/>
    </row>
    <row r="27461" spans="1:1">
      <c r="A27461" s="27"/>
    </row>
    <row r="27462" spans="1:1">
      <c r="A27462" s="27"/>
    </row>
    <row r="27463" spans="1:1">
      <c r="A27463" s="27"/>
    </row>
    <row r="27464" spans="1:1">
      <c r="A27464" s="27"/>
    </row>
    <row r="27465" spans="1:1">
      <c r="A27465" s="27"/>
    </row>
    <row r="27466" spans="1:1">
      <c r="A27466" s="27"/>
    </row>
    <row r="27467" spans="1:1">
      <c r="A27467" s="27"/>
    </row>
    <row r="27468" spans="1:1">
      <c r="A27468" s="27"/>
    </row>
    <row r="27469" spans="1:1">
      <c r="A27469" s="27"/>
    </row>
    <row r="27470" spans="1:1">
      <c r="A27470" s="27"/>
    </row>
    <row r="27471" spans="1:1">
      <c r="A27471" s="27"/>
    </row>
    <row r="27472" spans="1:1">
      <c r="A27472" s="27"/>
    </row>
    <row r="27473" spans="1:1">
      <c r="A27473" s="27"/>
    </row>
    <row r="27474" spans="1:1">
      <c r="A27474" s="27"/>
    </row>
    <row r="27475" spans="1:1">
      <c r="A27475" s="27"/>
    </row>
    <row r="27476" spans="1:1">
      <c r="A27476" s="27"/>
    </row>
    <row r="27477" spans="1:1">
      <c r="A27477" s="27"/>
    </row>
    <row r="27478" spans="1:1">
      <c r="A27478" s="27"/>
    </row>
    <row r="27479" spans="1:1">
      <c r="A27479" s="27"/>
    </row>
    <row r="27480" spans="1:1">
      <c r="A27480" s="27"/>
    </row>
    <row r="27481" spans="1:1">
      <c r="A27481" s="27"/>
    </row>
    <row r="27482" spans="1:1">
      <c r="A27482" s="27"/>
    </row>
    <row r="27483" spans="1:1">
      <c r="A27483" s="27"/>
    </row>
    <row r="27484" spans="1:1">
      <c r="A27484" s="27"/>
    </row>
    <row r="27485" spans="1:1">
      <c r="A27485" s="27"/>
    </row>
    <row r="27486" spans="1:1">
      <c r="A27486" s="27"/>
    </row>
    <row r="27487" spans="1:1">
      <c r="A27487" s="27"/>
    </row>
    <row r="27488" spans="1:1">
      <c r="A27488" s="27"/>
    </row>
    <row r="27489" spans="1:1">
      <c r="A27489" s="27"/>
    </row>
    <row r="27490" spans="1:1">
      <c r="A27490" s="27"/>
    </row>
    <row r="27491" spans="1:1">
      <c r="A27491" s="27"/>
    </row>
    <row r="27492" spans="1:1">
      <c r="A27492" s="27"/>
    </row>
    <row r="27493" spans="1:1">
      <c r="A27493" s="27"/>
    </row>
    <row r="27494" spans="1:1">
      <c r="A27494" s="27"/>
    </row>
    <row r="27495" spans="1:1">
      <c r="A27495" s="27"/>
    </row>
    <row r="27496" spans="1:1">
      <c r="A27496" s="27"/>
    </row>
    <row r="27497" spans="1:1">
      <c r="A27497" s="27"/>
    </row>
    <row r="27498" spans="1:1">
      <c r="A27498" s="27"/>
    </row>
    <row r="27499" spans="1:1">
      <c r="A27499" s="27"/>
    </row>
    <row r="27500" spans="1:1">
      <c r="A27500" s="27"/>
    </row>
    <row r="27501" spans="1:1">
      <c r="A27501" s="27"/>
    </row>
    <row r="27502" spans="1:1">
      <c r="A27502" s="27"/>
    </row>
    <row r="27503" spans="1:1">
      <c r="A27503" s="27"/>
    </row>
    <row r="27504" spans="1:1">
      <c r="A27504" s="27"/>
    </row>
    <row r="27505" spans="1:1">
      <c r="A27505" s="27"/>
    </row>
    <row r="27506" spans="1:1">
      <c r="A27506" s="27"/>
    </row>
    <row r="27507" spans="1:1">
      <c r="A27507" s="27"/>
    </row>
    <row r="27508" spans="1:1">
      <c r="A27508" s="27"/>
    </row>
    <row r="27509" spans="1:1">
      <c r="A27509" s="27"/>
    </row>
    <row r="27510" spans="1:1">
      <c r="A27510" s="27"/>
    </row>
    <row r="27511" spans="1:1">
      <c r="A27511" s="27"/>
    </row>
    <row r="27512" spans="1:1">
      <c r="A27512" s="27"/>
    </row>
    <row r="27513" spans="1:1">
      <c r="A27513" s="27"/>
    </row>
    <row r="27514" spans="1:1">
      <c r="A27514" s="27"/>
    </row>
    <row r="27515" spans="1:1">
      <c r="A27515" s="27"/>
    </row>
    <row r="27516" spans="1:1">
      <c r="A27516" s="27"/>
    </row>
    <row r="27517" spans="1:1">
      <c r="A27517" s="27"/>
    </row>
    <row r="27518" spans="1:1">
      <c r="A27518" s="27"/>
    </row>
    <row r="27519" spans="1:1">
      <c r="A27519" s="27"/>
    </row>
    <row r="27520" spans="1:1">
      <c r="A27520" s="27"/>
    </row>
    <row r="27521" spans="1:1">
      <c r="A27521" s="27"/>
    </row>
    <row r="27522" spans="1:1">
      <c r="A27522" s="27"/>
    </row>
    <row r="27523" spans="1:1">
      <c r="A27523" s="27"/>
    </row>
    <row r="27524" spans="1:1">
      <c r="A27524" s="27"/>
    </row>
    <row r="27525" spans="1:1">
      <c r="A27525" s="27"/>
    </row>
    <row r="27526" spans="1:1">
      <c r="A27526" s="27"/>
    </row>
    <row r="27527" spans="1:1">
      <c r="A27527" s="27"/>
    </row>
    <row r="27528" spans="1:1">
      <c r="A27528" s="27"/>
    </row>
    <row r="27529" spans="1:1">
      <c r="A27529" s="27"/>
    </row>
    <row r="27530" spans="1:1">
      <c r="A27530" s="27"/>
    </row>
    <row r="27531" spans="1:1">
      <c r="A27531" s="27"/>
    </row>
    <row r="27532" spans="1:1">
      <c r="A27532" s="27"/>
    </row>
    <row r="27533" spans="1:1">
      <c r="A27533" s="27"/>
    </row>
    <row r="27534" spans="1:1">
      <c r="A27534" s="27"/>
    </row>
    <row r="27535" spans="1:1">
      <c r="A27535" s="27"/>
    </row>
    <row r="27536" spans="1:1">
      <c r="A27536" s="27"/>
    </row>
    <row r="27537" spans="1:1">
      <c r="A27537" s="27"/>
    </row>
    <row r="27538" spans="1:1">
      <c r="A27538" s="27"/>
    </row>
    <row r="27539" spans="1:1">
      <c r="A27539" s="27"/>
    </row>
    <row r="27540" spans="1:1">
      <c r="A27540" s="27"/>
    </row>
    <row r="27541" spans="1:1">
      <c r="A27541" s="27"/>
    </row>
    <row r="27542" spans="1:1">
      <c r="A27542" s="27"/>
    </row>
    <row r="27543" spans="1:1">
      <c r="A27543" s="27"/>
    </row>
    <row r="27544" spans="1:1">
      <c r="A27544" s="27"/>
    </row>
    <row r="27545" spans="1:1">
      <c r="A27545" s="27"/>
    </row>
    <row r="27546" spans="1:1">
      <c r="A27546" s="27"/>
    </row>
    <row r="27547" spans="1:1">
      <c r="A27547" s="27"/>
    </row>
    <row r="27548" spans="1:1">
      <c r="A27548" s="27"/>
    </row>
    <row r="27549" spans="1:1">
      <c r="A27549" s="27"/>
    </row>
    <row r="27550" spans="1:1">
      <c r="A27550" s="27"/>
    </row>
    <row r="27551" spans="1:1">
      <c r="A27551" s="27"/>
    </row>
    <row r="27552" spans="1:1">
      <c r="A27552" s="27"/>
    </row>
    <row r="27553" spans="1:1">
      <c r="A27553" s="27"/>
    </row>
    <row r="27554" spans="1:1">
      <c r="A27554" s="27"/>
    </row>
    <row r="27555" spans="1:1">
      <c r="A27555" s="27"/>
    </row>
    <row r="27556" spans="1:1">
      <c r="A27556" s="27"/>
    </row>
    <row r="27557" spans="1:1">
      <c r="A27557" s="27"/>
    </row>
    <row r="27558" spans="1:1">
      <c r="A27558" s="27"/>
    </row>
    <row r="27559" spans="1:1">
      <c r="A27559" s="27"/>
    </row>
    <row r="27560" spans="1:1">
      <c r="A27560" s="27"/>
    </row>
    <row r="27561" spans="1:1">
      <c r="A27561" s="27"/>
    </row>
    <row r="27562" spans="1:1">
      <c r="A27562" s="27"/>
    </row>
    <row r="27563" spans="1:1">
      <c r="A27563" s="27"/>
    </row>
    <row r="27564" spans="1:1">
      <c r="A27564" s="27"/>
    </row>
    <row r="27565" spans="1:1">
      <c r="A27565" s="27"/>
    </row>
    <row r="27566" spans="1:1">
      <c r="A27566" s="27"/>
    </row>
    <row r="27567" spans="1:1">
      <c r="A27567" s="27"/>
    </row>
    <row r="27568" spans="1:1">
      <c r="A27568" s="27"/>
    </row>
    <row r="27569" spans="1:1">
      <c r="A27569" s="27"/>
    </row>
    <row r="27570" spans="1:1">
      <c r="A27570" s="27"/>
    </row>
    <row r="27571" spans="1:1">
      <c r="A27571" s="27"/>
    </row>
    <row r="27572" spans="1:1">
      <c r="A27572" s="27"/>
    </row>
    <row r="27573" spans="1:1">
      <c r="A27573" s="27"/>
    </row>
    <row r="27574" spans="1:1">
      <c r="A27574" s="27"/>
    </row>
    <row r="27575" spans="1:1">
      <c r="A27575" s="27"/>
    </row>
    <row r="27576" spans="1:1">
      <c r="A27576" s="27"/>
    </row>
    <row r="27577" spans="1:1">
      <c r="A27577" s="27"/>
    </row>
    <row r="27578" spans="1:1">
      <c r="A27578" s="27"/>
    </row>
    <row r="27579" spans="1:1">
      <c r="A27579" s="27"/>
    </row>
    <row r="27580" spans="1:1">
      <c r="A27580" s="27"/>
    </row>
    <row r="27581" spans="1:1">
      <c r="A27581" s="27"/>
    </row>
    <row r="27582" spans="1:1">
      <c r="A27582" s="27"/>
    </row>
    <row r="27583" spans="1:1">
      <c r="A27583" s="27"/>
    </row>
    <row r="27584" spans="1:1">
      <c r="A27584" s="27"/>
    </row>
    <row r="27585" spans="1:1">
      <c r="A27585" s="27"/>
    </row>
    <row r="27586" spans="1:1">
      <c r="A27586" s="27"/>
    </row>
    <row r="27587" spans="1:1">
      <c r="A27587" s="27"/>
    </row>
    <row r="27588" spans="1:1">
      <c r="A27588" s="27"/>
    </row>
    <row r="27589" spans="1:1">
      <c r="A27589" s="27"/>
    </row>
    <row r="27590" spans="1:1">
      <c r="A27590" s="27"/>
    </row>
    <row r="27591" spans="1:1">
      <c r="A27591" s="27"/>
    </row>
    <row r="27592" spans="1:1">
      <c r="A27592" s="27"/>
    </row>
    <row r="27593" spans="1:1">
      <c r="A27593" s="27"/>
    </row>
    <row r="27594" spans="1:1">
      <c r="A27594" s="27"/>
    </row>
    <row r="27595" spans="1:1">
      <c r="A27595" s="27"/>
    </row>
    <row r="27596" spans="1:1">
      <c r="A27596" s="27"/>
    </row>
    <row r="27597" spans="1:1">
      <c r="A27597" s="27"/>
    </row>
    <row r="27598" spans="1:1">
      <c r="A27598" s="27"/>
    </row>
    <row r="27599" spans="1:1">
      <c r="A27599" s="27"/>
    </row>
    <row r="27600" spans="1:1">
      <c r="A27600" s="27"/>
    </row>
    <row r="27601" spans="1:1">
      <c r="A27601" s="27"/>
    </row>
    <row r="27602" spans="1:1">
      <c r="A27602" s="27"/>
    </row>
    <row r="27603" spans="1:1">
      <c r="A27603" s="27"/>
    </row>
    <row r="27604" spans="1:1">
      <c r="A27604" s="27"/>
    </row>
    <row r="27605" spans="1:1">
      <c r="A27605" s="27"/>
    </row>
    <row r="27606" spans="1:1">
      <c r="A27606" s="27"/>
    </row>
    <row r="27607" spans="1:1">
      <c r="A27607" s="27"/>
    </row>
    <row r="27608" spans="1:1">
      <c r="A27608" s="27"/>
    </row>
    <row r="27609" spans="1:1">
      <c r="A27609" s="27"/>
    </row>
    <row r="27610" spans="1:1">
      <c r="A27610" s="27"/>
    </row>
    <row r="27611" spans="1:1">
      <c r="A27611" s="27"/>
    </row>
    <row r="27612" spans="1:1">
      <c r="A27612" s="27"/>
    </row>
    <row r="27613" spans="1:1">
      <c r="A27613" s="27"/>
    </row>
    <row r="27614" spans="1:1">
      <c r="A27614" s="27"/>
    </row>
    <row r="27615" spans="1:1">
      <c r="A27615" s="27"/>
    </row>
    <row r="27616" spans="1:1">
      <c r="A27616" s="27"/>
    </row>
    <row r="27617" spans="1:1">
      <c r="A27617" s="27"/>
    </row>
    <row r="27618" spans="1:1">
      <c r="A27618" s="27"/>
    </row>
    <row r="27619" spans="1:1">
      <c r="A27619" s="27"/>
    </row>
    <row r="27620" spans="1:1">
      <c r="A27620" s="27"/>
    </row>
    <row r="27621" spans="1:1">
      <c r="A27621" s="27"/>
    </row>
    <row r="27622" spans="1:1">
      <c r="A27622" s="27"/>
    </row>
    <row r="27623" spans="1:1">
      <c r="A27623" s="27"/>
    </row>
    <row r="27624" spans="1:1">
      <c r="A27624" s="27"/>
    </row>
    <row r="27625" spans="1:1">
      <c r="A27625" s="27"/>
    </row>
    <row r="27626" spans="1:1">
      <c r="A27626" s="27"/>
    </row>
    <row r="27627" spans="1:1">
      <c r="A27627" s="27"/>
    </row>
    <row r="27628" spans="1:1">
      <c r="A27628" s="27"/>
    </row>
    <row r="27629" spans="1:1">
      <c r="A27629" s="27"/>
    </row>
    <row r="27630" spans="1:1">
      <c r="A27630" s="27"/>
    </row>
    <row r="27631" spans="1:1">
      <c r="A27631" s="27"/>
    </row>
    <row r="27632" spans="1:1">
      <c r="A27632" s="27"/>
    </row>
    <row r="27633" spans="1:1">
      <c r="A27633" s="27"/>
    </row>
    <row r="27634" spans="1:1">
      <c r="A27634" s="27"/>
    </row>
    <row r="27635" spans="1:1">
      <c r="A27635" s="27"/>
    </row>
    <row r="27636" spans="1:1">
      <c r="A27636" s="27"/>
    </row>
    <row r="27637" spans="1:1">
      <c r="A27637" s="27"/>
    </row>
    <row r="27638" spans="1:1">
      <c r="A27638" s="27"/>
    </row>
    <row r="27639" spans="1:1">
      <c r="A27639" s="27"/>
    </row>
    <row r="27640" spans="1:1">
      <c r="A27640" s="27"/>
    </row>
    <row r="27641" spans="1:1">
      <c r="A27641" s="27"/>
    </row>
    <row r="27642" spans="1:1">
      <c r="A27642" s="27"/>
    </row>
    <row r="27643" spans="1:1">
      <c r="A27643" s="27"/>
    </row>
    <row r="27644" spans="1:1">
      <c r="A27644" s="27"/>
    </row>
    <row r="27645" spans="1:1">
      <c r="A27645" s="27"/>
    </row>
    <row r="27646" spans="1:1">
      <c r="A27646" s="27"/>
    </row>
    <row r="27647" spans="1:1">
      <c r="A27647" s="27"/>
    </row>
    <row r="27648" spans="1:1">
      <c r="A27648" s="27"/>
    </row>
    <row r="27649" spans="1:1">
      <c r="A27649" s="27"/>
    </row>
    <row r="27650" spans="1:1">
      <c r="A27650" s="27"/>
    </row>
    <row r="27651" spans="1:1">
      <c r="A27651" s="27"/>
    </row>
    <row r="27652" spans="1:1">
      <c r="A27652" s="27"/>
    </row>
    <row r="27653" spans="1:1">
      <c r="A27653" s="27"/>
    </row>
    <row r="27654" spans="1:1">
      <c r="A27654" s="27"/>
    </row>
    <row r="27655" spans="1:1">
      <c r="A27655" s="27"/>
    </row>
    <row r="27656" spans="1:1">
      <c r="A27656" s="27"/>
    </row>
    <row r="27657" spans="1:1">
      <c r="A27657" s="27"/>
    </row>
    <row r="27658" spans="1:1">
      <c r="A27658" s="27"/>
    </row>
    <row r="27659" spans="1:1">
      <c r="A27659" s="27"/>
    </row>
    <row r="27660" spans="1:1">
      <c r="A27660" s="27"/>
    </row>
    <row r="27661" spans="1:1">
      <c r="A27661" s="27"/>
    </row>
    <row r="27662" spans="1:1">
      <c r="A27662" s="27"/>
    </row>
    <row r="27663" spans="1:1">
      <c r="A27663" s="27"/>
    </row>
    <row r="27664" spans="1:1">
      <c r="A27664" s="27"/>
    </row>
    <row r="27665" spans="1:1">
      <c r="A27665" s="27"/>
    </row>
    <row r="27666" spans="1:1">
      <c r="A27666" s="27"/>
    </row>
    <row r="27667" spans="1:1">
      <c r="A27667" s="27"/>
    </row>
    <row r="27668" spans="1:1">
      <c r="A27668" s="27"/>
    </row>
    <row r="27669" spans="1:1">
      <c r="A27669" s="27"/>
    </row>
    <row r="27670" spans="1:1">
      <c r="A27670" s="27"/>
    </row>
    <row r="27671" spans="1:1">
      <c r="A27671" s="27"/>
    </row>
    <row r="27672" spans="1:1">
      <c r="A27672" s="27"/>
    </row>
    <row r="27673" spans="1:1">
      <c r="A27673" s="27"/>
    </row>
    <row r="27674" spans="1:1">
      <c r="A27674" s="27"/>
    </row>
    <row r="27675" spans="1:1">
      <c r="A27675" s="27"/>
    </row>
    <row r="27676" spans="1:1">
      <c r="A27676" s="27"/>
    </row>
    <row r="27677" spans="1:1">
      <c r="A27677" s="27"/>
    </row>
    <row r="27678" spans="1:1">
      <c r="A27678" s="27"/>
    </row>
    <row r="27679" spans="1:1">
      <c r="A27679" s="27"/>
    </row>
    <row r="27680" spans="1:1">
      <c r="A27680" s="27"/>
    </row>
    <row r="27681" spans="1:1">
      <c r="A27681" s="27"/>
    </row>
    <row r="27682" spans="1:1">
      <c r="A27682" s="27"/>
    </row>
    <row r="27683" spans="1:1">
      <c r="A27683" s="27"/>
    </row>
    <row r="27684" spans="1:1">
      <c r="A27684" s="27"/>
    </row>
    <row r="27685" spans="1:1">
      <c r="A27685" s="27"/>
    </row>
    <row r="27686" spans="1:1">
      <c r="A27686" s="27"/>
    </row>
    <row r="27687" spans="1:1">
      <c r="A27687" s="27"/>
    </row>
    <row r="27688" spans="1:1">
      <c r="A27688" s="27"/>
    </row>
    <row r="27689" spans="1:1">
      <c r="A27689" s="27"/>
    </row>
    <row r="27690" spans="1:1">
      <c r="A27690" s="27"/>
    </row>
    <row r="27691" spans="1:1">
      <c r="A27691" s="27"/>
    </row>
    <row r="27692" spans="1:1">
      <c r="A27692" s="27"/>
    </row>
    <row r="27693" spans="1:1">
      <c r="A27693" s="27"/>
    </row>
    <row r="27694" spans="1:1">
      <c r="A27694" s="27"/>
    </row>
    <row r="27695" spans="1:1">
      <c r="A27695" s="27"/>
    </row>
    <row r="27696" spans="1:1">
      <c r="A27696" s="27"/>
    </row>
    <row r="27697" spans="1:1">
      <c r="A27697" s="27"/>
    </row>
    <row r="27698" spans="1:1">
      <c r="A27698" s="27"/>
    </row>
    <row r="27699" spans="1:1">
      <c r="A27699" s="27"/>
    </row>
    <row r="27700" spans="1:1">
      <c r="A27700" s="27"/>
    </row>
    <row r="27701" spans="1:1">
      <c r="A27701" s="27"/>
    </row>
    <row r="27702" spans="1:1">
      <c r="A27702" s="27"/>
    </row>
    <row r="27703" spans="1:1">
      <c r="A27703" s="27"/>
    </row>
    <row r="27704" spans="1:1">
      <c r="A27704" s="27"/>
    </row>
    <row r="27705" spans="1:1">
      <c r="A27705" s="27"/>
    </row>
    <row r="27706" spans="1:1">
      <c r="A27706" s="27"/>
    </row>
    <row r="27707" spans="1:1">
      <c r="A27707" s="27"/>
    </row>
    <row r="27708" spans="1:1">
      <c r="A27708" s="27"/>
    </row>
    <row r="27709" spans="1:1">
      <c r="A27709" s="27"/>
    </row>
    <row r="27710" spans="1:1">
      <c r="A27710" s="27"/>
    </row>
    <row r="27711" spans="1:1">
      <c r="A27711" s="27"/>
    </row>
    <row r="27712" spans="1:1">
      <c r="A27712" s="27"/>
    </row>
    <row r="27713" spans="1:1">
      <c r="A27713" s="27"/>
    </row>
    <row r="27714" spans="1:1">
      <c r="A27714" s="27"/>
    </row>
    <row r="27715" spans="1:1">
      <c r="A27715" s="27"/>
    </row>
    <row r="27716" spans="1:1">
      <c r="A27716" s="27"/>
    </row>
    <row r="27717" spans="1:1">
      <c r="A27717" s="27"/>
    </row>
    <row r="27718" spans="1:1">
      <c r="A27718" s="27"/>
    </row>
    <row r="27719" spans="1:1">
      <c r="A27719" s="27"/>
    </row>
    <row r="27720" spans="1:1">
      <c r="A27720" s="27"/>
    </row>
    <row r="27721" spans="1:1">
      <c r="A27721" s="27"/>
    </row>
    <row r="27722" spans="1:1">
      <c r="A27722" s="27"/>
    </row>
    <row r="27723" spans="1:1">
      <c r="A27723" s="27"/>
    </row>
    <row r="27724" spans="1:1">
      <c r="A27724" s="27"/>
    </row>
    <row r="27725" spans="1:1">
      <c r="A27725" s="27"/>
    </row>
    <row r="27726" spans="1:1">
      <c r="A27726" s="27"/>
    </row>
    <row r="27727" spans="1:1">
      <c r="A27727" s="27"/>
    </row>
    <row r="27728" spans="1:1">
      <c r="A27728" s="27"/>
    </row>
    <row r="27729" spans="1:1">
      <c r="A27729" s="27"/>
    </row>
    <row r="27730" spans="1:1">
      <c r="A27730" s="27"/>
    </row>
    <row r="27731" spans="1:1">
      <c r="A27731" s="27"/>
    </row>
    <row r="27732" spans="1:1">
      <c r="A27732" s="27"/>
    </row>
    <row r="27733" spans="1:1">
      <c r="A27733" s="27"/>
    </row>
    <row r="27734" spans="1:1">
      <c r="A27734" s="27"/>
    </row>
    <row r="27735" spans="1:1">
      <c r="A27735" s="27"/>
    </row>
    <row r="27736" spans="1:1">
      <c r="A27736" s="27"/>
    </row>
    <row r="27737" spans="1:1">
      <c r="A27737" s="27"/>
    </row>
    <row r="27738" spans="1:1">
      <c r="A27738" s="27"/>
    </row>
    <row r="27739" spans="1:1">
      <c r="A27739" s="27"/>
    </row>
    <row r="27740" spans="1:1">
      <c r="A27740" s="27"/>
    </row>
    <row r="27741" spans="1:1">
      <c r="A27741" s="27"/>
    </row>
    <row r="27742" spans="1:1">
      <c r="A27742" s="27"/>
    </row>
    <row r="27743" spans="1:1">
      <c r="A27743" s="27"/>
    </row>
    <row r="27744" spans="1:1">
      <c r="A27744" s="27"/>
    </row>
    <row r="27745" spans="1:1">
      <c r="A27745" s="27"/>
    </row>
    <row r="27746" spans="1:1">
      <c r="A27746" s="27"/>
    </row>
    <row r="27747" spans="1:1">
      <c r="A27747" s="27"/>
    </row>
    <row r="27748" spans="1:1">
      <c r="A27748" s="27"/>
    </row>
    <row r="27749" spans="1:1">
      <c r="A27749" s="27"/>
    </row>
    <row r="27750" spans="1:1">
      <c r="A27750" s="27"/>
    </row>
    <row r="27751" spans="1:1">
      <c r="A27751" s="27"/>
    </row>
    <row r="27752" spans="1:1">
      <c r="A27752" s="27"/>
    </row>
    <row r="27753" spans="1:1">
      <c r="A27753" s="27"/>
    </row>
    <row r="27754" spans="1:1">
      <c r="A27754" s="27"/>
    </row>
    <row r="27755" spans="1:1">
      <c r="A27755" s="27"/>
    </row>
    <row r="27756" spans="1:1">
      <c r="A27756" s="27"/>
    </row>
    <row r="27757" spans="1:1">
      <c r="A27757" s="27"/>
    </row>
    <row r="27758" spans="1:1">
      <c r="A27758" s="27"/>
    </row>
    <row r="27759" spans="1:1">
      <c r="A27759" s="27"/>
    </row>
    <row r="27760" spans="1:1">
      <c r="A27760" s="27"/>
    </row>
    <row r="27761" spans="1:1">
      <c r="A27761" s="27"/>
    </row>
    <row r="27762" spans="1:1">
      <c r="A27762" s="27"/>
    </row>
    <row r="27763" spans="1:1">
      <c r="A27763" s="27"/>
    </row>
    <row r="27764" spans="1:1">
      <c r="A27764" s="27"/>
    </row>
    <row r="27765" spans="1:1">
      <c r="A27765" s="27"/>
    </row>
    <row r="27766" spans="1:1">
      <c r="A27766" s="27"/>
    </row>
    <row r="27767" spans="1:1">
      <c r="A27767" s="27"/>
    </row>
    <row r="27768" spans="1:1">
      <c r="A27768" s="27"/>
    </row>
    <row r="27769" spans="1:1">
      <c r="A27769" s="27"/>
    </row>
    <row r="27770" spans="1:1">
      <c r="A27770" s="27"/>
    </row>
    <row r="27771" spans="1:1">
      <c r="A27771" s="27"/>
    </row>
    <row r="27772" spans="1:1">
      <c r="A27772" s="27"/>
    </row>
    <row r="27773" spans="1:1">
      <c r="A27773" s="27"/>
    </row>
    <row r="27774" spans="1:1">
      <c r="A27774" s="27"/>
    </row>
    <row r="27775" spans="1:1">
      <c r="A27775" s="27"/>
    </row>
    <row r="27776" spans="1:1">
      <c r="A27776" s="27"/>
    </row>
    <row r="27777" spans="1:1">
      <c r="A27777" s="27"/>
    </row>
    <row r="27778" spans="1:1">
      <c r="A27778" s="27"/>
    </row>
    <row r="27779" spans="1:1">
      <c r="A27779" s="27"/>
    </row>
    <row r="27780" spans="1:1">
      <c r="A27780" s="27"/>
    </row>
    <row r="27781" spans="1:1">
      <c r="A27781" s="27"/>
    </row>
    <row r="27782" spans="1:1">
      <c r="A27782" s="27"/>
    </row>
    <row r="27783" spans="1:1">
      <c r="A27783" s="27"/>
    </row>
    <row r="27784" spans="1:1">
      <c r="A27784" s="27"/>
    </row>
    <row r="27785" spans="1:1">
      <c r="A27785" s="27"/>
    </row>
    <row r="27786" spans="1:1">
      <c r="A27786" s="27"/>
    </row>
    <row r="27787" spans="1:1">
      <c r="A27787" s="27"/>
    </row>
    <row r="27788" spans="1:1">
      <c r="A27788" s="27"/>
    </row>
    <row r="27789" spans="1:1">
      <c r="A27789" s="27"/>
    </row>
    <row r="27790" spans="1:1">
      <c r="A27790" s="27"/>
    </row>
    <row r="27791" spans="1:1">
      <c r="A27791" s="27"/>
    </row>
    <row r="27792" spans="1:1">
      <c r="A27792" s="27"/>
    </row>
    <row r="27793" spans="1:1">
      <c r="A27793" s="27"/>
    </row>
    <row r="27794" spans="1:1">
      <c r="A27794" s="27"/>
    </row>
    <row r="27795" spans="1:1">
      <c r="A27795" s="27"/>
    </row>
    <row r="27796" spans="1:1">
      <c r="A27796" s="27"/>
    </row>
    <row r="27797" spans="1:1">
      <c r="A27797" s="27"/>
    </row>
    <row r="27798" spans="1:1">
      <c r="A27798" s="27"/>
    </row>
    <row r="27799" spans="1:1">
      <c r="A27799" s="27"/>
    </row>
    <row r="27800" spans="1:1">
      <c r="A27800" s="27"/>
    </row>
    <row r="27801" spans="1:1">
      <c r="A27801" s="27"/>
    </row>
    <row r="27802" spans="1:1">
      <c r="A27802" s="27"/>
    </row>
    <row r="27803" spans="1:1">
      <c r="A27803" s="27"/>
    </row>
    <row r="27804" spans="1:1">
      <c r="A27804" s="27"/>
    </row>
    <row r="27805" spans="1:1">
      <c r="A27805" s="27"/>
    </row>
    <row r="27806" spans="1:1">
      <c r="A27806" s="27"/>
    </row>
    <row r="27807" spans="1:1">
      <c r="A27807" s="27"/>
    </row>
    <row r="27808" spans="1:1">
      <c r="A27808" s="27"/>
    </row>
    <row r="27809" spans="1:1">
      <c r="A27809" s="27"/>
    </row>
    <row r="27810" spans="1:1">
      <c r="A27810" s="27"/>
    </row>
    <row r="27811" spans="1:1">
      <c r="A27811" s="27"/>
    </row>
    <row r="27812" spans="1:1">
      <c r="A27812" s="27"/>
    </row>
    <row r="27813" spans="1:1">
      <c r="A27813" s="27"/>
    </row>
    <row r="27814" spans="1:1">
      <c r="A27814" s="27"/>
    </row>
    <row r="27815" spans="1:1">
      <c r="A27815" s="27"/>
    </row>
    <row r="27816" spans="1:1">
      <c r="A27816" s="27"/>
    </row>
    <row r="27817" spans="1:1">
      <c r="A27817" s="27"/>
    </row>
    <row r="27818" spans="1:1">
      <c r="A27818" s="27"/>
    </row>
    <row r="27819" spans="1:1">
      <c r="A27819" s="27"/>
    </row>
    <row r="27820" spans="1:1">
      <c r="A27820" s="27"/>
    </row>
    <row r="27821" spans="1:1">
      <c r="A27821" s="27"/>
    </row>
    <row r="27822" spans="1:1">
      <c r="A27822" s="27"/>
    </row>
    <row r="27823" spans="1:1">
      <c r="A27823" s="27"/>
    </row>
    <row r="27824" spans="1:1">
      <c r="A27824" s="27"/>
    </row>
    <row r="27825" spans="1:1">
      <c r="A27825" s="27"/>
    </row>
    <row r="27826" spans="1:1">
      <c r="A27826" s="27"/>
    </row>
    <row r="27827" spans="1:1">
      <c r="A27827" s="27"/>
    </row>
    <row r="27828" spans="1:1">
      <c r="A27828" s="27"/>
    </row>
    <row r="27829" spans="1:1">
      <c r="A27829" s="27"/>
    </row>
    <row r="27830" spans="1:1">
      <c r="A27830" s="27"/>
    </row>
    <row r="27831" spans="1:1">
      <c r="A27831" s="27"/>
    </row>
    <row r="27832" spans="1:1">
      <c r="A27832" s="27"/>
    </row>
    <row r="27833" spans="1:1">
      <c r="A27833" s="27"/>
    </row>
    <row r="27834" spans="1:1">
      <c r="A27834" s="27"/>
    </row>
    <row r="27835" spans="1:1">
      <c r="A27835" s="27"/>
    </row>
    <row r="27836" spans="1:1">
      <c r="A27836" s="27"/>
    </row>
    <row r="27837" spans="1:1">
      <c r="A27837" s="27"/>
    </row>
    <row r="27838" spans="1:1">
      <c r="A27838" s="27"/>
    </row>
    <row r="27839" spans="1:1">
      <c r="A27839" s="27"/>
    </row>
    <row r="27840" spans="1:1">
      <c r="A27840" s="27"/>
    </row>
    <row r="27841" spans="1:1">
      <c r="A27841" s="27"/>
    </row>
    <row r="27842" spans="1:1">
      <c r="A27842" s="27"/>
    </row>
    <row r="27843" spans="1:1">
      <c r="A27843" s="27"/>
    </row>
    <row r="27844" spans="1:1">
      <c r="A27844" s="27"/>
    </row>
    <row r="27845" spans="1:1">
      <c r="A27845" s="27"/>
    </row>
    <row r="27846" spans="1:1">
      <c r="A27846" s="27"/>
    </row>
    <row r="27847" spans="1:1">
      <c r="A27847" s="27"/>
    </row>
    <row r="27848" spans="1:1">
      <c r="A27848" s="27"/>
    </row>
    <row r="27849" spans="1:1">
      <c r="A27849" s="27"/>
    </row>
    <row r="27850" spans="1:1">
      <c r="A27850" s="27"/>
    </row>
    <row r="27851" spans="1:1">
      <c r="A27851" s="27"/>
    </row>
    <row r="27852" spans="1:1">
      <c r="A27852" s="27"/>
    </row>
    <row r="27853" spans="1:1">
      <c r="A27853" s="27"/>
    </row>
    <row r="27854" spans="1:1">
      <c r="A27854" s="27"/>
    </row>
    <row r="27855" spans="1:1">
      <c r="A27855" s="27"/>
    </row>
    <row r="27856" spans="1:1">
      <c r="A27856" s="27"/>
    </row>
    <row r="27857" spans="1:1">
      <c r="A27857" s="27"/>
    </row>
    <row r="27858" spans="1:1">
      <c r="A27858" s="27"/>
    </row>
    <row r="27859" spans="1:1">
      <c r="A27859" s="27"/>
    </row>
    <row r="27860" spans="1:1">
      <c r="A27860" s="27"/>
    </row>
    <row r="27861" spans="1:1">
      <c r="A27861" s="27"/>
    </row>
    <row r="27862" spans="1:1">
      <c r="A27862" s="27"/>
    </row>
    <row r="27863" spans="1:1">
      <c r="A27863" s="27"/>
    </row>
    <row r="27864" spans="1:1">
      <c r="A27864" s="27"/>
    </row>
    <row r="27865" spans="1:1">
      <c r="A27865" s="27"/>
    </row>
    <row r="27866" spans="1:1">
      <c r="A27866" s="27"/>
    </row>
    <row r="27867" spans="1:1">
      <c r="A27867" s="27"/>
    </row>
    <row r="27868" spans="1:1">
      <c r="A27868" s="27"/>
    </row>
    <row r="27869" spans="1:1">
      <c r="A27869" s="27"/>
    </row>
    <row r="27870" spans="1:1">
      <c r="A27870" s="27"/>
    </row>
    <row r="27871" spans="1:1">
      <c r="A27871" s="27"/>
    </row>
    <row r="27872" spans="1:1">
      <c r="A27872" s="27"/>
    </row>
    <row r="27873" spans="1:1">
      <c r="A27873" s="27"/>
    </row>
    <row r="27874" spans="1:1">
      <c r="A27874" s="27"/>
    </row>
    <row r="27875" spans="1:1">
      <c r="A27875" s="27"/>
    </row>
    <row r="27876" spans="1:1">
      <c r="A27876" s="27"/>
    </row>
    <row r="27877" spans="1:1">
      <c r="A27877" s="27"/>
    </row>
    <row r="27878" spans="1:1">
      <c r="A27878" s="27"/>
    </row>
    <row r="27879" spans="1:1">
      <c r="A27879" s="27"/>
    </row>
    <row r="27880" spans="1:1">
      <c r="A27880" s="27"/>
    </row>
    <row r="27881" spans="1:1">
      <c r="A27881" s="27"/>
    </row>
    <row r="27882" spans="1:1">
      <c r="A27882" s="27"/>
    </row>
    <row r="27883" spans="1:1">
      <c r="A27883" s="27"/>
    </row>
    <row r="27884" spans="1:1">
      <c r="A27884" s="27"/>
    </row>
    <row r="27885" spans="1:1">
      <c r="A27885" s="27"/>
    </row>
    <row r="27886" spans="1:1">
      <c r="A27886" s="27"/>
    </row>
    <row r="27887" spans="1:1">
      <c r="A27887" s="27"/>
    </row>
    <row r="27888" spans="1:1">
      <c r="A27888" s="27"/>
    </row>
    <row r="27889" spans="1:1">
      <c r="A27889" s="27"/>
    </row>
    <row r="27890" spans="1:1">
      <c r="A27890" s="27"/>
    </row>
    <row r="27891" spans="1:1">
      <c r="A27891" s="27"/>
    </row>
    <row r="27892" spans="1:1">
      <c r="A27892" s="27"/>
    </row>
    <row r="27893" spans="1:1">
      <c r="A27893" s="27"/>
    </row>
    <row r="27894" spans="1:1">
      <c r="A27894" s="27"/>
    </row>
    <row r="27895" spans="1:1">
      <c r="A27895" s="27"/>
    </row>
    <row r="27896" spans="1:1">
      <c r="A27896" s="27"/>
    </row>
    <row r="27897" spans="1:1">
      <c r="A27897" s="27"/>
    </row>
    <row r="27898" spans="1:1">
      <c r="A27898" s="27"/>
    </row>
    <row r="27899" spans="1:1">
      <c r="A27899" s="27"/>
    </row>
    <row r="27900" spans="1:1">
      <c r="A27900" s="27"/>
    </row>
    <row r="27901" spans="1:1">
      <c r="A27901" s="27"/>
    </row>
    <row r="27902" spans="1:1">
      <c r="A27902" s="27"/>
    </row>
    <row r="27903" spans="1:1">
      <c r="A27903" s="27"/>
    </row>
    <row r="27904" spans="1:1">
      <c r="A27904" s="27"/>
    </row>
    <row r="27905" spans="1:1">
      <c r="A27905" s="27"/>
    </row>
    <row r="27906" spans="1:1">
      <c r="A27906" s="27"/>
    </row>
    <row r="27907" spans="1:1">
      <c r="A27907" s="27"/>
    </row>
    <row r="27908" spans="1:1">
      <c r="A27908" s="27"/>
    </row>
    <row r="27909" spans="1:1">
      <c r="A27909" s="27"/>
    </row>
    <row r="27910" spans="1:1">
      <c r="A27910" s="27"/>
    </row>
    <row r="27911" spans="1:1">
      <c r="A27911" s="27"/>
    </row>
    <row r="27912" spans="1:1">
      <c r="A27912" s="27"/>
    </row>
    <row r="27913" spans="1:1">
      <c r="A27913" s="27"/>
    </row>
    <row r="27914" spans="1:1">
      <c r="A27914" s="27"/>
    </row>
    <row r="27915" spans="1:1">
      <c r="A27915" s="27"/>
    </row>
    <row r="27916" spans="1:1">
      <c r="A27916" s="27"/>
    </row>
    <row r="27917" spans="1:1">
      <c r="A27917" s="27"/>
    </row>
    <row r="27918" spans="1:1">
      <c r="A27918" s="27"/>
    </row>
    <row r="27919" spans="1:1">
      <c r="A27919" s="27"/>
    </row>
    <row r="27920" spans="1:1">
      <c r="A27920" s="27"/>
    </row>
    <row r="27921" spans="1:1">
      <c r="A27921" s="27"/>
    </row>
    <row r="27922" spans="1:1">
      <c r="A27922" s="27"/>
    </row>
    <row r="27923" spans="1:1">
      <c r="A27923" s="27"/>
    </row>
    <row r="27924" spans="1:1">
      <c r="A27924" s="27"/>
    </row>
    <row r="27925" spans="1:1">
      <c r="A27925" s="27"/>
    </row>
    <row r="27926" spans="1:1">
      <c r="A27926" s="27"/>
    </row>
    <row r="27927" spans="1:1">
      <c r="A27927" s="27"/>
    </row>
    <row r="27928" spans="1:1">
      <c r="A27928" s="27"/>
    </row>
    <row r="27929" spans="1:1">
      <c r="A27929" s="27"/>
    </row>
    <row r="27930" spans="1:1">
      <c r="A27930" s="27"/>
    </row>
    <row r="27931" spans="1:1">
      <c r="A27931" s="27"/>
    </row>
    <row r="27932" spans="1:1">
      <c r="A27932" s="27"/>
    </row>
    <row r="27933" spans="1:1">
      <c r="A27933" s="27"/>
    </row>
    <row r="27934" spans="1:1">
      <c r="A27934" s="27"/>
    </row>
    <row r="27935" spans="1:1">
      <c r="A27935" s="27"/>
    </row>
    <row r="27936" spans="1:1">
      <c r="A27936" s="27"/>
    </row>
    <row r="27937" spans="1:1">
      <c r="A27937" s="27"/>
    </row>
    <row r="27938" spans="1:1">
      <c r="A27938" s="27"/>
    </row>
    <row r="27939" spans="1:1">
      <c r="A27939" s="27"/>
    </row>
    <row r="27940" spans="1:1">
      <c r="A27940" s="27"/>
    </row>
    <row r="27941" spans="1:1">
      <c r="A27941" s="27"/>
    </row>
    <row r="27942" spans="1:1">
      <c r="A27942" s="27"/>
    </row>
    <row r="27943" spans="1:1">
      <c r="A27943" s="27"/>
    </row>
    <row r="27944" spans="1:1">
      <c r="A27944" s="27"/>
    </row>
    <row r="27945" spans="1:1">
      <c r="A27945" s="27"/>
    </row>
    <row r="27946" spans="1:1">
      <c r="A27946" s="27"/>
    </row>
    <row r="27947" spans="1:1">
      <c r="A27947" s="27"/>
    </row>
    <row r="27948" spans="1:1">
      <c r="A27948" s="27"/>
    </row>
    <row r="27949" spans="1:1">
      <c r="A27949" s="27"/>
    </row>
    <row r="27950" spans="1:1">
      <c r="A27950" s="27"/>
    </row>
    <row r="27951" spans="1:1">
      <c r="A27951" s="27"/>
    </row>
    <row r="27952" spans="1:1">
      <c r="A27952" s="27"/>
    </row>
    <row r="27953" spans="1:1">
      <c r="A27953" s="27"/>
    </row>
    <row r="27954" spans="1:1">
      <c r="A27954" s="27"/>
    </row>
    <row r="27955" spans="1:1">
      <c r="A27955" s="27"/>
    </row>
    <row r="27956" spans="1:1">
      <c r="A27956" s="27"/>
    </row>
    <row r="27957" spans="1:1">
      <c r="A27957" s="27"/>
    </row>
    <row r="27958" spans="1:1">
      <c r="A27958" s="27"/>
    </row>
    <row r="27959" spans="1:1">
      <c r="A27959" s="27"/>
    </row>
    <row r="27960" spans="1:1">
      <c r="A27960" s="27"/>
    </row>
    <row r="27961" spans="1:1">
      <c r="A27961" s="27"/>
    </row>
    <row r="27962" spans="1:1">
      <c r="A27962" s="27"/>
    </row>
    <row r="27963" spans="1:1">
      <c r="A27963" s="27"/>
    </row>
    <row r="27964" spans="1:1">
      <c r="A27964" s="27"/>
    </row>
    <row r="27965" spans="1:1">
      <c r="A27965" s="27"/>
    </row>
    <row r="27966" spans="1:1">
      <c r="A27966" s="27"/>
    </row>
    <row r="27967" spans="1:1">
      <c r="A27967" s="27"/>
    </row>
    <row r="27968" spans="1:1">
      <c r="A27968" s="27"/>
    </row>
    <row r="27969" spans="1:1">
      <c r="A27969" s="27"/>
    </row>
    <row r="27970" spans="1:1">
      <c r="A27970" s="27"/>
    </row>
    <row r="27971" spans="1:1">
      <c r="A27971" s="27"/>
    </row>
    <row r="27972" spans="1:1">
      <c r="A27972" s="27"/>
    </row>
    <row r="27973" spans="1:1">
      <c r="A27973" s="27"/>
    </row>
    <row r="27974" spans="1:1">
      <c r="A27974" s="27"/>
    </row>
    <row r="27975" spans="1:1">
      <c r="A27975" s="27"/>
    </row>
    <row r="27976" spans="1:1">
      <c r="A27976" s="27"/>
    </row>
    <row r="27977" spans="1:1">
      <c r="A27977" s="27"/>
    </row>
    <row r="27978" spans="1:1">
      <c r="A27978" s="27"/>
    </row>
    <row r="27979" spans="1:1">
      <c r="A27979" s="27"/>
    </row>
    <row r="27980" spans="1:1">
      <c r="A27980" s="27"/>
    </row>
    <row r="27981" spans="1:1">
      <c r="A27981" s="27"/>
    </row>
    <row r="27982" spans="1:1">
      <c r="A27982" s="27"/>
    </row>
    <row r="27983" spans="1:1">
      <c r="A27983" s="27"/>
    </row>
    <row r="27984" spans="1:1">
      <c r="A27984" s="27"/>
    </row>
    <row r="27985" spans="1:1">
      <c r="A27985" s="27"/>
    </row>
    <row r="27986" spans="1:1">
      <c r="A27986" s="27"/>
    </row>
    <row r="27987" spans="1:1">
      <c r="A27987" s="27"/>
    </row>
    <row r="27988" spans="1:1">
      <c r="A27988" s="27"/>
    </row>
    <row r="27989" spans="1:1">
      <c r="A27989" s="27"/>
    </row>
    <row r="27990" spans="1:1">
      <c r="A27990" s="27"/>
    </row>
    <row r="27991" spans="1:1">
      <c r="A27991" s="27"/>
    </row>
    <row r="27992" spans="1:1">
      <c r="A27992" s="27"/>
    </row>
    <row r="27993" spans="1:1">
      <c r="A27993" s="27"/>
    </row>
    <row r="27994" spans="1:1">
      <c r="A27994" s="27"/>
    </row>
    <row r="27995" spans="1:1">
      <c r="A27995" s="27"/>
    </row>
    <row r="27996" spans="1:1">
      <c r="A27996" s="27"/>
    </row>
    <row r="27997" spans="1:1">
      <c r="A27997" s="27"/>
    </row>
    <row r="27998" spans="1:1">
      <c r="A27998" s="27"/>
    </row>
    <row r="27999" spans="1:1">
      <c r="A27999" s="27"/>
    </row>
    <row r="28000" spans="1:1">
      <c r="A28000" s="27"/>
    </row>
    <row r="28001" spans="1:1">
      <c r="A28001" s="27"/>
    </row>
    <row r="28002" spans="1:1">
      <c r="A28002" s="27"/>
    </row>
    <row r="28003" spans="1:1">
      <c r="A28003" s="27"/>
    </row>
    <row r="28004" spans="1:1">
      <c r="A28004" s="27"/>
    </row>
    <row r="28005" spans="1:1">
      <c r="A28005" s="27"/>
    </row>
    <row r="28006" spans="1:1">
      <c r="A28006" s="27"/>
    </row>
    <row r="28007" spans="1:1">
      <c r="A28007" s="27"/>
    </row>
    <row r="28008" spans="1:1">
      <c r="A28008" s="27"/>
    </row>
    <row r="28009" spans="1:1">
      <c r="A28009" s="27"/>
    </row>
    <row r="28010" spans="1:1">
      <c r="A28010" s="27"/>
    </row>
    <row r="28011" spans="1:1">
      <c r="A28011" s="27"/>
    </row>
    <row r="28012" spans="1:1">
      <c r="A28012" s="27"/>
    </row>
    <row r="28013" spans="1:1">
      <c r="A28013" s="27"/>
    </row>
    <row r="28014" spans="1:1">
      <c r="A28014" s="27"/>
    </row>
    <row r="28015" spans="1:1">
      <c r="A28015" s="27"/>
    </row>
    <row r="28016" spans="1:1">
      <c r="A28016" s="27"/>
    </row>
    <row r="28017" spans="1:1">
      <c r="A28017" s="27"/>
    </row>
    <row r="28018" spans="1:1">
      <c r="A28018" s="27"/>
    </row>
    <row r="28019" spans="1:1">
      <c r="A28019" s="27"/>
    </row>
    <row r="28020" spans="1:1">
      <c r="A28020" s="27"/>
    </row>
    <row r="28021" spans="1:1">
      <c r="A28021" s="27"/>
    </row>
    <row r="28022" spans="1:1">
      <c r="A28022" s="27"/>
    </row>
    <row r="28023" spans="1:1">
      <c r="A28023" s="27"/>
    </row>
    <row r="28024" spans="1:1">
      <c r="A28024" s="27"/>
    </row>
    <row r="28025" spans="1:1">
      <c r="A28025" s="27"/>
    </row>
    <row r="28026" spans="1:1">
      <c r="A28026" s="27"/>
    </row>
    <row r="28027" spans="1:1">
      <c r="A28027" s="27"/>
    </row>
    <row r="28028" spans="1:1">
      <c r="A28028" s="27"/>
    </row>
    <row r="28029" spans="1:1">
      <c r="A28029" s="27"/>
    </row>
    <row r="28030" spans="1:1">
      <c r="A28030" s="27"/>
    </row>
    <row r="28031" spans="1:1">
      <c r="A28031" s="27"/>
    </row>
    <row r="28032" spans="1:1">
      <c r="A28032" s="27"/>
    </row>
    <row r="28033" spans="1:1">
      <c r="A28033" s="27"/>
    </row>
    <row r="28034" spans="1:1">
      <c r="A28034" s="27"/>
    </row>
    <row r="28035" spans="1:1">
      <c r="A28035" s="27"/>
    </row>
    <row r="28036" spans="1:1">
      <c r="A28036" s="27"/>
    </row>
    <row r="28037" spans="1:1">
      <c r="A28037" s="27"/>
    </row>
    <row r="28038" spans="1:1">
      <c r="A28038" s="27"/>
    </row>
    <row r="28039" spans="1:1">
      <c r="A28039" s="27"/>
    </row>
    <row r="28040" spans="1:1">
      <c r="A28040" s="27"/>
    </row>
    <row r="28041" spans="1:1">
      <c r="A28041" s="27"/>
    </row>
    <row r="28042" spans="1:1">
      <c r="A28042" s="27"/>
    </row>
    <row r="28043" spans="1:1">
      <c r="A28043" s="27"/>
    </row>
    <row r="28044" spans="1:1">
      <c r="A28044" s="27"/>
    </row>
    <row r="28045" spans="1:1">
      <c r="A28045" s="27"/>
    </row>
    <row r="28046" spans="1:1">
      <c r="A28046" s="27"/>
    </row>
    <row r="28047" spans="1:1">
      <c r="A28047" s="27"/>
    </row>
    <row r="28048" spans="1:1">
      <c r="A28048" s="27"/>
    </row>
    <row r="28049" spans="1:1">
      <c r="A28049" s="27"/>
    </row>
    <row r="28050" spans="1:1">
      <c r="A28050" s="27"/>
    </row>
    <row r="28051" spans="1:1">
      <c r="A28051" s="27"/>
    </row>
    <row r="28052" spans="1:1">
      <c r="A28052" s="27"/>
    </row>
    <row r="28053" spans="1:1">
      <c r="A28053" s="27"/>
    </row>
    <row r="28054" spans="1:1">
      <c r="A28054" s="27"/>
    </row>
    <row r="28055" spans="1:1">
      <c r="A28055" s="27"/>
    </row>
    <row r="28056" spans="1:1">
      <c r="A28056" s="27"/>
    </row>
    <row r="28057" spans="1:1">
      <c r="A28057" s="27"/>
    </row>
    <row r="28058" spans="1:1">
      <c r="A28058" s="27"/>
    </row>
    <row r="28059" spans="1:1">
      <c r="A28059" s="27"/>
    </row>
    <row r="28060" spans="1:1">
      <c r="A28060" s="27"/>
    </row>
    <row r="28061" spans="1:1">
      <c r="A28061" s="27"/>
    </row>
    <row r="28062" spans="1:1">
      <c r="A28062" s="27"/>
    </row>
    <row r="28063" spans="1:1">
      <c r="A28063" s="27"/>
    </row>
    <row r="28064" spans="1:1">
      <c r="A28064" s="27"/>
    </row>
    <row r="28065" spans="1:1">
      <c r="A28065" s="27"/>
    </row>
    <row r="28066" spans="1:1">
      <c r="A28066" s="27"/>
    </row>
    <row r="28067" spans="1:1">
      <c r="A28067" s="27"/>
    </row>
    <row r="28068" spans="1:1">
      <c r="A28068" s="27"/>
    </row>
    <row r="28069" spans="1:1">
      <c r="A28069" s="27"/>
    </row>
    <row r="28070" spans="1:1">
      <c r="A28070" s="27"/>
    </row>
    <row r="28071" spans="1:1">
      <c r="A28071" s="27"/>
    </row>
    <row r="28072" spans="1:1">
      <c r="A28072" s="27"/>
    </row>
    <row r="28073" spans="1:1">
      <c r="A28073" s="27"/>
    </row>
    <row r="28074" spans="1:1">
      <c r="A28074" s="27"/>
    </row>
    <row r="28075" spans="1:1">
      <c r="A28075" s="27"/>
    </row>
    <row r="28076" spans="1:1">
      <c r="A28076" s="27"/>
    </row>
    <row r="28077" spans="1:1">
      <c r="A28077" s="27"/>
    </row>
    <row r="28078" spans="1:1">
      <c r="A28078" s="27"/>
    </row>
    <row r="28079" spans="1:1">
      <c r="A28079" s="27"/>
    </row>
    <row r="28080" spans="1:1">
      <c r="A28080" s="27"/>
    </row>
    <row r="28081" spans="1:1">
      <c r="A28081" s="27"/>
    </row>
    <row r="28082" spans="1:1">
      <c r="A28082" s="27"/>
    </row>
    <row r="28083" spans="1:1">
      <c r="A28083" s="27"/>
    </row>
    <row r="28084" spans="1:1">
      <c r="A28084" s="27"/>
    </row>
    <row r="28085" spans="1:1">
      <c r="A28085" s="27"/>
    </row>
    <row r="28086" spans="1:1">
      <c r="A28086" s="27"/>
    </row>
    <row r="28087" spans="1:1">
      <c r="A28087" s="27"/>
    </row>
    <row r="28088" spans="1:1">
      <c r="A28088" s="27"/>
    </row>
    <row r="28089" spans="1:1">
      <c r="A28089" s="27"/>
    </row>
    <row r="28090" spans="1:1">
      <c r="A28090" s="27"/>
    </row>
    <row r="28091" spans="1:1">
      <c r="A28091" s="27"/>
    </row>
    <row r="28092" spans="1:1">
      <c r="A28092" s="27"/>
    </row>
    <row r="28093" spans="1:1">
      <c r="A28093" s="27"/>
    </row>
    <row r="28094" spans="1:1">
      <c r="A28094" s="27"/>
    </row>
    <row r="28095" spans="1:1">
      <c r="A28095" s="27"/>
    </row>
    <row r="28096" spans="1:1">
      <c r="A28096" s="27"/>
    </row>
    <row r="28097" spans="1:1">
      <c r="A28097" s="27"/>
    </row>
    <row r="28098" spans="1:1">
      <c r="A28098" s="27"/>
    </row>
    <row r="28099" spans="1:1">
      <c r="A28099" s="27"/>
    </row>
    <row r="28100" spans="1:1">
      <c r="A28100" s="27"/>
    </row>
    <row r="28101" spans="1:1">
      <c r="A28101" s="27"/>
    </row>
    <row r="28102" spans="1:1">
      <c r="A28102" s="27"/>
    </row>
    <row r="28103" spans="1:1">
      <c r="A28103" s="27"/>
    </row>
    <row r="28104" spans="1:1">
      <c r="A28104" s="27"/>
    </row>
    <row r="28105" spans="1:1">
      <c r="A28105" s="27"/>
    </row>
    <row r="28106" spans="1:1">
      <c r="A28106" s="27"/>
    </row>
    <row r="28107" spans="1:1">
      <c r="A28107" s="27"/>
    </row>
    <row r="28108" spans="1:1">
      <c r="A28108" s="27"/>
    </row>
    <row r="28109" spans="1:1">
      <c r="A28109" s="27"/>
    </row>
    <row r="28110" spans="1:1">
      <c r="A28110" s="27"/>
    </row>
    <row r="28111" spans="1:1">
      <c r="A28111" s="27"/>
    </row>
    <row r="28112" spans="1:1">
      <c r="A28112" s="27"/>
    </row>
    <row r="28113" spans="1:1">
      <c r="A28113" s="27"/>
    </row>
    <row r="28114" spans="1:1">
      <c r="A28114" s="27"/>
    </row>
    <row r="28115" spans="1:1">
      <c r="A28115" s="27"/>
    </row>
    <row r="28116" spans="1:1">
      <c r="A28116" s="27"/>
    </row>
    <row r="28117" spans="1:1">
      <c r="A28117" s="27"/>
    </row>
    <row r="28118" spans="1:1">
      <c r="A28118" s="27"/>
    </row>
    <row r="28119" spans="1:1">
      <c r="A28119" s="27"/>
    </row>
    <row r="28120" spans="1:1">
      <c r="A28120" s="27"/>
    </row>
    <row r="28121" spans="1:1">
      <c r="A28121" s="27"/>
    </row>
    <row r="28122" spans="1:1">
      <c r="A28122" s="27"/>
    </row>
    <row r="28123" spans="1:1">
      <c r="A28123" s="27"/>
    </row>
    <row r="28124" spans="1:1">
      <c r="A28124" s="27"/>
    </row>
    <row r="28125" spans="1:1">
      <c r="A28125" s="27"/>
    </row>
    <row r="28126" spans="1:1">
      <c r="A28126" s="27"/>
    </row>
    <row r="28127" spans="1:1">
      <c r="A28127" s="27"/>
    </row>
    <row r="28128" spans="1:1">
      <c r="A28128" s="27"/>
    </row>
    <row r="28129" spans="1:1">
      <c r="A28129" s="27"/>
    </row>
    <row r="28130" spans="1:1">
      <c r="A28130" s="27"/>
    </row>
    <row r="28131" spans="1:1">
      <c r="A28131" s="27"/>
    </row>
    <row r="28132" spans="1:1">
      <c r="A28132" s="27"/>
    </row>
    <row r="28133" spans="1:1">
      <c r="A28133" s="27"/>
    </row>
    <row r="28134" spans="1:1">
      <c r="A28134" s="27"/>
    </row>
    <row r="28135" spans="1:1">
      <c r="A28135" s="27"/>
    </row>
    <row r="28136" spans="1:1">
      <c r="A28136" s="27"/>
    </row>
    <row r="28137" spans="1:1">
      <c r="A28137" s="27"/>
    </row>
    <row r="28138" spans="1:1">
      <c r="A28138" s="27"/>
    </row>
    <row r="28139" spans="1:1">
      <c r="A28139" s="27"/>
    </row>
    <row r="28140" spans="1:1">
      <c r="A28140" s="27"/>
    </row>
    <row r="28141" spans="1:1">
      <c r="A28141" s="27"/>
    </row>
    <row r="28142" spans="1:1">
      <c r="A28142" s="27"/>
    </row>
    <row r="28143" spans="1:1">
      <c r="A28143" s="27"/>
    </row>
    <row r="28144" spans="1:1">
      <c r="A28144" s="27"/>
    </row>
    <row r="28145" spans="1:1">
      <c r="A28145" s="27"/>
    </row>
    <row r="28146" spans="1:1">
      <c r="A28146" s="27"/>
    </row>
    <row r="28147" spans="1:1">
      <c r="A28147" s="27"/>
    </row>
    <row r="28148" spans="1:1">
      <c r="A28148" s="27"/>
    </row>
    <row r="28149" spans="1:1">
      <c r="A28149" s="27"/>
    </row>
    <row r="28150" spans="1:1">
      <c r="A28150" s="27"/>
    </row>
    <row r="28151" spans="1:1">
      <c r="A28151" s="27"/>
    </row>
    <row r="28152" spans="1:1">
      <c r="A28152" s="27"/>
    </row>
    <row r="28153" spans="1:1">
      <c r="A28153" s="27"/>
    </row>
    <row r="28154" spans="1:1">
      <c r="A28154" s="27"/>
    </row>
    <row r="28155" spans="1:1">
      <c r="A28155" s="27"/>
    </row>
    <row r="28156" spans="1:1">
      <c r="A28156" s="27"/>
    </row>
    <row r="28157" spans="1:1">
      <c r="A28157" s="27"/>
    </row>
    <row r="28158" spans="1:1">
      <c r="A28158" s="27"/>
    </row>
    <row r="28159" spans="1:1">
      <c r="A28159" s="27"/>
    </row>
    <row r="28160" spans="1:1">
      <c r="A28160" s="27"/>
    </row>
    <row r="28161" spans="1:1">
      <c r="A28161" s="27"/>
    </row>
    <row r="28162" spans="1:1">
      <c r="A28162" s="27"/>
    </row>
    <row r="28163" spans="1:1">
      <c r="A28163" s="27"/>
    </row>
    <row r="28164" spans="1:1">
      <c r="A28164" s="27"/>
    </row>
    <row r="28165" spans="1:1">
      <c r="A28165" s="27"/>
    </row>
    <row r="28166" spans="1:1">
      <c r="A28166" s="27"/>
    </row>
    <row r="28167" spans="1:1">
      <c r="A28167" s="27"/>
    </row>
    <row r="28168" spans="1:1">
      <c r="A28168" s="27"/>
    </row>
    <row r="28169" spans="1:1">
      <c r="A28169" s="27"/>
    </row>
    <row r="28170" spans="1:1">
      <c r="A28170" s="27"/>
    </row>
    <row r="28171" spans="1:1">
      <c r="A28171" s="27"/>
    </row>
    <row r="28172" spans="1:1">
      <c r="A28172" s="27"/>
    </row>
    <row r="28173" spans="1:1">
      <c r="A28173" s="27"/>
    </row>
    <row r="28174" spans="1:1">
      <c r="A28174" s="27"/>
    </row>
    <row r="28175" spans="1:1">
      <c r="A28175" s="27"/>
    </row>
    <row r="28176" spans="1:1">
      <c r="A28176" s="27"/>
    </row>
    <row r="28177" spans="1:1">
      <c r="A28177" s="27"/>
    </row>
    <row r="28178" spans="1:1">
      <c r="A28178" s="27"/>
    </row>
    <row r="28179" spans="1:1">
      <c r="A28179" s="27"/>
    </row>
    <row r="28180" spans="1:1">
      <c r="A28180" s="27"/>
    </row>
    <row r="28181" spans="1:1">
      <c r="A28181" s="27"/>
    </row>
    <row r="28182" spans="1:1">
      <c r="A28182" s="27"/>
    </row>
    <row r="28183" spans="1:1">
      <c r="A28183" s="27"/>
    </row>
    <row r="28184" spans="1:1">
      <c r="A28184" s="27"/>
    </row>
    <row r="28185" spans="1:1">
      <c r="A28185" s="27"/>
    </row>
    <row r="28186" spans="1:1">
      <c r="A28186" s="27"/>
    </row>
    <row r="28187" spans="1:1">
      <c r="A28187" s="27"/>
    </row>
    <row r="28188" spans="1:1">
      <c r="A28188" s="27"/>
    </row>
    <row r="28189" spans="1:1">
      <c r="A28189" s="27"/>
    </row>
    <row r="28190" spans="1:1">
      <c r="A28190" s="27"/>
    </row>
    <row r="28191" spans="1:1">
      <c r="A28191" s="27"/>
    </row>
    <row r="28192" spans="1:1">
      <c r="A28192" s="27"/>
    </row>
    <row r="28193" spans="1:1">
      <c r="A28193" s="27"/>
    </row>
    <row r="28194" spans="1:1">
      <c r="A28194" s="27"/>
    </row>
    <row r="28195" spans="1:1">
      <c r="A28195" s="27"/>
    </row>
    <row r="28196" spans="1:1">
      <c r="A28196" s="27"/>
    </row>
    <row r="28197" spans="1:1">
      <c r="A28197" s="27"/>
    </row>
    <row r="28198" spans="1:1">
      <c r="A28198" s="27"/>
    </row>
    <row r="28199" spans="1:1">
      <c r="A28199" s="27"/>
    </row>
    <row r="28200" spans="1:1">
      <c r="A28200" s="27"/>
    </row>
    <row r="28201" spans="1:1">
      <c r="A28201" s="27"/>
    </row>
    <row r="28202" spans="1:1">
      <c r="A28202" s="27"/>
    </row>
    <row r="28203" spans="1:1">
      <c r="A28203" s="27"/>
    </row>
    <row r="28204" spans="1:1">
      <c r="A28204" s="27"/>
    </row>
    <row r="28205" spans="1:1">
      <c r="A28205" s="27"/>
    </row>
    <row r="28206" spans="1:1">
      <c r="A28206" s="27"/>
    </row>
    <row r="28207" spans="1:1">
      <c r="A28207" s="27"/>
    </row>
    <row r="28208" spans="1:1">
      <c r="A28208" s="27"/>
    </row>
    <row r="28209" spans="1:1">
      <c r="A28209" s="27"/>
    </row>
    <row r="28210" spans="1:1">
      <c r="A28210" s="27"/>
    </row>
    <row r="28211" spans="1:1">
      <c r="A28211" s="27"/>
    </row>
    <row r="28212" spans="1:1">
      <c r="A28212" s="27"/>
    </row>
    <row r="28213" spans="1:1">
      <c r="A28213" s="27"/>
    </row>
    <row r="28214" spans="1:1">
      <c r="A28214" s="27"/>
    </row>
    <row r="28215" spans="1:1">
      <c r="A28215" s="27"/>
    </row>
    <row r="28216" spans="1:1">
      <c r="A28216" s="27"/>
    </row>
    <row r="28217" spans="1:1">
      <c r="A28217" s="27"/>
    </row>
    <row r="28218" spans="1:1">
      <c r="A28218" s="27"/>
    </row>
    <row r="28219" spans="1:1">
      <c r="A28219" s="27"/>
    </row>
    <row r="28220" spans="1:1">
      <c r="A28220" s="27"/>
    </row>
    <row r="28221" spans="1:1">
      <c r="A28221" s="27"/>
    </row>
    <row r="28222" spans="1:1">
      <c r="A28222" s="27"/>
    </row>
    <row r="28223" spans="1:1">
      <c r="A28223" s="27"/>
    </row>
    <row r="28224" spans="1:1">
      <c r="A28224" s="27"/>
    </row>
    <row r="28225" spans="1:1">
      <c r="A28225" s="27"/>
    </row>
    <row r="28226" spans="1:1">
      <c r="A28226" s="27"/>
    </row>
    <row r="28227" spans="1:1">
      <c r="A28227" s="27"/>
    </row>
    <row r="28228" spans="1:1">
      <c r="A28228" s="27"/>
    </row>
    <row r="28229" spans="1:1">
      <c r="A28229" s="27"/>
    </row>
    <row r="28230" spans="1:1">
      <c r="A28230" s="27"/>
    </row>
    <row r="28231" spans="1:1">
      <c r="A28231" s="27"/>
    </row>
    <row r="28232" spans="1:1">
      <c r="A28232" s="27"/>
    </row>
    <row r="28233" spans="1:1">
      <c r="A28233" s="27"/>
    </row>
    <row r="28234" spans="1:1">
      <c r="A28234" s="27"/>
    </row>
    <row r="28235" spans="1:1">
      <c r="A28235" s="27"/>
    </row>
    <row r="28236" spans="1:1">
      <c r="A28236" s="27"/>
    </row>
    <row r="28237" spans="1:1">
      <c r="A28237" s="27"/>
    </row>
    <row r="28238" spans="1:1">
      <c r="A28238" s="27"/>
    </row>
    <row r="28239" spans="1:1">
      <c r="A28239" s="27"/>
    </row>
    <row r="28240" spans="1:1">
      <c r="A28240" s="27"/>
    </row>
    <row r="28241" spans="1:1">
      <c r="A28241" s="27"/>
    </row>
    <row r="28242" spans="1:1">
      <c r="A28242" s="27"/>
    </row>
    <row r="28243" spans="1:1">
      <c r="A28243" s="27"/>
    </row>
    <row r="28244" spans="1:1">
      <c r="A28244" s="27"/>
    </row>
    <row r="28245" spans="1:1">
      <c r="A28245" s="27"/>
    </row>
    <row r="28246" spans="1:1">
      <c r="A28246" s="27"/>
    </row>
    <row r="28247" spans="1:1">
      <c r="A28247" s="27"/>
    </row>
    <row r="28248" spans="1:1">
      <c r="A28248" s="27"/>
    </row>
    <row r="28249" spans="1:1">
      <c r="A28249" s="27"/>
    </row>
    <row r="28250" spans="1:1">
      <c r="A28250" s="27"/>
    </row>
    <row r="28251" spans="1:1">
      <c r="A28251" s="27"/>
    </row>
    <row r="28252" spans="1:1">
      <c r="A28252" s="27"/>
    </row>
    <row r="28253" spans="1:1">
      <c r="A28253" s="27"/>
    </row>
    <row r="28254" spans="1:1">
      <c r="A28254" s="27"/>
    </row>
    <row r="28255" spans="1:1">
      <c r="A28255" s="27"/>
    </row>
    <row r="28256" spans="1:1">
      <c r="A28256" s="27"/>
    </row>
    <row r="28257" spans="1:1">
      <c r="A28257" s="27"/>
    </row>
    <row r="28258" spans="1:1">
      <c r="A28258" s="27"/>
    </row>
    <row r="28259" spans="1:1">
      <c r="A28259" s="27"/>
    </row>
    <row r="28260" spans="1:1">
      <c r="A28260" s="27"/>
    </row>
    <row r="28261" spans="1:1">
      <c r="A28261" s="27"/>
    </row>
    <row r="28262" spans="1:1">
      <c r="A28262" s="27"/>
    </row>
    <row r="28263" spans="1:1">
      <c r="A28263" s="27"/>
    </row>
    <row r="28264" spans="1:1">
      <c r="A28264" s="27"/>
    </row>
    <row r="28265" spans="1:1">
      <c r="A28265" s="27"/>
    </row>
    <row r="28266" spans="1:1">
      <c r="A28266" s="27"/>
    </row>
    <row r="28267" spans="1:1">
      <c r="A28267" s="27"/>
    </row>
    <row r="28268" spans="1:1">
      <c r="A28268" s="27"/>
    </row>
    <row r="28269" spans="1:1">
      <c r="A28269" s="27"/>
    </row>
    <row r="28270" spans="1:1">
      <c r="A28270" s="27"/>
    </row>
    <row r="28271" spans="1:1">
      <c r="A28271" s="27"/>
    </row>
    <row r="28272" spans="1:1">
      <c r="A28272" s="27"/>
    </row>
    <row r="28273" spans="1:1">
      <c r="A28273" s="27"/>
    </row>
    <row r="28274" spans="1:1">
      <c r="A28274" s="27"/>
    </row>
    <row r="28275" spans="1:1">
      <c r="A28275" s="27"/>
    </row>
    <row r="28276" spans="1:1">
      <c r="A28276" s="27"/>
    </row>
    <row r="28277" spans="1:1">
      <c r="A28277" s="27"/>
    </row>
    <row r="28278" spans="1:1">
      <c r="A28278" s="27"/>
    </row>
    <row r="28279" spans="1:1">
      <c r="A28279" s="27"/>
    </row>
    <row r="28280" spans="1:1">
      <c r="A28280" s="27"/>
    </row>
    <row r="28281" spans="1:1">
      <c r="A28281" s="27"/>
    </row>
    <row r="28282" spans="1:1">
      <c r="A28282" s="27"/>
    </row>
    <row r="28283" spans="1:1">
      <c r="A28283" s="27"/>
    </row>
    <row r="28284" spans="1:1">
      <c r="A28284" s="27"/>
    </row>
    <row r="28285" spans="1:1">
      <c r="A28285" s="27"/>
    </row>
    <row r="28286" spans="1:1">
      <c r="A28286" s="27"/>
    </row>
    <row r="28287" spans="1:1">
      <c r="A28287" s="27"/>
    </row>
    <row r="28288" spans="1:1">
      <c r="A28288" s="27"/>
    </row>
    <row r="28289" spans="1:1">
      <c r="A28289" s="27"/>
    </row>
    <row r="28290" spans="1:1">
      <c r="A28290" s="27"/>
    </row>
    <row r="28291" spans="1:1">
      <c r="A28291" s="27"/>
    </row>
    <row r="28292" spans="1:1">
      <c r="A28292" s="27"/>
    </row>
    <row r="28293" spans="1:1">
      <c r="A28293" s="27"/>
    </row>
    <row r="28294" spans="1:1">
      <c r="A28294" s="27"/>
    </row>
    <row r="28295" spans="1:1">
      <c r="A28295" s="27"/>
    </row>
    <row r="28296" spans="1:1">
      <c r="A28296" s="27"/>
    </row>
    <row r="28297" spans="1:1">
      <c r="A28297" s="27"/>
    </row>
    <row r="28298" spans="1:1">
      <c r="A28298" s="27"/>
    </row>
    <row r="28299" spans="1:1">
      <c r="A28299" s="27"/>
    </row>
    <row r="28300" spans="1:1">
      <c r="A28300" s="27"/>
    </row>
    <row r="28301" spans="1:1">
      <c r="A28301" s="27"/>
    </row>
    <row r="28302" spans="1:1">
      <c r="A28302" s="27"/>
    </row>
    <row r="28303" spans="1:1">
      <c r="A28303" s="27"/>
    </row>
    <row r="28304" spans="1:1">
      <c r="A28304" s="27"/>
    </row>
    <row r="28305" spans="1:1">
      <c r="A28305" s="27"/>
    </row>
    <row r="28306" spans="1:1">
      <c r="A28306" s="27"/>
    </row>
    <row r="28307" spans="1:1">
      <c r="A28307" s="27"/>
    </row>
    <row r="28308" spans="1:1">
      <c r="A28308" s="27"/>
    </row>
    <row r="28309" spans="1:1">
      <c r="A28309" s="27"/>
    </row>
    <row r="28310" spans="1:1">
      <c r="A28310" s="27"/>
    </row>
    <row r="28311" spans="1:1">
      <c r="A28311" s="27"/>
    </row>
    <row r="28312" spans="1:1">
      <c r="A28312" s="27"/>
    </row>
    <row r="28313" spans="1:1">
      <c r="A28313" s="27"/>
    </row>
    <row r="28314" spans="1:1">
      <c r="A28314" s="27"/>
    </row>
    <row r="28315" spans="1:1">
      <c r="A28315" s="27"/>
    </row>
    <row r="28316" spans="1:1">
      <c r="A28316" s="27"/>
    </row>
    <row r="28317" spans="1:1">
      <c r="A28317" s="27"/>
    </row>
    <row r="28318" spans="1:1">
      <c r="A28318" s="27"/>
    </row>
    <row r="28319" spans="1:1">
      <c r="A28319" s="27"/>
    </row>
    <row r="28320" spans="1:1">
      <c r="A28320" s="27"/>
    </row>
    <row r="28321" spans="1:1">
      <c r="A28321" s="27"/>
    </row>
    <row r="28322" spans="1:1">
      <c r="A28322" s="27"/>
    </row>
    <row r="28323" spans="1:1">
      <c r="A28323" s="27"/>
    </row>
    <row r="28324" spans="1:1">
      <c r="A28324" s="27"/>
    </row>
    <row r="28325" spans="1:1">
      <c r="A28325" s="27"/>
    </row>
    <row r="28326" spans="1:1">
      <c r="A28326" s="27"/>
    </row>
    <row r="28327" spans="1:1">
      <c r="A28327" s="27"/>
    </row>
    <row r="28328" spans="1:1">
      <c r="A28328" s="27"/>
    </row>
    <row r="28329" spans="1:1">
      <c r="A28329" s="27"/>
    </row>
    <row r="28330" spans="1:1">
      <c r="A28330" s="27"/>
    </row>
    <row r="28331" spans="1:1">
      <c r="A28331" s="27"/>
    </row>
    <row r="28332" spans="1:1">
      <c r="A28332" s="27"/>
    </row>
    <row r="28333" spans="1:1">
      <c r="A28333" s="27"/>
    </row>
    <row r="28334" spans="1:1">
      <c r="A28334" s="27"/>
    </row>
    <row r="28335" spans="1:1">
      <c r="A28335" s="27"/>
    </row>
    <row r="28336" spans="1:1">
      <c r="A28336" s="27"/>
    </row>
    <row r="28337" spans="1:1">
      <c r="A28337" s="27"/>
    </row>
    <row r="28338" spans="1:1">
      <c r="A28338" s="27"/>
    </row>
    <row r="28339" spans="1:1">
      <c r="A28339" s="27"/>
    </row>
    <row r="28340" spans="1:1">
      <c r="A28340" s="27"/>
    </row>
    <row r="28341" spans="1:1">
      <c r="A28341" s="27"/>
    </row>
    <row r="28342" spans="1:1">
      <c r="A28342" s="27"/>
    </row>
    <row r="28343" spans="1:1">
      <c r="A28343" s="27"/>
    </row>
    <row r="28344" spans="1:1">
      <c r="A28344" s="27"/>
    </row>
    <row r="28345" spans="1:1">
      <c r="A28345" s="27"/>
    </row>
    <row r="28346" spans="1:1">
      <c r="A28346" s="27"/>
    </row>
    <row r="28347" spans="1:1">
      <c r="A28347" s="27"/>
    </row>
    <row r="28348" spans="1:1">
      <c r="A28348" s="27"/>
    </row>
    <row r="28349" spans="1:1">
      <c r="A28349" s="27"/>
    </row>
    <row r="28350" spans="1:1">
      <c r="A28350" s="27"/>
    </row>
    <row r="28351" spans="1:1">
      <c r="A28351" s="27"/>
    </row>
    <row r="28352" spans="1:1">
      <c r="A28352" s="27"/>
    </row>
    <row r="28353" spans="1:1">
      <c r="A28353" s="27"/>
    </row>
    <row r="28354" spans="1:1">
      <c r="A28354" s="27"/>
    </row>
    <row r="28355" spans="1:1">
      <c r="A28355" s="27"/>
    </row>
    <row r="28356" spans="1:1">
      <c r="A28356" s="27"/>
    </row>
    <row r="28357" spans="1:1">
      <c r="A28357" s="27"/>
    </row>
    <row r="28358" spans="1:1">
      <c r="A28358" s="27"/>
    </row>
    <row r="28359" spans="1:1">
      <c r="A28359" s="27"/>
    </row>
    <row r="28360" spans="1:1">
      <c r="A28360" s="27"/>
    </row>
    <row r="28361" spans="1:1">
      <c r="A28361" s="27"/>
    </row>
    <row r="28362" spans="1:1">
      <c r="A28362" s="27"/>
    </row>
    <row r="28363" spans="1:1">
      <c r="A28363" s="27"/>
    </row>
    <row r="28364" spans="1:1">
      <c r="A28364" s="27"/>
    </row>
    <row r="28365" spans="1:1">
      <c r="A28365" s="27"/>
    </row>
    <row r="28366" spans="1:1">
      <c r="A28366" s="27"/>
    </row>
    <row r="28367" spans="1:1">
      <c r="A28367" s="27"/>
    </row>
    <row r="28368" spans="1:1">
      <c r="A28368" s="27"/>
    </row>
    <row r="28369" spans="1:1">
      <c r="A28369" s="27"/>
    </row>
    <row r="28370" spans="1:1">
      <c r="A28370" s="27"/>
    </row>
    <row r="28371" spans="1:1">
      <c r="A28371" s="27"/>
    </row>
    <row r="28372" spans="1:1">
      <c r="A28372" s="27"/>
    </row>
    <row r="28373" spans="1:1">
      <c r="A28373" s="27"/>
    </row>
    <row r="28374" spans="1:1">
      <c r="A28374" s="27"/>
    </row>
    <row r="28375" spans="1:1">
      <c r="A28375" s="27"/>
    </row>
    <row r="28376" spans="1:1">
      <c r="A28376" s="27"/>
    </row>
    <row r="28377" spans="1:1">
      <c r="A28377" s="27"/>
    </row>
    <row r="28378" spans="1:1">
      <c r="A28378" s="27"/>
    </row>
    <row r="28379" spans="1:1">
      <c r="A28379" s="27"/>
    </row>
    <row r="28380" spans="1:1">
      <c r="A28380" s="27"/>
    </row>
    <row r="28381" spans="1:1">
      <c r="A28381" s="27"/>
    </row>
    <row r="28382" spans="1:1">
      <c r="A28382" s="27"/>
    </row>
    <row r="28383" spans="1:1">
      <c r="A28383" s="27"/>
    </row>
    <row r="28384" spans="1:1">
      <c r="A28384" s="27"/>
    </row>
    <row r="28385" spans="1:1">
      <c r="A28385" s="27"/>
    </row>
    <row r="28386" spans="1:1">
      <c r="A28386" s="27"/>
    </row>
    <row r="28387" spans="1:1">
      <c r="A28387" s="27"/>
    </row>
    <row r="28388" spans="1:1">
      <c r="A28388" s="27"/>
    </row>
    <row r="28389" spans="1:1">
      <c r="A28389" s="27"/>
    </row>
    <row r="28390" spans="1:1">
      <c r="A28390" s="27"/>
    </row>
    <row r="28391" spans="1:1">
      <c r="A28391" s="27"/>
    </row>
    <row r="28392" spans="1:1">
      <c r="A28392" s="27"/>
    </row>
    <row r="28393" spans="1:1">
      <c r="A28393" s="27"/>
    </row>
    <row r="28394" spans="1:1">
      <c r="A28394" s="27"/>
    </row>
    <row r="28395" spans="1:1">
      <c r="A28395" s="27"/>
    </row>
    <row r="28396" spans="1:1">
      <c r="A28396" s="27"/>
    </row>
    <row r="28397" spans="1:1">
      <c r="A28397" s="27"/>
    </row>
    <row r="28398" spans="1:1">
      <c r="A28398" s="27"/>
    </row>
    <row r="28399" spans="1:1">
      <c r="A28399" s="27"/>
    </row>
    <row r="28400" spans="1:1">
      <c r="A28400" s="27"/>
    </row>
    <row r="28401" spans="1:1">
      <c r="A28401" s="27"/>
    </row>
    <row r="28402" spans="1:1">
      <c r="A28402" s="27"/>
    </row>
    <row r="28403" spans="1:1">
      <c r="A28403" s="27"/>
    </row>
    <row r="28404" spans="1:1">
      <c r="A28404" s="27"/>
    </row>
    <row r="28405" spans="1:1">
      <c r="A28405" s="27"/>
    </row>
    <row r="28406" spans="1:1">
      <c r="A28406" s="27"/>
    </row>
    <row r="28407" spans="1:1">
      <c r="A28407" s="27"/>
    </row>
    <row r="28408" spans="1:1">
      <c r="A28408" s="27"/>
    </row>
    <row r="28409" spans="1:1">
      <c r="A28409" s="27"/>
    </row>
    <row r="28410" spans="1:1">
      <c r="A28410" s="27"/>
    </row>
    <row r="28411" spans="1:1">
      <c r="A28411" s="27"/>
    </row>
    <row r="28412" spans="1:1">
      <c r="A28412" s="27"/>
    </row>
    <row r="28413" spans="1:1">
      <c r="A28413" s="27"/>
    </row>
    <row r="28414" spans="1:1">
      <c r="A28414" s="27"/>
    </row>
    <row r="28415" spans="1:1">
      <c r="A28415" s="27"/>
    </row>
    <row r="28416" spans="1:1">
      <c r="A28416" s="27"/>
    </row>
    <row r="28417" spans="1:1">
      <c r="A28417" s="27"/>
    </row>
    <row r="28418" spans="1:1">
      <c r="A28418" s="27"/>
    </row>
    <row r="28419" spans="1:1">
      <c r="A28419" s="27"/>
    </row>
    <row r="28420" spans="1:1">
      <c r="A28420" s="27"/>
    </row>
    <row r="28421" spans="1:1">
      <c r="A28421" s="27"/>
    </row>
    <row r="28422" spans="1:1">
      <c r="A28422" s="27"/>
    </row>
    <row r="28423" spans="1:1">
      <c r="A28423" s="27"/>
    </row>
    <row r="28424" spans="1:1">
      <c r="A28424" s="27"/>
    </row>
    <row r="28425" spans="1:1">
      <c r="A28425" s="27"/>
    </row>
    <row r="28426" spans="1:1">
      <c r="A28426" s="27"/>
    </row>
    <row r="28427" spans="1:1">
      <c r="A28427" s="27"/>
    </row>
    <row r="28428" spans="1:1">
      <c r="A28428" s="27"/>
    </row>
    <row r="28429" spans="1:1">
      <c r="A28429" s="27"/>
    </row>
    <row r="28430" spans="1:1">
      <c r="A28430" s="27"/>
    </row>
    <row r="28431" spans="1:1">
      <c r="A28431" s="27"/>
    </row>
    <row r="28432" spans="1:1">
      <c r="A28432" s="27"/>
    </row>
    <row r="28433" spans="1:1">
      <c r="A28433" s="27"/>
    </row>
    <row r="28434" spans="1:1">
      <c r="A28434" s="27"/>
    </row>
    <row r="28435" spans="1:1">
      <c r="A28435" s="27"/>
    </row>
    <row r="28436" spans="1:1">
      <c r="A28436" s="27"/>
    </row>
    <row r="28437" spans="1:1">
      <c r="A28437" s="27"/>
    </row>
    <row r="28438" spans="1:1">
      <c r="A28438" s="27"/>
    </row>
    <row r="28439" spans="1:1">
      <c r="A28439" s="27"/>
    </row>
    <row r="28440" spans="1:1">
      <c r="A28440" s="27"/>
    </row>
    <row r="28441" spans="1:1">
      <c r="A28441" s="27"/>
    </row>
    <row r="28442" spans="1:1">
      <c r="A28442" s="27"/>
    </row>
    <row r="28443" spans="1:1">
      <c r="A28443" s="27"/>
    </row>
    <row r="28444" spans="1:1">
      <c r="A28444" s="27"/>
    </row>
    <row r="28445" spans="1:1">
      <c r="A28445" s="27"/>
    </row>
    <row r="28446" spans="1:1">
      <c r="A28446" s="27"/>
    </row>
    <row r="28447" spans="1:1">
      <c r="A28447" s="27"/>
    </row>
    <row r="28448" spans="1:1">
      <c r="A28448" s="27"/>
    </row>
    <row r="28449" spans="1:1">
      <c r="A28449" s="27"/>
    </row>
    <row r="28450" spans="1:1">
      <c r="A28450" s="27"/>
    </row>
    <row r="28451" spans="1:1">
      <c r="A28451" s="27"/>
    </row>
    <row r="28452" spans="1:1">
      <c r="A28452" s="27"/>
    </row>
    <row r="28453" spans="1:1">
      <c r="A28453" s="27"/>
    </row>
    <row r="28454" spans="1:1">
      <c r="A28454" s="27"/>
    </row>
    <row r="28455" spans="1:1">
      <c r="A28455" s="27"/>
    </row>
    <row r="28456" spans="1:1">
      <c r="A28456" s="27"/>
    </row>
    <row r="28457" spans="1:1">
      <c r="A28457" s="27"/>
    </row>
    <row r="28458" spans="1:1">
      <c r="A28458" s="27"/>
    </row>
    <row r="28459" spans="1:1">
      <c r="A28459" s="27"/>
    </row>
    <row r="28460" spans="1:1">
      <c r="A28460" s="27"/>
    </row>
    <row r="28461" spans="1:1">
      <c r="A28461" s="27"/>
    </row>
    <row r="28462" spans="1:1">
      <c r="A28462" s="27"/>
    </row>
    <row r="28463" spans="1:1">
      <c r="A28463" s="27"/>
    </row>
    <row r="28464" spans="1:1">
      <c r="A28464" s="27"/>
    </row>
    <row r="28465" spans="1:1">
      <c r="A28465" s="27"/>
    </row>
    <row r="28466" spans="1:1">
      <c r="A28466" s="27"/>
    </row>
    <row r="28467" spans="1:1">
      <c r="A28467" s="27"/>
    </row>
    <row r="28468" spans="1:1">
      <c r="A28468" s="27"/>
    </row>
    <row r="28469" spans="1:1">
      <c r="A28469" s="27"/>
    </row>
    <row r="28470" spans="1:1">
      <c r="A28470" s="27"/>
    </row>
    <row r="28471" spans="1:1">
      <c r="A28471" s="27"/>
    </row>
    <row r="28472" spans="1:1">
      <c r="A28472" s="27"/>
    </row>
    <row r="28473" spans="1:1">
      <c r="A28473" s="27"/>
    </row>
    <row r="28474" spans="1:1">
      <c r="A28474" s="27"/>
    </row>
    <row r="28475" spans="1:1">
      <c r="A28475" s="27"/>
    </row>
    <row r="28476" spans="1:1">
      <c r="A28476" s="27"/>
    </row>
    <row r="28477" spans="1:1">
      <c r="A28477" s="27"/>
    </row>
    <row r="28478" spans="1:1">
      <c r="A28478" s="27"/>
    </row>
    <row r="28479" spans="1:1">
      <c r="A28479" s="27"/>
    </row>
    <row r="28480" spans="1:1">
      <c r="A28480" s="27"/>
    </row>
    <row r="28481" spans="1:1">
      <c r="A28481" s="27"/>
    </row>
    <row r="28482" spans="1:1">
      <c r="A28482" s="27"/>
    </row>
    <row r="28483" spans="1:1">
      <c r="A28483" s="27"/>
    </row>
    <row r="28484" spans="1:1">
      <c r="A28484" s="27"/>
    </row>
    <row r="28485" spans="1:1">
      <c r="A28485" s="27"/>
    </row>
    <row r="28486" spans="1:1">
      <c r="A28486" s="27"/>
    </row>
    <row r="28487" spans="1:1">
      <c r="A28487" s="27"/>
    </row>
    <row r="28488" spans="1:1">
      <c r="A28488" s="27"/>
    </row>
    <row r="28489" spans="1:1">
      <c r="A28489" s="27"/>
    </row>
    <row r="28490" spans="1:1">
      <c r="A28490" s="27"/>
    </row>
    <row r="28491" spans="1:1">
      <c r="A28491" s="27"/>
    </row>
    <row r="28492" spans="1:1">
      <c r="A28492" s="27"/>
    </row>
    <row r="28493" spans="1:1">
      <c r="A28493" s="27"/>
    </row>
    <row r="28494" spans="1:1">
      <c r="A28494" s="27"/>
    </row>
    <row r="28495" spans="1:1">
      <c r="A28495" s="27"/>
    </row>
    <row r="28496" spans="1:1">
      <c r="A28496" s="27"/>
    </row>
    <row r="28497" spans="1:1">
      <c r="A28497" s="27"/>
    </row>
    <row r="28498" spans="1:1">
      <c r="A28498" s="27"/>
    </row>
    <row r="28499" spans="1:1">
      <c r="A28499" s="27"/>
    </row>
    <row r="28500" spans="1:1">
      <c r="A28500" s="27"/>
    </row>
    <row r="28501" spans="1:1">
      <c r="A28501" s="27"/>
    </row>
    <row r="28502" spans="1:1">
      <c r="A28502" s="27"/>
    </row>
    <row r="28503" spans="1:1">
      <c r="A28503" s="27"/>
    </row>
    <row r="28504" spans="1:1">
      <c r="A28504" s="27"/>
    </row>
    <row r="28505" spans="1:1">
      <c r="A28505" s="27"/>
    </row>
    <row r="28506" spans="1:1">
      <c r="A28506" s="27"/>
    </row>
    <row r="28507" spans="1:1">
      <c r="A28507" s="27"/>
    </row>
    <row r="28508" spans="1:1">
      <c r="A28508" s="27"/>
    </row>
    <row r="28509" spans="1:1">
      <c r="A28509" s="27"/>
    </row>
    <row r="28510" spans="1:1">
      <c r="A28510" s="27"/>
    </row>
    <row r="28511" spans="1:1">
      <c r="A28511" s="27"/>
    </row>
    <row r="28512" spans="1:1">
      <c r="A28512" s="27"/>
    </row>
    <row r="28513" spans="1:1">
      <c r="A28513" s="27"/>
    </row>
    <row r="28514" spans="1:1">
      <c r="A28514" s="27"/>
    </row>
    <row r="28515" spans="1:1">
      <c r="A28515" s="27"/>
    </row>
    <row r="28516" spans="1:1">
      <c r="A28516" s="27"/>
    </row>
    <row r="28517" spans="1:1">
      <c r="A28517" s="27"/>
    </row>
    <row r="28518" spans="1:1">
      <c r="A28518" s="27"/>
    </row>
    <row r="28519" spans="1:1">
      <c r="A28519" s="27"/>
    </row>
    <row r="28520" spans="1:1">
      <c r="A28520" s="27"/>
    </row>
    <row r="28521" spans="1:1">
      <c r="A28521" s="27"/>
    </row>
    <row r="28522" spans="1:1">
      <c r="A28522" s="27"/>
    </row>
    <row r="28523" spans="1:1">
      <c r="A28523" s="27"/>
    </row>
    <row r="28524" spans="1:1">
      <c r="A28524" s="27"/>
    </row>
    <row r="28525" spans="1:1">
      <c r="A28525" s="27"/>
    </row>
    <row r="28526" spans="1:1">
      <c r="A28526" s="27"/>
    </row>
    <row r="28527" spans="1:1">
      <c r="A28527" s="27"/>
    </row>
    <row r="28528" spans="1:1">
      <c r="A28528" s="27"/>
    </row>
    <row r="28529" spans="1:1">
      <c r="A28529" s="27"/>
    </row>
    <row r="28530" spans="1:1">
      <c r="A28530" s="27"/>
    </row>
    <row r="28531" spans="1:1">
      <c r="A28531" s="27"/>
    </row>
    <row r="28532" spans="1:1">
      <c r="A28532" s="27"/>
    </row>
    <row r="28533" spans="1:1">
      <c r="A28533" s="27"/>
    </row>
    <row r="28534" spans="1:1">
      <c r="A28534" s="27"/>
    </row>
    <row r="28535" spans="1:1">
      <c r="A28535" s="27"/>
    </row>
    <row r="28536" spans="1:1">
      <c r="A28536" s="27"/>
    </row>
    <row r="28537" spans="1:1">
      <c r="A28537" s="27"/>
    </row>
    <row r="28538" spans="1:1">
      <c r="A28538" s="27"/>
    </row>
    <row r="28539" spans="1:1">
      <c r="A28539" s="27"/>
    </row>
    <row r="28540" spans="1:1">
      <c r="A28540" s="27"/>
    </row>
    <row r="28541" spans="1:1">
      <c r="A28541" s="27"/>
    </row>
    <row r="28542" spans="1:1">
      <c r="A28542" s="27"/>
    </row>
    <row r="28543" spans="1:1">
      <c r="A28543" s="27"/>
    </row>
    <row r="28544" spans="1:1">
      <c r="A28544" s="27"/>
    </row>
    <row r="28545" spans="1:1">
      <c r="A28545" s="27"/>
    </row>
    <row r="28546" spans="1:1">
      <c r="A28546" s="27"/>
    </row>
    <row r="28547" spans="1:1">
      <c r="A28547" s="27"/>
    </row>
    <row r="28548" spans="1:1">
      <c r="A28548" s="27"/>
    </row>
    <row r="28549" spans="1:1">
      <c r="A28549" s="27"/>
    </row>
    <row r="28550" spans="1:1">
      <c r="A28550" s="27"/>
    </row>
    <row r="28551" spans="1:1">
      <c r="A28551" s="27"/>
    </row>
    <row r="28552" spans="1:1">
      <c r="A28552" s="27"/>
    </row>
    <row r="28553" spans="1:1">
      <c r="A28553" s="27"/>
    </row>
    <row r="28554" spans="1:1">
      <c r="A28554" s="27"/>
    </row>
    <row r="28555" spans="1:1">
      <c r="A28555" s="27"/>
    </row>
    <row r="28556" spans="1:1">
      <c r="A28556" s="27"/>
    </row>
    <row r="28557" spans="1:1">
      <c r="A28557" s="27"/>
    </row>
    <row r="28558" spans="1:1">
      <c r="A28558" s="27"/>
    </row>
    <row r="28559" spans="1:1">
      <c r="A28559" s="27"/>
    </row>
    <row r="28560" spans="1:1">
      <c r="A28560" s="27"/>
    </row>
    <row r="28561" spans="1:1">
      <c r="A28561" s="27"/>
    </row>
    <row r="28562" spans="1:1">
      <c r="A28562" s="27"/>
    </row>
    <row r="28563" spans="1:1">
      <c r="A28563" s="27"/>
    </row>
    <row r="28564" spans="1:1">
      <c r="A28564" s="27"/>
    </row>
    <row r="28565" spans="1:1">
      <c r="A28565" s="27"/>
    </row>
    <row r="28566" spans="1:1">
      <c r="A28566" s="27"/>
    </row>
    <row r="28567" spans="1:1">
      <c r="A28567" s="27"/>
    </row>
    <row r="28568" spans="1:1">
      <c r="A28568" s="27"/>
    </row>
    <row r="28569" spans="1:1">
      <c r="A28569" s="27"/>
    </row>
    <row r="28570" spans="1:1">
      <c r="A28570" s="27"/>
    </row>
    <row r="28571" spans="1:1">
      <c r="A28571" s="27"/>
    </row>
    <row r="28572" spans="1:1">
      <c r="A28572" s="27"/>
    </row>
    <row r="28573" spans="1:1">
      <c r="A28573" s="27"/>
    </row>
    <row r="28574" spans="1:1">
      <c r="A28574" s="27"/>
    </row>
    <row r="28575" spans="1:1">
      <c r="A28575" s="27"/>
    </row>
    <row r="28576" spans="1:1">
      <c r="A28576" s="27"/>
    </row>
    <row r="28577" spans="1:1">
      <c r="A28577" s="27"/>
    </row>
    <row r="28578" spans="1:1">
      <c r="A28578" s="27"/>
    </row>
    <row r="28579" spans="1:1">
      <c r="A28579" s="27"/>
    </row>
    <row r="28580" spans="1:1">
      <c r="A28580" s="27"/>
    </row>
    <row r="28581" spans="1:1">
      <c r="A28581" s="27"/>
    </row>
    <row r="28582" spans="1:1">
      <c r="A28582" s="27"/>
    </row>
    <row r="28583" spans="1:1">
      <c r="A28583" s="27"/>
    </row>
    <row r="28584" spans="1:1">
      <c r="A28584" s="27"/>
    </row>
    <row r="28585" spans="1:1">
      <c r="A28585" s="27"/>
    </row>
    <row r="28586" spans="1:1">
      <c r="A28586" s="27"/>
    </row>
    <row r="28587" spans="1:1">
      <c r="A28587" s="27"/>
    </row>
    <row r="28588" spans="1:1">
      <c r="A28588" s="27"/>
    </row>
    <row r="28589" spans="1:1">
      <c r="A28589" s="27"/>
    </row>
    <row r="28590" spans="1:1">
      <c r="A28590" s="27"/>
    </row>
    <row r="28591" spans="1:1">
      <c r="A28591" s="27"/>
    </row>
    <row r="28592" spans="1:1">
      <c r="A28592" s="27"/>
    </row>
    <row r="28593" spans="1:1">
      <c r="A28593" s="27"/>
    </row>
    <row r="28594" spans="1:1">
      <c r="A28594" s="27"/>
    </row>
    <row r="28595" spans="1:1">
      <c r="A28595" s="27"/>
    </row>
    <row r="28596" spans="1:1">
      <c r="A28596" s="27"/>
    </row>
    <row r="28597" spans="1:1">
      <c r="A28597" s="27"/>
    </row>
    <row r="28598" spans="1:1">
      <c r="A28598" s="27"/>
    </row>
    <row r="28599" spans="1:1">
      <c r="A28599" s="27"/>
    </row>
    <row r="28600" spans="1:1">
      <c r="A28600" s="27"/>
    </row>
    <row r="28601" spans="1:1">
      <c r="A28601" s="27"/>
    </row>
    <row r="28602" spans="1:1">
      <c r="A28602" s="27"/>
    </row>
    <row r="28603" spans="1:1">
      <c r="A28603" s="27"/>
    </row>
    <row r="28604" spans="1:1">
      <c r="A28604" s="27"/>
    </row>
    <row r="28605" spans="1:1">
      <c r="A28605" s="27"/>
    </row>
    <row r="28606" spans="1:1">
      <c r="A28606" s="27"/>
    </row>
    <row r="28607" spans="1:1">
      <c r="A28607" s="27"/>
    </row>
    <row r="28608" spans="1:1">
      <c r="A28608" s="27"/>
    </row>
    <row r="28609" spans="1:1">
      <c r="A28609" s="27"/>
    </row>
    <row r="28610" spans="1:1">
      <c r="A28610" s="27"/>
    </row>
    <row r="28611" spans="1:1">
      <c r="A28611" s="27"/>
    </row>
    <row r="28612" spans="1:1">
      <c r="A28612" s="27"/>
    </row>
    <row r="28613" spans="1:1">
      <c r="A28613" s="27"/>
    </row>
    <row r="28614" spans="1:1">
      <c r="A28614" s="27"/>
    </row>
    <row r="28615" spans="1:1">
      <c r="A28615" s="27"/>
    </row>
    <row r="28616" spans="1:1">
      <c r="A28616" s="27"/>
    </row>
    <row r="28617" spans="1:1">
      <c r="A28617" s="27"/>
    </row>
    <row r="28618" spans="1:1">
      <c r="A28618" s="27"/>
    </row>
    <row r="28619" spans="1:1">
      <c r="A28619" s="27"/>
    </row>
    <row r="28620" spans="1:1">
      <c r="A28620" s="27"/>
    </row>
    <row r="28621" spans="1:1">
      <c r="A28621" s="27"/>
    </row>
    <row r="28622" spans="1:1">
      <c r="A28622" s="27"/>
    </row>
    <row r="28623" spans="1:1">
      <c r="A28623" s="27"/>
    </row>
    <row r="28624" spans="1:1">
      <c r="A28624" s="27"/>
    </row>
    <row r="28625" spans="1:1">
      <c r="A28625" s="27"/>
    </row>
    <row r="28626" spans="1:1">
      <c r="A28626" s="27"/>
    </row>
    <row r="28627" spans="1:1">
      <c r="A28627" s="27"/>
    </row>
    <row r="28628" spans="1:1">
      <c r="A28628" s="27"/>
    </row>
    <row r="28629" spans="1:1">
      <c r="A28629" s="27"/>
    </row>
    <row r="28630" spans="1:1">
      <c r="A28630" s="27"/>
    </row>
    <row r="28631" spans="1:1">
      <c r="A28631" s="27"/>
    </row>
    <row r="28632" spans="1:1">
      <c r="A28632" s="27"/>
    </row>
    <row r="28633" spans="1:1">
      <c r="A28633" s="27"/>
    </row>
    <row r="28634" spans="1:1">
      <c r="A28634" s="27"/>
    </row>
    <row r="28635" spans="1:1">
      <c r="A28635" s="27"/>
    </row>
    <row r="28636" spans="1:1">
      <c r="A28636" s="27"/>
    </row>
    <row r="28637" spans="1:1">
      <c r="A28637" s="27"/>
    </row>
    <row r="28638" spans="1:1">
      <c r="A28638" s="27"/>
    </row>
    <row r="28639" spans="1:1">
      <c r="A28639" s="27"/>
    </row>
    <row r="28640" spans="1:1">
      <c r="A28640" s="27"/>
    </row>
    <row r="28641" spans="1:1">
      <c r="A28641" s="27"/>
    </row>
    <row r="28642" spans="1:1">
      <c r="A28642" s="27"/>
    </row>
    <row r="28643" spans="1:1">
      <c r="A28643" s="27"/>
    </row>
    <row r="28644" spans="1:1">
      <c r="A28644" s="27"/>
    </row>
    <row r="28645" spans="1:1">
      <c r="A28645" s="27"/>
    </row>
    <row r="28646" spans="1:1">
      <c r="A28646" s="27"/>
    </row>
    <row r="28647" spans="1:1">
      <c r="A28647" s="27"/>
    </row>
    <row r="28648" spans="1:1">
      <c r="A28648" s="27"/>
    </row>
    <row r="28649" spans="1:1">
      <c r="A28649" s="27"/>
    </row>
    <row r="28650" spans="1:1">
      <c r="A28650" s="27"/>
    </row>
    <row r="28651" spans="1:1">
      <c r="A28651" s="27"/>
    </row>
    <row r="28652" spans="1:1">
      <c r="A28652" s="27"/>
    </row>
    <row r="28653" spans="1:1">
      <c r="A28653" s="27"/>
    </row>
    <row r="28654" spans="1:1">
      <c r="A28654" s="27"/>
    </row>
    <row r="28655" spans="1:1">
      <c r="A28655" s="27"/>
    </row>
    <row r="28656" spans="1:1">
      <c r="A28656" s="27"/>
    </row>
    <row r="28657" spans="1:1">
      <c r="A28657" s="27"/>
    </row>
    <row r="28658" spans="1:1">
      <c r="A28658" s="27"/>
    </row>
    <row r="28659" spans="1:1">
      <c r="A28659" s="27"/>
    </row>
    <row r="28660" spans="1:1">
      <c r="A28660" s="27"/>
    </row>
    <row r="28661" spans="1:1">
      <c r="A28661" s="27"/>
    </row>
    <row r="28662" spans="1:1">
      <c r="A28662" s="27"/>
    </row>
    <row r="28663" spans="1:1">
      <c r="A28663" s="27"/>
    </row>
    <row r="28664" spans="1:1">
      <c r="A28664" s="27"/>
    </row>
    <row r="28665" spans="1:1">
      <c r="A28665" s="27"/>
    </row>
    <row r="28666" spans="1:1">
      <c r="A28666" s="27"/>
    </row>
    <row r="28667" spans="1:1">
      <c r="A28667" s="27"/>
    </row>
    <row r="28668" spans="1:1">
      <c r="A28668" s="27"/>
    </row>
    <row r="28669" spans="1:1">
      <c r="A28669" s="27"/>
    </row>
    <row r="28670" spans="1:1">
      <c r="A28670" s="27"/>
    </row>
    <row r="28671" spans="1:1">
      <c r="A28671" s="27"/>
    </row>
    <row r="28672" spans="1:1">
      <c r="A28672" s="27"/>
    </row>
    <row r="28673" spans="1:1">
      <c r="A28673" s="27"/>
    </row>
    <row r="28674" spans="1:1">
      <c r="A28674" s="27"/>
    </row>
    <row r="28675" spans="1:1">
      <c r="A28675" s="27"/>
    </row>
    <row r="28676" spans="1:1">
      <c r="A28676" s="27"/>
    </row>
    <row r="28677" spans="1:1">
      <c r="A28677" s="27"/>
    </row>
    <row r="28678" spans="1:1">
      <c r="A28678" s="27"/>
    </row>
    <row r="28679" spans="1:1">
      <c r="A28679" s="27"/>
    </row>
    <row r="28680" spans="1:1">
      <c r="A28680" s="27"/>
    </row>
    <row r="28681" spans="1:1">
      <c r="A28681" s="27"/>
    </row>
    <row r="28682" spans="1:1">
      <c r="A28682" s="27"/>
    </row>
    <row r="28683" spans="1:1">
      <c r="A28683" s="27"/>
    </row>
    <row r="28684" spans="1:1">
      <c r="A28684" s="27"/>
    </row>
    <row r="28685" spans="1:1">
      <c r="A28685" s="27"/>
    </row>
    <row r="28686" spans="1:1">
      <c r="A28686" s="27"/>
    </row>
    <row r="28687" spans="1:1">
      <c r="A28687" s="27"/>
    </row>
    <row r="28688" spans="1:1">
      <c r="A28688" s="27"/>
    </row>
    <row r="28689" spans="1:1">
      <c r="A28689" s="27"/>
    </row>
    <row r="28690" spans="1:1">
      <c r="A28690" s="27"/>
    </row>
    <row r="28691" spans="1:1">
      <c r="A28691" s="27"/>
    </row>
    <row r="28692" spans="1:1">
      <c r="A28692" s="27"/>
    </row>
    <row r="28693" spans="1:1">
      <c r="A28693" s="27"/>
    </row>
    <row r="28694" spans="1:1">
      <c r="A28694" s="27"/>
    </row>
    <row r="28695" spans="1:1">
      <c r="A28695" s="27"/>
    </row>
    <row r="28696" spans="1:1">
      <c r="A28696" s="27"/>
    </row>
    <row r="28697" spans="1:1">
      <c r="A28697" s="27"/>
    </row>
    <row r="28698" spans="1:1">
      <c r="A28698" s="27"/>
    </row>
    <row r="28699" spans="1:1">
      <c r="A28699" s="27"/>
    </row>
    <row r="28700" spans="1:1">
      <c r="A28700" s="27"/>
    </row>
    <row r="28701" spans="1:1">
      <c r="A28701" s="27"/>
    </row>
    <row r="28702" spans="1:1">
      <c r="A28702" s="27"/>
    </row>
    <row r="28703" spans="1:1">
      <c r="A28703" s="27"/>
    </row>
    <row r="28704" spans="1:1">
      <c r="A28704" s="27"/>
    </row>
    <row r="28705" spans="1:1">
      <c r="A28705" s="27"/>
    </row>
    <row r="28706" spans="1:1">
      <c r="A28706" s="27"/>
    </row>
    <row r="28707" spans="1:1">
      <c r="A28707" s="27"/>
    </row>
    <row r="28708" spans="1:1">
      <c r="A28708" s="27"/>
    </row>
    <row r="28709" spans="1:1">
      <c r="A28709" s="27"/>
    </row>
    <row r="28710" spans="1:1">
      <c r="A28710" s="27"/>
    </row>
    <row r="28711" spans="1:1">
      <c r="A28711" s="27"/>
    </row>
    <row r="28712" spans="1:1">
      <c r="A28712" s="27"/>
    </row>
    <row r="28713" spans="1:1">
      <c r="A28713" s="27"/>
    </row>
    <row r="28714" spans="1:1">
      <c r="A28714" s="27"/>
    </row>
    <row r="28715" spans="1:1">
      <c r="A28715" s="27"/>
    </row>
    <row r="28716" spans="1:1">
      <c r="A28716" s="27"/>
    </row>
    <row r="28717" spans="1:1">
      <c r="A28717" s="27"/>
    </row>
    <row r="28718" spans="1:1">
      <c r="A28718" s="27"/>
    </row>
    <row r="28719" spans="1:1">
      <c r="A28719" s="27"/>
    </row>
    <row r="28720" spans="1:1">
      <c r="A28720" s="27"/>
    </row>
    <row r="28721" spans="1:1">
      <c r="A28721" s="27"/>
    </row>
    <row r="28722" spans="1:1">
      <c r="A28722" s="27"/>
    </row>
    <row r="28723" spans="1:1">
      <c r="A28723" s="27"/>
    </row>
    <row r="28724" spans="1:1">
      <c r="A28724" s="27"/>
    </row>
    <row r="28725" spans="1:1">
      <c r="A28725" s="27"/>
    </row>
    <row r="28726" spans="1:1">
      <c r="A28726" s="27"/>
    </row>
    <row r="28727" spans="1:1">
      <c r="A28727" s="27"/>
    </row>
    <row r="28728" spans="1:1">
      <c r="A28728" s="27"/>
    </row>
    <row r="28729" spans="1:1">
      <c r="A28729" s="27"/>
    </row>
    <row r="28730" spans="1:1">
      <c r="A28730" s="27"/>
    </row>
    <row r="28731" spans="1:1">
      <c r="A28731" s="27"/>
    </row>
    <row r="28732" spans="1:1">
      <c r="A28732" s="27"/>
    </row>
    <row r="28733" spans="1:1">
      <c r="A28733" s="27"/>
    </row>
    <row r="28734" spans="1:1">
      <c r="A28734" s="27"/>
    </row>
    <row r="28735" spans="1:1">
      <c r="A28735" s="27"/>
    </row>
    <row r="28736" spans="1:1">
      <c r="A28736" s="27"/>
    </row>
    <row r="28737" spans="1:1">
      <c r="A28737" s="27"/>
    </row>
    <row r="28738" spans="1:1">
      <c r="A28738" s="27"/>
    </row>
    <row r="28739" spans="1:1">
      <c r="A28739" s="27"/>
    </row>
    <row r="28740" spans="1:1">
      <c r="A28740" s="27"/>
    </row>
    <row r="28741" spans="1:1">
      <c r="A28741" s="27"/>
    </row>
    <row r="28742" spans="1:1">
      <c r="A28742" s="27"/>
    </row>
    <row r="28743" spans="1:1">
      <c r="A28743" s="27"/>
    </row>
    <row r="28744" spans="1:1">
      <c r="A28744" s="27"/>
    </row>
    <row r="28745" spans="1:1">
      <c r="A28745" s="27"/>
    </row>
    <row r="28746" spans="1:1">
      <c r="A28746" s="27"/>
    </row>
    <row r="28747" spans="1:1">
      <c r="A28747" s="27"/>
    </row>
    <row r="28748" spans="1:1">
      <c r="A28748" s="27"/>
    </row>
    <row r="28749" spans="1:1">
      <c r="A28749" s="27"/>
    </row>
    <row r="28750" spans="1:1">
      <c r="A28750" s="27"/>
    </row>
    <row r="28751" spans="1:1">
      <c r="A28751" s="27"/>
    </row>
    <row r="28752" spans="1:1">
      <c r="A28752" s="27"/>
    </row>
    <row r="28753" spans="1:1">
      <c r="A28753" s="27"/>
    </row>
    <row r="28754" spans="1:1">
      <c r="A28754" s="27"/>
    </row>
    <row r="28755" spans="1:1">
      <c r="A28755" s="27"/>
    </row>
    <row r="28756" spans="1:1">
      <c r="A28756" s="27"/>
    </row>
    <row r="28757" spans="1:1">
      <c r="A28757" s="27"/>
    </row>
    <row r="28758" spans="1:1">
      <c r="A28758" s="27"/>
    </row>
    <row r="28759" spans="1:1">
      <c r="A28759" s="27"/>
    </row>
    <row r="28760" spans="1:1">
      <c r="A28760" s="27"/>
    </row>
    <row r="28761" spans="1:1">
      <c r="A28761" s="27"/>
    </row>
    <row r="28762" spans="1:1">
      <c r="A28762" s="27"/>
    </row>
    <row r="28763" spans="1:1">
      <c r="A28763" s="27"/>
    </row>
    <row r="28764" spans="1:1">
      <c r="A28764" s="27"/>
    </row>
    <row r="28765" spans="1:1">
      <c r="A28765" s="27"/>
    </row>
    <row r="28766" spans="1:1">
      <c r="A28766" s="27"/>
    </row>
    <row r="28767" spans="1:1">
      <c r="A28767" s="27"/>
    </row>
    <row r="28768" spans="1:1">
      <c r="A28768" s="27"/>
    </row>
    <row r="28769" spans="1:1">
      <c r="A28769" s="27"/>
    </row>
    <row r="28770" spans="1:1">
      <c r="A28770" s="27"/>
    </row>
    <row r="28771" spans="1:1">
      <c r="A28771" s="27"/>
    </row>
    <row r="28772" spans="1:1">
      <c r="A28772" s="27"/>
    </row>
    <row r="28773" spans="1:1">
      <c r="A28773" s="27"/>
    </row>
    <row r="28774" spans="1:1">
      <c r="A28774" s="27"/>
    </row>
    <row r="28775" spans="1:1">
      <c r="A28775" s="27"/>
    </row>
    <row r="28776" spans="1:1">
      <c r="A28776" s="27"/>
    </row>
    <row r="28777" spans="1:1">
      <c r="A28777" s="27"/>
    </row>
    <row r="28778" spans="1:1">
      <c r="A28778" s="27"/>
    </row>
    <row r="28779" spans="1:1">
      <c r="A28779" s="27"/>
    </row>
    <row r="28780" spans="1:1">
      <c r="A28780" s="27"/>
    </row>
    <row r="28781" spans="1:1">
      <c r="A28781" s="27"/>
    </row>
    <row r="28782" spans="1:1">
      <c r="A28782" s="27"/>
    </row>
    <row r="28783" spans="1:1">
      <c r="A28783" s="27"/>
    </row>
    <row r="28784" spans="1:1">
      <c r="A28784" s="27"/>
    </row>
    <row r="28785" spans="1:1">
      <c r="A28785" s="27"/>
    </row>
    <row r="28786" spans="1:1">
      <c r="A28786" s="27"/>
    </row>
    <row r="28787" spans="1:1">
      <c r="A28787" s="27"/>
    </row>
    <row r="28788" spans="1:1">
      <c r="A28788" s="27"/>
    </row>
    <row r="28789" spans="1:1">
      <c r="A28789" s="27"/>
    </row>
    <row r="28790" spans="1:1">
      <c r="A28790" s="27"/>
    </row>
    <row r="28791" spans="1:1">
      <c r="A28791" s="27"/>
    </row>
    <row r="28792" spans="1:1">
      <c r="A28792" s="27"/>
    </row>
    <row r="28793" spans="1:1">
      <c r="A28793" s="27"/>
    </row>
    <row r="28794" spans="1:1">
      <c r="A28794" s="27"/>
    </row>
    <row r="28795" spans="1:1">
      <c r="A28795" s="27"/>
    </row>
    <row r="28796" spans="1:1">
      <c r="A28796" s="27"/>
    </row>
    <row r="28797" spans="1:1">
      <c r="A28797" s="27"/>
    </row>
    <row r="28798" spans="1:1">
      <c r="A28798" s="27"/>
    </row>
    <row r="28799" spans="1:1">
      <c r="A28799" s="27"/>
    </row>
    <row r="28800" spans="1:1">
      <c r="A28800" s="27"/>
    </row>
    <row r="28801" spans="1:1">
      <c r="A28801" s="27"/>
    </row>
    <row r="28802" spans="1:1">
      <c r="A28802" s="27"/>
    </row>
    <row r="28803" spans="1:1">
      <c r="A28803" s="27"/>
    </row>
    <row r="28804" spans="1:1">
      <c r="A28804" s="27"/>
    </row>
    <row r="28805" spans="1:1">
      <c r="A28805" s="27"/>
    </row>
    <row r="28806" spans="1:1">
      <c r="A28806" s="27"/>
    </row>
    <row r="28807" spans="1:1">
      <c r="A28807" s="27"/>
    </row>
    <row r="28808" spans="1:1">
      <c r="A28808" s="27"/>
    </row>
    <row r="28809" spans="1:1">
      <c r="A28809" s="27"/>
    </row>
    <row r="28810" spans="1:1">
      <c r="A28810" s="27"/>
    </row>
    <row r="28811" spans="1:1">
      <c r="A28811" s="27"/>
    </row>
    <row r="28812" spans="1:1">
      <c r="A28812" s="27"/>
    </row>
    <row r="28813" spans="1:1">
      <c r="A28813" s="27"/>
    </row>
    <row r="28814" spans="1:1">
      <c r="A28814" s="27"/>
    </row>
    <row r="28815" spans="1:1">
      <c r="A28815" s="27"/>
    </row>
    <row r="28816" spans="1:1">
      <c r="A28816" s="27"/>
    </row>
    <row r="28817" spans="1:1">
      <c r="A28817" s="27"/>
    </row>
    <row r="28818" spans="1:1">
      <c r="A28818" s="27"/>
    </row>
    <row r="28819" spans="1:1">
      <c r="A28819" s="27"/>
    </row>
    <row r="28820" spans="1:1">
      <c r="A28820" s="27"/>
    </row>
    <row r="28821" spans="1:1">
      <c r="A28821" s="27"/>
    </row>
    <row r="28822" spans="1:1">
      <c r="A28822" s="27"/>
    </row>
    <row r="28823" spans="1:1">
      <c r="A28823" s="27"/>
    </row>
    <row r="28824" spans="1:1">
      <c r="A28824" s="27"/>
    </row>
    <row r="28825" spans="1:1">
      <c r="A28825" s="27"/>
    </row>
    <row r="28826" spans="1:1">
      <c r="A28826" s="27"/>
    </row>
    <row r="28827" spans="1:1">
      <c r="A28827" s="27"/>
    </row>
    <row r="28828" spans="1:1">
      <c r="A28828" s="27"/>
    </row>
    <row r="28829" spans="1:1">
      <c r="A28829" s="27"/>
    </row>
    <row r="28830" spans="1:1">
      <c r="A28830" s="27"/>
    </row>
    <row r="28831" spans="1:1">
      <c r="A28831" s="27"/>
    </row>
    <row r="28832" spans="1:1">
      <c r="A28832" s="27"/>
    </row>
    <row r="28833" spans="1:1">
      <c r="A28833" s="27"/>
    </row>
    <row r="28834" spans="1:1">
      <c r="A28834" s="27"/>
    </row>
    <row r="28835" spans="1:1">
      <c r="A28835" s="27"/>
    </row>
    <row r="28836" spans="1:1">
      <c r="A28836" s="27"/>
    </row>
    <row r="28837" spans="1:1">
      <c r="A28837" s="27"/>
    </row>
    <row r="28838" spans="1:1">
      <c r="A28838" s="27"/>
    </row>
    <row r="28839" spans="1:1">
      <c r="A28839" s="27"/>
    </row>
    <row r="28840" spans="1:1">
      <c r="A28840" s="27"/>
    </row>
    <row r="28841" spans="1:1">
      <c r="A28841" s="27"/>
    </row>
    <row r="28842" spans="1:1">
      <c r="A28842" s="27"/>
    </row>
    <row r="28843" spans="1:1">
      <c r="A28843" s="27"/>
    </row>
    <row r="28844" spans="1:1">
      <c r="A28844" s="27"/>
    </row>
    <row r="28845" spans="1:1">
      <c r="A28845" s="27"/>
    </row>
    <row r="28846" spans="1:1">
      <c r="A28846" s="27"/>
    </row>
    <row r="28847" spans="1:1">
      <c r="A28847" s="27"/>
    </row>
    <row r="28848" spans="1:1">
      <c r="A28848" s="27"/>
    </row>
    <row r="28849" spans="1:1">
      <c r="A28849" s="27"/>
    </row>
    <row r="28850" spans="1:1">
      <c r="A28850" s="27"/>
    </row>
    <row r="28851" spans="1:1">
      <c r="A28851" s="27"/>
    </row>
    <row r="28852" spans="1:1">
      <c r="A28852" s="27"/>
    </row>
    <row r="28853" spans="1:1">
      <c r="A28853" s="27"/>
    </row>
    <row r="28854" spans="1:1">
      <c r="A28854" s="27"/>
    </row>
    <row r="28855" spans="1:1">
      <c r="A28855" s="27"/>
    </row>
    <row r="28856" spans="1:1">
      <c r="A28856" s="27"/>
    </row>
    <row r="28857" spans="1:1">
      <c r="A28857" s="27"/>
    </row>
    <row r="28858" spans="1:1">
      <c r="A28858" s="27"/>
    </row>
    <row r="28859" spans="1:1">
      <c r="A28859" s="27"/>
    </row>
    <row r="28860" spans="1:1">
      <c r="A28860" s="27"/>
    </row>
    <row r="28861" spans="1:1">
      <c r="A28861" s="27"/>
    </row>
    <row r="28862" spans="1:1">
      <c r="A28862" s="27"/>
    </row>
    <row r="28863" spans="1:1">
      <c r="A28863" s="27"/>
    </row>
    <row r="28864" spans="1:1">
      <c r="A28864" s="27"/>
    </row>
    <row r="28865" spans="1:1">
      <c r="A28865" s="27"/>
    </row>
    <row r="28866" spans="1:1">
      <c r="A28866" s="27"/>
    </row>
    <row r="28867" spans="1:1">
      <c r="A28867" s="27"/>
    </row>
    <row r="28868" spans="1:1">
      <c r="A28868" s="27"/>
    </row>
    <row r="28869" spans="1:1">
      <c r="A28869" s="27"/>
    </row>
    <row r="28870" spans="1:1">
      <c r="A28870" s="27"/>
    </row>
    <row r="28871" spans="1:1">
      <c r="A28871" s="27"/>
    </row>
    <row r="28872" spans="1:1">
      <c r="A28872" s="27"/>
    </row>
    <row r="28873" spans="1:1">
      <c r="A28873" s="27"/>
    </row>
    <row r="28874" spans="1:1">
      <c r="A28874" s="27"/>
    </row>
    <row r="28875" spans="1:1">
      <c r="A28875" s="27"/>
    </row>
    <row r="28876" spans="1:1">
      <c r="A28876" s="27"/>
    </row>
    <row r="28877" spans="1:1">
      <c r="A28877" s="27"/>
    </row>
    <row r="28878" spans="1:1">
      <c r="A28878" s="27"/>
    </row>
    <row r="28879" spans="1:1">
      <c r="A28879" s="27"/>
    </row>
    <row r="28880" spans="1:1">
      <c r="A28880" s="27"/>
    </row>
    <row r="28881" spans="1:1">
      <c r="A28881" s="27"/>
    </row>
    <row r="28882" spans="1:1">
      <c r="A28882" s="27"/>
    </row>
    <row r="28883" spans="1:1">
      <c r="A28883" s="27"/>
    </row>
    <row r="28884" spans="1:1">
      <c r="A28884" s="27"/>
    </row>
    <row r="28885" spans="1:1">
      <c r="A28885" s="27"/>
    </row>
    <row r="28886" spans="1:1">
      <c r="A28886" s="27"/>
    </row>
    <row r="28887" spans="1:1">
      <c r="A28887" s="27"/>
    </row>
    <row r="28888" spans="1:1">
      <c r="A28888" s="27"/>
    </row>
    <row r="28889" spans="1:1">
      <c r="A28889" s="27"/>
    </row>
    <row r="28890" spans="1:1">
      <c r="A28890" s="27"/>
    </row>
    <row r="28891" spans="1:1">
      <c r="A28891" s="27"/>
    </row>
    <row r="28892" spans="1:1">
      <c r="A28892" s="27"/>
    </row>
    <row r="28893" spans="1:1">
      <c r="A28893" s="27"/>
    </row>
    <row r="28894" spans="1:1">
      <c r="A28894" s="27"/>
    </row>
    <row r="28895" spans="1:1">
      <c r="A28895" s="27"/>
    </row>
    <row r="28896" spans="1:1">
      <c r="A28896" s="27"/>
    </row>
    <row r="28897" spans="1:1">
      <c r="A28897" s="27"/>
    </row>
    <row r="28898" spans="1:1">
      <c r="A28898" s="27"/>
    </row>
    <row r="28899" spans="1:1">
      <c r="A28899" s="27"/>
    </row>
    <row r="28900" spans="1:1">
      <c r="A28900" s="27"/>
    </row>
    <row r="28901" spans="1:1">
      <c r="A28901" s="27"/>
    </row>
    <row r="28902" spans="1:1">
      <c r="A28902" s="27"/>
    </row>
    <row r="28903" spans="1:1">
      <c r="A28903" s="27"/>
    </row>
    <row r="28904" spans="1:1">
      <c r="A28904" s="27"/>
    </row>
    <row r="28905" spans="1:1">
      <c r="A28905" s="27"/>
    </row>
    <row r="28906" spans="1:1">
      <c r="A28906" s="27"/>
    </row>
    <row r="28907" spans="1:1">
      <c r="A28907" s="27"/>
    </row>
    <row r="28908" spans="1:1">
      <c r="A28908" s="27"/>
    </row>
    <row r="28909" spans="1:1">
      <c r="A28909" s="27"/>
    </row>
    <row r="28910" spans="1:1">
      <c r="A28910" s="27"/>
    </row>
    <row r="28911" spans="1:1">
      <c r="A28911" s="27"/>
    </row>
    <row r="28912" spans="1:1">
      <c r="A28912" s="27"/>
    </row>
    <row r="28913" spans="1:1">
      <c r="A28913" s="27"/>
    </row>
    <row r="28914" spans="1:1">
      <c r="A28914" s="27"/>
    </row>
    <row r="28915" spans="1:1">
      <c r="A28915" s="27"/>
    </row>
    <row r="28916" spans="1:1">
      <c r="A28916" s="27"/>
    </row>
    <row r="28917" spans="1:1">
      <c r="A28917" s="27"/>
    </row>
    <row r="28918" spans="1:1">
      <c r="A28918" s="27"/>
    </row>
    <row r="28919" spans="1:1">
      <c r="A28919" s="27"/>
    </row>
    <row r="28920" spans="1:1">
      <c r="A28920" s="27"/>
    </row>
    <row r="28921" spans="1:1">
      <c r="A28921" s="27"/>
    </row>
    <row r="28922" spans="1:1">
      <c r="A28922" s="27"/>
    </row>
    <row r="28923" spans="1:1">
      <c r="A28923" s="27"/>
    </row>
    <row r="28924" spans="1:1">
      <c r="A28924" s="27"/>
    </row>
    <row r="28925" spans="1:1">
      <c r="A28925" s="27"/>
    </row>
    <row r="28926" spans="1:1">
      <c r="A28926" s="27"/>
    </row>
    <row r="28927" spans="1:1">
      <c r="A28927" s="27"/>
    </row>
    <row r="28928" spans="1:1">
      <c r="A28928" s="27"/>
    </row>
    <row r="28929" spans="1:1">
      <c r="A28929" s="27"/>
    </row>
    <row r="28930" spans="1:1">
      <c r="A28930" s="27"/>
    </row>
    <row r="28931" spans="1:1">
      <c r="A28931" s="27"/>
    </row>
    <row r="28932" spans="1:1">
      <c r="A28932" s="27"/>
    </row>
    <row r="28933" spans="1:1">
      <c r="A28933" s="27"/>
    </row>
    <row r="28934" spans="1:1">
      <c r="A28934" s="27"/>
    </row>
    <row r="28935" spans="1:1">
      <c r="A28935" s="27"/>
    </row>
    <row r="28936" spans="1:1">
      <c r="A28936" s="27"/>
    </row>
    <row r="28937" spans="1:1">
      <c r="A28937" s="27"/>
    </row>
    <row r="28938" spans="1:1">
      <c r="A28938" s="27"/>
    </row>
    <row r="28939" spans="1:1">
      <c r="A28939" s="27"/>
    </row>
    <row r="28940" spans="1:1">
      <c r="A28940" s="27"/>
    </row>
    <row r="28941" spans="1:1">
      <c r="A28941" s="27"/>
    </row>
    <row r="28942" spans="1:1">
      <c r="A28942" s="27"/>
    </row>
    <row r="28943" spans="1:1">
      <c r="A28943" s="27"/>
    </row>
    <row r="28944" spans="1:1">
      <c r="A28944" s="27"/>
    </row>
    <row r="28945" spans="1:1">
      <c r="A28945" s="27"/>
    </row>
    <row r="28946" spans="1:1">
      <c r="A28946" s="27"/>
    </row>
    <row r="28947" spans="1:1">
      <c r="A28947" s="27"/>
    </row>
    <row r="28948" spans="1:1">
      <c r="A28948" s="27"/>
    </row>
    <row r="28949" spans="1:1">
      <c r="A28949" s="27"/>
    </row>
    <row r="28950" spans="1:1">
      <c r="A28950" s="27"/>
    </row>
    <row r="28951" spans="1:1">
      <c r="A28951" s="27"/>
    </row>
    <row r="28952" spans="1:1">
      <c r="A28952" s="27"/>
    </row>
    <row r="28953" spans="1:1">
      <c r="A28953" s="27"/>
    </row>
    <row r="28954" spans="1:1">
      <c r="A28954" s="27"/>
    </row>
    <row r="28955" spans="1:1">
      <c r="A28955" s="27"/>
    </row>
    <row r="28956" spans="1:1">
      <c r="A28956" s="27"/>
    </row>
    <row r="28957" spans="1:1">
      <c r="A28957" s="27"/>
    </row>
    <row r="28958" spans="1:1">
      <c r="A28958" s="27"/>
    </row>
    <row r="28959" spans="1:1">
      <c r="A28959" s="27"/>
    </row>
    <row r="28960" spans="1:1">
      <c r="A28960" s="27"/>
    </row>
    <row r="28961" spans="1:1">
      <c r="A28961" s="27"/>
    </row>
    <row r="28962" spans="1:1">
      <c r="A28962" s="27"/>
    </row>
    <row r="28963" spans="1:1">
      <c r="A28963" s="27"/>
    </row>
    <row r="28964" spans="1:1">
      <c r="A28964" s="27"/>
    </row>
    <row r="28965" spans="1:1">
      <c r="A28965" s="27"/>
    </row>
    <row r="28966" spans="1:1">
      <c r="A28966" s="27"/>
    </row>
    <row r="28967" spans="1:1">
      <c r="A28967" s="27"/>
    </row>
    <row r="28968" spans="1:1">
      <c r="A28968" s="27"/>
    </row>
    <row r="28969" spans="1:1">
      <c r="A28969" s="27"/>
    </row>
    <row r="28970" spans="1:1">
      <c r="A28970" s="27"/>
    </row>
    <row r="28971" spans="1:1">
      <c r="A28971" s="27"/>
    </row>
    <row r="28972" spans="1:1">
      <c r="A28972" s="27"/>
    </row>
    <row r="28973" spans="1:1">
      <c r="A28973" s="27"/>
    </row>
    <row r="28974" spans="1:1">
      <c r="A28974" s="27"/>
    </row>
    <row r="28975" spans="1:1">
      <c r="A28975" s="27"/>
    </row>
    <row r="28976" spans="1:1">
      <c r="A28976" s="27"/>
    </row>
    <row r="28977" spans="1:1">
      <c r="A28977" s="27"/>
    </row>
    <row r="28978" spans="1:1">
      <c r="A28978" s="27"/>
    </row>
    <row r="28979" spans="1:1">
      <c r="A28979" s="27"/>
    </row>
    <row r="28980" spans="1:1">
      <c r="A28980" s="27"/>
    </row>
    <row r="28981" spans="1:1">
      <c r="A28981" s="27"/>
    </row>
    <row r="28982" spans="1:1">
      <c r="A28982" s="27"/>
    </row>
    <row r="28983" spans="1:1">
      <c r="A28983" s="27"/>
    </row>
    <row r="28984" spans="1:1">
      <c r="A28984" s="27"/>
    </row>
    <row r="28985" spans="1:1">
      <c r="A28985" s="27"/>
    </row>
    <row r="28986" spans="1:1">
      <c r="A28986" s="27"/>
    </row>
    <row r="28987" spans="1:1">
      <c r="A28987" s="27"/>
    </row>
    <row r="28988" spans="1:1">
      <c r="A28988" s="27"/>
    </row>
    <row r="28989" spans="1:1">
      <c r="A28989" s="27"/>
    </row>
    <row r="28990" spans="1:1">
      <c r="A28990" s="27"/>
    </row>
    <row r="28991" spans="1:1">
      <c r="A28991" s="27"/>
    </row>
    <row r="28992" spans="1:1">
      <c r="A28992" s="27"/>
    </row>
    <row r="28993" spans="1:1">
      <c r="A28993" s="27"/>
    </row>
    <row r="28994" spans="1:1">
      <c r="A28994" s="27"/>
    </row>
    <row r="28995" spans="1:1">
      <c r="A28995" s="27"/>
    </row>
    <row r="28996" spans="1:1">
      <c r="A28996" s="27"/>
    </row>
    <row r="28997" spans="1:1">
      <c r="A28997" s="27"/>
    </row>
    <row r="28998" spans="1:1">
      <c r="A28998" s="27"/>
    </row>
    <row r="28999" spans="1:1">
      <c r="A28999" s="27"/>
    </row>
    <row r="29000" spans="1:1">
      <c r="A29000" s="27"/>
    </row>
    <row r="29001" spans="1:1">
      <c r="A29001" s="27"/>
    </row>
    <row r="29002" spans="1:1">
      <c r="A29002" s="27"/>
    </row>
    <row r="29003" spans="1:1">
      <c r="A29003" s="27"/>
    </row>
    <row r="29004" spans="1:1">
      <c r="A29004" s="27"/>
    </row>
    <row r="29005" spans="1:1">
      <c r="A29005" s="27"/>
    </row>
    <row r="29006" spans="1:1">
      <c r="A29006" s="27"/>
    </row>
    <row r="29007" spans="1:1">
      <c r="A29007" s="27"/>
    </row>
    <row r="29008" spans="1:1">
      <c r="A29008" s="27"/>
    </row>
    <row r="29009" spans="1:1">
      <c r="A29009" s="27"/>
    </row>
    <row r="29010" spans="1:1">
      <c r="A29010" s="27"/>
    </row>
    <row r="29011" spans="1:1">
      <c r="A29011" s="27"/>
    </row>
    <row r="29012" spans="1:1">
      <c r="A29012" s="27"/>
    </row>
    <row r="29013" spans="1:1">
      <c r="A29013" s="27"/>
    </row>
    <row r="29014" spans="1:1">
      <c r="A29014" s="27"/>
    </row>
    <row r="29015" spans="1:1">
      <c r="A29015" s="27"/>
    </row>
    <row r="29016" spans="1:1">
      <c r="A29016" s="27"/>
    </row>
    <row r="29017" spans="1:1">
      <c r="A29017" s="27"/>
    </row>
    <row r="29018" spans="1:1">
      <c r="A29018" s="27"/>
    </row>
    <row r="29019" spans="1:1">
      <c r="A29019" s="27"/>
    </row>
    <row r="29020" spans="1:1">
      <c r="A29020" s="27"/>
    </row>
    <row r="29021" spans="1:1">
      <c r="A29021" s="27"/>
    </row>
    <row r="29022" spans="1:1">
      <c r="A29022" s="27"/>
    </row>
    <row r="29023" spans="1:1">
      <c r="A29023" s="27"/>
    </row>
    <row r="29024" spans="1:1">
      <c r="A29024" s="27"/>
    </row>
    <row r="29025" spans="1:1">
      <c r="A29025" s="27"/>
    </row>
    <row r="29026" spans="1:1">
      <c r="A29026" s="27"/>
    </row>
    <row r="29027" spans="1:1">
      <c r="A29027" s="27"/>
    </row>
    <row r="29028" spans="1:1">
      <c r="A29028" s="27"/>
    </row>
    <row r="29029" spans="1:1">
      <c r="A29029" s="27"/>
    </row>
    <row r="29030" spans="1:1">
      <c r="A29030" s="27"/>
    </row>
    <row r="29031" spans="1:1">
      <c r="A29031" s="27"/>
    </row>
    <row r="29032" spans="1:1">
      <c r="A29032" s="27"/>
    </row>
    <row r="29033" spans="1:1">
      <c r="A29033" s="27"/>
    </row>
    <row r="29034" spans="1:1">
      <c r="A29034" s="27"/>
    </row>
    <row r="29035" spans="1:1">
      <c r="A29035" s="27"/>
    </row>
    <row r="29036" spans="1:1">
      <c r="A29036" s="27"/>
    </row>
    <row r="29037" spans="1:1">
      <c r="A29037" s="27"/>
    </row>
    <row r="29038" spans="1:1">
      <c r="A29038" s="27"/>
    </row>
    <row r="29039" spans="1:1">
      <c r="A29039" s="27"/>
    </row>
    <row r="29040" spans="1:1">
      <c r="A29040" s="27"/>
    </row>
    <row r="29041" spans="1:1">
      <c r="A29041" s="27"/>
    </row>
    <row r="29042" spans="1:1">
      <c r="A29042" s="27"/>
    </row>
    <row r="29043" spans="1:1">
      <c r="A29043" s="27"/>
    </row>
    <row r="29044" spans="1:1">
      <c r="A29044" s="27"/>
    </row>
    <row r="29045" spans="1:1">
      <c r="A29045" s="27"/>
    </row>
    <row r="29046" spans="1:1">
      <c r="A29046" s="27"/>
    </row>
    <row r="29047" spans="1:1">
      <c r="A29047" s="27"/>
    </row>
    <row r="29048" spans="1:1">
      <c r="A29048" s="27"/>
    </row>
    <row r="29049" spans="1:1">
      <c r="A29049" s="27"/>
    </row>
    <row r="29050" spans="1:1">
      <c r="A29050" s="27"/>
    </row>
    <row r="29051" spans="1:1">
      <c r="A29051" s="27"/>
    </row>
    <row r="29052" spans="1:1">
      <c r="A29052" s="27"/>
    </row>
    <row r="29053" spans="1:1">
      <c r="A29053" s="27"/>
    </row>
    <row r="29054" spans="1:1">
      <c r="A29054" s="27"/>
    </row>
    <row r="29055" spans="1:1">
      <c r="A29055" s="27"/>
    </row>
    <row r="29056" spans="1:1">
      <c r="A29056" s="27"/>
    </row>
    <row r="29057" spans="1:1">
      <c r="A29057" s="27"/>
    </row>
    <row r="29058" spans="1:1">
      <c r="A29058" s="27"/>
    </row>
    <row r="29059" spans="1:1">
      <c r="A29059" s="27"/>
    </row>
    <row r="29060" spans="1:1">
      <c r="A29060" s="27"/>
    </row>
    <row r="29061" spans="1:1">
      <c r="A29061" s="27"/>
    </row>
    <row r="29062" spans="1:1">
      <c r="A29062" s="27"/>
    </row>
    <row r="29063" spans="1:1">
      <c r="A29063" s="27"/>
    </row>
    <row r="29064" spans="1:1">
      <c r="A29064" s="27"/>
    </row>
    <row r="29065" spans="1:1">
      <c r="A29065" s="27"/>
    </row>
    <row r="29066" spans="1:1">
      <c r="A29066" s="27"/>
    </row>
    <row r="29067" spans="1:1">
      <c r="A29067" s="27"/>
    </row>
    <row r="29068" spans="1:1">
      <c r="A29068" s="27"/>
    </row>
    <row r="29069" spans="1:1">
      <c r="A29069" s="27"/>
    </row>
    <row r="29070" spans="1:1">
      <c r="A29070" s="27"/>
    </row>
    <row r="29071" spans="1:1">
      <c r="A29071" s="27"/>
    </row>
    <row r="29072" spans="1:1">
      <c r="A29072" s="27"/>
    </row>
    <row r="29073" spans="1:1">
      <c r="A29073" s="27"/>
    </row>
    <row r="29074" spans="1:1">
      <c r="A29074" s="27"/>
    </row>
    <row r="29075" spans="1:1">
      <c r="A29075" s="27"/>
    </row>
    <row r="29076" spans="1:1">
      <c r="A29076" s="27"/>
    </row>
    <row r="29077" spans="1:1">
      <c r="A29077" s="27"/>
    </row>
    <row r="29078" spans="1:1">
      <c r="A29078" s="27"/>
    </row>
    <row r="29079" spans="1:1">
      <c r="A29079" s="27"/>
    </row>
    <row r="29080" spans="1:1">
      <c r="A29080" s="27"/>
    </row>
    <row r="29081" spans="1:1">
      <c r="A29081" s="27"/>
    </row>
    <row r="29082" spans="1:1">
      <c r="A29082" s="27"/>
    </row>
    <row r="29083" spans="1:1">
      <c r="A29083" s="27"/>
    </row>
    <row r="29084" spans="1:1">
      <c r="A29084" s="27"/>
    </row>
    <row r="29085" spans="1:1">
      <c r="A29085" s="27"/>
    </row>
    <row r="29086" spans="1:1">
      <c r="A29086" s="27"/>
    </row>
    <row r="29087" spans="1:1">
      <c r="A29087" s="27"/>
    </row>
    <row r="29088" spans="1:1">
      <c r="A29088" s="27"/>
    </row>
    <row r="29089" spans="1:1">
      <c r="A29089" s="27"/>
    </row>
    <row r="29090" spans="1:1">
      <c r="A29090" s="27"/>
    </row>
    <row r="29091" spans="1:1">
      <c r="A29091" s="27"/>
    </row>
    <row r="29092" spans="1:1">
      <c r="A29092" s="27"/>
    </row>
    <row r="29093" spans="1:1">
      <c r="A29093" s="27"/>
    </row>
    <row r="29094" spans="1:1">
      <c r="A29094" s="27"/>
    </row>
    <row r="29095" spans="1:1">
      <c r="A29095" s="27"/>
    </row>
    <row r="29096" spans="1:1">
      <c r="A29096" s="27"/>
    </row>
    <row r="29097" spans="1:1">
      <c r="A29097" s="27"/>
    </row>
    <row r="29098" spans="1:1">
      <c r="A29098" s="27"/>
    </row>
    <row r="29099" spans="1:1">
      <c r="A29099" s="27"/>
    </row>
    <row r="29100" spans="1:1">
      <c r="A29100" s="27"/>
    </row>
    <row r="29101" spans="1:1">
      <c r="A29101" s="27"/>
    </row>
    <row r="29102" spans="1:1">
      <c r="A29102" s="27"/>
    </row>
    <row r="29103" spans="1:1">
      <c r="A29103" s="27"/>
    </row>
    <row r="29104" spans="1:1">
      <c r="A29104" s="27"/>
    </row>
    <row r="29105" spans="1:1">
      <c r="A29105" s="27"/>
    </row>
    <row r="29106" spans="1:1">
      <c r="A29106" s="27"/>
    </row>
    <row r="29107" spans="1:1">
      <c r="A29107" s="27"/>
    </row>
    <row r="29108" spans="1:1">
      <c r="A29108" s="27"/>
    </row>
    <row r="29109" spans="1:1">
      <c r="A29109" s="27"/>
    </row>
    <row r="29110" spans="1:1">
      <c r="A29110" s="27"/>
    </row>
    <row r="29111" spans="1:1">
      <c r="A29111" s="27"/>
    </row>
    <row r="29112" spans="1:1">
      <c r="A29112" s="27"/>
    </row>
    <row r="29113" spans="1:1">
      <c r="A29113" s="27"/>
    </row>
    <row r="29114" spans="1:1">
      <c r="A29114" s="27"/>
    </row>
    <row r="29115" spans="1:1">
      <c r="A29115" s="27"/>
    </row>
    <row r="29116" spans="1:1">
      <c r="A29116" s="27"/>
    </row>
    <row r="29117" spans="1:1">
      <c r="A29117" s="27"/>
    </row>
    <row r="29118" spans="1:1">
      <c r="A29118" s="27"/>
    </row>
    <row r="29119" spans="1:1">
      <c r="A29119" s="27"/>
    </row>
    <row r="29120" spans="1:1">
      <c r="A29120" s="27"/>
    </row>
    <row r="29121" spans="1:1">
      <c r="A29121" s="27"/>
    </row>
    <row r="29122" spans="1:1">
      <c r="A29122" s="27"/>
    </row>
    <row r="29123" spans="1:1">
      <c r="A29123" s="27"/>
    </row>
    <row r="29124" spans="1:1">
      <c r="A29124" s="27"/>
    </row>
    <row r="29125" spans="1:1">
      <c r="A29125" s="27"/>
    </row>
    <row r="29126" spans="1:1">
      <c r="A29126" s="27"/>
    </row>
    <row r="29127" spans="1:1">
      <c r="A29127" s="27"/>
    </row>
    <row r="29128" spans="1:1">
      <c r="A29128" s="27"/>
    </row>
    <row r="29129" spans="1:1">
      <c r="A29129" s="27"/>
    </row>
    <row r="29130" spans="1:1">
      <c r="A29130" s="27"/>
    </row>
    <row r="29131" spans="1:1">
      <c r="A29131" s="27"/>
    </row>
    <row r="29132" spans="1:1">
      <c r="A29132" s="27"/>
    </row>
    <row r="29133" spans="1:1">
      <c r="A29133" s="27"/>
    </row>
    <row r="29134" spans="1:1">
      <c r="A29134" s="27"/>
    </row>
    <row r="29135" spans="1:1">
      <c r="A29135" s="27"/>
    </row>
    <row r="29136" spans="1:1">
      <c r="A29136" s="27"/>
    </row>
    <row r="29137" spans="1:1">
      <c r="A29137" s="27"/>
    </row>
    <row r="29138" spans="1:1">
      <c r="A29138" s="27"/>
    </row>
    <row r="29139" spans="1:1">
      <c r="A29139" s="27"/>
    </row>
    <row r="29140" spans="1:1">
      <c r="A29140" s="27"/>
    </row>
    <row r="29141" spans="1:1">
      <c r="A29141" s="27"/>
    </row>
    <row r="29142" spans="1:1">
      <c r="A29142" s="27"/>
    </row>
    <row r="29143" spans="1:1">
      <c r="A29143" s="27"/>
    </row>
    <row r="29144" spans="1:1">
      <c r="A29144" s="27"/>
    </row>
    <row r="29145" spans="1:1">
      <c r="A29145" s="27"/>
    </row>
    <row r="29146" spans="1:1">
      <c r="A29146" s="27"/>
    </row>
    <row r="29147" spans="1:1">
      <c r="A29147" s="27"/>
    </row>
    <row r="29148" spans="1:1">
      <c r="A29148" s="27"/>
    </row>
    <row r="29149" spans="1:1">
      <c r="A29149" s="27"/>
    </row>
    <row r="29150" spans="1:1">
      <c r="A29150" s="27"/>
    </row>
    <row r="29151" spans="1:1">
      <c r="A29151" s="27"/>
    </row>
    <row r="29152" spans="1:1">
      <c r="A29152" s="27"/>
    </row>
    <row r="29153" spans="1:1">
      <c r="A29153" s="27"/>
    </row>
    <row r="29154" spans="1:1">
      <c r="A29154" s="27"/>
    </row>
    <row r="29155" spans="1:1">
      <c r="A29155" s="27"/>
    </row>
    <row r="29156" spans="1:1">
      <c r="A29156" s="27"/>
    </row>
    <row r="29157" spans="1:1">
      <c r="A29157" s="27"/>
    </row>
    <row r="29158" spans="1:1">
      <c r="A29158" s="27"/>
    </row>
    <row r="29159" spans="1:1">
      <c r="A29159" s="27"/>
    </row>
    <row r="29160" spans="1:1">
      <c r="A29160" s="27"/>
    </row>
    <row r="29161" spans="1:1">
      <c r="A29161" s="27"/>
    </row>
    <row r="29162" spans="1:1">
      <c r="A29162" s="27"/>
    </row>
    <row r="29163" spans="1:1">
      <c r="A29163" s="27"/>
    </row>
    <row r="29164" spans="1:1">
      <c r="A29164" s="27"/>
    </row>
    <row r="29165" spans="1:1">
      <c r="A29165" s="27"/>
    </row>
    <row r="29166" spans="1:1">
      <c r="A29166" s="27"/>
    </row>
    <row r="29167" spans="1:1">
      <c r="A29167" s="27"/>
    </row>
    <row r="29168" spans="1:1">
      <c r="A29168" s="27"/>
    </row>
    <row r="29169" spans="1:1">
      <c r="A29169" s="27"/>
    </row>
    <row r="29170" spans="1:1">
      <c r="A29170" s="27"/>
    </row>
    <row r="29171" spans="1:1">
      <c r="A29171" s="27"/>
    </row>
    <row r="29172" spans="1:1">
      <c r="A29172" s="27"/>
    </row>
    <row r="29173" spans="1:1">
      <c r="A29173" s="27"/>
    </row>
    <row r="29174" spans="1:1">
      <c r="A29174" s="27"/>
    </row>
    <row r="29175" spans="1:1">
      <c r="A29175" s="27"/>
    </row>
    <row r="29176" spans="1:1">
      <c r="A29176" s="27"/>
    </row>
    <row r="29177" spans="1:1">
      <c r="A29177" s="27"/>
    </row>
    <row r="29178" spans="1:1">
      <c r="A29178" s="27"/>
    </row>
    <row r="29179" spans="1:1">
      <c r="A29179" s="27"/>
    </row>
    <row r="29180" spans="1:1">
      <c r="A29180" s="27"/>
    </row>
    <row r="29181" spans="1:1">
      <c r="A29181" s="27"/>
    </row>
    <row r="29182" spans="1:1">
      <c r="A29182" s="27"/>
    </row>
    <row r="29183" spans="1:1">
      <c r="A29183" s="27"/>
    </row>
    <row r="29184" spans="1:1">
      <c r="A29184" s="27"/>
    </row>
    <row r="29185" spans="1:1">
      <c r="A29185" s="27"/>
    </row>
    <row r="29186" spans="1:1">
      <c r="A29186" s="27"/>
    </row>
    <row r="29187" spans="1:1">
      <c r="A29187" s="27"/>
    </row>
    <row r="29188" spans="1:1">
      <c r="A29188" s="27"/>
    </row>
    <row r="29189" spans="1:1">
      <c r="A29189" s="27"/>
    </row>
    <row r="29190" spans="1:1">
      <c r="A29190" s="27"/>
    </row>
    <row r="29191" spans="1:1">
      <c r="A29191" s="27"/>
    </row>
    <row r="29192" spans="1:1">
      <c r="A29192" s="27"/>
    </row>
    <row r="29193" spans="1:1">
      <c r="A29193" s="27"/>
    </row>
    <row r="29194" spans="1:1">
      <c r="A29194" s="27"/>
    </row>
    <row r="29195" spans="1:1">
      <c r="A29195" s="27"/>
    </row>
    <row r="29196" spans="1:1">
      <c r="A29196" s="27"/>
    </row>
    <row r="29197" spans="1:1">
      <c r="A29197" s="27"/>
    </row>
    <row r="29198" spans="1:1">
      <c r="A29198" s="27"/>
    </row>
    <row r="29199" spans="1:1">
      <c r="A29199" s="27"/>
    </row>
    <row r="29200" spans="1:1">
      <c r="A29200" s="27"/>
    </row>
    <row r="29201" spans="1:1">
      <c r="A29201" s="27"/>
    </row>
    <row r="29202" spans="1:1">
      <c r="A29202" s="27"/>
    </row>
    <row r="29203" spans="1:1">
      <c r="A29203" s="27"/>
    </row>
    <row r="29204" spans="1:1">
      <c r="A29204" s="27"/>
    </row>
    <row r="29205" spans="1:1">
      <c r="A29205" s="27"/>
    </row>
    <row r="29206" spans="1:1">
      <c r="A29206" s="27"/>
    </row>
    <row r="29207" spans="1:1">
      <c r="A29207" s="27"/>
    </row>
    <row r="29208" spans="1:1">
      <c r="A29208" s="27"/>
    </row>
    <row r="29209" spans="1:1">
      <c r="A29209" s="27"/>
    </row>
    <row r="29210" spans="1:1">
      <c r="A29210" s="27"/>
    </row>
    <row r="29211" spans="1:1">
      <c r="A29211" s="27"/>
    </row>
    <row r="29212" spans="1:1">
      <c r="A29212" s="27"/>
    </row>
    <row r="29213" spans="1:1">
      <c r="A29213" s="27"/>
    </row>
    <row r="29214" spans="1:1">
      <c r="A29214" s="27"/>
    </row>
    <row r="29215" spans="1:1">
      <c r="A29215" s="27"/>
    </row>
    <row r="29216" spans="1:1">
      <c r="A29216" s="27"/>
    </row>
    <row r="29217" spans="1:1">
      <c r="A29217" s="27"/>
    </row>
    <row r="29218" spans="1:1">
      <c r="A29218" s="27"/>
    </row>
    <row r="29219" spans="1:1">
      <c r="A29219" s="27"/>
    </row>
    <row r="29220" spans="1:1">
      <c r="A29220" s="27"/>
    </row>
    <row r="29221" spans="1:1">
      <c r="A29221" s="27"/>
    </row>
    <row r="29222" spans="1:1">
      <c r="A29222" s="27"/>
    </row>
    <row r="29223" spans="1:1">
      <c r="A29223" s="27"/>
    </row>
    <row r="29224" spans="1:1">
      <c r="A29224" s="27"/>
    </row>
    <row r="29225" spans="1:1">
      <c r="A29225" s="27"/>
    </row>
    <row r="29226" spans="1:1">
      <c r="A29226" s="27"/>
    </row>
    <row r="29227" spans="1:1">
      <c r="A29227" s="27"/>
    </row>
    <row r="29228" spans="1:1">
      <c r="A29228" s="27"/>
    </row>
    <row r="29229" spans="1:1">
      <c r="A29229" s="27"/>
    </row>
    <row r="29230" spans="1:1">
      <c r="A29230" s="27"/>
    </row>
    <row r="29231" spans="1:1">
      <c r="A29231" s="27"/>
    </row>
    <row r="29232" spans="1:1">
      <c r="A29232" s="27"/>
    </row>
    <row r="29233" spans="1:1">
      <c r="A29233" s="27"/>
    </row>
    <row r="29234" spans="1:1">
      <c r="A29234" s="27"/>
    </row>
    <row r="29235" spans="1:1">
      <c r="A29235" s="27"/>
    </row>
    <row r="29236" spans="1:1">
      <c r="A29236" s="27"/>
    </row>
    <row r="29237" spans="1:1">
      <c r="A29237" s="27"/>
    </row>
    <row r="29238" spans="1:1">
      <c r="A29238" s="27"/>
    </row>
    <row r="29239" spans="1:1">
      <c r="A29239" s="27"/>
    </row>
    <row r="29240" spans="1:1">
      <c r="A29240" s="27"/>
    </row>
    <row r="29241" spans="1:1">
      <c r="A29241" s="27"/>
    </row>
    <row r="29242" spans="1:1">
      <c r="A29242" s="27"/>
    </row>
    <row r="29243" spans="1:1">
      <c r="A29243" s="27"/>
    </row>
    <row r="29244" spans="1:1">
      <c r="A29244" s="27"/>
    </row>
    <row r="29245" spans="1:1">
      <c r="A29245" s="27"/>
    </row>
    <row r="29246" spans="1:1">
      <c r="A29246" s="27"/>
    </row>
    <row r="29247" spans="1:1">
      <c r="A29247" s="27"/>
    </row>
    <row r="29248" spans="1:1">
      <c r="A29248" s="27"/>
    </row>
    <row r="29249" spans="1:1">
      <c r="A29249" s="27"/>
    </row>
    <row r="29250" spans="1:1">
      <c r="A29250" s="27"/>
    </row>
    <row r="29251" spans="1:1">
      <c r="A29251" s="27"/>
    </row>
    <row r="29252" spans="1:1">
      <c r="A29252" s="27"/>
    </row>
    <row r="29253" spans="1:1">
      <c r="A29253" s="27"/>
    </row>
    <row r="29254" spans="1:1">
      <c r="A29254" s="27"/>
    </row>
    <row r="29255" spans="1:1">
      <c r="A29255" s="27"/>
    </row>
    <row r="29256" spans="1:1">
      <c r="A29256" s="27"/>
    </row>
    <row r="29257" spans="1:1">
      <c r="A29257" s="27"/>
    </row>
    <row r="29258" spans="1:1">
      <c r="A29258" s="27"/>
    </row>
    <row r="29259" spans="1:1">
      <c r="A29259" s="27"/>
    </row>
    <row r="29260" spans="1:1">
      <c r="A29260" s="27"/>
    </row>
    <row r="29261" spans="1:1">
      <c r="A29261" s="27"/>
    </row>
    <row r="29262" spans="1:1">
      <c r="A29262" s="27"/>
    </row>
    <row r="29263" spans="1:1">
      <c r="A29263" s="27"/>
    </row>
    <row r="29264" spans="1:1">
      <c r="A29264" s="27"/>
    </row>
    <row r="29265" spans="1:1">
      <c r="A29265" s="27"/>
    </row>
    <row r="29266" spans="1:1">
      <c r="A29266" s="27"/>
    </row>
    <row r="29267" spans="1:1">
      <c r="A29267" s="27"/>
    </row>
    <row r="29268" spans="1:1">
      <c r="A29268" s="27"/>
    </row>
    <row r="29269" spans="1:1">
      <c r="A29269" s="27"/>
    </row>
    <row r="29270" spans="1:1">
      <c r="A29270" s="27"/>
    </row>
    <row r="29271" spans="1:1">
      <c r="A29271" s="27"/>
    </row>
    <row r="29272" spans="1:1">
      <c r="A29272" s="27"/>
    </row>
    <row r="29273" spans="1:1">
      <c r="A29273" s="27"/>
    </row>
    <row r="29274" spans="1:1">
      <c r="A29274" s="27"/>
    </row>
    <row r="29275" spans="1:1">
      <c r="A29275" s="27"/>
    </row>
    <row r="29276" spans="1:1">
      <c r="A29276" s="27"/>
    </row>
    <row r="29277" spans="1:1">
      <c r="A29277" s="27"/>
    </row>
    <row r="29278" spans="1:1">
      <c r="A29278" s="27"/>
    </row>
    <row r="29279" spans="1:1">
      <c r="A29279" s="27"/>
    </row>
    <row r="29280" spans="1:1">
      <c r="A29280" s="27"/>
    </row>
    <row r="29281" spans="1:1">
      <c r="A29281" s="27"/>
    </row>
    <row r="29282" spans="1:1">
      <c r="A29282" s="27"/>
    </row>
    <row r="29283" spans="1:1">
      <c r="A29283" s="27"/>
    </row>
    <row r="29284" spans="1:1">
      <c r="A29284" s="27"/>
    </row>
    <row r="29285" spans="1:1">
      <c r="A29285" s="27"/>
    </row>
    <row r="29286" spans="1:1">
      <c r="A29286" s="27"/>
    </row>
    <row r="29287" spans="1:1">
      <c r="A29287" s="27"/>
    </row>
    <row r="29288" spans="1:1">
      <c r="A29288" s="27"/>
    </row>
    <row r="29289" spans="1:1">
      <c r="A29289" s="27"/>
    </row>
    <row r="29290" spans="1:1">
      <c r="A29290" s="27"/>
    </row>
    <row r="29291" spans="1:1">
      <c r="A29291" s="27"/>
    </row>
    <row r="29292" spans="1:1">
      <c r="A29292" s="27"/>
    </row>
    <row r="29293" spans="1:1">
      <c r="A29293" s="27"/>
    </row>
    <row r="29294" spans="1:1">
      <c r="A29294" s="27"/>
    </row>
    <row r="29295" spans="1:1">
      <c r="A29295" s="27"/>
    </row>
    <row r="29296" spans="1:1">
      <c r="A29296" s="27"/>
    </row>
    <row r="29297" spans="1:1">
      <c r="A29297" s="27"/>
    </row>
    <row r="29298" spans="1:1">
      <c r="A29298" s="27"/>
    </row>
    <row r="29299" spans="1:1">
      <c r="A29299" s="27"/>
    </row>
    <row r="29300" spans="1:1">
      <c r="A29300" s="27"/>
    </row>
    <row r="29301" spans="1:1">
      <c r="A29301" s="27"/>
    </row>
    <row r="29302" spans="1:1">
      <c r="A29302" s="27"/>
    </row>
    <row r="29303" spans="1:1">
      <c r="A29303" s="27"/>
    </row>
    <row r="29304" spans="1:1">
      <c r="A29304" s="27"/>
    </row>
    <row r="29305" spans="1:1">
      <c r="A29305" s="27"/>
    </row>
    <row r="29306" spans="1:1">
      <c r="A29306" s="27"/>
    </row>
    <row r="29307" spans="1:1">
      <c r="A29307" s="27"/>
    </row>
    <row r="29308" spans="1:1">
      <c r="A29308" s="27"/>
    </row>
    <row r="29309" spans="1:1">
      <c r="A29309" s="27"/>
    </row>
    <row r="29310" spans="1:1">
      <c r="A29310" s="27"/>
    </row>
    <row r="29311" spans="1:1">
      <c r="A29311" s="27"/>
    </row>
    <row r="29312" spans="1:1">
      <c r="A29312" s="27"/>
    </row>
    <row r="29313" spans="1:1">
      <c r="A29313" s="27"/>
    </row>
    <row r="29314" spans="1:1">
      <c r="A29314" s="27"/>
    </row>
    <row r="29315" spans="1:1">
      <c r="A29315" s="27"/>
    </row>
    <row r="29316" spans="1:1">
      <c r="A29316" s="27"/>
    </row>
    <row r="29317" spans="1:1">
      <c r="A29317" s="27"/>
    </row>
    <row r="29318" spans="1:1">
      <c r="A29318" s="27"/>
    </row>
    <row r="29319" spans="1:1">
      <c r="A29319" s="27"/>
    </row>
    <row r="29320" spans="1:1">
      <c r="A29320" s="27"/>
    </row>
    <row r="29321" spans="1:1">
      <c r="A29321" s="27"/>
    </row>
    <row r="29322" spans="1:1">
      <c r="A29322" s="27"/>
    </row>
    <row r="29323" spans="1:1">
      <c r="A29323" s="27"/>
    </row>
    <row r="29324" spans="1:1">
      <c r="A29324" s="27"/>
    </row>
    <row r="29325" spans="1:1">
      <c r="A29325" s="27"/>
    </row>
    <row r="29326" spans="1:1">
      <c r="A29326" s="27"/>
    </row>
    <row r="29327" spans="1:1">
      <c r="A29327" s="27"/>
    </row>
    <row r="29328" spans="1:1">
      <c r="A29328" s="27"/>
    </row>
    <row r="29329" spans="1:1">
      <c r="A29329" s="27"/>
    </row>
    <row r="29330" spans="1:1">
      <c r="A29330" s="27"/>
    </row>
    <row r="29331" spans="1:1">
      <c r="A29331" s="27"/>
    </row>
    <row r="29332" spans="1:1">
      <c r="A29332" s="27"/>
    </row>
    <row r="29333" spans="1:1">
      <c r="A29333" s="27"/>
    </row>
    <row r="29334" spans="1:1">
      <c r="A29334" s="27"/>
    </row>
    <row r="29335" spans="1:1">
      <c r="A29335" s="27"/>
    </row>
    <row r="29336" spans="1:1">
      <c r="A29336" s="27"/>
    </row>
    <row r="29337" spans="1:1">
      <c r="A29337" s="27"/>
    </row>
    <row r="29338" spans="1:1">
      <c r="A29338" s="27"/>
    </row>
    <row r="29339" spans="1:1">
      <c r="A29339" s="27"/>
    </row>
    <row r="29340" spans="1:1">
      <c r="A29340" s="27"/>
    </row>
    <row r="29341" spans="1:1">
      <c r="A29341" s="27"/>
    </row>
    <row r="29342" spans="1:1">
      <c r="A29342" s="27"/>
    </row>
    <row r="29343" spans="1:1">
      <c r="A29343" s="27"/>
    </row>
    <row r="29344" spans="1:1">
      <c r="A29344" s="27"/>
    </row>
    <row r="29345" spans="1:1">
      <c r="A29345" s="27"/>
    </row>
    <row r="29346" spans="1:1">
      <c r="A29346" s="27"/>
    </row>
    <row r="29347" spans="1:1">
      <c r="A29347" s="27"/>
    </row>
    <row r="29348" spans="1:1">
      <c r="A29348" s="27"/>
    </row>
    <row r="29349" spans="1:1">
      <c r="A29349" s="27"/>
    </row>
    <row r="29350" spans="1:1">
      <c r="A29350" s="27"/>
    </row>
    <row r="29351" spans="1:1">
      <c r="A29351" s="27"/>
    </row>
    <row r="29352" spans="1:1">
      <c r="A29352" s="27"/>
    </row>
    <row r="29353" spans="1:1">
      <c r="A29353" s="27"/>
    </row>
    <row r="29354" spans="1:1">
      <c r="A29354" s="27"/>
    </row>
    <row r="29355" spans="1:1">
      <c r="A29355" s="27"/>
    </row>
    <row r="29356" spans="1:1">
      <c r="A29356" s="27"/>
    </row>
    <row r="29357" spans="1:1">
      <c r="A29357" s="27"/>
    </row>
    <row r="29358" spans="1:1">
      <c r="A29358" s="27"/>
    </row>
    <row r="29359" spans="1:1">
      <c r="A29359" s="27"/>
    </row>
    <row r="29360" spans="1:1">
      <c r="A29360" s="27"/>
    </row>
    <row r="29361" spans="1:1">
      <c r="A29361" s="27"/>
    </row>
    <row r="29362" spans="1:1">
      <c r="A29362" s="27"/>
    </row>
    <row r="29363" spans="1:1">
      <c r="A29363" s="27"/>
    </row>
    <row r="29364" spans="1:1">
      <c r="A29364" s="27"/>
    </row>
    <row r="29365" spans="1:1">
      <c r="A29365" s="27"/>
    </row>
    <row r="29366" spans="1:1">
      <c r="A29366" s="27"/>
    </row>
    <row r="29367" spans="1:1">
      <c r="A29367" s="27"/>
    </row>
    <row r="29368" spans="1:1">
      <c r="A29368" s="27"/>
    </row>
    <row r="29369" spans="1:1">
      <c r="A29369" s="27"/>
    </row>
    <row r="29370" spans="1:1">
      <c r="A29370" s="27"/>
    </row>
    <row r="29371" spans="1:1">
      <c r="A29371" s="27"/>
    </row>
    <row r="29372" spans="1:1">
      <c r="A29372" s="27"/>
    </row>
    <row r="29373" spans="1:1">
      <c r="A29373" s="27"/>
    </row>
    <row r="29374" spans="1:1">
      <c r="A29374" s="27"/>
    </row>
    <row r="29375" spans="1:1">
      <c r="A29375" s="27"/>
    </row>
    <row r="29376" spans="1:1">
      <c r="A29376" s="27"/>
    </row>
    <row r="29377" spans="1:1">
      <c r="A29377" s="27"/>
    </row>
    <row r="29378" spans="1:1">
      <c r="A29378" s="27"/>
    </row>
    <row r="29379" spans="1:1">
      <c r="A29379" s="27"/>
    </row>
    <row r="29380" spans="1:1">
      <c r="A29380" s="27"/>
    </row>
    <row r="29381" spans="1:1">
      <c r="A29381" s="27"/>
    </row>
    <row r="29382" spans="1:1">
      <c r="A29382" s="27"/>
    </row>
    <row r="29383" spans="1:1">
      <c r="A29383" s="27"/>
    </row>
    <row r="29384" spans="1:1">
      <c r="A29384" s="27"/>
    </row>
    <row r="29385" spans="1:1">
      <c r="A29385" s="27"/>
    </row>
    <row r="29386" spans="1:1">
      <c r="A29386" s="27"/>
    </row>
    <row r="29387" spans="1:1">
      <c r="A29387" s="27"/>
    </row>
    <row r="29388" spans="1:1">
      <c r="A29388" s="27"/>
    </row>
    <row r="29389" spans="1:1">
      <c r="A29389" s="27"/>
    </row>
    <row r="29390" spans="1:1">
      <c r="A29390" s="27"/>
    </row>
    <row r="29391" spans="1:1">
      <c r="A29391" s="27"/>
    </row>
    <row r="29392" spans="1:1">
      <c r="A29392" s="27"/>
    </row>
    <row r="29393" spans="1:1">
      <c r="A29393" s="27"/>
    </row>
    <row r="29394" spans="1:1">
      <c r="A29394" s="27"/>
    </row>
    <row r="29395" spans="1:1">
      <c r="A29395" s="27"/>
    </row>
    <row r="29396" spans="1:1">
      <c r="A29396" s="27"/>
    </row>
    <row r="29397" spans="1:1">
      <c r="A29397" s="27"/>
    </row>
    <row r="29398" spans="1:1">
      <c r="A29398" s="27"/>
    </row>
    <row r="29399" spans="1:1">
      <c r="A29399" s="27"/>
    </row>
    <row r="29400" spans="1:1">
      <c r="A29400" s="27"/>
    </row>
    <row r="29401" spans="1:1">
      <c r="A29401" s="27"/>
    </row>
    <row r="29402" spans="1:1">
      <c r="A29402" s="27"/>
    </row>
    <row r="29403" spans="1:1">
      <c r="A29403" s="27"/>
    </row>
    <row r="29404" spans="1:1">
      <c r="A29404" s="27"/>
    </row>
    <row r="29405" spans="1:1">
      <c r="A29405" s="27"/>
    </row>
    <row r="29406" spans="1:1">
      <c r="A29406" s="27"/>
    </row>
    <row r="29407" spans="1:1">
      <c r="A29407" s="27"/>
    </row>
    <row r="29408" spans="1:1">
      <c r="A29408" s="27"/>
    </row>
    <row r="29409" spans="1:1">
      <c r="A29409" s="27"/>
    </row>
    <row r="29410" spans="1:1">
      <c r="A29410" s="27"/>
    </row>
    <row r="29411" spans="1:1">
      <c r="A29411" s="27"/>
    </row>
    <row r="29412" spans="1:1">
      <c r="A29412" s="27"/>
    </row>
    <row r="29413" spans="1:1">
      <c r="A29413" s="27"/>
    </row>
    <row r="29414" spans="1:1">
      <c r="A29414" s="27"/>
    </row>
    <row r="29415" spans="1:1">
      <c r="A29415" s="27"/>
    </row>
    <row r="29416" spans="1:1">
      <c r="A29416" s="27"/>
    </row>
    <row r="29417" spans="1:1">
      <c r="A29417" s="27"/>
    </row>
    <row r="29418" spans="1:1">
      <c r="A29418" s="27"/>
    </row>
    <row r="29419" spans="1:1">
      <c r="A29419" s="27"/>
    </row>
    <row r="29420" spans="1:1">
      <c r="A29420" s="27"/>
    </row>
    <row r="29421" spans="1:1">
      <c r="A29421" s="27"/>
    </row>
    <row r="29422" spans="1:1">
      <c r="A29422" s="27"/>
    </row>
    <row r="29423" spans="1:1">
      <c r="A29423" s="27"/>
    </row>
    <row r="29424" spans="1:1">
      <c r="A29424" s="27"/>
    </row>
    <row r="29425" spans="1:1">
      <c r="A29425" s="27"/>
    </row>
    <row r="29426" spans="1:1">
      <c r="A29426" s="27"/>
    </row>
    <row r="29427" spans="1:1">
      <c r="A29427" s="27"/>
    </row>
    <row r="29428" spans="1:1">
      <c r="A29428" s="27"/>
    </row>
    <row r="29429" spans="1:1">
      <c r="A29429" s="27"/>
    </row>
    <row r="29430" spans="1:1">
      <c r="A29430" s="27"/>
    </row>
    <row r="29431" spans="1:1">
      <c r="A29431" s="27"/>
    </row>
    <row r="29432" spans="1:1">
      <c r="A29432" s="27"/>
    </row>
    <row r="29433" spans="1:1">
      <c r="A29433" s="27"/>
    </row>
    <row r="29434" spans="1:1">
      <c r="A29434" s="27"/>
    </row>
    <row r="29435" spans="1:1">
      <c r="A29435" s="27"/>
    </row>
    <row r="29436" spans="1:1">
      <c r="A29436" s="27"/>
    </row>
    <row r="29437" spans="1:1">
      <c r="A29437" s="27"/>
    </row>
    <row r="29438" spans="1:1">
      <c r="A29438" s="27"/>
    </row>
    <row r="29439" spans="1:1">
      <c r="A29439" s="27"/>
    </row>
    <row r="29440" spans="1:1">
      <c r="A29440" s="27"/>
    </row>
    <row r="29441" spans="1:1">
      <c r="A29441" s="27"/>
    </row>
    <row r="29442" spans="1:1">
      <c r="A29442" s="27"/>
    </row>
    <row r="29443" spans="1:1">
      <c r="A29443" s="27"/>
    </row>
    <row r="29444" spans="1:1">
      <c r="A29444" s="27"/>
    </row>
    <row r="29445" spans="1:1">
      <c r="A29445" s="27"/>
    </row>
    <row r="29446" spans="1:1">
      <c r="A29446" s="27"/>
    </row>
    <row r="29447" spans="1:1">
      <c r="A29447" s="27"/>
    </row>
    <row r="29448" spans="1:1">
      <c r="A29448" s="27"/>
    </row>
    <row r="29449" spans="1:1">
      <c r="A29449" s="27"/>
    </row>
    <row r="29450" spans="1:1">
      <c r="A29450" s="27"/>
    </row>
    <row r="29451" spans="1:1">
      <c r="A29451" s="27"/>
    </row>
    <row r="29452" spans="1:1">
      <c r="A29452" s="27"/>
    </row>
    <row r="29453" spans="1:1">
      <c r="A29453" s="27"/>
    </row>
    <row r="29454" spans="1:1">
      <c r="A29454" s="27"/>
    </row>
    <row r="29455" spans="1:1">
      <c r="A29455" s="27"/>
    </row>
    <row r="29456" spans="1:1">
      <c r="A29456" s="27"/>
    </row>
    <row r="29457" spans="1:1">
      <c r="A29457" s="27"/>
    </row>
    <row r="29458" spans="1:1">
      <c r="A29458" s="27"/>
    </row>
    <row r="29459" spans="1:1">
      <c r="A29459" s="27"/>
    </row>
    <row r="29460" spans="1:1">
      <c r="A29460" s="27"/>
    </row>
    <row r="29461" spans="1:1">
      <c r="A29461" s="27"/>
    </row>
    <row r="29462" spans="1:1">
      <c r="A29462" s="27"/>
    </row>
    <row r="29463" spans="1:1">
      <c r="A29463" s="27"/>
    </row>
    <row r="29464" spans="1:1">
      <c r="A29464" s="27"/>
    </row>
    <row r="29465" spans="1:1">
      <c r="A29465" s="27"/>
    </row>
    <row r="29466" spans="1:1">
      <c r="A29466" s="27"/>
    </row>
    <row r="29467" spans="1:1">
      <c r="A29467" s="27"/>
    </row>
    <row r="29468" spans="1:1">
      <c r="A29468" s="27"/>
    </row>
    <row r="29469" spans="1:1">
      <c r="A29469" s="27"/>
    </row>
    <row r="29470" spans="1:1">
      <c r="A29470" s="27"/>
    </row>
    <row r="29471" spans="1:1">
      <c r="A29471" s="27"/>
    </row>
    <row r="29472" spans="1:1">
      <c r="A29472" s="27"/>
    </row>
    <row r="29473" spans="1:1">
      <c r="A29473" s="27"/>
    </row>
    <row r="29474" spans="1:1">
      <c r="A29474" s="27"/>
    </row>
    <row r="29475" spans="1:1">
      <c r="A29475" s="27"/>
    </row>
    <row r="29476" spans="1:1">
      <c r="A29476" s="27"/>
    </row>
    <row r="29477" spans="1:1">
      <c r="A29477" s="27"/>
    </row>
    <row r="29478" spans="1:1">
      <c r="A29478" s="27"/>
    </row>
    <row r="29479" spans="1:1">
      <c r="A29479" s="27"/>
    </row>
    <row r="29480" spans="1:1">
      <c r="A29480" s="27"/>
    </row>
    <row r="29481" spans="1:1">
      <c r="A29481" s="27"/>
    </row>
    <row r="29482" spans="1:1">
      <c r="A29482" s="27"/>
    </row>
    <row r="29483" spans="1:1">
      <c r="A29483" s="27"/>
    </row>
    <row r="29484" spans="1:1">
      <c r="A29484" s="27"/>
    </row>
    <row r="29485" spans="1:1">
      <c r="A29485" s="27"/>
    </row>
    <row r="29486" spans="1:1">
      <c r="A29486" s="27"/>
    </row>
    <row r="29487" spans="1:1">
      <c r="A29487" s="27"/>
    </row>
    <row r="29488" spans="1:1">
      <c r="A29488" s="27"/>
    </row>
    <row r="29489" spans="1:1">
      <c r="A29489" s="27"/>
    </row>
    <row r="29490" spans="1:1">
      <c r="A29490" s="27"/>
    </row>
    <row r="29491" spans="1:1">
      <c r="A29491" s="27"/>
    </row>
    <row r="29492" spans="1:1">
      <c r="A29492" s="27"/>
    </row>
    <row r="29493" spans="1:1">
      <c r="A29493" s="27"/>
    </row>
    <row r="29494" spans="1:1">
      <c r="A29494" s="27"/>
    </row>
    <row r="29495" spans="1:1">
      <c r="A29495" s="27"/>
    </row>
    <row r="29496" spans="1:1">
      <c r="A29496" s="27"/>
    </row>
    <row r="29497" spans="1:1">
      <c r="A29497" s="27"/>
    </row>
    <row r="29498" spans="1:1">
      <c r="A29498" s="27"/>
    </row>
    <row r="29499" spans="1:1">
      <c r="A29499" s="27"/>
    </row>
    <row r="29500" spans="1:1">
      <c r="A29500" s="27"/>
    </row>
    <row r="29501" spans="1:1">
      <c r="A29501" s="27"/>
    </row>
    <row r="29502" spans="1:1">
      <c r="A29502" s="27"/>
    </row>
    <row r="29503" spans="1:1">
      <c r="A29503" s="27"/>
    </row>
    <row r="29504" spans="1:1">
      <c r="A29504" s="27"/>
    </row>
    <row r="29505" spans="1:1">
      <c r="A29505" s="27"/>
    </row>
    <row r="29506" spans="1:1">
      <c r="A29506" s="27"/>
    </row>
    <row r="29507" spans="1:1">
      <c r="A29507" s="27"/>
    </row>
    <row r="29508" spans="1:1">
      <c r="A29508" s="27"/>
    </row>
    <row r="29509" spans="1:1">
      <c r="A29509" s="27"/>
    </row>
    <row r="29510" spans="1:1">
      <c r="A29510" s="27"/>
    </row>
    <row r="29511" spans="1:1">
      <c r="A29511" s="27"/>
    </row>
    <row r="29512" spans="1:1">
      <c r="A29512" s="27"/>
    </row>
    <row r="29513" spans="1:1">
      <c r="A29513" s="27"/>
    </row>
    <row r="29514" spans="1:1">
      <c r="A29514" s="27"/>
    </row>
    <row r="29515" spans="1:1">
      <c r="A29515" s="27"/>
    </row>
    <row r="29516" spans="1:1">
      <c r="A29516" s="27"/>
    </row>
    <row r="29517" spans="1:1">
      <c r="A29517" s="27"/>
    </row>
    <row r="29518" spans="1:1">
      <c r="A29518" s="27"/>
    </row>
    <row r="29519" spans="1:1">
      <c r="A29519" s="27"/>
    </row>
    <row r="29520" spans="1:1">
      <c r="A29520" s="27"/>
    </row>
    <row r="29521" spans="1:1">
      <c r="A29521" s="27"/>
    </row>
    <row r="29522" spans="1:1">
      <c r="A29522" s="27"/>
    </row>
    <row r="29523" spans="1:1">
      <c r="A29523" s="27"/>
    </row>
    <row r="29524" spans="1:1">
      <c r="A29524" s="27"/>
    </row>
    <row r="29525" spans="1:1">
      <c r="A29525" s="27"/>
    </row>
    <row r="29526" spans="1:1">
      <c r="A29526" s="27"/>
    </row>
    <row r="29527" spans="1:1">
      <c r="A29527" s="27"/>
    </row>
    <row r="29528" spans="1:1">
      <c r="A29528" s="27"/>
    </row>
    <row r="29529" spans="1:1">
      <c r="A29529" s="27"/>
    </row>
    <row r="29530" spans="1:1">
      <c r="A29530" s="27"/>
    </row>
    <row r="29531" spans="1:1">
      <c r="A29531" s="27"/>
    </row>
    <row r="29532" spans="1:1">
      <c r="A29532" s="27"/>
    </row>
    <row r="29533" spans="1:1">
      <c r="A29533" s="27"/>
    </row>
    <row r="29534" spans="1:1">
      <c r="A29534" s="27"/>
    </row>
    <row r="29535" spans="1:1">
      <c r="A29535" s="27"/>
    </row>
    <row r="29536" spans="1:1">
      <c r="A29536" s="27"/>
    </row>
    <row r="29537" spans="1:1">
      <c r="A29537" s="27"/>
    </row>
    <row r="29538" spans="1:1">
      <c r="A29538" s="27"/>
    </row>
    <row r="29539" spans="1:1">
      <c r="A29539" s="27"/>
    </row>
    <row r="29540" spans="1:1">
      <c r="A29540" s="27"/>
    </row>
    <row r="29541" spans="1:1">
      <c r="A29541" s="27"/>
    </row>
    <row r="29542" spans="1:1">
      <c r="A29542" s="27"/>
    </row>
    <row r="29543" spans="1:1">
      <c r="A29543" s="27"/>
    </row>
    <row r="29544" spans="1:1">
      <c r="A29544" s="27"/>
    </row>
    <row r="29545" spans="1:1">
      <c r="A29545" s="27"/>
    </row>
    <row r="29546" spans="1:1">
      <c r="A29546" s="27"/>
    </row>
    <row r="29547" spans="1:1">
      <c r="A29547" s="27"/>
    </row>
    <row r="29548" spans="1:1">
      <c r="A29548" s="27"/>
    </row>
    <row r="29549" spans="1:1">
      <c r="A29549" s="27"/>
    </row>
    <row r="29550" spans="1:1">
      <c r="A29550" s="27"/>
    </row>
    <row r="29551" spans="1:1">
      <c r="A29551" s="27"/>
    </row>
    <row r="29552" spans="1:1">
      <c r="A29552" s="27"/>
    </row>
    <row r="29553" spans="1:1">
      <c r="A29553" s="27"/>
    </row>
    <row r="29554" spans="1:1">
      <c r="A29554" s="27"/>
    </row>
    <row r="29555" spans="1:1">
      <c r="A29555" s="27"/>
    </row>
    <row r="29556" spans="1:1">
      <c r="A29556" s="27"/>
    </row>
    <row r="29557" spans="1:1">
      <c r="A29557" s="27"/>
    </row>
    <row r="29558" spans="1:1">
      <c r="A29558" s="27"/>
    </row>
    <row r="29559" spans="1:1">
      <c r="A29559" s="27"/>
    </row>
    <row r="29560" spans="1:1">
      <c r="A29560" s="27"/>
    </row>
    <row r="29561" spans="1:1">
      <c r="A29561" s="27"/>
    </row>
    <row r="29562" spans="1:1">
      <c r="A29562" s="27"/>
    </row>
    <row r="29563" spans="1:1">
      <c r="A29563" s="27"/>
    </row>
    <row r="29564" spans="1:1">
      <c r="A29564" s="27"/>
    </row>
    <row r="29565" spans="1:1">
      <c r="A29565" s="27"/>
    </row>
    <row r="29566" spans="1:1">
      <c r="A29566" s="27"/>
    </row>
    <row r="29567" spans="1:1">
      <c r="A29567" s="27"/>
    </row>
    <row r="29568" spans="1:1">
      <c r="A29568" s="27"/>
    </row>
    <row r="29569" spans="1:1">
      <c r="A29569" s="27"/>
    </row>
    <row r="29570" spans="1:1">
      <c r="A29570" s="27"/>
    </row>
    <row r="29571" spans="1:1">
      <c r="A29571" s="27"/>
    </row>
    <row r="29572" spans="1:1">
      <c r="A29572" s="27"/>
    </row>
    <row r="29573" spans="1:1">
      <c r="A29573" s="27"/>
    </row>
    <row r="29574" spans="1:1">
      <c r="A29574" s="27"/>
    </row>
    <row r="29575" spans="1:1">
      <c r="A29575" s="27"/>
    </row>
    <row r="29576" spans="1:1">
      <c r="A29576" s="27"/>
    </row>
    <row r="29577" spans="1:1">
      <c r="A29577" s="27"/>
    </row>
    <row r="29578" spans="1:1">
      <c r="A29578" s="27"/>
    </row>
    <row r="29579" spans="1:1">
      <c r="A29579" s="27"/>
    </row>
    <row r="29580" spans="1:1">
      <c r="A29580" s="27"/>
    </row>
    <row r="29581" spans="1:1">
      <c r="A29581" s="27"/>
    </row>
    <row r="29582" spans="1:1">
      <c r="A29582" s="27"/>
    </row>
    <row r="29583" spans="1:1">
      <c r="A29583" s="27"/>
    </row>
    <row r="29584" spans="1:1">
      <c r="A29584" s="27"/>
    </row>
    <row r="29585" spans="1:1">
      <c r="A29585" s="27"/>
    </row>
    <row r="29586" spans="1:1">
      <c r="A29586" s="27"/>
    </row>
    <row r="29587" spans="1:1">
      <c r="A29587" s="27"/>
    </row>
    <row r="29588" spans="1:1">
      <c r="A29588" s="27"/>
    </row>
    <row r="29589" spans="1:1">
      <c r="A29589" s="27"/>
    </row>
    <row r="29590" spans="1:1">
      <c r="A29590" s="27"/>
    </row>
    <row r="29591" spans="1:1">
      <c r="A29591" s="27"/>
    </row>
    <row r="29592" spans="1:1">
      <c r="A29592" s="27"/>
    </row>
    <row r="29593" spans="1:1">
      <c r="A29593" s="27"/>
    </row>
    <row r="29594" spans="1:1">
      <c r="A29594" s="27"/>
    </row>
    <row r="29595" spans="1:1">
      <c r="A29595" s="27"/>
    </row>
    <row r="29596" spans="1:1">
      <c r="A29596" s="27"/>
    </row>
    <row r="29597" spans="1:1">
      <c r="A29597" s="27"/>
    </row>
    <row r="29598" spans="1:1">
      <c r="A29598" s="27"/>
    </row>
    <row r="29599" spans="1:1">
      <c r="A29599" s="27"/>
    </row>
    <row r="29600" spans="1:1">
      <c r="A29600" s="27"/>
    </row>
    <row r="29601" spans="1:1">
      <c r="A29601" s="27"/>
    </row>
    <row r="29602" spans="1:1">
      <c r="A29602" s="27"/>
    </row>
    <row r="29603" spans="1:1">
      <c r="A29603" s="27"/>
    </row>
    <row r="29604" spans="1:1">
      <c r="A29604" s="27"/>
    </row>
    <row r="29605" spans="1:1">
      <c r="A29605" s="27"/>
    </row>
    <row r="29606" spans="1:1">
      <c r="A29606" s="27"/>
    </row>
    <row r="29607" spans="1:1">
      <c r="A29607" s="27"/>
    </row>
    <row r="29608" spans="1:1">
      <c r="A29608" s="27"/>
    </row>
    <row r="29609" spans="1:1">
      <c r="A29609" s="27"/>
    </row>
    <row r="29610" spans="1:1">
      <c r="A29610" s="27"/>
    </row>
    <row r="29611" spans="1:1">
      <c r="A29611" s="27"/>
    </row>
    <row r="29612" spans="1:1">
      <c r="A29612" s="27"/>
    </row>
    <row r="29613" spans="1:1">
      <c r="A29613" s="27"/>
    </row>
    <row r="29614" spans="1:1">
      <c r="A29614" s="27"/>
    </row>
    <row r="29615" spans="1:1">
      <c r="A29615" s="27"/>
    </row>
    <row r="29616" spans="1:1">
      <c r="A29616" s="27"/>
    </row>
    <row r="29617" spans="1:1">
      <c r="A29617" s="27"/>
    </row>
    <row r="29618" spans="1:1">
      <c r="A29618" s="27"/>
    </row>
    <row r="29619" spans="1:1">
      <c r="A29619" s="27"/>
    </row>
    <row r="29620" spans="1:1">
      <c r="A29620" s="27"/>
    </row>
    <row r="29621" spans="1:1">
      <c r="A29621" s="27"/>
    </row>
    <row r="29622" spans="1:1">
      <c r="A29622" s="27"/>
    </row>
    <row r="29623" spans="1:1">
      <c r="A29623" s="27"/>
    </row>
    <row r="29624" spans="1:1">
      <c r="A29624" s="27"/>
    </row>
    <row r="29625" spans="1:1">
      <c r="A29625" s="27"/>
    </row>
    <row r="29626" spans="1:1">
      <c r="A29626" s="27"/>
    </row>
    <row r="29627" spans="1:1">
      <c r="A29627" s="27"/>
    </row>
    <row r="29628" spans="1:1">
      <c r="A29628" s="27"/>
    </row>
    <row r="29629" spans="1:1">
      <c r="A29629" s="27"/>
    </row>
    <row r="29630" spans="1:1">
      <c r="A29630" s="27"/>
    </row>
    <row r="29631" spans="1:1">
      <c r="A29631" s="27"/>
    </row>
    <row r="29632" spans="1:1">
      <c r="A29632" s="27"/>
    </row>
    <row r="29633" spans="1:1">
      <c r="A29633" s="27"/>
    </row>
    <row r="29634" spans="1:1">
      <c r="A29634" s="27"/>
    </row>
    <row r="29635" spans="1:1">
      <c r="A29635" s="27"/>
    </row>
    <row r="29636" spans="1:1">
      <c r="A29636" s="27"/>
    </row>
    <row r="29637" spans="1:1">
      <c r="A29637" s="27"/>
    </row>
    <row r="29638" spans="1:1">
      <c r="A29638" s="27"/>
    </row>
    <row r="29639" spans="1:1">
      <c r="A29639" s="27"/>
    </row>
    <row r="29640" spans="1:1">
      <c r="A29640" s="27"/>
    </row>
    <row r="29641" spans="1:1">
      <c r="A29641" s="27"/>
    </row>
    <row r="29642" spans="1:1">
      <c r="A29642" s="27"/>
    </row>
    <row r="29643" spans="1:1">
      <c r="A29643" s="27"/>
    </row>
    <row r="29644" spans="1:1">
      <c r="A29644" s="27"/>
    </row>
    <row r="29645" spans="1:1">
      <c r="A29645" s="27"/>
    </row>
    <row r="29646" spans="1:1">
      <c r="A29646" s="27"/>
    </row>
    <row r="29647" spans="1:1">
      <c r="A29647" s="27"/>
    </row>
    <row r="29648" spans="1:1">
      <c r="A29648" s="27"/>
    </row>
    <row r="29649" spans="1:1">
      <c r="A29649" s="27"/>
    </row>
    <row r="29650" spans="1:1">
      <c r="A29650" s="27"/>
    </row>
    <row r="29651" spans="1:1">
      <c r="A29651" s="27"/>
    </row>
    <row r="29652" spans="1:1">
      <c r="A29652" s="27"/>
    </row>
    <row r="29653" spans="1:1">
      <c r="A29653" s="27"/>
    </row>
    <row r="29654" spans="1:1">
      <c r="A29654" s="27"/>
    </row>
    <row r="29655" spans="1:1">
      <c r="A29655" s="27"/>
    </row>
    <row r="29656" spans="1:1">
      <c r="A29656" s="27"/>
    </row>
    <row r="29657" spans="1:1">
      <c r="A29657" s="27"/>
    </row>
    <row r="29658" spans="1:1">
      <c r="A29658" s="27"/>
    </row>
    <row r="29659" spans="1:1">
      <c r="A29659" s="27"/>
    </row>
    <row r="29660" spans="1:1">
      <c r="A29660" s="27"/>
    </row>
    <row r="29661" spans="1:1">
      <c r="A29661" s="27"/>
    </row>
    <row r="29662" spans="1:1">
      <c r="A29662" s="27"/>
    </row>
    <row r="29663" spans="1:1">
      <c r="A29663" s="27"/>
    </row>
    <row r="29664" spans="1:1">
      <c r="A29664" s="27"/>
    </row>
    <row r="29665" spans="1:1">
      <c r="A29665" s="27"/>
    </row>
    <row r="29666" spans="1:1">
      <c r="A29666" s="27"/>
    </row>
    <row r="29667" spans="1:1">
      <c r="A29667" s="27"/>
    </row>
    <row r="29668" spans="1:1">
      <c r="A29668" s="27"/>
    </row>
    <row r="29669" spans="1:1">
      <c r="A29669" s="27"/>
    </row>
    <row r="29670" spans="1:1">
      <c r="A29670" s="27"/>
    </row>
    <row r="29671" spans="1:1">
      <c r="A29671" s="27"/>
    </row>
    <row r="29672" spans="1:1">
      <c r="A29672" s="27"/>
    </row>
    <row r="29673" spans="1:1">
      <c r="A29673" s="27"/>
    </row>
    <row r="29674" spans="1:1">
      <c r="A29674" s="27"/>
    </row>
    <row r="29675" spans="1:1">
      <c r="A29675" s="27"/>
    </row>
    <row r="29676" spans="1:1">
      <c r="A29676" s="27"/>
    </row>
    <row r="29677" spans="1:1">
      <c r="A29677" s="27"/>
    </row>
    <row r="29678" spans="1:1">
      <c r="A29678" s="27"/>
    </row>
    <row r="29679" spans="1:1">
      <c r="A29679" s="27"/>
    </row>
    <row r="29680" spans="1:1">
      <c r="A29680" s="27"/>
    </row>
    <row r="29681" spans="1:1">
      <c r="A29681" s="27"/>
    </row>
    <row r="29682" spans="1:1">
      <c r="A29682" s="27"/>
    </row>
    <row r="29683" spans="1:1">
      <c r="A29683" s="27"/>
    </row>
    <row r="29684" spans="1:1">
      <c r="A29684" s="27"/>
    </row>
    <row r="29685" spans="1:1">
      <c r="A29685" s="27"/>
    </row>
    <row r="29686" spans="1:1">
      <c r="A29686" s="27"/>
    </row>
    <row r="29687" spans="1:1">
      <c r="A29687" s="27"/>
    </row>
    <row r="29688" spans="1:1">
      <c r="A29688" s="27"/>
    </row>
    <row r="29689" spans="1:1">
      <c r="A29689" s="27"/>
    </row>
    <row r="29690" spans="1:1">
      <c r="A29690" s="27"/>
    </row>
    <row r="29691" spans="1:1">
      <c r="A29691" s="27"/>
    </row>
    <row r="29692" spans="1:1">
      <c r="A29692" s="27"/>
    </row>
    <row r="29693" spans="1:1">
      <c r="A29693" s="27"/>
    </row>
    <row r="29694" spans="1:1">
      <c r="A29694" s="27"/>
    </row>
    <row r="29695" spans="1:1">
      <c r="A29695" s="27"/>
    </row>
    <row r="29696" spans="1:1">
      <c r="A29696" s="27"/>
    </row>
    <row r="29697" spans="1:1">
      <c r="A29697" s="27"/>
    </row>
    <row r="29698" spans="1:1">
      <c r="A29698" s="27"/>
    </row>
    <row r="29699" spans="1:1">
      <c r="A29699" s="27"/>
    </row>
    <row r="29700" spans="1:1">
      <c r="A29700" s="27"/>
    </row>
    <row r="29701" spans="1:1">
      <c r="A29701" s="27"/>
    </row>
    <row r="29702" spans="1:1">
      <c r="A29702" s="27"/>
    </row>
    <row r="29703" spans="1:1">
      <c r="A29703" s="27"/>
    </row>
    <row r="29704" spans="1:1">
      <c r="A29704" s="27"/>
    </row>
    <row r="29705" spans="1:1">
      <c r="A29705" s="27"/>
    </row>
    <row r="29706" spans="1:1">
      <c r="A29706" s="27"/>
    </row>
    <row r="29707" spans="1:1">
      <c r="A29707" s="27"/>
    </row>
    <row r="29708" spans="1:1">
      <c r="A29708" s="27"/>
    </row>
    <row r="29709" spans="1:1">
      <c r="A29709" s="27"/>
    </row>
    <row r="29710" spans="1:1">
      <c r="A29710" s="27"/>
    </row>
    <row r="29711" spans="1:1">
      <c r="A29711" s="27"/>
    </row>
    <row r="29712" spans="1:1">
      <c r="A29712" s="27"/>
    </row>
    <row r="29713" spans="1:1">
      <c r="A29713" s="27"/>
    </row>
    <row r="29714" spans="1:1">
      <c r="A29714" s="27"/>
    </row>
    <row r="29715" spans="1:1">
      <c r="A29715" s="27"/>
    </row>
    <row r="29716" spans="1:1">
      <c r="A29716" s="27"/>
    </row>
    <row r="29717" spans="1:1">
      <c r="A29717" s="27"/>
    </row>
    <row r="29718" spans="1:1">
      <c r="A29718" s="27"/>
    </row>
    <row r="29719" spans="1:1">
      <c r="A29719" s="27"/>
    </row>
    <row r="29720" spans="1:1">
      <c r="A29720" s="27"/>
    </row>
    <row r="29721" spans="1:1">
      <c r="A29721" s="27"/>
    </row>
    <row r="29722" spans="1:1">
      <c r="A29722" s="27"/>
    </row>
    <row r="29723" spans="1:1">
      <c r="A29723" s="27"/>
    </row>
    <row r="29724" spans="1:1">
      <c r="A29724" s="27"/>
    </row>
    <row r="29725" spans="1:1">
      <c r="A29725" s="27"/>
    </row>
    <row r="29726" spans="1:1">
      <c r="A29726" s="27"/>
    </row>
    <row r="29727" spans="1:1">
      <c r="A29727" s="27"/>
    </row>
    <row r="29728" spans="1:1">
      <c r="A29728" s="27"/>
    </row>
    <row r="29729" spans="1:1">
      <c r="A29729" s="27"/>
    </row>
    <row r="29730" spans="1:1">
      <c r="A29730" s="27"/>
    </row>
    <row r="29731" spans="1:1">
      <c r="A29731" s="27"/>
    </row>
    <row r="29732" spans="1:1">
      <c r="A29732" s="27"/>
    </row>
    <row r="29733" spans="1:1">
      <c r="A29733" s="27"/>
    </row>
    <row r="29734" spans="1:1">
      <c r="A29734" s="27"/>
    </row>
    <row r="29735" spans="1:1">
      <c r="A29735" s="27"/>
    </row>
    <row r="29736" spans="1:1">
      <c r="A29736" s="27"/>
    </row>
    <row r="29737" spans="1:1">
      <c r="A29737" s="27"/>
    </row>
    <row r="29738" spans="1:1">
      <c r="A29738" s="27"/>
    </row>
    <row r="29739" spans="1:1">
      <c r="A29739" s="27"/>
    </row>
    <row r="29740" spans="1:1">
      <c r="A29740" s="27"/>
    </row>
    <row r="29741" spans="1:1">
      <c r="A29741" s="27"/>
    </row>
    <row r="29742" spans="1:1">
      <c r="A29742" s="27"/>
    </row>
    <row r="29743" spans="1:1">
      <c r="A29743" s="27"/>
    </row>
    <row r="29744" spans="1:1">
      <c r="A29744" s="27"/>
    </row>
    <row r="29745" spans="1:1">
      <c r="A29745" s="27"/>
    </row>
    <row r="29746" spans="1:1">
      <c r="A29746" s="27"/>
    </row>
    <row r="29747" spans="1:1">
      <c r="A29747" s="27"/>
    </row>
    <row r="29748" spans="1:1">
      <c r="A29748" s="27"/>
    </row>
    <row r="29749" spans="1:1">
      <c r="A29749" s="27"/>
    </row>
    <row r="29750" spans="1:1">
      <c r="A29750" s="27"/>
    </row>
    <row r="29751" spans="1:1">
      <c r="A29751" s="27"/>
    </row>
    <row r="29752" spans="1:1">
      <c r="A29752" s="27"/>
    </row>
    <row r="29753" spans="1:1">
      <c r="A29753" s="27"/>
    </row>
    <row r="29754" spans="1:1">
      <c r="A29754" s="27"/>
    </row>
    <row r="29755" spans="1:1">
      <c r="A29755" s="27"/>
    </row>
    <row r="29756" spans="1:1">
      <c r="A29756" s="27"/>
    </row>
    <row r="29757" spans="1:1">
      <c r="A29757" s="27"/>
    </row>
    <row r="29758" spans="1:1">
      <c r="A29758" s="27"/>
    </row>
    <row r="29759" spans="1:1">
      <c r="A29759" s="27"/>
    </row>
    <row r="29760" spans="1:1">
      <c r="A29760" s="27"/>
    </row>
    <row r="29761" spans="1:1">
      <c r="A29761" s="27"/>
    </row>
    <row r="29762" spans="1:1">
      <c r="A29762" s="27"/>
    </row>
    <row r="29763" spans="1:1">
      <c r="A29763" s="27"/>
    </row>
    <row r="29764" spans="1:1">
      <c r="A29764" s="27"/>
    </row>
    <row r="29765" spans="1:1">
      <c r="A29765" s="27"/>
    </row>
    <row r="29766" spans="1:1">
      <c r="A29766" s="27"/>
    </row>
    <row r="29767" spans="1:1">
      <c r="A29767" s="27"/>
    </row>
    <row r="29768" spans="1:1">
      <c r="A29768" s="27"/>
    </row>
    <row r="29769" spans="1:1">
      <c r="A29769" s="27"/>
    </row>
    <row r="29770" spans="1:1">
      <c r="A29770" s="27"/>
    </row>
    <row r="29771" spans="1:1">
      <c r="A29771" s="27"/>
    </row>
    <row r="29772" spans="1:1">
      <c r="A29772" s="27"/>
    </row>
    <row r="29773" spans="1:1">
      <c r="A29773" s="27"/>
    </row>
    <row r="29774" spans="1:1">
      <c r="A29774" s="27"/>
    </row>
    <row r="29775" spans="1:1">
      <c r="A29775" s="27"/>
    </row>
    <row r="29776" spans="1:1">
      <c r="A29776" s="27"/>
    </row>
    <row r="29777" spans="1:1">
      <c r="A29777" s="27"/>
    </row>
    <row r="29778" spans="1:1">
      <c r="A29778" s="27"/>
    </row>
    <row r="29779" spans="1:1">
      <c r="A29779" s="27"/>
    </row>
    <row r="29780" spans="1:1">
      <c r="A29780" s="27"/>
    </row>
    <row r="29781" spans="1:1">
      <c r="A29781" s="27"/>
    </row>
    <row r="29782" spans="1:1">
      <c r="A29782" s="27"/>
    </row>
    <row r="29783" spans="1:1">
      <c r="A29783" s="27"/>
    </row>
    <row r="29784" spans="1:1">
      <c r="A29784" s="27"/>
    </row>
    <row r="29785" spans="1:1">
      <c r="A29785" s="27"/>
    </row>
    <row r="29786" spans="1:1">
      <c r="A29786" s="27"/>
    </row>
    <row r="29787" spans="1:1">
      <c r="A29787" s="27"/>
    </row>
    <row r="29788" spans="1:1">
      <c r="A29788" s="27"/>
    </row>
    <row r="29789" spans="1:1">
      <c r="A29789" s="27"/>
    </row>
    <row r="29790" spans="1:1">
      <c r="A29790" s="27"/>
    </row>
    <row r="29791" spans="1:1">
      <c r="A29791" s="27"/>
    </row>
    <row r="29792" spans="1:1">
      <c r="A29792" s="27"/>
    </row>
    <row r="29793" spans="1:1">
      <c r="A29793" s="27"/>
    </row>
    <row r="29794" spans="1:1">
      <c r="A29794" s="27"/>
    </row>
    <row r="29795" spans="1:1">
      <c r="A29795" s="27"/>
    </row>
    <row r="29796" spans="1:1">
      <c r="A29796" s="27"/>
    </row>
    <row r="29797" spans="1:1">
      <c r="A29797" s="27"/>
    </row>
    <row r="29798" spans="1:1">
      <c r="A29798" s="27"/>
    </row>
    <row r="29799" spans="1:1">
      <c r="A29799" s="27"/>
    </row>
    <row r="29800" spans="1:1">
      <c r="A29800" s="27"/>
    </row>
    <row r="29801" spans="1:1">
      <c r="A29801" s="27"/>
    </row>
    <row r="29802" spans="1:1">
      <c r="A29802" s="27"/>
    </row>
    <row r="29803" spans="1:1">
      <c r="A29803" s="27"/>
    </row>
    <row r="29804" spans="1:1">
      <c r="A29804" s="27"/>
    </row>
    <row r="29805" spans="1:1">
      <c r="A29805" s="27"/>
    </row>
    <row r="29806" spans="1:1">
      <c r="A29806" s="27"/>
    </row>
    <row r="29807" spans="1:1">
      <c r="A29807" s="27"/>
    </row>
    <row r="29808" spans="1:1">
      <c r="A29808" s="27"/>
    </row>
    <row r="29809" spans="1:1">
      <c r="A29809" s="27"/>
    </row>
    <row r="29810" spans="1:1">
      <c r="A29810" s="27"/>
    </row>
    <row r="29811" spans="1:1">
      <c r="A29811" s="27"/>
    </row>
    <row r="29812" spans="1:1">
      <c r="A29812" s="27"/>
    </row>
    <row r="29813" spans="1:1">
      <c r="A29813" s="27"/>
    </row>
    <row r="29814" spans="1:1">
      <c r="A29814" s="27"/>
    </row>
    <row r="29815" spans="1:1">
      <c r="A29815" s="27"/>
    </row>
    <row r="29816" spans="1:1">
      <c r="A29816" s="27"/>
    </row>
    <row r="29817" spans="1:1">
      <c r="A29817" s="27"/>
    </row>
    <row r="29818" spans="1:1">
      <c r="A29818" s="27"/>
    </row>
    <row r="29819" spans="1:1">
      <c r="A29819" s="27"/>
    </row>
    <row r="29820" spans="1:1">
      <c r="A29820" s="27"/>
    </row>
    <row r="29821" spans="1:1">
      <c r="A29821" s="27"/>
    </row>
    <row r="29822" spans="1:1">
      <c r="A29822" s="27"/>
    </row>
    <row r="29823" spans="1:1">
      <c r="A29823" s="27"/>
    </row>
    <row r="29824" spans="1:1">
      <c r="A29824" s="27"/>
    </row>
    <row r="29825" spans="1:1">
      <c r="A29825" s="27"/>
    </row>
    <row r="29826" spans="1:1">
      <c r="A29826" s="27"/>
    </row>
    <row r="29827" spans="1:1">
      <c r="A29827" s="27"/>
    </row>
    <row r="29828" spans="1:1">
      <c r="A29828" s="27"/>
    </row>
    <row r="29829" spans="1:1">
      <c r="A29829" s="27"/>
    </row>
    <row r="29830" spans="1:1">
      <c r="A29830" s="27"/>
    </row>
    <row r="29831" spans="1:1">
      <c r="A29831" s="27"/>
    </row>
    <row r="29832" spans="1:1">
      <c r="A29832" s="27"/>
    </row>
    <row r="29833" spans="1:1">
      <c r="A29833" s="27"/>
    </row>
    <row r="29834" spans="1:1">
      <c r="A29834" s="27"/>
    </row>
    <row r="29835" spans="1:1">
      <c r="A29835" s="27"/>
    </row>
    <row r="29836" spans="1:1">
      <c r="A29836" s="27"/>
    </row>
    <row r="29837" spans="1:1">
      <c r="A29837" s="27"/>
    </row>
    <row r="29838" spans="1:1">
      <c r="A29838" s="27"/>
    </row>
    <row r="29839" spans="1:1">
      <c r="A29839" s="27"/>
    </row>
    <row r="29840" spans="1:1">
      <c r="A29840" s="27"/>
    </row>
    <row r="29841" spans="1:1">
      <c r="A29841" s="27"/>
    </row>
    <row r="29842" spans="1:1">
      <c r="A29842" s="27"/>
    </row>
    <row r="29843" spans="1:1">
      <c r="A29843" s="27"/>
    </row>
    <row r="29844" spans="1:1">
      <c r="A29844" s="27"/>
    </row>
    <row r="29845" spans="1:1">
      <c r="A29845" s="27"/>
    </row>
    <row r="29846" spans="1:1">
      <c r="A29846" s="27"/>
    </row>
    <row r="29847" spans="1:1">
      <c r="A29847" s="27"/>
    </row>
    <row r="29848" spans="1:1">
      <c r="A29848" s="27"/>
    </row>
    <row r="29849" spans="1:1">
      <c r="A29849" s="27"/>
    </row>
    <row r="29850" spans="1:1">
      <c r="A29850" s="27"/>
    </row>
    <row r="29851" spans="1:1">
      <c r="A29851" s="27"/>
    </row>
    <row r="29852" spans="1:1">
      <c r="A29852" s="27"/>
    </row>
    <row r="29853" spans="1:1">
      <c r="A29853" s="27"/>
    </row>
    <row r="29854" spans="1:1">
      <c r="A29854" s="27"/>
    </row>
    <row r="29855" spans="1:1">
      <c r="A29855" s="27"/>
    </row>
    <row r="29856" spans="1:1">
      <c r="A29856" s="27"/>
    </row>
    <row r="29857" spans="1:1">
      <c r="A29857" s="27"/>
    </row>
    <row r="29858" spans="1:1">
      <c r="A29858" s="27"/>
    </row>
    <row r="29859" spans="1:1">
      <c r="A29859" s="27"/>
    </row>
    <row r="29860" spans="1:1">
      <c r="A29860" s="27"/>
    </row>
    <row r="29861" spans="1:1">
      <c r="A29861" s="27"/>
    </row>
    <row r="29862" spans="1:1">
      <c r="A29862" s="27"/>
    </row>
    <row r="29863" spans="1:1">
      <c r="A29863" s="27"/>
    </row>
    <row r="29864" spans="1:1">
      <c r="A29864" s="27"/>
    </row>
    <row r="29865" spans="1:1">
      <c r="A29865" s="27"/>
    </row>
    <row r="29866" spans="1:1">
      <c r="A29866" s="27"/>
    </row>
    <row r="29867" spans="1:1">
      <c r="A29867" s="27"/>
    </row>
    <row r="29868" spans="1:1">
      <c r="A29868" s="27"/>
    </row>
    <row r="29869" spans="1:1">
      <c r="A29869" s="27"/>
    </row>
    <row r="29870" spans="1:1">
      <c r="A29870" s="27"/>
    </row>
    <row r="29871" spans="1:1">
      <c r="A29871" s="27"/>
    </row>
    <row r="29872" spans="1:1">
      <c r="A29872" s="27"/>
    </row>
    <row r="29873" spans="1:1">
      <c r="A29873" s="27"/>
    </row>
    <row r="29874" spans="1:1">
      <c r="A29874" s="27"/>
    </row>
    <row r="29875" spans="1:1">
      <c r="A29875" s="27"/>
    </row>
    <row r="29876" spans="1:1">
      <c r="A29876" s="27"/>
    </row>
    <row r="29877" spans="1:1">
      <c r="A29877" s="27"/>
    </row>
    <row r="29878" spans="1:1">
      <c r="A29878" s="27"/>
    </row>
    <row r="29879" spans="1:1">
      <c r="A29879" s="27"/>
    </row>
    <row r="29880" spans="1:1">
      <c r="A29880" s="27"/>
    </row>
    <row r="29881" spans="1:1">
      <c r="A29881" s="27"/>
    </row>
    <row r="29882" spans="1:1">
      <c r="A29882" s="27"/>
    </row>
    <row r="29883" spans="1:1">
      <c r="A29883" s="27"/>
    </row>
    <row r="29884" spans="1:1">
      <c r="A29884" s="27"/>
    </row>
    <row r="29885" spans="1:1">
      <c r="A29885" s="27"/>
    </row>
    <row r="29886" spans="1:1">
      <c r="A29886" s="27"/>
    </row>
    <row r="29887" spans="1:1">
      <c r="A29887" s="27"/>
    </row>
    <row r="29888" spans="1:1">
      <c r="A29888" s="27"/>
    </row>
    <row r="29889" spans="1:1">
      <c r="A29889" s="27"/>
    </row>
    <row r="29890" spans="1:1">
      <c r="A29890" s="27"/>
    </row>
    <row r="29891" spans="1:1">
      <c r="A29891" s="27"/>
    </row>
    <row r="29892" spans="1:1">
      <c r="A29892" s="27"/>
    </row>
    <row r="29893" spans="1:1">
      <c r="A29893" s="27"/>
    </row>
    <row r="29894" spans="1:1">
      <c r="A29894" s="27"/>
    </row>
    <row r="29895" spans="1:1">
      <c r="A29895" s="27"/>
    </row>
    <row r="29896" spans="1:1">
      <c r="A29896" s="27"/>
    </row>
    <row r="29897" spans="1:1">
      <c r="A29897" s="27"/>
    </row>
    <row r="29898" spans="1:1">
      <c r="A29898" s="27"/>
    </row>
    <row r="29899" spans="1:1">
      <c r="A29899" s="27"/>
    </row>
    <row r="29900" spans="1:1">
      <c r="A29900" s="27"/>
    </row>
    <row r="29901" spans="1:1">
      <c r="A29901" s="27"/>
    </row>
    <row r="29902" spans="1:1">
      <c r="A29902" s="27"/>
    </row>
    <row r="29903" spans="1:1">
      <c r="A29903" s="27"/>
    </row>
    <row r="29904" spans="1:1">
      <c r="A29904" s="27"/>
    </row>
    <row r="29905" spans="1:1">
      <c r="A29905" s="27"/>
    </row>
    <row r="29906" spans="1:1">
      <c r="A29906" s="27"/>
    </row>
    <row r="29907" spans="1:1">
      <c r="A29907" s="27"/>
    </row>
    <row r="29908" spans="1:1">
      <c r="A29908" s="27"/>
    </row>
    <row r="29909" spans="1:1">
      <c r="A29909" s="27"/>
    </row>
    <row r="29910" spans="1:1">
      <c r="A29910" s="27"/>
    </row>
    <row r="29911" spans="1:1">
      <c r="A29911" s="27"/>
    </row>
    <row r="29912" spans="1:1">
      <c r="A29912" s="27"/>
    </row>
    <row r="29913" spans="1:1">
      <c r="A29913" s="27"/>
    </row>
    <row r="29914" spans="1:1">
      <c r="A29914" s="27"/>
    </row>
    <row r="29915" spans="1:1">
      <c r="A29915" s="27"/>
    </row>
    <row r="29916" spans="1:1">
      <c r="A29916" s="27"/>
    </row>
    <row r="29917" spans="1:1">
      <c r="A29917" s="27"/>
    </row>
    <row r="29918" spans="1:1">
      <c r="A29918" s="27"/>
    </row>
    <row r="29919" spans="1:1">
      <c r="A29919" s="27"/>
    </row>
    <row r="29920" spans="1:1">
      <c r="A29920" s="27"/>
    </row>
    <row r="29921" spans="1:1">
      <c r="A29921" s="27"/>
    </row>
    <row r="29922" spans="1:1">
      <c r="A29922" s="27"/>
    </row>
    <row r="29923" spans="1:1">
      <c r="A29923" s="27"/>
    </row>
    <row r="29924" spans="1:1">
      <c r="A29924" s="27"/>
    </row>
    <row r="29925" spans="1:1">
      <c r="A29925" s="27"/>
    </row>
    <row r="29926" spans="1:1">
      <c r="A29926" s="27"/>
    </row>
    <row r="29927" spans="1:1">
      <c r="A29927" s="27"/>
    </row>
    <row r="29928" spans="1:1">
      <c r="A29928" s="27"/>
    </row>
    <row r="29929" spans="1:1">
      <c r="A29929" s="27"/>
    </row>
    <row r="29930" spans="1:1">
      <c r="A29930" s="27"/>
    </row>
    <row r="29931" spans="1:1">
      <c r="A29931" s="27"/>
    </row>
    <row r="29932" spans="1:1">
      <c r="A29932" s="27"/>
    </row>
    <row r="29933" spans="1:1">
      <c r="A29933" s="27"/>
    </row>
    <row r="29934" spans="1:1">
      <c r="A29934" s="27"/>
    </row>
    <row r="29935" spans="1:1">
      <c r="A29935" s="27"/>
    </row>
    <row r="29936" spans="1:1">
      <c r="A29936" s="27"/>
    </row>
    <row r="29937" spans="1:1">
      <c r="A29937" s="27"/>
    </row>
    <row r="29938" spans="1:1">
      <c r="A29938" s="27"/>
    </row>
    <row r="29939" spans="1:1">
      <c r="A29939" s="27"/>
    </row>
    <row r="29940" spans="1:1">
      <c r="A29940" s="27"/>
    </row>
    <row r="29941" spans="1:1">
      <c r="A29941" s="27"/>
    </row>
    <row r="29942" spans="1:1">
      <c r="A29942" s="27"/>
    </row>
    <row r="29943" spans="1:1">
      <c r="A29943" s="27"/>
    </row>
    <row r="29944" spans="1:1">
      <c r="A29944" s="27"/>
    </row>
    <row r="29945" spans="1:1">
      <c r="A29945" s="27"/>
    </row>
    <row r="29946" spans="1:1">
      <c r="A29946" s="27"/>
    </row>
    <row r="29947" spans="1:1">
      <c r="A29947" s="27"/>
    </row>
    <row r="29948" spans="1:1">
      <c r="A29948" s="27"/>
    </row>
    <row r="29949" spans="1:1">
      <c r="A29949" s="27"/>
    </row>
    <row r="29950" spans="1:1">
      <c r="A29950" s="27"/>
    </row>
    <row r="29951" spans="1:1">
      <c r="A29951" s="27"/>
    </row>
    <row r="29952" spans="1:1">
      <c r="A29952" s="27"/>
    </row>
    <row r="29953" spans="1:1">
      <c r="A29953" s="27"/>
    </row>
    <row r="29954" spans="1:1">
      <c r="A29954" s="27"/>
    </row>
    <row r="29955" spans="1:1">
      <c r="A29955" s="27"/>
    </row>
    <row r="29956" spans="1:1">
      <c r="A29956" s="27"/>
    </row>
    <row r="29957" spans="1:1">
      <c r="A29957" s="27"/>
    </row>
    <row r="29958" spans="1:1">
      <c r="A29958" s="27"/>
    </row>
    <row r="29959" spans="1:1">
      <c r="A29959" s="27"/>
    </row>
    <row r="29960" spans="1:1">
      <c r="A29960" s="27"/>
    </row>
    <row r="29961" spans="1:1">
      <c r="A29961" s="27"/>
    </row>
    <row r="29962" spans="1:1">
      <c r="A29962" s="27"/>
    </row>
    <row r="29963" spans="1:1">
      <c r="A29963" s="27"/>
    </row>
    <row r="29964" spans="1:1">
      <c r="A29964" s="27"/>
    </row>
    <row r="29965" spans="1:1">
      <c r="A29965" s="27"/>
    </row>
    <row r="29966" spans="1:1">
      <c r="A29966" s="27"/>
    </row>
    <row r="29967" spans="1:1">
      <c r="A29967" s="27"/>
    </row>
    <row r="29968" spans="1:1">
      <c r="A29968" s="27"/>
    </row>
    <row r="29969" spans="1:1">
      <c r="A29969" s="27"/>
    </row>
    <row r="29970" spans="1:1">
      <c r="A29970" s="27"/>
    </row>
    <row r="29971" spans="1:1">
      <c r="A29971" s="27"/>
    </row>
    <row r="29972" spans="1:1">
      <c r="A29972" s="27"/>
    </row>
    <row r="29973" spans="1:1">
      <c r="A29973" s="27"/>
    </row>
    <row r="29974" spans="1:1">
      <c r="A29974" s="27"/>
    </row>
    <row r="29975" spans="1:1">
      <c r="A29975" s="27"/>
    </row>
    <row r="29976" spans="1:1">
      <c r="A29976" s="27"/>
    </row>
    <row r="29977" spans="1:1">
      <c r="A29977" s="27"/>
    </row>
    <row r="29978" spans="1:1">
      <c r="A29978" s="27"/>
    </row>
    <row r="29979" spans="1:1">
      <c r="A29979" s="27"/>
    </row>
    <row r="29980" spans="1:1">
      <c r="A29980" s="27"/>
    </row>
    <row r="29981" spans="1:1">
      <c r="A29981" s="27"/>
    </row>
    <row r="29982" spans="1:1">
      <c r="A29982" s="27"/>
    </row>
    <row r="29983" spans="1:1">
      <c r="A29983" s="27"/>
    </row>
    <row r="29984" spans="1:1">
      <c r="A29984" s="27"/>
    </row>
    <row r="29985" spans="1:1">
      <c r="A29985" s="27"/>
    </row>
    <row r="29986" spans="1:1">
      <c r="A29986" s="27"/>
    </row>
    <row r="29987" spans="1:1">
      <c r="A29987" s="27"/>
    </row>
    <row r="29988" spans="1:1">
      <c r="A29988" s="27"/>
    </row>
    <row r="29989" spans="1:1">
      <c r="A29989" s="27"/>
    </row>
    <row r="29990" spans="1:1">
      <c r="A29990" s="27"/>
    </row>
    <row r="29991" spans="1:1">
      <c r="A29991" s="27"/>
    </row>
    <row r="29992" spans="1:1">
      <c r="A29992" s="27"/>
    </row>
    <row r="29993" spans="1:1">
      <c r="A29993" s="27"/>
    </row>
    <row r="29994" spans="1:1">
      <c r="A29994" s="27"/>
    </row>
    <row r="29995" spans="1:1">
      <c r="A29995" s="27"/>
    </row>
    <row r="29996" spans="1:1">
      <c r="A29996" s="27"/>
    </row>
    <row r="29997" spans="1:1">
      <c r="A29997" s="27"/>
    </row>
    <row r="29998" spans="1:1">
      <c r="A29998" s="27"/>
    </row>
    <row r="29999" spans="1:1">
      <c r="A29999" s="27"/>
    </row>
    <row r="30000" spans="1:1">
      <c r="A30000" s="27"/>
    </row>
    <row r="30001" spans="1:1">
      <c r="A30001" s="27"/>
    </row>
    <row r="30002" spans="1:1">
      <c r="A30002" s="27"/>
    </row>
    <row r="30003" spans="1:1">
      <c r="A30003" s="27"/>
    </row>
    <row r="30004" spans="1:1">
      <c r="A30004" s="27"/>
    </row>
    <row r="30005" spans="1:1">
      <c r="A30005" s="27"/>
    </row>
    <row r="30006" spans="1:1">
      <c r="A30006" s="27"/>
    </row>
    <row r="30007" spans="1:1">
      <c r="A30007" s="27"/>
    </row>
    <row r="30008" spans="1:1">
      <c r="A30008" s="27"/>
    </row>
    <row r="30009" spans="1:1">
      <c r="A30009" s="27"/>
    </row>
    <row r="30010" spans="1:1">
      <c r="A30010" s="27"/>
    </row>
    <row r="30011" spans="1:1">
      <c r="A30011" s="27"/>
    </row>
    <row r="30012" spans="1:1">
      <c r="A30012" s="27"/>
    </row>
    <row r="30013" spans="1:1">
      <c r="A30013" s="27"/>
    </row>
    <row r="30014" spans="1:1">
      <c r="A30014" s="27"/>
    </row>
    <row r="30015" spans="1:1">
      <c r="A30015" s="27"/>
    </row>
    <row r="30016" spans="1:1">
      <c r="A30016" s="27"/>
    </row>
    <row r="30017" spans="1:1">
      <c r="A30017" s="27"/>
    </row>
    <row r="30018" spans="1:1">
      <c r="A30018" s="27"/>
    </row>
    <row r="30019" spans="1:1">
      <c r="A30019" s="27"/>
    </row>
    <row r="30020" spans="1:1">
      <c r="A30020" s="27"/>
    </row>
    <row r="30021" spans="1:1">
      <c r="A30021" s="27"/>
    </row>
    <row r="30022" spans="1:1">
      <c r="A30022" s="27"/>
    </row>
    <row r="30023" spans="1:1">
      <c r="A30023" s="27"/>
    </row>
    <row r="30024" spans="1:1">
      <c r="A30024" s="27"/>
    </row>
    <row r="30025" spans="1:1">
      <c r="A30025" s="27"/>
    </row>
    <row r="30026" spans="1:1">
      <c r="A30026" s="27"/>
    </row>
    <row r="30027" spans="1:1">
      <c r="A30027" s="27"/>
    </row>
    <row r="30028" spans="1:1">
      <c r="A30028" s="27"/>
    </row>
    <row r="30029" spans="1:1">
      <c r="A30029" s="27"/>
    </row>
    <row r="30030" spans="1:1">
      <c r="A30030" s="27"/>
    </row>
    <row r="30031" spans="1:1">
      <c r="A30031" s="27"/>
    </row>
    <row r="30032" spans="1:1">
      <c r="A30032" s="27"/>
    </row>
    <row r="30033" spans="1:1">
      <c r="A30033" s="27"/>
    </row>
    <row r="30034" spans="1:1">
      <c r="A30034" s="27"/>
    </row>
    <row r="30035" spans="1:1">
      <c r="A30035" s="27"/>
    </row>
    <row r="30036" spans="1:1">
      <c r="A30036" s="27"/>
    </row>
    <row r="30037" spans="1:1">
      <c r="A30037" s="27"/>
    </row>
    <row r="30038" spans="1:1">
      <c r="A30038" s="27"/>
    </row>
    <row r="30039" spans="1:1">
      <c r="A30039" s="27"/>
    </row>
    <row r="30040" spans="1:1">
      <c r="A30040" s="27"/>
    </row>
    <row r="30041" spans="1:1">
      <c r="A30041" s="27"/>
    </row>
    <row r="30042" spans="1:1">
      <c r="A30042" s="27"/>
    </row>
    <row r="30043" spans="1:1">
      <c r="A30043" s="27"/>
    </row>
    <row r="30044" spans="1:1">
      <c r="A30044" s="27"/>
    </row>
    <row r="30045" spans="1:1">
      <c r="A30045" s="27"/>
    </row>
    <row r="30046" spans="1:1">
      <c r="A30046" s="27"/>
    </row>
    <row r="30047" spans="1:1">
      <c r="A30047" s="27"/>
    </row>
    <row r="30048" spans="1:1">
      <c r="A30048" s="27"/>
    </row>
    <row r="30049" spans="1:1">
      <c r="A30049" s="27"/>
    </row>
    <row r="30050" spans="1:1">
      <c r="A30050" s="27"/>
    </row>
    <row r="30051" spans="1:1">
      <c r="A30051" s="27"/>
    </row>
    <row r="30052" spans="1:1">
      <c r="A30052" s="27"/>
    </row>
    <row r="30053" spans="1:1">
      <c r="A30053" s="27"/>
    </row>
    <row r="30054" spans="1:1">
      <c r="A30054" s="27"/>
    </row>
    <row r="30055" spans="1:1">
      <c r="A30055" s="27"/>
    </row>
    <row r="30056" spans="1:1">
      <c r="A30056" s="27"/>
    </row>
    <row r="30057" spans="1:1">
      <c r="A30057" s="27"/>
    </row>
    <row r="30058" spans="1:1">
      <c r="A30058" s="27"/>
    </row>
    <row r="30059" spans="1:1">
      <c r="A30059" s="27"/>
    </row>
    <row r="30060" spans="1:1">
      <c r="A30060" s="27"/>
    </row>
    <row r="30061" spans="1:1">
      <c r="A30061" s="27"/>
    </row>
    <row r="30062" spans="1:1">
      <c r="A30062" s="27"/>
    </row>
    <row r="30063" spans="1:1">
      <c r="A30063" s="27"/>
    </row>
    <row r="30064" spans="1:1">
      <c r="A30064" s="27"/>
    </row>
    <row r="30065" spans="1:1">
      <c r="A30065" s="27"/>
    </row>
    <row r="30066" spans="1:1">
      <c r="A30066" s="27"/>
    </row>
    <row r="30067" spans="1:1">
      <c r="A30067" s="27"/>
    </row>
    <row r="30068" spans="1:1">
      <c r="A30068" s="27"/>
    </row>
    <row r="30069" spans="1:1">
      <c r="A30069" s="27"/>
    </row>
    <row r="30070" spans="1:1">
      <c r="A30070" s="27"/>
    </row>
    <row r="30071" spans="1:1">
      <c r="A30071" s="27"/>
    </row>
    <row r="30072" spans="1:1">
      <c r="A30072" s="27"/>
    </row>
    <row r="30073" spans="1:1">
      <c r="A30073" s="27"/>
    </row>
    <row r="30074" spans="1:1">
      <c r="A30074" s="27"/>
    </row>
    <row r="30075" spans="1:1">
      <c r="A30075" s="27"/>
    </row>
    <row r="30076" spans="1:1">
      <c r="A30076" s="27"/>
    </row>
    <row r="30077" spans="1:1">
      <c r="A30077" s="27"/>
    </row>
    <row r="30078" spans="1:1">
      <c r="A30078" s="27"/>
    </row>
    <row r="30079" spans="1:1">
      <c r="A30079" s="27"/>
    </row>
    <row r="30080" spans="1:1">
      <c r="A30080" s="27"/>
    </row>
    <row r="30081" spans="1:1">
      <c r="A30081" s="27"/>
    </row>
    <row r="30082" spans="1:1">
      <c r="A30082" s="27"/>
    </row>
    <row r="30083" spans="1:1">
      <c r="A30083" s="27"/>
    </row>
    <row r="30084" spans="1:1">
      <c r="A30084" s="27"/>
    </row>
    <row r="30085" spans="1:1">
      <c r="A30085" s="27"/>
    </row>
    <row r="30086" spans="1:1">
      <c r="A30086" s="27"/>
    </row>
    <row r="30087" spans="1:1">
      <c r="A30087" s="27"/>
    </row>
    <row r="30088" spans="1:1">
      <c r="A30088" s="27"/>
    </row>
    <row r="30089" spans="1:1">
      <c r="A30089" s="27"/>
    </row>
    <row r="30090" spans="1:1">
      <c r="A30090" s="27"/>
    </row>
    <row r="30091" spans="1:1">
      <c r="A30091" s="27"/>
    </row>
    <row r="30092" spans="1:1">
      <c r="A30092" s="27"/>
    </row>
    <row r="30093" spans="1:1">
      <c r="A30093" s="27"/>
    </row>
    <row r="30094" spans="1:1">
      <c r="A30094" s="27"/>
    </row>
    <row r="30095" spans="1:1">
      <c r="A30095" s="27"/>
    </row>
    <row r="30096" spans="1:1">
      <c r="A30096" s="27"/>
    </row>
    <row r="30097" spans="1:1">
      <c r="A30097" s="27"/>
    </row>
    <row r="30098" spans="1:1">
      <c r="A30098" s="27"/>
    </row>
    <row r="30099" spans="1:1">
      <c r="A30099" s="27"/>
    </row>
    <row r="30100" spans="1:1">
      <c r="A30100" s="27"/>
    </row>
    <row r="30101" spans="1:1">
      <c r="A30101" s="27"/>
    </row>
    <row r="30102" spans="1:1">
      <c r="A30102" s="27"/>
    </row>
    <row r="30103" spans="1:1">
      <c r="A30103" s="27"/>
    </row>
    <row r="30104" spans="1:1">
      <c r="A30104" s="27"/>
    </row>
    <row r="30105" spans="1:1">
      <c r="A30105" s="27"/>
    </row>
    <row r="30106" spans="1:1">
      <c r="A30106" s="27"/>
    </row>
    <row r="30107" spans="1:1">
      <c r="A30107" s="27"/>
    </row>
    <row r="30108" spans="1:1">
      <c r="A30108" s="27"/>
    </row>
    <row r="30109" spans="1:1">
      <c r="A30109" s="27"/>
    </row>
    <row r="30110" spans="1:1">
      <c r="A30110" s="27"/>
    </row>
    <row r="30111" spans="1:1">
      <c r="A30111" s="27"/>
    </row>
    <row r="30112" spans="1:1">
      <c r="A30112" s="27"/>
    </row>
    <row r="30113" spans="1:1">
      <c r="A30113" s="27"/>
    </row>
    <row r="30114" spans="1:1">
      <c r="A30114" s="27"/>
    </row>
    <row r="30115" spans="1:1">
      <c r="A30115" s="27"/>
    </row>
    <row r="30116" spans="1:1">
      <c r="A30116" s="27"/>
    </row>
    <row r="30117" spans="1:1">
      <c r="A30117" s="27"/>
    </row>
    <row r="30118" spans="1:1">
      <c r="A30118" s="27"/>
    </row>
    <row r="30119" spans="1:1">
      <c r="A30119" s="27"/>
    </row>
    <row r="30120" spans="1:1">
      <c r="A30120" s="27"/>
    </row>
    <row r="30121" spans="1:1">
      <c r="A30121" s="27"/>
    </row>
    <row r="30122" spans="1:1">
      <c r="A30122" s="27"/>
    </row>
    <row r="30123" spans="1:1">
      <c r="A30123" s="27"/>
    </row>
    <row r="30124" spans="1:1">
      <c r="A30124" s="27"/>
    </row>
    <row r="30125" spans="1:1">
      <c r="A30125" s="27"/>
    </row>
    <row r="30126" spans="1:1">
      <c r="A30126" s="27"/>
    </row>
    <row r="30127" spans="1:1">
      <c r="A30127" s="27"/>
    </row>
    <row r="30128" spans="1:1">
      <c r="A30128" s="27"/>
    </row>
    <row r="30129" spans="1:1">
      <c r="A30129" s="27"/>
    </row>
    <row r="30130" spans="1:1">
      <c r="A30130" s="27"/>
    </row>
    <row r="30131" spans="1:1">
      <c r="A30131" s="27"/>
    </row>
    <row r="30132" spans="1:1">
      <c r="A30132" s="27"/>
    </row>
    <row r="30133" spans="1:1">
      <c r="A30133" s="27"/>
    </row>
    <row r="30134" spans="1:1">
      <c r="A30134" s="27"/>
    </row>
    <row r="30135" spans="1:1">
      <c r="A30135" s="27"/>
    </row>
    <row r="30136" spans="1:1">
      <c r="A30136" s="27"/>
    </row>
    <row r="30137" spans="1:1">
      <c r="A30137" s="27"/>
    </row>
    <row r="30138" spans="1:1">
      <c r="A30138" s="27"/>
    </row>
    <row r="30139" spans="1:1">
      <c r="A30139" s="27"/>
    </row>
    <row r="30140" spans="1:1">
      <c r="A30140" s="27"/>
    </row>
    <row r="30141" spans="1:1">
      <c r="A30141" s="27"/>
    </row>
    <row r="30142" spans="1:1">
      <c r="A30142" s="27"/>
    </row>
    <row r="30143" spans="1:1">
      <c r="A30143" s="27"/>
    </row>
    <row r="30144" spans="1:1">
      <c r="A30144" s="27"/>
    </row>
    <row r="30145" spans="1:1">
      <c r="A30145" s="27"/>
    </row>
    <row r="30146" spans="1:1">
      <c r="A30146" s="27"/>
    </row>
    <row r="30147" spans="1:1">
      <c r="A30147" s="27"/>
    </row>
    <row r="30148" spans="1:1">
      <c r="A30148" s="27"/>
    </row>
    <row r="30149" spans="1:1">
      <c r="A30149" s="27"/>
    </row>
    <row r="30150" spans="1:1">
      <c r="A30150" s="27"/>
    </row>
    <row r="30151" spans="1:1">
      <c r="A30151" s="27"/>
    </row>
    <row r="30152" spans="1:1">
      <c r="A30152" s="27"/>
    </row>
    <row r="30153" spans="1:1">
      <c r="A30153" s="27"/>
    </row>
    <row r="30154" spans="1:1">
      <c r="A30154" s="27"/>
    </row>
    <row r="30155" spans="1:1">
      <c r="A30155" s="27"/>
    </row>
    <row r="30156" spans="1:1">
      <c r="A30156" s="27"/>
    </row>
    <row r="30157" spans="1:1">
      <c r="A30157" s="27"/>
    </row>
    <row r="30158" spans="1:1">
      <c r="A30158" s="27"/>
    </row>
    <row r="30159" spans="1:1">
      <c r="A30159" s="27"/>
    </row>
    <row r="30160" spans="1:1">
      <c r="A30160" s="27"/>
    </row>
    <row r="30161" spans="1:1">
      <c r="A30161" s="27"/>
    </row>
    <row r="30162" spans="1:1">
      <c r="A30162" s="27"/>
    </row>
    <row r="30163" spans="1:1">
      <c r="A30163" s="27"/>
    </row>
    <row r="30164" spans="1:1">
      <c r="A30164" s="27"/>
    </row>
    <row r="30165" spans="1:1">
      <c r="A30165" s="27"/>
    </row>
    <row r="30166" spans="1:1">
      <c r="A30166" s="27"/>
    </row>
    <row r="30167" spans="1:1">
      <c r="A30167" s="27"/>
    </row>
    <row r="30168" spans="1:1">
      <c r="A30168" s="27"/>
    </row>
    <row r="30169" spans="1:1">
      <c r="A30169" s="27"/>
    </row>
    <row r="30170" spans="1:1">
      <c r="A30170" s="27"/>
    </row>
    <row r="30171" spans="1:1">
      <c r="A30171" s="27"/>
    </row>
    <row r="30172" spans="1:1">
      <c r="A30172" s="27"/>
    </row>
    <row r="30173" spans="1:1">
      <c r="A30173" s="27"/>
    </row>
    <row r="30174" spans="1:1">
      <c r="A30174" s="27"/>
    </row>
    <row r="30175" spans="1:1">
      <c r="A30175" s="27"/>
    </row>
    <row r="30176" spans="1:1">
      <c r="A30176" s="27"/>
    </row>
    <row r="30177" spans="1:1">
      <c r="A30177" s="27"/>
    </row>
    <row r="30178" spans="1:1">
      <c r="A30178" s="27"/>
    </row>
    <row r="30179" spans="1:1">
      <c r="A30179" s="27"/>
    </row>
    <row r="30180" spans="1:1">
      <c r="A30180" s="27"/>
    </row>
    <row r="30181" spans="1:1">
      <c r="A30181" s="27"/>
    </row>
    <row r="30182" spans="1:1">
      <c r="A30182" s="27"/>
    </row>
    <row r="30183" spans="1:1">
      <c r="A30183" s="27"/>
    </row>
    <row r="30184" spans="1:1">
      <c r="A30184" s="27"/>
    </row>
    <row r="30185" spans="1:1">
      <c r="A30185" s="27"/>
    </row>
    <row r="30186" spans="1:1">
      <c r="A30186" s="27"/>
    </row>
    <row r="30187" spans="1:1">
      <c r="A30187" s="27"/>
    </row>
    <row r="30188" spans="1:1">
      <c r="A30188" s="27"/>
    </row>
    <row r="30189" spans="1:1">
      <c r="A30189" s="27"/>
    </row>
    <row r="30190" spans="1:1">
      <c r="A30190" s="27"/>
    </row>
    <row r="30191" spans="1:1">
      <c r="A30191" s="27"/>
    </row>
    <row r="30192" spans="1:1">
      <c r="A30192" s="27"/>
    </row>
    <row r="30193" spans="1:1">
      <c r="A30193" s="27"/>
    </row>
    <row r="30194" spans="1:1">
      <c r="A30194" s="27"/>
    </row>
    <row r="30195" spans="1:1">
      <c r="A30195" s="27"/>
    </row>
    <row r="30196" spans="1:1">
      <c r="A30196" s="27"/>
    </row>
    <row r="30197" spans="1:1">
      <c r="A30197" s="27"/>
    </row>
    <row r="30198" spans="1:1">
      <c r="A30198" s="27"/>
    </row>
    <row r="30199" spans="1:1">
      <c r="A30199" s="27"/>
    </row>
    <row r="30200" spans="1:1">
      <c r="A30200" s="27"/>
    </row>
    <row r="30201" spans="1:1">
      <c r="A30201" s="27"/>
    </row>
    <row r="30202" spans="1:1">
      <c r="A30202" s="27"/>
    </row>
    <row r="30203" spans="1:1">
      <c r="A30203" s="27"/>
    </row>
    <row r="30204" spans="1:1">
      <c r="A30204" s="27"/>
    </row>
    <row r="30205" spans="1:1">
      <c r="A30205" s="27"/>
    </row>
    <row r="30206" spans="1:1">
      <c r="A30206" s="27"/>
    </row>
    <row r="30207" spans="1:1">
      <c r="A30207" s="27"/>
    </row>
    <row r="30208" spans="1:1">
      <c r="A30208" s="27"/>
    </row>
    <row r="30209" spans="1:1">
      <c r="A30209" s="27"/>
    </row>
    <row r="30210" spans="1:1">
      <c r="A30210" s="27"/>
    </row>
    <row r="30211" spans="1:1">
      <c r="A30211" s="27"/>
    </row>
    <row r="30212" spans="1:1">
      <c r="A30212" s="27"/>
    </row>
    <row r="30213" spans="1:1">
      <c r="A30213" s="27"/>
    </row>
    <row r="30214" spans="1:1">
      <c r="A30214" s="27"/>
    </row>
    <row r="30215" spans="1:1">
      <c r="A30215" s="27"/>
    </row>
    <row r="30216" spans="1:1">
      <c r="A30216" s="27"/>
    </row>
    <row r="30217" spans="1:1">
      <c r="A30217" s="27"/>
    </row>
    <row r="30218" spans="1:1">
      <c r="A30218" s="27"/>
    </row>
    <row r="30219" spans="1:1">
      <c r="A30219" s="27"/>
    </row>
    <row r="30220" spans="1:1">
      <c r="A30220" s="27"/>
    </row>
    <row r="30221" spans="1:1">
      <c r="A30221" s="27"/>
    </row>
    <row r="30222" spans="1:1">
      <c r="A30222" s="27"/>
    </row>
    <row r="30223" spans="1:1">
      <c r="A30223" s="27"/>
    </row>
    <row r="30224" spans="1:1">
      <c r="A30224" s="27"/>
    </row>
    <row r="30225" spans="1:1">
      <c r="A30225" s="27"/>
    </row>
    <row r="30226" spans="1:1">
      <c r="A30226" s="27"/>
    </row>
    <row r="30227" spans="1:1">
      <c r="A30227" s="27"/>
    </row>
    <row r="30228" spans="1:1">
      <c r="A30228" s="27"/>
    </row>
    <row r="30229" spans="1:1">
      <c r="A30229" s="27"/>
    </row>
    <row r="30230" spans="1:1">
      <c r="A30230" s="27"/>
    </row>
    <row r="30231" spans="1:1">
      <c r="A30231" s="27"/>
    </row>
    <row r="30232" spans="1:1">
      <c r="A30232" s="27"/>
    </row>
    <row r="30233" spans="1:1">
      <c r="A30233" s="27"/>
    </row>
    <row r="30234" spans="1:1">
      <c r="A30234" s="27"/>
    </row>
    <row r="30235" spans="1:1">
      <c r="A30235" s="27"/>
    </row>
    <row r="30236" spans="1:1">
      <c r="A30236" s="27"/>
    </row>
    <row r="30237" spans="1:1">
      <c r="A30237" s="27"/>
    </row>
    <row r="30238" spans="1:1">
      <c r="A30238" s="27"/>
    </row>
    <row r="30239" spans="1:1">
      <c r="A30239" s="27"/>
    </row>
    <row r="30240" spans="1:1">
      <c r="A30240" s="27"/>
    </row>
    <row r="30241" spans="1:1">
      <c r="A30241" s="27"/>
    </row>
    <row r="30242" spans="1:1">
      <c r="A30242" s="27"/>
    </row>
    <row r="30243" spans="1:1">
      <c r="A30243" s="27"/>
    </row>
    <row r="30244" spans="1:1">
      <c r="A30244" s="27"/>
    </row>
    <row r="30245" spans="1:1">
      <c r="A30245" s="27"/>
    </row>
    <row r="30246" spans="1:1">
      <c r="A30246" s="27"/>
    </row>
    <row r="30247" spans="1:1">
      <c r="A30247" s="27"/>
    </row>
    <row r="30248" spans="1:1">
      <c r="A30248" s="27"/>
    </row>
    <row r="30249" spans="1:1">
      <c r="A30249" s="27"/>
    </row>
    <row r="30250" spans="1:1">
      <c r="A30250" s="27"/>
    </row>
    <row r="30251" spans="1:1">
      <c r="A30251" s="27"/>
    </row>
    <row r="30252" spans="1:1">
      <c r="A30252" s="27"/>
    </row>
    <row r="30253" spans="1:1">
      <c r="A30253" s="27"/>
    </row>
    <row r="30254" spans="1:1">
      <c r="A30254" s="27"/>
    </row>
    <row r="30255" spans="1:1">
      <c r="A30255" s="27"/>
    </row>
    <row r="30256" spans="1:1">
      <c r="A30256" s="27"/>
    </row>
    <row r="30257" spans="1:1">
      <c r="A30257" s="27"/>
    </row>
    <row r="30258" spans="1:1">
      <c r="A30258" s="27"/>
    </row>
    <row r="30259" spans="1:1">
      <c r="A30259" s="27"/>
    </row>
    <row r="30260" spans="1:1">
      <c r="A30260" s="27"/>
    </row>
    <row r="30261" spans="1:1">
      <c r="A30261" s="27"/>
    </row>
    <row r="30262" spans="1:1">
      <c r="A30262" s="27"/>
    </row>
    <row r="30263" spans="1:1">
      <c r="A30263" s="27"/>
    </row>
    <row r="30264" spans="1:1">
      <c r="A30264" s="27"/>
    </row>
    <row r="30265" spans="1:1">
      <c r="A30265" s="27"/>
    </row>
    <row r="30266" spans="1:1">
      <c r="A30266" s="27"/>
    </row>
    <row r="30267" spans="1:1">
      <c r="A30267" s="27"/>
    </row>
    <row r="30268" spans="1:1">
      <c r="A30268" s="27"/>
    </row>
    <row r="30269" spans="1:1">
      <c r="A30269" s="27"/>
    </row>
    <row r="30270" spans="1:1">
      <c r="A30270" s="27"/>
    </row>
    <row r="30271" spans="1:1">
      <c r="A30271" s="27"/>
    </row>
    <row r="30272" spans="1:1">
      <c r="A30272" s="27"/>
    </row>
    <row r="30273" spans="1:1">
      <c r="A30273" s="27"/>
    </row>
    <row r="30274" spans="1:1">
      <c r="A30274" s="27"/>
    </row>
    <row r="30275" spans="1:1">
      <c r="A30275" s="27"/>
    </row>
    <row r="30276" spans="1:1">
      <c r="A30276" s="27"/>
    </row>
    <row r="30277" spans="1:1">
      <c r="A30277" s="27"/>
    </row>
    <row r="30278" spans="1:1">
      <c r="A30278" s="27"/>
    </row>
    <row r="30279" spans="1:1">
      <c r="A30279" s="27"/>
    </row>
    <row r="30280" spans="1:1">
      <c r="A30280" s="27"/>
    </row>
    <row r="30281" spans="1:1">
      <c r="A30281" s="27"/>
    </row>
    <row r="30282" spans="1:1">
      <c r="A30282" s="27"/>
    </row>
    <row r="30283" spans="1:1">
      <c r="A30283" s="27"/>
    </row>
    <row r="30284" spans="1:1">
      <c r="A30284" s="27"/>
    </row>
    <row r="30285" spans="1:1">
      <c r="A30285" s="27"/>
    </row>
    <row r="30286" spans="1:1">
      <c r="A30286" s="27"/>
    </row>
    <row r="30287" spans="1:1">
      <c r="A30287" s="27"/>
    </row>
    <row r="30288" spans="1:1">
      <c r="A30288" s="27"/>
    </row>
    <row r="30289" spans="1:1">
      <c r="A30289" s="27"/>
    </row>
    <row r="30290" spans="1:1">
      <c r="A30290" s="27"/>
    </row>
    <row r="30291" spans="1:1">
      <c r="A30291" s="27"/>
    </row>
    <row r="30292" spans="1:1">
      <c r="A30292" s="27"/>
    </row>
    <row r="30293" spans="1:1">
      <c r="A30293" s="27"/>
    </row>
    <row r="30294" spans="1:1">
      <c r="A30294" s="27"/>
    </row>
    <row r="30295" spans="1:1">
      <c r="A30295" s="27"/>
    </row>
    <row r="30296" spans="1:1">
      <c r="A30296" s="27"/>
    </row>
    <row r="30297" spans="1:1">
      <c r="A30297" s="27"/>
    </row>
    <row r="30298" spans="1:1">
      <c r="A30298" s="27"/>
    </row>
    <row r="30299" spans="1:1">
      <c r="A30299" s="27"/>
    </row>
    <row r="30300" spans="1:1">
      <c r="A30300" s="27"/>
    </row>
    <row r="30301" spans="1:1">
      <c r="A30301" s="27"/>
    </row>
    <row r="30302" spans="1:1">
      <c r="A30302" s="27"/>
    </row>
    <row r="30303" spans="1:1">
      <c r="A30303" s="27"/>
    </row>
    <row r="30304" spans="1:1">
      <c r="A30304" s="27"/>
    </row>
    <row r="30305" spans="1:1">
      <c r="A30305" s="27"/>
    </row>
    <row r="30306" spans="1:1">
      <c r="A30306" s="27"/>
    </row>
    <row r="30307" spans="1:1">
      <c r="A30307" s="27"/>
    </row>
    <row r="30308" spans="1:1">
      <c r="A30308" s="27"/>
    </row>
    <row r="30309" spans="1:1">
      <c r="A30309" s="27"/>
    </row>
    <row r="30310" spans="1:1">
      <c r="A30310" s="27"/>
    </row>
    <row r="30311" spans="1:1">
      <c r="A30311" s="27"/>
    </row>
    <row r="30312" spans="1:1">
      <c r="A30312" s="27"/>
    </row>
    <row r="30313" spans="1:1">
      <c r="A30313" s="27"/>
    </row>
    <row r="30314" spans="1:1">
      <c r="A30314" s="27"/>
    </row>
    <row r="30315" spans="1:1">
      <c r="A30315" s="27"/>
    </row>
    <row r="30316" spans="1:1">
      <c r="A30316" s="27"/>
    </row>
    <row r="30317" spans="1:1">
      <c r="A30317" s="27"/>
    </row>
    <row r="30318" spans="1:1">
      <c r="A30318" s="27"/>
    </row>
    <row r="30319" spans="1:1">
      <c r="A30319" s="27"/>
    </row>
    <row r="30320" spans="1:1">
      <c r="A30320" s="27"/>
    </row>
    <row r="30321" spans="1:1">
      <c r="A30321" s="27"/>
    </row>
    <row r="30322" spans="1:1">
      <c r="A30322" s="27"/>
    </row>
    <row r="30323" spans="1:1">
      <c r="A30323" s="27"/>
    </row>
    <row r="30324" spans="1:1">
      <c r="A30324" s="27"/>
    </row>
    <row r="30325" spans="1:1">
      <c r="A30325" s="27"/>
    </row>
    <row r="30326" spans="1:1">
      <c r="A30326" s="27"/>
    </row>
    <row r="30327" spans="1:1">
      <c r="A30327" s="27"/>
    </row>
    <row r="30328" spans="1:1">
      <c r="A30328" s="27"/>
    </row>
    <row r="30329" spans="1:1">
      <c r="A30329" s="27"/>
    </row>
    <row r="30330" spans="1:1">
      <c r="A30330" s="27"/>
    </row>
    <row r="30331" spans="1:1">
      <c r="A30331" s="27"/>
    </row>
    <row r="30332" spans="1:1">
      <c r="A30332" s="27"/>
    </row>
    <row r="30333" spans="1:1">
      <c r="A30333" s="27"/>
    </row>
    <row r="30334" spans="1:1">
      <c r="A30334" s="27"/>
    </row>
    <row r="30335" spans="1:1">
      <c r="A30335" s="27"/>
    </row>
    <row r="30336" spans="1:1">
      <c r="A30336" s="27"/>
    </row>
    <row r="30337" spans="1:1">
      <c r="A30337" s="27"/>
    </row>
    <row r="30338" spans="1:1">
      <c r="A30338" s="27"/>
    </row>
    <row r="30339" spans="1:1">
      <c r="A30339" s="27"/>
    </row>
    <row r="30340" spans="1:1">
      <c r="A30340" s="27"/>
    </row>
    <row r="30341" spans="1:1">
      <c r="A30341" s="27"/>
    </row>
    <row r="30342" spans="1:1">
      <c r="A30342" s="27"/>
    </row>
    <row r="30343" spans="1:1">
      <c r="A30343" s="27"/>
    </row>
    <row r="30344" spans="1:1">
      <c r="A30344" s="27"/>
    </row>
    <row r="30345" spans="1:1">
      <c r="A30345" s="27"/>
    </row>
    <row r="30346" spans="1:1">
      <c r="A30346" s="27"/>
    </row>
    <row r="30347" spans="1:1">
      <c r="A30347" s="27"/>
    </row>
    <row r="30348" spans="1:1">
      <c r="A30348" s="27"/>
    </row>
    <row r="30349" spans="1:1">
      <c r="A30349" s="27"/>
    </row>
    <row r="30350" spans="1:1">
      <c r="A30350" s="27"/>
    </row>
    <row r="30351" spans="1:1">
      <c r="A30351" s="27"/>
    </row>
    <row r="30352" spans="1:1">
      <c r="A30352" s="27"/>
    </row>
    <row r="30353" spans="1:1">
      <c r="A30353" s="27"/>
    </row>
    <row r="30354" spans="1:1">
      <c r="A30354" s="27"/>
    </row>
    <row r="30355" spans="1:1">
      <c r="A30355" s="27"/>
    </row>
    <row r="30356" spans="1:1">
      <c r="A30356" s="27"/>
    </row>
    <row r="30357" spans="1:1">
      <c r="A30357" s="27"/>
    </row>
    <row r="30358" spans="1:1">
      <c r="A30358" s="27"/>
    </row>
    <row r="30359" spans="1:1">
      <c r="A30359" s="27"/>
    </row>
    <row r="30360" spans="1:1">
      <c r="A30360" s="27"/>
    </row>
    <row r="30361" spans="1:1">
      <c r="A30361" s="27"/>
    </row>
    <row r="30362" spans="1:1">
      <c r="A30362" s="27"/>
    </row>
    <row r="30363" spans="1:1">
      <c r="A30363" s="27"/>
    </row>
    <row r="30364" spans="1:1">
      <c r="A30364" s="27"/>
    </row>
    <row r="30365" spans="1:1">
      <c r="A30365" s="27"/>
    </row>
    <row r="30366" spans="1:1">
      <c r="A30366" s="27"/>
    </row>
    <row r="30367" spans="1:1">
      <c r="A30367" s="27"/>
    </row>
    <row r="30368" spans="1:1">
      <c r="A30368" s="27"/>
    </row>
    <row r="30369" spans="1:1">
      <c r="A30369" s="27"/>
    </row>
    <row r="30370" spans="1:1">
      <c r="A30370" s="27"/>
    </row>
    <row r="30371" spans="1:1">
      <c r="A30371" s="27"/>
    </row>
    <row r="30372" spans="1:1">
      <c r="A30372" s="27"/>
    </row>
    <row r="30373" spans="1:1">
      <c r="A30373" s="27"/>
    </row>
    <row r="30374" spans="1:1">
      <c r="A30374" s="27"/>
    </row>
    <row r="30375" spans="1:1">
      <c r="A30375" s="27"/>
    </row>
    <row r="30376" spans="1:1">
      <c r="A30376" s="27"/>
    </row>
    <row r="30377" spans="1:1">
      <c r="A30377" s="27"/>
    </row>
    <row r="30378" spans="1:1">
      <c r="A30378" s="27"/>
    </row>
    <row r="30379" spans="1:1">
      <c r="A30379" s="27"/>
    </row>
    <row r="30380" spans="1:1">
      <c r="A30380" s="27"/>
    </row>
    <row r="30381" spans="1:1">
      <c r="A30381" s="27"/>
    </row>
    <row r="30382" spans="1:1">
      <c r="A30382" s="27"/>
    </row>
    <row r="30383" spans="1:1">
      <c r="A30383" s="27"/>
    </row>
    <row r="30384" spans="1:1">
      <c r="A30384" s="27"/>
    </row>
    <row r="30385" spans="1:1">
      <c r="A30385" s="27"/>
    </row>
    <row r="30386" spans="1:1">
      <c r="A30386" s="27"/>
    </row>
    <row r="30387" spans="1:1">
      <c r="A30387" s="27"/>
    </row>
    <row r="30388" spans="1:1">
      <c r="A30388" s="27"/>
    </row>
    <row r="30389" spans="1:1">
      <c r="A30389" s="27"/>
    </row>
    <row r="30390" spans="1:1">
      <c r="A30390" s="27"/>
    </row>
    <row r="30391" spans="1:1">
      <c r="A30391" s="27"/>
    </row>
    <row r="30392" spans="1:1">
      <c r="A30392" s="27"/>
    </row>
    <row r="30393" spans="1:1">
      <c r="A30393" s="27"/>
    </row>
    <row r="30394" spans="1:1">
      <c r="A30394" s="27"/>
    </row>
    <row r="30395" spans="1:1">
      <c r="A30395" s="27"/>
    </row>
    <row r="30396" spans="1:1">
      <c r="A30396" s="27"/>
    </row>
    <row r="30397" spans="1:1">
      <c r="A30397" s="27"/>
    </row>
    <row r="30398" spans="1:1">
      <c r="A30398" s="27"/>
    </row>
    <row r="30399" spans="1:1">
      <c r="A30399" s="27"/>
    </row>
    <row r="30400" spans="1:1">
      <c r="A30400" s="27"/>
    </row>
    <row r="30401" spans="1:1">
      <c r="A30401" s="27"/>
    </row>
    <row r="30402" spans="1:1">
      <c r="A30402" s="27"/>
    </row>
    <row r="30403" spans="1:1">
      <c r="A30403" s="27"/>
    </row>
    <row r="30404" spans="1:1">
      <c r="A30404" s="27"/>
    </row>
    <row r="30405" spans="1:1">
      <c r="A30405" s="27"/>
    </row>
    <row r="30406" spans="1:1">
      <c r="A30406" s="27"/>
    </row>
    <row r="30407" spans="1:1">
      <c r="A30407" s="27"/>
    </row>
    <row r="30408" spans="1:1">
      <c r="A30408" s="27"/>
    </row>
    <row r="30409" spans="1:1">
      <c r="A30409" s="27"/>
    </row>
    <row r="30410" spans="1:1">
      <c r="A30410" s="27"/>
    </row>
    <row r="30411" spans="1:1">
      <c r="A30411" s="27"/>
    </row>
    <row r="30412" spans="1:1">
      <c r="A30412" s="27"/>
    </row>
    <row r="30413" spans="1:1">
      <c r="A30413" s="27"/>
    </row>
    <row r="30414" spans="1:1">
      <c r="A30414" s="27"/>
    </row>
    <row r="30415" spans="1:1">
      <c r="A30415" s="27"/>
    </row>
    <row r="30416" spans="1:1">
      <c r="A30416" s="27"/>
    </row>
    <row r="30417" spans="1:1">
      <c r="A30417" s="27"/>
    </row>
    <row r="30418" spans="1:1">
      <c r="A30418" s="27"/>
    </row>
    <row r="30419" spans="1:1">
      <c r="A30419" s="27"/>
    </row>
    <row r="30420" spans="1:1">
      <c r="A30420" s="27"/>
    </row>
    <row r="30421" spans="1:1">
      <c r="A30421" s="27"/>
    </row>
    <row r="30422" spans="1:1">
      <c r="A30422" s="27"/>
    </row>
    <row r="30423" spans="1:1">
      <c r="A30423" s="27"/>
    </row>
    <row r="30424" spans="1:1">
      <c r="A30424" s="27"/>
    </row>
    <row r="30425" spans="1:1">
      <c r="A30425" s="27"/>
    </row>
    <row r="30426" spans="1:1">
      <c r="A30426" s="27"/>
    </row>
    <row r="30427" spans="1:1">
      <c r="A30427" s="27"/>
    </row>
    <row r="30428" spans="1:1">
      <c r="A30428" s="27"/>
    </row>
    <row r="30429" spans="1:1">
      <c r="A30429" s="27"/>
    </row>
    <row r="30430" spans="1:1">
      <c r="A30430" s="27"/>
    </row>
    <row r="30431" spans="1:1">
      <c r="A30431" s="27"/>
    </row>
    <row r="30432" spans="1:1">
      <c r="A30432" s="27"/>
    </row>
    <row r="30433" spans="1:1">
      <c r="A30433" s="27"/>
    </row>
    <row r="30434" spans="1:1">
      <c r="A30434" s="27"/>
    </row>
    <row r="30435" spans="1:1">
      <c r="A30435" s="27"/>
    </row>
    <row r="30436" spans="1:1">
      <c r="A30436" s="27"/>
    </row>
    <row r="30437" spans="1:1">
      <c r="A30437" s="27"/>
    </row>
    <row r="30438" spans="1:1">
      <c r="A30438" s="27"/>
    </row>
    <row r="30439" spans="1:1">
      <c r="A30439" s="27"/>
    </row>
    <row r="30440" spans="1:1">
      <c r="A30440" s="27"/>
    </row>
    <row r="30441" spans="1:1">
      <c r="A30441" s="27"/>
    </row>
    <row r="30442" spans="1:1">
      <c r="A30442" s="27"/>
    </row>
    <row r="30443" spans="1:1">
      <c r="A30443" s="27"/>
    </row>
    <row r="30444" spans="1:1">
      <c r="A30444" s="27"/>
    </row>
    <row r="30445" spans="1:1">
      <c r="A30445" s="27"/>
    </row>
    <row r="30446" spans="1:1">
      <c r="A30446" s="27"/>
    </row>
    <row r="30447" spans="1:1">
      <c r="A30447" s="27"/>
    </row>
    <row r="30448" spans="1:1">
      <c r="A30448" s="27"/>
    </row>
    <row r="30449" spans="1:1">
      <c r="A30449" s="27"/>
    </row>
    <row r="30450" spans="1:1">
      <c r="A30450" s="27"/>
    </row>
    <row r="30451" spans="1:1">
      <c r="A30451" s="27"/>
    </row>
    <row r="30452" spans="1:1">
      <c r="A30452" s="27"/>
    </row>
    <row r="30453" spans="1:1">
      <c r="A30453" s="27"/>
    </row>
    <row r="30454" spans="1:1">
      <c r="A30454" s="27"/>
    </row>
    <row r="30455" spans="1:1">
      <c r="A30455" s="27"/>
    </row>
    <row r="30456" spans="1:1">
      <c r="A30456" s="27"/>
    </row>
    <row r="30457" spans="1:1">
      <c r="A30457" s="27"/>
    </row>
    <row r="30458" spans="1:1">
      <c r="A30458" s="27"/>
    </row>
    <row r="30459" spans="1:1">
      <c r="A30459" s="27"/>
    </row>
    <row r="30460" spans="1:1">
      <c r="A30460" s="27"/>
    </row>
    <row r="30461" spans="1:1">
      <c r="A30461" s="27"/>
    </row>
    <row r="30462" spans="1:1">
      <c r="A30462" s="27"/>
    </row>
    <row r="30463" spans="1:1">
      <c r="A30463" s="27"/>
    </row>
    <row r="30464" spans="1:1">
      <c r="A30464" s="27"/>
    </row>
    <row r="30465" spans="1:1">
      <c r="A30465" s="27"/>
    </row>
    <row r="30466" spans="1:1">
      <c r="A30466" s="27"/>
    </row>
    <row r="30467" spans="1:1">
      <c r="A30467" s="27"/>
    </row>
    <row r="30468" spans="1:1">
      <c r="A30468" s="27"/>
    </row>
    <row r="30469" spans="1:1">
      <c r="A30469" s="27"/>
    </row>
    <row r="30470" spans="1:1">
      <c r="A30470" s="27"/>
    </row>
    <row r="30471" spans="1:1">
      <c r="A30471" s="27"/>
    </row>
    <row r="30472" spans="1:1">
      <c r="A30472" s="27"/>
    </row>
    <row r="30473" spans="1:1">
      <c r="A30473" s="27"/>
    </row>
    <row r="30474" spans="1:1">
      <c r="A30474" s="27"/>
    </row>
    <row r="30475" spans="1:1">
      <c r="A30475" s="27"/>
    </row>
    <row r="30476" spans="1:1">
      <c r="A30476" s="27"/>
    </row>
    <row r="30477" spans="1:1">
      <c r="A30477" s="27"/>
    </row>
    <row r="30478" spans="1:1">
      <c r="A30478" s="27"/>
    </row>
    <row r="30479" spans="1:1">
      <c r="A30479" s="27"/>
    </row>
    <row r="30480" spans="1:1">
      <c r="A30480" s="27"/>
    </row>
    <row r="30481" spans="1:1">
      <c r="A30481" s="27"/>
    </row>
    <row r="30482" spans="1:1">
      <c r="A30482" s="27"/>
    </row>
    <row r="30483" spans="1:1">
      <c r="A30483" s="27"/>
    </row>
    <row r="30484" spans="1:1">
      <c r="A30484" s="27"/>
    </row>
    <row r="30485" spans="1:1">
      <c r="A30485" s="27"/>
    </row>
    <row r="30486" spans="1:1">
      <c r="A30486" s="27"/>
    </row>
    <row r="30487" spans="1:1">
      <c r="A30487" s="27"/>
    </row>
    <row r="30488" spans="1:1">
      <c r="A30488" s="27"/>
    </row>
    <row r="30489" spans="1:1">
      <c r="A30489" s="27"/>
    </row>
    <row r="30490" spans="1:1">
      <c r="A30490" s="27"/>
    </row>
    <row r="30491" spans="1:1">
      <c r="A30491" s="27"/>
    </row>
    <row r="30492" spans="1:1">
      <c r="A30492" s="27"/>
    </row>
    <row r="30493" spans="1:1">
      <c r="A30493" s="27"/>
    </row>
    <row r="30494" spans="1:1">
      <c r="A30494" s="27"/>
    </row>
    <row r="30495" spans="1:1">
      <c r="A30495" s="27"/>
    </row>
    <row r="30496" spans="1:1">
      <c r="A30496" s="27"/>
    </row>
    <row r="30497" spans="1:1">
      <c r="A30497" s="27"/>
    </row>
    <row r="30498" spans="1:1">
      <c r="A30498" s="27"/>
    </row>
    <row r="30499" spans="1:1">
      <c r="A30499" s="27"/>
    </row>
    <row r="30500" spans="1:1">
      <c r="A30500" s="27"/>
    </row>
    <row r="30501" spans="1:1">
      <c r="A30501" s="27"/>
    </row>
    <row r="30502" spans="1:1">
      <c r="A30502" s="27"/>
    </row>
    <row r="30503" spans="1:1">
      <c r="A30503" s="27"/>
    </row>
    <row r="30504" spans="1:1">
      <c r="A30504" s="27"/>
    </row>
    <row r="30505" spans="1:1">
      <c r="A30505" s="27"/>
    </row>
    <row r="30506" spans="1:1">
      <c r="A30506" s="27"/>
    </row>
    <row r="30507" spans="1:1">
      <c r="A30507" s="27"/>
    </row>
    <row r="30508" spans="1:1">
      <c r="A30508" s="27"/>
    </row>
    <row r="30509" spans="1:1">
      <c r="A30509" s="27"/>
    </row>
    <row r="30510" spans="1:1">
      <c r="A30510" s="27"/>
    </row>
    <row r="30511" spans="1:1">
      <c r="A30511" s="27"/>
    </row>
    <row r="30512" spans="1:1">
      <c r="A30512" s="27"/>
    </row>
    <row r="30513" spans="1:1">
      <c r="A30513" s="27"/>
    </row>
    <row r="30514" spans="1:1">
      <c r="A30514" s="27"/>
    </row>
    <row r="30515" spans="1:1">
      <c r="A30515" s="27"/>
    </row>
    <row r="30516" spans="1:1">
      <c r="A30516" s="27"/>
    </row>
    <row r="30517" spans="1:1">
      <c r="A30517" s="27"/>
    </row>
    <row r="30518" spans="1:1">
      <c r="A30518" s="27"/>
    </row>
    <row r="30519" spans="1:1">
      <c r="A30519" s="27"/>
    </row>
    <row r="30520" spans="1:1">
      <c r="A30520" s="27"/>
    </row>
    <row r="30521" spans="1:1">
      <c r="A30521" s="27"/>
    </row>
    <row r="30522" spans="1:1">
      <c r="A30522" s="27"/>
    </row>
    <row r="30523" spans="1:1">
      <c r="A30523" s="27"/>
    </row>
    <row r="30524" spans="1:1">
      <c r="A30524" s="27"/>
    </row>
    <row r="30525" spans="1:1">
      <c r="A30525" s="27"/>
    </row>
    <row r="30526" spans="1:1">
      <c r="A30526" s="27"/>
    </row>
    <row r="30527" spans="1:1">
      <c r="A30527" s="27"/>
    </row>
    <row r="30528" spans="1:1">
      <c r="A30528" s="27"/>
    </row>
    <row r="30529" spans="1:1">
      <c r="A30529" s="27"/>
    </row>
    <row r="30530" spans="1:1">
      <c r="A30530" s="27"/>
    </row>
    <row r="30531" spans="1:1">
      <c r="A30531" s="27"/>
    </row>
    <row r="30532" spans="1:1">
      <c r="A30532" s="27"/>
    </row>
    <row r="30533" spans="1:1">
      <c r="A30533" s="27"/>
    </row>
    <row r="30534" spans="1:1">
      <c r="A30534" s="27"/>
    </row>
    <row r="30535" spans="1:1">
      <c r="A30535" s="27"/>
    </row>
    <row r="30536" spans="1:1">
      <c r="A30536" s="27"/>
    </row>
    <row r="30537" spans="1:1">
      <c r="A30537" s="27"/>
    </row>
    <row r="30538" spans="1:1">
      <c r="A30538" s="27"/>
    </row>
    <row r="30539" spans="1:1">
      <c r="A30539" s="27"/>
    </row>
    <row r="30540" spans="1:1">
      <c r="A30540" s="27"/>
    </row>
    <row r="30541" spans="1:1">
      <c r="A30541" s="27"/>
    </row>
    <row r="30542" spans="1:1">
      <c r="A30542" s="27"/>
    </row>
    <row r="30543" spans="1:1">
      <c r="A30543" s="27"/>
    </row>
    <row r="30544" spans="1:1">
      <c r="A30544" s="27"/>
    </row>
    <row r="30545" spans="1:1">
      <c r="A30545" s="27"/>
    </row>
    <row r="30546" spans="1:1">
      <c r="A30546" s="27"/>
    </row>
    <row r="30547" spans="1:1">
      <c r="A30547" s="27"/>
    </row>
    <row r="30548" spans="1:1">
      <c r="A30548" s="27"/>
    </row>
    <row r="30549" spans="1:1">
      <c r="A30549" s="27"/>
    </row>
    <row r="30550" spans="1:1">
      <c r="A30550" s="27"/>
    </row>
    <row r="30551" spans="1:1">
      <c r="A30551" s="27"/>
    </row>
    <row r="30552" spans="1:1">
      <c r="A30552" s="27"/>
    </row>
    <row r="30553" spans="1:1">
      <c r="A30553" s="27"/>
    </row>
    <row r="30554" spans="1:1">
      <c r="A30554" s="27"/>
    </row>
    <row r="30555" spans="1:1">
      <c r="A30555" s="27"/>
    </row>
    <row r="30556" spans="1:1">
      <c r="A30556" s="27"/>
    </row>
    <row r="30557" spans="1:1">
      <c r="A30557" s="27"/>
    </row>
    <row r="30558" spans="1:1">
      <c r="A30558" s="27"/>
    </row>
    <row r="30559" spans="1:1">
      <c r="A30559" s="27"/>
    </row>
    <row r="30560" spans="1:1">
      <c r="A30560" s="27"/>
    </row>
    <row r="30561" spans="1:1">
      <c r="A30561" s="27"/>
    </row>
    <row r="30562" spans="1:1">
      <c r="A30562" s="27"/>
    </row>
    <row r="30563" spans="1:1">
      <c r="A30563" s="27"/>
    </row>
    <row r="30564" spans="1:1">
      <c r="A30564" s="27"/>
    </row>
    <row r="30565" spans="1:1">
      <c r="A30565" s="27"/>
    </row>
    <row r="30566" spans="1:1">
      <c r="A30566" s="27"/>
    </row>
    <row r="30567" spans="1:1">
      <c r="A30567" s="27"/>
    </row>
    <row r="30568" spans="1:1">
      <c r="A30568" s="27"/>
    </row>
    <row r="30569" spans="1:1">
      <c r="A30569" s="27"/>
    </row>
    <row r="30570" spans="1:1">
      <c r="A30570" s="27"/>
    </row>
    <row r="30571" spans="1:1">
      <c r="A30571" s="27"/>
    </row>
    <row r="30572" spans="1:1">
      <c r="A30572" s="27"/>
    </row>
    <row r="30573" spans="1:1">
      <c r="A30573" s="27"/>
    </row>
    <row r="30574" spans="1:1">
      <c r="A30574" s="27"/>
    </row>
    <row r="30575" spans="1:1">
      <c r="A30575" s="27"/>
    </row>
    <row r="30576" spans="1:1">
      <c r="A30576" s="27"/>
    </row>
    <row r="30577" spans="1:1">
      <c r="A30577" s="27"/>
    </row>
    <row r="30578" spans="1:1">
      <c r="A30578" s="27"/>
    </row>
    <row r="30579" spans="1:1">
      <c r="A30579" s="27"/>
    </row>
    <row r="30580" spans="1:1">
      <c r="A30580" s="27"/>
    </row>
    <row r="30581" spans="1:1">
      <c r="A30581" s="27"/>
    </row>
    <row r="30582" spans="1:1">
      <c r="A30582" s="27"/>
    </row>
    <row r="30583" spans="1:1">
      <c r="A30583" s="27"/>
    </row>
    <row r="30584" spans="1:1">
      <c r="A30584" s="27"/>
    </row>
    <row r="30585" spans="1:1">
      <c r="A30585" s="27"/>
    </row>
    <row r="30586" spans="1:1">
      <c r="A30586" s="27"/>
    </row>
    <row r="30587" spans="1:1">
      <c r="A30587" s="27"/>
    </row>
    <row r="30588" spans="1:1">
      <c r="A30588" s="27"/>
    </row>
    <row r="30589" spans="1:1">
      <c r="A30589" s="27"/>
    </row>
    <row r="30590" spans="1:1">
      <c r="A30590" s="27"/>
    </row>
    <row r="30591" spans="1:1">
      <c r="A30591" s="27"/>
    </row>
    <row r="30592" spans="1:1">
      <c r="A30592" s="27"/>
    </row>
    <row r="30593" spans="1:1">
      <c r="A30593" s="27"/>
    </row>
    <row r="30594" spans="1:1">
      <c r="A30594" s="27"/>
    </row>
    <row r="30595" spans="1:1">
      <c r="A30595" s="27"/>
    </row>
    <row r="30596" spans="1:1">
      <c r="A30596" s="27"/>
    </row>
    <row r="30597" spans="1:1">
      <c r="A30597" s="27"/>
    </row>
    <row r="30598" spans="1:1">
      <c r="A30598" s="27"/>
    </row>
    <row r="30599" spans="1:1">
      <c r="A30599" s="27"/>
    </row>
    <row r="30600" spans="1:1">
      <c r="A30600" s="27"/>
    </row>
    <row r="30601" spans="1:1">
      <c r="A30601" s="27"/>
    </row>
    <row r="30602" spans="1:1">
      <c r="A30602" s="27"/>
    </row>
    <row r="30603" spans="1:1">
      <c r="A30603" s="27"/>
    </row>
    <row r="30604" spans="1:1">
      <c r="A30604" s="27"/>
    </row>
    <row r="30605" spans="1:1">
      <c r="A30605" s="27"/>
    </row>
    <row r="30606" spans="1:1">
      <c r="A30606" s="27"/>
    </row>
    <row r="30607" spans="1:1">
      <c r="A30607" s="27"/>
    </row>
    <row r="30608" spans="1:1">
      <c r="A30608" s="27"/>
    </row>
    <row r="30609" spans="1:1">
      <c r="A30609" s="27"/>
    </row>
    <row r="30610" spans="1:1">
      <c r="A30610" s="27"/>
    </row>
    <row r="30611" spans="1:1">
      <c r="A30611" s="27"/>
    </row>
    <row r="30612" spans="1:1">
      <c r="A30612" s="27"/>
    </row>
    <row r="30613" spans="1:1">
      <c r="A30613" s="27"/>
    </row>
    <row r="30614" spans="1:1">
      <c r="A30614" s="27"/>
    </row>
    <row r="30615" spans="1:1">
      <c r="A30615" s="27"/>
    </row>
    <row r="30616" spans="1:1">
      <c r="A30616" s="27"/>
    </row>
    <row r="30617" spans="1:1">
      <c r="A30617" s="27"/>
    </row>
    <row r="30618" spans="1:1">
      <c r="A30618" s="27"/>
    </row>
    <row r="30619" spans="1:1">
      <c r="A30619" s="27"/>
    </row>
    <row r="30620" spans="1:1">
      <c r="A30620" s="27"/>
    </row>
    <row r="30621" spans="1:1">
      <c r="A30621" s="27"/>
    </row>
    <row r="30622" spans="1:1">
      <c r="A30622" s="27"/>
    </row>
    <row r="30623" spans="1:1">
      <c r="A30623" s="27"/>
    </row>
    <row r="30624" spans="1:1">
      <c r="A30624" s="27"/>
    </row>
    <row r="30625" spans="1:1">
      <c r="A30625" s="27"/>
    </row>
    <row r="30626" spans="1:1">
      <c r="A30626" s="27"/>
    </row>
    <row r="30627" spans="1:1">
      <c r="A30627" s="27"/>
    </row>
    <row r="30628" spans="1:1">
      <c r="A30628" s="27"/>
    </row>
    <row r="30629" spans="1:1">
      <c r="A30629" s="27"/>
    </row>
    <row r="30630" spans="1:1">
      <c r="A30630" s="27"/>
    </row>
    <row r="30631" spans="1:1">
      <c r="A30631" s="27"/>
    </row>
    <row r="30632" spans="1:1">
      <c r="A30632" s="27"/>
    </row>
    <row r="30633" spans="1:1">
      <c r="A30633" s="27"/>
    </row>
    <row r="30634" spans="1:1">
      <c r="A30634" s="27"/>
    </row>
    <row r="30635" spans="1:1">
      <c r="A30635" s="27"/>
    </row>
    <row r="30636" spans="1:1">
      <c r="A30636" s="27"/>
    </row>
    <row r="30637" spans="1:1">
      <c r="A30637" s="27"/>
    </row>
    <row r="30638" spans="1:1">
      <c r="A30638" s="27"/>
    </row>
    <row r="30639" spans="1:1">
      <c r="A30639" s="27"/>
    </row>
    <row r="30640" spans="1:1">
      <c r="A30640" s="27"/>
    </row>
    <row r="30641" spans="1:1">
      <c r="A30641" s="27"/>
    </row>
    <row r="30642" spans="1:1">
      <c r="A30642" s="27"/>
    </row>
    <row r="30643" spans="1:1">
      <c r="A30643" s="27"/>
    </row>
    <row r="30644" spans="1:1">
      <c r="A30644" s="27"/>
    </row>
    <row r="30645" spans="1:1">
      <c r="A30645" s="27"/>
    </row>
    <row r="30646" spans="1:1">
      <c r="A30646" s="27"/>
    </row>
    <row r="30647" spans="1:1">
      <c r="A30647" s="27"/>
    </row>
    <row r="30648" spans="1:1">
      <c r="A30648" s="27"/>
    </row>
    <row r="30649" spans="1:1">
      <c r="A30649" s="27"/>
    </row>
    <row r="30650" spans="1:1">
      <c r="A30650" s="27"/>
    </row>
    <row r="30651" spans="1:1">
      <c r="A30651" s="27"/>
    </row>
    <row r="30652" spans="1:1">
      <c r="A30652" s="27"/>
    </row>
    <row r="30653" spans="1:1">
      <c r="A30653" s="27"/>
    </row>
    <row r="30654" spans="1:1">
      <c r="A30654" s="27"/>
    </row>
    <row r="30655" spans="1:1">
      <c r="A30655" s="27"/>
    </row>
    <row r="30656" spans="1:1">
      <c r="A30656" s="27"/>
    </row>
    <row r="30657" spans="1:1">
      <c r="A30657" s="27"/>
    </row>
    <row r="30658" spans="1:1">
      <c r="A30658" s="27"/>
    </row>
    <row r="30659" spans="1:1">
      <c r="A30659" s="27"/>
    </row>
    <row r="30660" spans="1:1">
      <c r="A30660" s="27"/>
    </row>
    <row r="30661" spans="1:1">
      <c r="A30661" s="27"/>
    </row>
    <row r="30662" spans="1:1">
      <c r="A30662" s="27"/>
    </row>
    <row r="30663" spans="1:1">
      <c r="A30663" s="27"/>
    </row>
    <row r="30664" spans="1:1">
      <c r="A30664" s="27"/>
    </row>
    <row r="30665" spans="1:1">
      <c r="A30665" s="27"/>
    </row>
    <row r="30666" spans="1:1">
      <c r="A30666" s="27"/>
    </row>
    <row r="30667" spans="1:1">
      <c r="A30667" s="27"/>
    </row>
    <row r="30668" spans="1:1">
      <c r="A30668" s="27"/>
    </row>
    <row r="30669" spans="1:1">
      <c r="A30669" s="27"/>
    </row>
    <row r="30670" spans="1:1">
      <c r="A30670" s="27"/>
    </row>
    <row r="30671" spans="1:1">
      <c r="A30671" s="27"/>
    </row>
    <row r="30672" spans="1:1">
      <c r="A30672" s="27"/>
    </row>
    <row r="30673" spans="1:1">
      <c r="A30673" s="27"/>
    </row>
    <row r="30674" spans="1:1">
      <c r="A30674" s="27"/>
    </row>
    <row r="30675" spans="1:1">
      <c r="A30675" s="27"/>
    </row>
    <row r="30676" spans="1:1">
      <c r="A30676" s="27"/>
    </row>
    <row r="30677" spans="1:1">
      <c r="A30677" s="27"/>
    </row>
    <row r="30678" spans="1:1">
      <c r="A30678" s="27"/>
    </row>
    <row r="30679" spans="1:1">
      <c r="A30679" s="27"/>
    </row>
    <row r="30680" spans="1:1">
      <c r="A30680" s="27"/>
    </row>
    <row r="30681" spans="1:1">
      <c r="A30681" s="27"/>
    </row>
    <row r="30682" spans="1:1">
      <c r="A30682" s="27"/>
    </row>
    <row r="30683" spans="1:1">
      <c r="A30683" s="27"/>
    </row>
    <row r="30684" spans="1:1">
      <c r="A30684" s="27"/>
    </row>
    <row r="30685" spans="1:1">
      <c r="A30685" s="27"/>
    </row>
    <row r="30686" spans="1:1">
      <c r="A30686" s="27"/>
    </row>
    <row r="30687" spans="1:1">
      <c r="A30687" s="27"/>
    </row>
    <row r="30688" spans="1:1">
      <c r="A30688" s="27"/>
    </row>
    <row r="30689" spans="1:1">
      <c r="A30689" s="27"/>
    </row>
    <row r="30690" spans="1:1">
      <c r="A30690" s="27"/>
    </row>
    <row r="30691" spans="1:1">
      <c r="A30691" s="27"/>
    </row>
    <row r="30692" spans="1:1">
      <c r="A30692" s="27"/>
    </row>
    <row r="30693" spans="1:1">
      <c r="A30693" s="27"/>
    </row>
    <row r="30694" spans="1:1">
      <c r="A30694" s="27"/>
    </row>
    <row r="30695" spans="1:1">
      <c r="A30695" s="27"/>
    </row>
    <row r="30696" spans="1:1">
      <c r="A30696" s="27"/>
    </row>
    <row r="30697" spans="1:1">
      <c r="A30697" s="27"/>
    </row>
    <row r="30698" spans="1:1">
      <c r="A30698" s="27"/>
    </row>
    <row r="30699" spans="1:1">
      <c r="A30699" s="27"/>
    </row>
    <row r="30700" spans="1:1">
      <c r="A30700" s="27"/>
    </row>
    <row r="30701" spans="1:1">
      <c r="A30701" s="27"/>
    </row>
    <row r="30702" spans="1:1">
      <c r="A30702" s="27"/>
    </row>
    <row r="30703" spans="1:1">
      <c r="A30703" s="27"/>
    </row>
    <row r="30704" spans="1:1">
      <c r="A30704" s="27"/>
    </row>
    <row r="30705" spans="1:1">
      <c r="A30705" s="27"/>
    </row>
    <row r="30706" spans="1:1">
      <c r="A30706" s="27"/>
    </row>
    <row r="30707" spans="1:1">
      <c r="A30707" s="27"/>
    </row>
    <row r="30708" spans="1:1">
      <c r="A30708" s="27"/>
    </row>
    <row r="30709" spans="1:1">
      <c r="A30709" s="27"/>
    </row>
    <row r="30710" spans="1:1">
      <c r="A30710" s="27"/>
    </row>
    <row r="30711" spans="1:1">
      <c r="A30711" s="27"/>
    </row>
    <row r="30712" spans="1:1">
      <c r="A30712" s="27"/>
    </row>
    <row r="30713" spans="1:1">
      <c r="A30713" s="27"/>
    </row>
    <row r="30714" spans="1:1">
      <c r="A30714" s="27"/>
    </row>
    <row r="30715" spans="1:1">
      <c r="A30715" s="27"/>
    </row>
    <row r="30716" spans="1:1">
      <c r="A30716" s="27"/>
    </row>
    <row r="30717" spans="1:1">
      <c r="A30717" s="27"/>
    </row>
    <row r="30718" spans="1:1">
      <c r="A30718" s="27"/>
    </row>
    <row r="30719" spans="1:1">
      <c r="A30719" s="27"/>
    </row>
    <row r="30720" spans="1:1">
      <c r="A30720" s="27"/>
    </row>
    <row r="30721" spans="1:1">
      <c r="A30721" s="27"/>
    </row>
    <row r="30722" spans="1:1">
      <c r="A30722" s="27"/>
    </row>
    <row r="30723" spans="1:1">
      <c r="A30723" s="27"/>
    </row>
    <row r="30724" spans="1:1">
      <c r="A30724" s="27"/>
    </row>
    <row r="30725" spans="1:1">
      <c r="A30725" s="27"/>
    </row>
    <row r="30726" spans="1:1">
      <c r="A30726" s="27"/>
    </row>
    <row r="30727" spans="1:1">
      <c r="A30727" s="27"/>
    </row>
    <row r="30728" spans="1:1">
      <c r="A30728" s="27"/>
    </row>
    <row r="30729" spans="1:1">
      <c r="A30729" s="27"/>
    </row>
    <row r="30730" spans="1:1">
      <c r="A30730" s="27"/>
    </row>
    <row r="30731" spans="1:1">
      <c r="A30731" s="27"/>
    </row>
    <row r="30732" spans="1:1">
      <c r="A30732" s="27"/>
    </row>
    <row r="30733" spans="1:1">
      <c r="A30733" s="27"/>
    </row>
    <row r="30734" spans="1:1">
      <c r="A30734" s="27"/>
    </row>
    <row r="30735" spans="1:1">
      <c r="A30735" s="27"/>
    </row>
    <row r="30736" spans="1:1">
      <c r="A30736" s="27"/>
    </row>
    <row r="30737" spans="1:1">
      <c r="A30737" s="27"/>
    </row>
    <row r="30738" spans="1:1">
      <c r="A30738" s="27"/>
    </row>
    <row r="30739" spans="1:1">
      <c r="A30739" s="27"/>
    </row>
    <row r="30740" spans="1:1">
      <c r="A30740" s="27"/>
    </row>
    <row r="30741" spans="1:1">
      <c r="A30741" s="27"/>
    </row>
    <row r="30742" spans="1:1">
      <c r="A30742" s="27"/>
    </row>
    <row r="30743" spans="1:1">
      <c r="A30743" s="27"/>
    </row>
    <row r="30744" spans="1:1">
      <c r="A30744" s="27"/>
    </row>
    <row r="30745" spans="1:1">
      <c r="A30745" s="27"/>
    </row>
    <row r="30746" spans="1:1">
      <c r="A30746" s="27"/>
    </row>
    <row r="30747" spans="1:1">
      <c r="A30747" s="27"/>
    </row>
    <row r="30748" spans="1:1">
      <c r="A30748" s="27"/>
    </row>
    <row r="30749" spans="1:1">
      <c r="A30749" s="27"/>
    </row>
    <row r="30750" spans="1:1">
      <c r="A30750" s="27"/>
    </row>
    <row r="30751" spans="1:1">
      <c r="A30751" s="27"/>
    </row>
    <row r="30752" spans="1:1">
      <c r="A30752" s="27"/>
    </row>
    <row r="30753" spans="1:1">
      <c r="A30753" s="27"/>
    </row>
    <row r="30754" spans="1:1">
      <c r="A30754" s="27"/>
    </row>
    <row r="30755" spans="1:1">
      <c r="A30755" s="27"/>
    </row>
    <row r="30756" spans="1:1">
      <c r="A30756" s="27"/>
    </row>
    <row r="30757" spans="1:1">
      <c r="A30757" s="27"/>
    </row>
    <row r="30758" spans="1:1">
      <c r="A30758" s="27"/>
    </row>
    <row r="30759" spans="1:1">
      <c r="A30759" s="27"/>
    </row>
    <row r="30760" spans="1:1">
      <c r="A30760" s="27"/>
    </row>
    <row r="30761" spans="1:1">
      <c r="A30761" s="27"/>
    </row>
    <row r="30762" spans="1:1">
      <c r="A30762" s="27"/>
    </row>
    <row r="30763" spans="1:1">
      <c r="A30763" s="27"/>
    </row>
    <row r="30764" spans="1:1">
      <c r="A30764" s="27"/>
    </row>
    <row r="30765" spans="1:1">
      <c r="A30765" s="27"/>
    </row>
    <row r="30766" spans="1:1">
      <c r="A30766" s="27"/>
    </row>
    <row r="30767" spans="1:1">
      <c r="A30767" s="27"/>
    </row>
    <row r="30768" spans="1:1">
      <c r="A30768" s="27"/>
    </row>
    <row r="30769" spans="1:1">
      <c r="A30769" s="27"/>
    </row>
    <row r="30770" spans="1:1">
      <c r="A30770" s="27"/>
    </row>
    <row r="30771" spans="1:1">
      <c r="A30771" s="27"/>
    </row>
    <row r="30772" spans="1:1">
      <c r="A30772" s="27"/>
    </row>
    <row r="30773" spans="1:1">
      <c r="A30773" s="27"/>
    </row>
    <row r="30774" spans="1:1">
      <c r="A30774" s="27"/>
    </row>
    <row r="30775" spans="1:1">
      <c r="A30775" s="27"/>
    </row>
    <row r="30776" spans="1:1">
      <c r="A30776" s="27"/>
    </row>
    <row r="30777" spans="1:1">
      <c r="A30777" s="27"/>
    </row>
    <row r="30778" spans="1:1">
      <c r="A30778" s="27"/>
    </row>
    <row r="30779" spans="1:1">
      <c r="A30779" s="27"/>
    </row>
    <row r="30780" spans="1:1">
      <c r="A30780" s="27"/>
    </row>
    <row r="30781" spans="1:1">
      <c r="A30781" s="27"/>
    </row>
    <row r="30782" spans="1:1">
      <c r="A30782" s="27"/>
    </row>
    <row r="30783" spans="1:1">
      <c r="A30783" s="27"/>
    </row>
    <row r="30784" spans="1:1">
      <c r="A30784" s="27"/>
    </row>
    <row r="30785" spans="1:1">
      <c r="A30785" s="27"/>
    </row>
    <row r="30786" spans="1:1">
      <c r="A30786" s="27"/>
    </row>
    <row r="30787" spans="1:1">
      <c r="A30787" s="27"/>
    </row>
    <row r="30788" spans="1:1">
      <c r="A30788" s="27"/>
    </row>
    <row r="30789" spans="1:1">
      <c r="A30789" s="27"/>
    </row>
    <row r="30790" spans="1:1">
      <c r="A30790" s="27"/>
    </row>
    <row r="30791" spans="1:1">
      <c r="A30791" s="27"/>
    </row>
    <row r="30792" spans="1:1">
      <c r="A30792" s="27"/>
    </row>
    <row r="30793" spans="1:1">
      <c r="A30793" s="27"/>
    </row>
    <row r="30794" spans="1:1">
      <c r="A30794" s="27"/>
    </row>
    <row r="30795" spans="1:1">
      <c r="A30795" s="27"/>
    </row>
    <row r="30796" spans="1:1">
      <c r="A30796" s="27"/>
    </row>
    <row r="30797" spans="1:1">
      <c r="A30797" s="27"/>
    </row>
    <row r="30798" spans="1:1">
      <c r="A30798" s="27"/>
    </row>
    <row r="30799" spans="1:1">
      <c r="A30799" s="27"/>
    </row>
    <row r="30800" spans="1:1">
      <c r="A30800" s="27"/>
    </row>
    <row r="30801" spans="1:1">
      <c r="A30801" s="27"/>
    </row>
    <row r="30802" spans="1:1">
      <c r="A30802" s="27"/>
    </row>
    <row r="30803" spans="1:1">
      <c r="A30803" s="27"/>
    </row>
    <row r="30804" spans="1:1">
      <c r="A30804" s="27"/>
    </row>
    <row r="30805" spans="1:1">
      <c r="A30805" s="27"/>
    </row>
    <row r="30806" spans="1:1">
      <c r="A30806" s="27"/>
    </row>
    <row r="30807" spans="1:1">
      <c r="A30807" s="27"/>
    </row>
    <row r="30808" spans="1:1">
      <c r="A30808" s="27"/>
    </row>
    <row r="30809" spans="1:1">
      <c r="A30809" s="27"/>
    </row>
    <row r="30810" spans="1:1">
      <c r="A30810" s="27"/>
    </row>
    <row r="30811" spans="1:1">
      <c r="A30811" s="27"/>
    </row>
    <row r="30812" spans="1:1">
      <c r="A30812" s="27"/>
    </row>
    <row r="30813" spans="1:1">
      <c r="A30813" s="27"/>
    </row>
    <row r="30814" spans="1:1">
      <c r="A30814" s="27"/>
    </row>
    <row r="30815" spans="1:1">
      <c r="A30815" s="27"/>
    </row>
    <row r="30816" spans="1:1">
      <c r="A30816" s="27"/>
    </row>
    <row r="30817" spans="1:1">
      <c r="A30817" s="27"/>
    </row>
    <row r="30818" spans="1:1">
      <c r="A30818" s="27"/>
    </row>
    <row r="30819" spans="1:1">
      <c r="A30819" s="27"/>
    </row>
    <row r="30820" spans="1:1">
      <c r="A30820" s="27"/>
    </row>
    <row r="30821" spans="1:1">
      <c r="A30821" s="27"/>
    </row>
    <row r="30822" spans="1:1">
      <c r="A30822" s="27"/>
    </row>
    <row r="30823" spans="1:1">
      <c r="A30823" s="27"/>
    </row>
    <row r="30824" spans="1:1">
      <c r="A30824" s="27"/>
    </row>
    <row r="30825" spans="1:1">
      <c r="A30825" s="27"/>
    </row>
    <row r="30826" spans="1:1">
      <c r="A30826" s="27"/>
    </row>
    <row r="30827" spans="1:1">
      <c r="A30827" s="27"/>
    </row>
    <row r="30828" spans="1:1">
      <c r="A30828" s="27"/>
    </row>
    <row r="30829" spans="1:1">
      <c r="A30829" s="27"/>
    </row>
    <row r="30830" spans="1:1">
      <c r="A30830" s="27"/>
    </row>
    <row r="30831" spans="1:1">
      <c r="A30831" s="27"/>
    </row>
    <row r="30832" spans="1:1">
      <c r="A30832" s="27"/>
    </row>
    <row r="30833" spans="1:1">
      <c r="A30833" s="27"/>
    </row>
    <row r="30834" spans="1:1">
      <c r="A30834" s="27"/>
    </row>
    <row r="30835" spans="1:1">
      <c r="A30835" s="27"/>
    </row>
    <row r="30836" spans="1:1">
      <c r="A30836" s="27"/>
    </row>
    <row r="30837" spans="1:1">
      <c r="A30837" s="27"/>
    </row>
    <row r="30838" spans="1:1">
      <c r="A30838" s="27"/>
    </row>
    <row r="30839" spans="1:1">
      <c r="A30839" s="27"/>
    </row>
    <row r="30840" spans="1:1">
      <c r="A30840" s="27"/>
    </row>
    <row r="30841" spans="1:1">
      <c r="A30841" s="27"/>
    </row>
    <row r="30842" spans="1:1">
      <c r="A30842" s="27"/>
    </row>
    <row r="30843" spans="1:1">
      <c r="A30843" s="27"/>
    </row>
    <row r="30844" spans="1:1">
      <c r="A30844" s="27"/>
    </row>
    <row r="30845" spans="1:1">
      <c r="A30845" s="27"/>
    </row>
    <row r="30846" spans="1:1">
      <c r="A30846" s="27"/>
    </row>
    <row r="30847" spans="1:1">
      <c r="A30847" s="27"/>
    </row>
    <row r="30848" spans="1:1">
      <c r="A30848" s="27"/>
    </row>
    <row r="30849" spans="1:1">
      <c r="A30849" s="27"/>
    </row>
    <row r="30850" spans="1:1">
      <c r="A30850" s="27"/>
    </row>
    <row r="30851" spans="1:1">
      <c r="A30851" s="27"/>
    </row>
    <row r="30852" spans="1:1">
      <c r="A30852" s="27"/>
    </row>
    <row r="30853" spans="1:1">
      <c r="A30853" s="27"/>
    </row>
    <row r="30854" spans="1:1">
      <c r="A30854" s="27"/>
    </row>
    <row r="30855" spans="1:1">
      <c r="A30855" s="27"/>
    </row>
    <row r="30856" spans="1:1">
      <c r="A30856" s="27"/>
    </row>
    <row r="30857" spans="1:1">
      <c r="A30857" s="27"/>
    </row>
    <row r="30858" spans="1:1">
      <c r="A30858" s="27"/>
    </row>
    <row r="30859" spans="1:1">
      <c r="A30859" s="27"/>
    </row>
    <row r="30860" spans="1:1">
      <c r="A30860" s="27"/>
    </row>
    <row r="30861" spans="1:1">
      <c r="A30861" s="27"/>
    </row>
    <row r="30862" spans="1:1">
      <c r="A30862" s="27"/>
    </row>
    <row r="30863" spans="1:1">
      <c r="A30863" s="27"/>
    </row>
    <row r="30864" spans="1:1">
      <c r="A30864" s="27"/>
    </row>
    <row r="30865" spans="1:1">
      <c r="A30865" s="27"/>
    </row>
    <row r="30866" spans="1:1">
      <c r="A30866" s="27"/>
    </row>
    <row r="30867" spans="1:1">
      <c r="A30867" s="27"/>
    </row>
    <row r="30868" spans="1:1">
      <c r="A30868" s="27"/>
    </row>
    <row r="30869" spans="1:1">
      <c r="A30869" s="27"/>
    </row>
    <row r="30870" spans="1:1">
      <c r="A30870" s="27"/>
    </row>
    <row r="30871" spans="1:1">
      <c r="A30871" s="27"/>
    </row>
    <row r="30872" spans="1:1">
      <c r="A30872" s="27"/>
    </row>
    <row r="30873" spans="1:1">
      <c r="A30873" s="27"/>
    </row>
    <row r="30874" spans="1:1">
      <c r="A30874" s="27"/>
    </row>
    <row r="30875" spans="1:1">
      <c r="A30875" s="27"/>
    </row>
    <row r="30876" spans="1:1">
      <c r="A30876" s="27"/>
    </row>
    <row r="30877" spans="1:1">
      <c r="A30877" s="27"/>
    </row>
    <row r="30878" spans="1:1">
      <c r="A30878" s="27"/>
    </row>
    <row r="30879" spans="1:1">
      <c r="A30879" s="27"/>
    </row>
    <row r="30880" spans="1:1">
      <c r="A30880" s="27"/>
    </row>
    <row r="30881" spans="1:1">
      <c r="A30881" s="27"/>
    </row>
    <row r="30882" spans="1:1">
      <c r="A30882" s="27"/>
    </row>
    <row r="30883" spans="1:1">
      <c r="A30883" s="27"/>
    </row>
    <row r="30884" spans="1:1">
      <c r="A30884" s="27"/>
    </row>
    <row r="30885" spans="1:1">
      <c r="A30885" s="27"/>
    </row>
    <row r="30886" spans="1:1">
      <c r="A30886" s="27"/>
    </row>
    <row r="30887" spans="1:1">
      <c r="A30887" s="27"/>
    </row>
    <row r="30888" spans="1:1">
      <c r="A30888" s="27"/>
    </row>
    <row r="30889" spans="1:1">
      <c r="A30889" s="27"/>
    </row>
    <row r="30890" spans="1:1">
      <c r="A30890" s="27"/>
    </row>
    <row r="30891" spans="1:1">
      <c r="A30891" s="27"/>
    </row>
    <row r="30892" spans="1:1">
      <c r="A30892" s="27"/>
    </row>
    <row r="30893" spans="1:1">
      <c r="A30893" s="27"/>
    </row>
    <row r="30894" spans="1:1">
      <c r="A30894" s="27"/>
    </row>
    <row r="30895" spans="1:1">
      <c r="A30895" s="27"/>
    </row>
    <row r="30896" spans="1:1">
      <c r="A30896" s="27"/>
    </row>
    <row r="30897" spans="1:1">
      <c r="A30897" s="27"/>
    </row>
    <row r="30898" spans="1:1">
      <c r="A30898" s="27"/>
    </row>
    <row r="30899" spans="1:1">
      <c r="A30899" s="27"/>
    </row>
    <row r="30900" spans="1:1">
      <c r="A30900" s="27"/>
    </row>
    <row r="30901" spans="1:1">
      <c r="A30901" s="27"/>
    </row>
    <row r="30902" spans="1:1">
      <c r="A30902" s="27"/>
    </row>
    <row r="30903" spans="1:1">
      <c r="A30903" s="27"/>
    </row>
    <row r="30904" spans="1:1">
      <c r="A30904" s="27"/>
    </row>
    <row r="30905" spans="1:1">
      <c r="A30905" s="27"/>
    </row>
    <row r="30906" spans="1:1">
      <c r="A30906" s="27"/>
    </row>
    <row r="30907" spans="1:1">
      <c r="A30907" s="27"/>
    </row>
    <row r="30908" spans="1:1">
      <c r="A30908" s="27"/>
    </row>
    <row r="30909" spans="1:1">
      <c r="A30909" s="27"/>
    </row>
    <row r="30910" spans="1:1">
      <c r="A30910" s="27"/>
    </row>
    <row r="30911" spans="1:1">
      <c r="A30911" s="27"/>
    </row>
    <row r="30912" spans="1:1">
      <c r="A30912" s="27"/>
    </row>
    <row r="30913" spans="1:1">
      <c r="A30913" s="27"/>
    </row>
    <row r="30914" spans="1:1">
      <c r="A30914" s="27"/>
    </row>
    <row r="30915" spans="1:1">
      <c r="A30915" s="27"/>
    </row>
    <row r="30916" spans="1:1">
      <c r="A30916" s="27"/>
    </row>
    <row r="30917" spans="1:1">
      <c r="A30917" s="27"/>
    </row>
    <row r="30918" spans="1:1">
      <c r="A30918" s="27"/>
    </row>
    <row r="30919" spans="1:1">
      <c r="A30919" s="27"/>
    </row>
    <row r="30920" spans="1:1">
      <c r="A30920" s="27"/>
    </row>
    <row r="30921" spans="1:1">
      <c r="A30921" s="27"/>
    </row>
    <row r="30922" spans="1:1">
      <c r="A30922" s="27"/>
    </row>
    <row r="30923" spans="1:1">
      <c r="A30923" s="27"/>
    </row>
    <row r="30924" spans="1:1">
      <c r="A30924" s="27"/>
    </row>
    <row r="30925" spans="1:1">
      <c r="A30925" s="27"/>
    </row>
    <row r="30926" spans="1:1">
      <c r="A30926" s="27"/>
    </row>
    <row r="30927" spans="1:1">
      <c r="A30927" s="27"/>
    </row>
    <row r="30928" spans="1:1">
      <c r="A30928" s="27"/>
    </row>
    <row r="30929" spans="1:1">
      <c r="A30929" s="27"/>
    </row>
    <row r="30930" spans="1:1">
      <c r="A30930" s="27"/>
    </row>
    <row r="30931" spans="1:1">
      <c r="A30931" s="27"/>
    </row>
    <row r="30932" spans="1:1">
      <c r="A30932" s="27"/>
    </row>
    <row r="30933" spans="1:1">
      <c r="A30933" s="27"/>
    </row>
    <row r="30934" spans="1:1">
      <c r="A30934" s="27"/>
    </row>
    <row r="30935" spans="1:1">
      <c r="A30935" s="27"/>
    </row>
    <row r="30936" spans="1:1">
      <c r="A30936" s="27"/>
    </row>
    <row r="30937" spans="1:1">
      <c r="A30937" s="27"/>
    </row>
    <row r="30938" spans="1:1">
      <c r="A30938" s="27"/>
    </row>
    <row r="30939" spans="1:1">
      <c r="A30939" s="27"/>
    </row>
    <row r="30940" spans="1:1">
      <c r="A30940" s="27"/>
    </row>
    <row r="30941" spans="1:1">
      <c r="A30941" s="27"/>
    </row>
    <row r="30942" spans="1:1">
      <c r="A30942" s="27"/>
    </row>
    <row r="30943" spans="1:1">
      <c r="A30943" s="27"/>
    </row>
    <row r="30944" spans="1:1">
      <c r="A30944" s="27"/>
    </row>
    <row r="30945" spans="1:1">
      <c r="A30945" s="27"/>
    </row>
    <row r="30946" spans="1:1">
      <c r="A30946" s="27"/>
    </row>
    <row r="30947" spans="1:1">
      <c r="A30947" s="27"/>
    </row>
    <row r="30948" spans="1:1">
      <c r="A30948" s="27"/>
    </row>
    <row r="30949" spans="1:1">
      <c r="A30949" s="27"/>
    </row>
    <row r="30950" spans="1:1">
      <c r="A30950" s="27"/>
    </row>
    <row r="30951" spans="1:1">
      <c r="A30951" s="27"/>
    </row>
    <row r="30952" spans="1:1">
      <c r="A30952" s="27"/>
    </row>
    <row r="30953" spans="1:1">
      <c r="A30953" s="27"/>
    </row>
    <row r="30954" spans="1:1">
      <c r="A30954" s="27"/>
    </row>
    <row r="30955" spans="1:1">
      <c r="A30955" s="27"/>
    </row>
    <row r="30956" spans="1:1">
      <c r="A30956" s="27"/>
    </row>
    <row r="30957" spans="1:1">
      <c r="A30957" s="27"/>
    </row>
    <row r="30958" spans="1:1">
      <c r="A30958" s="27"/>
    </row>
    <row r="30959" spans="1:1">
      <c r="A30959" s="27"/>
    </row>
    <row r="30960" spans="1:1">
      <c r="A30960" s="27"/>
    </row>
    <row r="30961" spans="1:1">
      <c r="A30961" s="27"/>
    </row>
    <row r="30962" spans="1:1">
      <c r="A30962" s="27"/>
    </row>
    <row r="30963" spans="1:1">
      <c r="A30963" s="27"/>
    </row>
    <row r="30964" spans="1:1">
      <c r="A30964" s="27"/>
    </row>
    <row r="30965" spans="1:1">
      <c r="A30965" s="27"/>
    </row>
    <row r="30966" spans="1:1">
      <c r="A30966" s="27"/>
    </row>
    <row r="30967" spans="1:1">
      <c r="A30967" s="27"/>
    </row>
    <row r="30968" spans="1:1">
      <c r="A30968" s="27"/>
    </row>
    <row r="30969" spans="1:1">
      <c r="A30969" s="27"/>
    </row>
    <row r="30970" spans="1:1">
      <c r="A30970" s="27"/>
    </row>
    <row r="30971" spans="1:1">
      <c r="A30971" s="27"/>
    </row>
    <row r="30972" spans="1:1">
      <c r="A30972" s="27"/>
    </row>
    <row r="30973" spans="1:1">
      <c r="A30973" s="27"/>
    </row>
    <row r="30974" spans="1:1">
      <c r="A30974" s="27"/>
    </row>
    <row r="30975" spans="1:1">
      <c r="A30975" s="27"/>
    </row>
    <row r="30976" spans="1:1">
      <c r="A30976" s="27"/>
    </row>
    <row r="30977" spans="1:1">
      <c r="A30977" s="27"/>
    </row>
    <row r="30978" spans="1:1">
      <c r="A30978" s="27"/>
    </row>
    <row r="30979" spans="1:1">
      <c r="A30979" s="27"/>
    </row>
    <row r="30980" spans="1:1">
      <c r="A30980" s="27"/>
    </row>
    <row r="30981" spans="1:1">
      <c r="A30981" s="27"/>
    </row>
    <row r="30982" spans="1:1">
      <c r="A30982" s="27"/>
    </row>
    <row r="30983" spans="1:1">
      <c r="A30983" s="27"/>
    </row>
    <row r="30984" spans="1:1">
      <c r="A30984" s="27"/>
    </row>
    <row r="30985" spans="1:1">
      <c r="A30985" s="27"/>
    </row>
    <row r="30986" spans="1:1">
      <c r="A30986" s="27"/>
    </row>
    <row r="30987" spans="1:1">
      <c r="A30987" s="27"/>
    </row>
    <row r="30988" spans="1:1">
      <c r="A30988" s="27"/>
    </row>
    <row r="30989" spans="1:1">
      <c r="A30989" s="27"/>
    </row>
    <row r="30990" spans="1:1">
      <c r="A30990" s="27"/>
    </row>
    <row r="30991" spans="1:1">
      <c r="A30991" s="27"/>
    </row>
    <row r="30992" spans="1:1">
      <c r="A30992" s="27"/>
    </row>
    <row r="30993" spans="1:1">
      <c r="A30993" s="27"/>
    </row>
    <row r="30994" spans="1:1">
      <c r="A30994" s="27"/>
    </row>
    <row r="30995" spans="1:1">
      <c r="A30995" s="27"/>
    </row>
    <row r="30996" spans="1:1">
      <c r="A30996" s="27"/>
    </row>
    <row r="30997" spans="1:1">
      <c r="A30997" s="27"/>
    </row>
    <row r="30998" spans="1:1">
      <c r="A30998" s="27"/>
    </row>
    <row r="30999" spans="1:1">
      <c r="A30999" s="27"/>
    </row>
    <row r="31000" spans="1:1">
      <c r="A31000" s="27"/>
    </row>
    <row r="31001" spans="1:1">
      <c r="A31001" s="27"/>
    </row>
    <row r="31002" spans="1:1">
      <c r="A31002" s="27"/>
    </row>
    <row r="31003" spans="1:1">
      <c r="A31003" s="27"/>
    </row>
    <row r="31004" spans="1:1">
      <c r="A31004" s="27"/>
    </row>
    <row r="31005" spans="1:1">
      <c r="A31005" s="27"/>
    </row>
    <row r="31006" spans="1:1">
      <c r="A31006" s="27"/>
    </row>
    <row r="31007" spans="1:1">
      <c r="A31007" s="27"/>
    </row>
    <row r="31008" spans="1:1">
      <c r="A31008" s="27"/>
    </row>
    <row r="31009" spans="1:1">
      <c r="A31009" s="27"/>
    </row>
    <row r="31010" spans="1:1">
      <c r="A31010" s="27"/>
    </row>
    <row r="31011" spans="1:1">
      <c r="A31011" s="27"/>
    </row>
    <row r="31012" spans="1:1">
      <c r="A31012" s="27"/>
    </row>
    <row r="31013" spans="1:1">
      <c r="A31013" s="27"/>
    </row>
    <row r="31014" spans="1:1">
      <c r="A31014" s="27"/>
    </row>
    <row r="31015" spans="1:1">
      <c r="A31015" s="27"/>
    </row>
    <row r="31016" spans="1:1">
      <c r="A31016" s="27"/>
    </row>
    <row r="31017" spans="1:1">
      <c r="A31017" s="27"/>
    </row>
    <row r="31018" spans="1:1">
      <c r="A31018" s="27"/>
    </row>
    <row r="31019" spans="1:1">
      <c r="A31019" s="27"/>
    </row>
    <row r="31020" spans="1:1">
      <c r="A31020" s="27"/>
    </row>
    <row r="31021" spans="1:1">
      <c r="A31021" s="27"/>
    </row>
    <row r="31022" spans="1:1">
      <c r="A31022" s="27"/>
    </row>
    <row r="31023" spans="1:1">
      <c r="A31023" s="27"/>
    </row>
    <row r="31024" spans="1:1">
      <c r="A31024" s="27"/>
    </row>
    <row r="31025" spans="1:1">
      <c r="A31025" s="27"/>
    </row>
    <row r="31026" spans="1:1">
      <c r="A31026" s="27"/>
    </row>
    <row r="31027" spans="1:1">
      <c r="A31027" s="27"/>
    </row>
    <row r="31028" spans="1:1">
      <c r="A31028" s="27"/>
    </row>
    <row r="31029" spans="1:1">
      <c r="A31029" s="27"/>
    </row>
    <row r="31030" spans="1:1">
      <c r="A31030" s="27"/>
    </row>
    <row r="31031" spans="1:1">
      <c r="A31031" s="27"/>
    </row>
    <row r="31032" spans="1:1">
      <c r="A31032" s="27"/>
    </row>
    <row r="31033" spans="1:1">
      <c r="A31033" s="27"/>
    </row>
    <row r="31034" spans="1:1">
      <c r="A31034" s="27"/>
    </row>
    <row r="31035" spans="1:1">
      <c r="A31035" s="27"/>
    </row>
    <row r="31036" spans="1:1">
      <c r="A31036" s="27"/>
    </row>
    <row r="31037" spans="1:1">
      <c r="A31037" s="27"/>
    </row>
    <row r="31038" spans="1:1">
      <c r="A31038" s="27"/>
    </row>
    <row r="31039" spans="1:1">
      <c r="A31039" s="27"/>
    </row>
    <row r="31040" spans="1:1">
      <c r="A31040" s="27"/>
    </row>
    <row r="31041" spans="1:1">
      <c r="A31041" s="27"/>
    </row>
    <row r="31042" spans="1:1">
      <c r="A31042" s="27"/>
    </row>
    <row r="31043" spans="1:1">
      <c r="A31043" s="27"/>
    </row>
    <row r="31044" spans="1:1">
      <c r="A31044" s="27"/>
    </row>
    <row r="31045" spans="1:1">
      <c r="A31045" s="27"/>
    </row>
    <row r="31046" spans="1:1">
      <c r="A31046" s="27"/>
    </row>
    <row r="31047" spans="1:1">
      <c r="A31047" s="27"/>
    </row>
    <row r="31048" spans="1:1">
      <c r="A31048" s="27"/>
    </row>
    <row r="31049" spans="1:1">
      <c r="A31049" s="27"/>
    </row>
    <row r="31050" spans="1:1">
      <c r="A31050" s="27"/>
    </row>
    <row r="31051" spans="1:1">
      <c r="A31051" s="27"/>
    </row>
    <row r="31052" spans="1:1">
      <c r="A31052" s="27"/>
    </row>
    <row r="31053" spans="1:1">
      <c r="A31053" s="27"/>
    </row>
    <row r="31054" spans="1:1">
      <c r="A31054" s="27"/>
    </row>
    <row r="31055" spans="1:1">
      <c r="A31055" s="27"/>
    </row>
    <row r="31056" spans="1:1">
      <c r="A31056" s="27"/>
    </row>
    <row r="31057" spans="1:1">
      <c r="A31057" s="27"/>
    </row>
    <row r="31058" spans="1:1">
      <c r="A31058" s="27"/>
    </row>
    <row r="31059" spans="1:1">
      <c r="A31059" s="27"/>
    </row>
    <row r="31060" spans="1:1">
      <c r="A31060" s="27"/>
    </row>
    <row r="31061" spans="1:1">
      <c r="A31061" s="27"/>
    </row>
    <row r="31062" spans="1:1">
      <c r="A31062" s="27"/>
    </row>
    <row r="31063" spans="1:1">
      <c r="A31063" s="27"/>
    </row>
    <row r="31064" spans="1:1">
      <c r="A31064" s="27"/>
    </row>
    <row r="31065" spans="1:1">
      <c r="A31065" s="27"/>
    </row>
    <row r="31066" spans="1:1">
      <c r="A31066" s="27"/>
    </row>
    <row r="31067" spans="1:1">
      <c r="A31067" s="27"/>
    </row>
    <row r="31068" spans="1:1">
      <c r="A31068" s="27"/>
    </row>
    <row r="31069" spans="1:1">
      <c r="A31069" s="27"/>
    </row>
    <row r="31070" spans="1:1">
      <c r="A31070" s="27"/>
    </row>
    <row r="31071" spans="1:1">
      <c r="A31071" s="27"/>
    </row>
    <row r="31072" spans="1:1">
      <c r="A31072" s="27"/>
    </row>
    <row r="31073" spans="1:1">
      <c r="A31073" s="27"/>
    </row>
    <row r="31074" spans="1:1">
      <c r="A31074" s="27"/>
    </row>
    <row r="31075" spans="1:1">
      <c r="A31075" s="27"/>
    </row>
    <row r="31076" spans="1:1">
      <c r="A31076" s="27"/>
    </row>
    <row r="31077" spans="1:1">
      <c r="A31077" s="27"/>
    </row>
    <row r="31078" spans="1:1">
      <c r="A31078" s="27"/>
    </row>
    <row r="31079" spans="1:1">
      <c r="A31079" s="27"/>
    </row>
    <row r="31080" spans="1:1">
      <c r="A31080" s="27"/>
    </row>
    <row r="31081" spans="1:1">
      <c r="A31081" s="27"/>
    </row>
    <row r="31082" spans="1:1">
      <c r="A31082" s="27"/>
    </row>
    <row r="31083" spans="1:1">
      <c r="A31083" s="27"/>
    </row>
    <row r="31084" spans="1:1">
      <c r="A31084" s="27"/>
    </row>
    <row r="31085" spans="1:1">
      <c r="A31085" s="27"/>
    </row>
    <row r="31086" spans="1:1">
      <c r="A31086" s="27"/>
    </row>
    <row r="31087" spans="1:1">
      <c r="A31087" s="27"/>
    </row>
    <row r="31088" spans="1:1">
      <c r="A31088" s="27"/>
    </row>
    <row r="31089" spans="1:1">
      <c r="A31089" s="27"/>
    </row>
    <row r="31090" spans="1:1">
      <c r="A31090" s="27"/>
    </row>
    <row r="31091" spans="1:1">
      <c r="A31091" s="27"/>
    </row>
    <row r="31092" spans="1:1">
      <c r="A31092" s="27"/>
    </row>
    <row r="31093" spans="1:1">
      <c r="A31093" s="27"/>
    </row>
    <row r="31094" spans="1:1">
      <c r="A31094" s="27"/>
    </row>
    <row r="31095" spans="1:1">
      <c r="A31095" s="27"/>
    </row>
    <row r="31096" spans="1:1">
      <c r="A31096" s="27"/>
    </row>
    <row r="31097" spans="1:1">
      <c r="A31097" s="27"/>
    </row>
    <row r="31098" spans="1:1">
      <c r="A31098" s="27"/>
    </row>
    <row r="31099" spans="1:1">
      <c r="A31099" s="27"/>
    </row>
    <row r="31100" spans="1:1">
      <c r="A31100" s="27"/>
    </row>
    <row r="31101" spans="1:1">
      <c r="A31101" s="27"/>
    </row>
    <row r="31102" spans="1:1">
      <c r="A31102" s="27"/>
    </row>
    <row r="31103" spans="1:1">
      <c r="A31103" s="27"/>
    </row>
    <row r="31104" spans="1:1">
      <c r="A31104" s="27"/>
    </row>
    <row r="31105" spans="1:1">
      <c r="A31105" s="27"/>
    </row>
    <row r="31106" spans="1:1">
      <c r="A31106" s="27"/>
    </row>
    <row r="31107" spans="1:1">
      <c r="A31107" s="27"/>
    </row>
    <row r="31108" spans="1:1">
      <c r="A31108" s="27"/>
    </row>
    <row r="31109" spans="1:1">
      <c r="A31109" s="27"/>
    </row>
    <row r="31110" spans="1:1">
      <c r="A31110" s="27"/>
    </row>
    <row r="31111" spans="1:1">
      <c r="A31111" s="27"/>
    </row>
    <row r="31112" spans="1:1">
      <c r="A31112" s="27"/>
    </row>
    <row r="31113" spans="1:1">
      <c r="A31113" s="27"/>
    </row>
    <row r="31114" spans="1:1">
      <c r="A31114" s="27"/>
    </row>
    <row r="31115" spans="1:1">
      <c r="A31115" s="27"/>
    </row>
    <row r="31116" spans="1:1">
      <c r="A31116" s="27"/>
    </row>
    <row r="31117" spans="1:1">
      <c r="A31117" s="27"/>
    </row>
    <row r="31118" spans="1:1">
      <c r="A31118" s="27"/>
    </row>
    <row r="31119" spans="1:1">
      <c r="A31119" s="27"/>
    </row>
    <row r="31120" spans="1:1">
      <c r="A31120" s="27"/>
    </row>
    <row r="31121" spans="1:1">
      <c r="A31121" s="27"/>
    </row>
    <row r="31122" spans="1:1">
      <c r="A31122" s="27"/>
    </row>
    <row r="31123" spans="1:1">
      <c r="A31123" s="27"/>
    </row>
    <row r="31124" spans="1:1">
      <c r="A31124" s="27"/>
    </row>
    <row r="31125" spans="1:1">
      <c r="A31125" s="27"/>
    </row>
    <row r="31126" spans="1:1">
      <c r="A31126" s="27"/>
    </row>
    <row r="31127" spans="1:1">
      <c r="A31127" s="27"/>
    </row>
    <row r="31128" spans="1:1">
      <c r="A31128" s="27"/>
    </row>
    <row r="31129" spans="1:1">
      <c r="A31129" s="27"/>
    </row>
    <row r="31130" spans="1:1">
      <c r="A31130" s="27"/>
    </row>
    <row r="31131" spans="1:1">
      <c r="A31131" s="27"/>
    </row>
    <row r="31132" spans="1:1">
      <c r="A31132" s="27"/>
    </row>
    <row r="31133" spans="1:1">
      <c r="A31133" s="27"/>
    </row>
    <row r="31134" spans="1:1">
      <c r="A31134" s="27"/>
    </row>
    <row r="31135" spans="1:1">
      <c r="A31135" s="27"/>
    </row>
    <row r="31136" spans="1:1">
      <c r="A31136" s="27"/>
    </row>
    <row r="31137" spans="1:1">
      <c r="A31137" s="27"/>
    </row>
    <row r="31138" spans="1:1">
      <c r="A31138" s="27"/>
    </row>
    <row r="31139" spans="1:1">
      <c r="A31139" s="27"/>
    </row>
    <row r="31140" spans="1:1">
      <c r="A31140" s="27"/>
    </row>
    <row r="31141" spans="1:1">
      <c r="A31141" s="27"/>
    </row>
    <row r="31142" spans="1:1">
      <c r="A31142" s="27"/>
    </row>
    <row r="31143" spans="1:1">
      <c r="A31143" s="27"/>
    </row>
    <row r="31144" spans="1:1">
      <c r="A31144" s="27"/>
    </row>
    <row r="31145" spans="1:1">
      <c r="A31145" s="27"/>
    </row>
    <row r="31146" spans="1:1">
      <c r="A31146" s="27"/>
    </row>
    <row r="31147" spans="1:1">
      <c r="A31147" s="27"/>
    </row>
    <row r="31148" spans="1:1">
      <c r="A31148" s="27"/>
    </row>
    <row r="31149" spans="1:1">
      <c r="A31149" s="27"/>
    </row>
    <row r="31150" spans="1:1">
      <c r="A31150" s="27"/>
    </row>
    <row r="31151" spans="1:1">
      <c r="A31151" s="27"/>
    </row>
    <row r="31152" spans="1:1">
      <c r="A31152" s="27"/>
    </row>
    <row r="31153" spans="1:1">
      <c r="A31153" s="27"/>
    </row>
    <row r="31154" spans="1:1">
      <c r="A31154" s="27"/>
    </row>
    <row r="31155" spans="1:1">
      <c r="A31155" s="27"/>
    </row>
    <row r="31156" spans="1:1">
      <c r="A31156" s="27"/>
    </row>
    <row r="31157" spans="1:1">
      <c r="A31157" s="27"/>
    </row>
    <row r="31158" spans="1:1">
      <c r="A31158" s="27"/>
    </row>
    <row r="31159" spans="1:1">
      <c r="A31159" s="27"/>
    </row>
    <row r="31160" spans="1:1">
      <c r="A31160" s="27"/>
    </row>
    <row r="31161" spans="1:1">
      <c r="A31161" s="27"/>
    </row>
    <row r="31162" spans="1:1">
      <c r="A31162" s="27"/>
    </row>
    <row r="31163" spans="1:1">
      <c r="A31163" s="27"/>
    </row>
    <row r="31164" spans="1:1">
      <c r="A31164" s="27"/>
    </row>
    <row r="31165" spans="1:1">
      <c r="A31165" s="27"/>
    </row>
    <row r="31166" spans="1:1">
      <c r="A31166" s="27"/>
    </row>
    <row r="31167" spans="1:1">
      <c r="A31167" s="27"/>
    </row>
    <row r="31168" spans="1:1">
      <c r="A31168" s="27"/>
    </row>
    <row r="31169" spans="1:1">
      <c r="A31169" s="27"/>
    </row>
    <row r="31170" spans="1:1">
      <c r="A31170" s="27"/>
    </row>
    <row r="31171" spans="1:1">
      <c r="A31171" s="27"/>
    </row>
    <row r="31172" spans="1:1">
      <c r="A31172" s="27"/>
    </row>
    <row r="31173" spans="1:1">
      <c r="A31173" s="27"/>
    </row>
    <row r="31174" spans="1:1">
      <c r="A31174" s="27"/>
    </row>
    <row r="31175" spans="1:1">
      <c r="A31175" s="27"/>
    </row>
    <row r="31176" spans="1:1">
      <c r="A31176" s="27"/>
    </row>
    <row r="31177" spans="1:1">
      <c r="A31177" s="27"/>
    </row>
    <row r="31178" spans="1:1">
      <c r="A31178" s="27"/>
    </row>
    <row r="31179" spans="1:1">
      <c r="A31179" s="27"/>
    </row>
    <row r="31180" spans="1:1">
      <c r="A31180" s="27"/>
    </row>
    <row r="31181" spans="1:1">
      <c r="A31181" s="27"/>
    </row>
    <row r="31182" spans="1:1">
      <c r="A31182" s="27"/>
    </row>
    <row r="31183" spans="1:1">
      <c r="A31183" s="27"/>
    </row>
    <row r="31184" spans="1:1">
      <c r="A31184" s="27"/>
    </row>
    <row r="31185" spans="1:1">
      <c r="A31185" s="27"/>
    </row>
    <row r="31186" spans="1:1">
      <c r="A31186" s="27"/>
    </row>
    <row r="31187" spans="1:1">
      <c r="A31187" s="27"/>
    </row>
    <row r="31188" spans="1:1">
      <c r="A31188" s="27"/>
    </row>
    <row r="31189" spans="1:1">
      <c r="A31189" s="27"/>
    </row>
    <row r="31190" spans="1:1">
      <c r="A31190" s="27"/>
    </row>
    <row r="31191" spans="1:1">
      <c r="A31191" s="27"/>
    </row>
    <row r="31192" spans="1:1">
      <c r="A31192" s="27"/>
    </row>
    <row r="31193" spans="1:1">
      <c r="A31193" s="27"/>
    </row>
    <row r="31194" spans="1:1">
      <c r="A31194" s="27"/>
    </row>
    <row r="31195" spans="1:1">
      <c r="A31195" s="27"/>
    </row>
    <row r="31196" spans="1:1">
      <c r="A31196" s="27"/>
    </row>
    <row r="31197" spans="1:1">
      <c r="A31197" s="27"/>
    </row>
    <row r="31198" spans="1:1">
      <c r="A31198" s="27"/>
    </row>
    <row r="31199" spans="1:1">
      <c r="A31199" s="27"/>
    </row>
    <row r="31200" spans="1:1">
      <c r="A31200" s="27"/>
    </row>
    <row r="31201" spans="1:1">
      <c r="A31201" s="27"/>
    </row>
    <row r="31202" spans="1:1">
      <c r="A31202" s="27"/>
    </row>
    <row r="31203" spans="1:1">
      <c r="A31203" s="27"/>
    </row>
    <row r="31204" spans="1:1">
      <c r="A31204" s="27"/>
    </row>
    <row r="31205" spans="1:1">
      <c r="A31205" s="27"/>
    </row>
    <row r="31206" spans="1:1">
      <c r="A31206" s="27"/>
    </row>
    <row r="31207" spans="1:1">
      <c r="A31207" s="27"/>
    </row>
    <row r="31208" spans="1:1">
      <c r="A31208" s="27"/>
    </row>
    <row r="31209" spans="1:1">
      <c r="A31209" s="27"/>
    </row>
    <row r="31210" spans="1:1">
      <c r="A31210" s="27"/>
    </row>
    <row r="31211" spans="1:1">
      <c r="A31211" s="27"/>
    </row>
    <row r="31212" spans="1:1">
      <c r="A31212" s="27"/>
    </row>
    <row r="31213" spans="1:1">
      <c r="A31213" s="27"/>
    </row>
    <row r="31214" spans="1:1">
      <c r="A31214" s="27"/>
    </row>
    <row r="31215" spans="1:1">
      <c r="A31215" s="27"/>
    </row>
    <row r="31216" spans="1:1">
      <c r="A31216" s="27"/>
    </row>
    <row r="31217" spans="1:1">
      <c r="A31217" s="27"/>
    </row>
    <row r="31218" spans="1:1">
      <c r="A31218" s="27"/>
    </row>
    <row r="31219" spans="1:1">
      <c r="A31219" s="27"/>
    </row>
    <row r="31220" spans="1:1">
      <c r="A31220" s="27"/>
    </row>
    <row r="31221" spans="1:1">
      <c r="A31221" s="27"/>
    </row>
    <row r="31222" spans="1:1">
      <c r="A31222" s="27"/>
    </row>
    <row r="31223" spans="1:1">
      <c r="A31223" s="27"/>
    </row>
    <row r="31224" spans="1:1">
      <c r="A31224" s="27"/>
    </row>
    <row r="31225" spans="1:1">
      <c r="A31225" s="27"/>
    </row>
    <row r="31226" spans="1:1">
      <c r="A31226" s="27"/>
    </row>
    <row r="31227" spans="1:1">
      <c r="A31227" s="27"/>
    </row>
    <row r="31228" spans="1:1">
      <c r="A31228" s="27"/>
    </row>
    <row r="31229" spans="1:1">
      <c r="A31229" s="27"/>
    </row>
    <row r="31230" spans="1:1">
      <c r="A31230" s="27"/>
    </row>
    <row r="31231" spans="1:1">
      <c r="A31231" s="27"/>
    </row>
    <row r="31232" spans="1:1">
      <c r="A31232" s="27"/>
    </row>
    <row r="31233" spans="1:1">
      <c r="A31233" s="27"/>
    </row>
    <row r="31234" spans="1:1">
      <c r="A31234" s="27"/>
    </row>
    <row r="31235" spans="1:1">
      <c r="A31235" s="27"/>
    </row>
    <row r="31236" spans="1:1">
      <c r="A31236" s="27"/>
    </row>
    <row r="31237" spans="1:1">
      <c r="A31237" s="27"/>
    </row>
    <row r="31238" spans="1:1">
      <c r="A31238" s="27"/>
    </row>
    <row r="31239" spans="1:1">
      <c r="A31239" s="27"/>
    </row>
    <row r="31240" spans="1:1">
      <c r="A31240" s="27"/>
    </row>
    <row r="31241" spans="1:1">
      <c r="A31241" s="27"/>
    </row>
    <row r="31242" spans="1:1">
      <c r="A31242" s="27"/>
    </row>
    <row r="31243" spans="1:1">
      <c r="A31243" s="27"/>
    </row>
    <row r="31244" spans="1:1">
      <c r="A31244" s="27"/>
    </row>
    <row r="31245" spans="1:1">
      <c r="A31245" s="27"/>
    </row>
    <row r="31246" spans="1:1">
      <c r="A31246" s="27"/>
    </row>
    <row r="31247" spans="1:1">
      <c r="A31247" s="27"/>
    </row>
    <row r="31248" spans="1:1">
      <c r="A31248" s="27"/>
    </row>
    <row r="31249" spans="1:1">
      <c r="A31249" s="27"/>
    </row>
    <row r="31250" spans="1:1">
      <c r="A31250" s="27"/>
    </row>
    <row r="31251" spans="1:1">
      <c r="A31251" s="27"/>
    </row>
    <row r="31252" spans="1:1">
      <c r="A31252" s="27"/>
    </row>
    <row r="31253" spans="1:1">
      <c r="A31253" s="27"/>
    </row>
    <row r="31254" spans="1:1">
      <c r="A31254" s="27"/>
    </row>
    <row r="31255" spans="1:1">
      <c r="A31255" s="27"/>
    </row>
    <row r="31256" spans="1:1">
      <c r="A31256" s="27"/>
    </row>
    <row r="31257" spans="1:1">
      <c r="A31257" s="27"/>
    </row>
    <row r="31258" spans="1:1">
      <c r="A31258" s="27"/>
    </row>
    <row r="31259" spans="1:1">
      <c r="A31259" s="27"/>
    </row>
    <row r="31260" spans="1:1">
      <c r="A31260" s="27"/>
    </row>
    <row r="31261" spans="1:1">
      <c r="A31261" s="27"/>
    </row>
    <row r="31262" spans="1:1">
      <c r="A31262" s="27"/>
    </row>
    <row r="31263" spans="1:1">
      <c r="A31263" s="27"/>
    </row>
    <row r="31264" spans="1:1">
      <c r="A31264" s="27"/>
    </row>
    <row r="31265" spans="1:1">
      <c r="A31265" s="27"/>
    </row>
    <row r="31266" spans="1:1">
      <c r="A31266" s="27"/>
    </row>
    <row r="31267" spans="1:1">
      <c r="A31267" s="27"/>
    </row>
    <row r="31268" spans="1:1">
      <c r="A31268" s="27"/>
    </row>
    <row r="31269" spans="1:1">
      <c r="A31269" s="27"/>
    </row>
    <row r="31270" spans="1:1">
      <c r="A31270" s="27"/>
    </row>
    <row r="31271" spans="1:1">
      <c r="A31271" s="27"/>
    </row>
    <row r="31272" spans="1:1">
      <c r="A31272" s="27"/>
    </row>
    <row r="31273" spans="1:1">
      <c r="A31273" s="27"/>
    </row>
    <row r="31274" spans="1:1">
      <c r="A31274" s="27"/>
    </row>
    <row r="31275" spans="1:1">
      <c r="A31275" s="27"/>
    </row>
    <row r="31276" spans="1:1">
      <c r="A31276" s="27"/>
    </row>
    <row r="31277" spans="1:1">
      <c r="A31277" s="27"/>
    </row>
    <row r="31278" spans="1:1">
      <c r="A31278" s="27"/>
    </row>
    <row r="31279" spans="1:1">
      <c r="A31279" s="27"/>
    </row>
    <row r="31280" spans="1:1">
      <c r="A31280" s="27"/>
    </row>
    <row r="31281" spans="1:1">
      <c r="A31281" s="27"/>
    </row>
    <row r="31282" spans="1:1">
      <c r="A31282" s="27"/>
    </row>
    <row r="31283" spans="1:1">
      <c r="A31283" s="27"/>
    </row>
    <row r="31284" spans="1:1">
      <c r="A31284" s="27"/>
    </row>
    <row r="31285" spans="1:1">
      <c r="A31285" s="27"/>
    </row>
    <row r="31286" spans="1:1">
      <c r="A31286" s="27"/>
    </row>
    <row r="31287" spans="1:1">
      <c r="A31287" s="27"/>
    </row>
    <row r="31288" spans="1:1">
      <c r="A31288" s="27"/>
    </row>
    <row r="31289" spans="1:1">
      <c r="A31289" s="27"/>
    </row>
    <row r="31290" spans="1:1">
      <c r="A31290" s="27"/>
    </row>
    <row r="31291" spans="1:1">
      <c r="A31291" s="27"/>
    </row>
    <row r="31292" spans="1:1">
      <c r="A31292" s="27"/>
    </row>
    <row r="31293" spans="1:1">
      <c r="A31293" s="27"/>
    </row>
    <row r="31294" spans="1:1">
      <c r="A31294" s="27"/>
    </row>
    <row r="31295" spans="1:1">
      <c r="A31295" s="27"/>
    </row>
    <row r="31296" spans="1:1">
      <c r="A31296" s="27"/>
    </row>
    <row r="31297" spans="1:1">
      <c r="A31297" s="27"/>
    </row>
    <row r="31298" spans="1:1">
      <c r="A31298" s="27"/>
    </row>
    <row r="31299" spans="1:1">
      <c r="A31299" s="27"/>
    </row>
    <row r="31300" spans="1:1">
      <c r="A31300" s="27"/>
    </row>
    <row r="31301" spans="1:1">
      <c r="A31301" s="27"/>
    </row>
    <row r="31302" spans="1:1">
      <c r="A31302" s="27"/>
    </row>
    <row r="31303" spans="1:1">
      <c r="A31303" s="27"/>
    </row>
    <row r="31304" spans="1:1">
      <c r="A31304" s="27"/>
    </row>
    <row r="31305" spans="1:1">
      <c r="A31305" s="27"/>
    </row>
    <row r="31306" spans="1:1">
      <c r="A31306" s="27"/>
    </row>
    <row r="31307" spans="1:1">
      <c r="A31307" s="27"/>
    </row>
    <row r="31308" spans="1:1">
      <c r="A31308" s="27"/>
    </row>
    <row r="31309" spans="1:1">
      <c r="A31309" s="27"/>
    </row>
    <row r="31310" spans="1:1">
      <c r="A31310" s="27"/>
    </row>
    <row r="31311" spans="1:1">
      <c r="A31311" s="27"/>
    </row>
    <row r="31312" spans="1:1">
      <c r="A31312" s="27"/>
    </row>
    <row r="31313" spans="1:1">
      <c r="A31313" s="27"/>
    </row>
    <row r="31314" spans="1:1">
      <c r="A31314" s="27"/>
    </row>
    <row r="31315" spans="1:1">
      <c r="A31315" s="27"/>
    </row>
    <row r="31316" spans="1:1">
      <c r="A31316" s="27"/>
    </row>
    <row r="31317" spans="1:1">
      <c r="A31317" s="27"/>
    </row>
    <row r="31318" spans="1:1">
      <c r="A31318" s="27"/>
    </row>
    <row r="31319" spans="1:1">
      <c r="A31319" s="27"/>
    </row>
    <row r="31320" spans="1:1">
      <c r="A31320" s="27"/>
    </row>
    <row r="31321" spans="1:1">
      <c r="A31321" s="27"/>
    </row>
    <row r="31322" spans="1:1">
      <c r="A31322" s="27"/>
    </row>
    <row r="31323" spans="1:1">
      <c r="A31323" s="27"/>
    </row>
    <row r="31324" spans="1:1">
      <c r="A31324" s="27"/>
    </row>
    <row r="31325" spans="1:1">
      <c r="A31325" s="27"/>
    </row>
    <row r="31326" spans="1:1">
      <c r="A31326" s="27"/>
    </row>
    <row r="31327" spans="1:1">
      <c r="A31327" s="27"/>
    </row>
    <row r="31328" spans="1:1">
      <c r="A31328" s="27"/>
    </row>
    <row r="31329" spans="1:1">
      <c r="A31329" s="27"/>
    </row>
    <row r="31330" spans="1:1">
      <c r="A31330" s="27"/>
    </row>
    <row r="31331" spans="1:1">
      <c r="A31331" s="27"/>
    </row>
    <row r="31332" spans="1:1">
      <c r="A31332" s="27"/>
    </row>
    <row r="31333" spans="1:1">
      <c r="A31333" s="27"/>
    </row>
    <row r="31334" spans="1:1">
      <c r="A31334" s="27"/>
    </row>
    <row r="31335" spans="1:1">
      <c r="A31335" s="27"/>
    </row>
    <row r="31336" spans="1:1">
      <c r="A31336" s="27"/>
    </row>
    <row r="31337" spans="1:1">
      <c r="A31337" s="27"/>
    </row>
    <row r="31338" spans="1:1">
      <c r="A31338" s="27"/>
    </row>
    <row r="31339" spans="1:1">
      <c r="A31339" s="27"/>
    </row>
    <row r="31340" spans="1:1">
      <c r="A31340" s="27"/>
    </row>
    <row r="31341" spans="1:1">
      <c r="A31341" s="27"/>
    </row>
    <row r="31342" spans="1:1">
      <c r="A31342" s="27"/>
    </row>
    <row r="31343" spans="1:1">
      <c r="A31343" s="27"/>
    </row>
    <row r="31344" spans="1:1">
      <c r="A31344" s="27"/>
    </row>
    <row r="31345" spans="1:1">
      <c r="A31345" s="27"/>
    </row>
    <row r="31346" spans="1:1">
      <c r="A31346" s="27"/>
    </row>
    <row r="31347" spans="1:1">
      <c r="A31347" s="27"/>
    </row>
    <row r="31348" spans="1:1">
      <c r="A31348" s="27"/>
    </row>
    <row r="31349" spans="1:1">
      <c r="A31349" s="27"/>
    </row>
    <row r="31350" spans="1:1">
      <c r="A31350" s="27"/>
    </row>
    <row r="31351" spans="1:1">
      <c r="A31351" s="27"/>
    </row>
    <row r="31352" spans="1:1">
      <c r="A31352" s="27"/>
    </row>
    <row r="31353" spans="1:1">
      <c r="A31353" s="27"/>
    </row>
    <row r="31354" spans="1:1">
      <c r="A31354" s="27"/>
    </row>
    <row r="31355" spans="1:1">
      <c r="A31355" s="27"/>
    </row>
    <row r="31356" spans="1:1">
      <c r="A31356" s="27"/>
    </row>
    <row r="31357" spans="1:1">
      <c r="A31357" s="27"/>
    </row>
    <row r="31358" spans="1:1">
      <c r="A31358" s="27"/>
    </row>
    <row r="31359" spans="1:1">
      <c r="A31359" s="27"/>
    </row>
    <row r="31360" spans="1:1">
      <c r="A31360" s="27"/>
    </row>
    <row r="31361" spans="1:1">
      <c r="A31361" s="27"/>
    </row>
    <row r="31362" spans="1:1">
      <c r="A31362" s="27"/>
    </row>
    <row r="31363" spans="1:1">
      <c r="A31363" s="27"/>
    </row>
    <row r="31364" spans="1:1">
      <c r="A31364" s="27"/>
    </row>
    <row r="31365" spans="1:1">
      <c r="A31365" s="27"/>
    </row>
    <row r="31366" spans="1:1">
      <c r="A31366" s="27"/>
    </row>
    <row r="31367" spans="1:1">
      <c r="A31367" s="27"/>
    </row>
    <row r="31368" spans="1:1">
      <c r="A31368" s="27"/>
    </row>
    <row r="31369" spans="1:1">
      <c r="A31369" s="27"/>
    </row>
    <row r="31370" spans="1:1">
      <c r="A31370" s="27"/>
    </row>
    <row r="31371" spans="1:1">
      <c r="A31371" s="27"/>
    </row>
    <row r="31372" spans="1:1">
      <c r="A31372" s="27"/>
    </row>
    <row r="31373" spans="1:1">
      <c r="A31373" s="27"/>
    </row>
    <row r="31374" spans="1:1">
      <c r="A31374" s="27"/>
    </row>
    <row r="31375" spans="1:1">
      <c r="A31375" s="27"/>
    </row>
    <row r="31376" spans="1:1">
      <c r="A31376" s="27"/>
    </row>
    <row r="31377" spans="1:1">
      <c r="A31377" s="27"/>
    </row>
    <row r="31378" spans="1:1">
      <c r="A31378" s="27"/>
    </row>
    <row r="31379" spans="1:1">
      <c r="A31379" s="27"/>
    </row>
    <row r="31380" spans="1:1">
      <c r="A31380" s="27"/>
    </row>
    <row r="31381" spans="1:1">
      <c r="A31381" s="27"/>
    </row>
    <row r="31382" spans="1:1">
      <c r="A31382" s="27"/>
    </row>
    <row r="31383" spans="1:1">
      <c r="A31383" s="27"/>
    </row>
    <row r="31384" spans="1:1">
      <c r="A31384" s="27"/>
    </row>
    <row r="31385" spans="1:1">
      <c r="A31385" s="27"/>
    </row>
    <row r="31386" spans="1:1">
      <c r="A31386" s="27"/>
    </row>
    <row r="31387" spans="1:1">
      <c r="A31387" s="27"/>
    </row>
    <row r="31388" spans="1:1">
      <c r="A31388" s="27"/>
    </row>
    <row r="31389" spans="1:1">
      <c r="A31389" s="27"/>
    </row>
    <row r="31390" spans="1:1">
      <c r="A31390" s="27"/>
    </row>
    <row r="31391" spans="1:1">
      <c r="A31391" s="27"/>
    </row>
    <row r="31392" spans="1:1">
      <c r="A31392" s="27"/>
    </row>
    <row r="31393" spans="1:1">
      <c r="A31393" s="27"/>
    </row>
    <row r="31394" spans="1:1">
      <c r="A31394" s="27"/>
    </row>
    <row r="31395" spans="1:1">
      <c r="A31395" s="27"/>
    </row>
    <row r="31396" spans="1:1">
      <c r="A31396" s="27"/>
    </row>
    <row r="31397" spans="1:1">
      <c r="A31397" s="27"/>
    </row>
    <row r="31398" spans="1:1">
      <c r="A31398" s="27"/>
    </row>
    <row r="31399" spans="1:1">
      <c r="A31399" s="27"/>
    </row>
    <row r="31400" spans="1:1">
      <c r="A31400" s="27"/>
    </row>
    <row r="31401" spans="1:1">
      <c r="A31401" s="27"/>
    </row>
    <row r="31402" spans="1:1">
      <c r="A31402" s="27"/>
    </row>
    <row r="31403" spans="1:1">
      <c r="A31403" s="27"/>
    </row>
    <row r="31404" spans="1:1">
      <c r="A31404" s="27"/>
    </row>
    <row r="31405" spans="1:1">
      <c r="A31405" s="27"/>
    </row>
    <row r="31406" spans="1:1">
      <c r="A31406" s="27"/>
    </row>
    <row r="31407" spans="1:1">
      <c r="A31407" s="27"/>
    </row>
    <row r="31408" spans="1:1">
      <c r="A31408" s="27"/>
    </row>
    <row r="31409" spans="1:1">
      <c r="A31409" s="27"/>
    </row>
    <row r="31410" spans="1:1">
      <c r="A31410" s="27"/>
    </row>
    <row r="31411" spans="1:1">
      <c r="A31411" s="27"/>
    </row>
    <row r="31412" spans="1:1">
      <c r="A31412" s="27"/>
    </row>
    <row r="31413" spans="1:1">
      <c r="A31413" s="27"/>
    </row>
    <row r="31414" spans="1:1">
      <c r="A31414" s="27"/>
    </row>
    <row r="31415" spans="1:1">
      <c r="A31415" s="27"/>
    </row>
    <row r="31416" spans="1:1">
      <c r="A31416" s="27"/>
    </row>
    <row r="31417" spans="1:1">
      <c r="A31417" s="27"/>
    </row>
    <row r="31418" spans="1:1">
      <c r="A31418" s="27"/>
    </row>
    <row r="31419" spans="1:1">
      <c r="A31419" s="27"/>
    </row>
    <row r="31420" spans="1:1">
      <c r="A31420" s="27"/>
    </row>
    <row r="31421" spans="1:1">
      <c r="A31421" s="27"/>
    </row>
    <row r="31422" spans="1:1">
      <c r="A31422" s="27"/>
    </row>
    <row r="31423" spans="1:1">
      <c r="A31423" s="27"/>
    </row>
    <row r="31424" spans="1:1">
      <c r="A31424" s="27"/>
    </row>
    <row r="31425" spans="1:1">
      <c r="A31425" s="27"/>
    </row>
    <row r="31426" spans="1:1">
      <c r="A31426" s="27"/>
    </row>
    <row r="31427" spans="1:1">
      <c r="A31427" s="27"/>
    </row>
    <row r="31428" spans="1:1">
      <c r="A31428" s="27"/>
    </row>
    <row r="31429" spans="1:1">
      <c r="A31429" s="27"/>
    </row>
    <row r="31430" spans="1:1">
      <c r="A31430" s="27"/>
    </row>
    <row r="31431" spans="1:1">
      <c r="A31431" s="27"/>
    </row>
    <row r="31432" spans="1:1">
      <c r="A31432" s="27"/>
    </row>
    <row r="31433" spans="1:1">
      <c r="A31433" s="27"/>
    </row>
    <row r="31434" spans="1:1">
      <c r="A31434" s="27"/>
    </row>
    <row r="31435" spans="1:1">
      <c r="A31435" s="27"/>
    </row>
    <row r="31436" spans="1:1">
      <c r="A31436" s="27"/>
    </row>
    <row r="31437" spans="1:1">
      <c r="A31437" s="27"/>
    </row>
    <row r="31438" spans="1:1">
      <c r="A31438" s="27"/>
    </row>
    <row r="31439" spans="1:1">
      <c r="A31439" s="27"/>
    </row>
    <row r="31440" spans="1:1">
      <c r="A31440" s="27"/>
    </row>
    <row r="31441" spans="1:1">
      <c r="A31441" s="27"/>
    </row>
    <row r="31442" spans="1:1">
      <c r="A31442" s="27"/>
    </row>
    <row r="31443" spans="1:1">
      <c r="A31443" s="27"/>
    </row>
    <row r="31444" spans="1:1">
      <c r="A31444" s="27"/>
    </row>
    <row r="31445" spans="1:1">
      <c r="A31445" s="27"/>
    </row>
    <row r="31446" spans="1:1">
      <c r="A31446" s="27"/>
    </row>
    <row r="31447" spans="1:1">
      <c r="A31447" s="27"/>
    </row>
    <row r="31448" spans="1:1">
      <c r="A31448" s="27"/>
    </row>
    <row r="31449" spans="1:1">
      <c r="A31449" s="27"/>
    </row>
    <row r="31450" spans="1:1">
      <c r="A31450" s="27"/>
    </row>
    <row r="31451" spans="1:1">
      <c r="A31451" s="27"/>
    </row>
    <row r="31452" spans="1:1">
      <c r="A31452" s="27"/>
    </row>
    <row r="31453" spans="1:1">
      <c r="A31453" s="27"/>
    </row>
    <row r="31454" spans="1:1">
      <c r="A31454" s="27"/>
    </row>
    <row r="31455" spans="1:1">
      <c r="A31455" s="27"/>
    </row>
    <row r="31456" spans="1:1">
      <c r="A31456" s="27"/>
    </row>
    <row r="31457" spans="1:1">
      <c r="A31457" s="27"/>
    </row>
    <row r="31458" spans="1:1">
      <c r="A31458" s="27"/>
    </row>
    <row r="31459" spans="1:1">
      <c r="A31459" s="27"/>
    </row>
    <row r="31460" spans="1:1">
      <c r="A31460" s="27"/>
    </row>
    <row r="31461" spans="1:1">
      <c r="A31461" s="27"/>
    </row>
    <row r="31462" spans="1:1">
      <c r="A31462" s="27"/>
    </row>
    <row r="31463" spans="1:1">
      <c r="A31463" s="27"/>
    </row>
    <row r="31464" spans="1:1">
      <c r="A31464" s="27"/>
    </row>
    <row r="31465" spans="1:1">
      <c r="A31465" s="27"/>
    </row>
    <row r="31466" spans="1:1">
      <c r="A31466" s="27"/>
    </row>
    <row r="31467" spans="1:1">
      <c r="A31467" s="27"/>
    </row>
    <row r="31468" spans="1:1">
      <c r="A31468" s="27"/>
    </row>
    <row r="31469" spans="1:1">
      <c r="A31469" s="27"/>
    </row>
    <row r="31470" spans="1:1">
      <c r="A31470" s="27"/>
    </row>
    <row r="31471" spans="1:1">
      <c r="A31471" s="27"/>
    </row>
    <row r="31472" spans="1:1">
      <c r="A31472" s="27"/>
    </row>
    <row r="31473" spans="1:1">
      <c r="A31473" s="27"/>
    </row>
    <row r="31474" spans="1:1">
      <c r="A31474" s="27"/>
    </row>
    <row r="31475" spans="1:1">
      <c r="A31475" s="27"/>
    </row>
    <row r="31476" spans="1:1">
      <c r="A31476" s="27"/>
    </row>
    <row r="31477" spans="1:1">
      <c r="A31477" s="27"/>
    </row>
    <row r="31478" spans="1:1">
      <c r="A31478" s="27"/>
    </row>
    <row r="31479" spans="1:1">
      <c r="A31479" s="27"/>
    </row>
    <row r="31480" spans="1:1">
      <c r="A31480" s="27"/>
    </row>
    <row r="31481" spans="1:1">
      <c r="A31481" s="27"/>
    </row>
    <row r="31482" spans="1:1">
      <c r="A31482" s="27"/>
    </row>
    <row r="31483" spans="1:1">
      <c r="A31483" s="27"/>
    </row>
    <row r="31484" spans="1:1">
      <c r="A31484" s="27"/>
    </row>
    <row r="31485" spans="1:1">
      <c r="A31485" s="27"/>
    </row>
    <row r="31486" spans="1:1">
      <c r="A31486" s="27"/>
    </row>
    <row r="31487" spans="1:1">
      <c r="A31487" s="27"/>
    </row>
    <row r="31488" spans="1:1">
      <c r="A31488" s="27"/>
    </row>
    <row r="31489" spans="1:1">
      <c r="A31489" s="27"/>
    </row>
    <row r="31490" spans="1:1">
      <c r="A31490" s="27"/>
    </row>
    <row r="31491" spans="1:1">
      <c r="A31491" s="27"/>
    </row>
    <row r="31492" spans="1:1">
      <c r="A31492" s="27"/>
    </row>
    <row r="31493" spans="1:1">
      <c r="A31493" s="27"/>
    </row>
    <row r="31494" spans="1:1">
      <c r="A31494" s="27"/>
    </row>
    <row r="31495" spans="1:1">
      <c r="A31495" s="27"/>
    </row>
    <row r="31496" spans="1:1">
      <c r="A31496" s="27"/>
    </row>
    <row r="31497" spans="1:1">
      <c r="A31497" s="27"/>
    </row>
    <row r="31498" spans="1:1">
      <c r="A31498" s="27"/>
    </row>
    <row r="31499" spans="1:1">
      <c r="A31499" s="27"/>
    </row>
    <row r="31500" spans="1:1">
      <c r="A31500" s="27"/>
    </row>
    <row r="31501" spans="1:1">
      <c r="A31501" s="27"/>
    </row>
    <row r="31502" spans="1:1">
      <c r="A31502" s="27"/>
    </row>
    <row r="31503" spans="1:1">
      <c r="A31503" s="27"/>
    </row>
    <row r="31504" spans="1:1">
      <c r="A31504" s="27"/>
    </row>
    <row r="31505" spans="1:1">
      <c r="A31505" s="27"/>
    </row>
    <row r="31506" spans="1:1">
      <c r="A31506" s="27"/>
    </row>
    <row r="31507" spans="1:1">
      <c r="A31507" s="27"/>
    </row>
    <row r="31508" spans="1:1">
      <c r="A31508" s="27"/>
    </row>
    <row r="31509" spans="1:1">
      <c r="A31509" s="27"/>
    </row>
    <row r="31510" spans="1:1">
      <c r="A31510" s="27"/>
    </row>
    <row r="31511" spans="1:1">
      <c r="A31511" s="27"/>
    </row>
    <row r="31512" spans="1:1">
      <c r="A31512" s="27"/>
    </row>
    <row r="31513" spans="1:1">
      <c r="A31513" s="27"/>
    </row>
    <row r="31514" spans="1:1">
      <c r="A31514" s="27"/>
    </row>
    <row r="31515" spans="1:1">
      <c r="A31515" s="27"/>
    </row>
    <row r="31516" spans="1:1">
      <c r="A31516" s="27"/>
    </row>
    <row r="31517" spans="1:1">
      <c r="A31517" s="27"/>
    </row>
    <row r="31518" spans="1:1">
      <c r="A31518" s="27"/>
    </row>
    <row r="31519" spans="1:1">
      <c r="A31519" s="27"/>
    </row>
    <row r="31520" spans="1:1">
      <c r="A31520" s="27"/>
    </row>
    <row r="31521" spans="1:1">
      <c r="A31521" s="27"/>
    </row>
    <row r="31522" spans="1:1">
      <c r="A31522" s="27"/>
    </row>
    <row r="31523" spans="1:1">
      <c r="A31523" s="27"/>
    </row>
    <row r="31524" spans="1:1">
      <c r="A31524" s="27"/>
    </row>
    <row r="31525" spans="1:1">
      <c r="A31525" s="27"/>
    </row>
    <row r="31526" spans="1:1">
      <c r="A31526" s="27"/>
    </row>
    <row r="31527" spans="1:1">
      <c r="A31527" s="27"/>
    </row>
    <row r="31528" spans="1:1">
      <c r="A31528" s="27"/>
    </row>
    <row r="31529" spans="1:1">
      <c r="A31529" s="27"/>
    </row>
    <row r="31530" spans="1:1">
      <c r="A31530" s="27"/>
    </row>
    <row r="31531" spans="1:1">
      <c r="A31531" s="27"/>
    </row>
    <row r="31532" spans="1:1">
      <c r="A31532" s="27"/>
    </row>
    <row r="31533" spans="1:1">
      <c r="A31533" s="27"/>
    </row>
    <row r="31534" spans="1:1">
      <c r="A31534" s="27"/>
    </row>
    <row r="31535" spans="1:1">
      <c r="A31535" s="27"/>
    </row>
    <row r="31536" spans="1:1">
      <c r="A31536" s="27"/>
    </row>
    <row r="31537" spans="1:1">
      <c r="A31537" s="27"/>
    </row>
    <row r="31538" spans="1:1">
      <c r="A31538" s="27"/>
    </row>
    <row r="31539" spans="1:1">
      <c r="A31539" s="27"/>
    </row>
    <row r="31540" spans="1:1">
      <c r="A31540" s="27"/>
    </row>
    <row r="31541" spans="1:1">
      <c r="A31541" s="27"/>
    </row>
    <row r="31542" spans="1:1">
      <c r="A31542" s="27"/>
    </row>
    <row r="31543" spans="1:1">
      <c r="A31543" s="27"/>
    </row>
    <row r="31544" spans="1:1">
      <c r="A31544" s="27"/>
    </row>
    <row r="31545" spans="1:1">
      <c r="A31545" s="27"/>
    </row>
    <row r="31546" spans="1:1">
      <c r="A31546" s="27"/>
    </row>
    <row r="31547" spans="1:1">
      <c r="A31547" s="27"/>
    </row>
    <row r="31548" spans="1:1">
      <c r="A31548" s="27"/>
    </row>
    <row r="31549" spans="1:1">
      <c r="A31549" s="27"/>
    </row>
    <row r="31550" spans="1:1">
      <c r="A31550" s="27"/>
    </row>
    <row r="31551" spans="1:1">
      <c r="A31551" s="27"/>
    </row>
    <row r="31552" spans="1:1">
      <c r="A31552" s="27"/>
    </row>
    <row r="31553" spans="1:1">
      <c r="A31553" s="27"/>
    </row>
    <row r="31554" spans="1:1">
      <c r="A31554" s="27"/>
    </row>
    <row r="31555" spans="1:1">
      <c r="A31555" s="27"/>
    </row>
    <row r="31556" spans="1:1">
      <c r="A31556" s="27"/>
    </row>
    <row r="31557" spans="1:1">
      <c r="A31557" s="27"/>
    </row>
    <row r="31558" spans="1:1">
      <c r="A31558" s="27"/>
    </row>
    <row r="31559" spans="1:1">
      <c r="A31559" s="27"/>
    </row>
    <row r="31560" spans="1:1">
      <c r="A31560" s="27"/>
    </row>
    <row r="31561" spans="1:1">
      <c r="A31561" s="27"/>
    </row>
    <row r="31562" spans="1:1">
      <c r="A31562" s="27"/>
    </row>
    <row r="31563" spans="1:1">
      <c r="A31563" s="27"/>
    </row>
    <row r="31564" spans="1:1">
      <c r="A31564" s="27"/>
    </row>
    <row r="31565" spans="1:1">
      <c r="A31565" s="27"/>
    </row>
    <row r="31566" spans="1:1">
      <c r="A31566" s="27"/>
    </row>
    <row r="31567" spans="1:1">
      <c r="A31567" s="27"/>
    </row>
    <row r="31568" spans="1:1">
      <c r="A31568" s="27"/>
    </row>
    <row r="31569" spans="1:1">
      <c r="A31569" s="27"/>
    </row>
    <row r="31570" spans="1:1">
      <c r="A31570" s="27"/>
    </row>
    <row r="31571" spans="1:1">
      <c r="A31571" s="27"/>
    </row>
    <row r="31572" spans="1:1">
      <c r="A31572" s="27"/>
    </row>
    <row r="31573" spans="1:1">
      <c r="A31573" s="27"/>
    </row>
    <row r="31574" spans="1:1">
      <c r="A31574" s="27"/>
    </row>
    <row r="31575" spans="1:1">
      <c r="A31575" s="27"/>
    </row>
    <row r="31576" spans="1:1">
      <c r="A31576" s="27"/>
    </row>
    <row r="31577" spans="1:1">
      <c r="A31577" s="27"/>
    </row>
    <row r="31578" spans="1:1">
      <c r="A31578" s="27"/>
    </row>
    <row r="31579" spans="1:1">
      <c r="A31579" s="27"/>
    </row>
    <row r="31580" spans="1:1">
      <c r="A31580" s="27"/>
    </row>
    <row r="31581" spans="1:1">
      <c r="A31581" s="27"/>
    </row>
    <row r="31582" spans="1:1">
      <c r="A31582" s="27"/>
    </row>
    <row r="31583" spans="1:1">
      <c r="A31583" s="27"/>
    </row>
    <row r="31584" spans="1:1">
      <c r="A31584" s="27"/>
    </row>
    <row r="31585" spans="1:1">
      <c r="A31585" s="27"/>
    </row>
    <row r="31586" spans="1:1">
      <c r="A31586" s="27"/>
    </row>
    <row r="31587" spans="1:1">
      <c r="A31587" s="27"/>
    </row>
    <row r="31588" spans="1:1">
      <c r="A31588" s="27"/>
    </row>
    <row r="31589" spans="1:1">
      <c r="A31589" s="27"/>
    </row>
    <row r="31590" spans="1:1">
      <c r="A31590" s="27"/>
    </row>
    <row r="31591" spans="1:1">
      <c r="A31591" s="27"/>
    </row>
    <row r="31592" spans="1:1">
      <c r="A31592" s="27"/>
    </row>
    <row r="31593" spans="1:1">
      <c r="A31593" s="27"/>
    </row>
    <row r="31594" spans="1:1">
      <c r="A31594" s="27"/>
    </row>
    <row r="31595" spans="1:1">
      <c r="A31595" s="27"/>
    </row>
    <row r="31596" spans="1:1">
      <c r="A31596" s="27"/>
    </row>
    <row r="31597" spans="1:1">
      <c r="A31597" s="27"/>
    </row>
    <row r="31598" spans="1:1">
      <c r="A31598" s="27"/>
    </row>
    <row r="31599" spans="1:1">
      <c r="A31599" s="27"/>
    </row>
    <row r="31600" spans="1:1">
      <c r="A31600" s="27"/>
    </row>
    <row r="31601" spans="1:1">
      <c r="A31601" s="27"/>
    </row>
    <row r="31602" spans="1:1">
      <c r="A31602" s="27"/>
    </row>
    <row r="31603" spans="1:1">
      <c r="A31603" s="27"/>
    </row>
    <row r="31604" spans="1:1">
      <c r="A31604" s="27"/>
    </row>
    <row r="31605" spans="1:1">
      <c r="A31605" s="27"/>
    </row>
    <row r="31606" spans="1:1">
      <c r="A31606" s="27"/>
    </row>
    <row r="31607" spans="1:1">
      <c r="A31607" s="27"/>
    </row>
    <row r="31608" spans="1:1">
      <c r="A31608" s="27"/>
    </row>
    <row r="31609" spans="1:1">
      <c r="A31609" s="27"/>
    </row>
    <row r="31610" spans="1:1">
      <c r="A31610" s="27"/>
    </row>
    <row r="31611" spans="1:1">
      <c r="A31611" s="27"/>
    </row>
    <row r="31612" spans="1:1">
      <c r="A31612" s="27"/>
    </row>
    <row r="31613" spans="1:1">
      <c r="A31613" s="27"/>
    </row>
    <row r="31614" spans="1:1">
      <c r="A31614" s="27"/>
    </row>
    <row r="31615" spans="1:1">
      <c r="A31615" s="27"/>
    </row>
    <row r="31616" spans="1:1">
      <c r="A31616" s="27"/>
    </row>
    <row r="31617" spans="1:1">
      <c r="A31617" s="27"/>
    </row>
    <row r="31618" spans="1:1">
      <c r="A31618" s="27"/>
    </row>
    <row r="31619" spans="1:1">
      <c r="A31619" s="27"/>
    </row>
    <row r="31620" spans="1:1">
      <c r="A31620" s="27"/>
    </row>
    <row r="31621" spans="1:1">
      <c r="A31621" s="27"/>
    </row>
    <row r="31622" spans="1:1">
      <c r="A31622" s="27"/>
    </row>
    <row r="31623" spans="1:1">
      <c r="A31623" s="27"/>
    </row>
    <row r="31624" spans="1:1">
      <c r="A31624" s="27"/>
    </row>
    <row r="31625" spans="1:1">
      <c r="A31625" s="27"/>
    </row>
    <row r="31626" spans="1:1">
      <c r="A31626" s="27"/>
    </row>
    <row r="31627" spans="1:1">
      <c r="A31627" s="27"/>
    </row>
    <row r="31628" spans="1:1">
      <c r="A31628" s="27"/>
    </row>
    <row r="31629" spans="1:1">
      <c r="A31629" s="27"/>
    </row>
    <row r="31630" spans="1:1">
      <c r="A31630" s="27"/>
    </row>
    <row r="31631" spans="1:1">
      <c r="A31631" s="27"/>
    </row>
    <row r="31632" spans="1:1">
      <c r="A31632" s="27"/>
    </row>
    <row r="31633" spans="1:1">
      <c r="A31633" s="27"/>
    </row>
    <row r="31634" spans="1:1">
      <c r="A31634" s="27"/>
    </row>
    <row r="31635" spans="1:1">
      <c r="A31635" s="27"/>
    </row>
    <row r="31636" spans="1:1">
      <c r="A31636" s="27"/>
    </row>
    <row r="31637" spans="1:1">
      <c r="A31637" s="27"/>
    </row>
    <row r="31638" spans="1:1">
      <c r="A31638" s="27"/>
    </row>
    <row r="31639" spans="1:1">
      <c r="A31639" s="27"/>
    </row>
    <row r="31640" spans="1:1">
      <c r="A31640" s="27"/>
    </row>
    <row r="31641" spans="1:1">
      <c r="A31641" s="27"/>
    </row>
    <row r="31642" spans="1:1">
      <c r="A31642" s="27"/>
    </row>
    <row r="31643" spans="1:1">
      <c r="A31643" s="27"/>
    </row>
    <row r="31644" spans="1:1">
      <c r="A31644" s="27"/>
    </row>
    <row r="31645" spans="1:1">
      <c r="A31645" s="27"/>
    </row>
    <row r="31646" spans="1:1">
      <c r="A31646" s="27"/>
    </row>
    <row r="31647" spans="1:1">
      <c r="A31647" s="27"/>
    </row>
    <row r="31648" spans="1:1">
      <c r="A31648" s="27"/>
    </row>
    <row r="31649" spans="1:1">
      <c r="A31649" s="27"/>
    </row>
    <row r="31650" spans="1:1">
      <c r="A31650" s="27"/>
    </row>
    <row r="31651" spans="1:1">
      <c r="A31651" s="27"/>
    </row>
    <row r="31652" spans="1:1">
      <c r="A31652" s="27"/>
    </row>
    <row r="31653" spans="1:1">
      <c r="A31653" s="27"/>
    </row>
    <row r="31654" spans="1:1">
      <c r="A31654" s="27"/>
    </row>
    <row r="31655" spans="1:1">
      <c r="A31655" s="27"/>
    </row>
    <row r="31656" spans="1:1">
      <c r="A31656" s="27"/>
    </row>
    <row r="31657" spans="1:1">
      <c r="A31657" s="27"/>
    </row>
    <row r="31658" spans="1:1">
      <c r="A31658" s="27"/>
    </row>
    <row r="31659" spans="1:1">
      <c r="A31659" s="27"/>
    </row>
    <row r="31660" spans="1:1">
      <c r="A31660" s="27"/>
    </row>
    <row r="31661" spans="1:1">
      <c r="A31661" s="27"/>
    </row>
    <row r="31662" spans="1:1">
      <c r="A31662" s="27"/>
    </row>
    <row r="31663" spans="1:1">
      <c r="A31663" s="27"/>
    </row>
    <row r="31664" spans="1:1">
      <c r="A31664" s="27"/>
    </row>
    <row r="31665" spans="1:1">
      <c r="A31665" s="27"/>
    </row>
    <row r="31666" spans="1:1">
      <c r="A31666" s="27"/>
    </row>
    <row r="31667" spans="1:1">
      <c r="A31667" s="27"/>
    </row>
    <row r="31668" spans="1:1">
      <c r="A31668" s="27"/>
    </row>
    <row r="31669" spans="1:1">
      <c r="A31669" s="27"/>
    </row>
    <row r="31670" spans="1:1">
      <c r="A31670" s="27"/>
    </row>
    <row r="31671" spans="1:1">
      <c r="A31671" s="27"/>
    </row>
    <row r="31672" spans="1:1">
      <c r="A31672" s="27"/>
    </row>
    <row r="31673" spans="1:1">
      <c r="A31673" s="27"/>
    </row>
    <row r="31674" spans="1:1">
      <c r="A31674" s="27"/>
    </row>
    <row r="31675" spans="1:1">
      <c r="A31675" s="27"/>
    </row>
    <row r="31676" spans="1:1">
      <c r="A31676" s="27"/>
    </row>
    <row r="31677" spans="1:1">
      <c r="A31677" s="27"/>
    </row>
    <row r="31678" spans="1:1">
      <c r="A31678" s="27"/>
    </row>
    <row r="31679" spans="1:1">
      <c r="A31679" s="27"/>
    </row>
    <row r="31680" spans="1:1">
      <c r="A31680" s="27"/>
    </row>
    <row r="31681" spans="1:1">
      <c r="A31681" s="27"/>
    </row>
    <row r="31682" spans="1:1">
      <c r="A31682" s="27"/>
    </row>
    <row r="31683" spans="1:1">
      <c r="A31683" s="27"/>
    </row>
    <row r="31684" spans="1:1">
      <c r="A31684" s="27"/>
    </row>
    <row r="31685" spans="1:1">
      <c r="A31685" s="27"/>
    </row>
    <row r="31686" spans="1:1">
      <c r="A31686" s="27"/>
    </row>
    <row r="31687" spans="1:1">
      <c r="A31687" s="27"/>
    </row>
    <row r="31688" spans="1:1">
      <c r="A31688" s="27"/>
    </row>
    <row r="31689" spans="1:1">
      <c r="A31689" s="27"/>
    </row>
    <row r="31690" spans="1:1">
      <c r="A31690" s="27"/>
    </row>
    <row r="31691" spans="1:1">
      <c r="A31691" s="27"/>
    </row>
    <row r="31692" spans="1:1">
      <c r="A31692" s="27"/>
    </row>
    <row r="31693" spans="1:1">
      <c r="A31693" s="27"/>
    </row>
    <row r="31694" spans="1:1">
      <c r="A31694" s="27"/>
    </row>
    <row r="31695" spans="1:1">
      <c r="A31695" s="27"/>
    </row>
    <row r="31696" spans="1:1">
      <c r="A31696" s="27"/>
    </row>
    <row r="31697" spans="1:1">
      <c r="A31697" s="27"/>
    </row>
    <row r="31698" spans="1:1">
      <c r="A31698" s="27"/>
    </row>
    <row r="31699" spans="1:1">
      <c r="A31699" s="27"/>
    </row>
    <row r="31700" spans="1:1">
      <c r="A31700" s="27"/>
    </row>
    <row r="31701" spans="1:1">
      <c r="A31701" s="27"/>
    </row>
    <row r="31702" spans="1:1">
      <c r="A31702" s="27"/>
    </row>
    <row r="31703" spans="1:1">
      <c r="A31703" s="27"/>
    </row>
    <row r="31704" spans="1:1">
      <c r="A31704" s="27"/>
    </row>
    <row r="31705" spans="1:1">
      <c r="A31705" s="27"/>
    </row>
    <row r="31706" spans="1:1">
      <c r="A31706" s="27"/>
    </row>
    <row r="31707" spans="1:1">
      <c r="A31707" s="27"/>
    </row>
    <row r="31708" spans="1:1">
      <c r="A31708" s="27"/>
    </row>
    <row r="31709" spans="1:1">
      <c r="A31709" s="27"/>
    </row>
    <row r="31710" spans="1:1">
      <c r="A31710" s="27"/>
    </row>
    <row r="31711" spans="1:1">
      <c r="A31711" s="27"/>
    </row>
    <row r="31712" spans="1:1">
      <c r="A31712" s="27"/>
    </row>
    <row r="31713" spans="1:1">
      <c r="A31713" s="27"/>
    </row>
    <row r="31714" spans="1:1">
      <c r="A31714" s="27"/>
    </row>
    <row r="31715" spans="1:1">
      <c r="A31715" s="27"/>
    </row>
    <row r="31716" spans="1:1">
      <c r="A31716" s="27"/>
    </row>
    <row r="31717" spans="1:1">
      <c r="A31717" s="27"/>
    </row>
    <row r="31718" spans="1:1">
      <c r="A31718" s="27"/>
    </row>
    <row r="31719" spans="1:1">
      <c r="A31719" s="27"/>
    </row>
    <row r="31720" spans="1:1">
      <c r="A31720" s="27"/>
    </row>
    <row r="31721" spans="1:1">
      <c r="A31721" s="27"/>
    </row>
    <row r="31722" spans="1:1">
      <c r="A31722" s="27"/>
    </row>
    <row r="31723" spans="1:1">
      <c r="A31723" s="27"/>
    </row>
    <row r="31724" spans="1:1">
      <c r="A31724" s="27"/>
    </row>
    <row r="31725" spans="1:1">
      <c r="A31725" s="27"/>
    </row>
    <row r="31726" spans="1:1">
      <c r="A31726" s="27"/>
    </row>
    <row r="31727" spans="1:1">
      <c r="A31727" s="27"/>
    </row>
    <row r="31728" spans="1:1">
      <c r="A31728" s="27"/>
    </row>
    <row r="31729" spans="1:1">
      <c r="A31729" s="27"/>
    </row>
    <row r="31730" spans="1:1">
      <c r="A31730" s="27"/>
    </row>
    <row r="31731" spans="1:1">
      <c r="A31731" s="27"/>
    </row>
    <row r="31732" spans="1:1">
      <c r="A31732" s="27"/>
    </row>
    <row r="31733" spans="1:1">
      <c r="A31733" s="27"/>
    </row>
    <row r="31734" spans="1:1">
      <c r="A31734" s="27"/>
    </row>
    <row r="31735" spans="1:1">
      <c r="A31735" s="27"/>
    </row>
    <row r="31736" spans="1:1">
      <c r="A31736" s="27"/>
    </row>
    <row r="31737" spans="1:1">
      <c r="A31737" s="27"/>
    </row>
    <row r="31738" spans="1:1">
      <c r="A31738" s="27"/>
    </row>
    <row r="31739" spans="1:1">
      <c r="A31739" s="27"/>
    </row>
    <row r="31740" spans="1:1">
      <c r="A31740" s="27"/>
    </row>
    <row r="31741" spans="1:1">
      <c r="A31741" s="27"/>
    </row>
    <row r="31742" spans="1:1">
      <c r="A31742" s="27"/>
    </row>
    <row r="31743" spans="1:1">
      <c r="A31743" s="27"/>
    </row>
    <row r="31744" spans="1:1">
      <c r="A31744" s="27"/>
    </row>
    <row r="31745" spans="1:1">
      <c r="A31745" s="27"/>
    </row>
    <row r="31746" spans="1:1">
      <c r="A31746" s="27"/>
    </row>
    <row r="31747" spans="1:1">
      <c r="A31747" s="27"/>
    </row>
    <row r="31748" spans="1:1">
      <c r="A31748" s="27"/>
    </row>
    <row r="31749" spans="1:1">
      <c r="A31749" s="27"/>
    </row>
    <row r="31750" spans="1:1">
      <c r="A31750" s="27"/>
    </row>
    <row r="31751" spans="1:1">
      <c r="A31751" s="27"/>
    </row>
    <row r="31752" spans="1:1">
      <c r="A31752" s="27"/>
    </row>
    <row r="31753" spans="1:1">
      <c r="A31753" s="27"/>
    </row>
    <row r="31754" spans="1:1">
      <c r="A31754" s="27"/>
    </row>
    <row r="31755" spans="1:1">
      <c r="A31755" s="27"/>
    </row>
    <row r="31756" spans="1:1">
      <c r="A31756" s="27"/>
    </row>
    <row r="31757" spans="1:1">
      <c r="A31757" s="27"/>
    </row>
    <row r="31758" spans="1:1">
      <c r="A31758" s="27"/>
    </row>
    <row r="31759" spans="1:1">
      <c r="A31759" s="27"/>
    </row>
    <row r="31760" spans="1:1">
      <c r="A31760" s="27"/>
    </row>
    <row r="31761" spans="1:1">
      <c r="A31761" s="27"/>
    </row>
    <row r="31762" spans="1:1">
      <c r="A31762" s="27"/>
    </row>
    <row r="31763" spans="1:1">
      <c r="A31763" s="27"/>
    </row>
    <row r="31764" spans="1:1">
      <c r="A31764" s="27"/>
    </row>
    <row r="31765" spans="1:1">
      <c r="A31765" s="27"/>
    </row>
    <row r="31766" spans="1:1">
      <c r="A31766" s="27"/>
    </row>
    <row r="31767" spans="1:1">
      <c r="A31767" s="27"/>
    </row>
    <row r="31768" spans="1:1">
      <c r="A31768" s="27"/>
    </row>
    <row r="31769" spans="1:1">
      <c r="A31769" s="27"/>
    </row>
    <row r="31770" spans="1:1">
      <c r="A31770" s="27"/>
    </row>
    <row r="31771" spans="1:1">
      <c r="A31771" s="27"/>
    </row>
    <row r="31772" spans="1:1">
      <c r="A31772" s="27"/>
    </row>
    <row r="31773" spans="1:1">
      <c r="A31773" s="27"/>
    </row>
    <row r="31774" spans="1:1">
      <c r="A31774" s="27"/>
    </row>
    <row r="31775" spans="1:1">
      <c r="A31775" s="27"/>
    </row>
    <row r="31776" spans="1:1">
      <c r="A31776" s="27"/>
    </row>
    <row r="31777" spans="1:1">
      <c r="A31777" s="27"/>
    </row>
    <row r="31778" spans="1:1">
      <c r="A31778" s="27"/>
    </row>
    <row r="31779" spans="1:1">
      <c r="A31779" s="27"/>
    </row>
    <row r="31780" spans="1:1">
      <c r="A31780" s="27"/>
    </row>
    <row r="31781" spans="1:1">
      <c r="A31781" s="27"/>
    </row>
    <row r="31782" spans="1:1">
      <c r="A31782" s="27"/>
    </row>
    <row r="31783" spans="1:1">
      <c r="A31783" s="27"/>
    </row>
    <row r="31784" spans="1:1">
      <c r="A31784" s="27"/>
    </row>
    <row r="31785" spans="1:1">
      <c r="A31785" s="27"/>
    </row>
    <row r="31786" spans="1:1">
      <c r="A31786" s="27"/>
    </row>
    <row r="31787" spans="1:1">
      <c r="A31787" s="27"/>
    </row>
    <row r="31788" spans="1:1">
      <c r="A31788" s="27"/>
    </row>
    <row r="31789" spans="1:1">
      <c r="A31789" s="27"/>
    </row>
    <row r="31790" spans="1:1">
      <c r="A31790" s="27"/>
    </row>
    <row r="31791" spans="1:1">
      <c r="A31791" s="27"/>
    </row>
    <row r="31792" spans="1:1">
      <c r="A31792" s="27"/>
    </row>
    <row r="31793" spans="1:1">
      <c r="A31793" s="27"/>
    </row>
    <row r="31794" spans="1:1">
      <c r="A31794" s="27"/>
    </row>
    <row r="31795" spans="1:1">
      <c r="A31795" s="27"/>
    </row>
    <row r="31796" spans="1:1">
      <c r="A31796" s="27"/>
    </row>
    <row r="31797" spans="1:1">
      <c r="A31797" s="27"/>
    </row>
    <row r="31798" spans="1:1">
      <c r="A31798" s="27"/>
    </row>
    <row r="31799" spans="1:1">
      <c r="A31799" s="27"/>
    </row>
    <row r="31800" spans="1:1">
      <c r="A31800" s="27"/>
    </row>
    <row r="31801" spans="1:1">
      <c r="A31801" s="27"/>
    </row>
    <row r="31802" spans="1:1">
      <c r="A31802" s="27"/>
    </row>
    <row r="31803" spans="1:1">
      <c r="A31803" s="27"/>
    </row>
    <row r="31804" spans="1:1">
      <c r="A31804" s="27"/>
    </row>
    <row r="31805" spans="1:1">
      <c r="A31805" s="27"/>
    </row>
    <row r="31806" spans="1:1">
      <c r="A31806" s="27"/>
    </row>
    <row r="31807" spans="1:1">
      <c r="A31807" s="27"/>
    </row>
    <row r="31808" spans="1:1">
      <c r="A31808" s="27"/>
    </row>
    <row r="31809" spans="1:1">
      <c r="A31809" s="27"/>
    </row>
    <row r="31810" spans="1:1">
      <c r="A31810" s="27"/>
    </row>
    <row r="31811" spans="1:1">
      <c r="A31811" s="27"/>
    </row>
    <row r="31812" spans="1:1">
      <c r="A31812" s="27"/>
    </row>
    <row r="31813" spans="1:1">
      <c r="A31813" s="27"/>
    </row>
    <row r="31814" spans="1:1">
      <c r="A31814" s="27"/>
    </row>
    <row r="31815" spans="1:1">
      <c r="A31815" s="27"/>
    </row>
    <row r="31816" spans="1:1">
      <c r="A31816" s="27"/>
    </row>
    <row r="31817" spans="1:1">
      <c r="A31817" s="27"/>
    </row>
    <row r="31818" spans="1:1">
      <c r="A31818" s="27"/>
    </row>
    <row r="31819" spans="1:1">
      <c r="A31819" s="27"/>
    </row>
    <row r="31820" spans="1:1">
      <c r="A31820" s="27"/>
    </row>
    <row r="31821" spans="1:1">
      <c r="A31821" s="27"/>
    </row>
    <row r="31822" spans="1:1">
      <c r="A31822" s="27"/>
    </row>
    <row r="31823" spans="1:1">
      <c r="A31823" s="27"/>
    </row>
    <row r="31824" spans="1:1">
      <c r="A31824" s="27"/>
    </row>
    <row r="31825" spans="1:1">
      <c r="A31825" s="27"/>
    </row>
    <row r="31826" spans="1:1">
      <c r="A31826" s="27"/>
    </row>
    <row r="31827" spans="1:1">
      <c r="A31827" s="27"/>
    </row>
    <row r="31828" spans="1:1">
      <c r="A31828" s="27"/>
    </row>
    <row r="31829" spans="1:1">
      <c r="A31829" s="27"/>
    </row>
    <row r="31830" spans="1:1">
      <c r="A31830" s="27"/>
    </row>
    <row r="31831" spans="1:1">
      <c r="A31831" s="27"/>
    </row>
    <row r="31832" spans="1:1">
      <c r="A31832" s="27"/>
    </row>
    <row r="31833" spans="1:1">
      <c r="A31833" s="27"/>
    </row>
    <row r="31834" spans="1:1">
      <c r="A31834" s="27"/>
    </row>
    <row r="31835" spans="1:1">
      <c r="A31835" s="27"/>
    </row>
    <row r="31836" spans="1:1">
      <c r="A31836" s="27"/>
    </row>
    <row r="31837" spans="1:1">
      <c r="A31837" s="27"/>
    </row>
    <row r="31838" spans="1:1">
      <c r="A31838" s="27"/>
    </row>
    <row r="31839" spans="1:1">
      <c r="A31839" s="27"/>
    </row>
    <row r="31840" spans="1:1">
      <c r="A31840" s="27"/>
    </row>
    <row r="31841" spans="1:1">
      <c r="A31841" s="27"/>
    </row>
    <row r="31842" spans="1:1">
      <c r="A31842" s="27"/>
    </row>
    <row r="31843" spans="1:1">
      <c r="A31843" s="27"/>
    </row>
    <row r="31844" spans="1:1">
      <c r="A31844" s="27"/>
    </row>
    <row r="31845" spans="1:1">
      <c r="A31845" s="27"/>
    </row>
    <row r="31846" spans="1:1">
      <c r="A31846" s="27"/>
    </row>
    <row r="31847" spans="1:1">
      <c r="A31847" s="27"/>
    </row>
    <row r="31848" spans="1:1">
      <c r="A31848" s="27"/>
    </row>
    <row r="31849" spans="1:1">
      <c r="A31849" s="27"/>
    </row>
    <row r="31850" spans="1:1">
      <c r="A31850" s="27"/>
    </row>
    <row r="31851" spans="1:1">
      <c r="A31851" s="27"/>
    </row>
    <row r="31852" spans="1:1">
      <c r="A31852" s="27"/>
    </row>
    <row r="31853" spans="1:1">
      <c r="A31853" s="27"/>
    </row>
    <row r="31854" spans="1:1">
      <c r="A31854" s="27"/>
    </row>
    <row r="31855" spans="1:1">
      <c r="A31855" s="27"/>
    </row>
    <row r="31856" spans="1:1">
      <c r="A31856" s="27"/>
    </row>
    <row r="31857" spans="1:1">
      <c r="A31857" s="27"/>
    </row>
    <row r="31858" spans="1:1">
      <c r="A31858" s="27"/>
    </row>
    <row r="31859" spans="1:1">
      <c r="A31859" s="27"/>
    </row>
    <row r="31860" spans="1:1">
      <c r="A31860" s="27"/>
    </row>
    <row r="31861" spans="1:1">
      <c r="A31861" s="27"/>
    </row>
    <row r="31862" spans="1:1">
      <c r="A31862" s="27"/>
    </row>
    <row r="31863" spans="1:1">
      <c r="A31863" s="27"/>
    </row>
    <row r="31864" spans="1:1">
      <c r="A31864" s="27"/>
    </row>
    <row r="31865" spans="1:1">
      <c r="A31865" s="27"/>
    </row>
    <row r="31866" spans="1:1">
      <c r="A31866" s="27"/>
    </row>
    <row r="31867" spans="1:1">
      <c r="A31867" s="27"/>
    </row>
    <row r="31868" spans="1:1">
      <c r="A31868" s="27"/>
    </row>
    <row r="31869" spans="1:1">
      <c r="A31869" s="27"/>
    </row>
    <row r="31870" spans="1:1">
      <c r="A31870" s="27"/>
    </row>
    <row r="31871" spans="1:1">
      <c r="A31871" s="27"/>
    </row>
    <row r="31872" spans="1:1">
      <c r="A31872" s="27"/>
    </row>
    <row r="31873" spans="1:1">
      <c r="A31873" s="27"/>
    </row>
    <row r="31874" spans="1:1">
      <c r="A31874" s="27"/>
    </row>
    <row r="31875" spans="1:1">
      <c r="A31875" s="27"/>
    </row>
    <row r="31876" spans="1:1">
      <c r="A31876" s="27"/>
    </row>
    <row r="31877" spans="1:1">
      <c r="A31877" s="27"/>
    </row>
    <row r="31878" spans="1:1">
      <c r="A31878" s="27"/>
    </row>
    <row r="31879" spans="1:1">
      <c r="A31879" s="27"/>
    </row>
    <row r="31880" spans="1:1">
      <c r="A31880" s="27"/>
    </row>
    <row r="31881" spans="1:1">
      <c r="A31881" s="27"/>
    </row>
    <row r="31882" spans="1:1">
      <c r="A31882" s="27"/>
    </row>
    <row r="31883" spans="1:1">
      <c r="A31883" s="27"/>
    </row>
    <row r="31884" spans="1:1">
      <c r="A31884" s="27"/>
    </row>
    <row r="31885" spans="1:1">
      <c r="A31885" s="27"/>
    </row>
    <row r="31886" spans="1:1">
      <c r="A31886" s="27"/>
    </row>
    <row r="31887" spans="1:1">
      <c r="A31887" s="27"/>
    </row>
    <row r="31888" spans="1:1">
      <c r="A31888" s="27"/>
    </row>
    <row r="31889" spans="1:1">
      <c r="A31889" s="27"/>
    </row>
    <row r="31890" spans="1:1">
      <c r="A31890" s="27"/>
    </row>
    <row r="31891" spans="1:1">
      <c r="A31891" s="27"/>
    </row>
    <row r="31892" spans="1:1">
      <c r="A31892" s="27"/>
    </row>
    <row r="31893" spans="1:1">
      <c r="A31893" s="27"/>
    </row>
    <row r="31894" spans="1:1">
      <c r="A31894" s="27"/>
    </row>
    <row r="31895" spans="1:1">
      <c r="A31895" s="27"/>
    </row>
    <row r="31896" spans="1:1">
      <c r="A31896" s="27"/>
    </row>
    <row r="31897" spans="1:1">
      <c r="A31897" s="27"/>
    </row>
    <row r="31898" spans="1:1">
      <c r="A31898" s="27"/>
    </row>
    <row r="31899" spans="1:1">
      <c r="A31899" s="27"/>
    </row>
    <row r="31900" spans="1:1">
      <c r="A31900" s="27"/>
    </row>
    <row r="31901" spans="1:1">
      <c r="A31901" s="27"/>
    </row>
    <row r="31902" spans="1:1">
      <c r="A31902" s="27"/>
    </row>
    <row r="31903" spans="1:1">
      <c r="A31903" s="27"/>
    </row>
    <row r="31904" spans="1:1">
      <c r="A31904" s="27"/>
    </row>
    <row r="31905" spans="1:1">
      <c r="A31905" s="27"/>
    </row>
    <row r="31906" spans="1:1">
      <c r="A31906" s="27"/>
    </row>
    <row r="31907" spans="1:1">
      <c r="A31907" s="27"/>
    </row>
    <row r="31908" spans="1:1">
      <c r="A31908" s="27"/>
    </row>
    <row r="31909" spans="1:1">
      <c r="A31909" s="27"/>
    </row>
    <row r="31910" spans="1:1">
      <c r="A31910" s="27"/>
    </row>
    <row r="31911" spans="1:1">
      <c r="A31911" s="27"/>
    </row>
    <row r="31912" spans="1:1">
      <c r="A31912" s="27"/>
    </row>
    <row r="31913" spans="1:1">
      <c r="A31913" s="27"/>
    </row>
    <row r="31914" spans="1:1">
      <c r="A31914" s="27"/>
    </row>
    <row r="31915" spans="1:1">
      <c r="A31915" s="27"/>
    </row>
    <row r="31916" spans="1:1">
      <c r="A31916" s="27"/>
    </row>
    <row r="31917" spans="1:1">
      <c r="A31917" s="27"/>
    </row>
    <row r="31918" spans="1:1">
      <c r="A31918" s="27"/>
    </row>
    <row r="31919" spans="1:1">
      <c r="A31919" s="27"/>
    </row>
    <row r="31920" spans="1:1">
      <c r="A31920" s="27"/>
    </row>
    <row r="31921" spans="1:1">
      <c r="A31921" s="27"/>
    </row>
    <row r="31922" spans="1:1">
      <c r="A31922" s="27"/>
    </row>
    <row r="31923" spans="1:1">
      <c r="A31923" s="27"/>
    </row>
    <row r="31924" spans="1:1">
      <c r="A31924" s="27"/>
    </row>
    <row r="31925" spans="1:1">
      <c r="A31925" s="27"/>
    </row>
    <row r="31926" spans="1:1">
      <c r="A31926" s="27"/>
    </row>
    <row r="31927" spans="1:1">
      <c r="A31927" s="27"/>
    </row>
    <row r="31928" spans="1:1">
      <c r="A31928" s="27"/>
    </row>
    <row r="31929" spans="1:1">
      <c r="A31929" s="27"/>
    </row>
    <row r="31930" spans="1:1">
      <c r="A31930" s="27"/>
    </row>
    <row r="31931" spans="1:1">
      <c r="A31931" s="27"/>
    </row>
    <row r="31932" spans="1:1">
      <c r="A31932" s="27"/>
    </row>
    <row r="31933" spans="1:1">
      <c r="A31933" s="27"/>
    </row>
    <row r="31934" spans="1:1">
      <c r="A31934" s="27"/>
    </row>
    <row r="31935" spans="1:1">
      <c r="A31935" s="27"/>
    </row>
    <row r="31936" spans="1:1">
      <c r="A31936" s="27"/>
    </row>
    <row r="31937" spans="1:1">
      <c r="A31937" s="27"/>
    </row>
    <row r="31938" spans="1:1">
      <c r="A31938" s="27"/>
    </row>
    <row r="31939" spans="1:1">
      <c r="A31939" s="27"/>
    </row>
    <row r="31940" spans="1:1">
      <c r="A31940" s="27"/>
    </row>
    <row r="31941" spans="1:1">
      <c r="A31941" s="27"/>
    </row>
    <row r="31942" spans="1:1">
      <c r="A31942" s="27"/>
    </row>
    <row r="31943" spans="1:1">
      <c r="A31943" s="27"/>
    </row>
    <row r="31944" spans="1:1">
      <c r="A31944" s="27"/>
    </row>
    <row r="31945" spans="1:1">
      <c r="A31945" s="27"/>
    </row>
    <row r="31946" spans="1:1">
      <c r="A31946" s="27"/>
    </row>
    <row r="31947" spans="1:1">
      <c r="A31947" s="27"/>
    </row>
    <row r="31948" spans="1:1">
      <c r="A31948" s="27"/>
    </row>
    <row r="31949" spans="1:1">
      <c r="A31949" s="27"/>
    </row>
    <row r="31950" spans="1:1">
      <c r="A31950" s="27"/>
    </row>
    <row r="31951" spans="1:1">
      <c r="A31951" s="27"/>
    </row>
    <row r="31952" spans="1:1">
      <c r="A31952" s="27"/>
    </row>
    <row r="31953" spans="1:1">
      <c r="A31953" s="27"/>
    </row>
    <row r="31954" spans="1:1">
      <c r="A31954" s="27"/>
    </row>
    <row r="31955" spans="1:1">
      <c r="A31955" s="27"/>
    </row>
    <row r="31956" spans="1:1">
      <c r="A31956" s="27"/>
    </row>
    <row r="31957" spans="1:1">
      <c r="A31957" s="27"/>
    </row>
    <row r="31958" spans="1:1">
      <c r="A31958" s="27"/>
    </row>
    <row r="31959" spans="1:1">
      <c r="A31959" s="27"/>
    </row>
    <row r="31960" spans="1:1">
      <c r="A31960" s="27"/>
    </row>
    <row r="31961" spans="1:1">
      <c r="A31961" s="27"/>
    </row>
    <row r="31962" spans="1:1">
      <c r="A31962" s="27"/>
    </row>
    <row r="31963" spans="1:1">
      <c r="A31963" s="27"/>
    </row>
    <row r="31964" spans="1:1">
      <c r="A31964" s="27"/>
    </row>
    <row r="31965" spans="1:1">
      <c r="A31965" s="27"/>
    </row>
    <row r="31966" spans="1:1">
      <c r="A31966" s="27"/>
    </row>
    <row r="31967" spans="1:1">
      <c r="A31967" s="27"/>
    </row>
    <row r="31968" spans="1:1">
      <c r="A31968" s="27"/>
    </row>
    <row r="31969" spans="1:1">
      <c r="A31969" s="27"/>
    </row>
    <row r="31970" spans="1:1">
      <c r="A31970" s="27"/>
    </row>
    <row r="31971" spans="1:1">
      <c r="A31971" s="27"/>
    </row>
    <row r="31972" spans="1:1">
      <c r="A31972" s="27"/>
    </row>
    <row r="31973" spans="1:1">
      <c r="A31973" s="27"/>
    </row>
    <row r="31974" spans="1:1">
      <c r="A31974" s="27"/>
    </row>
    <row r="31975" spans="1:1">
      <c r="A31975" s="27"/>
    </row>
    <row r="31976" spans="1:1">
      <c r="A31976" s="27"/>
    </row>
    <row r="31977" spans="1:1">
      <c r="A31977" s="27"/>
    </row>
    <row r="31978" spans="1:1">
      <c r="A31978" s="27"/>
    </row>
    <row r="31979" spans="1:1">
      <c r="A31979" s="27"/>
    </row>
    <row r="31980" spans="1:1">
      <c r="A31980" s="27"/>
    </row>
    <row r="31981" spans="1:1">
      <c r="A31981" s="27"/>
    </row>
    <row r="31982" spans="1:1">
      <c r="A31982" s="27"/>
    </row>
    <row r="31983" spans="1:1">
      <c r="A31983" s="27"/>
    </row>
    <row r="31984" spans="1:1">
      <c r="A31984" s="27"/>
    </row>
    <row r="31985" spans="1:1">
      <c r="A31985" s="27"/>
    </row>
    <row r="31986" spans="1:1">
      <c r="A31986" s="27"/>
    </row>
    <row r="31987" spans="1:1">
      <c r="A31987" s="27"/>
    </row>
    <row r="31988" spans="1:1">
      <c r="A31988" s="27"/>
    </row>
    <row r="31989" spans="1:1">
      <c r="A31989" s="27"/>
    </row>
    <row r="31990" spans="1:1">
      <c r="A31990" s="27"/>
    </row>
    <row r="31991" spans="1:1">
      <c r="A31991" s="27"/>
    </row>
    <row r="31992" spans="1:1">
      <c r="A31992" s="27"/>
    </row>
    <row r="31993" spans="1:1">
      <c r="A31993" s="27"/>
    </row>
    <row r="31994" spans="1:1">
      <c r="A31994" s="27"/>
    </row>
    <row r="31995" spans="1:1">
      <c r="A31995" s="27"/>
    </row>
    <row r="31996" spans="1:1">
      <c r="A31996" s="27"/>
    </row>
    <row r="31997" spans="1:1">
      <c r="A31997" s="27"/>
    </row>
    <row r="31998" spans="1:1">
      <c r="A31998" s="27"/>
    </row>
    <row r="31999" spans="1:1">
      <c r="A31999" s="27"/>
    </row>
    <row r="32000" spans="1:1">
      <c r="A32000" s="27"/>
    </row>
    <row r="32001" spans="1:1">
      <c r="A32001" s="27"/>
    </row>
    <row r="32002" spans="1:1">
      <c r="A32002" s="27"/>
    </row>
    <row r="32003" spans="1:1">
      <c r="A32003" s="27"/>
    </row>
    <row r="32004" spans="1:1">
      <c r="A32004" s="27"/>
    </row>
    <row r="32005" spans="1:1">
      <c r="A32005" s="27"/>
    </row>
    <row r="32006" spans="1:1">
      <c r="A32006" s="27"/>
    </row>
    <row r="32007" spans="1:1">
      <c r="A32007" s="27"/>
    </row>
    <row r="32008" spans="1:1">
      <c r="A32008" s="27"/>
    </row>
    <row r="32009" spans="1:1">
      <c r="A32009" s="27"/>
    </row>
    <row r="32010" spans="1:1">
      <c r="A32010" s="27"/>
    </row>
    <row r="32011" spans="1:1">
      <c r="A32011" s="27"/>
    </row>
    <row r="32012" spans="1:1">
      <c r="A32012" s="27"/>
    </row>
    <row r="32013" spans="1:1">
      <c r="A32013" s="27"/>
    </row>
    <row r="32014" spans="1:1">
      <c r="A32014" s="27"/>
    </row>
    <row r="32015" spans="1:1">
      <c r="A32015" s="27"/>
    </row>
    <row r="32016" spans="1:1">
      <c r="A32016" s="27"/>
    </row>
    <row r="32017" spans="1:1">
      <c r="A32017" s="27"/>
    </row>
    <row r="32018" spans="1:1">
      <c r="A32018" s="27"/>
    </row>
    <row r="32019" spans="1:1">
      <c r="A32019" s="27"/>
    </row>
    <row r="32020" spans="1:1">
      <c r="A32020" s="27"/>
    </row>
    <row r="32021" spans="1:1">
      <c r="A32021" s="27"/>
    </row>
    <row r="32022" spans="1:1">
      <c r="A32022" s="27"/>
    </row>
    <row r="32023" spans="1:1">
      <c r="A32023" s="27"/>
    </row>
    <row r="32024" spans="1:1">
      <c r="A32024" s="27"/>
    </row>
    <row r="32025" spans="1:1">
      <c r="A32025" s="27"/>
    </row>
    <row r="32026" spans="1:1">
      <c r="A32026" s="27"/>
    </row>
    <row r="32027" spans="1:1">
      <c r="A32027" s="27"/>
    </row>
    <row r="32028" spans="1:1">
      <c r="A32028" s="27"/>
    </row>
    <row r="32029" spans="1:1">
      <c r="A32029" s="27"/>
    </row>
    <row r="32030" spans="1:1">
      <c r="A32030" s="27"/>
    </row>
    <row r="32031" spans="1:1">
      <c r="A32031" s="27"/>
    </row>
    <row r="32032" spans="1:1">
      <c r="A32032" s="27"/>
    </row>
    <row r="32033" spans="1:1">
      <c r="A32033" s="27"/>
    </row>
    <row r="32034" spans="1:1">
      <c r="A32034" s="27"/>
    </row>
    <row r="32035" spans="1:1">
      <c r="A32035" s="27"/>
    </row>
    <row r="32036" spans="1:1">
      <c r="A32036" s="27"/>
    </row>
    <row r="32037" spans="1:1">
      <c r="A32037" s="27"/>
    </row>
    <row r="32038" spans="1:1">
      <c r="A32038" s="27"/>
    </row>
    <row r="32039" spans="1:1">
      <c r="A32039" s="27"/>
    </row>
    <row r="32040" spans="1:1">
      <c r="A32040" s="27"/>
    </row>
    <row r="32041" spans="1:1">
      <c r="A32041" s="27"/>
    </row>
    <row r="32042" spans="1:1">
      <c r="A32042" s="27"/>
    </row>
    <row r="32043" spans="1:1">
      <c r="A32043" s="27"/>
    </row>
    <row r="32044" spans="1:1">
      <c r="A32044" s="27"/>
    </row>
    <row r="32045" spans="1:1">
      <c r="A32045" s="27"/>
    </row>
    <row r="32046" spans="1:1">
      <c r="A32046" s="27"/>
    </row>
    <row r="32047" spans="1:1">
      <c r="A32047" s="27"/>
    </row>
    <row r="32048" spans="1:1">
      <c r="A32048" s="27"/>
    </row>
    <row r="32049" spans="1:1">
      <c r="A32049" s="27"/>
    </row>
    <row r="32050" spans="1:1">
      <c r="A32050" s="27"/>
    </row>
    <row r="32051" spans="1:1">
      <c r="A32051" s="27"/>
    </row>
    <row r="32052" spans="1:1">
      <c r="A32052" s="27"/>
    </row>
    <row r="32053" spans="1:1">
      <c r="A32053" s="27"/>
    </row>
    <row r="32054" spans="1:1">
      <c r="A32054" s="27"/>
    </row>
    <row r="32055" spans="1:1">
      <c r="A32055" s="27"/>
    </row>
    <row r="32056" spans="1:1">
      <c r="A32056" s="27"/>
    </row>
    <row r="32057" spans="1:1">
      <c r="A32057" s="27"/>
    </row>
    <row r="32058" spans="1:1">
      <c r="A32058" s="27"/>
    </row>
    <row r="32059" spans="1:1">
      <c r="A32059" s="27"/>
    </row>
    <row r="32060" spans="1:1">
      <c r="A32060" s="27"/>
    </row>
    <row r="32061" spans="1:1">
      <c r="A32061" s="27"/>
    </row>
    <row r="32062" spans="1:1">
      <c r="A32062" s="27"/>
    </row>
    <row r="32063" spans="1:1">
      <c r="A32063" s="27"/>
    </row>
    <row r="32064" spans="1:1">
      <c r="A32064" s="27"/>
    </row>
    <row r="32065" spans="1:1">
      <c r="A32065" s="27"/>
    </row>
    <row r="32066" spans="1:1">
      <c r="A32066" s="27"/>
    </row>
    <row r="32067" spans="1:1">
      <c r="A32067" s="27"/>
    </row>
    <row r="32068" spans="1:1">
      <c r="A32068" s="27"/>
    </row>
    <row r="32069" spans="1:1">
      <c r="A32069" s="27"/>
    </row>
    <row r="32070" spans="1:1">
      <c r="A32070" s="27"/>
    </row>
    <row r="32071" spans="1:1">
      <c r="A32071" s="27"/>
    </row>
    <row r="32072" spans="1:1">
      <c r="A32072" s="27"/>
    </row>
    <row r="32073" spans="1:1">
      <c r="A32073" s="27"/>
    </row>
    <row r="32074" spans="1:1">
      <c r="A32074" s="27"/>
    </row>
    <row r="32075" spans="1:1">
      <c r="A32075" s="27"/>
    </row>
    <row r="32076" spans="1:1">
      <c r="A32076" s="27"/>
    </row>
    <row r="32077" spans="1:1">
      <c r="A32077" s="27"/>
    </row>
    <row r="32078" spans="1:1">
      <c r="A32078" s="27"/>
    </row>
    <row r="32079" spans="1:1">
      <c r="A32079" s="27"/>
    </row>
    <row r="32080" spans="1:1">
      <c r="A32080" s="27"/>
    </row>
    <row r="32081" spans="1:1">
      <c r="A32081" s="27"/>
    </row>
    <row r="32082" spans="1:1">
      <c r="A32082" s="27"/>
    </row>
    <row r="32083" spans="1:1">
      <c r="A32083" s="27"/>
    </row>
    <row r="32084" spans="1:1">
      <c r="A32084" s="27"/>
    </row>
    <row r="32085" spans="1:1">
      <c r="A32085" s="27"/>
    </row>
    <row r="32086" spans="1:1">
      <c r="A32086" s="27"/>
    </row>
    <row r="32087" spans="1:1">
      <c r="A32087" s="27"/>
    </row>
    <row r="32088" spans="1:1">
      <c r="A32088" s="27"/>
    </row>
    <row r="32089" spans="1:1">
      <c r="A32089" s="27"/>
    </row>
    <row r="32090" spans="1:1">
      <c r="A32090" s="27"/>
    </row>
    <row r="32091" spans="1:1">
      <c r="A32091" s="27"/>
    </row>
    <row r="32092" spans="1:1">
      <c r="A32092" s="27"/>
    </row>
    <row r="32093" spans="1:1">
      <c r="A32093" s="27"/>
    </row>
    <row r="32094" spans="1:1">
      <c r="A32094" s="27"/>
    </row>
    <row r="32095" spans="1:1">
      <c r="A32095" s="27"/>
    </row>
    <row r="32096" spans="1:1">
      <c r="A32096" s="27"/>
    </row>
    <row r="32097" spans="1:1">
      <c r="A32097" s="27"/>
    </row>
    <row r="32098" spans="1:1">
      <c r="A32098" s="27"/>
    </row>
    <row r="32099" spans="1:1">
      <c r="A32099" s="27"/>
    </row>
    <row r="32100" spans="1:1">
      <c r="A32100" s="27"/>
    </row>
    <row r="32101" spans="1:1">
      <c r="A32101" s="27"/>
    </row>
    <row r="32102" spans="1:1">
      <c r="A32102" s="27"/>
    </row>
    <row r="32103" spans="1:1">
      <c r="A32103" s="27"/>
    </row>
    <row r="32104" spans="1:1">
      <c r="A32104" s="27"/>
    </row>
    <row r="32105" spans="1:1">
      <c r="A32105" s="27"/>
    </row>
    <row r="32106" spans="1:1">
      <c r="A32106" s="27"/>
    </row>
    <row r="32107" spans="1:1">
      <c r="A32107" s="27"/>
    </row>
    <row r="32108" spans="1:1">
      <c r="A32108" s="27"/>
    </row>
    <row r="32109" spans="1:1">
      <c r="A32109" s="27"/>
    </row>
    <row r="32110" spans="1:1">
      <c r="A32110" s="27"/>
    </row>
    <row r="32111" spans="1:1">
      <c r="A32111" s="27"/>
    </row>
    <row r="32112" spans="1:1">
      <c r="A32112" s="27"/>
    </row>
    <row r="32113" spans="1:1">
      <c r="A32113" s="27"/>
    </row>
    <row r="32114" spans="1:1">
      <c r="A32114" s="27"/>
    </row>
    <row r="32115" spans="1:1">
      <c r="A32115" s="27"/>
    </row>
    <row r="32116" spans="1:1">
      <c r="A32116" s="27"/>
    </row>
    <row r="32117" spans="1:1">
      <c r="A32117" s="27"/>
    </row>
    <row r="32118" spans="1:1">
      <c r="A32118" s="27"/>
    </row>
    <row r="32119" spans="1:1">
      <c r="A32119" s="27"/>
    </row>
    <row r="32120" spans="1:1">
      <c r="A32120" s="27"/>
    </row>
    <row r="32121" spans="1:1">
      <c r="A32121" s="27"/>
    </row>
    <row r="32122" spans="1:1">
      <c r="A32122" s="27"/>
    </row>
    <row r="32123" spans="1:1">
      <c r="A32123" s="27"/>
    </row>
    <row r="32124" spans="1:1">
      <c r="A32124" s="27"/>
    </row>
    <row r="32125" spans="1:1">
      <c r="A32125" s="27"/>
    </row>
    <row r="32126" spans="1:1">
      <c r="A32126" s="27"/>
    </row>
    <row r="32127" spans="1:1">
      <c r="A32127" s="27"/>
    </row>
    <row r="32128" spans="1:1">
      <c r="A32128" s="27"/>
    </row>
    <row r="32129" spans="1:1">
      <c r="A32129" s="27"/>
    </row>
    <row r="32130" spans="1:1">
      <c r="A32130" s="27"/>
    </row>
    <row r="32131" spans="1:1">
      <c r="A32131" s="27"/>
    </row>
    <row r="32132" spans="1:1">
      <c r="A32132" s="27"/>
    </row>
    <row r="32133" spans="1:1">
      <c r="A32133" s="27"/>
    </row>
    <row r="32134" spans="1:1">
      <c r="A32134" s="27"/>
    </row>
    <row r="32135" spans="1:1">
      <c r="A32135" s="27"/>
    </row>
    <row r="32136" spans="1:1">
      <c r="A32136" s="27"/>
    </row>
    <row r="32137" spans="1:1">
      <c r="A32137" s="27"/>
    </row>
    <row r="32138" spans="1:1">
      <c r="A32138" s="27"/>
    </row>
    <row r="32139" spans="1:1">
      <c r="A32139" s="27"/>
    </row>
    <row r="32140" spans="1:1">
      <c r="A32140" s="27"/>
    </row>
    <row r="32141" spans="1:1">
      <c r="A32141" s="27"/>
    </row>
    <row r="32142" spans="1:1">
      <c r="A32142" s="27"/>
    </row>
    <row r="32143" spans="1:1">
      <c r="A32143" s="27"/>
    </row>
    <row r="32144" spans="1:1">
      <c r="A32144" s="27"/>
    </row>
    <row r="32145" spans="1:1">
      <c r="A32145" s="27"/>
    </row>
    <row r="32146" spans="1:1">
      <c r="A32146" s="27"/>
    </row>
    <row r="32147" spans="1:1">
      <c r="A32147" s="27"/>
    </row>
    <row r="32148" spans="1:1">
      <c r="A32148" s="27"/>
    </row>
    <row r="32149" spans="1:1">
      <c r="A32149" s="27"/>
    </row>
    <row r="32150" spans="1:1">
      <c r="A32150" s="27"/>
    </row>
    <row r="32151" spans="1:1">
      <c r="A32151" s="27"/>
    </row>
    <row r="32152" spans="1:1">
      <c r="A32152" s="27"/>
    </row>
    <row r="32153" spans="1:1">
      <c r="A32153" s="27"/>
    </row>
    <row r="32154" spans="1:1">
      <c r="A32154" s="27"/>
    </row>
    <row r="32155" spans="1:1">
      <c r="A32155" s="27"/>
    </row>
    <row r="32156" spans="1:1">
      <c r="A32156" s="27"/>
    </row>
    <row r="32157" spans="1:1">
      <c r="A32157" s="27"/>
    </row>
    <row r="32158" spans="1:1">
      <c r="A32158" s="27"/>
    </row>
    <row r="32159" spans="1:1">
      <c r="A32159" s="27"/>
    </row>
    <row r="32160" spans="1:1">
      <c r="A32160" s="27"/>
    </row>
    <row r="32161" spans="1:1">
      <c r="A32161" s="27"/>
    </row>
    <row r="32162" spans="1:1">
      <c r="A32162" s="27"/>
    </row>
    <row r="32163" spans="1:1">
      <c r="A32163" s="27"/>
    </row>
    <row r="32164" spans="1:1">
      <c r="A32164" s="27"/>
    </row>
    <row r="32165" spans="1:1">
      <c r="A32165" s="27"/>
    </row>
    <row r="32166" spans="1:1">
      <c r="A32166" s="27"/>
    </row>
    <row r="32167" spans="1:1">
      <c r="A32167" s="27"/>
    </row>
    <row r="32168" spans="1:1">
      <c r="A32168" s="27"/>
    </row>
    <row r="32169" spans="1:1">
      <c r="A32169" s="27"/>
    </row>
    <row r="32170" spans="1:1">
      <c r="A32170" s="27"/>
    </row>
    <row r="32171" spans="1:1">
      <c r="A32171" s="27"/>
    </row>
    <row r="32172" spans="1:1">
      <c r="A32172" s="27"/>
    </row>
    <row r="32173" spans="1:1">
      <c r="A32173" s="27"/>
    </row>
    <row r="32174" spans="1:1">
      <c r="A32174" s="27"/>
    </row>
    <row r="32175" spans="1:1">
      <c r="A32175" s="27"/>
    </row>
    <row r="32176" spans="1:1">
      <c r="A32176" s="27"/>
    </row>
    <row r="32177" spans="1:1">
      <c r="A32177" s="27"/>
    </row>
    <row r="32178" spans="1:1">
      <c r="A32178" s="27"/>
    </row>
    <row r="32179" spans="1:1">
      <c r="A32179" s="27"/>
    </row>
    <row r="32180" spans="1:1">
      <c r="A32180" s="27"/>
    </row>
    <row r="32181" spans="1:1">
      <c r="A32181" s="27"/>
    </row>
    <row r="32182" spans="1:1">
      <c r="A32182" s="27"/>
    </row>
    <row r="32183" spans="1:1">
      <c r="A32183" s="27"/>
    </row>
    <row r="32184" spans="1:1">
      <c r="A32184" s="27"/>
    </row>
    <row r="32185" spans="1:1">
      <c r="A32185" s="27"/>
    </row>
    <row r="32186" spans="1:1">
      <c r="A32186" s="27"/>
    </row>
    <row r="32187" spans="1:1">
      <c r="A32187" s="27"/>
    </row>
    <row r="32188" spans="1:1">
      <c r="A32188" s="27"/>
    </row>
    <row r="32189" spans="1:1">
      <c r="A32189" s="27"/>
    </row>
    <row r="32190" spans="1:1">
      <c r="A32190" s="27"/>
    </row>
    <row r="32191" spans="1:1">
      <c r="A32191" s="27"/>
    </row>
    <row r="32192" spans="1:1">
      <c r="A32192" s="27"/>
    </row>
    <row r="32193" spans="1:1">
      <c r="A32193" s="27"/>
    </row>
    <row r="32194" spans="1:1">
      <c r="A32194" s="27"/>
    </row>
    <row r="32195" spans="1:1">
      <c r="A32195" s="27"/>
    </row>
    <row r="32196" spans="1:1">
      <c r="A32196" s="27"/>
    </row>
    <row r="32197" spans="1:1">
      <c r="A32197" s="27"/>
    </row>
    <row r="32198" spans="1:1">
      <c r="A32198" s="27"/>
    </row>
    <row r="32199" spans="1:1">
      <c r="A32199" s="27"/>
    </row>
    <row r="32200" spans="1:1">
      <c r="A32200" s="27"/>
    </row>
    <row r="32201" spans="1:1">
      <c r="A32201" s="27"/>
    </row>
    <row r="32202" spans="1:1">
      <c r="A32202" s="27"/>
    </row>
    <row r="32203" spans="1:1">
      <c r="A32203" s="27"/>
    </row>
    <row r="32204" spans="1:1">
      <c r="A32204" s="27"/>
    </row>
    <row r="32205" spans="1:1">
      <c r="A32205" s="27"/>
    </row>
    <row r="32206" spans="1:1">
      <c r="A32206" s="27"/>
    </row>
    <row r="32207" spans="1:1">
      <c r="A32207" s="27"/>
    </row>
    <row r="32208" spans="1:1">
      <c r="A32208" s="27"/>
    </row>
    <row r="32209" spans="1:1">
      <c r="A32209" s="27"/>
    </row>
    <row r="32210" spans="1:1">
      <c r="A32210" s="27"/>
    </row>
    <row r="32211" spans="1:1">
      <c r="A32211" s="27"/>
    </row>
    <row r="32212" spans="1:1">
      <c r="A32212" s="27"/>
    </row>
    <row r="32213" spans="1:1">
      <c r="A32213" s="27"/>
    </row>
    <row r="32214" spans="1:1">
      <c r="A32214" s="27"/>
    </row>
    <row r="32215" spans="1:1">
      <c r="A32215" s="27"/>
    </row>
    <row r="32216" spans="1:1">
      <c r="A32216" s="27"/>
    </row>
    <row r="32217" spans="1:1">
      <c r="A32217" s="27"/>
    </row>
    <row r="32218" spans="1:1">
      <c r="A32218" s="27"/>
    </row>
    <row r="32219" spans="1:1">
      <c r="A32219" s="27"/>
    </row>
    <row r="32220" spans="1:1">
      <c r="A32220" s="27"/>
    </row>
    <row r="32221" spans="1:1">
      <c r="A32221" s="27"/>
    </row>
    <row r="32222" spans="1:1">
      <c r="A32222" s="27"/>
    </row>
    <row r="32223" spans="1:1">
      <c r="A32223" s="27"/>
    </row>
    <row r="32224" spans="1:1">
      <c r="A32224" s="27"/>
    </row>
    <row r="32225" spans="1:1">
      <c r="A32225" s="27"/>
    </row>
    <row r="32226" spans="1:1">
      <c r="A32226" s="27"/>
    </row>
    <row r="32227" spans="1:1">
      <c r="A32227" s="27"/>
    </row>
    <row r="32228" spans="1:1">
      <c r="A32228" s="27"/>
    </row>
    <row r="32229" spans="1:1">
      <c r="A32229" s="27"/>
    </row>
    <row r="32230" spans="1:1">
      <c r="A32230" s="27"/>
    </row>
    <row r="32231" spans="1:1">
      <c r="A32231" s="27"/>
    </row>
    <row r="32232" spans="1:1">
      <c r="A32232" s="27"/>
    </row>
    <row r="32233" spans="1:1">
      <c r="A32233" s="27"/>
    </row>
    <row r="32234" spans="1:1">
      <c r="A32234" s="27"/>
    </row>
    <row r="32235" spans="1:1">
      <c r="A32235" s="27"/>
    </row>
    <row r="32236" spans="1:1">
      <c r="A32236" s="27"/>
    </row>
    <row r="32237" spans="1:1">
      <c r="A32237" s="27"/>
    </row>
    <row r="32238" spans="1:1">
      <c r="A32238" s="27"/>
    </row>
    <row r="32239" spans="1:1">
      <c r="A32239" s="27"/>
    </row>
    <row r="32240" spans="1:1">
      <c r="A32240" s="27"/>
    </row>
    <row r="32241" spans="1:1">
      <c r="A32241" s="27"/>
    </row>
    <row r="32242" spans="1:1">
      <c r="A32242" s="27"/>
    </row>
    <row r="32243" spans="1:1">
      <c r="A32243" s="27"/>
    </row>
    <row r="32244" spans="1:1">
      <c r="A32244" s="27"/>
    </row>
    <row r="32245" spans="1:1">
      <c r="A32245" s="27"/>
    </row>
    <row r="32246" spans="1:1">
      <c r="A32246" s="27"/>
    </row>
    <row r="32247" spans="1:1">
      <c r="A32247" s="27"/>
    </row>
    <row r="32248" spans="1:1">
      <c r="A32248" s="27"/>
    </row>
    <row r="32249" spans="1:1">
      <c r="A32249" s="27"/>
    </row>
    <row r="32250" spans="1:1">
      <c r="A32250" s="27"/>
    </row>
    <row r="32251" spans="1:1">
      <c r="A32251" s="27"/>
    </row>
    <row r="32252" spans="1:1">
      <c r="A32252" s="27"/>
    </row>
    <row r="32253" spans="1:1">
      <c r="A32253" s="27"/>
    </row>
    <row r="32254" spans="1:1">
      <c r="A32254" s="27"/>
    </row>
    <row r="32255" spans="1:1">
      <c r="A32255" s="27"/>
    </row>
    <row r="32256" spans="1:1">
      <c r="A32256" s="27"/>
    </row>
    <row r="32257" spans="1:1">
      <c r="A32257" s="27"/>
    </row>
    <row r="32258" spans="1:1">
      <c r="A32258" s="27"/>
    </row>
    <row r="32259" spans="1:1">
      <c r="A32259" s="27"/>
    </row>
    <row r="32260" spans="1:1">
      <c r="A32260" s="27"/>
    </row>
    <row r="32261" spans="1:1">
      <c r="A32261" s="27"/>
    </row>
    <row r="32262" spans="1:1">
      <c r="A32262" s="27"/>
    </row>
    <row r="32263" spans="1:1">
      <c r="A32263" s="27"/>
    </row>
    <row r="32264" spans="1:1">
      <c r="A32264" s="27"/>
    </row>
    <row r="32265" spans="1:1">
      <c r="A32265" s="27"/>
    </row>
    <row r="32266" spans="1:1">
      <c r="A32266" s="27"/>
    </row>
    <row r="32267" spans="1:1">
      <c r="A32267" s="27"/>
    </row>
    <row r="32268" spans="1:1">
      <c r="A32268" s="27"/>
    </row>
    <row r="32269" spans="1:1">
      <c r="A32269" s="27"/>
    </row>
    <row r="32270" spans="1:1">
      <c r="A32270" s="27"/>
    </row>
    <row r="32271" spans="1:1">
      <c r="A32271" s="27"/>
    </row>
    <row r="32272" spans="1:1">
      <c r="A32272" s="27"/>
    </row>
    <row r="32273" spans="1:1">
      <c r="A32273" s="27"/>
    </row>
    <row r="32274" spans="1:1">
      <c r="A32274" s="27"/>
    </row>
    <row r="32275" spans="1:1">
      <c r="A32275" s="27"/>
    </row>
    <row r="32276" spans="1:1">
      <c r="A32276" s="27"/>
    </row>
    <row r="32277" spans="1:1">
      <c r="A32277" s="27"/>
    </row>
    <row r="32278" spans="1:1">
      <c r="A32278" s="27"/>
    </row>
    <row r="32279" spans="1:1">
      <c r="A32279" s="27"/>
    </row>
    <row r="32280" spans="1:1">
      <c r="A32280" s="27"/>
    </row>
    <row r="32281" spans="1:1">
      <c r="A32281" s="27"/>
    </row>
    <row r="32282" spans="1:1">
      <c r="A32282" s="27"/>
    </row>
    <row r="32283" spans="1:1">
      <c r="A32283" s="27"/>
    </row>
    <row r="32284" spans="1:1">
      <c r="A32284" s="27"/>
    </row>
    <row r="32285" spans="1:1">
      <c r="A32285" s="27"/>
    </row>
    <row r="32286" spans="1:1">
      <c r="A32286" s="27"/>
    </row>
    <row r="32287" spans="1:1">
      <c r="A32287" s="27"/>
    </row>
    <row r="32288" spans="1:1">
      <c r="A32288" s="27"/>
    </row>
    <row r="32289" spans="1:1">
      <c r="A32289" s="27"/>
    </row>
    <row r="32290" spans="1:1">
      <c r="A32290" s="27"/>
    </row>
    <row r="32291" spans="1:1">
      <c r="A32291" s="27"/>
    </row>
    <row r="32292" spans="1:1">
      <c r="A32292" s="27"/>
    </row>
    <row r="32293" spans="1:1">
      <c r="A32293" s="27"/>
    </row>
    <row r="32294" spans="1:1">
      <c r="A32294" s="27"/>
    </row>
    <row r="32295" spans="1:1">
      <c r="A32295" s="27"/>
    </row>
    <row r="32296" spans="1:1">
      <c r="A32296" s="27"/>
    </row>
    <row r="32297" spans="1:1">
      <c r="A32297" s="27"/>
    </row>
    <row r="32298" spans="1:1">
      <c r="A32298" s="27"/>
    </row>
    <row r="32299" spans="1:1">
      <c r="A32299" s="27"/>
    </row>
    <row r="32300" spans="1:1">
      <c r="A32300" s="27"/>
    </row>
    <row r="32301" spans="1:1">
      <c r="A32301" s="27"/>
    </row>
    <row r="32302" spans="1:1">
      <c r="A32302" s="27"/>
    </row>
    <row r="32303" spans="1:1">
      <c r="A32303" s="27"/>
    </row>
    <row r="32304" spans="1:1">
      <c r="A32304" s="27"/>
    </row>
    <row r="32305" spans="1:1">
      <c r="A32305" s="27"/>
    </row>
    <row r="32306" spans="1:1">
      <c r="A32306" s="27"/>
    </row>
    <row r="32307" spans="1:1">
      <c r="A32307" s="27"/>
    </row>
    <row r="32308" spans="1:1">
      <c r="A32308" s="27"/>
    </row>
    <row r="32309" spans="1:1">
      <c r="A32309" s="27"/>
    </row>
    <row r="32310" spans="1:1">
      <c r="A32310" s="27"/>
    </row>
    <row r="32311" spans="1:1">
      <c r="A32311" s="27"/>
    </row>
    <row r="32312" spans="1:1">
      <c r="A32312" s="27"/>
    </row>
    <row r="32313" spans="1:1">
      <c r="A32313" s="27"/>
    </row>
    <row r="32314" spans="1:1">
      <c r="A32314" s="27"/>
    </row>
    <row r="32315" spans="1:1">
      <c r="A32315" s="27"/>
    </row>
    <row r="32316" spans="1:1">
      <c r="A32316" s="27"/>
    </row>
    <row r="32317" spans="1:1">
      <c r="A32317" s="27"/>
    </row>
    <row r="32318" spans="1:1">
      <c r="A32318" s="27"/>
    </row>
    <row r="32319" spans="1:1">
      <c r="A32319" s="27"/>
    </row>
    <row r="32320" spans="1:1">
      <c r="A32320" s="27"/>
    </row>
    <row r="32321" spans="1:1">
      <c r="A32321" s="27"/>
    </row>
    <row r="32322" spans="1:1">
      <c r="A32322" s="27"/>
    </row>
    <row r="32323" spans="1:1">
      <c r="A32323" s="27"/>
    </row>
    <row r="32324" spans="1:1">
      <c r="A32324" s="27"/>
    </row>
    <row r="32325" spans="1:1">
      <c r="A32325" s="27"/>
    </row>
    <row r="32326" spans="1:1">
      <c r="A32326" s="27"/>
    </row>
    <row r="32327" spans="1:1">
      <c r="A32327" s="27"/>
    </row>
    <row r="32328" spans="1:1">
      <c r="A32328" s="27"/>
    </row>
    <row r="32329" spans="1:1">
      <c r="A32329" s="27"/>
    </row>
    <row r="32330" spans="1:1">
      <c r="A32330" s="27"/>
    </row>
    <row r="32331" spans="1:1">
      <c r="A32331" s="27"/>
    </row>
    <row r="32332" spans="1:1">
      <c r="A32332" s="27"/>
    </row>
    <row r="32333" spans="1:1">
      <c r="A32333" s="27"/>
    </row>
    <row r="32334" spans="1:1">
      <c r="A32334" s="27"/>
    </row>
    <row r="32335" spans="1:1">
      <c r="A32335" s="27"/>
    </row>
    <row r="32336" spans="1:1">
      <c r="A32336" s="27"/>
    </row>
    <row r="32337" spans="1:1">
      <c r="A32337" s="27"/>
    </row>
    <row r="32338" spans="1:1">
      <c r="A32338" s="27"/>
    </row>
    <row r="32339" spans="1:1">
      <c r="A32339" s="27"/>
    </row>
    <row r="32340" spans="1:1">
      <c r="A32340" s="27"/>
    </row>
    <row r="32341" spans="1:1">
      <c r="A32341" s="27"/>
    </row>
    <row r="32342" spans="1:1">
      <c r="A32342" s="27"/>
    </row>
    <row r="32343" spans="1:1">
      <c r="A32343" s="27"/>
    </row>
    <row r="32344" spans="1:1">
      <c r="A32344" s="27"/>
    </row>
    <row r="32345" spans="1:1">
      <c r="A32345" s="27"/>
    </row>
    <row r="32346" spans="1:1">
      <c r="A32346" s="27"/>
    </row>
    <row r="32347" spans="1:1">
      <c r="A32347" s="27"/>
    </row>
    <row r="32348" spans="1:1">
      <c r="A32348" s="27"/>
    </row>
    <row r="32349" spans="1:1">
      <c r="A32349" s="27"/>
    </row>
    <row r="32350" spans="1:1">
      <c r="A32350" s="27"/>
    </row>
    <row r="32351" spans="1:1">
      <c r="A32351" s="27"/>
    </row>
    <row r="32352" spans="1:1">
      <c r="A32352" s="27"/>
    </row>
    <row r="32353" spans="1:1">
      <c r="A32353" s="27"/>
    </row>
    <row r="32354" spans="1:1">
      <c r="A32354" s="27"/>
    </row>
    <row r="32355" spans="1:1">
      <c r="A32355" s="27"/>
    </row>
    <row r="32356" spans="1:1">
      <c r="A32356" s="27"/>
    </row>
    <row r="32357" spans="1:1">
      <c r="A32357" s="27"/>
    </row>
    <row r="32358" spans="1:1">
      <c r="A32358" s="27"/>
    </row>
    <row r="32359" spans="1:1">
      <c r="A32359" s="27"/>
    </row>
    <row r="32360" spans="1:1">
      <c r="A32360" s="27"/>
    </row>
    <row r="32361" spans="1:1">
      <c r="A32361" s="27"/>
    </row>
    <row r="32362" spans="1:1">
      <c r="A32362" s="27"/>
    </row>
    <row r="32363" spans="1:1">
      <c r="A32363" s="27"/>
    </row>
    <row r="32364" spans="1:1">
      <c r="A32364" s="27"/>
    </row>
    <row r="32365" spans="1:1">
      <c r="A32365" s="27"/>
    </row>
    <row r="32366" spans="1:1">
      <c r="A32366" s="27"/>
    </row>
    <row r="32367" spans="1:1">
      <c r="A32367" s="27"/>
    </row>
    <row r="32368" spans="1:1">
      <c r="A32368" s="27"/>
    </row>
    <row r="32369" spans="1:1">
      <c r="A32369" s="27"/>
    </row>
    <row r="32370" spans="1:1">
      <c r="A32370" s="27"/>
    </row>
    <row r="32371" spans="1:1">
      <c r="A32371" s="27"/>
    </row>
    <row r="32372" spans="1:1">
      <c r="A32372" s="27"/>
    </row>
    <row r="32373" spans="1:1">
      <c r="A32373" s="27"/>
    </row>
    <row r="32374" spans="1:1">
      <c r="A32374" s="27"/>
    </row>
    <row r="32375" spans="1:1">
      <c r="A32375" s="27"/>
    </row>
    <row r="32376" spans="1:1">
      <c r="A32376" s="27"/>
    </row>
    <row r="32377" spans="1:1">
      <c r="A32377" s="27"/>
    </row>
    <row r="32378" spans="1:1">
      <c r="A32378" s="27"/>
    </row>
    <row r="32379" spans="1:1">
      <c r="A32379" s="27"/>
    </row>
    <row r="32380" spans="1:1">
      <c r="A32380" s="27"/>
    </row>
    <row r="32381" spans="1:1">
      <c r="A32381" s="27"/>
    </row>
    <row r="32382" spans="1:1">
      <c r="A32382" s="27"/>
    </row>
    <row r="32383" spans="1:1">
      <c r="A32383" s="27"/>
    </row>
    <row r="32384" spans="1:1">
      <c r="A32384" s="27"/>
    </row>
    <row r="32385" spans="1:1">
      <c r="A32385" s="27"/>
    </row>
    <row r="32386" spans="1:1">
      <c r="A32386" s="27"/>
    </row>
    <row r="32387" spans="1:1">
      <c r="A32387" s="27"/>
    </row>
    <row r="32388" spans="1:1">
      <c r="A32388" s="27"/>
    </row>
    <row r="32389" spans="1:1">
      <c r="A32389" s="27"/>
    </row>
    <row r="32390" spans="1:1">
      <c r="A32390" s="27"/>
    </row>
    <row r="32391" spans="1:1">
      <c r="A32391" s="27"/>
    </row>
    <row r="32392" spans="1:1">
      <c r="A32392" s="27"/>
    </row>
    <row r="32393" spans="1:1">
      <c r="A32393" s="27"/>
    </row>
    <row r="32394" spans="1:1">
      <c r="A32394" s="27"/>
    </row>
    <row r="32395" spans="1:1">
      <c r="A32395" s="27"/>
    </row>
    <row r="32396" spans="1:1">
      <c r="A32396" s="27"/>
    </row>
    <row r="32397" spans="1:1">
      <c r="A32397" s="27"/>
    </row>
    <row r="32398" spans="1:1">
      <c r="A32398" s="27"/>
    </row>
    <row r="32399" spans="1:1">
      <c r="A32399" s="27"/>
    </row>
    <row r="32400" spans="1:1">
      <c r="A32400" s="27"/>
    </row>
    <row r="32401" spans="1:1">
      <c r="A32401" s="27"/>
    </row>
    <row r="32402" spans="1:1">
      <c r="A32402" s="27"/>
    </row>
    <row r="32403" spans="1:1">
      <c r="A32403" s="27"/>
    </row>
    <row r="32404" spans="1:1">
      <c r="A32404" s="27"/>
    </row>
    <row r="32405" spans="1:1">
      <c r="A32405" s="27"/>
    </row>
    <row r="32406" spans="1:1">
      <c r="A32406" s="27"/>
    </row>
    <row r="32407" spans="1:1">
      <c r="A32407" s="27"/>
    </row>
    <row r="32408" spans="1:1">
      <c r="A32408" s="27"/>
    </row>
    <row r="32409" spans="1:1">
      <c r="A32409" s="27"/>
    </row>
    <row r="32410" spans="1:1">
      <c r="A32410" s="27"/>
    </row>
    <row r="32411" spans="1:1">
      <c r="A32411" s="27"/>
    </row>
    <row r="32412" spans="1:1">
      <c r="A32412" s="27"/>
    </row>
    <row r="32413" spans="1:1">
      <c r="A32413" s="27"/>
    </row>
    <row r="32414" spans="1:1">
      <c r="A32414" s="27"/>
    </row>
    <row r="32415" spans="1:1">
      <c r="A32415" s="27"/>
    </row>
    <row r="32416" spans="1:1">
      <c r="A32416" s="27"/>
    </row>
    <row r="32417" spans="1:1">
      <c r="A32417" s="27"/>
    </row>
    <row r="32418" spans="1:1">
      <c r="A32418" s="27"/>
    </row>
    <row r="32419" spans="1:1">
      <c r="A32419" s="27"/>
    </row>
    <row r="32420" spans="1:1">
      <c r="A32420" s="27"/>
    </row>
    <row r="32421" spans="1:1">
      <c r="A32421" s="27"/>
    </row>
    <row r="32422" spans="1:1">
      <c r="A32422" s="27"/>
    </row>
    <row r="32423" spans="1:1">
      <c r="A32423" s="27"/>
    </row>
    <row r="32424" spans="1:1">
      <c r="A32424" s="27"/>
    </row>
    <row r="32425" spans="1:1">
      <c r="A32425" s="27"/>
    </row>
    <row r="32426" spans="1:1">
      <c r="A32426" s="27"/>
    </row>
    <row r="32427" spans="1:1">
      <c r="A32427" s="27"/>
    </row>
    <row r="32428" spans="1:1">
      <c r="A32428" s="27"/>
    </row>
    <row r="32429" spans="1:1">
      <c r="A32429" s="27"/>
    </row>
    <row r="32430" spans="1:1">
      <c r="A32430" s="27"/>
    </row>
    <row r="32431" spans="1:1">
      <c r="A32431" s="27"/>
    </row>
    <row r="32432" spans="1:1">
      <c r="A32432" s="27"/>
    </row>
    <row r="32433" spans="1:1">
      <c r="A32433" s="27"/>
    </row>
    <row r="32434" spans="1:1">
      <c r="A32434" s="27"/>
    </row>
    <row r="32435" spans="1:1">
      <c r="A32435" s="27"/>
    </row>
    <row r="32436" spans="1:1">
      <c r="A32436" s="27"/>
    </row>
    <row r="32437" spans="1:1">
      <c r="A32437" s="27"/>
    </row>
    <row r="32438" spans="1:1">
      <c r="A32438" s="27"/>
    </row>
    <row r="32439" spans="1:1">
      <c r="A32439" s="27"/>
    </row>
    <row r="32440" spans="1:1">
      <c r="A32440" s="27"/>
    </row>
    <row r="32441" spans="1:1">
      <c r="A32441" s="27"/>
    </row>
    <row r="32442" spans="1:1">
      <c r="A32442" s="27"/>
    </row>
    <row r="32443" spans="1:1">
      <c r="A32443" s="27"/>
    </row>
    <row r="32444" spans="1:1">
      <c r="A32444" s="27"/>
    </row>
    <row r="32445" spans="1:1">
      <c r="A32445" s="27"/>
    </row>
    <row r="32446" spans="1:1">
      <c r="A32446" s="27"/>
    </row>
    <row r="32447" spans="1:1">
      <c r="A32447" s="27"/>
    </row>
    <row r="32448" spans="1:1">
      <c r="A32448" s="27"/>
    </row>
    <row r="32449" spans="1:1">
      <c r="A32449" s="27"/>
    </row>
    <row r="32450" spans="1:1">
      <c r="A32450" s="27"/>
    </row>
    <row r="32451" spans="1:1">
      <c r="A32451" s="27"/>
    </row>
    <row r="32452" spans="1:1">
      <c r="A32452" s="27"/>
    </row>
    <row r="32453" spans="1:1">
      <c r="A32453" s="27"/>
    </row>
    <row r="32454" spans="1:1">
      <c r="A32454" s="27"/>
    </row>
    <row r="32455" spans="1:1">
      <c r="A32455" s="27"/>
    </row>
    <row r="32456" spans="1:1">
      <c r="A32456" s="27"/>
    </row>
    <row r="32457" spans="1:1">
      <c r="A32457" s="27"/>
    </row>
    <row r="32458" spans="1:1">
      <c r="A32458" s="27"/>
    </row>
    <row r="32459" spans="1:1">
      <c r="A32459" s="27"/>
    </row>
    <row r="32460" spans="1:1">
      <c r="A32460" s="27"/>
    </row>
    <row r="32461" spans="1:1">
      <c r="A32461" s="27"/>
    </row>
    <row r="32462" spans="1:1">
      <c r="A32462" s="27"/>
    </row>
    <row r="32463" spans="1:1">
      <c r="A32463" s="27"/>
    </row>
    <row r="32464" spans="1:1">
      <c r="A32464" s="27"/>
    </row>
    <row r="32465" spans="1:1">
      <c r="A32465" s="27"/>
    </row>
    <row r="32466" spans="1:1">
      <c r="A32466" s="27"/>
    </row>
    <row r="32467" spans="1:1">
      <c r="A32467" s="27"/>
    </row>
    <row r="32468" spans="1:1">
      <c r="A32468" s="27"/>
    </row>
    <row r="32469" spans="1:1">
      <c r="A32469" s="27"/>
    </row>
    <row r="32470" spans="1:1">
      <c r="A32470" s="27"/>
    </row>
    <row r="32471" spans="1:1">
      <c r="A32471" s="27"/>
    </row>
    <row r="32472" spans="1:1">
      <c r="A32472" s="27"/>
    </row>
    <row r="32473" spans="1:1">
      <c r="A32473" s="27"/>
    </row>
    <row r="32474" spans="1:1">
      <c r="A32474" s="27"/>
    </row>
    <row r="32475" spans="1:1">
      <c r="A32475" s="27"/>
    </row>
    <row r="32476" spans="1:1">
      <c r="A32476" s="27"/>
    </row>
    <row r="32477" spans="1:1">
      <c r="A32477" s="27"/>
    </row>
    <row r="32478" spans="1:1">
      <c r="A32478" s="27"/>
    </row>
    <row r="32479" spans="1:1">
      <c r="A32479" s="27"/>
    </row>
    <row r="32480" spans="1:1">
      <c r="A32480" s="27"/>
    </row>
    <row r="32481" spans="1:1">
      <c r="A32481" s="27"/>
    </row>
    <row r="32482" spans="1:1">
      <c r="A32482" s="27"/>
    </row>
    <row r="32483" spans="1:1">
      <c r="A32483" s="27"/>
    </row>
    <row r="32484" spans="1:1">
      <c r="A32484" s="27"/>
    </row>
    <row r="32485" spans="1:1">
      <c r="A32485" s="27"/>
    </row>
    <row r="32486" spans="1:1">
      <c r="A32486" s="27"/>
    </row>
    <row r="32487" spans="1:1">
      <c r="A32487" s="27"/>
    </row>
    <row r="32488" spans="1:1">
      <c r="A32488" s="27"/>
    </row>
    <row r="32489" spans="1:1">
      <c r="A32489" s="27"/>
    </row>
    <row r="32490" spans="1:1">
      <c r="A32490" s="27"/>
    </row>
    <row r="32491" spans="1:1">
      <c r="A32491" s="27"/>
    </row>
    <row r="32492" spans="1:1">
      <c r="A32492" s="27"/>
    </row>
    <row r="32493" spans="1:1">
      <c r="A32493" s="27"/>
    </row>
    <row r="32494" spans="1:1">
      <c r="A32494" s="27"/>
    </row>
    <row r="32495" spans="1:1">
      <c r="A32495" s="27"/>
    </row>
    <row r="32496" spans="1:1">
      <c r="A32496" s="27"/>
    </row>
    <row r="32497" spans="1:1">
      <c r="A32497" s="27"/>
    </row>
    <row r="32498" spans="1:1">
      <c r="A32498" s="27"/>
    </row>
    <row r="32499" spans="1:1">
      <c r="A32499" s="27"/>
    </row>
    <row r="32500" spans="1:1">
      <c r="A32500" s="27"/>
    </row>
    <row r="32501" spans="1:1">
      <c r="A32501" s="27"/>
    </row>
    <row r="32502" spans="1:1">
      <c r="A32502" s="27"/>
    </row>
    <row r="32503" spans="1:1">
      <c r="A32503" s="27"/>
    </row>
    <row r="32504" spans="1:1">
      <c r="A32504" s="27"/>
    </row>
    <row r="32505" spans="1:1">
      <c r="A32505" s="27"/>
    </row>
    <row r="32506" spans="1:1">
      <c r="A32506" s="27"/>
    </row>
    <row r="32507" spans="1:1">
      <c r="A32507" s="27"/>
    </row>
    <row r="32508" spans="1:1">
      <c r="A32508" s="27"/>
    </row>
    <row r="32509" spans="1:1">
      <c r="A32509" s="27"/>
    </row>
    <row r="32510" spans="1:1">
      <c r="A32510" s="27"/>
    </row>
    <row r="32511" spans="1:1">
      <c r="A32511" s="27"/>
    </row>
    <row r="32512" spans="1:1">
      <c r="A32512" s="27"/>
    </row>
    <row r="32513" spans="1:1">
      <c r="A32513" s="27"/>
    </row>
    <row r="32514" spans="1:1">
      <c r="A32514" s="27"/>
    </row>
    <row r="32515" spans="1:1">
      <c r="A32515" s="27"/>
    </row>
    <row r="32516" spans="1:1">
      <c r="A32516" s="27"/>
    </row>
    <row r="32517" spans="1:1">
      <c r="A32517" s="27"/>
    </row>
    <row r="32518" spans="1:1">
      <c r="A32518" s="27"/>
    </row>
    <row r="32519" spans="1:1">
      <c r="A32519" s="27"/>
    </row>
    <row r="32520" spans="1:1">
      <c r="A32520" s="27"/>
    </row>
    <row r="32521" spans="1:1">
      <c r="A32521" s="27"/>
    </row>
    <row r="32522" spans="1:1">
      <c r="A32522" s="27"/>
    </row>
    <row r="32523" spans="1:1">
      <c r="A32523" s="27"/>
    </row>
    <row r="32524" spans="1:1">
      <c r="A32524" s="27"/>
    </row>
    <row r="32525" spans="1:1">
      <c r="A32525" s="27"/>
    </row>
    <row r="32526" spans="1:1">
      <c r="A32526" s="27"/>
    </row>
    <row r="32527" spans="1:1">
      <c r="A32527" s="27"/>
    </row>
    <row r="32528" spans="1:1">
      <c r="A32528" s="27"/>
    </row>
    <row r="32529" spans="1:1">
      <c r="A32529" s="27"/>
    </row>
    <row r="32530" spans="1:1">
      <c r="A32530" s="27"/>
    </row>
    <row r="32531" spans="1:1">
      <c r="A32531" s="27"/>
    </row>
    <row r="32532" spans="1:1">
      <c r="A32532" s="27"/>
    </row>
    <row r="32533" spans="1:1">
      <c r="A32533" s="27"/>
    </row>
    <row r="32534" spans="1:1">
      <c r="A32534" s="27"/>
    </row>
    <row r="32535" spans="1:1">
      <c r="A32535" s="27"/>
    </row>
    <row r="32536" spans="1:1">
      <c r="A32536" s="27"/>
    </row>
    <row r="32537" spans="1:1">
      <c r="A32537" s="27"/>
    </row>
    <row r="32538" spans="1:1">
      <c r="A32538" s="27"/>
    </row>
    <row r="32539" spans="1:1">
      <c r="A32539" s="27"/>
    </row>
    <row r="32540" spans="1:1">
      <c r="A32540" s="27"/>
    </row>
    <row r="32541" spans="1:1">
      <c r="A32541" s="27"/>
    </row>
    <row r="32542" spans="1:1">
      <c r="A32542" s="27"/>
    </row>
    <row r="32543" spans="1:1">
      <c r="A32543" s="27"/>
    </row>
    <row r="32544" spans="1:1">
      <c r="A32544" s="27"/>
    </row>
    <row r="32545" spans="1:1">
      <c r="A32545" s="27"/>
    </row>
    <row r="32546" spans="1:1">
      <c r="A32546" s="27"/>
    </row>
    <row r="32547" spans="1:1">
      <c r="A32547" s="27"/>
    </row>
    <row r="32548" spans="1:1">
      <c r="A32548" s="27"/>
    </row>
    <row r="32549" spans="1:1">
      <c r="A32549" s="27"/>
    </row>
    <row r="32550" spans="1:1">
      <c r="A32550" s="27"/>
    </row>
    <row r="32551" spans="1:1">
      <c r="A32551" s="27"/>
    </row>
    <row r="32552" spans="1:1">
      <c r="A32552" s="27"/>
    </row>
    <row r="32553" spans="1:1">
      <c r="A32553" s="27"/>
    </row>
    <row r="32554" spans="1:1">
      <c r="A32554" s="27"/>
    </row>
    <row r="32555" spans="1:1">
      <c r="A32555" s="27"/>
    </row>
    <row r="32556" spans="1:1">
      <c r="A32556" s="27"/>
    </row>
    <row r="32557" spans="1:1">
      <c r="A32557" s="27"/>
    </row>
    <row r="32558" spans="1:1">
      <c r="A32558" s="27"/>
    </row>
    <row r="32559" spans="1:1">
      <c r="A32559" s="27"/>
    </row>
    <row r="32560" spans="1:1">
      <c r="A32560" s="27"/>
    </row>
    <row r="32561" spans="1:1">
      <c r="A32561" s="27"/>
    </row>
    <row r="32562" spans="1:1">
      <c r="A32562" s="27"/>
    </row>
    <row r="32563" spans="1:1">
      <c r="A32563" s="27"/>
    </row>
    <row r="32564" spans="1:1">
      <c r="A32564" s="27"/>
    </row>
    <row r="32565" spans="1:1">
      <c r="A32565" s="27"/>
    </row>
    <row r="32566" spans="1:1">
      <c r="A32566" s="27"/>
    </row>
    <row r="32567" spans="1:1">
      <c r="A32567" s="27"/>
    </row>
    <row r="32568" spans="1:1">
      <c r="A32568" s="27"/>
    </row>
    <row r="32569" spans="1:1">
      <c r="A32569" s="27"/>
    </row>
    <row r="32570" spans="1:1">
      <c r="A32570" s="27"/>
    </row>
    <row r="32571" spans="1:1">
      <c r="A32571" s="27"/>
    </row>
    <row r="32572" spans="1:1">
      <c r="A32572" s="27"/>
    </row>
    <row r="32573" spans="1:1">
      <c r="A32573" s="27"/>
    </row>
    <row r="32574" spans="1:1">
      <c r="A32574" s="27"/>
    </row>
    <row r="32575" spans="1:1">
      <c r="A32575" s="27"/>
    </row>
    <row r="32576" spans="1:1">
      <c r="A32576" s="27"/>
    </row>
    <row r="32577" spans="1:1">
      <c r="A32577" s="27"/>
    </row>
    <row r="32578" spans="1:1">
      <c r="A32578" s="27"/>
    </row>
    <row r="32579" spans="1:1">
      <c r="A32579" s="27"/>
    </row>
    <row r="32580" spans="1:1">
      <c r="A32580" s="27"/>
    </row>
    <row r="32581" spans="1:1">
      <c r="A32581" s="27"/>
    </row>
    <row r="32582" spans="1:1">
      <c r="A32582" s="27"/>
    </row>
    <row r="32583" spans="1:1">
      <c r="A32583" s="27"/>
    </row>
    <row r="32584" spans="1:1">
      <c r="A32584" s="27"/>
    </row>
    <row r="32585" spans="1:1">
      <c r="A32585" s="27"/>
    </row>
    <row r="32586" spans="1:1">
      <c r="A32586" s="27"/>
    </row>
    <row r="32587" spans="1:1">
      <c r="A32587" s="27"/>
    </row>
    <row r="32588" spans="1:1">
      <c r="A32588" s="27"/>
    </row>
    <row r="32589" spans="1:1">
      <c r="A32589" s="27"/>
    </row>
    <row r="32590" spans="1:1">
      <c r="A32590" s="27"/>
    </row>
    <row r="32591" spans="1:1">
      <c r="A32591" s="27"/>
    </row>
    <row r="32592" spans="1:1">
      <c r="A32592" s="27"/>
    </row>
    <row r="32593" spans="1:1">
      <c r="A32593" s="27"/>
    </row>
    <row r="32594" spans="1:1">
      <c r="A32594" s="27"/>
    </row>
    <row r="32595" spans="1:1">
      <c r="A32595" s="27"/>
    </row>
    <row r="32596" spans="1:1">
      <c r="A32596" s="27"/>
    </row>
    <row r="32597" spans="1:1">
      <c r="A32597" s="27"/>
    </row>
    <row r="32598" spans="1:1">
      <c r="A32598" s="27"/>
    </row>
    <row r="32599" spans="1:1">
      <c r="A32599" s="27"/>
    </row>
    <row r="32600" spans="1:1">
      <c r="A32600" s="27"/>
    </row>
    <row r="32601" spans="1:1">
      <c r="A32601" s="27"/>
    </row>
    <row r="32602" spans="1:1">
      <c r="A32602" s="27"/>
    </row>
    <row r="32603" spans="1:1">
      <c r="A32603" s="27"/>
    </row>
    <row r="32604" spans="1:1">
      <c r="A32604" s="27"/>
    </row>
    <row r="32605" spans="1:1">
      <c r="A32605" s="27"/>
    </row>
    <row r="32606" spans="1:1">
      <c r="A32606" s="27"/>
    </row>
    <row r="32607" spans="1:1">
      <c r="A32607" s="27"/>
    </row>
    <row r="32608" spans="1:1">
      <c r="A32608" s="27"/>
    </row>
    <row r="32609" spans="1:1">
      <c r="A32609" s="27"/>
    </row>
    <row r="32610" spans="1:1">
      <c r="A32610" s="27"/>
    </row>
    <row r="32611" spans="1:1">
      <c r="A32611" s="27"/>
    </row>
    <row r="32612" spans="1:1">
      <c r="A32612" s="27"/>
    </row>
    <row r="32613" spans="1:1">
      <c r="A32613" s="27"/>
    </row>
    <row r="32614" spans="1:1">
      <c r="A32614" s="27"/>
    </row>
    <row r="32615" spans="1:1">
      <c r="A32615" s="27"/>
    </row>
    <row r="32616" spans="1:1">
      <c r="A32616" s="27"/>
    </row>
    <row r="32617" spans="1:1">
      <c r="A32617" s="27"/>
    </row>
    <row r="32618" spans="1:1">
      <c r="A32618" s="27"/>
    </row>
    <row r="32619" spans="1:1">
      <c r="A32619" s="27"/>
    </row>
    <row r="32620" spans="1:1">
      <c r="A32620" s="27"/>
    </row>
    <row r="32621" spans="1:1">
      <c r="A32621" s="27"/>
    </row>
    <row r="32622" spans="1:1">
      <c r="A32622" s="27"/>
    </row>
    <row r="32623" spans="1:1">
      <c r="A32623" s="27"/>
    </row>
    <row r="32624" spans="1:1">
      <c r="A32624" s="27"/>
    </row>
    <row r="32625" spans="1:1">
      <c r="A32625" s="27"/>
    </row>
    <row r="32626" spans="1:1">
      <c r="A32626" s="27"/>
    </row>
    <row r="32627" spans="1:1">
      <c r="A32627" s="27"/>
    </row>
    <row r="32628" spans="1:1">
      <c r="A32628" s="27"/>
    </row>
    <row r="32629" spans="1:1">
      <c r="A32629" s="27"/>
    </row>
    <row r="32630" spans="1:1">
      <c r="A32630" s="27"/>
    </row>
    <row r="32631" spans="1:1">
      <c r="A32631" s="27"/>
    </row>
    <row r="32632" spans="1:1">
      <c r="A32632" s="27"/>
    </row>
    <row r="32633" spans="1:1">
      <c r="A32633" s="27"/>
    </row>
    <row r="32634" spans="1:1">
      <c r="A32634" s="27"/>
    </row>
    <row r="32635" spans="1:1">
      <c r="A32635" s="27"/>
    </row>
    <row r="32636" spans="1:1">
      <c r="A32636" s="27"/>
    </row>
    <row r="32637" spans="1:1">
      <c r="A32637" s="27"/>
    </row>
    <row r="32638" spans="1:1">
      <c r="A32638" s="27"/>
    </row>
    <row r="32639" spans="1:1">
      <c r="A32639" s="27"/>
    </row>
    <row r="32640" spans="1:1">
      <c r="A32640" s="27"/>
    </row>
    <row r="32641" spans="1:1">
      <c r="A32641" s="27"/>
    </row>
    <row r="32642" spans="1:1">
      <c r="A32642" s="27"/>
    </row>
    <row r="32643" spans="1:1">
      <c r="A32643" s="27"/>
    </row>
    <row r="32644" spans="1:1">
      <c r="A32644" s="27"/>
    </row>
    <row r="32645" spans="1:1">
      <c r="A32645" s="27"/>
    </row>
    <row r="32646" spans="1:1">
      <c r="A32646" s="27"/>
    </row>
    <row r="32647" spans="1:1">
      <c r="A32647" s="27"/>
    </row>
    <row r="32648" spans="1:1">
      <c r="A32648" s="27"/>
    </row>
    <row r="32649" spans="1:1">
      <c r="A32649" s="27"/>
    </row>
    <row r="32650" spans="1:1">
      <c r="A32650" s="27"/>
    </row>
    <row r="32651" spans="1:1">
      <c r="A32651" s="27"/>
    </row>
    <row r="32652" spans="1:1">
      <c r="A32652" s="27"/>
    </row>
    <row r="32653" spans="1:1">
      <c r="A32653" s="27"/>
    </row>
    <row r="32654" spans="1:1">
      <c r="A32654" s="27"/>
    </row>
    <row r="32655" spans="1:1">
      <c r="A32655" s="27"/>
    </row>
    <row r="32656" spans="1:1">
      <c r="A32656" s="27"/>
    </row>
    <row r="32657" spans="1:1">
      <c r="A32657" s="27"/>
    </row>
    <row r="32658" spans="1:1">
      <c r="A32658" s="27"/>
    </row>
    <row r="32659" spans="1:1">
      <c r="A32659" s="27"/>
    </row>
    <row r="32660" spans="1:1">
      <c r="A32660" s="27"/>
    </row>
    <row r="32661" spans="1:1">
      <c r="A32661" s="27"/>
    </row>
    <row r="32662" spans="1:1">
      <c r="A32662" s="27"/>
    </row>
    <row r="32663" spans="1:1">
      <c r="A32663" s="27"/>
    </row>
    <row r="32664" spans="1:1">
      <c r="A32664" s="27"/>
    </row>
    <row r="32665" spans="1:1">
      <c r="A32665" s="27"/>
    </row>
    <row r="32666" spans="1:1">
      <c r="A32666" s="27"/>
    </row>
    <row r="32667" spans="1:1">
      <c r="A32667" s="27"/>
    </row>
    <row r="32668" spans="1:1">
      <c r="A32668" s="27"/>
    </row>
    <row r="32669" spans="1:1">
      <c r="A32669" s="27"/>
    </row>
    <row r="32670" spans="1:1">
      <c r="A32670" s="27"/>
    </row>
    <row r="32671" spans="1:1">
      <c r="A32671" s="27"/>
    </row>
    <row r="32672" spans="1:1">
      <c r="A32672" s="27"/>
    </row>
    <row r="32673" spans="1:1">
      <c r="A32673" s="27"/>
    </row>
    <row r="32674" spans="1:1">
      <c r="A32674" s="27"/>
    </row>
    <row r="32675" spans="1:1">
      <c r="A32675" s="27"/>
    </row>
    <row r="32676" spans="1:1">
      <c r="A32676" s="27"/>
    </row>
    <row r="32677" spans="1:1">
      <c r="A32677" s="27"/>
    </row>
    <row r="32678" spans="1:1">
      <c r="A32678" s="27"/>
    </row>
    <row r="32679" spans="1:1">
      <c r="A32679" s="27"/>
    </row>
    <row r="32680" spans="1:1">
      <c r="A32680" s="27"/>
    </row>
    <row r="32681" spans="1:1">
      <c r="A32681" s="27"/>
    </row>
    <row r="32682" spans="1:1">
      <c r="A32682" s="27"/>
    </row>
    <row r="32683" spans="1:1">
      <c r="A32683" s="27"/>
    </row>
    <row r="32684" spans="1:1">
      <c r="A32684" s="27"/>
    </row>
    <row r="32685" spans="1:1">
      <c r="A32685" s="27"/>
    </row>
    <row r="32686" spans="1:1">
      <c r="A32686" s="27"/>
    </row>
    <row r="32687" spans="1:1">
      <c r="A32687" s="27"/>
    </row>
    <row r="32688" spans="1:1">
      <c r="A32688" s="27"/>
    </row>
    <row r="32689" spans="1:1">
      <c r="A32689" s="27"/>
    </row>
    <row r="32690" spans="1:1">
      <c r="A32690" s="27"/>
    </row>
    <row r="32691" spans="1:1">
      <c r="A32691" s="27"/>
    </row>
    <row r="32692" spans="1:1">
      <c r="A32692" s="27"/>
    </row>
    <row r="32693" spans="1:1">
      <c r="A32693" s="27"/>
    </row>
    <row r="32694" spans="1:1">
      <c r="A32694" s="27"/>
    </row>
    <row r="32695" spans="1:1">
      <c r="A32695" s="27"/>
    </row>
    <row r="32696" spans="1:1">
      <c r="A32696" s="27"/>
    </row>
    <row r="32697" spans="1:1">
      <c r="A32697" s="27"/>
    </row>
    <row r="32698" spans="1:1">
      <c r="A32698" s="27"/>
    </row>
    <row r="32699" spans="1:1">
      <c r="A32699" s="27"/>
    </row>
    <row r="32700" spans="1:1">
      <c r="A32700" s="27"/>
    </row>
    <row r="32701" spans="1:1">
      <c r="A32701" s="27"/>
    </row>
    <row r="32702" spans="1:1">
      <c r="A32702" s="27"/>
    </row>
    <row r="32703" spans="1:1">
      <c r="A32703" s="27"/>
    </row>
    <row r="32704" spans="1:1">
      <c r="A32704" s="27"/>
    </row>
    <row r="32705" spans="1:1">
      <c r="A32705" s="27"/>
    </row>
    <row r="32706" spans="1:1">
      <c r="A32706" s="27"/>
    </row>
    <row r="32707" spans="1:1">
      <c r="A32707" s="27"/>
    </row>
    <row r="32708" spans="1:1">
      <c r="A32708" s="27"/>
    </row>
    <row r="32709" spans="1:1">
      <c r="A32709" s="27"/>
    </row>
    <row r="32710" spans="1:1">
      <c r="A32710" s="27"/>
    </row>
    <row r="32711" spans="1:1">
      <c r="A32711" s="27"/>
    </row>
    <row r="32712" spans="1:1">
      <c r="A32712" s="27"/>
    </row>
    <row r="32713" spans="1:1">
      <c r="A32713" s="27"/>
    </row>
    <row r="32714" spans="1:1">
      <c r="A32714" s="27"/>
    </row>
    <row r="32715" spans="1:1">
      <c r="A32715" s="27"/>
    </row>
    <row r="32716" spans="1:1">
      <c r="A32716" s="27"/>
    </row>
    <row r="32717" spans="1:1">
      <c r="A32717" s="27"/>
    </row>
    <row r="32718" spans="1:1">
      <c r="A32718" s="27"/>
    </row>
    <row r="32719" spans="1:1">
      <c r="A32719" s="27"/>
    </row>
    <row r="32720" spans="1:1">
      <c r="A32720" s="27"/>
    </row>
    <row r="32721" spans="1:1">
      <c r="A32721" s="27"/>
    </row>
    <row r="32722" spans="1:1">
      <c r="A32722" s="27"/>
    </row>
    <row r="32723" spans="1:1">
      <c r="A32723" s="27"/>
    </row>
    <row r="32724" spans="1:1">
      <c r="A32724" s="27"/>
    </row>
    <row r="32725" spans="1:1">
      <c r="A32725" s="27"/>
    </row>
    <row r="32726" spans="1:1">
      <c r="A32726" s="27"/>
    </row>
    <row r="32727" spans="1:1">
      <c r="A32727" s="27"/>
    </row>
    <row r="32728" spans="1:1">
      <c r="A32728" s="27"/>
    </row>
    <row r="32729" spans="1:1">
      <c r="A32729" s="27"/>
    </row>
    <row r="32730" spans="1:1">
      <c r="A32730" s="27"/>
    </row>
    <row r="32731" spans="1:1">
      <c r="A32731" s="27"/>
    </row>
    <row r="32732" spans="1:1">
      <c r="A32732" s="27"/>
    </row>
    <row r="32733" spans="1:1">
      <c r="A32733" s="27"/>
    </row>
    <row r="32734" spans="1:1">
      <c r="A32734" s="27"/>
    </row>
    <row r="32735" spans="1:1">
      <c r="A32735" s="27"/>
    </row>
    <row r="32736" spans="1:1">
      <c r="A32736" s="27"/>
    </row>
    <row r="32737" spans="1:1">
      <c r="A32737" s="27"/>
    </row>
    <row r="32738" spans="1:1">
      <c r="A32738" s="27"/>
    </row>
    <row r="32739" spans="1:1">
      <c r="A32739" s="27"/>
    </row>
    <row r="32740" spans="1:1">
      <c r="A32740" s="27"/>
    </row>
    <row r="32741" spans="1:1">
      <c r="A32741" s="27"/>
    </row>
    <row r="32742" spans="1:1">
      <c r="A32742" s="27"/>
    </row>
    <row r="32743" spans="1:1">
      <c r="A32743" s="27"/>
    </row>
    <row r="32744" spans="1:1">
      <c r="A32744" s="27"/>
    </row>
    <row r="32745" spans="1:1">
      <c r="A32745" s="27"/>
    </row>
    <row r="32746" spans="1:1">
      <c r="A32746" s="27"/>
    </row>
    <row r="32747" spans="1:1">
      <c r="A32747" s="27"/>
    </row>
    <row r="32748" spans="1:1">
      <c r="A32748" s="27"/>
    </row>
    <row r="32749" spans="1:1">
      <c r="A32749" s="27"/>
    </row>
    <row r="32750" spans="1:1">
      <c r="A32750" s="27"/>
    </row>
    <row r="32751" spans="1:1">
      <c r="A32751" s="27"/>
    </row>
    <row r="32752" spans="1:1">
      <c r="A32752" s="27"/>
    </row>
    <row r="32753" spans="1:1">
      <c r="A32753" s="27"/>
    </row>
    <row r="32754" spans="1:1">
      <c r="A32754" s="27"/>
    </row>
    <row r="32755" spans="1:1">
      <c r="A32755" s="27"/>
    </row>
    <row r="32756" spans="1:1">
      <c r="A32756" s="27"/>
    </row>
    <row r="32757" spans="1:1">
      <c r="A32757" s="27"/>
    </row>
    <row r="32758" spans="1:1">
      <c r="A32758" s="27"/>
    </row>
    <row r="32759" spans="1:1">
      <c r="A32759" s="27"/>
    </row>
    <row r="32760" spans="1:1">
      <c r="A32760" s="27"/>
    </row>
    <row r="32761" spans="1:1">
      <c r="A32761" s="27"/>
    </row>
    <row r="32762" spans="1:1">
      <c r="A32762" s="27"/>
    </row>
    <row r="32763" spans="1:1">
      <c r="A32763" s="27"/>
    </row>
    <row r="32764" spans="1:1">
      <c r="A32764" s="27"/>
    </row>
    <row r="32765" spans="1:1">
      <c r="A32765" s="27"/>
    </row>
    <row r="32766" spans="1:1">
      <c r="A32766" s="27"/>
    </row>
    <row r="32767" spans="1:1">
      <c r="A32767" s="27"/>
    </row>
    <row r="32768" spans="1:1">
      <c r="A32768" s="27"/>
    </row>
    <row r="32769" spans="1:1">
      <c r="A32769" s="27"/>
    </row>
    <row r="32770" spans="1:1">
      <c r="A32770" s="27"/>
    </row>
    <row r="32771" spans="1:1">
      <c r="A32771" s="27"/>
    </row>
    <row r="32772" spans="1:1">
      <c r="A32772" s="27"/>
    </row>
    <row r="32773" spans="1:1">
      <c r="A32773" s="27"/>
    </row>
    <row r="32774" spans="1:1">
      <c r="A32774" s="27"/>
    </row>
    <row r="32775" spans="1:1">
      <c r="A32775" s="27"/>
    </row>
    <row r="32776" spans="1:1">
      <c r="A32776" s="27"/>
    </row>
    <row r="32777" spans="1:1">
      <c r="A32777" s="27"/>
    </row>
    <row r="32778" spans="1:1">
      <c r="A32778" s="27"/>
    </row>
    <row r="32779" spans="1:1">
      <c r="A32779" s="27"/>
    </row>
    <row r="32780" spans="1:1">
      <c r="A32780" s="27"/>
    </row>
    <row r="32781" spans="1:1">
      <c r="A32781" s="27"/>
    </row>
    <row r="32782" spans="1:1">
      <c r="A32782" s="27"/>
    </row>
    <row r="32783" spans="1:1">
      <c r="A32783" s="27"/>
    </row>
    <row r="32784" spans="1:1">
      <c r="A32784" s="27"/>
    </row>
    <row r="32785" spans="1:1">
      <c r="A32785" s="27"/>
    </row>
    <row r="32786" spans="1:1">
      <c r="A32786" s="27"/>
    </row>
    <row r="32787" spans="1:1">
      <c r="A32787" s="27"/>
    </row>
    <row r="32788" spans="1:1">
      <c r="A32788" s="27"/>
    </row>
    <row r="32789" spans="1:1">
      <c r="A32789" s="27"/>
    </row>
    <row r="32790" spans="1:1">
      <c r="A32790" s="27"/>
    </row>
    <row r="32791" spans="1:1">
      <c r="A32791" s="27"/>
    </row>
    <row r="32792" spans="1:1">
      <c r="A32792" s="27"/>
    </row>
    <row r="32793" spans="1:1">
      <c r="A32793" s="27"/>
    </row>
    <row r="32794" spans="1:1">
      <c r="A32794" s="27"/>
    </row>
    <row r="32795" spans="1:1">
      <c r="A32795" s="27"/>
    </row>
    <row r="32796" spans="1:1">
      <c r="A32796" s="27"/>
    </row>
    <row r="32797" spans="1:1">
      <c r="A32797" s="27"/>
    </row>
    <row r="32798" spans="1:1">
      <c r="A32798" s="27"/>
    </row>
    <row r="32799" spans="1:1">
      <c r="A32799" s="27"/>
    </row>
    <row r="32800" spans="1:1">
      <c r="A32800" s="27"/>
    </row>
    <row r="32801" spans="1:1">
      <c r="A32801" s="27"/>
    </row>
    <row r="32802" spans="1:1">
      <c r="A32802" s="27"/>
    </row>
    <row r="32803" spans="1:1">
      <c r="A32803" s="27"/>
    </row>
    <row r="32804" spans="1:1">
      <c r="A32804" s="27"/>
    </row>
    <row r="32805" spans="1:1">
      <c r="A32805" s="27"/>
    </row>
    <row r="32806" spans="1:1">
      <c r="A32806" s="27"/>
    </row>
    <row r="32807" spans="1:1">
      <c r="A32807" s="27"/>
    </row>
    <row r="32808" spans="1:1">
      <c r="A32808" s="27"/>
    </row>
    <row r="32809" spans="1:1">
      <c r="A32809" s="27"/>
    </row>
    <row r="32810" spans="1:1">
      <c r="A32810" s="27"/>
    </row>
    <row r="32811" spans="1:1">
      <c r="A32811" s="27"/>
    </row>
    <row r="32812" spans="1:1">
      <c r="A32812" s="27"/>
    </row>
    <row r="32813" spans="1:1">
      <c r="A32813" s="27"/>
    </row>
    <row r="32814" spans="1:1">
      <c r="A32814" s="27"/>
    </row>
    <row r="32815" spans="1:1">
      <c r="A32815" s="27"/>
    </row>
    <row r="32816" spans="1:1">
      <c r="A32816" s="27"/>
    </row>
    <row r="32817" spans="1:1">
      <c r="A32817" s="27"/>
    </row>
    <row r="32818" spans="1:1">
      <c r="A32818" s="27"/>
    </row>
    <row r="32819" spans="1:1">
      <c r="A32819" s="27"/>
    </row>
    <row r="32820" spans="1:1">
      <c r="A32820" s="27"/>
    </row>
    <row r="32821" spans="1:1">
      <c r="A32821" s="27"/>
    </row>
    <row r="32822" spans="1:1">
      <c r="A32822" s="27"/>
    </row>
    <row r="32823" spans="1:1">
      <c r="A32823" s="27"/>
    </row>
    <row r="32824" spans="1:1">
      <c r="A32824" s="27"/>
    </row>
    <row r="32825" spans="1:1">
      <c r="A32825" s="27"/>
    </row>
    <row r="32826" spans="1:1">
      <c r="A32826" s="27"/>
    </row>
    <row r="32827" spans="1:1">
      <c r="A32827" s="27"/>
    </row>
    <row r="32828" spans="1:1">
      <c r="A32828" s="27"/>
    </row>
    <row r="32829" spans="1:1">
      <c r="A32829" s="27"/>
    </row>
    <row r="32830" spans="1:1">
      <c r="A32830" s="27"/>
    </row>
    <row r="32831" spans="1:1">
      <c r="A32831" s="27"/>
    </row>
    <row r="32832" spans="1:1">
      <c r="A32832" s="27"/>
    </row>
    <row r="32833" spans="1:1">
      <c r="A32833" s="27"/>
    </row>
    <row r="32834" spans="1:1">
      <c r="A32834" s="27"/>
    </row>
    <row r="32835" spans="1:1">
      <c r="A32835" s="27"/>
    </row>
    <row r="32836" spans="1:1">
      <c r="A32836" s="27"/>
    </row>
    <row r="32837" spans="1:1">
      <c r="A32837" s="27"/>
    </row>
    <row r="32838" spans="1:1">
      <c r="A32838" s="27"/>
    </row>
    <row r="32839" spans="1:1">
      <c r="A32839" s="27"/>
    </row>
    <row r="32840" spans="1:1">
      <c r="A32840" s="27"/>
    </row>
    <row r="32841" spans="1:1">
      <c r="A32841" s="27"/>
    </row>
    <row r="32842" spans="1:1">
      <c r="A32842" s="27"/>
    </row>
    <row r="32843" spans="1:1">
      <c r="A32843" s="27"/>
    </row>
    <row r="32844" spans="1:1">
      <c r="A32844" s="27"/>
    </row>
    <row r="32845" spans="1:1">
      <c r="A32845" s="27"/>
    </row>
    <row r="32846" spans="1:1">
      <c r="A32846" s="27"/>
    </row>
    <row r="32847" spans="1:1">
      <c r="A32847" s="27"/>
    </row>
    <row r="32848" spans="1:1">
      <c r="A32848" s="27"/>
    </row>
    <row r="32849" spans="1:1">
      <c r="A32849" s="27"/>
    </row>
    <row r="32850" spans="1:1">
      <c r="A32850" s="27"/>
    </row>
    <row r="32851" spans="1:1">
      <c r="A32851" s="27"/>
    </row>
    <row r="32852" spans="1:1">
      <c r="A32852" s="27"/>
    </row>
    <row r="32853" spans="1:1">
      <c r="A32853" s="27"/>
    </row>
    <row r="32854" spans="1:1">
      <c r="A32854" s="27"/>
    </row>
    <row r="32855" spans="1:1">
      <c r="A32855" s="27"/>
    </row>
    <row r="32856" spans="1:1">
      <c r="A32856" s="27"/>
    </row>
    <row r="32857" spans="1:1">
      <c r="A32857" s="27"/>
    </row>
    <row r="32858" spans="1:1">
      <c r="A32858" s="27"/>
    </row>
    <row r="32859" spans="1:1">
      <c r="A32859" s="27"/>
    </row>
    <row r="32860" spans="1:1">
      <c r="A32860" s="27"/>
    </row>
    <row r="32861" spans="1:1">
      <c r="A32861" s="27"/>
    </row>
    <row r="32862" spans="1:1">
      <c r="A32862" s="27"/>
    </row>
    <row r="32863" spans="1:1">
      <c r="A32863" s="27"/>
    </row>
    <row r="32864" spans="1:1">
      <c r="A32864" s="27"/>
    </row>
    <row r="32865" spans="1:1">
      <c r="A32865" s="27"/>
    </row>
    <row r="32866" spans="1:1">
      <c r="A32866" s="27"/>
    </row>
    <row r="32867" spans="1:1">
      <c r="A32867" s="27"/>
    </row>
    <row r="32868" spans="1:1">
      <c r="A32868" s="27"/>
    </row>
    <row r="32869" spans="1:1">
      <c r="A32869" s="27"/>
    </row>
    <row r="32870" spans="1:1">
      <c r="A32870" s="27"/>
    </row>
    <row r="32871" spans="1:1">
      <c r="A32871" s="27"/>
    </row>
    <row r="32872" spans="1:1">
      <c r="A32872" s="27"/>
    </row>
    <row r="32873" spans="1:1">
      <c r="A32873" s="27"/>
    </row>
    <row r="32874" spans="1:1">
      <c r="A32874" s="27"/>
    </row>
    <row r="32875" spans="1:1">
      <c r="A32875" s="27"/>
    </row>
    <row r="32876" spans="1:1">
      <c r="A32876" s="27"/>
    </row>
    <row r="32877" spans="1:1">
      <c r="A32877" s="27"/>
    </row>
    <row r="32878" spans="1:1">
      <c r="A32878" s="27"/>
    </row>
    <row r="32879" spans="1:1">
      <c r="A32879" s="27"/>
    </row>
    <row r="32880" spans="1:1">
      <c r="A32880" s="27"/>
    </row>
    <row r="32881" spans="1:1">
      <c r="A32881" s="27"/>
    </row>
    <row r="32882" spans="1:1">
      <c r="A32882" s="27"/>
    </row>
    <row r="32883" spans="1:1">
      <c r="A32883" s="27"/>
    </row>
    <row r="32884" spans="1:1">
      <c r="A32884" s="27"/>
    </row>
    <row r="32885" spans="1:1">
      <c r="A32885" s="27"/>
    </row>
    <row r="32886" spans="1:1">
      <c r="A32886" s="27"/>
    </row>
    <row r="32887" spans="1:1">
      <c r="A32887" s="27"/>
    </row>
    <row r="32888" spans="1:1">
      <c r="A32888" s="27"/>
    </row>
    <row r="32889" spans="1:1">
      <c r="A32889" s="27"/>
    </row>
    <row r="32890" spans="1:1">
      <c r="A32890" s="27"/>
    </row>
    <row r="32891" spans="1:1">
      <c r="A32891" s="27"/>
    </row>
    <row r="32892" spans="1:1">
      <c r="A32892" s="27"/>
    </row>
    <row r="32893" spans="1:1">
      <c r="A32893" s="27"/>
    </row>
    <row r="32894" spans="1:1">
      <c r="A32894" s="27"/>
    </row>
    <row r="32895" spans="1:1">
      <c r="A32895" s="27"/>
    </row>
    <row r="32896" spans="1:1">
      <c r="A32896" s="27"/>
    </row>
    <row r="32897" spans="1:1">
      <c r="A32897" s="27"/>
    </row>
    <row r="32898" spans="1:1">
      <c r="A32898" s="27"/>
    </row>
    <row r="32899" spans="1:1">
      <c r="A32899" s="27"/>
    </row>
    <row r="32900" spans="1:1">
      <c r="A32900" s="27"/>
    </row>
    <row r="32901" spans="1:1">
      <c r="A32901" s="27"/>
    </row>
    <row r="32902" spans="1:1">
      <c r="A32902" s="27"/>
    </row>
    <row r="32903" spans="1:1">
      <c r="A32903" s="27"/>
    </row>
    <row r="32904" spans="1:1">
      <c r="A32904" s="27"/>
    </row>
    <row r="32905" spans="1:1">
      <c r="A32905" s="27"/>
    </row>
    <row r="32906" spans="1:1">
      <c r="A32906" s="27"/>
    </row>
    <row r="32907" spans="1:1">
      <c r="A32907" s="27"/>
    </row>
    <row r="32908" spans="1:1">
      <c r="A32908" s="27"/>
    </row>
    <row r="32909" spans="1:1">
      <c r="A32909" s="27"/>
    </row>
    <row r="32910" spans="1:1">
      <c r="A32910" s="27"/>
    </row>
    <row r="32911" spans="1:1">
      <c r="A32911" s="27"/>
    </row>
    <row r="32912" spans="1:1">
      <c r="A32912" s="27"/>
    </row>
    <row r="32913" spans="1:1">
      <c r="A32913" s="27"/>
    </row>
    <row r="32914" spans="1:1">
      <c r="A32914" s="27"/>
    </row>
    <row r="32915" spans="1:1">
      <c r="A32915" s="27"/>
    </row>
    <row r="32916" spans="1:1">
      <c r="A32916" s="27"/>
    </row>
    <row r="32917" spans="1:1">
      <c r="A32917" s="27"/>
    </row>
    <row r="32918" spans="1:1">
      <c r="A32918" s="27"/>
    </row>
    <row r="32919" spans="1:1">
      <c r="A32919" s="27"/>
    </row>
    <row r="32920" spans="1:1">
      <c r="A32920" s="27"/>
    </row>
    <row r="32921" spans="1:1">
      <c r="A32921" s="27"/>
    </row>
    <row r="32922" spans="1:1">
      <c r="A32922" s="27"/>
    </row>
    <row r="32923" spans="1:1">
      <c r="A32923" s="27"/>
    </row>
    <row r="32924" spans="1:1">
      <c r="A32924" s="27"/>
    </row>
    <row r="32925" spans="1:1">
      <c r="A32925" s="27"/>
    </row>
    <row r="32926" spans="1:1">
      <c r="A32926" s="27"/>
    </row>
    <row r="32927" spans="1:1">
      <c r="A32927" s="27"/>
    </row>
    <row r="32928" spans="1:1">
      <c r="A32928" s="27"/>
    </row>
    <row r="32929" spans="1:1">
      <c r="A32929" s="27"/>
    </row>
    <row r="32930" spans="1:1">
      <c r="A32930" s="27"/>
    </row>
    <row r="32931" spans="1:1">
      <c r="A32931" s="27"/>
    </row>
    <row r="32932" spans="1:1">
      <c r="A32932" s="27"/>
    </row>
    <row r="32933" spans="1:1">
      <c r="A32933" s="27"/>
    </row>
    <row r="32934" spans="1:1">
      <c r="A32934" s="27"/>
    </row>
    <row r="32935" spans="1:1">
      <c r="A32935" s="27"/>
    </row>
    <row r="32936" spans="1:1">
      <c r="A32936" s="27"/>
    </row>
    <row r="32937" spans="1:1">
      <c r="A32937" s="27"/>
    </row>
    <row r="32938" spans="1:1">
      <c r="A32938" s="27"/>
    </row>
    <row r="32939" spans="1:1">
      <c r="A32939" s="27"/>
    </row>
    <row r="32940" spans="1:1">
      <c r="A32940" s="27"/>
    </row>
    <row r="32941" spans="1:1">
      <c r="A32941" s="27"/>
    </row>
    <row r="32942" spans="1:1">
      <c r="A32942" s="27"/>
    </row>
    <row r="32943" spans="1:1">
      <c r="A32943" s="27"/>
    </row>
    <row r="32944" spans="1:1">
      <c r="A32944" s="27"/>
    </row>
    <row r="32945" spans="1:1">
      <c r="A32945" s="27"/>
    </row>
    <row r="32946" spans="1:1">
      <c r="A32946" s="27"/>
    </row>
    <row r="32947" spans="1:1">
      <c r="A32947" s="27"/>
    </row>
    <row r="32948" spans="1:1">
      <c r="A32948" s="27"/>
    </row>
    <row r="32949" spans="1:1">
      <c r="A32949" s="27"/>
    </row>
    <row r="32950" spans="1:1">
      <c r="A32950" s="27"/>
    </row>
    <row r="32951" spans="1:1">
      <c r="A32951" s="27"/>
    </row>
    <row r="32952" spans="1:1">
      <c r="A32952" s="27"/>
    </row>
    <row r="32953" spans="1:1">
      <c r="A32953" s="27"/>
    </row>
    <row r="32954" spans="1:1">
      <c r="A32954" s="27"/>
    </row>
    <row r="32955" spans="1:1">
      <c r="A32955" s="27"/>
    </row>
    <row r="32956" spans="1:1">
      <c r="A32956" s="27"/>
    </row>
    <row r="32957" spans="1:1">
      <c r="A32957" s="27"/>
    </row>
    <row r="32958" spans="1:1">
      <c r="A32958" s="27"/>
    </row>
    <row r="32959" spans="1:1">
      <c r="A32959" s="27"/>
    </row>
    <row r="32960" spans="1:1">
      <c r="A32960" s="27"/>
    </row>
    <row r="32961" spans="1:1">
      <c r="A32961" s="27"/>
    </row>
    <row r="32962" spans="1:1">
      <c r="A32962" s="27"/>
    </row>
    <row r="32963" spans="1:1">
      <c r="A32963" s="27"/>
    </row>
    <row r="32964" spans="1:1">
      <c r="A32964" s="27"/>
    </row>
    <row r="32965" spans="1:1">
      <c r="A32965" s="27"/>
    </row>
    <row r="32966" spans="1:1">
      <c r="A32966" s="27"/>
    </row>
    <row r="32967" spans="1:1">
      <c r="A32967" s="27"/>
    </row>
    <row r="32968" spans="1:1">
      <c r="A32968" s="27"/>
    </row>
    <row r="32969" spans="1:1">
      <c r="A32969" s="27"/>
    </row>
    <row r="32970" spans="1:1">
      <c r="A32970" s="27"/>
    </row>
    <row r="32971" spans="1:1">
      <c r="A32971" s="27"/>
    </row>
    <row r="32972" spans="1:1">
      <c r="A32972" s="27"/>
    </row>
    <row r="32973" spans="1:1">
      <c r="A32973" s="27"/>
    </row>
    <row r="32974" spans="1:1">
      <c r="A32974" s="27"/>
    </row>
    <row r="32975" spans="1:1">
      <c r="A32975" s="27"/>
    </row>
    <row r="32976" spans="1:1">
      <c r="A32976" s="27"/>
    </row>
    <row r="32977" spans="1:1">
      <c r="A32977" s="27"/>
    </row>
    <row r="32978" spans="1:1">
      <c r="A32978" s="27"/>
    </row>
    <row r="32979" spans="1:1">
      <c r="A32979" s="27"/>
    </row>
    <row r="32980" spans="1:1">
      <c r="A32980" s="27"/>
    </row>
    <row r="32981" spans="1:1">
      <c r="A32981" s="27"/>
    </row>
    <row r="32982" spans="1:1">
      <c r="A32982" s="27"/>
    </row>
    <row r="32983" spans="1:1">
      <c r="A32983" s="27"/>
    </row>
    <row r="32984" spans="1:1">
      <c r="A32984" s="27"/>
    </row>
    <row r="32985" spans="1:1">
      <c r="A32985" s="27"/>
    </row>
    <row r="32986" spans="1:1">
      <c r="A32986" s="27"/>
    </row>
    <row r="32987" spans="1:1">
      <c r="A32987" s="27"/>
    </row>
    <row r="32988" spans="1:1">
      <c r="A32988" s="27"/>
    </row>
    <row r="32989" spans="1:1">
      <c r="A32989" s="27"/>
    </row>
    <row r="32990" spans="1:1">
      <c r="A32990" s="27"/>
    </row>
    <row r="32991" spans="1:1">
      <c r="A32991" s="27"/>
    </row>
    <row r="32992" spans="1:1">
      <c r="A32992" s="27"/>
    </row>
    <row r="32993" spans="1:1">
      <c r="A32993" s="27"/>
    </row>
    <row r="32994" spans="1:1">
      <c r="A32994" s="27"/>
    </row>
    <row r="32995" spans="1:1">
      <c r="A32995" s="27"/>
    </row>
    <row r="32996" spans="1:1">
      <c r="A32996" s="27"/>
    </row>
    <row r="32997" spans="1:1">
      <c r="A32997" s="27"/>
    </row>
    <row r="32998" spans="1:1">
      <c r="A32998" s="27"/>
    </row>
    <row r="32999" spans="1:1">
      <c r="A32999" s="27"/>
    </row>
    <row r="33000" spans="1:1">
      <c r="A33000" s="27"/>
    </row>
    <row r="33001" spans="1:1">
      <c r="A33001" s="27"/>
    </row>
    <row r="33002" spans="1:1">
      <c r="A33002" s="27"/>
    </row>
    <row r="33003" spans="1:1">
      <c r="A33003" s="27"/>
    </row>
    <row r="33004" spans="1:1">
      <c r="A33004" s="27"/>
    </row>
    <row r="33005" spans="1:1">
      <c r="A33005" s="27"/>
    </row>
    <row r="33006" spans="1:1">
      <c r="A33006" s="27"/>
    </row>
    <row r="33007" spans="1:1">
      <c r="A33007" s="27"/>
    </row>
    <row r="33008" spans="1:1">
      <c r="A33008" s="27"/>
    </row>
    <row r="33009" spans="1:1">
      <c r="A33009" s="27"/>
    </row>
    <row r="33010" spans="1:1">
      <c r="A33010" s="27"/>
    </row>
    <row r="33011" spans="1:1">
      <c r="A33011" s="27"/>
    </row>
    <row r="33012" spans="1:1">
      <c r="A33012" s="27"/>
    </row>
    <row r="33013" spans="1:1">
      <c r="A33013" s="27"/>
    </row>
    <row r="33014" spans="1:1">
      <c r="A33014" s="27"/>
    </row>
    <row r="33015" spans="1:1">
      <c r="A33015" s="27"/>
    </row>
    <row r="33016" spans="1:1">
      <c r="A33016" s="27"/>
    </row>
    <row r="33017" spans="1:1">
      <c r="A33017" s="27"/>
    </row>
    <row r="33018" spans="1:1">
      <c r="A33018" s="27"/>
    </row>
    <row r="33019" spans="1:1">
      <c r="A33019" s="27"/>
    </row>
    <row r="33020" spans="1:1">
      <c r="A33020" s="27"/>
    </row>
    <row r="33021" spans="1:1">
      <c r="A33021" s="27"/>
    </row>
    <row r="33022" spans="1:1">
      <c r="A33022" s="27"/>
    </row>
    <row r="33023" spans="1:1">
      <c r="A33023" s="27"/>
    </row>
    <row r="33024" spans="1:1">
      <c r="A33024" s="27"/>
    </row>
    <row r="33025" spans="1:1">
      <c r="A33025" s="27"/>
    </row>
    <row r="33026" spans="1:1">
      <c r="A33026" s="27"/>
    </row>
    <row r="33027" spans="1:1">
      <c r="A33027" s="27"/>
    </row>
    <row r="33028" spans="1:1">
      <c r="A33028" s="27"/>
    </row>
    <row r="33029" spans="1:1">
      <c r="A33029" s="27"/>
    </row>
    <row r="33030" spans="1:1">
      <c r="A33030" s="27"/>
    </row>
    <row r="33031" spans="1:1">
      <c r="A33031" s="27"/>
    </row>
    <row r="33032" spans="1:1">
      <c r="A33032" s="27"/>
    </row>
    <row r="33033" spans="1:1">
      <c r="A33033" s="27"/>
    </row>
    <row r="33034" spans="1:1">
      <c r="A33034" s="27"/>
    </row>
    <row r="33035" spans="1:1">
      <c r="A33035" s="27"/>
    </row>
    <row r="33036" spans="1:1">
      <c r="A33036" s="27"/>
    </row>
    <row r="33037" spans="1:1">
      <c r="A33037" s="27"/>
    </row>
    <row r="33038" spans="1:1">
      <c r="A33038" s="27"/>
    </row>
    <row r="33039" spans="1:1">
      <c r="A33039" s="27"/>
    </row>
    <row r="33040" spans="1:1">
      <c r="A33040" s="27"/>
    </row>
    <row r="33041" spans="1:1">
      <c r="A33041" s="27"/>
    </row>
    <row r="33042" spans="1:1">
      <c r="A33042" s="27"/>
    </row>
    <row r="33043" spans="1:1">
      <c r="A33043" s="27"/>
    </row>
    <row r="33044" spans="1:1">
      <c r="A33044" s="27"/>
    </row>
    <row r="33045" spans="1:1">
      <c r="A33045" s="27"/>
    </row>
    <row r="33046" spans="1:1">
      <c r="A33046" s="27"/>
    </row>
    <row r="33047" spans="1:1">
      <c r="A33047" s="27"/>
    </row>
    <row r="33048" spans="1:1">
      <c r="A33048" s="27"/>
    </row>
    <row r="33049" spans="1:1">
      <c r="A33049" s="27"/>
    </row>
    <row r="33050" spans="1:1">
      <c r="A33050" s="27"/>
    </row>
    <row r="33051" spans="1:1">
      <c r="A33051" s="27"/>
    </row>
    <row r="33052" spans="1:1">
      <c r="A33052" s="27"/>
    </row>
    <row r="33053" spans="1:1">
      <c r="A33053" s="27"/>
    </row>
    <row r="33054" spans="1:1">
      <c r="A33054" s="27"/>
    </row>
    <row r="33055" spans="1:1">
      <c r="A33055" s="27"/>
    </row>
    <row r="33056" spans="1:1">
      <c r="A33056" s="27"/>
    </row>
    <row r="33057" spans="1:1">
      <c r="A33057" s="27"/>
    </row>
    <row r="33058" spans="1:1">
      <c r="A33058" s="27"/>
    </row>
    <row r="33059" spans="1:1">
      <c r="A33059" s="27"/>
    </row>
    <row r="33060" spans="1:1">
      <c r="A33060" s="27"/>
    </row>
    <row r="33061" spans="1:1">
      <c r="A33061" s="27"/>
    </row>
    <row r="33062" spans="1:1">
      <c r="A33062" s="27"/>
    </row>
    <row r="33063" spans="1:1">
      <c r="A33063" s="27"/>
    </row>
    <row r="33064" spans="1:1">
      <c r="A33064" s="27"/>
    </row>
    <row r="33065" spans="1:1">
      <c r="A33065" s="27"/>
    </row>
    <row r="33066" spans="1:1">
      <c r="A33066" s="27"/>
    </row>
    <row r="33067" spans="1:1">
      <c r="A33067" s="27"/>
    </row>
    <row r="33068" spans="1:1">
      <c r="A33068" s="27"/>
    </row>
    <row r="33069" spans="1:1">
      <c r="A33069" s="27"/>
    </row>
    <row r="33070" spans="1:1">
      <c r="A33070" s="27"/>
    </row>
    <row r="33071" spans="1:1">
      <c r="A33071" s="27"/>
    </row>
    <row r="33072" spans="1:1">
      <c r="A33072" s="27"/>
    </row>
    <row r="33073" spans="1:1">
      <c r="A33073" s="27"/>
    </row>
    <row r="33074" spans="1:1">
      <c r="A33074" s="27"/>
    </row>
    <row r="33075" spans="1:1">
      <c r="A33075" s="27"/>
    </row>
    <row r="33076" spans="1:1">
      <c r="A33076" s="27"/>
    </row>
    <row r="33077" spans="1:1">
      <c r="A33077" s="27"/>
    </row>
    <row r="33078" spans="1:1">
      <c r="A33078" s="27"/>
    </row>
    <row r="33079" spans="1:1">
      <c r="A33079" s="27"/>
    </row>
    <row r="33080" spans="1:1">
      <c r="A33080" s="27"/>
    </row>
    <row r="33081" spans="1:1">
      <c r="A33081" s="27"/>
    </row>
    <row r="33082" spans="1:1">
      <c r="A33082" s="27"/>
    </row>
    <row r="33083" spans="1:1">
      <c r="A33083" s="27"/>
    </row>
    <row r="33084" spans="1:1">
      <c r="A33084" s="27"/>
    </row>
    <row r="33085" spans="1:1">
      <c r="A33085" s="27"/>
    </row>
    <row r="33086" spans="1:1">
      <c r="A33086" s="27"/>
    </row>
    <row r="33087" spans="1:1">
      <c r="A33087" s="27"/>
    </row>
    <row r="33088" spans="1:1">
      <c r="A33088" s="27"/>
    </row>
    <row r="33089" spans="1:1">
      <c r="A33089" s="27"/>
    </row>
    <row r="33090" spans="1:1">
      <c r="A33090" s="27"/>
    </row>
    <row r="33091" spans="1:1">
      <c r="A33091" s="27"/>
    </row>
    <row r="33092" spans="1:1">
      <c r="A33092" s="27"/>
    </row>
    <row r="33093" spans="1:1">
      <c r="A33093" s="27"/>
    </row>
    <row r="33094" spans="1:1">
      <c r="A33094" s="27"/>
    </row>
    <row r="33095" spans="1:1">
      <c r="A33095" s="27"/>
    </row>
    <row r="33096" spans="1:1">
      <c r="A33096" s="27"/>
    </row>
    <row r="33097" spans="1:1">
      <c r="A33097" s="27"/>
    </row>
    <row r="33098" spans="1:1">
      <c r="A33098" s="27"/>
    </row>
    <row r="33099" spans="1:1">
      <c r="A33099" s="27"/>
    </row>
    <row r="33100" spans="1:1">
      <c r="A33100" s="27"/>
    </row>
    <row r="33101" spans="1:1">
      <c r="A33101" s="27"/>
    </row>
    <row r="33102" spans="1:1">
      <c r="A33102" s="27"/>
    </row>
    <row r="33103" spans="1:1">
      <c r="A33103" s="27"/>
    </row>
    <row r="33104" spans="1:1">
      <c r="A33104" s="27"/>
    </row>
    <row r="33105" spans="1:1">
      <c r="A33105" s="27"/>
    </row>
    <row r="33106" spans="1:1">
      <c r="A33106" s="27"/>
    </row>
    <row r="33107" spans="1:1">
      <c r="A33107" s="27"/>
    </row>
    <row r="33108" spans="1:1">
      <c r="A33108" s="27"/>
    </row>
    <row r="33109" spans="1:1">
      <c r="A33109" s="27"/>
    </row>
    <row r="33110" spans="1:1">
      <c r="A33110" s="27"/>
    </row>
    <row r="33111" spans="1:1">
      <c r="A33111" s="27"/>
    </row>
    <row r="33112" spans="1:1">
      <c r="A33112" s="27"/>
    </row>
    <row r="33113" spans="1:1">
      <c r="A33113" s="27"/>
    </row>
    <row r="33114" spans="1:1">
      <c r="A33114" s="27"/>
    </row>
    <row r="33115" spans="1:1">
      <c r="A33115" s="27"/>
    </row>
    <row r="33116" spans="1:1">
      <c r="A33116" s="27"/>
    </row>
    <row r="33117" spans="1:1">
      <c r="A33117" s="27"/>
    </row>
    <row r="33118" spans="1:1">
      <c r="A33118" s="27"/>
    </row>
    <row r="33119" spans="1:1">
      <c r="A33119" s="27"/>
    </row>
    <row r="33120" spans="1:1">
      <c r="A33120" s="27"/>
    </row>
    <row r="33121" spans="1:1">
      <c r="A33121" s="27"/>
    </row>
    <row r="33122" spans="1:1">
      <c r="A33122" s="27"/>
    </row>
    <row r="33123" spans="1:1">
      <c r="A33123" s="27"/>
    </row>
    <row r="33124" spans="1:1">
      <c r="A33124" s="27"/>
    </row>
    <row r="33125" spans="1:1">
      <c r="A33125" s="27"/>
    </row>
    <row r="33126" spans="1:1">
      <c r="A33126" s="27"/>
    </row>
    <row r="33127" spans="1:1">
      <c r="A33127" s="27"/>
    </row>
    <row r="33128" spans="1:1">
      <c r="A33128" s="27"/>
    </row>
    <row r="33129" spans="1:1">
      <c r="A33129" s="27"/>
    </row>
    <row r="33130" spans="1:1">
      <c r="A33130" s="27"/>
    </row>
    <row r="33131" spans="1:1">
      <c r="A33131" s="27"/>
    </row>
    <row r="33132" spans="1:1">
      <c r="A33132" s="27"/>
    </row>
    <row r="33133" spans="1:1">
      <c r="A33133" s="27"/>
    </row>
    <row r="33134" spans="1:1">
      <c r="A33134" s="27"/>
    </row>
    <row r="33135" spans="1:1">
      <c r="A33135" s="27"/>
    </row>
    <row r="33136" spans="1:1">
      <c r="A33136" s="27"/>
    </row>
    <row r="33137" spans="1:1">
      <c r="A33137" s="27"/>
    </row>
    <row r="33138" spans="1:1">
      <c r="A33138" s="27"/>
    </row>
    <row r="33139" spans="1:1">
      <c r="A33139" s="27"/>
    </row>
    <row r="33140" spans="1:1">
      <c r="A33140" s="27"/>
    </row>
    <row r="33141" spans="1:1">
      <c r="A33141" s="27"/>
    </row>
    <row r="33142" spans="1:1">
      <c r="A33142" s="27"/>
    </row>
    <row r="33143" spans="1:1">
      <c r="A33143" s="27"/>
    </row>
    <row r="33144" spans="1:1">
      <c r="A33144" s="27"/>
    </row>
    <row r="33145" spans="1:1">
      <c r="A33145" s="27"/>
    </row>
    <row r="33146" spans="1:1">
      <c r="A33146" s="27"/>
    </row>
    <row r="33147" spans="1:1">
      <c r="A33147" s="27"/>
    </row>
    <row r="33148" spans="1:1">
      <c r="A33148" s="27"/>
    </row>
    <row r="33149" spans="1:1">
      <c r="A33149" s="27"/>
    </row>
    <row r="33150" spans="1:1">
      <c r="A33150" s="27"/>
    </row>
    <row r="33151" spans="1:1">
      <c r="A33151" s="27"/>
    </row>
    <row r="33152" spans="1:1">
      <c r="A33152" s="27"/>
    </row>
    <row r="33153" spans="1:1">
      <c r="A33153" s="27"/>
    </row>
    <row r="33154" spans="1:1">
      <c r="A33154" s="27"/>
    </row>
    <row r="33155" spans="1:1">
      <c r="A33155" s="27"/>
    </row>
    <row r="33156" spans="1:1">
      <c r="A33156" s="27"/>
    </row>
    <row r="33157" spans="1:1">
      <c r="A33157" s="27"/>
    </row>
    <row r="33158" spans="1:1">
      <c r="A33158" s="27"/>
    </row>
    <row r="33159" spans="1:1">
      <c r="A33159" s="27"/>
    </row>
    <row r="33160" spans="1:1">
      <c r="A33160" s="27"/>
    </row>
    <row r="33161" spans="1:1">
      <c r="A33161" s="27"/>
    </row>
    <row r="33162" spans="1:1">
      <c r="A33162" s="27"/>
    </row>
    <row r="33163" spans="1:1">
      <c r="A33163" s="27"/>
    </row>
    <row r="33164" spans="1:1">
      <c r="A33164" s="27"/>
    </row>
    <row r="33165" spans="1:1">
      <c r="A33165" s="27"/>
    </row>
    <row r="33166" spans="1:1">
      <c r="A33166" s="27"/>
    </row>
    <row r="33167" spans="1:1">
      <c r="A33167" s="27"/>
    </row>
    <row r="33168" spans="1:1">
      <c r="A33168" s="27"/>
    </row>
    <row r="33169" spans="1:1">
      <c r="A33169" s="27"/>
    </row>
    <row r="33170" spans="1:1">
      <c r="A33170" s="27"/>
    </row>
    <row r="33171" spans="1:1">
      <c r="A33171" s="27"/>
    </row>
    <row r="33172" spans="1:1">
      <c r="A33172" s="27"/>
    </row>
    <row r="33173" spans="1:1">
      <c r="A33173" s="27"/>
    </row>
    <row r="33174" spans="1:1">
      <c r="A33174" s="27"/>
    </row>
    <row r="33175" spans="1:1">
      <c r="A33175" s="27"/>
    </row>
    <row r="33176" spans="1:1">
      <c r="A33176" s="27"/>
    </row>
    <row r="33177" spans="1:1">
      <c r="A33177" s="27"/>
    </row>
    <row r="33178" spans="1:1">
      <c r="A33178" s="27"/>
    </row>
    <row r="33179" spans="1:1">
      <c r="A33179" s="27"/>
    </row>
    <row r="33180" spans="1:1">
      <c r="A33180" s="27"/>
    </row>
    <row r="33181" spans="1:1">
      <c r="A33181" s="27"/>
    </row>
    <row r="33182" spans="1:1">
      <c r="A33182" s="27"/>
    </row>
    <row r="33183" spans="1:1">
      <c r="A33183" s="27"/>
    </row>
    <row r="33184" spans="1:1">
      <c r="A33184" s="27"/>
    </row>
    <row r="33185" spans="1:1">
      <c r="A33185" s="27"/>
    </row>
    <row r="33186" spans="1:1">
      <c r="A33186" s="27"/>
    </row>
    <row r="33187" spans="1:1">
      <c r="A33187" s="27"/>
    </row>
    <row r="33188" spans="1:1">
      <c r="A33188" s="27"/>
    </row>
    <row r="33189" spans="1:1">
      <c r="A33189" s="27"/>
    </row>
    <row r="33190" spans="1:1">
      <c r="A33190" s="27"/>
    </row>
    <row r="33191" spans="1:1">
      <c r="A33191" s="27"/>
    </row>
    <row r="33192" spans="1:1">
      <c r="A33192" s="27"/>
    </row>
    <row r="33193" spans="1:1">
      <c r="A33193" s="27"/>
    </row>
    <row r="33194" spans="1:1">
      <c r="A33194" s="27"/>
    </row>
    <row r="33195" spans="1:1">
      <c r="A33195" s="27"/>
    </row>
    <row r="33196" spans="1:1">
      <c r="A33196" s="27"/>
    </row>
    <row r="33197" spans="1:1">
      <c r="A33197" s="27"/>
    </row>
    <row r="33198" spans="1:1">
      <c r="A33198" s="27"/>
    </row>
    <row r="33199" spans="1:1">
      <c r="A33199" s="27"/>
    </row>
    <row r="33200" spans="1:1">
      <c r="A33200" s="27"/>
    </row>
    <row r="33201" spans="1:1">
      <c r="A33201" s="27"/>
    </row>
    <row r="33202" spans="1:1">
      <c r="A33202" s="27"/>
    </row>
    <row r="33203" spans="1:1">
      <c r="A33203" s="27"/>
    </row>
    <row r="33204" spans="1:1">
      <c r="A33204" s="27"/>
    </row>
    <row r="33205" spans="1:1">
      <c r="A33205" s="27"/>
    </row>
    <row r="33206" spans="1:1">
      <c r="A33206" s="27"/>
    </row>
    <row r="33207" spans="1:1">
      <c r="A33207" s="27"/>
    </row>
    <row r="33208" spans="1:1">
      <c r="A33208" s="27"/>
    </row>
    <row r="33209" spans="1:1">
      <c r="A33209" s="27"/>
    </row>
    <row r="33210" spans="1:1">
      <c r="A33210" s="27"/>
    </row>
    <row r="33211" spans="1:1">
      <c r="A33211" s="27"/>
    </row>
    <row r="33212" spans="1:1">
      <c r="A33212" s="27"/>
    </row>
    <row r="33213" spans="1:1">
      <c r="A33213" s="27"/>
    </row>
    <row r="33214" spans="1:1">
      <c r="A33214" s="27"/>
    </row>
    <row r="33215" spans="1:1">
      <c r="A33215" s="27"/>
    </row>
    <row r="33216" spans="1:1">
      <c r="A33216" s="27"/>
    </row>
    <row r="33217" spans="1:1">
      <c r="A33217" s="27"/>
    </row>
    <row r="33218" spans="1:1">
      <c r="A33218" s="27"/>
    </row>
    <row r="33219" spans="1:1">
      <c r="A33219" s="27"/>
    </row>
    <row r="33220" spans="1:1">
      <c r="A33220" s="27"/>
    </row>
    <row r="33221" spans="1:1">
      <c r="A33221" s="27"/>
    </row>
    <row r="33222" spans="1:1">
      <c r="A33222" s="27"/>
    </row>
    <row r="33223" spans="1:1">
      <c r="A33223" s="27"/>
    </row>
    <row r="33224" spans="1:1">
      <c r="A33224" s="27"/>
    </row>
    <row r="33225" spans="1:1">
      <c r="A33225" s="27"/>
    </row>
    <row r="33226" spans="1:1">
      <c r="A33226" s="27"/>
    </row>
    <row r="33227" spans="1:1">
      <c r="A33227" s="27"/>
    </row>
    <row r="33228" spans="1:1">
      <c r="A33228" s="27"/>
    </row>
    <row r="33229" spans="1:1">
      <c r="A33229" s="27"/>
    </row>
    <row r="33230" spans="1:1">
      <c r="A33230" s="27"/>
    </row>
    <row r="33231" spans="1:1">
      <c r="A33231" s="27"/>
    </row>
    <row r="33232" spans="1:1">
      <c r="A33232" s="27"/>
    </row>
    <row r="33233" spans="1:1">
      <c r="A33233" s="27"/>
    </row>
    <row r="33234" spans="1:1">
      <c r="A33234" s="27"/>
    </row>
    <row r="33235" spans="1:1">
      <c r="A33235" s="27"/>
    </row>
    <row r="33236" spans="1:1">
      <c r="A33236" s="27"/>
    </row>
    <row r="33237" spans="1:1">
      <c r="A33237" s="27"/>
    </row>
    <row r="33238" spans="1:1">
      <c r="A33238" s="27"/>
    </row>
    <row r="33239" spans="1:1">
      <c r="A33239" s="27"/>
    </row>
    <row r="33240" spans="1:1">
      <c r="A33240" s="27"/>
    </row>
    <row r="33241" spans="1:1">
      <c r="A33241" s="27"/>
    </row>
    <row r="33242" spans="1:1">
      <c r="A33242" s="27"/>
    </row>
    <row r="33243" spans="1:1">
      <c r="A33243" s="27"/>
    </row>
    <row r="33244" spans="1:1">
      <c r="A33244" s="27"/>
    </row>
    <row r="33245" spans="1:1">
      <c r="A33245" s="27"/>
    </row>
    <row r="33246" spans="1:1">
      <c r="A33246" s="27"/>
    </row>
    <row r="33247" spans="1:1">
      <c r="A33247" s="27"/>
    </row>
    <row r="33248" spans="1:1">
      <c r="A33248" s="27"/>
    </row>
    <row r="33249" spans="1:1">
      <c r="A33249" s="27"/>
    </row>
    <row r="33250" spans="1:1">
      <c r="A33250" s="27"/>
    </row>
    <row r="33251" spans="1:1">
      <c r="A33251" s="27"/>
    </row>
    <row r="33252" spans="1:1">
      <c r="A33252" s="27"/>
    </row>
    <row r="33253" spans="1:1">
      <c r="A33253" s="27"/>
    </row>
    <row r="33254" spans="1:1">
      <c r="A33254" s="27"/>
    </row>
    <row r="33255" spans="1:1">
      <c r="A33255" s="27"/>
    </row>
    <row r="33256" spans="1:1">
      <c r="A33256" s="27"/>
    </row>
    <row r="33257" spans="1:1">
      <c r="A33257" s="27"/>
    </row>
    <row r="33258" spans="1:1">
      <c r="A33258" s="27"/>
    </row>
    <row r="33259" spans="1:1">
      <c r="A33259" s="27"/>
    </row>
    <row r="33260" spans="1:1">
      <c r="A33260" s="27"/>
    </row>
    <row r="33261" spans="1:1">
      <c r="A33261" s="27"/>
    </row>
    <row r="33262" spans="1:1">
      <c r="A33262" s="27"/>
    </row>
    <row r="33263" spans="1:1">
      <c r="A33263" s="27"/>
    </row>
    <row r="33264" spans="1:1">
      <c r="A33264" s="27"/>
    </row>
    <row r="33265" spans="1:1">
      <c r="A33265" s="27"/>
    </row>
    <row r="33266" spans="1:1">
      <c r="A33266" s="27"/>
    </row>
    <row r="33267" spans="1:1">
      <c r="A33267" s="27"/>
    </row>
    <row r="33268" spans="1:1">
      <c r="A33268" s="27"/>
    </row>
    <row r="33269" spans="1:1">
      <c r="A33269" s="27"/>
    </row>
    <row r="33270" spans="1:1">
      <c r="A33270" s="27"/>
    </row>
    <row r="33271" spans="1:1">
      <c r="A33271" s="27"/>
    </row>
    <row r="33272" spans="1:1">
      <c r="A33272" s="27"/>
    </row>
    <row r="33273" spans="1:1">
      <c r="A33273" s="27"/>
    </row>
    <row r="33274" spans="1:1">
      <c r="A33274" s="27"/>
    </row>
    <row r="33275" spans="1:1">
      <c r="A33275" s="27"/>
    </row>
    <row r="33276" spans="1:1">
      <c r="A33276" s="27"/>
    </row>
    <row r="33277" spans="1:1">
      <c r="A33277" s="27"/>
    </row>
    <row r="33278" spans="1:1">
      <c r="A33278" s="27"/>
    </row>
    <row r="33279" spans="1:1">
      <c r="A33279" s="27"/>
    </row>
    <row r="33280" spans="1:1">
      <c r="A33280" s="27"/>
    </row>
    <row r="33281" spans="1:1">
      <c r="A33281" s="27"/>
    </row>
    <row r="33282" spans="1:1">
      <c r="A33282" s="27"/>
    </row>
    <row r="33283" spans="1:1">
      <c r="A33283" s="27"/>
    </row>
    <row r="33284" spans="1:1">
      <c r="A33284" s="27"/>
    </row>
    <row r="33285" spans="1:1">
      <c r="A33285" s="27"/>
    </row>
    <row r="33286" spans="1:1">
      <c r="A33286" s="27"/>
    </row>
    <row r="33287" spans="1:1">
      <c r="A33287" s="27"/>
    </row>
    <row r="33288" spans="1:1">
      <c r="A33288" s="27"/>
    </row>
    <row r="33289" spans="1:1">
      <c r="A33289" s="27"/>
    </row>
    <row r="33290" spans="1:1">
      <c r="A33290" s="27"/>
    </row>
    <row r="33291" spans="1:1">
      <c r="A33291" s="27"/>
    </row>
    <row r="33292" spans="1:1">
      <c r="A33292" s="27"/>
    </row>
    <row r="33293" spans="1:1">
      <c r="A33293" s="27"/>
    </row>
    <row r="33294" spans="1:1">
      <c r="A33294" s="27"/>
    </row>
    <row r="33295" spans="1:1">
      <c r="A33295" s="27"/>
    </row>
    <row r="33296" spans="1:1">
      <c r="A33296" s="27"/>
    </row>
    <row r="33297" spans="1:1">
      <c r="A33297" s="27"/>
    </row>
    <row r="33298" spans="1:1">
      <c r="A33298" s="27"/>
    </row>
    <row r="33299" spans="1:1">
      <c r="A33299" s="27"/>
    </row>
    <row r="33300" spans="1:1">
      <c r="A33300" s="27"/>
    </row>
    <row r="33301" spans="1:1">
      <c r="A33301" s="27"/>
    </row>
    <row r="33302" spans="1:1">
      <c r="A33302" s="27"/>
    </row>
    <row r="33303" spans="1:1">
      <c r="A33303" s="27"/>
    </row>
    <row r="33304" spans="1:1">
      <c r="A33304" s="27"/>
    </row>
    <row r="33305" spans="1:1">
      <c r="A33305" s="27"/>
    </row>
    <row r="33306" spans="1:1">
      <c r="A33306" s="27"/>
    </row>
    <row r="33307" spans="1:1">
      <c r="A33307" s="27"/>
    </row>
    <row r="33308" spans="1:1">
      <c r="A33308" s="27"/>
    </row>
    <row r="33309" spans="1:1">
      <c r="A33309" s="27"/>
    </row>
    <row r="33310" spans="1:1">
      <c r="A33310" s="27"/>
    </row>
    <row r="33311" spans="1:1">
      <c r="A33311" s="27"/>
    </row>
    <row r="33312" spans="1:1">
      <c r="A33312" s="27"/>
    </row>
    <row r="33313" spans="1:1">
      <c r="A33313" s="27"/>
    </row>
    <row r="33314" spans="1:1">
      <c r="A33314" s="27"/>
    </row>
    <row r="33315" spans="1:1">
      <c r="A33315" s="27"/>
    </row>
    <row r="33316" spans="1:1">
      <c r="A33316" s="27"/>
    </row>
    <row r="33317" spans="1:1">
      <c r="A33317" s="27"/>
    </row>
    <row r="33318" spans="1:1">
      <c r="A33318" s="27"/>
    </row>
    <row r="33319" spans="1:1">
      <c r="A33319" s="27"/>
    </row>
    <row r="33320" spans="1:1">
      <c r="A33320" s="27"/>
    </row>
    <row r="33321" spans="1:1">
      <c r="A33321" s="27"/>
    </row>
    <row r="33322" spans="1:1">
      <c r="A33322" s="27"/>
    </row>
    <row r="33323" spans="1:1">
      <c r="A33323" s="27"/>
    </row>
    <row r="33324" spans="1:1">
      <c r="A33324" s="27"/>
    </row>
    <row r="33325" spans="1:1">
      <c r="A33325" s="27"/>
    </row>
    <row r="33326" spans="1:1">
      <c r="A33326" s="27"/>
    </row>
    <row r="33327" spans="1:1">
      <c r="A33327" s="27"/>
    </row>
    <row r="33328" spans="1:1">
      <c r="A33328" s="27"/>
    </row>
    <row r="33329" spans="1:1">
      <c r="A33329" s="27"/>
    </row>
    <row r="33330" spans="1:1">
      <c r="A33330" s="27"/>
    </row>
    <row r="33331" spans="1:1">
      <c r="A33331" s="27"/>
    </row>
    <row r="33332" spans="1:1">
      <c r="A33332" s="27"/>
    </row>
    <row r="33333" spans="1:1">
      <c r="A33333" s="27"/>
    </row>
    <row r="33334" spans="1:1">
      <c r="A33334" s="27"/>
    </row>
    <row r="33335" spans="1:1">
      <c r="A33335" s="27"/>
    </row>
    <row r="33336" spans="1:1">
      <c r="A33336" s="27"/>
    </row>
    <row r="33337" spans="1:1">
      <c r="A33337" s="27"/>
    </row>
    <row r="33338" spans="1:1">
      <c r="A33338" s="27"/>
    </row>
    <row r="33339" spans="1:1">
      <c r="A33339" s="27"/>
    </row>
    <row r="33340" spans="1:1">
      <c r="A33340" s="27"/>
    </row>
    <row r="33341" spans="1:1">
      <c r="A33341" s="27"/>
    </row>
    <row r="33342" spans="1:1">
      <c r="A33342" s="27"/>
    </row>
    <row r="33343" spans="1:1">
      <c r="A33343" s="27"/>
    </row>
    <row r="33344" spans="1:1">
      <c r="A33344" s="27"/>
    </row>
    <row r="33345" spans="1:1">
      <c r="A33345" s="27"/>
    </row>
    <row r="33346" spans="1:1">
      <c r="A33346" s="27"/>
    </row>
    <row r="33347" spans="1:1">
      <c r="A33347" s="27"/>
    </row>
    <row r="33348" spans="1:1">
      <c r="A33348" s="27"/>
    </row>
    <row r="33349" spans="1:1">
      <c r="A33349" s="27"/>
    </row>
    <row r="33350" spans="1:1">
      <c r="A33350" s="27"/>
    </row>
    <row r="33351" spans="1:1">
      <c r="A33351" s="27"/>
    </row>
    <row r="33352" spans="1:1">
      <c r="A33352" s="27"/>
    </row>
    <row r="33353" spans="1:1">
      <c r="A33353" s="27"/>
    </row>
    <row r="33354" spans="1:1">
      <c r="A33354" s="27"/>
    </row>
    <row r="33355" spans="1:1">
      <c r="A33355" s="27"/>
    </row>
    <row r="33356" spans="1:1">
      <c r="A33356" s="27"/>
    </row>
    <row r="33357" spans="1:1">
      <c r="A33357" s="27"/>
    </row>
    <row r="33358" spans="1:1">
      <c r="A33358" s="27"/>
    </row>
    <row r="33359" spans="1:1">
      <c r="A33359" s="27"/>
    </row>
    <row r="33360" spans="1:1">
      <c r="A33360" s="27"/>
    </row>
    <row r="33361" spans="1:1">
      <c r="A33361" s="27"/>
    </row>
    <row r="33362" spans="1:1">
      <c r="A33362" s="27"/>
    </row>
    <row r="33363" spans="1:1">
      <c r="A33363" s="27"/>
    </row>
    <row r="33364" spans="1:1">
      <c r="A33364" s="27"/>
    </row>
    <row r="33365" spans="1:1">
      <c r="A33365" s="27"/>
    </row>
    <row r="33366" spans="1:1">
      <c r="A33366" s="27"/>
    </row>
    <row r="33367" spans="1:1">
      <c r="A33367" s="27"/>
    </row>
    <row r="33368" spans="1:1">
      <c r="A33368" s="27"/>
    </row>
    <row r="33369" spans="1:1">
      <c r="A33369" s="27"/>
    </row>
    <row r="33370" spans="1:1">
      <c r="A33370" s="27"/>
    </row>
    <row r="33371" spans="1:1">
      <c r="A33371" s="27"/>
    </row>
    <row r="33372" spans="1:1">
      <c r="A33372" s="27"/>
    </row>
    <row r="33373" spans="1:1">
      <c r="A33373" s="27"/>
    </row>
    <row r="33374" spans="1:1">
      <c r="A33374" s="27"/>
    </row>
    <row r="33375" spans="1:1">
      <c r="A33375" s="27"/>
    </row>
    <row r="33376" spans="1:1">
      <c r="A33376" s="27"/>
    </row>
    <row r="33377" spans="1:1">
      <c r="A33377" s="27"/>
    </row>
    <row r="33378" spans="1:1">
      <c r="A33378" s="27"/>
    </row>
    <row r="33379" spans="1:1">
      <c r="A33379" s="27"/>
    </row>
    <row r="33380" spans="1:1">
      <c r="A33380" s="27"/>
    </row>
    <row r="33381" spans="1:1">
      <c r="A33381" s="27"/>
    </row>
    <row r="33382" spans="1:1">
      <c r="A33382" s="27"/>
    </row>
    <row r="33383" spans="1:1">
      <c r="A33383" s="27"/>
    </row>
    <row r="33384" spans="1:1">
      <c r="A33384" s="27"/>
    </row>
    <row r="33385" spans="1:1">
      <c r="A33385" s="27"/>
    </row>
    <row r="33386" spans="1:1">
      <c r="A33386" s="27"/>
    </row>
    <row r="33387" spans="1:1">
      <c r="A33387" s="27"/>
    </row>
    <row r="33388" spans="1:1">
      <c r="A33388" s="27"/>
    </row>
    <row r="33389" spans="1:1">
      <c r="A33389" s="27"/>
    </row>
    <row r="33390" spans="1:1">
      <c r="A33390" s="27"/>
    </row>
    <row r="33391" spans="1:1">
      <c r="A33391" s="27"/>
    </row>
    <row r="33392" spans="1:1">
      <c r="A33392" s="27"/>
    </row>
    <row r="33393" spans="1:1">
      <c r="A33393" s="27"/>
    </row>
    <row r="33394" spans="1:1">
      <c r="A33394" s="27"/>
    </row>
    <row r="33395" spans="1:1">
      <c r="A33395" s="27"/>
    </row>
    <row r="33396" spans="1:1">
      <c r="A33396" s="27"/>
    </row>
    <row r="33397" spans="1:1">
      <c r="A33397" s="27"/>
    </row>
    <row r="33398" spans="1:1">
      <c r="A33398" s="27"/>
    </row>
    <row r="33399" spans="1:1">
      <c r="A33399" s="27"/>
    </row>
    <row r="33400" spans="1:1">
      <c r="A33400" s="27"/>
    </row>
    <row r="33401" spans="1:1">
      <c r="A33401" s="27"/>
    </row>
    <row r="33402" spans="1:1">
      <c r="A33402" s="27"/>
    </row>
    <row r="33403" spans="1:1">
      <c r="A33403" s="27"/>
    </row>
    <row r="33404" spans="1:1">
      <c r="A33404" s="27"/>
    </row>
    <row r="33405" spans="1:1">
      <c r="A33405" s="27"/>
    </row>
    <row r="33406" spans="1:1">
      <c r="A33406" s="27"/>
    </row>
    <row r="33407" spans="1:1">
      <c r="A33407" s="27"/>
    </row>
    <row r="33408" spans="1:1">
      <c r="A33408" s="27"/>
    </row>
    <row r="33409" spans="1:1">
      <c r="A33409" s="27"/>
    </row>
    <row r="33410" spans="1:1">
      <c r="A33410" s="27"/>
    </row>
    <row r="33411" spans="1:1">
      <c r="A33411" s="27"/>
    </row>
    <row r="33412" spans="1:1">
      <c r="A33412" s="27"/>
    </row>
    <row r="33413" spans="1:1">
      <c r="A33413" s="27"/>
    </row>
    <row r="33414" spans="1:1">
      <c r="A33414" s="27"/>
    </row>
    <row r="33415" spans="1:1">
      <c r="A33415" s="27"/>
    </row>
    <row r="33416" spans="1:1">
      <c r="A33416" s="27"/>
    </row>
    <row r="33417" spans="1:1">
      <c r="A33417" s="27"/>
    </row>
    <row r="33418" spans="1:1">
      <c r="A33418" s="27"/>
    </row>
    <row r="33419" spans="1:1">
      <c r="A33419" s="27"/>
    </row>
    <row r="33420" spans="1:1">
      <c r="A33420" s="27"/>
    </row>
    <row r="33421" spans="1:1">
      <c r="A33421" s="27"/>
    </row>
    <row r="33422" spans="1:1">
      <c r="A33422" s="27"/>
    </row>
    <row r="33423" spans="1:1">
      <c r="A33423" s="27"/>
    </row>
    <row r="33424" spans="1:1">
      <c r="A33424" s="27"/>
    </row>
    <row r="33425" spans="1:1">
      <c r="A33425" s="27"/>
    </row>
    <row r="33426" spans="1:1">
      <c r="A33426" s="27"/>
    </row>
    <row r="33427" spans="1:1">
      <c r="A33427" s="27"/>
    </row>
    <row r="33428" spans="1:1">
      <c r="A33428" s="27"/>
    </row>
    <row r="33429" spans="1:1">
      <c r="A33429" s="27"/>
    </row>
    <row r="33430" spans="1:1">
      <c r="A33430" s="27"/>
    </row>
    <row r="33431" spans="1:1">
      <c r="A33431" s="27"/>
    </row>
    <row r="33432" spans="1:1">
      <c r="A33432" s="27"/>
    </row>
    <row r="33433" spans="1:1">
      <c r="A33433" s="27"/>
    </row>
    <row r="33434" spans="1:1">
      <c r="A33434" s="27"/>
    </row>
    <row r="33435" spans="1:1">
      <c r="A33435" s="27"/>
    </row>
    <row r="33436" spans="1:1">
      <c r="A33436" s="27"/>
    </row>
    <row r="33437" spans="1:1">
      <c r="A33437" s="27"/>
    </row>
    <row r="33438" spans="1:1">
      <c r="A33438" s="27"/>
    </row>
    <row r="33439" spans="1:1">
      <c r="A33439" s="27"/>
    </row>
    <row r="33440" spans="1:1">
      <c r="A33440" s="27"/>
    </row>
    <row r="33441" spans="1:1">
      <c r="A33441" s="27"/>
    </row>
    <row r="33442" spans="1:1">
      <c r="A33442" s="27"/>
    </row>
    <row r="33443" spans="1:1">
      <c r="A33443" s="27"/>
    </row>
    <row r="33444" spans="1:1">
      <c r="A33444" s="27"/>
    </row>
    <row r="33445" spans="1:1">
      <c r="A33445" s="27"/>
    </row>
    <row r="33446" spans="1:1">
      <c r="A33446" s="27"/>
    </row>
    <row r="33447" spans="1:1">
      <c r="A33447" s="27"/>
    </row>
    <row r="33448" spans="1:1">
      <c r="A33448" s="27"/>
    </row>
    <row r="33449" spans="1:1">
      <c r="A33449" s="27"/>
    </row>
    <row r="33450" spans="1:1">
      <c r="A33450" s="27"/>
    </row>
    <row r="33451" spans="1:1">
      <c r="A33451" s="27"/>
    </row>
    <row r="33452" spans="1:1">
      <c r="A33452" s="27"/>
    </row>
    <row r="33453" spans="1:1">
      <c r="A33453" s="27"/>
    </row>
    <row r="33454" spans="1:1">
      <c r="A33454" s="27"/>
    </row>
    <row r="33455" spans="1:1">
      <c r="A33455" s="27"/>
    </row>
    <row r="33456" spans="1:1">
      <c r="A33456" s="27"/>
    </row>
    <row r="33457" spans="1:1">
      <c r="A33457" s="27"/>
    </row>
    <row r="33458" spans="1:1">
      <c r="A33458" s="27"/>
    </row>
    <row r="33459" spans="1:1">
      <c r="A33459" s="27"/>
    </row>
    <row r="33460" spans="1:1">
      <c r="A33460" s="27"/>
    </row>
    <row r="33461" spans="1:1">
      <c r="A33461" s="27"/>
    </row>
    <row r="33462" spans="1:1">
      <c r="A33462" s="27"/>
    </row>
    <row r="33463" spans="1:1">
      <c r="A33463" s="27"/>
    </row>
    <row r="33464" spans="1:1">
      <c r="A33464" s="27"/>
    </row>
    <row r="33465" spans="1:1">
      <c r="A33465" s="27"/>
    </row>
    <row r="33466" spans="1:1">
      <c r="A33466" s="27"/>
    </row>
    <row r="33467" spans="1:1">
      <c r="A33467" s="27"/>
    </row>
    <row r="33468" spans="1:1">
      <c r="A33468" s="27"/>
    </row>
    <row r="33469" spans="1:1">
      <c r="A33469" s="27"/>
    </row>
    <row r="33470" spans="1:1">
      <c r="A33470" s="27"/>
    </row>
    <row r="33471" spans="1:1">
      <c r="A33471" s="27"/>
    </row>
    <row r="33472" spans="1:1">
      <c r="A33472" s="27"/>
    </row>
    <row r="33473" spans="1:1">
      <c r="A33473" s="27"/>
    </row>
    <row r="33474" spans="1:1">
      <c r="A33474" s="27"/>
    </row>
    <row r="33475" spans="1:1">
      <c r="A33475" s="27"/>
    </row>
    <row r="33476" spans="1:1">
      <c r="A33476" s="27"/>
    </row>
    <row r="33477" spans="1:1">
      <c r="A33477" s="27"/>
    </row>
    <row r="33478" spans="1:1">
      <c r="A33478" s="27"/>
    </row>
    <row r="33479" spans="1:1">
      <c r="A33479" s="27"/>
    </row>
    <row r="33480" spans="1:1">
      <c r="A33480" s="27"/>
    </row>
    <row r="33481" spans="1:1">
      <c r="A33481" s="27"/>
    </row>
    <row r="33482" spans="1:1">
      <c r="A33482" s="27"/>
    </row>
    <row r="33483" spans="1:1">
      <c r="A33483" s="27"/>
    </row>
    <row r="33484" spans="1:1">
      <c r="A33484" s="27"/>
    </row>
    <row r="33485" spans="1:1">
      <c r="A33485" s="27"/>
    </row>
    <row r="33486" spans="1:1">
      <c r="A33486" s="27"/>
    </row>
    <row r="33487" spans="1:1">
      <c r="A33487" s="27"/>
    </row>
    <row r="33488" spans="1:1">
      <c r="A33488" s="27"/>
    </row>
    <row r="33489" spans="1:1">
      <c r="A33489" s="27"/>
    </row>
    <row r="33490" spans="1:1">
      <c r="A33490" s="27"/>
    </row>
    <row r="33491" spans="1:1">
      <c r="A33491" s="27"/>
    </row>
    <row r="33492" spans="1:1">
      <c r="A33492" s="27"/>
    </row>
    <row r="33493" spans="1:1">
      <c r="A33493" s="27"/>
    </row>
    <row r="33494" spans="1:1">
      <c r="A33494" s="27"/>
    </row>
    <row r="33495" spans="1:1">
      <c r="A33495" s="27"/>
    </row>
    <row r="33496" spans="1:1">
      <c r="A33496" s="27"/>
    </row>
    <row r="33497" spans="1:1">
      <c r="A33497" s="27"/>
    </row>
    <row r="33498" spans="1:1">
      <c r="A33498" s="27"/>
    </row>
    <row r="33499" spans="1:1">
      <c r="A33499" s="27"/>
    </row>
    <row r="33500" spans="1:1">
      <c r="A33500" s="27"/>
    </row>
    <row r="33501" spans="1:1">
      <c r="A33501" s="27"/>
    </row>
    <row r="33502" spans="1:1">
      <c r="A33502" s="27"/>
    </row>
    <row r="33503" spans="1:1">
      <c r="A33503" s="27"/>
    </row>
    <row r="33504" spans="1:1">
      <c r="A33504" s="27"/>
    </row>
    <row r="33505" spans="1:1">
      <c r="A33505" s="27"/>
    </row>
    <row r="33506" spans="1:1">
      <c r="A33506" s="27"/>
    </row>
    <row r="33507" spans="1:1">
      <c r="A33507" s="27"/>
    </row>
    <row r="33508" spans="1:1">
      <c r="A33508" s="27"/>
    </row>
    <row r="33509" spans="1:1">
      <c r="A33509" s="27"/>
    </row>
    <row r="33510" spans="1:1">
      <c r="A33510" s="27"/>
    </row>
    <row r="33511" spans="1:1">
      <c r="A33511" s="27"/>
    </row>
    <row r="33512" spans="1:1">
      <c r="A33512" s="27"/>
    </row>
    <row r="33513" spans="1:1">
      <c r="A33513" s="27"/>
    </row>
    <row r="33514" spans="1:1">
      <c r="A33514" s="27"/>
    </row>
    <row r="33515" spans="1:1">
      <c r="A33515" s="27"/>
    </row>
    <row r="33516" spans="1:1">
      <c r="A33516" s="27"/>
    </row>
    <row r="33517" spans="1:1">
      <c r="A33517" s="27"/>
    </row>
    <row r="33518" spans="1:1">
      <c r="A33518" s="27"/>
    </row>
    <row r="33519" spans="1:1">
      <c r="A33519" s="27"/>
    </row>
    <row r="33520" spans="1:1">
      <c r="A33520" s="27"/>
    </row>
    <row r="33521" spans="1:1">
      <c r="A33521" s="27"/>
    </row>
    <row r="33522" spans="1:1">
      <c r="A33522" s="27"/>
    </row>
    <row r="33523" spans="1:1">
      <c r="A33523" s="27"/>
    </row>
    <row r="33524" spans="1:1">
      <c r="A33524" s="27"/>
    </row>
    <row r="33525" spans="1:1">
      <c r="A33525" s="27"/>
    </row>
    <row r="33526" spans="1:1">
      <c r="A33526" s="27"/>
    </row>
    <row r="33527" spans="1:1">
      <c r="A33527" s="27"/>
    </row>
    <row r="33528" spans="1:1">
      <c r="A33528" s="27"/>
    </row>
    <row r="33529" spans="1:1">
      <c r="A33529" s="27"/>
    </row>
    <row r="33530" spans="1:1">
      <c r="A33530" s="27"/>
    </row>
    <row r="33531" spans="1:1">
      <c r="A33531" s="27"/>
    </row>
    <row r="33532" spans="1:1">
      <c r="A33532" s="27"/>
    </row>
    <row r="33533" spans="1:1">
      <c r="A33533" s="27"/>
    </row>
    <row r="33534" spans="1:1">
      <c r="A33534" s="27"/>
    </row>
    <row r="33535" spans="1:1">
      <c r="A33535" s="27"/>
    </row>
    <row r="33536" spans="1:1">
      <c r="A33536" s="27"/>
    </row>
    <row r="33537" spans="1:1">
      <c r="A33537" s="27"/>
    </row>
    <row r="33538" spans="1:1">
      <c r="A33538" s="27"/>
    </row>
    <row r="33539" spans="1:1">
      <c r="A33539" s="27"/>
    </row>
    <row r="33540" spans="1:1">
      <c r="A33540" s="27"/>
    </row>
    <row r="33541" spans="1:1">
      <c r="A33541" s="27"/>
    </row>
    <row r="33542" spans="1:1">
      <c r="A33542" s="27"/>
    </row>
    <row r="33543" spans="1:1">
      <c r="A33543" s="27"/>
    </row>
    <row r="33544" spans="1:1">
      <c r="A33544" s="27"/>
    </row>
    <row r="33545" spans="1:1">
      <c r="A33545" s="27"/>
    </row>
    <row r="33546" spans="1:1">
      <c r="A33546" s="27"/>
    </row>
    <row r="33547" spans="1:1">
      <c r="A33547" s="27"/>
    </row>
    <row r="33548" spans="1:1">
      <c r="A33548" s="27"/>
    </row>
    <row r="33549" spans="1:1">
      <c r="A33549" s="27"/>
    </row>
    <row r="33550" spans="1:1">
      <c r="A33550" s="27"/>
    </row>
    <row r="33551" spans="1:1">
      <c r="A33551" s="27"/>
    </row>
    <row r="33552" spans="1:1">
      <c r="A33552" s="27"/>
    </row>
    <row r="33553" spans="1:1">
      <c r="A33553" s="27"/>
    </row>
    <row r="33554" spans="1:1">
      <c r="A33554" s="27"/>
    </row>
    <row r="33555" spans="1:1">
      <c r="A33555" s="27"/>
    </row>
    <row r="33556" spans="1:1">
      <c r="A33556" s="27"/>
    </row>
    <row r="33557" spans="1:1">
      <c r="A33557" s="27"/>
    </row>
    <row r="33558" spans="1:1">
      <c r="A33558" s="27"/>
    </row>
    <row r="33559" spans="1:1">
      <c r="A33559" s="27"/>
    </row>
    <row r="33560" spans="1:1">
      <c r="A33560" s="27"/>
    </row>
    <row r="33561" spans="1:1">
      <c r="A33561" s="27"/>
    </row>
    <row r="33562" spans="1:1">
      <c r="A33562" s="27"/>
    </row>
    <row r="33563" spans="1:1">
      <c r="A33563" s="27"/>
    </row>
    <row r="33564" spans="1:1">
      <c r="A33564" s="27"/>
    </row>
    <row r="33565" spans="1:1">
      <c r="A33565" s="27"/>
    </row>
    <row r="33566" spans="1:1">
      <c r="A33566" s="27"/>
    </row>
    <row r="33567" spans="1:1">
      <c r="A33567" s="27"/>
    </row>
    <row r="33568" spans="1:1">
      <c r="A33568" s="27"/>
    </row>
    <row r="33569" spans="1:1">
      <c r="A33569" s="27"/>
    </row>
    <row r="33570" spans="1:1">
      <c r="A33570" s="27"/>
    </row>
    <row r="33571" spans="1:1">
      <c r="A33571" s="27"/>
    </row>
    <row r="33572" spans="1:1">
      <c r="A33572" s="27"/>
    </row>
    <row r="33573" spans="1:1">
      <c r="A33573" s="27"/>
    </row>
    <row r="33574" spans="1:1">
      <c r="A33574" s="27"/>
    </row>
    <row r="33575" spans="1:1">
      <c r="A33575" s="27"/>
    </row>
    <row r="33576" spans="1:1">
      <c r="A33576" s="27"/>
    </row>
    <row r="33577" spans="1:1">
      <c r="A33577" s="27"/>
    </row>
    <row r="33578" spans="1:1">
      <c r="A33578" s="27"/>
    </row>
    <row r="33579" spans="1:1">
      <c r="A33579" s="27"/>
    </row>
    <row r="33580" spans="1:1">
      <c r="A33580" s="27"/>
    </row>
    <row r="33581" spans="1:1">
      <c r="A33581" s="27"/>
    </row>
    <row r="33582" spans="1:1">
      <c r="A33582" s="27"/>
    </row>
    <row r="33583" spans="1:1">
      <c r="A33583" s="27"/>
    </row>
    <row r="33584" spans="1:1">
      <c r="A33584" s="27"/>
    </row>
    <row r="33585" spans="1:1">
      <c r="A33585" s="27"/>
    </row>
    <row r="33586" spans="1:1">
      <c r="A33586" s="27"/>
    </row>
    <row r="33587" spans="1:1">
      <c r="A33587" s="27"/>
    </row>
    <row r="33588" spans="1:1">
      <c r="A33588" s="27"/>
    </row>
    <row r="33589" spans="1:1">
      <c r="A33589" s="27"/>
    </row>
    <row r="33590" spans="1:1">
      <c r="A33590" s="27"/>
    </row>
    <row r="33591" spans="1:1">
      <c r="A33591" s="27"/>
    </row>
    <row r="33592" spans="1:1">
      <c r="A33592" s="27"/>
    </row>
    <row r="33593" spans="1:1">
      <c r="A33593" s="27"/>
    </row>
    <row r="33594" spans="1:1">
      <c r="A33594" s="27"/>
    </row>
    <row r="33595" spans="1:1">
      <c r="A33595" s="27"/>
    </row>
    <row r="33596" spans="1:1">
      <c r="A33596" s="27"/>
    </row>
    <row r="33597" spans="1:1">
      <c r="A33597" s="27"/>
    </row>
    <row r="33598" spans="1:1">
      <c r="A33598" s="27"/>
    </row>
    <row r="33599" spans="1:1">
      <c r="A33599" s="27"/>
    </row>
    <row r="33600" spans="1:1">
      <c r="A33600" s="27"/>
    </row>
    <row r="33601" spans="1:1">
      <c r="A33601" s="27"/>
    </row>
    <row r="33602" spans="1:1">
      <c r="A33602" s="27"/>
    </row>
    <row r="33603" spans="1:1">
      <c r="A33603" s="27"/>
    </row>
    <row r="33604" spans="1:1">
      <c r="A33604" s="27"/>
    </row>
    <row r="33605" spans="1:1">
      <c r="A33605" s="27"/>
    </row>
    <row r="33606" spans="1:1">
      <c r="A33606" s="27"/>
    </row>
    <row r="33607" spans="1:1">
      <c r="A33607" s="27"/>
    </row>
    <row r="33608" spans="1:1">
      <c r="A33608" s="27"/>
    </row>
    <row r="33609" spans="1:1">
      <c r="A33609" s="27"/>
    </row>
    <row r="33610" spans="1:1">
      <c r="A33610" s="27"/>
    </row>
    <row r="33611" spans="1:1">
      <c r="A33611" s="27"/>
    </row>
    <row r="33612" spans="1:1">
      <c r="A33612" s="27"/>
    </row>
    <row r="33613" spans="1:1">
      <c r="A33613" s="27"/>
    </row>
    <row r="33614" spans="1:1">
      <c r="A33614" s="27"/>
    </row>
    <row r="33615" spans="1:1">
      <c r="A33615" s="27"/>
    </row>
    <row r="33616" spans="1:1">
      <c r="A33616" s="27"/>
    </row>
    <row r="33617" spans="1:1">
      <c r="A33617" s="27"/>
    </row>
    <row r="33618" spans="1:1">
      <c r="A33618" s="27"/>
    </row>
    <row r="33619" spans="1:1">
      <c r="A33619" s="27"/>
    </row>
    <row r="33620" spans="1:1">
      <c r="A33620" s="27"/>
    </row>
    <row r="33621" spans="1:1">
      <c r="A33621" s="27"/>
    </row>
    <row r="33622" spans="1:1">
      <c r="A33622" s="27"/>
    </row>
    <row r="33623" spans="1:1">
      <c r="A33623" s="27"/>
    </row>
    <row r="33624" spans="1:1">
      <c r="A33624" s="27"/>
    </row>
    <row r="33625" spans="1:1">
      <c r="A33625" s="27"/>
    </row>
    <row r="33626" spans="1:1">
      <c r="A33626" s="27"/>
    </row>
    <row r="33627" spans="1:1">
      <c r="A33627" s="27"/>
    </row>
    <row r="33628" spans="1:1">
      <c r="A33628" s="27"/>
    </row>
    <row r="33629" spans="1:1">
      <c r="A33629" s="27"/>
    </row>
    <row r="33630" spans="1:1">
      <c r="A33630" s="27"/>
    </row>
    <row r="33631" spans="1:1">
      <c r="A33631" s="27"/>
    </row>
    <row r="33632" spans="1:1">
      <c r="A33632" s="27"/>
    </row>
    <row r="33633" spans="1:1">
      <c r="A33633" s="27"/>
    </row>
    <row r="33634" spans="1:1">
      <c r="A33634" s="27"/>
    </row>
    <row r="33635" spans="1:1">
      <c r="A33635" s="27"/>
    </row>
    <row r="33636" spans="1:1">
      <c r="A33636" s="27"/>
    </row>
    <row r="33637" spans="1:1">
      <c r="A33637" s="27"/>
    </row>
    <row r="33638" spans="1:1">
      <c r="A33638" s="27"/>
    </row>
    <row r="33639" spans="1:1">
      <c r="A33639" s="27"/>
    </row>
    <row r="33640" spans="1:1">
      <c r="A33640" s="27"/>
    </row>
    <row r="33641" spans="1:1">
      <c r="A33641" s="27"/>
    </row>
    <row r="33642" spans="1:1">
      <c r="A33642" s="27"/>
    </row>
    <row r="33643" spans="1:1">
      <c r="A33643" s="27"/>
    </row>
    <row r="33644" spans="1:1">
      <c r="A33644" s="27"/>
    </row>
    <row r="33645" spans="1:1">
      <c r="A33645" s="27"/>
    </row>
    <row r="33646" spans="1:1">
      <c r="A33646" s="27"/>
    </row>
    <row r="33647" spans="1:1">
      <c r="A33647" s="27"/>
    </row>
    <row r="33648" spans="1:1">
      <c r="A33648" s="27"/>
    </row>
    <row r="33649" spans="1:1">
      <c r="A33649" s="27"/>
    </row>
    <row r="33650" spans="1:1">
      <c r="A33650" s="27"/>
    </row>
    <row r="33651" spans="1:1">
      <c r="A33651" s="27"/>
    </row>
    <row r="33652" spans="1:1">
      <c r="A33652" s="27"/>
    </row>
    <row r="33653" spans="1:1">
      <c r="A33653" s="27"/>
    </row>
    <row r="33654" spans="1:1">
      <c r="A33654" s="27"/>
    </row>
    <row r="33655" spans="1:1">
      <c r="A33655" s="27"/>
    </row>
    <row r="33656" spans="1:1">
      <c r="A33656" s="27"/>
    </row>
    <row r="33657" spans="1:1">
      <c r="A33657" s="27"/>
    </row>
    <row r="33658" spans="1:1">
      <c r="A33658" s="27"/>
    </row>
    <row r="33659" spans="1:1">
      <c r="A33659" s="27"/>
    </row>
    <row r="33660" spans="1:1">
      <c r="A33660" s="27"/>
    </row>
    <row r="33661" spans="1:1">
      <c r="A33661" s="27"/>
    </row>
    <row r="33662" spans="1:1">
      <c r="A33662" s="27"/>
    </row>
    <row r="33663" spans="1:1">
      <c r="A33663" s="27"/>
    </row>
    <row r="33664" spans="1:1">
      <c r="A33664" s="27"/>
    </row>
    <row r="33665" spans="1:1">
      <c r="A33665" s="27"/>
    </row>
    <row r="33666" spans="1:1">
      <c r="A33666" s="27"/>
    </row>
    <row r="33667" spans="1:1">
      <c r="A33667" s="27"/>
    </row>
    <row r="33668" spans="1:1">
      <c r="A33668" s="27"/>
    </row>
    <row r="33669" spans="1:1">
      <c r="A33669" s="27"/>
    </row>
    <row r="33670" spans="1:1">
      <c r="A33670" s="27"/>
    </row>
    <row r="33671" spans="1:1">
      <c r="A33671" s="27"/>
    </row>
    <row r="33672" spans="1:1">
      <c r="A33672" s="27"/>
    </row>
    <row r="33673" spans="1:1">
      <c r="A33673" s="27"/>
    </row>
    <row r="33674" spans="1:1">
      <c r="A33674" s="27"/>
    </row>
    <row r="33675" spans="1:1">
      <c r="A33675" s="27"/>
    </row>
    <row r="33676" spans="1:1">
      <c r="A33676" s="27"/>
    </row>
    <row r="33677" spans="1:1">
      <c r="A33677" s="27"/>
    </row>
    <row r="33678" spans="1:1">
      <c r="A33678" s="27"/>
    </row>
    <row r="33679" spans="1:1">
      <c r="A33679" s="27"/>
    </row>
    <row r="33680" spans="1:1">
      <c r="A33680" s="27"/>
    </row>
    <row r="33681" spans="1:1">
      <c r="A33681" s="27"/>
    </row>
    <row r="33682" spans="1:1">
      <c r="A33682" s="27"/>
    </row>
    <row r="33683" spans="1:1">
      <c r="A33683" s="27"/>
    </row>
    <row r="33684" spans="1:1">
      <c r="A33684" s="27"/>
    </row>
    <row r="33685" spans="1:1">
      <c r="A33685" s="27"/>
    </row>
    <row r="33686" spans="1:1">
      <c r="A33686" s="27"/>
    </row>
    <row r="33687" spans="1:1">
      <c r="A33687" s="27"/>
    </row>
    <row r="33688" spans="1:1">
      <c r="A33688" s="27"/>
    </row>
    <row r="33689" spans="1:1">
      <c r="A33689" s="27"/>
    </row>
    <row r="33690" spans="1:1">
      <c r="A33690" s="27"/>
    </row>
    <row r="33691" spans="1:1">
      <c r="A33691" s="27"/>
    </row>
    <row r="33692" spans="1:1">
      <c r="A33692" s="27"/>
    </row>
    <row r="33693" spans="1:1">
      <c r="A33693" s="27"/>
    </row>
    <row r="33694" spans="1:1">
      <c r="A33694" s="27"/>
    </row>
    <row r="33695" spans="1:1">
      <c r="A33695" s="27"/>
    </row>
    <row r="33696" spans="1:1">
      <c r="A33696" s="27"/>
    </row>
    <row r="33697" spans="1:1">
      <c r="A33697" s="27"/>
    </row>
    <row r="33698" spans="1:1">
      <c r="A33698" s="27"/>
    </row>
    <row r="33699" spans="1:1">
      <c r="A33699" s="27"/>
    </row>
    <row r="33700" spans="1:1">
      <c r="A33700" s="27"/>
    </row>
    <row r="33701" spans="1:1">
      <c r="A33701" s="27"/>
    </row>
    <row r="33702" spans="1:1">
      <c r="A33702" s="27"/>
    </row>
    <row r="33703" spans="1:1">
      <c r="A33703" s="27"/>
    </row>
    <row r="33704" spans="1:1">
      <c r="A33704" s="27"/>
    </row>
    <row r="33705" spans="1:1">
      <c r="A33705" s="27"/>
    </row>
    <row r="33706" spans="1:1">
      <c r="A33706" s="27"/>
    </row>
    <row r="33707" spans="1:1">
      <c r="A33707" s="27"/>
    </row>
    <row r="33708" spans="1:1">
      <c r="A33708" s="27"/>
    </row>
    <row r="33709" spans="1:1">
      <c r="A33709" s="27"/>
    </row>
    <row r="33710" spans="1:1">
      <c r="A33710" s="27"/>
    </row>
    <row r="33711" spans="1:1">
      <c r="A33711" s="27"/>
    </row>
    <row r="33712" spans="1:1">
      <c r="A33712" s="27"/>
    </row>
    <row r="33713" spans="1:1">
      <c r="A33713" s="27"/>
    </row>
    <row r="33714" spans="1:1">
      <c r="A33714" s="27"/>
    </row>
    <row r="33715" spans="1:1">
      <c r="A33715" s="27"/>
    </row>
    <row r="33716" spans="1:1">
      <c r="A33716" s="27"/>
    </row>
    <row r="33717" spans="1:1">
      <c r="A33717" s="27"/>
    </row>
    <row r="33718" spans="1:1">
      <c r="A33718" s="27"/>
    </row>
    <row r="33719" spans="1:1">
      <c r="A33719" s="27"/>
    </row>
    <row r="33720" spans="1:1">
      <c r="A33720" s="27"/>
    </row>
    <row r="33721" spans="1:1">
      <c r="A33721" s="27"/>
    </row>
    <row r="33722" spans="1:1">
      <c r="A33722" s="27"/>
    </row>
    <row r="33723" spans="1:1">
      <c r="A33723" s="27"/>
    </row>
    <row r="33724" spans="1:1">
      <c r="A33724" s="27"/>
    </row>
    <row r="33725" spans="1:1">
      <c r="A33725" s="27"/>
    </row>
    <row r="33726" spans="1:1">
      <c r="A33726" s="27"/>
    </row>
    <row r="33727" spans="1:1">
      <c r="A33727" s="27"/>
    </row>
    <row r="33728" spans="1:1">
      <c r="A33728" s="27"/>
    </row>
    <row r="33729" spans="1:1">
      <c r="A33729" s="27"/>
    </row>
    <row r="33730" spans="1:1">
      <c r="A33730" s="27"/>
    </row>
    <row r="33731" spans="1:1">
      <c r="A33731" s="27"/>
    </row>
    <row r="33732" spans="1:1">
      <c r="A33732" s="27"/>
    </row>
    <row r="33733" spans="1:1">
      <c r="A33733" s="27"/>
    </row>
    <row r="33734" spans="1:1">
      <c r="A33734" s="27"/>
    </row>
    <row r="33735" spans="1:1">
      <c r="A33735" s="27"/>
    </row>
    <row r="33736" spans="1:1">
      <c r="A33736" s="27"/>
    </row>
    <row r="33737" spans="1:1">
      <c r="A33737" s="27"/>
    </row>
    <row r="33738" spans="1:1">
      <c r="A33738" s="27"/>
    </row>
    <row r="33739" spans="1:1">
      <c r="A33739" s="27"/>
    </row>
    <row r="33740" spans="1:1">
      <c r="A33740" s="27"/>
    </row>
    <row r="33741" spans="1:1">
      <c r="A33741" s="27"/>
    </row>
    <row r="33742" spans="1:1">
      <c r="A33742" s="27"/>
    </row>
    <row r="33743" spans="1:1">
      <c r="A33743" s="27"/>
    </row>
    <row r="33744" spans="1:1">
      <c r="A33744" s="27"/>
    </row>
    <row r="33745" spans="1:1">
      <c r="A33745" s="27"/>
    </row>
    <row r="33746" spans="1:1">
      <c r="A33746" s="27"/>
    </row>
    <row r="33747" spans="1:1">
      <c r="A33747" s="27"/>
    </row>
    <row r="33748" spans="1:1">
      <c r="A33748" s="27"/>
    </row>
    <row r="33749" spans="1:1">
      <c r="A33749" s="27"/>
    </row>
    <row r="33750" spans="1:1">
      <c r="A33750" s="27"/>
    </row>
    <row r="33751" spans="1:1">
      <c r="A33751" s="27"/>
    </row>
    <row r="33752" spans="1:1">
      <c r="A33752" s="27"/>
    </row>
    <row r="33753" spans="1:1">
      <c r="A33753" s="27"/>
    </row>
    <row r="33754" spans="1:1">
      <c r="A33754" s="27"/>
    </row>
    <row r="33755" spans="1:1">
      <c r="A33755" s="27"/>
    </row>
    <row r="33756" spans="1:1">
      <c r="A33756" s="27"/>
    </row>
    <row r="33757" spans="1:1">
      <c r="A33757" s="27"/>
    </row>
    <row r="33758" spans="1:1">
      <c r="A33758" s="27"/>
    </row>
    <row r="33759" spans="1:1">
      <c r="A33759" s="27"/>
    </row>
    <row r="33760" spans="1:1">
      <c r="A33760" s="27"/>
    </row>
    <row r="33761" spans="1:1">
      <c r="A33761" s="27"/>
    </row>
    <row r="33762" spans="1:1">
      <c r="A33762" s="27"/>
    </row>
    <row r="33763" spans="1:1">
      <c r="A33763" s="27"/>
    </row>
    <row r="33764" spans="1:1">
      <c r="A33764" s="27"/>
    </row>
    <row r="33765" spans="1:1">
      <c r="A33765" s="27"/>
    </row>
    <row r="33766" spans="1:1">
      <c r="A33766" s="27"/>
    </row>
    <row r="33767" spans="1:1">
      <c r="A33767" s="27"/>
    </row>
    <row r="33768" spans="1:1">
      <c r="A33768" s="27"/>
    </row>
    <row r="33769" spans="1:1">
      <c r="A33769" s="27"/>
    </row>
    <row r="33770" spans="1:1">
      <c r="A33770" s="27"/>
    </row>
    <row r="33771" spans="1:1">
      <c r="A33771" s="27"/>
    </row>
    <row r="33772" spans="1:1">
      <c r="A33772" s="27"/>
    </row>
    <row r="33773" spans="1:1">
      <c r="A33773" s="27"/>
    </row>
    <row r="33774" spans="1:1">
      <c r="A33774" s="27"/>
    </row>
    <row r="33775" spans="1:1">
      <c r="A33775" s="27"/>
    </row>
    <row r="33776" spans="1:1">
      <c r="A33776" s="27"/>
    </row>
    <row r="33777" spans="1:1">
      <c r="A33777" s="27"/>
    </row>
    <row r="33778" spans="1:1">
      <c r="A33778" s="27"/>
    </row>
    <row r="33779" spans="1:1">
      <c r="A33779" s="27"/>
    </row>
    <row r="33780" spans="1:1">
      <c r="A33780" s="27"/>
    </row>
    <row r="33781" spans="1:1">
      <c r="A33781" s="27"/>
    </row>
    <row r="33782" spans="1:1">
      <c r="A33782" s="27"/>
    </row>
    <row r="33783" spans="1:1">
      <c r="A33783" s="27"/>
    </row>
    <row r="33784" spans="1:1">
      <c r="A33784" s="27"/>
    </row>
    <row r="33785" spans="1:1">
      <c r="A33785" s="27"/>
    </row>
    <row r="33786" spans="1:1">
      <c r="A33786" s="27"/>
    </row>
    <row r="33787" spans="1:1">
      <c r="A33787" s="27"/>
    </row>
    <row r="33788" spans="1:1">
      <c r="A33788" s="27"/>
    </row>
    <row r="33789" spans="1:1">
      <c r="A33789" s="27"/>
    </row>
    <row r="33790" spans="1:1">
      <c r="A33790" s="27"/>
    </row>
    <row r="33791" spans="1:1">
      <c r="A33791" s="27"/>
    </row>
    <row r="33792" spans="1:1">
      <c r="A33792" s="27"/>
    </row>
    <row r="33793" spans="1:1">
      <c r="A33793" s="27"/>
    </row>
    <row r="33794" spans="1:1">
      <c r="A33794" s="27"/>
    </row>
    <row r="33795" spans="1:1">
      <c r="A33795" s="27"/>
    </row>
    <row r="33796" spans="1:1">
      <c r="A33796" s="27"/>
    </row>
    <row r="33797" spans="1:1">
      <c r="A33797" s="27"/>
    </row>
    <row r="33798" spans="1:1">
      <c r="A33798" s="27"/>
    </row>
    <row r="33799" spans="1:1">
      <c r="A33799" s="27"/>
    </row>
    <row r="33800" spans="1:1">
      <c r="A33800" s="27"/>
    </row>
    <row r="33801" spans="1:1">
      <c r="A33801" s="27"/>
    </row>
    <row r="33802" spans="1:1">
      <c r="A33802" s="27"/>
    </row>
    <row r="33803" spans="1:1">
      <c r="A33803" s="27"/>
    </row>
    <row r="33804" spans="1:1">
      <c r="A33804" s="27"/>
    </row>
    <row r="33805" spans="1:1">
      <c r="A33805" s="27"/>
    </row>
    <row r="33806" spans="1:1">
      <c r="A33806" s="27"/>
    </row>
    <row r="33807" spans="1:1">
      <c r="A33807" s="27"/>
    </row>
    <row r="33808" spans="1:1">
      <c r="A33808" s="27"/>
    </row>
    <row r="33809" spans="1:1">
      <c r="A33809" s="27"/>
    </row>
    <row r="33810" spans="1:1">
      <c r="A33810" s="27"/>
    </row>
    <row r="33811" spans="1:1">
      <c r="A33811" s="27"/>
    </row>
    <row r="33812" spans="1:1">
      <c r="A33812" s="27"/>
    </row>
    <row r="33813" spans="1:1">
      <c r="A33813" s="27"/>
    </row>
    <row r="33814" spans="1:1">
      <c r="A33814" s="27"/>
    </row>
    <row r="33815" spans="1:1">
      <c r="A33815" s="27"/>
    </row>
    <row r="33816" spans="1:1">
      <c r="A33816" s="27"/>
    </row>
    <row r="33817" spans="1:1">
      <c r="A33817" s="27"/>
    </row>
    <row r="33818" spans="1:1">
      <c r="A33818" s="27"/>
    </row>
    <row r="33819" spans="1:1">
      <c r="A33819" s="27"/>
    </row>
    <row r="33820" spans="1:1">
      <c r="A33820" s="27"/>
    </row>
    <row r="33821" spans="1:1">
      <c r="A33821" s="27"/>
    </row>
    <row r="33822" spans="1:1">
      <c r="A33822" s="27"/>
    </row>
    <row r="33823" spans="1:1">
      <c r="A33823" s="27"/>
    </row>
    <row r="33824" spans="1:1">
      <c r="A33824" s="27"/>
    </row>
    <row r="33825" spans="1:1">
      <c r="A33825" s="27"/>
    </row>
    <row r="33826" spans="1:1">
      <c r="A33826" s="27"/>
    </row>
    <row r="33827" spans="1:1">
      <c r="A33827" s="27"/>
    </row>
    <row r="33828" spans="1:1">
      <c r="A33828" s="27"/>
    </row>
    <row r="33829" spans="1:1">
      <c r="A33829" s="27"/>
    </row>
    <row r="33830" spans="1:1">
      <c r="A33830" s="27"/>
    </row>
    <row r="33831" spans="1:1">
      <c r="A33831" s="27"/>
    </row>
    <row r="33832" spans="1:1">
      <c r="A33832" s="27"/>
    </row>
    <row r="33833" spans="1:1">
      <c r="A33833" s="27"/>
    </row>
    <row r="33834" spans="1:1">
      <c r="A33834" s="27"/>
    </row>
    <row r="33835" spans="1:1">
      <c r="A33835" s="27"/>
    </row>
    <row r="33836" spans="1:1">
      <c r="A33836" s="27"/>
    </row>
    <row r="33837" spans="1:1">
      <c r="A33837" s="27"/>
    </row>
    <row r="33838" spans="1:1">
      <c r="A33838" s="27"/>
    </row>
    <row r="33839" spans="1:1">
      <c r="A33839" s="27"/>
    </row>
    <row r="33840" spans="1:1">
      <c r="A33840" s="27"/>
    </row>
    <row r="33841" spans="1:1">
      <c r="A33841" s="27"/>
    </row>
    <row r="33842" spans="1:1">
      <c r="A33842" s="27"/>
    </row>
    <row r="33843" spans="1:1">
      <c r="A33843" s="27"/>
    </row>
    <row r="33844" spans="1:1">
      <c r="A33844" s="27"/>
    </row>
    <row r="33845" spans="1:1">
      <c r="A33845" s="27"/>
    </row>
    <row r="33846" spans="1:1">
      <c r="A33846" s="27"/>
    </row>
    <row r="33847" spans="1:1">
      <c r="A33847" s="27"/>
    </row>
    <row r="33848" spans="1:1">
      <c r="A33848" s="27"/>
    </row>
    <row r="33849" spans="1:1">
      <c r="A33849" s="27"/>
    </row>
    <row r="33850" spans="1:1">
      <c r="A33850" s="27"/>
    </row>
    <row r="33851" spans="1:1">
      <c r="A33851" s="27"/>
    </row>
    <row r="33852" spans="1:1">
      <c r="A33852" s="27"/>
    </row>
    <row r="33853" spans="1:1">
      <c r="A33853" s="27"/>
    </row>
    <row r="33854" spans="1:1">
      <c r="A33854" s="27"/>
    </row>
    <row r="33855" spans="1:1">
      <c r="A33855" s="27"/>
    </row>
    <row r="33856" spans="1:1">
      <c r="A33856" s="27"/>
    </row>
    <row r="33857" spans="1:1">
      <c r="A33857" s="27"/>
    </row>
    <row r="33858" spans="1:1">
      <c r="A33858" s="27"/>
    </row>
    <row r="33859" spans="1:1">
      <c r="A33859" s="27"/>
    </row>
    <row r="33860" spans="1:1">
      <c r="A33860" s="27"/>
    </row>
    <row r="33861" spans="1:1">
      <c r="A33861" s="27"/>
    </row>
    <row r="33862" spans="1:1">
      <c r="A33862" s="27"/>
    </row>
    <row r="33863" spans="1:1">
      <c r="A33863" s="27"/>
    </row>
    <row r="33864" spans="1:1">
      <c r="A33864" s="27"/>
    </row>
    <row r="33865" spans="1:1">
      <c r="A33865" s="27"/>
    </row>
    <row r="33866" spans="1:1">
      <c r="A33866" s="27"/>
    </row>
    <row r="33867" spans="1:1">
      <c r="A33867" s="27"/>
    </row>
    <row r="33868" spans="1:1">
      <c r="A33868" s="27"/>
    </row>
    <row r="33869" spans="1:1">
      <c r="A33869" s="27"/>
    </row>
    <row r="33870" spans="1:1">
      <c r="A33870" s="27"/>
    </row>
    <row r="33871" spans="1:1">
      <c r="A33871" s="27"/>
    </row>
    <row r="33872" spans="1:1">
      <c r="A33872" s="27"/>
    </row>
    <row r="33873" spans="1:1">
      <c r="A33873" s="27"/>
    </row>
    <row r="33874" spans="1:1">
      <c r="A33874" s="27"/>
    </row>
    <row r="33875" spans="1:1">
      <c r="A33875" s="27"/>
    </row>
    <row r="33876" spans="1:1">
      <c r="A33876" s="27"/>
    </row>
    <row r="33877" spans="1:1">
      <c r="A33877" s="27"/>
    </row>
    <row r="33878" spans="1:1">
      <c r="A33878" s="27"/>
    </row>
    <row r="33879" spans="1:1">
      <c r="A33879" s="27"/>
    </row>
    <row r="33880" spans="1:1">
      <c r="A33880" s="27"/>
    </row>
    <row r="33881" spans="1:1">
      <c r="A33881" s="27"/>
    </row>
    <row r="33882" spans="1:1">
      <c r="A33882" s="27"/>
    </row>
    <row r="33883" spans="1:1">
      <c r="A33883" s="27"/>
    </row>
    <row r="33884" spans="1:1">
      <c r="A33884" s="27"/>
    </row>
    <row r="33885" spans="1:1">
      <c r="A33885" s="27"/>
    </row>
    <row r="33886" spans="1:1">
      <c r="A33886" s="27"/>
    </row>
    <row r="33887" spans="1:1">
      <c r="A33887" s="27"/>
    </row>
    <row r="33888" spans="1:1">
      <c r="A33888" s="27"/>
    </row>
    <row r="33889" spans="1:1">
      <c r="A33889" s="27"/>
    </row>
    <row r="33890" spans="1:1">
      <c r="A33890" s="27"/>
    </row>
    <row r="33891" spans="1:1">
      <c r="A33891" s="27"/>
    </row>
    <row r="33892" spans="1:1">
      <c r="A33892" s="27"/>
    </row>
    <row r="33893" spans="1:1">
      <c r="A33893" s="27"/>
    </row>
    <row r="33894" spans="1:1">
      <c r="A33894" s="27"/>
    </row>
    <row r="33895" spans="1:1">
      <c r="A33895" s="27"/>
    </row>
    <row r="33896" spans="1:1">
      <c r="A33896" s="27"/>
    </row>
    <row r="33897" spans="1:1">
      <c r="A33897" s="27"/>
    </row>
    <row r="33898" spans="1:1">
      <c r="A33898" s="27"/>
    </row>
    <row r="33899" spans="1:1">
      <c r="A33899" s="27"/>
    </row>
    <row r="33900" spans="1:1">
      <c r="A33900" s="27"/>
    </row>
    <row r="33901" spans="1:1">
      <c r="A33901" s="27"/>
    </row>
    <row r="33902" spans="1:1">
      <c r="A33902" s="27"/>
    </row>
    <row r="33903" spans="1:1">
      <c r="A33903" s="27"/>
    </row>
    <row r="33904" spans="1:1">
      <c r="A33904" s="27"/>
    </row>
    <row r="33905" spans="1:1">
      <c r="A33905" s="27"/>
    </row>
    <row r="33906" spans="1:1">
      <c r="A33906" s="27"/>
    </row>
    <row r="33907" spans="1:1">
      <c r="A33907" s="27"/>
    </row>
    <row r="33908" spans="1:1">
      <c r="A33908" s="27"/>
    </row>
    <row r="33909" spans="1:1">
      <c r="A33909" s="27"/>
    </row>
    <row r="33910" spans="1:1">
      <c r="A33910" s="27"/>
    </row>
    <row r="33911" spans="1:1">
      <c r="A33911" s="27"/>
    </row>
    <row r="33912" spans="1:1">
      <c r="A33912" s="27"/>
    </row>
    <row r="33913" spans="1:1">
      <c r="A33913" s="27"/>
    </row>
    <row r="33914" spans="1:1">
      <c r="A33914" s="27"/>
    </row>
    <row r="33915" spans="1:1">
      <c r="A33915" s="27"/>
    </row>
    <row r="33916" spans="1:1">
      <c r="A33916" s="27"/>
    </row>
    <row r="33917" spans="1:1">
      <c r="A33917" s="27"/>
    </row>
    <row r="33918" spans="1:1">
      <c r="A33918" s="27"/>
    </row>
    <row r="33919" spans="1:1">
      <c r="A33919" s="27"/>
    </row>
    <row r="33920" spans="1:1">
      <c r="A33920" s="27"/>
    </row>
    <row r="33921" spans="1:1">
      <c r="A33921" s="27"/>
    </row>
    <row r="33922" spans="1:1">
      <c r="A33922" s="27"/>
    </row>
    <row r="33923" spans="1:1">
      <c r="A33923" s="27"/>
    </row>
    <row r="33924" spans="1:1">
      <c r="A33924" s="27"/>
    </row>
    <row r="33925" spans="1:1">
      <c r="A33925" s="27"/>
    </row>
    <row r="33926" spans="1:1">
      <c r="A33926" s="27"/>
    </row>
    <row r="33927" spans="1:1">
      <c r="A33927" s="27"/>
    </row>
    <row r="33928" spans="1:1">
      <c r="A33928" s="27"/>
    </row>
    <row r="33929" spans="1:1">
      <c r="A33929" s="27"/>
    </row>
    <row r="33930" spans="1:1">
      <c r="A33930" s="27"/>
    </row>
    <row r="33931" spans="1:1">
      <c r="A33931" s="27"/>
    </row>
    <row r="33932" spans="1:1">
      <c r="A33932" s="27"/>
    </row>
    <row r="33933" spans="1:1">
      <c r="A33933" s="27"/>
    </row>
    <row r="33934" spans="1:1">
      <c r="A33934" s="27"/>
    </row>
    <row r="33935" spans="1:1">
      <c r="A33935" s="27"/>
    </row>
    <row r="33936" spans="1:1">
      <c r="A33936" s="27"/>
    </row>
    <row r="33937" spans="1:1">
      <c r="A33937" s="27"/>
    </row>
    <row r="33938" spans="1:1">
      <c r="A33938" s="27"/>
    </row>
    <row r="33939" spans="1:1">
      <c r="A33939" s="27"/>
    </row>
    <row r="33940" spans="1:1">
      <c r="A33940" s="27"/>
    </row>
    <row r="33941" spans="1:1">
      <c r="A33941" s="27"/>
    </row>
    <row r="33942" spans="1:1">
      <c r="A33942" s="27"/>
    </row>
    <row r="33943" spans="1:1">
      <c r="A33943" s="27"/>
    </row>
    <row r="33944" spans="1:1">
      <c r="A33944" s="27"/>
    </row>
    <row r="33945" spans="1:1">
      <c r="A33945" s="27"/>
    </row>
    <row r="33946" spans="1:1">
      <c r="A33946" s="27"/>
    </row>
    <row r="33947" spans="1:1">
      <c r="A33947" s="27"/>
    </row>
    <row r="33948" spans="1:1">
      <c r="A33948" s="27"/>
    </row>
    <row r="33949" spans="1:1">
      <c r="A33949" s="27"/>
    </row>
    <row r="33950" spans="1:1">
      <c r="A33950" s="27"/>
    </row>
    <row r="33951" spans="1:1">
      <c r="A33951" s="27"/>
    </row>
    <row r="33952" spans="1:1">
      <c r="A33952" s="27"/>
    </row>
    <row r="33953" spans="1:1">
      <c r="A33953" s="27"/>
    </row>
    <row r="33954" spans="1:1">
      <c r="A33954" s="27"/>
    </row>
    <row r="33955" spans="1:1">
      <c r="A33955" s="27"/>
    </row>
    <row r="33956" spans="1:1">
      <c r="A33956" s="27"/>
    </row>
    <row r="33957" spans="1:1">
      <c r="A33957" s="27"/>
    </row>
    <row r="33958" spans="1:1">
      <c r="A33958" s="27"/>
    </row>
    <row r="33959" spans="1:1">
      <c r="A33959" s="27"/>
    </row>
    <row r="33960" spans="1:1">
      <c r="A33960" s="27"/>
    </row>
    <row r="33961" spans="1:1">
      <c r="A33961" s="27"/>
    </row>
    <row r="33962" spans="1:1">
      <c r="A33962" s="27"/>
    </row>
    <row r="33963" spans="1:1">
      <c r="A33963" s="27"/>
    </row>
    <row r="33964" spans="1:1">
      <c r="A33964" s="27"/>
    </row>
    <row r="33965" spans="1:1">
      <c r="A33965" s="27"/>
    </row>
    <row r="33966" spans="1:1">
      <c r="A33966" s="27"/>
    </row>
    <row r="33967" spans="1:1">
      <c r="A33967" s="27"/>
    </row>
    <row r="33968" spans="1:1">
      <c r="A33968" s="27"/>
    </row>
    <row r="33969" spans="1:1">
      <c r="A33969" s="27"/>
    </row>
    <row r="33970" spans="1:1">
      <c r="A33970" s="27"/>
    </row>
    <row r="33971" spans="1:1">
      <c r="A33971" s="27"/>
    </row>
    <row r="33972" spans="1:1">
      <c r="A33972" s="27"/>
    </row>
    <row r="33973" spans="1:1">
      <c r="A33973" s="27"/>
    </row>
    <row r="33974" spans="1:1">
      <c r="A33974" s="27"/>
    </row>
    <row r="33975" spans="1:1">
      <c r="A33975" s="27"/>
    </row>
    <row r="33976" spans="1:1">
      <c r="A33976" s="27"/>
    </row>
    <row r="33977" spans="1:1">
      <c r="A33977" s="27"/>
    </row>
    <row r="33978" spans="1:1">
      <c r="A33978" s="27"/>
    </row>
    <row r="33979" spans="1:1">
      <c r="A33979" s="27"/>
    </row>
    <row r="33980" spans="1:1">
      <c r="A33980" s="27"/>
    </row>
    <row r="33981" spans="1:1">
      <c r="A33981" s="27"/>
    </row>
    <row r="33982" spans="1:1">
      <c r="A33982" s="27"/>
    </row>
    <row r="33983" spans="1:1">
      <c r="A33983" s="27"/>
    </row>
    <row r="33984" spans="1:1">
      <c r="A33984" s="27"/>
    </row>
    <row r="33985" spans="1:1">
      <c r="A33985" s="27"/>
    </row>
    <row r="33986" spans="1:1">
      <c r="A33986" s="27"/>
    </row>
    <row r="33987" spans="1:1">
      <c r="A33987" s="27"/>
    </row>
    <row r="33988" spans="1:1">
      <c r="A33988" s="27"/>
    </row>
    <row r="33989" spans="1:1">
      <c r="A33989" s="27"/>
    </row>
    <row r="33990" spans="1:1">
      <c r="A33990" s="27"/>
    </row>
    <row r="33991" spans="1:1">
      <c r="A33991" s="27"/>
    </row>
    <row r="33992" spans="1:1">
      <c r="A33992" s="27"/>
    </row>
    <row r="33993" spans="1:1">
      <c r="A33993" s="27"/>
    </row>
    <row r="33994" spans="1:1">
      <c r="A33994" s="27"/>
    </row>
    <row r="33995" spans="1:1">
      <c r="A33995" s="27"/>
    </row>
    <row r="33996" spans="1:1">
      <c r="A33996" s="27"/>
    </row>
    <row r="33997" spans="1:1">
      <c r="A33997" s="27"/>
    </row>
    <row r="33998" spans="1:1">
      <c r="A33998" s="27"/>
    </row>
    <row r="33999" spans="1:1">
      <c r="A33999" s="27"/>
    </row>
    <row r="34000" spans="1:1">
      <c r="A34000" s="27"/>
    </row>
    <row r="34001" spans="1:1">
      <c r="A34001" s="27"/>
    </row>
    <row r="34002" spans="1:1">
      <c r="A34002" s="27"/>
    </row>
    <row r="34003" spans="1:1">
      <c r="A34003" s="27"/>
    </row>
    <row r="34004" spans="1:1">
      <c r="A34004" s="27"/>
    </row>
    <row r="34005" spans="1:1">
      <c r="A34005" s="27"/>
    </row>
    <row r="34006" spans="1:1">
      <c r="A34006" s="27"/>
    </row>
    <row r="34007" spans="1:1">
      <c r="A34007" s="27"/>
    </row>
    <row r="34008" spans="1:1">
      <c r="A34008" s="27"/>
    </row>
    <row r="34009" spans="1:1">
      <c r="A34009" s="27"/>
    </row>
    <row r="34010" spans="1:1">
      <c r="A34010" s="27"/>
    </row>
    <row r="34011" spans="1:1">
      <c r="A34011" s="27"/>
    </row>
    <row r="34012" spans="1:1">
      <c r="A34012" s="27"/>
    </row>
    <row r="34013" spans="1:1">
      <c r="A34013" s="27"/>
    </row>
    <row r="34014" spans="1:1">
      <c r="A34014" s="27"/>
    </row>
    <row r="34015" spans="1:1">
      <c r="A34015" s="27"/>
    </row>
    <row r="34016" spans="1:1">
      <c r="A34016" s="27"/>
    </row>
    <row r="34017" spans="1:1">
      <c r="A34017" s="27"/>
    </row>
    <row r="34018" spans="1:1">
      <c r="A34018" s="27"/>
    </row>
    <row r="34019" spans="1:1">
      <c r="A34019" s="27"/>
    </row>
    <row r="34020" spans="1:1">
      <c r="A34020" s="27"/>
    </row>
    <row r="34021" spans="1:1">
      <c r="A34021" s="27"/>
    </row>
    <row r="34022" spans="1:1">
      <c r="A34022" s="27"/>
    </row>
    <row r="34023" spans="1:1">
      <c r="A34023" s="27"/>
    </row>
    <row r="34024" spans="1:1">
      <c r="A34024" s="27"/>
    </row>
    <row r="34025" spans="1:1">
      <c r="A34025" s="27"/>
    </row>
    <row r="34026" spans="1:1">
      <c r="A34026" s="27"/>
    </row>
    <row r="34027" spans="1:1">
      <c r="A34027" s="27"/>
    </row>
    <row r="34028" spans="1:1">
      <c r="A34028" s="27"/>
    </row>
    <row r="34029" spans="1:1">
      <c r="A34029" s="27"/>
    </row>
    <row r="34030" spans="1:1">
      <c r="A34030" s="27"/>
    </row>
    <row r="34031" spans="1:1">
      <c r="A34031" s="27"/>
    </row>
    <row r="34032" spans="1:1">
      <c r="A34032" s="27"/>
    </row>
    <row r="34033" spans="1:1">
      <c r="A34033" s="27"/>
    </row>
    <row r="34034" spans="1:1">
      <c r="A34034" s="27"/>
    </row>
    <row r="34035" spans="1:1">
      <c r="A34035" s="27"/>
    </row>
    <row r="34036" spans="1:1">
      <c r="A34036" s="27"/>
    </row>
    <row r="34037" spans="1:1">
      <c r="A34037" s="27"/>
    </row>
    <row r="34038" spans="1:1">
      <c r="A34038" s="27"/>
    </row>
    <row r="34039" spans="1:1">
      <c r="A34039" s="27"/>
    </row>
    <row r="34040" spans="1:1">
      <c r="A34040" s="27"/>
    </row>
    <row r="34041" spans="1:1">
      <c r="A34041" s="27"/>
    </row>
    <row r="34042" spans="1:1">
      <c r="A34042" s="27"/>
    </row>
    <row r="34043" spans="1:1">
      <c r="A34043" s="27"/>
    </row>
    <row r="34044" spans="1:1">
      <c r="A34044" s="27"/>
    </row>
    <row r="34045" spans="1:1">
      <c r="A34045" s="27"/>
    </row>
    <row r="34046" spans="1:1">
      <c r="A34046" s="27"/>
    </row>
    <row r="34047" spans="1:1">
      <c r="A34047" s="27"/>
    </row>
    <row r="34048" spans="1:1">
      <c r="A34048" s="27"/>
    </row>
    <row r="34049" spans="1:1">
      <c r="A34049" s="27"/>
    </row>
    <row r="34050" spans="1:1">
      <c r="A34050" s="27"/>
    </row>
    <row r="34051" spans="1:1">
      <c r="A34051" s="27"/>
    </row>
    <row r="34052" spans="1:1">
      <c r="A34052" s="27"/>
    </row>
    <row r="34053" spans="1:1">
      <c r="A34053" s="27"/>
    </row>
    <row r="34054" spans="1:1">
      <c r="A34054" s="27"/>
    </row>
    <row r="34055" spans="1:1">
      <c r="A34055" s="27"/>
    </row>
    <row r="34056" spans="1:1">
      <c r="A34056" s="27"/>
    </row>
    <row r="34057" spans="1:1">
      <c r="A34057" s="27"/>
    </row>
    <row r="34058" spans="1:1">
      <c r="A34058" s="27"/>
    </row>
    <row r="34059" spans="1:1">
      <c r="A34059" s="27"/>
    </row>
    <row r="34060" spans="1:1">
      <c r="A34060" s="27"/>
    </row>
    <row r="34061" spans="1:1">
      <c r="A34061" s="27"/>
    </row>
    <row r="34062" spans="1:1">
      <c r="A34062" s="27"/>
    </row>
    <row r="34063" spans="1:1">
      <c r="A34063" s="27"/>
    </row>
    <row r="34064" spans="1:1">
      <c r="A34064" s="27"/>
    </row>
    <row r="34065" spans="1:1">
      <c r="A34065" s="27"/>
    </row>
    <row r="34066" spans="1:1">
      <c r="A34066" s="27"/>
    </row>
    <row r="34067" spans="1:1">
      <c r="A34067" s="27"/>
    </row>
    <row r="34068" spans="1:1">
      <c r="A34068" s="27"/>
    </row>
    <row r="34069" spans="1:1">
      <c r="A34069" s="27"/>
    </row>
    <row r="34070" spans="1:1">
      <c r="A34070" s="27"/>
    </row>
    <row r="34071" spans="1:1">
      <c r="A34071" s="27"/>
    </row>
    <row r="34072" spans="1:1">
      <c r="A34072" s="27"/>
    </row>
    <row r="34073" spans="1:1">
      <c r="A34073" s="27"/>
    </row>
    <row r="34074" spans="1:1">
      <c r="A34074" s="27"/>
    </row>
    <row r="34075" spans="1:1">
      <c r="A34075" s="27"/>
    </row>
    <row r="34076" spans="1:1">
      <c r="A34076" s="27"/>
    </row>
    <row r="34077" spans="1:1">
      <c r="A34077" s="27"/>
    </row>
    <row r="34078" spans="1:1">
      <c r="A34078" s="27"/>
    </row>
    <row r="34079" spans="1:1">
      <c r="A34079" s="27"/>
    </row>
    <row r="34080" spans="1:1">
      <c r="A34080" s="27"/>
    </row>
    <row r="34081" spans="1:1">
      <c r="A34081" s="27"/>
    </row>
    <row r="34082" spans="1:1">
      <c r="A34082" s="27"/>
    </row>
    <row r="34083" spans="1:1">
      <c r="A34083" s="27"/>
    </row>
    <row r="34084" spans="1:1">
      <c r="A34084" s="27"/>
    </row>
    <row r="34085" spans="1:1">
      <c r="A34085" s="27"/>
    </row>
    <row r="34086" spans="1:1">
      <c r="A34086" s="27"/>
    </row>
    <row r="34087" spans="1:1">
      <c r="A34087" s="27"/>
    </row>
    <row r="34088" spans="1:1">
      <c r="A34088" s="27"/>
    </row>
    <row r="34089" spans="1:1">
      <c r="A34089" s="27"/>
    </row>
    <row r="34090" spans="1:1">
      <c r="A34090" s="27"/>
    </row>
    <row r="34091" spans="1:1">
      <c r="A34091" s="27"/>
    </row>
    <row r="34092" spans="1:1">
      <c r="A34092" s="27"/>
    </row>
    <row r="34093" spans="1:1">
      <c r="A34093" s="27"/>
    </row>
    <row r="34094" spans="1:1">
      <c r="A34094" s="27"/>
    </row>
    <row r="34095" spans="1:1">
      <c r="A34095" s="27"/>
    </row>
    <row r="34096" spans="1:1">
      <c r="A34096" s="27"/>
    </row>
    <row r="34097" spans="1:1">
      <c r="A34097" s="27"/>
    </row>
    <row r="34098" spans="1:1">
      <c r="A34098" s="27"/>
    </row>
    <row r="34099" spans="1:1">
      <c r="A34099" s="27"/>
    </row>
    <row r="34100" spans="1:1">
      <c r="A34100" s="27"/>
    </row>
    <row r="34101" spans="1:1">
      <c r="A34101" s="27"/>
    </row>
    <row r="34102" spans="1:1">
      <c r="A34102" s="27"/>
    </row>
    <row r="34103" spans="1:1">
      <c r="A34103" s="27"/>
    </row>
    <row r="34104" spans="1:1">
      <c r="A34104" s="27"/>
    </row>
    <row r="34105" spans="1:1">
      <c r="A34105" s="27"/>
    </row>
    <row r="34106" spans="1:1">
      <c r="A34106" s="27"/>
    </row>
    <row r="34107" spans="1:1">
      <c r="A34107" s="27"/>
    </row>
    <row r="34108" spans="1:1">
      <c r="A34108" s="27"/>
    </row>
    <row r="34109" spans="1:1">
      <c r="A34109" s="27"/>
    </row>
    <row r="34110" spans="1:1">
      <c r="A34110" s="27"/>
    </row>
    <row r="34111" spans="1:1">
      <c r="A34111" s="27"/>
    </row>
    <row r="34112" spans="1:1">
      <c r="A34112" s="27"/>
    </row>
    <row r="34113" spans="1:1">
      <c r="A34113" s="27"/>
    </row>
    <row r="34114" spans="1:1">
      <c r="A34114" s="27"/>
    </row>
    <row r="34115" spans="1:1">
      <c r="A34115" s="27"/>
    </row>
    <row r="34116" spans="1:1">
      <c r="A34116" s="27"/>
    </row>
    <row r="34117" spans="1:1">
      <c r="A34117" s="27"/>
    </row>
    <row r="34118" spans="1:1">
      <c r="A34118" s="27"/>
    </row>
    <row r="34119" spans="1:1">
      <c r="A34119" s="27"/>
    </row>
    <row r="34120" spans="1:1">
      <c r="A34120" s="27"/>
    </row>
    <row r="34121" spans="1:1">
      <c r="A34121" s="27"/>
    </row>
    <row r="34122" spans="1:1">
      <c r="A34122" s="27"/>
    </row>
    <row r="34123" spans="1:1">
      <c r="A34123" s="27"/>
    </row>
    <row r="34124" spans="1:1">
      <c r="A34124" s="27"/>
    </row>
    <row r="34125" spans="1:1">
      <c r="A34125" s="27"/>
    </row>
    <row r="34126" spans="1:1">
      <c r="A34126" s="27"/>
    </row>
    <row r="34127" spans="1:1">
      <c r="A34127" s="27"/>
    </row>
    <row r="34128" spans="1:1">
      <c r="A34128" s="27"/>
    </row>
    <row r="34129" spans="1:1">
      <c r="A34129" s="27"/>
    </row>
    <row r="34130" spans="1:1">
      <c r="A34130" s="27"/>
    </row>
    <row r="34131" spans="1:1">
      <c r="A34131" s="27"/>
    </row>
    <row r="34132" spans="1:1">
      <c r="A34132" s="27"/>
    </row>
    <row r="34133" spans="1:1">
      <c r="A34133" s="27"/>
    </row>
    <row r="34134" spans="1:1">
      <c r="A34134" s="27"/>
    </row>
    <row r="34135" spans="1:1">
      <c r="A34135" s="27"/>
    </row>
    <row r="34136" spans="1:1">
      <c r="A34136" s="27"/>
    </row>
    <row r="34137" spans="1:1">
      <c r="A34137" s="27"/>
    </row>
    <row r="34138" spans="1:1">
      <c r="A34138" s="27"/>
    </row>
    <row r="34139" spans="1:1">
      <c r="A34139" s="27"/>
    </row>
    <row r="34140" spans="1:1">
      <c r="A34140" s="27"/>
    </row>
    <row r="34141" spans="1:1">
      <c r="A34141" s="27"/>
    </row>
    <row r="34142" spans="1:1">
      <c r="A34142" s="27"/>
    </row>
    <row r="34143" spans="1:1">
      <c r="A34143" s="27"/>
    </row>
    <row r="34144" spans="1:1">
      <c r="A34144" s="27"/>
    </row>
    <row r="34145" spans="1:1">
      <c r="A34145" s="27"/>
    </row>
    <row r="34146" spans="1:1">
      <c r="A34146" s="27"/>
    </row>
    <row r="34147" spans="1:1">
      <c r="A34147" s="27"/>
    </row>
    <row r="34148" spans="1:1">
      <c r="A34148" s="27"/>
    </row>
    <row r="34149" spans="1:1">
      <c r="A34149" s="27"/>
    </row>
    <row r="34150" spans="1:1">
      <c r="A34150" s="27"/>
    </row>
    <row r="34151" spans="1:1">
      <c r="A34151" s="27"/>
    </row>
    <row r="34152" spans="1:1">
      <c r="A34152" s="27"/>
    </row>
    <row r="34153" spans="1:1">
      <c r="A34153" s="27"/>
    </row>
    <row r="34154" spans="1:1">
      <c r="A34154" s="27"/>
    </row>
    <row r="34155" spans="1:1">
      <c r="A34155" s="27"/>
    </row>
    <row r="34156" spans="1:1">
      <c r="A34156" s="27"/>
    </row>
    <row r="34157" spans="1:1">
      <c r="A34157" s="27"/>
    </row>
    <row r="34158" spans="1:1">
      <c r="A34158" s="27"/>
    </row>
    <row r="34159" spans="1:1">
      <c r="A34159" s="27"/>
    </row>
    <row r="34160" spans="1:1">
      <c r="A34160" s="27"/>
    </row>
    <row r="34161" spans="1:1">
      <c r="A34161" s="27"/>
    </row>
    <row r="34162" spans="1:1">
      <c r="A34162" s="27"/>
    </row>
    <row r="34163" spans="1:1">
      <c r="A34163" s="27"/>
    </row>
    <row r="34164" spans="1:1">
      <c r="A34164" s="27"/>
    </row>
    <row r="34165" spans="1:1">
      <c r="A34165" s="27"/>
    </row>
    <row r="34166" spans="1:1">
      <c r="A34166" s="27"/>
    </row>
    <row r="34167" spans="1:1">
      <c r="A34167" s="27"/>
    </row>
    <row r="34168" spans="1:1">
      <c r="A34168" s="27"/>
    </row>
    <row r="34169" spans="1:1">
      <c r="A34169" s="27"/>
    </row>
    <row r="34170" spans="1:1">
      <c r="A34170" s="27"/>
    </row>
    <row r="34171" spans="1:1">
      <c r="A34171" s="27"/>
    </row>
    <row r="34172" spans="1:1">
      <c r="A34172" s="27"/>
    </row>
    <row r="34173" spans="1:1">
      <c r="A34173" s="27"/>
    </row>
    <row r="34174" spans="1:1">
      <c r="A34174" s="27"/>
    </row>
    <row r="34175" spans="1:1">
      <c r="A34175" s="27"/>
    </row>
    <row r="34176" spans="1:1">
      <c r="A34176" s="27"/>
    </row>
    <row r="34177" spans="1:1">
      <c r="A34177" s="27"/>
    </row>
    <row r="34178" spans="1:1">
      <c r="A34178" s="27"/>
    </row>
    <row r="34179" spans="1:1">
      <c r="A34179" s="27"/>
    </row>
    <row r="34180" spans="1:1">
      <c r="A34180" s="27"/>
    </row>
    <row r="34181" spans="1:1">
      <c r="A34181" s="27"/>
    </row>
    <row r="34182" spans="1:1">
      <c r="A34182" s="27"/>
    </row>
    <row r="34183" spans="1:1">
      <c r="A34183" s="27"/>
    </row>
    <row r="34184" spans="1:1">
      <c r="A34184" s="27"/>
    </row>
    <row r="34185" spans="1:1">
      <c r="A34185" s="27"/>
    </row>
    <row r="34186" spans="1:1">
      <c r="A34186" s="27"/>
    </row>
    <row r="34187" spans="1:1">
      <c r="A34187" s="27"/>
    </row>
    <row r="34188" spans="1:1">
      <c r="A34188" s="27"/>
    </row>
    <row r="34189" spans="1:1">
      <c r="A34189" s="27"/>
    </row>
    <row r="34190" spans="1:1">
      <c r="A34190" s="27"/>
    </row>
    <row r="34191" spans="1:1">
      <c r="A34191" s="27"/>
    </row>
    <row r="34192" spans="1:1">
      <c r="A34192" s="27"/>
    </row>
    <row r="34193" spans="1:1">
      <c r="A34193" s="27"/>
    </row>
    <row r="34194" spans="1:1">
      <c r="A34194" s="27"/>
    </row>
    <row r="34195" spans="1:1">
      <c r="A34195" s="27"/>
    </row>
    <row r="34196" spans="1:1">
      <c r="A34196" s="27"/>
    </row>
    <row r="34197" spans="1:1">
      <c r="A34197" s="27"/>
    </row>
    <row r="34198" spans="1:1">
      <c r="A34198" s="27"/>
    </row>
    <row r="34199" spans="1:1">
      <c r="A34199" s="27"/>
    </row>
    <row r="34200" spans="1:1">
      <c r="A34200" s="27"/>
    </row>
    <row r="34201" spans="1:1">
      <c r="A34201" s="27"/>
    </row>
    <row r="34202" spans="1:1">
      <c r="A34202" s="27"/>
    </row>
    <row r="34203" spans="1:1">
      <c r="A34203" s="27"/>
    </row>
    <row r="34204" spans="1:1">
      <c r="A34204" s="27"/>
    </row>
    <row r="34205" spans="1:1">
      <c r="A34205" s="27"/>
    </row>
    <row r="34206" spans="1:1">
      <c r="A34206" s="27"/>
    </row>
    <row r="34207" spans="1:1">
      <c r="A34207" s="27"/>
    </row>
    <row r="34208" spans="1:1">
      <c r="A34208" s="27"/>
    </row>
    <row r="34209" spans="1:1">
      <c r="A34209" s="27"/>
    </row>
    <row r="34210" spans="1:1">
      <c r="A34210" s="27"/>
    </row>
    <row r="34211" spans="1:1">
      <c r="A34211" s="27"/>
    </row>
    <row r="34212" spans="1:1">
      <c r="A34212" s="27"/>
    </row>
    <row r="34213" spans="1:1">
      <c r="A34213" s="27"/>
    </row>
    <row r="34214" spans="1:1">
      <c r="A34214" s="27"/>
    </row>
    <row r="34215" spans="1:1">
      <c r="A34215" s="27"/>
    </row>
    <row r="34216" spans="1:1">
      <c r="A34216" s="27"/>
    </row>
    <row r="34217" spans="1:1">
      <c r="A34217" s="27"/>
    </row>
    <row r="34218" spans="1:1">
      <c r="A34218" s="27"/>
    </row>
    <row r="34219" spans="1:1">
      <c r="A34219" s="27"/>
    </row>
    <row r="34220" spans="1:1">
      <c r="A34220" s="27"/>
    </row>
    <row r="34221" spans="1:1">
      <c r="A34221" s="27"/>
    </row>
    <row r="34222" spans="1:1">
      <c r="A34222" s="27"/>
    </row>
    <row r="34223" spans="1:1">
      <c r="A34223" s="27"/>
    </row>
    <row r="34224" spans="1:1">
      <c r="A34224" s="27"/>
    </row>
    <row r="34225" spans="1:1">
      <c r="A34225" s="27"/>
    </row>
    <row r="34226" spans="1:1">
      <c r="A34226" s="27"/>
    </row>
    <row r="34227" spans="1:1">
      <c r="A34227" s="27"/>
    </row>
    <row r="34228" spans="1:1">
      <c r="A34228" s="27"/>
    </row>
    <row r="34229" spans="1:1">
      <c r="A34229" s="27"/>
    </row>
    <row r="34230" spans="1:1">
      <c r="A34230" s="27"/>
    </row>
    <row r="34231" spans="1:1">
      <c r="A34231" s="27"/>
    </row>
    <row r="34232" spans="1:1">
      <c r="A34232" s="27"/>
    </row>
    <row r="34233" spans="1:1">
      <c r="A34233" s="27"/>
    </row>
    <row r="34234" spans="1:1">
      <c r="A34234" s="27"/>
    </row>
    <row r="34235" spans="1:1">
      <c r="A34235" s="27"/>
    </row>
    <row r="34236" spans="1:1">
      <c r="A34236" s="27"/>
    </row>
    <row r="34237" spans="1:1">
      <c r="A34237" s="27"/>
    </row>
    <row r="34238" spans="1:1">
      <c r="A34238" s="27"/>
    </row>
    <row r="34239" spans="1:1">
      <c r="A34239" s="27"/>
    </row>
    <row r="34240" spans="1:1">
      <c r="A34240" s="27"/>
    </row>
    <row r="34241" spans="1:1">
      <c r="A34241" s="27"/>
    </row>
    <row r="34242" spans="1:1">
      <c r="A34242" s="27"/>
    </row>
    <row r="34243" spans="1:1">
      <c r="A34243" s="27"/>
    </row>
    <row r="34244" spans="1:1">
      <c r="A34244" s="27"/>
    </row>
    <row r="34245" spans="1:1">
      <c r="A34245" s="27"/>
    </row>
    <row r="34246" spans="1:1">
      <c r="A34246" s="27"/>
    </row>
    <row r="34247" spans="1:1">
      <c r="A34247" s="27"/>
    </row>
    <row r="34248" spans="1:1">
      <c r="A34248" s="27"/>
    </row>
    <row r="34249" spans="1:1">
      <c r="A34249" s="27"/>
    </row>
    <row r="34250" spans="1:1">
      <c r="A34250" s="27"/>
    </row>
    <row r="34251" spans="1:1">
      <c r="A34251" s="27"/>
    </row>
    <row r="34252" spans="1:1">
      <c r="A34252" s="27"/>
    </row>
    <row r="34253" spans="1:1">
      <c r="A34253" s="27"/>
    </row>
    <row r="34254" spans="1:1">
      <c r="A34254" s="27"/>
    </row>
    <row r="34255" spans="1:1">
      <c r="A34255" s="27"/>
    </row>
    <row r="34256" spans="1:1">
      <c r="A34256" s="27"/>
    </row>
    <row r="34257" spans="1:1">
      <c r="A34257" s="27"/>
    </row>
    <row r="34258" spans="1:1">
      <c r="A34258" s="27"/>
    </row>
    <row r="34259" spans="1:1">
      <c r="A34259" s="27"/>
    </row>
    <row r="34260" spans="1:1">
      <c r="A34260" s="27"/>
    </row>
    <row r="34261" spans="1:1">
      <c r="A34261" s="27"/>
    </row>
    <row r="34262" spans="1:1">
      <c r="A34262" s="27"/>
    </row>
    <row r="34263" spans="1:1">
      <c r="A34263" s="27"/>
    </row>
    <row r="34264" spans="1:1">
      <c r="A34264" s="27"/>
    </row>
    <row r="34265" spans="1:1">
      <c r="A34265" s="27"/>
    </row>
    <row r="34266" spans="1:1">
      <c r="A34266" s="27"/>
    </row>
    <row r="34267" spans="1:1">
      <c r="A34267" s="27"/>
    </row>
    <row r="34268" spans="1:1">
      <c r="A34268" s="27"/>
    </row>
    <row r="34269" spans="1:1">
      <c r="A34269" s="27"/>
    </row>
    <row r="34270" spans="1:1">
      <c r="A34270" s="27"/>
    </row>
    <row r="34271" spans="1:1">
      <c r="A34271" s="27"/>
    </row>
    <row r="34272" spans="1:1">
      <c r="A34272" s="27"/>
    </row>
    <row r="34273" spans="1:1">
      <c r="A34273" s="27"/>
    </row>
    <row r="34274" spans="1:1">
      <c r="A34274" s="27"/>
    </row>
    <row r="34275" spans="1:1">
      <c r="A34275" s="27"/>
    </row>
    <row r="34276" spans="1:1">
      <c r="A34276" s="27"/>
    </row>
    <row r="34277" spans="1:1">
      <c r="A34277" s="27"/>
    </row>
    <row r="34278" spans="1:1">
      <c r="A34278" s="27"/>
    </row>
    <row r="34279" spans="1:1">
      <c r="A34279" s="27"/>
    </row>
    <row r="34280" spans="1:1">
      <c r="A34280" s="27"/>
    </row>
    <row r="34281" spans="1:1">
      <c r="A34281" s="27"/>
    </row>
    <row r="34282" spans="1:1">
      <c r="A34282" s="27"/>
    </row>
    <row r="34283" spans="1:1">
      <c r="A34283" s="27"/>
    </row>
    <row r="34284" spans="1:1">
      <c r="A34284" s="27"/>
    </row>
    <row r="34285" spans="1:1">
      <c r="A34285" s="27"/>
    </row>
    <row r="34286" spans="1:1">
      <c r="A34286" s="27"/>
    </row>
    <row r="34287" spans="1:1">
      <c r="A34287" s="27"/>
    </row>
    <row r="34288" spans="1:1">
      <c r="A34288" s="27"/>
    </row>
    <row r="34289" spans="1:1">
      <c r="A34289" s="27"/>
    </row>
    <row r="34290" spans="1:1">
      <c r="A34290" s="27"/>
    </row>
    <row r="34291" spans="1:1">
      <c r="A34291" s="27"/>
    </row>
    <row r="34292" spans="1:1">
      <c r="A34292" s="27"/>
    </row>
    <row r="34293" spans="1:1">
      <c r="A34293" s="27"/>
    </row>
    <row r="34294" spans="1:1">
      <c r="A34294" s="27"/>
    </row>
    <row r="34295" spans="1:1">
      <c r="A34295" s="27"/>
    </row>
    <row r="34296" spans="1:1">
      <c r="A34296" s="27"/>
    </row>
    <row r="34297" spans="1:1">
      <c r="A34297" s="27"/>
    </row>
    <row r="34298" spans="1:1">
      <c r="A34298" s="27"/>
    </row>
    <row r="34299" spans="1:1">
      <c r="A34299" s="27"/>
    </row>
    <row r="34300" spans="1:1">
      <c r="A34300" s="27"/>
    </row>
    <row r="34301" spans="1:1">
      <c r="A34301" s="27"/>
    </row>
    <row r="34302" spans="1:1">
      <c r="A34302" s="27"/>
    </row>
    <row r="34303" spans="1:1">
      <c r="A34303" s="27"/>
    </row>
    <row r="34304" spans="1:1">
      <c r="A34304" s="27"/>
    </row>
    <row r="34305" spans="1:1">
      <c r="A34305" s="27"/>
    </row>
    <row r="34306" spans="1:1">
      <c r="A34306" s="27"/>
    </row>
    <row r="34307" spans="1:1">
      <c r="A34307" s="27"/>
    </row>
    <row r="34308" spans="1:1">
      <c r="A34308" s="27"/>
    </row>
    <row r="34309" spans="1:1">
      <c r="A34309" s="27"/>
    </row>
    <row r="34310" spans="1:1">
      <c r="A34310" s="27"/>
    </row>
    <row r="34311" spans="1:1">
      <c r="A34311" s="27"/>
    </row>
    <row r="34312" spans="1:1">
      <c r="A34312" s="27"/>
    </row>
    <row r="34313" spans="1:1">
      <c r="A34313" s="27"/>
    </row>
    <row r="34314" spans="1:1">
      <c r="A34314" s="27"/>
    </row>
    <row r="34315" spans="1:1">
      <c r="A34315" s="27"/>
    </row>
    <row r="34316" spans="1:1">
      <c r="A34316" s="27"/>
    </row>
    <row r="34317" spans="1:1">
      <c r="A34317" s="27"/>
    </row>
    <row r="34318" spans="1:1">
      <c r="A34318" s="27"/>
    </row>
    <row r="34319" spans="1:1">
      <c r="A34319" s="27"/>
    </row>
    <row r="34320" spans="1:1">
      <c r="A34320" s="27"/>
    </row>
    <row r="34321" spans="1:1">
      <c r="A34321" s="27"/>
    </row>
    <row r="34322" spans="1:1">
      <c r="A34322" s="27"/>
    </row>
    <row r="34323" spans="1:1">
      <c r="A34323" s="27"/>
    </row>
    <row r="34324" spans="1:1">
      <c r="A34324" s="27"/>
    </row>
    <row r="34325" spans="1:1">
      <c r="A34325" s="27"/>
    </row>
    <row r="34326" spans="1:1">
      <c r="A34326" s="27"/>
    </row>
    <row r="34327" spans="1:1">
      <c r="A34327" s="27"/>
    </row>
    <row r="34328" spans="1:1">
      <c r="A34328" s="27"/>
    </row>
    <row r="34329" spans="1:1">
      <c r="A34329" s="27"/>
    </row>
    <row r="34330" spans="1:1">
      <c r="A34330" s="27"/>
    </row>
    <row r="34331" spans="1:1">
      <c r="A34331" s="27"/>
    </row>
    <row r="34332" spans="1:1">
      <c r="A34332" s="27"/>
    </row>
    <row r="34333" spans="1:1">
      <c r="A34333" s="27"/>
    </row>
    <row r="34334" spans="1:1">
      <c r="A34334" s="27"/>
    </row>
    <row r="34335" spans="1:1">
      <c r="A34335" s="27"/>
    </row>
    <row r="34336" spans="1:1">
      <c r="A34336" s="27"/>
    </row>
    <row r="34337" spans="1:1">
      <c r="A34337" s="27"/>
    </row>
    <row r="34338" spans="1:1">
      <c r="A34338" s="27"/>
    </row>
    <row r="34339" spans="1:1">
      <c r="A34339" s="27"/>
    </row>
    <row r="34340" spans="1:1">
      <c r="A34340" s="27"/>
    </row>
    <row r="34341" spans="1:1">
      <c r="A34341" s="27"/>
    </row>
    <row r="34342" spans="1:1">
      <c r="A34342" s="27"/>
    </row>
    <row r="34343" spans="1:1">
      <c r="A34343" s="27"/>
    </row>
    <row r="34344" spans="1:1">
      <c r="A34344" s="27"/>
    </row>
    <row r="34345" spans="1:1">
      <c r="A34345" s="27"/>
    </row>
    <row r="34346" spans="1:1">
      <c r="A34346" s="27"/>
    </row>
    <row r="34347" spans="1:1">
      <c r="A34347" s="27"/>
    </row>
    <row r="34348" spans="1:1">
      <c r="A34348" s="27"/>
    </row>
    <row r="34349" spans="1:1">
      <c r="A34349" s="27"/>
    </row>
    <row r="34350" spans="1:1">
      <c r="A34350" s="27"/>
    </row>
    <row r="34351" spans="1:1">
      <c r="A34351" s="27"/>
    </row>
    <row r="34352" spans="1:1">
      <c r="A34352" s="27"/>
    </row>
    <row r="34353" spans="1:1">
      <c r="A34353" s="27"/>
    </row>
    <row r="34354" spans="1:1">
      <c r="A34354" s="27"/>
    </row>
    <row r="34355" spans="1:1">
      <c r="A34355" s="27"/>
    </row>
    <row r="34356" spans="1:1">
      <c r="A34356" s="27"/>
    </row>
    <row r="34357" spans="1:1">
      <c r="A34357" s="27"/>
    </row>
    <row r="34358" spans="1:1">
      <c r="A34358" s="27"/>
    </row>
    <row r="34359" spans="1:1">
      <c r="A34359" s="27"/>
    </row>
    <row r="34360" spans="1:1">
      <c r="A34360" s="27"/>
    </row>
    <row r="34361" spans="1:1">
      <c r="A34361" s="27"/>
    </row>
    <row r="34362" spans="1:1">
      <c r="A34362" s="27"/>
    </row>
    <row r="34363" spans="1:1">
      <c r="A34363" s="27"/>
    </row>
    <row r="34364" spans="1:1">
      <c r="A34364" s="27"/>
    </row>
    <row r="34365" spans="1:1">
      <c r="A34365" s="27"/>
    </row>
    <row r="34366" spans="1:1">
      <c r="A34366" s="27"/>
    </row>
    <row r="34367" spans="1:1">
      <c r="A34367" s="27"/>
    </row>
    <row r="34368" spans="1:1">
      <c r="A34368" s="27"/>
    </row>
    <row r="34369" spans="1:1">
      <c r="A34369" s="27"/>
    </row>
    <row r="34370" spans="1:1">
      <c r="A34370" s="27"/>
    </row>
    <row r="34371" spans="1:1">
      <c r="A34371" s="27"/>
    </row>
    <row r="34372" spans="1:1">
      <c r="A34372" s="27"/>
    </row>
    <row r="34373" spans="1:1">
      <c r="A34373" s="27"/>
    </row>
    <row r="34374" spans="1:1">
      <c r="A34374" s="27"/>
    </row>
    <row r="34375" spans="1:1">
      <c r="A34375" s="27"/>
    </row>
    <row r="34376" spans="1:1">
      <c r="A34376" s="27"/>
    </row>
    <row r="34377" spans="1:1">
      <c r="A34377" s="27"/>
    </row>
    <row r="34378" spans="1:1">
      <c r="A34378" s="27"/>
    </row>
    <row r="34379" spans="1:1">
      <c r="A34379" s="27"/>
    </row>
    <row r="34380" spans="1:1">
      <c r="A34380" s="27"/>
    </row>
    <row r="34381" spans="1:1">
      <c r="A34381" s="27"/>
    </row>
    <row r="34382" spans="1:1">
      <c r="A34382" s="27"/>
    </row>
    <row r="34383" spans="1:1">
      <c r="A34383" s="27"/>
    </row>
    <row r="34384" spans="1:1">
      <c r="A34384" s="27"/>
    </row>
    <row r="34385" spans="1:1">
      <c r="A34385" s="27"/>
    </row>
    <row r="34386" spans="1:1">
      <c r="A34386" s="27"/>
    </row>
    <row r="34387" spans="1:1">
      <c r="A34387" s="27"/>
    </row>
    <row r="34388" spans="1:1">
      <c r="A34388" s="27"/>
    </row>
    <row r="34389" spans="1:1">
      <c r="A34389" s="27"/>
    </row>
    <row r="34390" spans="1:1">
      <c r="A34390" s="27"/>
    </row>
    <row r="34391" spans="1:1">
      <c r="A34391" s="27"/>
    </row>
    <row r="34392" spans="1:1">
      <c r="A34392" s="27"/>
    </row>
    <row r="34393" spans="1:1">
      <c r="A34393" s="27"/>
    </row>
    <row r="34394" spans="1:1">
      <c r="A34394" s="27"/>
    </row>
    <row r="34395" spans="1:1">
      <c r="A34395" s="27"/>
    </row>
    <row r="34396" spans="1:1">
      <c r="A34396" s="27"/>
    </row>
    <row r="34397" spans="1:1">
      <c r="A34397" s="27"/>
    </row>
    <row r="34398" spans="1:1">
      <c r="A34398" s="27"/>
    </row>
    <row r="34399" spans="1:1">
      <c r="A34399" s="27"/>
    </row>
    <row r="34400" spans="1:1">
      <c r="A34400" s="27"/>
    </row>
    <row r="34401" spans="1:1">
      <c r="A34401" s="27"/>
    </row>
    <row r="34402" spans="1:1">
      <c r="A34402" s="27"/>
    </row>
    <row r="34403" spans="1:1">
      <c r="A34403" s="27"/>
    </row>
    <row r="34404" spans="1:1">
      <c r="A34404" s="27"/>
    </row>
    <row r="34405" spans="1:1">
      <c r="A34405" s="27"/>
    </row>
    <row r="34406" spans="1:1">
      <c r="A34406" s="27"/>
    </row>
    <row r="34407" spans="1:1">
      <c r="A34407" s="27"/>
    </row>
    <row r="34408" spans="1:1">
      <c r="A34408" s="27"/>
    </row>
    <row r="34409" spans="1:1">
      <c r="A34409" s="27"/>
    </row>
    <row r="34410" spans="1:1">
      <c r="A34410" s="27"/>
    </row>
    <row r="34411" spans="1:1">
      <c r="A34411" s="27"/>
    </row>
    <row r="34412" spans="1:1">
      <c r="A34412" s="27"/>
    </row>
    <row r="34413" spans="1:1">
      <c r="A34413" s="27"/>
    </row>
    <row r="34414" spans="1:1">
      <c r="A34414" s="27"/>
    </row>
    <row r="34415" spans="1:1">
      <c r="A34415" s="27"/>
    </row>
    <row r="34416" spans="1:1">
      <c r="A34416" s="27"/>
    </row>
    <row r="34417" spans="1:1">
      <c r="A34417" s="27"/>
    </row>
    <row r="34418" spans="1:1">
      <c r="A34418" s="27"/>
    </row>
    <row r="34419" spans="1:1">
      <c r="A34419" s="27"/>
    </row>
    <row r="34420" spans="1:1">
      <c r="A34420" s="27"/>
    </row>
    <row r="34421" spans="1:1">
      <c r="A34421" s="27"/>
    </row>
    <row r="34422" spans="1:1">
      <c r="A34422" s="27"/>
    </row>
    <row r="34423" spans="1:1">
      <c r="A34423" s="27"/>
    </row>
    <row r="34424" spans="1:1">
      <c r="A34424" s="27"/>
    </row>
    <row r="34425" spans="1:1">
      <c r="A34425" s="27"/>
    </row>
    <row r="34426" spans="1:1">
      <c r="A34426" s="27"/>
    </row>
    <row r="34427" spans="1:1">
      <c r="A34427" s="27"/>
    </row>
    <row r="34428" spans="1:1">
      <c r="A34428" s="27"/>
    </row>
    <row r="34429" spans="1:1">
      <c r="A34429" s="27"/>
    </row>
    <row r="34430" spans="1:1">
      <c r="A34430" s="27"/>
    </row>
    <row r="34431" spans="1:1">
      <c r="A34431" s="27"/>
    </row>
    <row r="34432" spans="1:1">
      <c r="A34432" s="27"/>
    </row>
    <row r="34433" spans="1:1">
      <c r="A34433" s="27"/>
    </row>
    <row r="34434" spans="1:1">
      <c r="A34434" s="27"/>
    </row>
    <row r="34435" spans="1:1">
      <c r="A34435" s="27"/>
    </row>
    <row r="34436" spans="1:1">
      <c r="A34436" s="27"/>
    </row>
    <row r="34437" spans="1:1">
      <c r="A34437" s="27"/>
    </row>
    <row r="34438" spans="1:1">
      <c r="A34438" s="27"/>
    </row>
    <row r="34439" spans="1:1">
      <c r="A34439" s="27"/>
    </row>
    <row r="34440" spans="1:1">
      <c r="A34440" s="27"/>
    </row>
    <row r="34441" spans="1:1">
      <c r="A34441" s="27"/>
    </row>
    <row r="34442" spans="1:1">
      <c r="A34442" s="27"/>
    </row>
    <row r="34443" spans="1:1">
      <c r="A34443" s="27"/>
    </row>
    <row r="34444" spans="1:1">
      <c r="A34444" s="27"/>
    </row>
    <row r="34445" spans="1:1">
      <c r="A34445" s="27"/>
    </row>
    <row r="34446" spans="1:1">
      <c r="A34446" s="27"/>
    </row>
    <row r="34447" spans="1:1">
      <c r="A34447" s="27"/>
    </row>
    <row r="34448" spans="1:1">
      <c r="A34448" s="27"/>
    </row>
    <row r="34449" spans="1:1">
      <c r="A34449" s="27"/>
    </row>
    <row r="34450" spans="1:1">
      <c r="A34450" s="27"/>
    </row>
    <row r="34451" spans="1:1">
      <c r="A34451" s="27"/>
    </row>
    <row r="34452" spans="1:1">
      <c r="A34452" s="27"/>
    </row>
    <row r="34453" spans="1:1">
      <c r="A34453" s="27"/>
    </row>
    <row r="34454" spans="1:1">
      <c r="A34454" s="27"/>
    </row>
    <row r="34455" spans="1:1">
      <c r="A34455" s="27"/>
    </row>
    <row r="34456" spans="1:1">
      <c r="A34456" s="27"/>
    </row>
    <row r="34457" spans="1:1">
      <c r="A34457" s="27"/>
    </row>
    <row r="34458" spans="1:1">
      <c r="A34458" s="27"/>
    </row>
    <row r="34459" spans="1:1">
      <c r="A34459" s="27"/>
    </row>
    <row r="34460" spans="1:1">
      <c r="A34460" s="27"/>
    </row>
    <row r="34461" spans="1:1">
      <c r="A34461" s="27"/>
    </row>
    <row r="34462" spans="1:1">
      <c r="A34462" s="27"/>
    </row>
    <row r="34463" spans="1:1">
      <c r="A34463" s="27"/>
    </row>
    <row r="34464" spans="1:1">
      <c r="A34464" s="27"/>
    </row>
    <row r="34465" spans="1:1">
      <c r="A34465" s="27"/>
    </row>
    <row r="34466" spans="1:1">
      <c r="A34466" s="27"/>
    </row>
    <row r="34467" spans="1:1">
      <c r="A34467" s="27"/>
    </row>
    <row r="34468" spans="1:1">
      <c r="A34468" s="27"/>
    </row>
    <row r="34469" spans="1:1">
      <c r="A34469" s="27"/>
    </row>
    <row r="34470" spans="1:1">
      <c r="A34470" s="27"/>
    </row>
    <row r="34471" spans="1:1">
      <c r="A34471" s="27"/>
    </row>
    <row r="34472" spans="1:1">
      <c r="A34472" s="27"/>
    </row>
    <row r="34473" spans="1:1">
      <c r="A34473" s="27"/>
    </row>
    <row r="34474" spans="1:1">
      <c r="A34474" s="27"/>
    </row>
    <row r="34475" spans="1:1">
      <c r="A34475" s="27"/>
    </row>
    <row r="34476" spans="1:1">
      <c r="A34476" s="27"/>
    </row>
    <row r="34477" spans="1:1">
      <c r="A34477" s="27"/>
    </row>
    <row r="34478" spans="1:1">
      <c r="A34478" s="27"/>
    </row>
    <row r="34479" spans="1:1">
      <c r="A34479" s="27"/>
    </row>
    <row r="34480" spans="1:1">
      <c r="A34480" s="27"/>
    </row>
    <row r="34481" spans="1:1">
      <c r="A34481" s="27"/>
    </row>
    <row r="34482" spans="1:1">
      <c r="A34482" s="27"/>
    </row>
    <row r="34483" spans="1:1">
      <c r="A34483" s="27"/>
    </row>
    <row r="34484" spans="1:1">
      <c r="A34484" s="27"/>
    </row>
    <row r="34485" spans="1:1">
      <c r="A34485" s="27"/>
    </row>
    <row r="34486" spans="1:1">
      <c r="A34486" s="27"/>
    </row>
    <row r="34487" spans="1:1">
      <c r="A34487" s="27"/>
    </row>
    <row r="34488" spans="1:1">
      <c r="A34488" s="27"/>
    </row>
    <row r="34489" spans="1:1">
      <c r="A34489" s="27"/>
    </row>
    <row r="34490" spans="1:1">
      <c r="A34490" s="27"/>
    </row>
    <row r="34491" spans="1:1">
      <c r="A34491" s="27"/>
    </row>
    <row r="34492" spans="1:1">
      <c r="A34492" s="27"/>
    </row>
    <row r="34493" spans="1:1">
      <c r="A34493" s="27"/>
    </row>
    <row r="34494" spans="1:1">
      <c r="A34494" s="27"/>
    </row>
    <row r="34495" spans="1:1">
      <c r="A34495" s="27"/>
    </row>
    <row r="34496" spans="1:1">
      <c r="A34496" s="27"/>
    </row>
    <row r="34497" spans="1:1">
      <c r="A34497" s="27"/>
    </row>
    <row r="34498" spans="1:1">
      <c r="A34498" s="27"/>
    </row>
    <row r="34499" spans="1:1">
      <c r="A34499" s="27"/>
    </row>
    <row r="34500" spans="1:1">
      <c r="A34500" s="27"/>
    </row>
    <row r="34501" spans="1:1">
      <c r="A34501" s="27"/>
    </row>
    <row r="34502" spans="1:1">
      <c r="A34502" s="27"/>
    </row>
    <row r="34503" spans="1:1">
      <c r="A34503" s="27"/>
    </row>
    <row r="34504" spans="1:1">
      <c r="A34504" s="27"/>
    </row>
    <row r="34505" spans="1:1">
      <c r="A34505" s="27"/>
    </row>
    <row r="34506" spans="1:1">
      <c r="A34506" s="27"/>
    </row>
    <row r="34507" spans="1:1">
      <c r="A34507" s="27"/>
    </row>
    <row r="34508" spans="1:1">
      <c r="A34508" s="27"/>
    </row>
    <row r="34509" spans="1:1">
      <c r="A34509" s="27"/>
    </row>
    <row r="34510" spans="1:1">
      <c r="A34510" s="27"/>
    </row>
    <row r="34511" spans="1:1">
      <c r="A34511" s="27"/>
    </row>
    <row r="34512" spans="1:1">
      <c r="A34512" s="27"/>
    </row>
    <row r="34513" spans="1:1">
      <c r="A34513" s="27"/>
    </row>
    <row r="34514" spans="1:1">
      <c r="A34514" s="27"/>
    </row>
    <row r="34515" spans="1:1">
      <c r="A34515" s="27"/>
    </row>
    <row r="34516" spans="1:1">
      <c r="A34516" s="27"/>
    </row>
    <row r="34517" spans="1:1">
      <c r="A34517" s="27"/>
    </row>
    <row r="34518" spans="1:1">
      <c r="A34518" s="27"/>
    </row>
    <row r="34519" spans="1:1">
      <c r="A34519" s="27"/>
    </row>
    <row r="34520" spans="1:1">
      <c r="A34520" s="27"/>
    </row>
    <row r="34521" spans="1:1">
      <c r="A34521" s="27"/>
    </row>
    <row r="34522" spans="1:1">
      <c r="A34522" s="27"/>
    </row>
    <row r="34523" spans="1:1">
      <c r="A34523" s="27"/>
    </row>
    <row r="34524" spans="1:1">
      <c r="A34524" s="27"/>
    </row>
    <row r="34525" spans="1:1">
      <c r="A34525" s="27"/>
    </row>
    <row r="34526" spans="1:1">
      <c r="A34526" s="27"/>
    </row>
    <row r="34527" spans="1:1">
      <c r="A34527" s="27"/>
    </row>
    <row r="34528" spans="1:1">
      <c r="A34528" s="27"/>
    </row>
    <row r="34529" spans="1:1">
      <c r="A34529" s="27"/>
    </row>
    <row r="34530" spans="1:1">
      <c r="A34530" s="27"/>
    </row>
    <row r="34531" spans="1:1">
      <c r="A34531" s="27"/>
    </row>
    <row r="34532" spans="1:1">
      <c r="A34532" s="27"/>
    </row>
    <row r="34533" spans="1:1">
      <c r="A34533" s="27"/>
    </row>
    <row r="34534" spans="1:1">
      <c r="A34534" s="27"/>
    </row>
    <row r="34535" spans="1:1">
      <c r="A34535" s="27"/>
    </row>
    <row r="34536" spans="1:1">
      <c r="A34536" s="27"/>
    </row>
    <row r="34537" spans="1:1">
      <c r="A34537" s="27"/>
    </row>
    <row r="34538" spans="1:1">
      <c r="A34538" s="27"/>
    </row>
    <row r="34539" spans="1:1">
      <c r="A34539" s="27"/>
    </row>
    <row r="34540" spans="1:1">
      <c r="A34540" s="27"/>
    </row>
    <row r="34541" spans="1:1">
      <c r="A34541" s="27"/>
    </row>
    <row r="34542" spans="1:1">
      <c r="A34542" s="27"/>
    </row>
    <row r="34543" spans="1:1">
      <c r="A34543" s="27"/>
    </row>
    <row r="34544" spans="1:1">
      <c r="A34544" s="27"/>
    </row>
    <row r="34545" spans="1:1">
      <c r="A34545" s="27"/>
    </row>
    <row r="34546" spans="1:1">
      <c r="A34546" s="27"/>
    </row>
    <row r="34547" spans="1:1">
      <c r="A34547" s="27"/>
    </row>
    <row r="34548" spans="1:1">
      <c r="A34548" s="27"/>
    </row>
    <row r="34549" spans="1:1">
      <c r="A34549" s="27"/>
    </row>
    <row r="34550" spans="1:1">
      <c r="A34550" s="27"/>
    </row>
    <row r="34551" spans="1:1">
      <c r="A34551" s="27"/>
    </row>
    <row r="34552" spans="1:1">
      <c r="A34552" s="27"/>
    </row>
    <row r="34553" spans="1:1">
      <c r="A34553" s="27"/>
    </row>
    <row r="34554" spans="1:1">
      <c r="A34554" s="27"/>
    </row>
    <row r="34555" spans="1:1">
      <c r="A34555" s="27"/>
    </row>
    <row r="34556" spans="1:1">
      <c r="A34556" s="27"/>
    </row>
    <row r="34557" spans="1:1">
      <c r="A34557" s="27"/>
    </row>
    <row r="34558" spans="1:1">
      <c r="A34558" s="27"/>
    </row>
    <row r="34559" spans="1:1">
      <c r="A34559" s="27"/>
    </row>
    <row r="34560" spans="1:1">
      <c r="A34560" s="27"/>
    </row>
    <row r="34561" spans="1:1">
      <c r="A34561" s="27"/>
    </row>
    <row r="34562" spans="1:1">
      <c r="A34562" s="27"/>
    </row>
    <row r="34563" spans="1:1">
      <c r="A34563" s="27"/>
    </row>
    <row r="34564" spans="1:1">
      <c r="A34564" s="27"/>
    </row>
    <row r="34565" spans="1:1">
      <c r="A34565" s="27"/>
    </row>
    <row r="34566" spans="1:1">
      <c r="A34566" s="27"/>
    </row>
    <row r="34567" spans="1:1">
      <c r="A34567" s="27"/>
    </row>
    <row r="34568" spans="1:1">
      <c r="A34568" s="27"/>
    </row>
    <row r="34569" spans="1:1">
      <c r="A34569" s="27"/>
    </row>
    <row r="34570" spans="1:1">
      <c r="A34570" s="27"/>
    </row>
    <row r="34571" spans="1:1">
      <c r="A34571" s="27"/>
    </row>
    <row r="34572" spans="1:1">
      <c r="A34572" s="27"/>
    </row>
    <row r="34573" spans="1:1">
      <c r="A34573" s="27"/>
    </row>
    <row r="34574" spans="1:1">
      <c r="A34574" s="27"/>
    </row>
    <row r="34575" spans="1:1">
      <c r="A34575" s="27"/>
    </row>
    <row r="34576" spans="1:1">
      <c r="A34576" s="27"/>
    </row>
    <row r="34577" spans="1:1">
      <c r="A34577" s="27"/>
    </row>
    <row r="34578" spans="1:1">
      <c r="A34578" s="27"/>
    </row>
    <row r="34579" spans="1:1">
      <c r="A34579" s="27"/>
    </row>
    <row r="34580" spans="1:1">
      <c r="A34580" s="27"/>
    </row>
    <row r="34581" spans="1:1">
      <c r="A34581" s="27"/>
    </row>
    <row r="34582" spans="1:1">
      <c r="A34582" s="27"/>
    </row>
    <row r="34583" spans="1:1">
      <c r="A34583" s="27"/>
    </row>
    <row r="34584" spans="1:1">
      <c r="A34584" s="27"/>
    </row>
    <row r="34585" spans="1:1">
      <c r="A34585" s="27"/>
    </row>
    <row r="34586" spans="1:1">
      <c r="A34586" s="27"/>
    </row>
    <row r="34587" spans="1:1">
      <c r="A34587" s="27"/>
    </row>
    <row r="34588" spans="1:1">
      <c r="A34588" s="27"/>
    </row>
    <row r="34589" spans="1:1">
      <c r="A34589" s="27"/>
    </row>
    <row r="34590" spans="1:1">
      <c r="A34590" s="27"/>
    </row>
    <row r="34591" spans="1:1">
      <c r="A34591" s="27"/>
    </row>
    <row r="34592" spans="1:1">
      <c r="A34592" s="27"/>
    </row>
    <row r="34593" spans="1:1">
      <c r="A34593" s="27"/>
    </row>
    <row r="34594" spans="1:1">
      <c r="A34594" s="27"/>
    </row>
    <row r="34595" spans="1:1">
      <c r="A34595" s="27"/>
    </row>
    <row r="34596" spans="1:1">
      <c r="A34596" s="27"/>
    </row>
    <row r="34597" spans="1:1">
      <c r="A34597" s="27"/>
    </row>
    <row r="34598" spans="1:1">
      <c r="A34598" s="27"/>
    </row>
    <row r="34599" spans="1:1">
      <c r="A34599" s="27"/>
    </row>
    <row r="34600" spans="1:1">
      <c r="A34600" s="27"/>
    </row>
    <row r="34601" spans="1:1">
      <c r="A34601" s="27"/>
    </row>
    <row r="34602" spans="1:1">
      <c r="A34602" s="27"/>
    </row>
    <row r="34603" spans="1:1">
      <c r="A34603" s="27"/>
    </row>
    <row r="34604" spans="1:1">
      <c r="A34604" s="27"/>
    </row>
    <row r="34605" spans="1:1">
      <c r="A34605" s="27"/>
    </row>
    <row r="34606" spans="1:1">
      <c r="A34606" s="27"/>
    </row>
    <row r="34607" spans="1:1">
      <c r="A34607" s="27"/>
    </row>
    <row r="34608" spans="1:1">
      <c r="A34608" s="27"/>
    </row>
    <row r="34609" spans="1:1">
      <c r="A34609" s="27"/>
    </row>
    <row r="34610" spans="1:1">
      <c r="A34610" s="27"/>
    </row>
    <row r="34611" spans="1:1">
      <c r="A34611" s="27"/>
    </row>
    <row r="34612" spans="1:1">
      <c r="A34612" s="27"/>
    </row>
    <row r="34613" spans="1:1">
      <c r="A34613" s="27"/>
    </row>
    <row r="34614" spans="1:1">
      <c r="A34614" s="27"/>
    </row>
    <row r="34615" spans="1:1">
      <c r="A34615" s="27"/>
    </row>
    <row r="34616" spans="1:1">
      <c r="A34616" s="27"/>
    </row>
    <row r="34617" spans="1:1">
      <c r="A34617" s="27"/>
    </row>
    <row r="34618" spans="1:1">
      <c r="A34618" s="27"/>
    </row>
    <row r="34619" spans="1:1">
      <c r="A34619" s="27"/>
    </row>
    <row r="34620" spans="1:1">
      <c r="A34620" s="27"/>
    </row>
    <row r="34621" spans="1:1">
      <c r="A34621" s="27"/>
    </row>
    <row r="34622" spans="1:1">
      <c r="A34622" s="27"/>
    </row>
    <row r="34623" spans="1:1">
      <c r="A34623" s="27"/>
    </row>
    <row r="34624" spans="1:1">
      <c r="A34624" s="27"/>
    </row>
    <row r="34625" spans="1:1">
      <c r="A34625" s="27"/>
    </row>
    <row r="34626" spans="1:1">
      <c r="A34626" s="27"/>
    </row>
    <row r="34627" spans="1:1">
      <c r="A34627" s="27"/>
    </row>
    <row r="34628" spans="1:1">
      <c r="A34628" s="27"/>
    </row>
    <row r="34629" spans="1:1">
      <c r="A34629" s="27"/>
    </row>
    <row r="34630" spans="1:1">
      <c r="A34630" s="27"/>
    </row>
    <row r="34631" spans="1:1">
      <c r="A34631" s="27"/>
    </row>
    <row r="34632" spans="1:1">
      <c r="A34632" s="27"/>
    </row>
    <row r="34633" spans="1:1">
      <c r="A34633" s="27"/>
    </row>
    <row r="34634" spans="1:1">
      <c r="A34634" s="27"/>
    </row>
    <row r="34635" spans="1:1">
      <c r="A34635" s="27"/>
    </row>
    <row r="34636" spans="1:1">
      <c r="A34636" s="27"/>
    </row>
    <row r="34637" spans="1:1">
      <c r="A34637" s="27"/>
    </row>
    <row r="34638" spans="1:1">
      <c r="A34638" s="27"/>
    </row>
    <row r="34639" spans="1:1">
      <c r="A34639" s="27"/>
    </row>
    <row r="34640" spans="1:1">
      <c r="A34640" s="27"/>
    </row>
    <row r="34641" spans="1:1">
      <c r="A34641" s="27"/>
    </row>
    <row r="34642" spans="1:1">
      <c r="A34642" s="27"/>
    </row>
    <row r="34643" spans="1:1">
      <c r="A34643" s="27"/>
    </row>
    <row r="34644" spans="1:1">
      <c r="A34644" s="27"/>
    </row>
    <row r="34645" spans="1:1">
      <c r="A34645" s="27"/>
    </row>
    <row r="34646" spans="1:1">
      <c r="A34646" s="27"/>
    </row>
    <row r="34647" spans="1:1">
      <c r="A34647" s="27"/>
    </row>
    <row r="34648" spans="1:1">
      <c r="A34648" s="27"/>
    </row>
    <row r="34649" spans="1:1">
      <c r="A34649" s="27"/>
    </row>
    <row r="34650" spans="1:1">
      <c r="A34650" s="27"/>
    </row>
    <row r="34651" spans="1:1">
      <c r="A34651" s="27"/>
    </row>
    <row r="34652" spans="1:1">
      <c r="A34652" s="27"/>
    </row>
    <row r="34653" spans="1:1">
      <c r="A34653" s="27"/>
    </row>
    <row r="34654" spans="1:1">
      <c r="A34654" s="27"/>
    </row>
    <row r="34655" spans="1:1">
      <c r="A34655" s="27"/>
    </row>
    <row r="34656" spans="1:1">
      <c r="A34656" s="27"/>
    </row>
    <row r="34657" spans="1:1">
      <c r="A34657" s="27"/>
    </row>
    <row r="34658" spans="1:1">
      <c r="A34658" s="27"/>
    </row>
    <row r="34659" spans="1:1">
      <c r="A34659" s="27"/>
    </row>
    <row r="34660" spans="1:1">
      <c r="A34660" s="27"/>
    </row>
    <row r="34661" spans="1:1">
      <c r="A34661" s="27"/>
    </row>
    <row r="34662" spans="1:1">
      <c r="A34662" s="27"/>
    </row>
    <row r="34663" spans="1:1">
      <c r="A34663" s="27"/>
    </row>
    <row r="34664" spans="1:1">
      <c r="A34664" s="27"/>
    </row>
    <row r="34665" spans="1:1">
      <c r="A34665" s="27"/>
    </row>
    <row r="34666" spans="1:1">
      <c r="A34666" s="27"/>
    </row>
    <row r="34667" spans="1:1">
      <c r="A34667" s="27"/>
    </row>
    <row r="34668" spans="1:1">
      <c r="A34668" s="27"/>
    </row>
    <row r="34669" spans="1:1">
      <c r="A34669" s="27"/>
    </row>
    <row r="34670" spans="1:1">
      <c r="A34670" s="27"/>
    </row>
    <row r="34671" spans="1:1">
      <c r="A34671" s="27"/>
    </row>
    <row r="34672" spans="1:1">
      <c r="A34672" s="27"/>
    </row>
    <row r="34673" spans="1:1">
      <c r="A34673" s="27"/>
    </row>
    <row r="34674" spans="1:1">
      <c r="A34674" s="27"/>
    </row>
    <row r="34675" spans="1:1">
      <c r="A34675" s="27"/>
    </row>
    <row r="34676" spans="1:1">
      <c r="A34676" s="27"/>
    </row>
    <row r="34677" spans="1:1">
      <c r="A34677" s="27"/>
    </row>
    <row r="34678" spans="1:1">
      <c r="A34678" s="27"/>
    </row>
    <row r="34679" spans="1:1">
      <c r="A34679" s="27"/>
    </row>
    <row r="34680" spans="1:1">
      <c r="A34680" s="27"/>
    </row>
    <row r="34681" spans="1:1">
      <c r="A34681" s="27"/>
    </row>
    <row r="34682" spans="1:1">
      <c r="A34682" s="27"/>
    </row>
    <row r="34683" spans="1:1">
      <c r="A34683" s="27"/>
    </row>
    <row r="34684" spans="1:1">
      <c r="A34684" s="27"/>
    </row>
    <row r="34685" spans="1:1">
      <c r="A34685" s="27"/>
    </row>
    <row r="34686" spans="1:1">
      <c r="A34686" s="27"/>
    </row>
    <row r="34687" spans="1:1">
      <c r="A34687" s="27"/>
    </row>
    <row r="34688" spans="1:1">
      <c r="A34688" s="27"/>
    </row>
    <row r="34689" spans="1:1">
      <c r="A34689" s="27"/>
    </row>
    <row r="34690" spans="1:1">
      <c r="A34690" s="27"/>
    </row>
    <row r="34691" spans="1:1">
      <c r="A34691" s="27"/>
    </row>
    <row r="34692" spans="1:1">
      <c r="A34692" s="27"/>
    </row>
    <row r="34693" spans="1:1">
      <c r="A34693" s="27"/>
    </row>
    <row r="34694" spans="1:1">
      <c r="A34694" s="27"/>
    </row>
    <row r="34695" spans="1:1">
      <c r="A34695" s="27"/>
    </row>
    <row r="34696" spans="1:1">
      <c r="A34696" s="27"/>
    </row>
    <row r="34697" spans="1:1">
      <c r="A34697" s="27"/>
    </row>
    <row r="34698" spans="1:1">
      <c r="A34698" s="27"/>
    </row>
    <row r="34699" spans="1:1">
      <c r="A34699" s="27"/>
    </row>
    <row r="34700" spans="1:1">
      <c r="A34700" s="27"/>
    </row>
    <row r="34701" spans="1:1">
      <c r="A34701" s="27"/>
    </row>
    <row r="34702" spans="1:1">
      <c r="A34702" s="27"/>
    </row>
    <row r="34703" spans="1:1">
      <c r="A34703" s="27"/>
    </row>
    <row r="34704" spans="1:1">
      <c r="A34704" s="27"/>
    </row>
    <row r="34705" spans="1:1">
      <c r="A34705" s="27"/>
    </row>
    <row r="34706" spans="1:1">
      <c r="A34706" s="27"/>
    </row>
    <row r="34707" spans="1:1">
      <c r="A34707" s="27"/>
    </row>
    <row r="34708" spans="1:1">
      <c r="A34708" s="27"/>
    </row>
    <row r="34709" spans="1:1">
      <c r="A34709" s="27"/>
    </row>
    <row r="34710" spans="1:1">
      <c r="A34710" s="27"/>
    </row>
    <row r="34711" spans="1:1">
      <c r="A34711" s="27"/>
    </row>
    <row r="34712" spans="1:1">
      <c r="A34712" s="27"/>
    </row>
    <row r="34713" spans="1:1">
      <c r="A34713" s="27"/>
    </row>
    <row r="34714" spans="1:1">
      <c r="A34714" s="27"/>
    </row>
    <row r="34715" spans="1:1">
      <c r="A34715" s="27"/>
    </row>
    <row r="34716" spans="1:1">
      <c r="A34716" s="27"/>
    </row>
    <row r="34717" spans="1:1">
      <c r="A34717" s="27"/>
    </row>
    <row r="34718" spans="1:1">
      <c r="A34718" s="27"/>
    </row>
    <row r="34719" spans="1:1">
      <c r="A34719" s="27"/>
    </row>
    <row r="34720" spans="1:1">
      <c r="A34720" s="27"/>
    </row>
    <row r="34721" spans="1:1">
      <c r="A34721" s="27"/>
    </row>
    <row r="34722" spans="1:1">
      <c r="A34722" s="27"/>
    </row>
    <row r="34723" spans="1:1">
      <c r="A34723" s="27"/>
    </row>
    <row r="34724" spans="1:1">
      <c r="A34724" s="27"/>
    </row>
    <row r="34725" spans="1:1">
      <c r="A34725" s="27"/>
    </row>
    <row r="34726" spans="1:1">
      <c r="A34726" s="27"/>
    </row>
    <row r="34727" spans="1:1">
      <c r="A34727" s="27"/>
    </row>
    <row r="34728" spans="1:1">
      <c r="A34728" s="27"/>
    </row>
    <row r="34729" spans="1:1">
      <c r="A34729" s="27"/>
    </row>
    <row r="34730" spans="1:1">
      <c r="A34730" s="27"/>
    </row>
    <row r="34731" spans="1:1">
      <c r="A34731" s="27"/>
    </row>
    <row r="34732" spans="1:1">
      <c r="A34732" s="27"/>
    </row>
    <row r="34733" spans="1:1">
      <c r="A34733" s="27"/>
    </row>
    <row r="34734" spans="1:1">
      <c r="A34734" s="27"/>
    </row>
    <row r="34735" spans="1:1">
      <c r="A34735" s="27"/>
    </row>
    <row r="34736" spans="1:1">
      <c r="A34736" s="27"/>
    </row>
    <row r="34737" spans="1:1">
      <c r="A34737" s="27"/>
    </row>
    <row r="34738" spans="1:1">
      <c r="A34738" s="27"/>
    </row>
    <row r="34739" spans="1:1">
      <c r="A34739" s="27"/>
    </row>
    <row r="34740" spans="1:1">
      <c r="A34740" s="27"/>
    </row>
    <row r="34741" spans="1:1">
      <c r="A34741" s="27"/>
    </row>
    <row r="34742" spans="1:1">
      <c r="A34742" s="27"/>
    </row>
    <row r="34743" spans="1:1">
      <c r="A34743" s="27"/>
    </row>
    <row r="34744" spans="1:1">
      <c r="A34744" s="27"/>
    </row>
    <row r="34745" spans="1:1">
      <c r="A34745" s="27"/>
    </row>
    <row r="34746" spans="1:1">
      <c r="A34746" s="27"/>
    </row>
    <row r="34747" spans="1:1">
      <c r="A34747" s="27"/>
    </row>
    <row r="34748" spans="1:1">
      <c r="A34748" s="27"/>
    </row>
    <row r="34749" spans="1:1">
      <c r="A34749" s="27"/>
    </row>
    <row r="34750" spans="1:1">
      <c r="A34750" s="27"/>
    </row>
    <row r="34751" spans="1:1">
      <c r="A34751" s="27"/>
    </row>
    <row r="34752" spans="1:1">
      <c r="A34752" s="27"/>
    </row>
    <row r="34753" spans="1:1">
      <c r="A34753" s="27"/>
    </row>
    <row r="34754" spans="1:1">
      <c r="A34754" s="27"/>
    </row>
    <row r="34755" spans="1:1">
      <c r="A34755" s="27"/>
    </row>
    <row r="34756" spans="1:1">
      <c r="A34756" s="27"/>
    </row>
    <row r="34757" spans="1:1">
      <c r="A34757" s="27"/>
    </row>
    <row r="34758" spans="1:1">
      <c r="A34758" s="27"/>
    </row>
    <row r="34759" spans="1:1">
      <c r="A34759" s="27"/>
    </row>
    <row r="34760" spans="1:1">
      <c r="A34760" s="27"/>
    </row>
    <row r="34761" spans="1:1">
      <c r="A34761" s="27"/>
    </row>
    <row r="34762" spans="1:1">
      <c r="A34762" s="27"/>
    </row>
    <row r="34763" spans="1:1">
      <c r="A34763" s="27"/>
    </row>
    <row r="34764" spans="1:1">
      <c r="A34764" s="27"/>
    </row>
    <row r="34765" spans="1:1">
      <c r="A34765" s="27"/>
    </row>
    <row r="34766" spans="1:1">
      <c r="A34766" s="27"/>
    </row>
    <row r="34767" spans="1:1">
      <c r="A34767" s="27"/>
    </row>
    <row r="34768" spans="1:1">
      <c r="A34768" s="27"/>
    </row>
    <row r="34769" spans="1:1">
      <c r="A34769" s="27"/>
    </row>
    <row r="34770" spans="1:1">
      <c r="A34770" s="27"/>
    </row>
    <row r="34771" spans="1:1">
      <c r="A34771" s="27"/>
    </row>
    <row r="34772" spans="1:1">
      <c r="A34772" s="27"/>
    </row>
    <row r="34773" spans="1:1">
      <c r="A34773" s="27"/>
    </row>
    <row r="34774" spans="1:1">
      <c r="A34774" s="27"/>
    </row>
    <row r="34775" spans="1:1">
      <c r="A34775" s="27"/>
    </row>
    <row r="34776" spans="1:1">
      <c r="A34776" s="27"/>
    </row>
    <row r="34777" spans="1:1">
      <c r="A34777" s="27"/>
    </row>
    <row r="34778" spans="1:1">
      <c r="A34778" s="27"/>
    </row>
    <row r="34779" spans="1:1">
      <c r="A34779" s="27"/>
    </row>
    <row r="34780" spans="1:1">
      <c r="A34780" s="27"/>
    </row>
    <row r="34781" spans="1:1">
      <c r="A34781" s="27"/>
    </row>
    <row r="34782" spans="1:1">
      <c r="A34782" s="27"/>
    </row>
    <row r="34783" spans="1:1">
      <c r="A34783" s="27"/>
    </row>
    <row r="34784" spans="1:1">
      <c r="A34784" s="27"/>
    </row>
    <row r="34785" spans="1:1">
      <c r="A34785" s="27"/>
    </row>
    <row r="34786" spans="1:1">
      <c r="A34786" s="27"/>
    </row>
    <row r="34787" spans="1:1">
      <c r="A34787" s="27"/>
    </row>
    <row r="34788" spans="1:1">
      <c r="A34788" s="27"/>
    </row>
    <row r="34789" spans="1:1">
      <c r="A34789" s="27"/>
    </row>
    <row r="34790" spans="1:1">
      <c r="A34790" s="27"/>
    </row>
    <row r="34791" spans="1:1">
      <c r="A34791" s="27"/>
    </row>
    <row r="34792" spans="1:1">
      <c r="A34792" s="27"/>
    </row>
    <row r="34793" spans="1:1">
      <c r="A34793" s="27"/>
    </row>
    <row r="34794" spans="1:1">
      <c r="A34794" s="27"/>
    </row>
    <row r="34795" spans="1:1">
      <c r="A34795" s="27"/>
    </row>
    <row r="34796" spans="1:1">
      <c r="A34796" s="27"/>
    </row>
    <row r="34797" spans="1:1">
      <c r="A34797" s="27"/>
    </row>
    <row r="34798" spans="1:1">
      <c r="A34798" s="27"/>
    </row>
    <row r="34799" spans="1:1">
      <c r="A34799" s="27"/>
    </row>
    <row r="34800" spans="1:1">
      <c r="A34800" s="27"/>
    </row>
    <row r="34801" spans="1:1">
      <c r="A34801" s="27"/>
    </row>
    <row r="34802" spans="1:1">
      <c r="A34802" s="27"/>
    </row>
    <row r="34803" spans="1:1">
      <c r="A34803" s="27"/>
    </row>
    <row r="34804" spans="1:1">
      <c r="A34804" s="27"/>
    </row>
    <row r="34805" spans="1:1">
      <c r="A34805" s="27"/>
    </row>
    <row r="34806" spans="1:1">
      <c r="A34806" s="27"/>
    </row>
    <row r="34807" spans="1:1">
      <c r="A34807" s="27"/>
    </row>
    <row r="34808" spans="1:1">
      <c r="A34808" s="27"/>
    </row>
    <row r="34809" spans="1:1">
      <c r="A34809" s="27"/>
    </row>
    <row r="34810" spans="1:1">
      <c r="A34810" s="27"/>
    </row>
    <row r="34811" spans="1:1">
      <c r="A34811" s="27"/>
    </row>
    <row r="34812" spans="1:1">
      <c r="A34812" s="27"/>
    </row>
    <row r="34813" spans="1:1">
      <c r="A34813" s="27"/>
    </row>
    <row r="34814" spans="1:1">
      <c r="A34814" s="27"/>
    </row>
    <row r="34815" spans="1:1">
      <c r="A34815" s="27"/>
    </row>
    <row r="34816" spans="1:1">
      <c r="A34816" s="27"/>
    </row>
    <row r="34817" spans="1:1">
      <c r="A34817" s="27"/>
    </row>
    <row r="34818" spans="1:1">
      <c r="A34818" s="27"/>
    </row>
    <row r="34819" spans="1:1">
      <c r="A34819" s="27"/>
    </row>
    <row r="34820" spans="1:1">
      <c r="A34820" s="27"/>
    </row>
    <row r="34821" spans="1:1">
      <c r="A34821" s="27"/>
    </row>
    <row r="34822" spans="1:1">
      <c r="A34822" s="27"/>
    </row>
    <row r="34823" spans="1:1">
      <c r="A34823" s="27"/>
    </row>
    <row r="34824" spans="1:1">
      <c r="A34824" s="27"/>
    </row>
    <row r="34825" spans="1:1">
      <c r="A34825" s="27"/>
    </row>
    <row r="34826" spans="1:1">
      <c r="A34826" s="27"/>
    </row>
    <row r="34827" spans="1:1">
      <c r="A34827" s="27"/>
    </row>
    <row r="34828" spans="1:1">
      <c r="A34828" s="27"/>
    </row>
    <row r="34829" spans="1:1">
      <c r="A34829" s="27"/>
    </row>
    <row r="34830" spans="1:1">
      <c r="A34830" s="27"/>
    </row>
    <row r="34831" spans="1:1">
      <c r="A34831" s="27"/>
    </row>
    <row r="34832" spans="1:1">
      <c r="A34832" s="27"/>
    </row>
    <row r="34833" spans="1:1">
      <c r="A34833" s="27"/>
    </row>
    <row r="34834" spans="1:1">
      <c r="A34834" s="27"/>
    </row>
    <row r="34835" spans="1:1">
      <c r="A34835" s="27"/>
    </row>
    <row r="34836" spans="1:1">
      <c r="A34836" s="27"/>
    </row>
    <row r="34837" spans="1:1">
      <c r="A34837" s="27"/>
    </row>
    <row r="34838" spans="1:1">
      <c r="A34838" s="27"/>
    </row>
    <row r="34839" spans="1:1">
      <c r="A34839" s="27"/>
    </row>
    <row r="34840" spans="1:1">
      <c r="A34840" s="27"/>
    </row>
    <row r="34841" spans="1:1">
      <c r="A34841" s="27"/>
    </row>
    <row r="34842" spans="1:1">
      <c r="A34842" s="27"/>
    </row>
    <row r="34843" spans="1:1">
      <c r="A34843" s="27"/>
    </row>
    <row r="34844" spans="1:1">
      <c r="A34844" s="27"/>
    </row>
    <row r="34845" spans="1:1">
      <c r="A34845" s="27"/>
    </row>
    <row r="34846" spans="1:1">
      <c r="A34846" s="27"/>
    </row>
    <row r="34847" spans="1:1">
      <c r="A34847" s="27"/>
    </row>
    <row r="34848" spans="1:1">
      <c r="A34848" s="27"/>
    </row>
    <row r="34849" spans="1:1">
      <c r="A34849" s="27"/>
    </row>
    <row r="34850" spans="1:1">
      <c r="A34850" s="27"/>
    </row>
    <row r="34851" spans="1:1">
      <c r="A34851" s="27"/>
    </row>
    <row r="34852" spans="1:1">
      <c r="A34852" s="27"/>
    </row>
    <row r="34853" spans="1:1">
      <c r="A34853" s="27"/>
    </row>
    <row r="34854" spans="1:1">
      <c r="A34854" s="27"/>
    </row>
    <row r="34855" spans="1:1">
      <c r="A34855" s="27"/>
    </row>
    <row r="34856" spans="1:1">
      <c r="A34856" s="27"/>
    </row>
    <row r="34857" spans="1:1">
      <c r="A34857" s="27"/>
    </row>
    <row r="34858" spans="1:1">
      <c r="A34858" s="27"/>
    </row>
    <row r="34859" spans="1:1">
      <c r="A34859" s="27"/>
    </row>
    <row r="34860" spans="1:1">
      <c r="A34860" s="27"/>
    </row>
    <row r="34861" spans="1:1">
      <c r="A34861" s="27"/>
    </row>
    <row r="34862" spans="1:1">
      <c r="A34862" s="27"/>
    </row>
    <row r="34863" spans="1:1">
      <c r="A34863" s="27"/>
    </row>
    <row r="34864" spans="1:1">
      <c r="A34864" s="27"/>
    </row>
    <row r="34865" spans="1:1">
      <c r="A34865" s="27"/>
    </row>
    <row r="34866" spans="1:1">
      <c r="A34866" s="27"/>
    </row>
    <row r="34867" spans="1:1">
      <c r="A34867" s="27"/>
    </row>
    <row r="34868" spans="1:1">
      <c r="A34868" s="27"/>
    </row>
    <row r="34869" spans="1:1">
      <c r="A34869" s="27"/>
    </row>
    <row r="34870" spans="1:1">
      <c r="A34870" s="27"/>
    </row>
    <row r="34871" spans="1:1">
      <c r="A34871" s="27"/>
    </row>
    <row r="34872" spans="1:1">
      <c r="A34872" s="27"/>
    </row>
    <row r="34873" spans="1:1">
      <c r="A34873" s="27"/>
    </row>
    <row r="34874" spans="1:1">
      <c r="A34874" s="27"/>
    </row>
    <row r="34875" spans="1:1">
      <c r="A34875" s="27"/>
    </row>
    <row r="34876" spans="1:1">
      <c r="A34876" s="27"/>
    </row>
    <row r="34877" spans="1:1">
      <c r="A34877" s="27"/>
    </row>
    <row r="34878" spans="1:1">
      <c r="A34878" s="27"/>
    </row>
    <row r="34879" spans="1:1">
      <c r="A34879" s="27"/>
    </row>
    <row r="34880" spans="1:1">
      <c r="A34880" s="27"/>
    </row>
    <row r="34881" spans="1:1">
      <c r="A34881" s="27"/>
    </row>
    <row r="34882" spans="1:1">
      <c r="A34882" s="27"/>
    </row>
    <row r="34883" spans="1:1">
      <c r="A34883" s="27"/>
    </row>
    <row r="34884" spans="1:1">
      <c r="A34884" s="27"/>
    </row>
    <row r="34885" spans="1:1">
      <c r="A34885" s="27"/>
    </row>
    <row r="34886" spans="1:1">
      <c r="A34886" s="27"/>
    </row>
    <row r="34887" spans="1:1">
      <c r="A34887" s="27"/>
    </row>
    <row r="34888" spans="1:1">
      <c r="A34888" s="27"/>
    </row>
    <row r="34889" spans="1:1">
      <c r="A34889" s="27"/>
    </row>
    <row r="34890" spans="1:1">
      <c r="A34890" s="27"/>
    </row>
    <row r="34891" spans="1:1">
      <c r="A34891" s="27"/>
    </row>
    <row r="34892" spans="1:1">
      <c r="A34892" s="27"/>
    </row>
    <row r="34893" spans="1:1">
      <c r="A34893" s="27"/>
    </row>
    <row r="34894" spans="1:1">
      <c r="A34894" s="27"/>
    </row>
    <row r="34895" spans="1:1">
      <c r="A34895" s="27"/>
    </row>
    <row r="34896" spans="1:1">
      <c r="A34896" s="27"/>
    </row>
    <row r="34897" spans="1:1">
      <c r="A34897" s="27"/>
    </row>
    <row r="34898" spans="1:1">
      <c r="A34898" s="27"/>
    </row>
    <row r="34899" spans="1:1">
      <c r="A34899" s="27"/>
    </row>
    <row r="34900" spans="1:1">
      <c r="A34900" s="27"/>
    </row>
    <row r="34901" spans="1:1">
      <c r="A34901" s="27"/>
    </row>
    <row r="34902" spans="1:1">
      <c r="A34902" s="27"/>
    </row>
    <row r="34903" spans="1:1">
      <c r="A34903" s="27"/>
    </row>
    <row r="34904" spans="1:1">
      <c r="A34904" s="27"/>
    </row>
    <row r="34905" spans="1:1">
      <c r="A34905" s="27"/>
    </row>
    <row r="34906" spans="1:1">
      <c r="A34906" s="27"/>
    </row>
    <row r="34907" spans="1:1">
      <c r="A34907" s="27"/>
    </row>
    <row r="34908" spans="1:1">
      <c r="A34908" s="27"/>
    </row>
    <row r="34909" spans="1:1">
      <c r="A34909" s="27"/>
    </row>
    <row r="34910" spans="1:1">
      <c r="A34910" s="27"/>
    </row>
    <row r="34911" spans="1:1">
      <c r="A34911" s="27"/>
    </row>
    <row r="34912" spans="1:1">
      <c r="A34912" s="27"/>
    </row>
    <row r="34913" spans="1:1">
      <c r="A34913" s="27"/>
    </row>
    <row r="34914" spans="1:1">
      <c r="A34914" s="27"/>
    </row>
    <row r="34915" spans="1:1">
      <c r="A34915" s="27"/>
    </row>
    <row r="34916" spans="1:1">
      <c r="A34916" s="27"/>
    </row>
    <row r="34917" spans="1:1">
      <c r="A34917" s="27"/>
    </row>
    <row r="34918" spans="1:1">
      <c r="A34918" s="27"/>
    </row>
    <row r="34919" spans="1:1">
      <c r="A34919" s="27"/>
    </row>
    <row r="34920" spans="1:1">
      <c r="A34920" s="27"/>
    </row>
    <row r="34921" spans="1:1">
      <c r="A34921" s="27"/>
    </row>
    <row r="34922" spans="1:1">
      <c r="A34922" s="27"/>
    </row>
    <row r="34923" spans="1:1">
      <c r="A34923" s="27"/>
    </row>
    <row r="34924" spans="1:1">
      <c r="A34924" s="27"/>
    </row>
    <row r="34925" spans="1:1">
      <c r="A34925" s="27"/>
    </row>
    <row r="34926" spans="1:1">
      <c r="A34926" s="27"/>
    </row>
    <row r="34927" spans="1:1">
      <c r="A34927" s="27"/>
    </row>
    <row r="34928" spans="1:1">
      <c r="A34928" s="27"/>
    </row>
    <row r="34929" spans="1:1">
      <c r="A34929" s="27"/>
    </row>
    <row r="34930" spans="1:1">
      <c r="A34930" s="27"/>
    </row>
    <row r="34931" spans="1:1">
      <c r="A34931" s="27"/>
    </row>
    <row r="34932" spans="1:1">
      <c r="A34932" s="27"/>
    </row>
    <row r="34933" spans="1:1">
      <c r="A34933" s="27"/>
    </row>
    <row r="34934" spans="1:1">
      <c r="A34934" s="27"/>
    </row>
    <row r="34935" spans="1:1">
      <c r="A34935" s="27"/>
    </row>
    <row r="34936" spans="1:1">
      <c r="A34936" s="27"/>
    </row>
    <row r="34937" spans="1:1">
      <c r="A34937" s="27"/>
    </row>
    <row r="34938" spans="1:1">
      <c r="A34938" s="27"/>
    </row>
    <row r="34939" spans="1:1">
      <c r="A34939" s="27"/>
    </row>
    <row r="34940" spans="1:1">
      <c r="A34940" s="27"/>
    </row>
    <row r="34941" spans="1:1">
      <c r="A34941" s="27"/>
    </row>
    <row r="34942" spans="1:1">
      <c r="A34942" s="27"/>
    </row>
    <row r="34943" spans="1:1">
      <c r="A34943" s="27"/>
    </row>
    <row r="34944" spans="1:1">
      <c r="A34944" s="27"/>
    </row>
    <row r="34945" spans="1:1">
      <c r="A34945" s="27"/>
    </row>
    <row r="34946" spans="1:1">
      <c r="A34946" s="27"/>
    </row>
    <row r="34947" spans="1:1">
      <c r="A34947" s="27"/>
    </row>
    <row r="34948" spans="1:1">
      <c r="A34948" s="27"/>
    </row>
    <row r="34949" spans="1:1">
      <c r="A34949" s="27"/>
    </row>
    <row r="34950" spans="1:1">
      <c r="A34950" s="27"/>
    </row>
    <row r="34951" spans="1:1">
      <c r="A34951" s="27"/>
    </row>
    <row r="34952" spans="1:1">
      <c r="A34952" s="27"/>
    </row>
    <row r="34953" spans="1:1">
      <c r="A34953" s="27"/>
    </row>
    <row r="34954" spans="1:1">
      <c r="A34954" s="27"/>
    </row>
    <row r="34955" spans="1:1">
      <c r="A34955" s="27"/>
    </row>
    <row r="34956" spans="1:1">
      <c r="A34956" s="27"/>
    </row>
    <row r="34957" spans="1:1">
      <c r="A34957" s="27"/>
    </row>
    <row r="34958" spans="1:1">
      <c r="A34958" s="27"/>
    </row>
    <row r="34959" spans="1:1">
      <c r="A34959" s="27"/>
    </row>
    <row r="34960" spans="1:1">
      <c r="A34960" s="27"/>
    </row>
    <row r="34961" spans="1:1">
      <c r="A34961" s="27"/>
    </row>
    <row r="34962" spans="1:1">
      <c r="A34962" s="27"/>
    </row>
    <row r="34963" spans="1:1">
      <c r="A34963" s="27"/>
    </row>
    <row r="34964" spans="1:1">
      <c r="A34964" s="27"/>
    </row>
    <row r="34965" spans="1:1">
      <c r="A34965" s="27"/>
    </row>
    <row r="34966" spans="1:1">
      <c r="A34966" s="27"/>
    </row>
    <row r="34967" spans="1:1">
      <c r="A34967" s="27"/>
    </row>
    <row r="34968" spans="1:1">
      <c r="A34968" s="27"/>
    </row>
    <row r="34969" spans="1:1">
      <c r="A34969" s="27"/>
    </row>
    <row r="34970" spans="1:1">
      <c r="A34970" s="27"/>
    </row>
    <row r="34971" spans="1:1">
      <c r="A34971" s="27"/>
    </row>
    <row r="34972" spans="1:1">
      <c r="A34972" s="27"/>
    </row>
    <row r="34973" spans="1:1">
      <c r="A34973" s="27"/>
    </row>
    <row r="34974" spans="1:1">
      <c r="A34974" s="27"/>
    </row>
    <row r="34975" spans="1:1">
      <c r="A34975" s="27"/>
    </row>
    <row r="34976" spans="1:1">
      <c r="A34976" s="27"/>
    </row>
    <row r="34977" spans="1:1">
      <c r="A34977" s="27"/>
    </row>
    <row r="34978" spans="1:1">
      <c r="A34978" s="27"/>
    </row>
    <row r="34979" spans="1:1">
      <c r="A34979" s="27"/>
    </row>
    <row r="34980" spans="1:1">
      <c r="A34980" s="27"/>
    </row>
    <row r="34981" spans="1:1">
      <c r="A34981" s="27"/>
    </row>
    <row r="34982" spans="1:1">
      <c r="A34982" s="27"/>
    </row>
    <row r="34983" spans="1:1">
      <c r="A34983" s="27"/>
    </row>
    <row r="34984" spans="1:1">
      <c r="A34984" s="27"/>
    </row>
    <row r="34985" spans="1:1">
      <c r="A34985" s="27"/>
    </row>
    <row r="34986" spans="1:1">
      <c r="A34986" s="27"/>
    </row>
    <row r="34987" spans="1:1">
      <c r="A34987" s="27"/>
    </row>
    <row r="34988" spans="1:1">
      <c r="A34988" s="27"/>
    </row>
    <row r="34989" spans="1:1">
      <c r="A34989" s="27"/>
    </row>
    <row r="34990" spans="1:1">
      <c r="A34990" s="27"/>
    </row>
    <row r="34991" spans="1:1">
      <c r="A34991" s="27"/>
    </row>
    <row r="34992" spans="1:1">
      <c r="A34992" s="27"/>
    </row>
    <row r="34993" spans="1:1">
      <c r="A34993" s="27"/>
    </row>
    <row r="34994" spans="1:1">
      <c r="A34994" s="27"/>
    </row>
    <row r="34995" spans="1:1">
      <c r="A34995" s="27"/>
    </row>
    <row r="34996" spans="1:1">
      <c r="A34996" s="27"/>
    </row>
    <row r="34997" spans="1:1">
      <c r="A34997" s="27"/>
    </row>
    <row r="34998" spans="1:1">
      <c r="A34998" s="27"/>
    </row>
    <row r="34999" spans="1:1">
      <c r="A34999" s="27"/>
    </row>
    <row r="35000" spans="1:1">
      <c r="A35000" s="27"/>
    </row>
    <row r="35001" spans="1:1">
      <c r="A35001" s="27"/>
    </row>
    <row r="35002" spans="1:1">
      <c r="A35002" s="27"/>
    </row>
    <row r="35003" spans="1:1">
      <c r="A35003" s="27"/>
    </row>
    <row r="35004" spans="1:1">
      <c r="A35004" s="27"/>
    </row>
    <row r="35005" spans="1:1">
      <c r="A35005" s="27"/>
    </row>
    <row r="35006" spans="1:1">
      <c r="A35006" s="27"/>
    </row>
    <row r="35007" spans="1:1">
      <c r="A35007" s="27"/>
    </row>
    <row r="35008" spans="1:1">
      <c r="A35008" s="27"/>
    </row>
    <row r="35009" spans="1:1">
      <c r="A35009" s="27"/>
    </row>
    <row r="35010" spans="1:1">
      <c r="A35010" s="27"/>
    </row>
    <row r="35011" spans="1:1">
      <c r="A35011" s="27"/>
    </row>
    <row r="35012" spans="1:1">
      <c r="A35012" s="27"/>
    </row>
    <row r="35013" spans="1:1">
      <c r="A35013" s="27"/>
    </row>
    <row r="35014" spans="1:1">
      <c r="A35014" s="27"/>
    </row>
    <row r="35015" spans="1:1">
      <c r="A35015" s="27"/>
    </row>
    <row r="35016" spans="1:1">
      <c r="A35016" s="27"/>
    </row>
    <row r="35017" spans="1:1">
      <c r="A35017" s="27"/>
    </row>
    <row r="35018" spans="1:1">
      <c r="A35018" s="27"/>
    </row>
    <row r="35019" spans="1:1">
      <c r="A35019" s="27"/>
    </row>
    <row r="35020" spans="1:1">
      <c r="A35020" s="27"/>
    </row>
    <row r="35021" spans="1:1">
      <c r="A35021" s="27"/>
    </row>
    <row r="35022" spans="1:1">
      <c r="A35022" s="27"/>
    </row>
    <row r="35023" spans="1:1">
      <c r="A35023" s="27"/>
    </row>
    <row r="35024" spans="1:1">
      <c r="A35024" s="27"/>
    </row>
    <row r="35025" spans="1:1">
      <c r="A35025" s="27"/>
    </row>
    <row r="35026" spans="1:1">
      <c r="A35026" s="27"/>
    </row>
    <row r="35027" spans="1:1">
      <c r="A35027" s="27"/>
    </row>
    <row r="35028" spans="1:1">
      <c r="A35028" s="27"/>
    </row>
    <row r="35029" spans="1:1">
      <c r="A35029" s="27"/>
    </row>
    <row r="35030" spans="1:1">
      <c r="A35030" s="27"/>
    </row>
    <row r="35031" spans="1:1">
      <c r="A35031" s="27"/>
    </row>
    <row r="35032" spans="1:1">
      <c r="A35032" s="27"/>
    </row>
    <row r="35033" spans="1:1">
      <c r="A35033" s="27"/>
    </row>
    <row r="35034" spans="1:1">
      <c r="A35034" s="27"/>
    </row>
    <row r="35035" spans="1:1">
      <c r="A35035" s="27"/>
    </row>
    <row r="35036" spans="1:1">
      <c r="A35036" s="27"/>
    </row>
    <row r="35037" spans="1:1">
      <c r="A35037" s="27"/>
    </row>
    <row r="35038" spans="1:1">
      <c r="A35038" s="27"/>
    </row>
    <row r="35039" spans="1:1">
      <c r="A35039" s="27"/>
    </row>
    <row r="35040" spans="1:1">
      <c r="A35040" s="27"/>
    </row>
    <row r="35041" spans="1:1">
      <c r="A35041" s="27"/>
    </row>
    <row r="35042" spans="1:1">
      <c r="A35042" s="27"/>
    </row>
    <row r="35043" spans="1:1">
      <c r="A35043" s="27"/>
    </row>
    <row r="35044" spans="1:1">
      <c r="A35044" s="27"/>
    </row>
    <row r="35045" spans="1:1">
      <c r="A35045" s="27"/>
    </row>
    <row r="35046" spans="1:1">
      <c r="A35046" s="27"/>
    </row>
    <row r="35047" spans="1:1">
      <c r="A35047" s="27"/>
    </row>
    <row r="35048" spans="1:1">
      <c r="A35048" s="27"/>
    </row>
    <row r="35049" spans="1:1">
      <c r="A35049" s="27"/>
    </row>
    <row r="35050" spans="1:1">
      <c r="A35050" s="27"/>
    </row>
    <row r="35051" spans="1:1">
      <c r="A35051" s="27"/>
    </row>
    <row r="35052" spans="1:1">
      <c r="A35052" s="27"/>
    </row>
    <row r="35053" spans="1:1">
      <c r="A35053" s="27"/>
    </row>
    <row r="35054" spans="1:1">
      <c r="A35054" s="27"/>
    </row>
    <row r="35055" spans="1:1">
      <c r="A35055" s="27"/>
    </row>
    <row r="35056" spans="1:1">
      <c r="A35056" s="27"/>
    </row>
    <row r="35057" spans="1:1">
      <c r="A35057" s="27"/>
    </row>
    <row r="35058" spans="1:1">
      <c r="A35058" s="27"/>
    </row>
    <row r="35059" spans="1:1">
      <c r="A35059" s="27"/>
    </row>
    <row r="35060" spans="1:1">
      <c r="A35060" s="27"/>
    </row>
    <row r="35061" spans="1:1">
      <c r="A35061" s="27"/>
    </row>
    <row r="35062" spans="1:1">
      <c r="A35062" s="27"/>
    </row>
    <row r="35063" spans="1:1">
      <c r="A35063" s="27"/>
    </row>
    <row r="35064" spans="1:1">
      <c r="A35064" s="27"/>
    </row>
    <row r="35065" spans="1:1">
      <c r="A35065" s="27"/>
    </row>
    <row r="35066" spans="1:1">
      <c r="A35066" s="27"/>
    </row>
    <row r="35067" spans="1:1">
      <c r="A35067" s="27"/>
    </row>
    <row r="35068" spans="1:1">
      <c r="A35068" s="27"/>
    </row>
    <row r="35069" spans="1:1">
      <c r="A35069" s="27"/>
    </row>
    <row r="35070" spans="1:1">
      <c r="A35070" s="27"/>
    </row>
    <row r="35071" spans="1:1">
      <c r="A35071" s="27"/>
    </row>
    <row r="35072" spans="1:1">
      <c r="A35072" s="27"/>
    </row>
    <row r="35073" spans="1:1">
      <c r="A35073" s="27"/>
    </row>
    <row r="35074" spans="1:1">
      <c r="A35074" s="27"/>
    </row>
    <row r="35075" spans="1:1">
      <c r="A35075" s="27"/>
    </row>
    <row r="35076" spans="1:1">
      <c r="A35076" s="27"/>
    </row>
    <row r="35077" spans="1:1">
      <c r="A35077" s="27"/>
    </row>
    <row r="35078" spans="1:1">
      <c r="A35078" s="27"/>
    </row>
    <row r="35079" spans="1:1">
      <c r="A35079" s="27"/>
    </row>
    <row r="35080" spans="1:1">
      <c r="A35080" s="27"/>
    </row>
    <row r="35081" spans="1:1">
      <c r="A35081" s="27"/>
    </row>
    <row r="35082" spans="1:1">
      <c r="A35082" s="27"/>
    </row>
    <row r="35083" spans="1:1">
      <c r="A35083" s="27"/>
    </row>
    <row r="35084" spans="1:1">
      <c r="A35084" s="27"/>
    </row>
    <row r="35085" spans="1:1">
      <c r="A35085" s="27"/>
    </row>
    <row r="35086" spans="1:1">
      <c r="A35086" s="27"/>
    </row>
    <row r="35087" spans="1:1">
      <c r="A35087" s="27"/>
    </row>
    <row r="35088" spans="1:1">
      <c r="A35088" s="27"/>
    </row>
    <row r="35089" spans="1:1">
      <c r="A35089" s="27"/>
    </row>
    <row r="35090" spans="1:1">
      <c r="A35090" s="27"/>
    </row>
    <row r="35091" spans="1:1">
      <c r="A35091" s="27"/>
    </row>
    <row r="35092" spans="1:1">
      <c r="A35092" s="27"/>
    </row>
    <row r="35093" spans="1:1">
      <c r="A35093" s="27"/>
    </row>
    <row r="35094" spans="1:1">
      <c r="A35094" s="27"/>
    </row>
    <row r="35095" spans="1:1">
      <c r="A35095" s="27"/>
    </row>
    <row r="35096" spans="1:1">
      <c r="A35096" s="27"/>
    </row>
    <row r="35097" spans="1:1">
      <c r="A35097" s="27"/>
    </row>
    <row r="35098" spans="1:1">
      <c r="A35098" s="27"/>
    </row>
    <row r="35099" spans="1:1">
      <c r="A35099" s="27"/>
    </row>
    <row r="35100" spans="1:1">
      <c r="A35100" s="27"/>
    </row>
    <row r="35101" spans="1:1">
      <c r="A35101" s="27"/>
    </row>
    <row r="35102" spans="1:1">
      <c r="A35102" s="27"/>
    </row>
    <row r="35103" spans="1:1">
      <c r="A35103" s="27"/>
    </row>
    <row r="35104" spans="1:1">
      <c r="A35104" s="27"/>
    </row>
    <row r="35105" spans="1:1">
      <c r="A35105" s="27"/>
    </row>
    <row r="35106" spans="1:1">
      <c r="A35106" s="27"/>
    </row>
    <row r="35107" spans="1:1">
      <c r="A35107" s="27"/>
    </row>
    <row r="35108" spans="1:1">
      <c r="A35108" s="27"/>
    </row>
    <row r="35109" spans="1:1">
      <c r="A35109" s="27"/>
    </row>
    <row r="35110" spans="1:1">
      <c r="A35110" s="27"/>
    </row>
    <row r="35111" spans="1:1">
      <c r="A35111" s="27"/>
    </row>
    <row r="35112" spans="1:1">
      <c r="A35112" s="27"/>
    </row>
    <row r="35113" spans="1:1">
      <c r="A35113" s="27"/>
    </row>
    <row r="35114" spans="1:1">
      <c r="A35114" s="27"/>
    </row>
    <row r="35115" spans="1:1">
      <c r="A35115" s="27"/>
    </row>
    <row r="35116" spans="1:1">
      <c r="A35116" s="27"/>
    </row>
    <row r="35117" spans="1:1">
      <c r="A35117" s="27"/>
    </row>
    <row r="35118" spans="1:1">
      <c r="A35118" s="27"/>
    </row>
    <row r="35119" spans="1:1">
      <c r="A35119" s="27"/>
    </row>
    <row r="35120" spans="1:1">
      <c r="A35120" s="27"/>
    </row>
    <row r="35121" spans="1:1">
      <c r="A35121" s="27"/>
    </row>
    <row r="35122" spans="1:1">
      <c r="A35122" s="27"/>
    </row>
    <row r="35123" spans="1:1">
      <c r="A35123" s="27"/>
    </row>
    <row r="35124" spans="1:1">
      <c r="A35124" s="27"/>
    </row>
    <row r="35125" spans="1:1">
      <c r="A35125" s="27"/>
    </row>
    <row r="35126" spans="1:1">
      <c r="A35126" s="27"/>
    </row>
    <row r="35127" spans="1:1">
      <c r="A35127" s="27"/>
    </row>
    <row r="35128" spans="1:1">
      <c r="A35128" s="27"/>
    </row>
    <row r="35129" spans="1:1">
      <c r="A35129" s="27"/>
    </row>
    <row r="35130" spans="1:1">
      <c r="A35130" s="27"/>
    </row>
    <row r="35131" spans="1:1">
      <c r="A35131" s="27"/>
    </row>
    <row r="35132" spans="1:1">
      <c r="A35132" s="27"/>
    </row>
    <row r="35133" spans="1:1">
      <c r="A35133" s="27"/>
    </row>
    <row r="35134" spans="1:1">
      <c r="A35134" s="27"/>
    </row>
    <row r="35135" spans="1:1">
      <c r="A35135" s="27"/>
    </row>
    <row r="35136" spans="1:1">
      <c r="A35136" s="27"/>
    </row>
    <row r="35137" spans="1:1">
      <c r="A35137" s="27"/>
    </row>
    <row r="35138" spans="1:1">
      <c r="A35138" s="27"/>
    </row>
    <row r="35139" spans="1:1">
      <c r="A35139" s="27"/>
    </row>
    <row r="35140" spans="1:1">
      <c r="A35140" s="27"/>
    </row>
    <row r="35141" spans="1:1">
      <c r="A35141" s="27"/>
    </row>
    <row r="35142" spans="1:1">
      <c r="A35142" s="27"/>
    </row>
    <row r="35143" spans="1:1">
      <c r="A35143" s="27"/>
    </row>
    <row r="35144" spans="1:1">
      <c r="A35144" s="27"/>
    </row>
    <row r="35145" spans="1:1">
      <c r="A35145" s="27"/>
    </row>
    <row r="35146" spans="1:1">
      <c r="A35146" s="27"/>
    </row>
    <row r="35147" spans="1:1">
      <c r="A35147" s="27"/>
    </row>
    <row r="35148" spans="1:1">
      <c r="A35148" s="27"/>
    </row>
    <row r="35149" spans="1:1">
      <c r="A35149" s="27"/>
    </row>
    <row r="35150" spans="1:1">
      <c r="A35150" s="27"/>
    </row>
    <row r="35151" spans="1:1">
      <c r="A35151" s="27"/>
    </row>
    <row r="35152" spans="1:1">
      <c r="A35152" s="27"/>
    </row>
    <row r="35153" spans="1:1">
      <c r="A35153" s="27"/>
    </row>
    <row r="35154" spans="1:1">
      <c r="A35154" s="27"/>
    </row>
    <row r="35155" spans="1:1">
      <c r="A35155" s="27"/>
    </row>
    <row r="35156" spans="1:1">
      <c r="A35156" s="27"/>
    </row>
    <row r="35157" spans="1:1">
      <c r="A35157" s="27"/>
    </row>
    <row r="35158" spans="1:1">
      <c r="A35158" s="27"/>
    </row>
    <row r="35159" spans="1:1">
      <c r="A35159" s="27"/>
    </row>
    <row r="35160" spans="1:1">
      <c r="A35160" s="27"/>
    </row>
    <row r="35161" spans="1:1">
      <c r="A35161" s="27"/>
    </row>
    <row r="35162" spans="1:1">
      <c r="A35162" s="27"/>
    </row>
    <row r="35163" spans="1:1">
      <c r="A35163" s="27"/>
    </row>
    <row r="35164" spans="1:1">
      <c r="A35164" s="27"/>
    </row>
    <row r="35165" spans="1:1">
      <c r="A35165" s="27"/>
    </row>
    <row r="35166" spans="1:1">
      <c r="A35166" s="27"/>
    </row>
    <row r="35167" spans="1:1">
      <c r="A35167" s="27"/>
    </row>
    <row r="35168" spans="1:1">
      <c r="A35168" s="27"/>
    </row>
    <row r="35169" spans="1:1">
      <c r="A35169" s="27"/>
    </row>
    <row r="35170" spans="1:1">
      <c r="A35170" s="27"/>
    </row>
    <row r="35171" spans="1:1">
      <c r="A35171" s="27"/>
    </row>
    <row r="35172" spans="1:1">
      <c r="A35172" s="27"/>
    </row>
    <row r="35173" spans="1:1">
      <c r="A35173" s="27"/>
    </row>
    <row r="35174" spans="1:1">
      <c r="A35174" s="27"/>
    </row>
    <row r="35175" spans="1:1">
      <c r="A35175" s="27"/>
    </row>
    <row r="35176" spans="1:1">
      <c r="A35176" s="27"/>
    </row>
    <row r="35177" spans="1:1">
      <c r="A35177" s="27"/>
    </row>
    <row r="35178" spans="1:1">
      <c r="A35178" s="27"/>
    </row>
    <row r="35179" spans="1:1">
      <c r="A35179" s="27"/>
    </row>
    <row r="35180" spans="1:1">
      <c r="A35180" s="27"/>
    </row>
    <row r="35181" spans="1:1">
      <c r="A35181" s="27"/>
    </row>
    <row r="35182" spans="1:1">
      <c r="A35182" s="27"/>
    </row>
    <row r="35183" spans="1:1">
      <c r="A35183" s="27"/>
    </row>
    <row r="35184" spans="1:1">
      <c r="A35184" s="27"/>
    </row>
    <row r="35185" spans="1:1">
      <c r="A35185" s="27"/>
    </row>
    <row r="35186" spans="1:1">
      <c r="A35186" s="27"/>
    </row>
    <row r="35187" spans="1:1">
      <c r="A35187" s="27"/>
    </row>
    <row r="35188" spans="1:1">
      <c r="A35188" s="27"/>
    </row>
    <row r="35189" spans="1:1">
      <c r="A35189" s="27"/>
    </row>
    <row r="35190" spans="1:1">
      <c r="A35190" s="27"/>
    </row>
    <row r="35191" spans="1:1">
      <c r="A35191" s="27"/>
    </row>
    <row r="35192" spans="1:1">
      <c r="A35192" s="27"/>
    </row>
    <row r="35193" spans="1:1">
      <c r="A35193" s="27"/>
    </row>
    <row r="35194" spans="1:1">
      <c r="A35194" s="27"/>
    </row>
    <row r="35195" spans="1:1">
      <c r="A35195" s="27"/>
    </row>
    <row r="35196" spans="1:1">
      <c r="A35196" s="27"/>
    </row>
    <row r="35197" spans="1:1">
      <c r="A35197" s="27"/>
    </row>
    <row r="35198" spans="1:1">
      <c r="A35198" s="27"/>
    </row>
    <row r="35199" spans="1:1">
      <c r="A35199" s="27"/>
    </row>
    <row r="35200" spans="1:1">
      <c r="A35200" s="27"/>
    </row>
    <row r="35201" spans="1:1">
      <c r="A35201" s="27"/>
    </row>
    <row r="35202" spans="1:1">
      <c r="A35202" s="27"/>
    </row>
    <row r="35203" spans="1:1">
      <c r="A35203" s="27"/>
    </row>
    <row r="35204" spans="1:1">
      <c r="A35204" s="27"/>
    </row>
    <row r="35205" spans="1:1">
      <c r="A35205" s="27"/>
    </row>
    <row r="35206" spans="1:1">
      <c r="A35206" s="27"/>
    </row>
    <row r="35207" spans="1:1">
      <c r="A35207" s="27"/>
    </row>
    <row r="35208" spans="1:1">
      <c r="A35208" s="27"/>
    </row>
    <row r="35209" spans="1:1">
      <c r="A35209" s="27"/>
    </row>
    <row r="35210" spans="1:1">
      <c r="A35210" s="27"/>
    </row>
    <row r="35211" spans="1:1">
      <c r="A35211" s="27"/>
    </row>
    <row r="35212" spans="1:1">
      <c r="A35212" s="27"/>
    </row>
    <row r="35213" spans="1:1">
      <c r="A35213" s="27"/>
    </row>
    <row r="35214" spans="1:1">
      <c r="A35214" s="27"/>
    </row>
    <row r="35215" spans="1:1">
      <c r="A35215" s="27"/>
    </row>
    <row r="35216" spans="1:1">
      <c r="A35216" s="27"/>
    </row>
    <row r="35217" spans="1:1">
      <c r="A35217" s="27"/>
    </row>
    <row r="35218" spans="1:1">
      <c r="A35218" s="27"/>
    </row>
    <row r="35219" spans="1:1">
      <c r="A35219" s="27"/>
    </row>
    <row r="35220" spans="1:1">
      <c r="A35220" s="27"/>
    </row>
    <row r="35221" spans="1:1">
      <c r="A35221" s="27"/>
    </row>
    <row r="35222" spans="1:1">
      <c r="A35222" s="27"/>
    </row>
    <row r="35223" spans="1:1">
      <c r="A35223" s="27"/>
    </row>
    <row r="35224" spans="1:1">
      <c r="A35224" s="27"/>
    </row>
    <row r="35225" spans="1:1">
      <c r="A35225" s="27"/>
    </row>
    <row r="35226" spans="1:1">
      <c r="A35226" s="27"/>
    </row>
    <row r="35227" spans="1:1">
      <c r="A35227" s="27"/>
    </row>
    <row r="35228" spans="1:1">
      <c r="A35228" s="27"/>
    </row>
    <row r="35229" spans="1:1">
      <c r="A35229" s="27"/>
    </row>
    <row r="35230" spans="1:1">
      <c r="A35230" s="27"/>
    </row>
    <row r="35231" spans="1:1">
      <c r="A35231" s="27"/>
    </row>
    <row r="35232" spans="1:1">
      <c r="A35232" s="27"/>
    </row>
    <row r="35233" spans="1:1">
      <c r="A35233" s="27"/>
    </row>
    <row r="35234" spans="1:1">
      <c r="A35234" s="27"/>
    </row>
    <row r="35235" spans="1:1">
      <c r="A35235" s="27"/>
    </row>
    <row r="35236" spans="1:1">
      <c r="A35236" s="27"/>
    </row>
    <row r="35237" spans="1:1">
      <c r="A35237" s="27"/>
    </row>
    <row r="35238" spans="1:1">
      <c r="A35238" s="27"/>
    </row>
    <row r="35239" spans="1:1">
      <c r="A35239" s="27"/>
    </row>
    <row r="35240" spans="1:1">
      <c r="A35240" s="27"/>
    </row>
    <row r="35241" spans="1:1">
      <c r="A35241" s="27"/>
    </row>
    <row r="35242" spans="1:1">
      <c r="A35242" s="27"/>
    </row>
    <row r="35243" spans="1:1">
      <c r="A35243" s="27"/>
    </row>
    <row r="35244" spans="1:1">
      <c r="A35244" s="27"/>
    </row>
    <row r="35245" spans="1:1">
      <c r="A35245" s="27"/>
    </row>
    <row r="35246" spans="1:1">
      <c r="A35246" s="27"/>
    </row>
    <row r="35247" spans="1:1">
      <c r="A35247" s="27"/>
    </row>
    <row r="35248" spans="1:1">
      <c r="A35248" s="27"/>
    </row>
    <row r="35249" spans="1:1">
      <c r="A35249" s="27"/>
    </row>
    <row r="35250" spans="1:1">
      <c r="A35250" s="27"/>
    </row>
    <row r="35251" spans="1:1">
      <c r="A35251" s="27"/>
    </row>
    <row r="35252" spans="1:1">
      <c r="A35252" s="27"/>
    </row>
    <row r="35253" spans="1:1">
      <c r="A35253" s="27"/>
    </row>
    <row r="35254" spans="1:1">
      <c r="A35254" s="27"/>
    </row>
    <row r="35255" spans="1:1">
      <c r="A35255" s="27"/>
    </row>
    <row r="35256" spans="1:1">
      <c r="A35256" s="27"/>
    </row>
    <row r="35257" spans="1:1">
      <c r="A35257" s="27"/>
    </row>
    <row r="35258" spans="1:1">
      <c r="A35258" s="27"/>
    </row>
    <row r="35259" spans="1:1">
      <c r="A35259" s="27"/>
    </row>
    <row r="35260" spans="1:1">
      <c r="A35260" s="27"/>
    </row>
    <row r="35261" spans="1:1">
      <c r="A35261" s="27"/>
    </row>
    <row r="35262" spans="1:1">
      <c r="A35262" s="27"/>
    </row>
    <row r="35263" spans="1:1">
      <c r="A35263" s="27"/>
    </row>
    <row r="35264" spans="1:1">
      <c r="A35264" s="27"/>
    </row>
    <row r="35265" spans="1:1">
      <c r="A35265" s="27"/>
    </row>
    <row r="35266" spans="1:1">
      <c r="A35266" s="27"/>
    </row>
    <row r="35267" spans="1:1">
      <c r="A35267" s="27"/>
    </row>
    <row r="35268" spans="1:1">
      <c r="A35268" s="27"/>
    </row>
    <row r="35269" spans="1:1">
      <c r="A35269" s="27"/>
    </row>
    <row r="35270" spans="1:1">
      <c r="A35270" s="27"/>
    </row>
    <row r="35271" spans="1:1">
      <c r="A35271" s="27"/>
    </row>
    <row r="35272" spans="1:1">
      <c r="A35272" s="27"/>
    </row>
    <row r="35273" spans="1:1">
      <c r="A35273" s="27"/>
    </row>
    <row r="35274" spans="1:1">
      <c r="A35274" s="27"/>
    </row>
    <row r="35275" spans="1:1">
      <c r="A35275" s="27"/>
    </row>
    <row r="35276" spans="1:1">
      <c r="A35276" s="27"/>
    </row>
    <row r="35277" spans="1:1">
      <c r="A35277" s="27"/>
    </row>
    <row r="35278" spans="1:1">
      <c r="A35278" s="27"/>
    </row>
    <row r="35279" spans="1:1">
      <c r="A35279" s="27"/>
    </row>
    <row r="35280" spans="1:1">
      <c r="A35280" s="27"/>
    </row>
    <row r="35281" spans="1:1">
      <c r="A35281" s="27"/>
    </row>
    <row r="35282" spans="1:1">
      <c r="A35282" s="27"/>
    </row>
    <row r="35283" spans="1:1">
      <c r="A35283" s="27"/>
    </row>
    <row r="35284" spans="1:1">
      <c r="A35284" s="27"/>
    </row>
    <row r="35285" spans="1:1">
      <c r="A35285" s="27"/>
    </row>
    <row r="35286" spans="1:1">
      <c r="A35286" s="27"/>
    </row>
    <row r="35287" spans="1:1">
      <c r="A35287" s="27"/>
    </row>
    <row r="35288" spans="1:1">
      <c r="A35288" s="27"/>
    </row>
    <row r="35289" spans="1:1">
      <c r="A35289" s="27"/>
    </row>
    <row r="35290" spans="1:1">
      <c r="A35290" s="27"/>
    </row>
    <row r="35291" spans="1:1">
      <c r="A35291" s="27"/>
    </row>
    <row r="35292" spans="1:1">
      <c r="A35292" s="27"/>
    </row>
    <row r="35293" spans="1:1">
      <c r="A35293" s="27"/>
    </row>
    <row r="35294" spans="1:1">
      <c r="A35294" s="27"/>
    </row>
    <row r="35295" spans="1:1">
      <c r="A35295" s="27"/>
    </row>
    <row r="35296" spans="1:1">
      <c r="A35296" s="27"/>
    </row>
    <row r="35297" spans="1:1">
      <c r="A35297" s="27"/>
    </row>
    <row r="35298" spans="1:1">
      <c r="A35298" s="27"/>
    </row>
    <row r="35299" spans="1:1">
      <c r="A35299" s="27"/>
    </row>
    <row r="35300" spans="1:1">
      <c r="A35300" s="27"/>
    </row>
    <row r="35301" spans="1:1">
      <c r="A35301" s="27"/>
    </row>
    <row r="35302" spans="1:1">
      <c r="A35302" s="27"/>
    </row>
    <row r="35303" spans="1:1">
      <c r="A35303" s="27"/>
    </row>
    <row r="35304" spans="1:1">
      <c r="A35304" s="27"/>
    </row>
    <row r="35305" spans="1:1">
      <c r="A35305" s="27"/>
    </row>
    <row r="35306" spans="1:1">
      <c r="A35306" s="27"/>
    </row>
    <row r="35307" spans="1:1">
      <c r="A35307" s="27"/>
    </row>
    <row r="35308" spans="1:1">
      <c r="A35308" s="27"/>
    </row>
    <row r="35309" spans="1:1">
      <c r="A35309" s="27"/>
    </row>
    <row r="35310" spans="1:1">
      <c r="A35310" s="27"/>
    </row>
    <row r="35311" spans="1:1">
      <c r="A35311" s="27"/>
    </row>
    <row r="35312" spans="1:1">
      <c r="A35312" s="27"/>
    </row>
    <row r="35313" spans="1:1">
      <c r="A35313" s="27"/>
    </row>
    <row r="35314" spans="1:1">
      <c r="A35314" s="27"/>
    </row>
    <row r="35315" spans="1:1">
      <c r="A35315" s="27"/>
    </row>
    <row r="35316" spans="1:1">
      <c r="A35316" s="27"/>
    </row>
    <row r="35317" spans="1:1">
      <c r="A35317" s="27"/>
    </row>
    <row r="35318" spans="1:1">
      <c r="A35318" s="27"/>
    </row>
    <row r="35319" spans="1:1">
      <c r="A35319" s="27"/>
    </row>
    <row r="35320" spans="1:1">
      <c r="A35320" s="27"/>
    </row>
    <row r="35321" spans="1:1">
      <c r="A35321" s="27"/>
    </row>
    <row r="35322" spans="1:1">
      <c r="A35322" s="27"/>
    </row>
    <row r="35323" spans="1:1">
      <c r="A35323" s="27"/>
    </row>
    <row r="35324" spans="1:1">
      <c r="A35324" s="27"/>
    </row>
    <row r="35325" spans="1:1">
      <c r="A35325" s="27"/>
    </row>
    <row r="35326" spans="1:1">
      <c r="A35326" s="27"/>
    </row>
    <row r="35327" spans="1:1">
      <c r="A35327" s="27"/>
    </row>
    <row r="35328" spans="1:1">
      <c r="A35328" s="27"/>
    </row>
    <row r="35329" spans="1:1">
      <c r="A35329" s="27"/>
    </row>
    <row r="35330" spans="1:1">
      <c r="A35330" s="27"/>
    </row>
    <row r="35331" spans="1:1">
      <c r="A35331" s="27"/>
    </row>
    <row r="35332" spans="1:1">
      <c r="A35332" s="27"/>
    </row>
    <row r="35333" spans="1:1">
      <c r="A35333" s="27"/>
    </row>
    <row r="35334" spans="1:1">
      <c r="A35334" s="27"/>
    </row>
    <row r="35335" spans="1:1">
      <c r="A35335" s="27"/>
    </row>
    <row r="35336" spans="1:1">
      <c r="A35336" s="27"/>
    </row>
    <row r="35337" spans="1:1">
      <c r="A35337" s="27"/>
    </row>
    <row r="35338" spans="1:1">
      <c r="A35338" s="27"/>
    </row>
    <row r="35339" spans="1:1">
      <c r="A35339" s="27"/>
    </row>
    <row r="35340" spans="1:1">
      <c r="A35340" s="27"/>
    </row>
    <row r="35341" spans="1:1">
      <c r="A35341" s="27"/>
    </row>
    <row r="35342" spans="1:1">
      <c r="A35342" s="27"/>
    </row>
    <row r="35343" spans="1:1">
      <c r="A35343" s="27"/>
    </row>
    <row r="35344" spans="1:1">
      <c r="A35344" s="27"/>
    </row>
    <row r="35345" spans="1:1">
      <c r="A35345" s="27"/>
    </row>
    <row r="35346" spans="1:1">
      <c r="A35346" s="27"/>
    </row>
    <row r="35347" spans="1:1">
      <c r="A35347" s="27"/>
    </row>
    <row r="35348" spans="1:1">
      <c r="A35348" s="27"/>
    </row>
    <row r="35349" spans="1:1">
      <c r="A35349" s="27"/>
    </row>
    <row r="35350" spans="1:1">
      <c r="A35350" s="27"/>
    </row>
    <row r="35351" spans="1:1">
      <c r="A35351" s="27"/>
    </row>
    <row r="35352" spans="1:1">
      <c r="A35352" s="27"/>
    </row>
    <row r="35353" spans="1:1">
      <c r="A35353" s="27"/>
    </row>
    <row r="35354" spans="1:1">
      <c r="A35354" s="27"/>
    </row>
    <row r="35355" spans="1:1">
      <c r="A35355" s="27"/>
    </row>
    <row r="35356" spans="1:1">
      <c r="A35356" s="27"/>
    </row>
    <row r="35357" spans="1:1">
      <c r="A35357" s="27"/>
    </row>
    <row r="35358" spans="1:1">
      <c r="A35358" s="27"/>
    </row>
    <row r="35359" spans="1:1">
      <c r="A35359" s="27"/>
    </row>
    <row r="35360" spans="1:1">
      <c r="A35360" s="27"/>
    </row>
    <row r="35361" spans="1:1">
      <c r="A35361" s="27"/>
    </row>
    <row r="35362" spans="1:1">
      <c r="A35362" s="27"/>
    </row>
    <row r="35363" spans="1:1">
      <c r="A35363" s="27"/>
    </row>
    <row r="35364" spans="1:1">
      <c r="A35364" s="27"/>
    </row>
    <row r="35365" spans="1:1">
      <c r="A35365" s="27"/>
    </row>
    <row r="35366" spans="1:1">
      <c r="A35366" s="27"/>
    </row>
    <row r="35367" spans="1:1">
      <c r="A35367" s="27"/>
    </row>
    <row r="35368" spans="1:1">
      <c r="A35368" s="27"/>
    </row>
    <row r="35369" spans="1:1">
      <c r="A35369" s="27"/>
    </row>
    <row r="35370" spans="1:1">
      <c r="A35370" s="27"/>
    </row>
    <row r="35371" spans="1:1">
      <c r="A35371" s="27"/>
    </row>
    <row r="35372" spans="1:1">
      <c r="A35372" s="27"/>
    </row>
    <row r="35373" spans="1:1">
      <c r="A35373" s="27"/>
    </row>
    <row r="35374" spans="1:1">
      <c r="A35374" s="27"/>
    </row>
    <row r="35375" spans="1:1">
      <c r="A35375" s="27"/>
    </row>
    <row r="35376" spans="1:1">
      <c r="A35376" s="27"/>
    </row>
    <row r="35377" spans="1:1">
      <c r="A35377" s="27"/>
    </row>
    <row r="35378" spans="1:1">
      <c r="A35378" s="27"/>
    </row>
    <row r="35379" spans="1:1">
      <c r="A35379" s="27"/>
    </row>
    <row r="35380" spans="1:1">
      <c r="A35380" s="27"/>
    </row>
    <row r="35381" spans="1:1">
      <c r="A35381" s="27"/>
    </row>
    <row r="35382" spans="1:1">
      <c r="A35382" s="27"/>
    </row>
    <row r="35383" spans="1:1">
      <c r="A35383" s="27"/>
    </row>
    <row r="35384" spans="1:1">
      <c r="A35384" s="27"/>
    </row>
    <row r="35385" spans="1:1">
      <c r="A35385" s="27"/>
    </row>
    <row r="35386" spans="1:1">
      <c r="A35386" s="27"/>
    </row>
    <row r="35387" spans="1:1">
      <c r="A35387" s="27"/>
    </row>
    <row r="35388" spans="1:1">
      <c r="A35388" s="27"/>
    </row>
    <row r="35389" spans="1:1">
      <c r="A35389" s="27"/>
    </row>
    <row r="35390" spans="1:1">
      <c r="A35390" s="27"/>
    </row>
    <row r="35391" spans="1:1">
      <c r="A35391" s="27"/>
    </row>
    <row r="35392" spans="1:1">
      <c r="A35392" s="27"/>
    </row>
    <row r="35393" spans="1:1">
      <c r="A35393" s="27"/>
    </row>
    <row r="35394" spans="1:1">
      <c r="A35394" s="27"/>
    </row>
    <row r="35395" spans="1:1">
      <c r="A35395" s="27"/>
    </row>
    <row r="35396" spans="1:1">
      <c r="A35396" s="27"/>
    </row>
    <row r="35397" spans="1:1">
      <c r="A35397" s="27"/>
    </row>
    <row r="35398" spans="1:1">
      <c r="A35398" s="27"/>
    </row>
    <row r="35399" spans="1:1">
      <c r="A35399" s="27"/>
    </row>
    <row r="35400" spans="1:1">
      <c r="A35400" s="27"/>
    </row>
    <row r="35401" spans="1:1">
      <c r="A35401" s="27"/>
    </row>
    <row r="35402" spans="1:1">
      <c r="A35402" s="27"/>
    </row>
    <row r="35403" spans="1:1">
      <c r="A35403" s="27"/>
    </row>
    <row r="35404" spans="1:1">
      <c r="A35404" s="27"/>
    </row>
    <row r="35405" spans="1:1">
      <c r="A35405" s="27"/>
    </row>
    <row r="35406" spans="1:1">
      <c r="A35406" s="27"/>
    </row>
    <row r="35407" spans="1:1">
      <c r="A35407" s="27"/>
    </row>
    <row r="35408" spans="1:1">
      <c r="A35408" s="27"/>
    </row>
    <row r="35409" spans="1:1">
      <c r="A35409" s="27"/>
    </row>
    <row r="35410" spans="1:1">
      <c r="A35410" s="27"/>
    </row>
    <row r="35411" spans="1:1">
      <c r="A35411" s="27"/>
    </row>
    <row r="35412" spans="1:1">
      <c r="A35412" s="27"/>
    </row>
    <row r="35413" spans="1:1">
      <c r="A35413" s="27"/>
    </row>
    <row r="35414" spans="1:1">
      <c r="A35414" s="27"/>
    </row>
    <row r="35415" spans="1:1">
      <c r="A35415" s="27"/>
    </row>
    <row r="35416" spans="1:1">
      <c r="A35416" s="27"/>
    </row>
    <row r="35417" spans="1:1">
      <c r="A35417" s="27"/>
    </row>
    <row r="35418" spans="1:1">
      <c r="A35418" s="27"/>
    </row>
    <row r="35419" spans="1:1">
      <c r="A35419" s="27"/>
    </row>
    <row r="35420" spans="1:1">
      <c r="A35420" s="27"/>
    </row>
    <row r="35421" spans="1:1">
      <c r="A35421" s="27"/>
    </row>
    <row r="35422" spans="1:1">
      <c r="A35422" s="27"/>
    </row>
    <row r="35423" spans="1:1">
      <c r="A35423" s="27"/>
    </row>
    <row r="35424" spans="1:1">
      <c r="A35424" s="27"/>
    </row>
    <row r="35425" spans="1:1">
      <c r="A35425" s="27"/>
    </row>
    <row r="35426" spans="1:1">
      <c r="A35426" s="27"/>
    </row>
    <row r="35427" spans="1:1">
      <c r="A35427" s="27"/>
    </row>
    <row r="35428" spans="1:1">
      <c r="A35428" s="27"/>
    </row>
    <row r="35429" spans="1:1">
      <c r="A35429" s="27"/>
    </row>
    <row r="35430" spans="1:1">
      <c r="A35430" s="27"/>
    </row>
    <row r="35431" spans="1:1">
      <c r="A35431" s="27"/>
    </row>
    <row r="35432" spans="1:1">
      <c r="A35432" s="27"/>
    </row>
    <row r="35433" spans="1:1">
      <c r="A35433" s="27"/>
    </row>
    <row r="35434" spans="1:1">
      <c r="A35434" s="27"/>
    </row>
    <row r="35435" spans="1:1">
      <c r="A35435" s="27"/>
    </row>
    <row r="35436" spans="1:1">
      <c r="A35436" s="27"/>
    </row>
    <row r="35437" spans="1:1">
      <c r="A35437" s="27"/>
    </row>
    <row r="35438" spans="1:1">
      <c r="A35438" s="27"/>
    </row>
    <row r="35439" spans="1:1">
      <c r="A35439" s="27"/>
    </row>
    <row r="35440" spans="1:1">
      <c r="A35440" s="27"/>
    </row>
    <row r="35441" spans="1:1">
      <c r="A35441" s="27"/>
    </row>
    <row r="35442" spans="1:1">
      <c r="A35442" s="27"/>
    </row>
    <row r="35443" spans="1:1">
      <c r="A35443" s="27"/>
    </row>
    <row r="35444" spans="1:1">
      <c r="A35444" s="27"/>
    </row>
    <row r="35445" spans="1:1">
      <c r="A35445" s="27"/>
    </row>
    <row r="35446" spans="1:1">
      <c r="A35446" s="27"/>
    </row>
    <row r="35447" spans="1:1">
      <c r="A35447" s="27"/>
    </row>
    <row r="35448" spans="1:1">
      <c r="A35448" s="27"/>
    </row>
    <row r="35449" spans="1:1">
      <c r="A35449" s="27"/>
    </row>
    <row r="35450" spans="1:1">
      <c r="A35450" s="27"/>
    </row>
    <row r="35451" spans="1:1">
      <c r="A35451" s="27"/>
    </row>
    <row r="35452" spans="1:1">
      <c r="A35452" s="27"/>
    </row>
    <row r="35453" spans="1:1">
      <c r="A35453" s="27"/>
    </row>
    <row r="35454" spans="1:1">
      <c r="A35454" s="27"/>
    </row>
    <row r="35455" spans="1:1">
      <c r="A35455" s="27"/>
    </row>
    <row r="35456" spans="1:1">
      <c r="A35456" s="27"/>
    </row>
    <row r="35457" spans="1:1">
      <c r="A35457" s="27"/>
    </row>
    <row r="35458" spans="1:1">
      <c r="A35458" s="27"/>
    </row>
    <row r="35459" spans="1:1">
      <c r="A35459" s="27"/>
    </row>
    <row r="35460" spans="1:1">
      <c r="A35460" s="27"/>
    </row>
    <row r="35461" spans="1:1">
      <c r="A35461" s="27"/>
    </row>
    <row r="35462" spans="1:1">
      <c r="A35462" s="27"/>
    </row>
    <row r="35463" spans="1:1">
      <c r="A35463" s="27"/>
    </row>
    <row r="35464" spans="1:1">
      <c r="A35464" s="27"/>
    </row>
    <row r="35465" spans="1:1">
      <c r="A35465" s="27"/>
    </row>
    <row r="35466" spans="1:1">
      <c r="A35466" s="27"/>
    </row>
    <row r="35467" spans="1:1">
      <c r="A35467" s="27"/>
    </row>
    <row r="35468" spans="1:1">
      <c r="A35468" s="27"/>
    </row>
    <row r="35469" spans="1:1">
      <c r="A35469" s="27"/>
    </row>
    <row r="35470" spans="1:1">
      <c r="A35470" s="27"/>
    </row>
    <row r="35471" spans="1:1">
      <c r="A35471" s="27"/>
    </row>
    <row r="35472" spans="1:1">
      <c r="A35472" s="27"/>
    </row>
    <row r="35473" spans="1:1">
      <c r="A35473" s="27"/>
    </row>
    <row r="35474" spans="1:1">
      <c r="A35474" s="27"/>
    </row>
    <row r="35475" spans="1:1">
      <c r="A35475" s="27"/>
    </row>
    <row r="35476" spans="1:1">
      <c r="A35476" s="27"/>
    </row>
    <row r="35477" spans="1:1">
      <c r="A35477" s="27"/>
    </row>
    <row r="35478" spans="1:1">
      <c r="A35478" s="27"/>
    </row>
    <row r="35479" spans="1:1">
      <c r="A35479" s="27"/>
    </row>
    <row r="35480" spans="1:1">
      <c r="A35480" s="27"/>
    </row>
    <row r="35481" spans="1:1">
      <c r="A35481" s="27"/>
    </row>
    <row r="35482" spans="1:1">
      <c r="A35482" s="27"/>
    </row>
    <row r="35483" spans="1:1">
      <c r="A35483" s="27"/>
    </row>
    <row r="35484" spans="1:1">
      <c r="A35484" s="27"/>
    </row>
    <row r="35485" spans="1:1">
      <c r="A35485" s="27"/>
    </row>
    <row r="35486" spans="1:1">
      <c r="A35486" s="27"/>
    </row>
    <row r="35487" spans="1:1">
      <c r="A35487" s="27"/>
    </row>
    <row r="35488" spans="1:1">
      <c r="A35488" s="27"/>
    </row>
    <row r="35489" spans="1:1">
      <c r="A35489" s="27"/>
    </row>
    <row r="35490" spans="1:1">
      <c r="A35490" s="27"/>
    </row>
    <row r="35491" spans="1:1">
      <c r="A35491" s="27"/>
    </row>
    <row r="35492" spans="1:1">
      <c r="A35492" s="27"/>
    </row>
    <row r="35493" spans="1:1">
      <c r="A35493" s="27"/>
    </row>
    <row r="35494" spans="1:1">
      <c r="A35494" s="27"/>
    </row>
    <row r="35495" spans="1:1">
      <c r="A35495" s="27"/>
    </row>
    <row r="35496" spans="1:1">
      <c r="A35496" s="27"/>
    </row>
    <row r="35497" spans="1:1">
      <c r="A35497" s="27"/>
    </row>
    <row r="35498" spans="1:1">
      <c r="A35498" s="27"/>
    </row>
    <row r="35499" spans="1:1">
      <c r="A35499" s="27"/>
    </row>
    <row r="35500" spans="1:1">
      <c r="A35500" s="27"/>
    </row>
    <row r="35501" spans="1:1">
      <c r="A35501" s="27"/>
    </row>
    <row r="35502" spans="1:1">
      <c r="A35502" s="27"/>
    </row>
    <row r="35503" spans="1:1">
      <c r="A35503" s="27"/>
    </row>
    <row r="35504" spans="1:1">
      <c r="A35504" s="27"/>
    </row>
    <row r="35505" spans="1:1">
      <c r="A35505" s="27"/>
    </row>
    <row r="35506" spans="1:1">
      <c r="A35506" s="27"/>
    </row>
    <row r="35507" spans="1:1">
      <c r="A35507" s="27"/>
    </row>
    <row r="35508" spans="1:1">
      <c r="A35508" s="27"/>
    </row>
    <row r="35509" spans="1:1">
      <c r="A35509" s="27"/>
    </row>
    <row r="35510" spans="1:1">
      <c r="A35510" s="27"/>
    </row>
    <row r="35511" spans="1:1">
      <c r="A35511" s="27"/>
    </row>
    <row r="35512" spans="1:1">
      <c r="A35512" s="27"/>
    </row>
    <row r="35513" spans="1:1">
      <c r="A35513" s="27"/>
    </row>
    <row r="35514" spans="1:1">
      <c r="A35514" s="27"/>
    </row>
    <row r="35515" spans="1:1">
      <c r="A35515" s="27"/>
    </row>
    <row r="35516" spans="1:1">
      <c r="A35516" s="27"/>
    </row>
    <row r="35517" spans="1:1">
      <c r="A35517" s="27"/>
    </row>
    <row r="35518" spans="1:1">
      <c r="A35518" s="27"/>
    </row>
    <row r="35519" spans="1:1">
      <c r="A35519" s="27"/>
    </row>
    <row r="35520" spans="1:1">
      <c r="A35520" s="27"/>
    </row>
    <row r="35521" spans="1:1">
      <c r="A35521" s="27"/>
    </row>
    <row r="35522" spans="1:1">
      <c r="A35522" s="27"/>
    </row>
    <row r="35523" spans="1:1">
      <c r="A35523" s="27"/>
    </row>
    <row r="35524" spans="1:1">
      <c r="A35524" s="27"/>
    </row>
    <row r="35525" spans="1:1">
      <c r="A35525" s="27"/>
    </row>
    <row r="35526" spans="1:1">
      <c r="A35526" s="27"/>
    </row>
    <row r="35527" spans="1:1">
      <c r="A35527" s="27"/>
    </row>
    <row r="35528" spans="1:1">
      <c r="A35528" s="27"/>
    </row>
    <row r="35529" spans="1:1">
      <c r="A35529" s="27"/>
    </row>
    <row r="35530" spans="1:1">
      <c r="A35530" s="27"/>
    </row>
    <row r="35531" spans="1:1">
      <c r="A35531" s="27"/>
    </row>
    <row r="35532" spans="1:1">
      <c r="A35532" s="27"/>
    </row>
    <row r="35533" spans="1:1">
      <c r="A35533" s="27"/>
    </row>
    <row r="35534" spans="1:1">
      <c r="A35534" s="27"/>
    </row>
    <row r="35535" spans="1:1">
      <c r="A35535" s="27"/>
    </row>
    <row r="35536" spans="1:1">
      <c r="A35536" s="27"/>
    </row>
    <row r="35537" spans="1:1">
      <c r="A35537" s="27"/>
    </row>
    <row r="35538" spans="1:1">
      <c r="A35538" s="27"/>
    </row>
    <row r="35539" spans="1:1">
      <c r="A35539" s="27"/>
    </row>
    <row r="35540" spans="1:1">
      <c r="A35540" s="27"/>
    </row>
    <row r="35541" spans="1:1">
      <c r="A35541" s="27"/>
    </row>
    <row r="35542" spans="1:1">
      <c r="A35542" s="27"/>
    </row>
    <row r="35543" spans="1:1">
      <c r="A35543" s="27"/>
    </row>
    <row r="35544" spans="1:1">
      <c r="A35544" s="27"/>
    </row>
    <row r="35545" spans="1:1">
      <c r="A35545" s="27"/>
    </row>
    <row r="35546" spans="1:1">
      <c r="A35546" s="27"/>
    </row>
    <row r="35547" spans="1:1">
      <c r="A35547" s="27"/>
    </row>
    <row r="35548" spans="1:1">
      <c r="A35548" s="27"/>
    </row>
    <row r="35549" spans="1:1">
      <c r="A35549" s="27"/>
    </row>
    <row r="35550" spans="1:1">
      <c r="A35550" s="27"/>
    </row>
    <row r="35551" spans="1:1">
      <c r="A35551" s="27"/>
    </row>
    <row r="35552" spans="1:1">
      <c r="A35552" s="27"/>
    </row>
    <row r="35553" spans="1:1">
      <c r="A35553" s="27"/>
    </row>
    <row r="35554" spans="1:1">
      <c r="A35554" s="27"/>
    </row>
    <row r="35555" spans="1:1">
      <c r="A35555" s="27"/>
    </row>
    <row r="35556" spans="1:1">
      <c r="A35556" s="27"/>
    </row>
    <row r="35557" spans="1:1">
      <c r="A35557" s="27"/>
    </row>
    <row r="35558" spans="1:1">
      <c r="A35558" s="27"/>
    </row>
    <row r="35559" spans="1:1">
      <c r="A35559" s="27"/>
    </row>
    <row r="35560" spans="1:1">
      <c r="A35560" s="27"/>
    </row>
    <row r="35561" spans="1:1">
      <c r="A35561" s="27"/>
    </row>
    <row r="35562" spans="1:1">
      <c r="A35562" s="27"/>
    </row>
    <row r="35563" spans="1:1">
      <c r="A35563" s="27"/>
    </row>
    <row r="35564" spans="1:1">
      <c r="A35564" s="27"/>
    </row>
    <row r="35565" spans="1:1">
      <c r="A35565" s="27"/>
    </row>
    <row r="35566" spans="1:1">
      <c r="A35566" s="27"/>
    </row>
    <row r="35567" spans="1:1">
      <c r="A35567" s="27"/>
    </row>
    <row r="35568" spans="1:1">
      <c r="A35568" s="27"/>
    </row>
    <row r="35569" spans="1:1">
      <c r="A35569" s="27"/>
    </row>
    <row r="35570" spans="1:1">
      <c r="A35570" s="27"/>
    </row>
    <row r="35571" spans="1:1">
      <c r="A35571" s="27"/>
    </row>
    <row r="35572" spans="1:1">
      <c r="A35572" s="27"/>
    </row>
    <row r="35573" spans="1:1">
      <c r="A35573" s="27"/>
    </row>
    <row r="35574" spans="1:1">
      <c r="A35574" s="27"/>
    </row>
    <row r="35575" spans="1:1">
      <c r="A35575" s="27"/>
    </row>
    <row r="35576" spans="1:1">
      <c r="A35576" s="27"/>
    </row>
    <row r="35577" spans="1:1">
      <c r="A35577" s="27"/>
    </row>
    <row r="35578" spans="1:1">
      <c r="A35578" s="27"/>
    </row>
    <row r="35579" spans="1:1">
      <c r="A35579" s="27"/>
    </row>
    <row r="35580" spans="1:1">
      <c r="A35580" s="27"/>
    </row>
    <row r="35581" spans="1:1">
      <c r="A35581" s="27"/>
    </row>
    <row r="35582" spans="1:1">
      <c r="A35582" s="27"/>
    </row>
    <row r="35583" spans="1:1">
      <c r="A35583" s="27"/>
    </row>
    <row r="35584" spans="1:1">
      <c r="A35584" s="27"/>
    </row>
    <row r="35585" spans="1:1">
      <c r="A35585" s="27"/>
    </row>
    <row r="35586" spans="1:1">
      <c r="A35586" s="27"/>
    </row>
    <row r="35587" spans="1:1">
      <c r="A35587" s="27"/>
    </row>
    <row r="35588" spans="1:1">
      <c r="A35588" s="27"/>
    </row>
    <row r="35589" spans="1:1">
      <c r="A35589" s="27"/>
    </row>
    <row r="35590" spans="1:1">
      <c r="A35590" s="27"/>
    </row>
    <row r="35591" spans="1:1">
      <c r="A35591" s="27"/>
    </row>
    <row r="35592" spans="1:1">
      <c r="A35592" s="27"/>
    </row>
    <row r="35593" spans="1:1">
      <c r="A35593" s="27"/>
    </row>
    <row r="35594" spans="1:1">
      <c r="A35594" s="27"/>
    </row>
    <row r="35595" spans="1:1">
      <c r="A35595" s="27"/>
    </row>
    <row r="35596" spans="1:1">
      <c r="A35596" s="27"/>
    </row>
    <row r="35597" spans="1:1">
      <c r="A35597" s="27"/>
    </row>
    <row r="35598" spans="1:1">
      <c r="A35598" s="27"/>
    </row>
    <row r="35599" spans="1:1">
      <c r="A35599" s="27"/>
    </row>
    <row r="35600" spans="1:1">
      <c r="A35600" s="27"/>
    </row>
    <row r="35601" spans="1:1">
      <c r="A35601" s="27"/>
    </row>
    <row r="35602" spans="1:1">
      <c r="A35602" s="27"/>
    </row>
    <row r="35603" spans="1:1">
      <c r="A35603" s="27"/>
    </row>
    <row r="35604" spans="1:1">
      <c r="A35604" s="27"/>
    </row>
    <row r="35605" spans="1:1">
      <c r="A35605" s="27"/>
    </row>
    <row r="35606" spans="1:1">
      <c r="A35606" s="27"/>
    </row>
    <row r="35607" spans="1:1">
      <c r="A35607" s="27"/>
    </row>
    <row r="35608" spans="1:1">
      <c r="A35608" s="27"/>
    </row>
    <row r="35609" spans="1:1">
      <c r="A35609" s="27"/>
    </row>
    <row r="35610" spans="1:1">
      <c r="A35610" s="27"/>
    </row>
    <row r="35611" spans="1:1">
      <c r="A35611" s="27"/>
    </row>
    <row r="35612" spans="1:1">
      <c r="A35612" s="27"/>
    </row>
    <row r="35613" spans="1:1">
      <c r="A35613" s="27"/>
    </row>
    <row r="35614" spans="1:1">
      <c r="A35614" s="27"/>
    </row>
    <row r="35615" spans="1:1">
      <c r="A35615" s="27"/>
    </row>
    <row r="35616" spans="1:1">
      <c r="A35616" s="27"/>
    </row>
    <row r="35617" spans="1:1">
      <c r="A35617" s="27"/>
    </row>
    <row r="35618" spans="1:1">
      <c r="A35618" s="27"/>
    </row>
    <row r="35619" spans="1:1">
      <c r="A35619" s="27"/>
    </row>
    <row r="35620" spans="1:1">
      <c r="A35620" s="27"/>
    </row>
    <row r="35621" spans="1:1">
      <c r="A35621" s="27"/>
    </row>
    <row r="35622" spans="1:1">
      <c r="A35622" s="27"/>
    </row>
    <row r="35623" spans="1:1">
      <c r="A35623" s="27"/>
    </row>
    <row r="35624" spans="1:1">
      <c r="A35624" s="27"/>
    </row>
    <row r="35625" spans="1:1">
      <c r="A35625" s="27"/>
    </row>
    <row r="35626" spans="1:1">
      <c r="A35626" s="27"/>
    </row>
    <row r="35627" spans="1:1">
      <c r="A35627" s="27"/>
    </row>
    <row r="35628" spans="1:1">
      <c r="A35628" s="27"/>
    </row>
    <row r="35629" spans="1:1">
      <c r="A35629" s="27"/>
    </row>
    <row r="35630" spans="1:1">
      <c r="A35630" s="27"/>
    </row>
    <row r="35631" spans="1:1">
      <c r="A35631" s="27"/>
    </row>
    <row r="35632" spans="1:1">
      <c r="A35632" s="27"/>
    </row>
    <row r="35633" spans="1:1">
      <c r="A35633" s="27"/>
    </row>
    <row r="35634" spans="1:1">
      <c r="A35634" s="27"/>
    </row>
    <row r="35635" spans="1:1">
      <c r="A35635" s="27"/>
    </row>
    <row r="35636" spans="1:1">
      <c r="A35636" s="27"/>
    </row>
    <row r="35637" spans="1:1">
      <c r="A35637" s="27"/>
    </row>
    <row r="35638" spans="1:1">
      <c r="A35638" s="27"/>
    </row>
    <row r="35639" spans="1:1">
      <c r="A35639" s="27"/>
    </row>
    <row r="35640" spans="1:1">
      <c r="A35640" s="27"/>
    </row>
    <row r="35641" spans="1:1">
      <c r="A35641" s="27"/>
    </row>
    <row r="35642" spans="1:1">
      <c r="A35642" s="27"/>
    </row>
    <row r="35643" spans="1:1">
      <c r="A35643" s="27"/>
    </row>
    <row r="35644" spans="1:1">
      <c r="A35644" s="27"/>
    </row>
    <row r="35645" spans="1:1">
      <c r="A35645" s="27"/>
    </row>
    <row r="35646" spans="1:1">
      <c r="A35646" s="27"/>
    </row>
    <row r="35647" spans="1:1">
      <c r="A35647" s="27"/>
    </row>
    <row r="35648" spans="1:1">
      <c r="A35648" s="27"/>
    </row>
    <row r="35649" spans="1:1">
      <c r="A35649" s="27"/>
    </row>
    <row r="35650" spans="1:1">
      <c r="A35650" s="27"/>
    </row>
    <row r="35651" spans="1:1">
      <c r="A35651" s="27"/>
    </row>
    <row r="35652" spans="1:1">
      <c r="A35652" s="27"/>
    </row>
    <row r="35653" spans="1:1">
      <c r="A35653" s="27"/>
    </row>
    <row r="35654" spans="1:1">
      <c r="A35654" s="27"/>
    </row>
    <row r="35655" spans="1:1">
      <c r="A35655" s="27"/>
    </row>
    <row r="35656" spans="1:1">
      <c r="A35656" s="27"/>
    </row>
    <row r="35657" spans="1:1">
      <c r="A35657" s="27"/>
    </row>
    <row r="35658" spans="1:1">
      <c r="A35658" s="27"/>
    </row>
    <row r="35659" spans="1:1">
      <c r="A35659" s="27"/>
    </row>
    <row r="35660" spans="1:1">
      <c r="A35660" s="27"/>
    </row>
    <row r="35661" spans="1:1">
      <c r="A35661" s="27"/>
    </row>
    <row r="35662" spans="1:1">
      <c r="A35662" s="27"/>
    </row>
    <row r="35663" spans="1:1">
      <c r="A35663" s="27"/>
    </row>
    <row r="35664" spans="1:1">
      <c r="A35664" s="27"/>
    </row>
    <row r="35665" spans="1:1">
      <c r="A35665" s="27"/>
    </row>
    <row r="35666" spans="1:1">
      <c r="A35666" s="27"/>
    </row>
    <row r="35667" spans="1:1">
      <c r="A35667" s="27"/>
    </row>
    <row r="35668" spans="1:1">
      <c r="A35668" s="27"/>
    </row>
    <row r="35669" spans="1:1">
      <c r="A35669" s="27"/>
    </row>
    <row r="35670" spans="1:1">
      <c r="A35670" s="27"/>
    </row>
    <row r="35671" spans="1:1">
      <c r="A35671" s="27"/>
    </row>
    <row r="35672" spans="1:1">
      <c r="A35672" s="27"/>
    </row>
    <row r="35673" spans="1:1">
      <c r="A35673" s="27"/>
    </row>
    <row r="35674" spans="1:1">
      <c r="A35674" s="27"/>
    </row>
    <row r="35675" spans="1:1">
      <c r="A35675" s="27"/>
    </row>
    <row r="35676" spans="1:1">
      <c r="A35676" s="27"/>
    </row>
    <row r="35677" spans="1:1">
      <c r="A35677" s="27"/>
    </row>
    <row r="35678" spans="1:1">
      <c r="A35678" s="27"/>
    </row>
    <row r="35679" spans="1:1">
      <c r="A35679" s="27"/>
    </row>
    <row r="35680" spans="1:1">
      <c r="A35680" s="27"/>
    </row>
    <row r="35681" spans="1:1">
      <c r="A35681" s="27"/>
    </row>
    <row r="35682" spans="1:1">
      <c r="A35682" s="27"/>
    </row>
    <row r="35683" spans="1:1">
      <c r="A35683" s="27"/>
    </row>
    <row r="35684" spans="1:1">
      <c r="A35684" s="27"/>
    </row>
    <row r="35685" spans="1:1">
      <c r="A35685" s="27"/>
    </row>
    <row r="35686" spans="1:1">
      <c r="A35686" s="27"/>
    </row>
    <row r="35687" spans="1:1">
      <c r="A35687" s="27"/>
    </row>
    <row r="35688" spans="1:1">
      <c r="A35688" s="27"/>
    </row>
    <row r="35689" spans="1:1">
      <c r="A35689" s="27"/>
    </row>
    <row r="35690" spans="1:1">
      <c r="A35690" s="27"/>
    </row>
    <row r="35691" spans="1:1">
      <c r="A35691" s="27"/>
    </row>
    <row r="35692" spans="1:1">
      <c r="A35692" s="27"/>
    </row>
    <row r="35693" spans="1:1">
      <c r="A35693" s="27"/>
    </row>
    <row r="35694" spans="1:1">
      <c r="A35694" s="27"/>
    </row>
    <row r="35695" spans="1:1">
      <c r="A35695" s="27"/>
    </row>
    <row r="35696" spans="1:1">
      <c r="A35696" s="27"/>
    </row>
    <row r="35697" spans="1:1">
      <c r="A35697" s="27"/>
    </row>
    <row r="35698" spans="1:1">
      <c r="A35698" s="27"/>
    </row>
    <row r="35699" spans="1:1">
      <c r="A35699" s="27"/>
    </row>
    <row r="35700" spans="1:1">
      <c r="A35700" s="27"/>
    </row>
    <row r="35701" spans="1:1">
      <c r="A35701" s="27"/>
    </row>
    <row r="35702" spans="1:1">
      <c r="A35702" s="27"/>
    </row>
    <row r="35703" spans="1:1">
      <c r="A35703" s="27"/>
    </row>
    <row r="35704" spans="1:1">
      <c r="A35704" s="27"/>
    </row>
    <row r="35705" spans="1:1">
      <c r="A35705" s="27"/>
    </row>
    <row r="35706" spans="1:1">
      <c r="A35706" s="27"/>
    </row>
    <row r="35707" spans="1:1">
      <c r="A35707" s="27"/>
    </row>
    <row r="35708" spans="1:1">
      <c r="A35708" s="27"/>
    </row>
    <row r="35709" spans="1:1">
      <c r="A35709" s="27"/>
    </row>
    <row r="35710" spans="1:1">
      <c r="A35710" s="27"/>
    </row>
    <row r="35711" spans="1:1">
      <c r="A35711" s="27"/>
    </row>
    <row r="35712" spans="1:1">
      <c r="A35712" s="27"/>
    </row>
    <row r="35713" spans="1:1">
      <c r="A35713" s="27"/>
    </row>
    <row r="35714" spans="1:1">
      <c r="A35714" s="27"/>
    </row>
    <row r="35715" spans="1:1">
      <c r="A35715" s="27"/>
    </row>
    <row r="35716" spans="1:1">
      <c r="A35716" s="27"/>
    </row>
    <row r="35717" spans="1:1">
      <c r="A35717" s="27"/>
    </row>
    <row r="35718" spans="1:1">
      <c r="A35718" s="27"/>
    </row>
    <row r="35719" spans="1:1">
      <c r="A35719" s="27"/>
    </row>
    <row r="35720" spans="1:1">
      <c r="A35720" s="27"/>
    </row>
    <row r="35721" spans="1:1">
      <c r="A35721" s="27"/>
    </row>
    <row r="35722" spans="1:1">
      <c r="A35722" s="27"/>
    </row>
    <row r="35723" spans="1:1">
      <c r="A35723" s="27"/>
    </row>
    <row r="35724" spans="1:1">
      <c r="A35724" s="27"/>
    </row>
    <row r="35725" spans="1:1">
      <c r="A35725" s="27"/>
    </row>
    <row r="35726" spans="1:1">
      <c r="A35726" s="27"/>
    </row>
    <row r="35727" spans="1:1">
      <c r="A35727" s="27"/>
    </row>
    <row r="35728" spans="1:1">
      <c r="A35728" s="27"/>
    </row>
    <row r="35729" spans="1:1">
      <c r="A35729" s="27"/>
    </row>
    <row r="35730" spans="1:1">
      <c r="A35730" s="27"/>
    </row>
    <row r="35731" spans="1:1">
      <c r="A35731" s="27"/>
    </row>
    <row r="35732" spans="1:1">
      <c r="A35732" s="27"/>
    </row>
    <row r="35733" spans="1:1">
      <c r="A35733" s="27"/>
    </row>
    <row r="35734" spans="1:1">
      <c r="A35734" s="27"/>
    </row>
    <row r="35735" spans="1:1">
      <c r="A35735" s="27"/>
    </row>
    <row r="35736" spans="1:1">
      <c r="A35736" s="27"/>
    </row>
    <row r="35737" spans="1:1">
      <c r="A35737" s="27"/>
    </row>
    <row r="35738" spans="1:1">
      <c r="A35738" s="27"/>
    </row>
    <row r="35739" spans="1:1">
      <c r="A35739" s="27"/>
    </row>
    <row r="35740" spans="1:1">
      <c r="A35740" s="27"/>
    </row>
    <row r="35741" spans="1:1">
      <c r="A35741" s="27"/>
    </row>
    <row r="35742" spans="1:1">
      <c r="A35742" s="27"/>
    </row>
    <row r="35743" spans="1:1">
      <c r="A35743" s="27"/>
    </row>
    <row r="35744" spans="1:1">
      <c r="A35744" s="27"/>
    </row>
    <row r="35745" spans="1:1">
      <c r="A35745" s="27"/>
    </row>
    <row r="35746" spans="1:1">
      <c r="A35746" s="27"/>
    </row>
    <row r="35747" spans="1:1">
      <c r="A35747" s="27"/>
    </row>
    <row r="35748" spans="1:1">
      <c r="A35748" s="27"/>
    </row>
    <row r="35749" spans="1:1">
      <c r="A35749" s="27"/>
    </row>
    <row r="35750" spans="1:1">
      <c r="A35750" s="27"/>
    </row>
    <row r="35751" spans="1:1">
      <c r="A35751" s="27"/>
    </row>
    <row r="35752" spans="1:1">
      <c r="A35752" s="27"/>
    </row>
    <row r="35753" spans="1:1">
      <c r="A35753" s="27"/>
    </row>
    <row r="35754" spans="1:1">
      <c r="A35754" s="27"/>
    </row>
    <row r="35755" spans="1:1">
      <c r="A35755" s="27"/>
    </row>
    <row r="35756" spans="1:1">
      <c r="A35756" s="27"/>
    </row>
    <row r="35757" spans="1:1">
      <c r="A35757" s="27"/>
    </row>
    <row r="35758" spans="1:1">
      <c r="A35758" s="27"/>
    </row>
    <row r="35759" spans="1:1">
      <c r="A35759" s="27"/>
    </row>
    <row r="35760" spans="1:1">
      <c r="A35760" s="27"/>
    </row>
    <row r="35761" spans="1:1">
      <c r="A35761" s="27"/>
    </row>
    <row r="35762" spans="1:1">
      <c r="A35762" s="27"/>
    </row>
    <row r="35763" spans="1:1">
      <c r="A35763" s="27"/>
    </row>
    <row r="35764" spans="1:1">
      <c r="A35764" s="27"/>
    </row>
    <row r="35765" spans="1:1">
      <c r="A35765" s="27"/>
    </row>
    <row r="35766" spans="1:1">
      <c r="A35766" s="27"/>
    </row>
    <row r="35767" spans="1:1">
      <c r="A35767" s="27"/>
    </row>
    <row r="35768" spans="1:1">
      <c r="A35768" s="27"/>
    </row>
    <row r="35769" spans="1:1">
      <c r="A35769" s="27"/>
    </row>
    <row r="35770" spans="1:1">
      <c r="A35770" s="27"/>
    </row>
    <row r="35771" spans="1:1">
      <c r="A35771" s="27"/>
    </row>
    <row r="35772" spans="1:1">
      <c r="A35772" s="27"/>
    </row>
    <row r="35773" spans="1:1">
      <c r="A35773" s="27"/>
    </row>
    <row r="35774" spans="1:1">
      <c r="A35774" s="27"/>
    </row>
    <row r="35775" spans="1:1">
      <c r="A35775" s="27"/>
    </row>
    <row r="35776" spans="1:1">
      <c r="A35776" s="27"/>
    </row>
    <row r="35777" spans="1:1">
      <c r="A35777" s="27"/>
    </row>
    <row r="35778" spans="1:1">
      <c r="A35778" s="27"/>
    </row>
    <row r="35779" spans="1:1">
      <c r="A35779" s="27"/>
    </row>
    <row r="35780" spans="1:1">
      <c r="A35780" s="27"/>
    </row>
    <row r="35781" spans="1:1">
      <c r="A35781" s="27"/>
    </row>
    <row r="35782" spans="1:1">
      <c r="A35782" s="27"/>
    </row>
    <row r="35783" spans="1:1">
      <c r="A35783" s="27"/>
    </row>
    <row r="35784" spans="1:1">
      <c r="A35784" s="27"/>
    </row>
    <row r="35785" spans="1:1">
      <c r="A35785" s="27"/>
    </row>
    <row r="35786" spans="1:1">
      <c r="A35786" s="27"/>
    </row>
    <row r="35787" spans="1:1">
      <c r="A35787" s="27"/>
    </row>
    <row r="35788" spans="1:1">
      <c r="A35788" s="27"/>
    </row>
    <row r="35789" spans="1:1">
      <c r="A35789" s="27"/>
    </row>
    <row r="35790" spans="1:1">
      <c r="A35790" s="27"/>
    </row>
    <row r="35791" spans="1:1">
      <c r="A35791" s="27"/>
    </row>
    <row r="35792" spans="1:1">
      <c r="A35792" s="27"/>
    </row>
    <row r="35793" spans="1:1">
      <c r="A35793" s="27"/>
    </row>
    <row r="35794" spans="1:1">
      <c r="A35794" s="27"/>
    </row>
    <row r="35795" spans="1:1">
      <c r="A35795" s="27"/>
    </row>
    <row r="35796" spans="1:1">
      <c r="A35796" s="27"/>
    </row>
    <row r="35797" spans="1:1">
      <c r="A35797" s="27"/>
    </row>
    <row r="35798" spans="1:1">
      <c r="A35798" s="27"/>
    </row>
    <row r="35799" spans="1:1">
      <c r="A35799" s="27"/>
    </row>
    <row r="35800" spans="1:1">
      <c r="A35800" s="27"/>
    </row>
    <row r="35801" spans="1:1">
      <c r="A35801" s="27"/>
    </row>
    <row r="35802" spans="1:1">
      <c r="A35802" s="27"/>
    </row>
    <row r="35803" spans="1:1">
      <c r="A35803" s="27"/>
    </row>
    <row r="35804" spans="1:1">
      <c r="A35804" s="27"/>
    </row>
    <row r="35805" spans="1:1">
      <c r="A35805" s="27"/>
    </row>
    <row r="35806" spans="1:1">
      <c r="A35806" s="27"/>
    </row>
    <row r="35807" spans="1:1">
      <c r="A35807" s="27"/>
    </row>
    <row r="35808" spans="1:1">
      <c r="A35808" s="27"/>
    </row>
    <row r="35809" spans="1:1">
      <c r="A35809" s="27"/>
    </row>
    <row r="35810" spans="1:1">
      <c r="A35810" s="27"/>
    </row>
    <row r="35811" spans="1:1">
      <c r="A35811" s="27"/>
    </row>
    <row r="35812" spans="1:1">
      <c r="A35812" s="27"/>
    </row>
    <row r="35813" spans="1:1">
      <c r="A35813" s="27"/>
    </row>
    <row r="35814" spans="1:1">
      <c r="A35814" s="27"/>
    </row>
    <row r="35815" spans="1:1">
      <c r="A35815" s="27"/>
    </row>
    <row r="35816" spans="1:1">
      <c r="A35816" s="27"/>
    </row>
    <row r="35817" spans="1:1">
      <c r="A35817" s="27"/>
    </row>
    <row r="35818" spans="1:1">
      <c r="A35818" s="27"/>
    </row>
    <row r="35819" spans="1:1">
      <c r="A35819" s="27"/>
    </row>
    <row r="35820" spans="1:1">
      <c r="A35820" s="27"/>
    </row>
    <row r="35821" spans="1:1">
      <c r="A35821" s="27"/>
    </row>
    <row r="35822" spans="1:1">
      <c r="A35822" s="27"/>
    </row>
    <row r="35823" spans="1:1">
      <c r="A35823" s="27"/>
    </row>
    <row r="35824" spans="1:1">
      <c r="A35824" s="27"/>
    </row>
    <row r="35825" spans="1:1">
      <c r="A35825" s="27"/>
    </row>
    <row r="35826" spans="1:1">
      <c r="A35826" s="27"/>
    </row>
    <row r="35827" spans="1:1">
      <c r="A35827" s="27"/>
    </row>
    <row r="35828" spans="1:1">
      <c r="A35828" s="27"/>
    </row>
    <row r="35829" spans="1:1">
      <c r="A35829" s="27"/>
    </row>
    <row r="35830" spans="1:1">
      <c r="A35830" s="27"/>
    </row>
    <row r="35831" spans="1:1">
      <c r="A35831" s="27"/>
    </row>
    <row r="35832" spans="1:1">
      <c r="A35832" s="27"/>
    </row>
    <row r="35833" spans="1:1">
      <c r="A35833" s="27"/>
    </row>
    <row r="35834" spans="1:1">
      <c r="A35834" s="27"/>
    </row>
    <row r="35835" spans="1:1">
      <c r="A35835" s="27"/>
    </row>
    <row r="35836" spans="1:1">
      <c r="A35836" s="27"/>
    </row>
    <row r="35837" spans="1:1">
      <c r="A35837" s="27"/>
    </row>
    <row r="35838" spans="1:1">
      <c r="A35838" s="27"/>
    </row>
    <row r="35839" spans="1:1">
      <c r="A35839" s="27"/>
    </row>
    <row r="35840" spans="1:1">
      <c r="A35840" s="27"/>
    </row>
    <row r="35841" spans="1:1">
      <c r="A35841" s="27"/>
    </row>
    <row r="35842" spans="1:1">
      <c r="A35842" s="27"/>
    </row>
    <row r="35843" spans="1:1">
      <c r="A35843" s="27"/>
    </row>
    <row r="35844" spans="1:1">
      <c r="A35844" s="27"/>
    </row>
    <row r="35845" spans="1:1">
      <c r="A35845" s="27"/>
    </row>
    <row r="35846" spans="1:1">
      <c r="A35846" s="27"/>
    </row>
    <row r="35847" spans="1:1">
      <c r="A35847" s="27"/>
    </row>
    <row r="35848" spans="1:1">
      <c r="A35848" s="27"/>
    </row>
    <row r="35849" spans="1:1">
      <c r="A35849" s="27"/>
    </row>
    <row r="35850" spans="1:1">
      <c r="A35850" s="27"/>
    </row>
    <row r="35851" spans="1:1">
      <c r="A35851" s="27"/>
    </row>
    <row r="35852" spans="1:1">
      <c r="A35852" s="27"/>
    </row>
    <row r="35853" spans="1:1">
      <c r="A35853" s="27"/>
    </row>
    <row r="35854" spans="1:1">
      <c r="A35854" s="27"/>
    </row>
    <row r="35855" spans="1:1">
      <c r="A35855" s="27"/>
    </row>
    <row r="35856" spans="1:1">
      <c r="A35856" s="27"/>
    </row>
    <row r="35857" spans="1:1">
      <c r="A35857" s="27"/>
    </row>
    <row r="35858" spans="1:1">
      <c r="A35858" s="27"/>
    </row>
    <row r="35859" spans="1:1">
      <c r="A35859" s="27"/>
    </row>
    <row r="35860" spans="1:1">
      <c r="A35860" s="27"/>
    </row>
    <row r="35861" spans="1:1">
      <c r="A35861" s="27"/>
    </row>
    <row r="35862" spans="1:1">
      <c r="A35862" s="27"/>
    </row>
    <row r="35863" spans="1:1">
      <c r="A35863" s="27"/>
    </row>
    <row r="35864" spans="1:1">
      <c r="A35864" s="27"/>
    </row>
    <row r="35865" spans="1:1">
      <c r="A35865" s="27"/>
    </row>
    <row r="35866" spans="1:1">
      <c r="A35866" s="27"/>
    </row>
    <row r="35867" spans="1:1">
      <c r="A35867" s="27"/>
    </row>
    <row r="35868" spans="1:1">
      <c r="A35868" s="27"/>
    </row>
    <row r="35869" spans="1:1">
      <c r="A35869" s="27"/>
    </row>
    <row r="35870" spans="1:1">
      <c r="A35870" s="27"/>
    </row>
    <row r="35871" spans="1:1">
      <c r="A35871" s="27"/>
    </row>
    <row r="35872" spans="1:1">
      <c r="A35872" s="27"/>
    </row>
    <row r="35873" spans="1:1">
      <c r="A35873" s="27"/>
    </row>
    <row r="35874" spans="1:1">
      <c r="A35874" s="27"/>
    </row>
    <row r="35875" spans="1:1">
      <c r="A35875" s="27"/>
    </row>
    <row r="35876" spans="1:1">
      <c r="A35876" s="27"/>
    </row>
    <row r="35877" spans="1:1">
      <c r="A35877" s="27"/>
    </row>
    <row r="35878" spans="1:1">
      <c r="A35878" s="27"/>
    </row>
    <row r="35879" spans="1:1">
      <c r="A35879" s="27"/>
    </row>
    <row r="35880" spans="1:1">
      <c r="A35880" s="27"/>
    </row>
    <row r="35881" spans="1:1">
      <c r="A35881" s="27"/>
    </row>
    <row r="35882" spans="1:1">
      <c r="A35882" s="27"/>
    </row>
    <row r="35883" spans="1:1">
      <c r="A35883" s="27"/>
    </row>
    <row r="35884" spans="1:1">
      <c r="A35884" s="27"/>
    </row>
    <row r="35885" spans="1:1">
      <c r="A35885" s="27"/>
    </row>
    <row r="35886" spans="1:1">
      <c r="A35886" s="27"/>
    </row>
    <row r="35887" spans="1:1">
      <c r="A35887" s="27"/>
    </row>
    <row r="35888" spans="1:1">
      <c r="A35888" s="27"/>
    </row>
    <row r="35889" spans="1:1">
      <c r="A35889" s="27"/>
    </row>
    <row r="35890" spans="1:1">
      <c r="A35890" s="27"/>
    </row>
    <row r="35891" spans="1:1">
      <c r="A35891" s="27"/>
    </row>
    <row r="35892" spans="1:1">
      <c r="A35892" s="27"/>
    </row>
    <row r="35893" spans="1:1">
      <c r="A35893" s="27"/>
    </row>
    <row r="35894" spans="1:1">
      <c r="A35894" s="27"/>
    </row>
    <row r="35895" spans="1:1">
      <c r="A35895" s="27"/>
    </row>
    <row r="35896" spans="1:1">
      <c r="A35896" s="27"/>
    </row>
    <row r="35897" spans="1:1">
      <c r="A35897" s="27"/>
    </row>
    <row r="35898" spans="1:1">
      <c r="A35898" s="27"/>
    </row>
    <row r="35899" spans="1:1">
      <c r="A35899" s="27"/>
    </row>
    <row r="35900" spans="1:1">
      <c r="A35900" s="27"/>
    </row>
    <row r="35901" spans="1:1">
      <c r="A35901" s="27"/>
    </row>
    <row r="35902" spans="1:1">
      <c r="A35902" s="27"/>
    </row>
    <row r="35903" spans="1:1">
      <c r="A35903" s="27"/>
    </row>
    <row r="35904" spans="1:1">
      <c r="A35904" s="27"/>
    </row>
    <row r="35905" spans="1:1">
      <c r="A35905" s="27"/>
    </row>
    <row r="35906" spans="1:1">
      <c r="A35906" s="27"/>
    </row>
    <row r="35907" spans="1:1">
      <c r="A35907" s="27"/>
    </row>
    <row r="35908" spans="1:1">
      <c r="A35908" s="27"/>
    </row>
    <row r="35909" spans="1:1">
      <c r="A35909" s="27"/>
    </row>
    <row r="35910" spans="1:1">
      <c r="A35910" s="27"/>
    </row>
    <row r="35911" spans="1:1">
      <c r="A35911" s="27"/>
    </row>
    <row r="35912" spans="1:1">
      <c r="A35912" s="27"/>
    </row>
    <row r="35913" spans="1:1">
      <c r="A35913" s="27"/>
    </row>
    <row r="35914" spans="1:1">
      <c r="A35914" s="27"/>
    </row>
    <row r="35915" spans="1:1">
      <c r="A35915" s="27"/>
    </row>
    <row r="35916" spans="1:1">
      <c r="A35916" s="27"/>
    </row>
    <row r="35917" spans="1:1">
      <c r="A35917" s="27"/>
    </row>
    <row r="35918" spans="1:1">
      <c r="A35918" s="27"/>
    </row>
    <row r="35919" spans="1:1">
      <c r="A35919" s="27"/>
    </row>
    <row r="35920" spans="1:1">
      <c r="A35920" s="27"/>
    </row>
    <row r="35921" spans="1:1">
      <c r="A35921" s="27"/>
    </row>
    <row r="35922" spans="1:1">
      <c r="A35922" s="27"/>
    </row>
    <row r="35923" spans="1:1">
      <c r="A35923" s="27"/>
    </row>
    <row r="35924" spans="1:1">
      <c r="A35924" s="27"/>
    </row>
    <row r="35925" spans="1:1">
      <c r="A35925" s="27"/>
    </row>
    <row r="35926" spans="1:1">
      <c r="A35926" s="27"/>
    </row>
    <row r="35927" spans="1:1">
      <c r="A35927" s="27"/>
    </row>
    <row r="35928" spans="1:1">
      <c r="A35928" s="27"/>
    </row>
    <row r="35929" spans="1:1">
      <c r="A35929" s="27"/>
    </row>
    <row r="35930" spans="1:1">
      <c r="A35930" s="27"/>
    </row>
    <row r="35931" spans="1:1">
      <c r="A35931" s="27"/>
    </row>
    <row r="35932" spans="1:1">
      <c r="A35932" s="27"/>
    </row>
    <row r="35933" spans="1:1">
      <c r="A35933" s="27"/>
    </row>
    <row r="35934" spans="1:1">
      <c r="A35934" s="27"/>
    </row>
    <row r="35935" spans="1:1">
      <c r="A35935" s="27"/>
    </row>
    <row r="35936" spans="1:1">
      <c r="A35936" s="27"/>
    </row>
    <row r="35937" spans="1:1">
      <c r="A35937" s="27"/>
    </row>
    <row r="35938" spans="1:1">
      <c r="A35938" s="27"/>
    </row>
    <row r="35939" spans="1:1">
      <c r="A35939" s="27"/>
    </row>
    <row r="35940" spans="1:1">
      <c r="A35940" s="27"/>
    </row>
    <row r="35941" spans="1:1">
      <c r="A35941" s="27"/>
    </row>
    <row r="35942" spans="1:1">
      <c r="A35942" s="27"/>
    </row>
    <row r="35943" spans="1:1">
      <c r="A35943" s="27"/>
    </row>
    <row r="35944" spans="1:1">
      <c r="A35944" s="27"/>
    </row>
    <row r="35945" spans="1:1">
      <c r="A35945" s="27"/>
    </row>
    <row r="35946" spans="1:1">
      <c r="A35946" s="27"/>
    </row>
    <row r="35947" spans="1:1">
      <c r="A35947" s="27"/>
    </row>
    <row r="35948" spans="1:1">
      <c r="A35948" s="27"/>
    </row>
    <row r="35949" spans="1:1">
      <c r="A35949" s="27"/>
    </row>
    <row r="35950" spans="1:1">
      <c r="A35950" s="27"/>
    </row>
    <row r="35951" spans="1:1">
      <c r="A35951" s="27"/>
    </row>
    <row r="35952" spans="1:1">
      <c r="A35952" s="27"/>
    </row>
    <row r="35953" spans="1:1">
      <c r="A35953" s="27"/>
    </row>
    <row r="35954" spans="1:1">
      <c r="A35954" s="27"/>
    </row>
    <row r="35955" spans="1:1">
      <c r="A35955" s="27"/>
    </row>
    <row r="35956" spans="1:1">
      <c r="A35956" s="27"/>
    </row>
    <row r="35957" spans="1:1">
      <c r="A35957" s="27"/>
    </row>
    <row r="35958" spans="1:1">
      <c r="A35958" s="27"/>
    </row>
    <row r="35959" spans="1:1">
      <c r="A35959" s="27"/>
    </row>
    <row r="35960" spans="1:1">
      <c r="A35960" s="27"/>
    </row>
    <row r="35961" spans="1:1">
      <c r="A35961" s="27"/>
    </row>
    <row r="35962" spans="1:1">
      <c r="A35962" s="27"/>
    </row>
    <row r="35963" spans="1:1">
      <c r="A35963" s="27"/>
    </row>
    <row r="35964" spans="1:1">
      <c r="A35964" s="27"/>
    </row>
    <row r="35965" spans="1:1">
      <c r="A35965" s="27"/>
    </row>
    <row r="35966" spans="1:1">
      <c r="A35966" s="27"/>
    </row>
    <row r="35967" spans="1:1">
      <c r="A35967" s="27"/>
    </row>
    <row r="35968" spans="1:1">
      <c r="A35968" s="27"/>
    </row>
    <row r="35969" spans="1:1">
      <c r="A35969" s="27"/>
    </row>
    <row r="35970" spans="1:1">
      <c r="A35970" s="27"/>
    </row>
    <row r="35971" spans="1:1">
      <c r="A35971" s="27"/>
    </row>
    <row r="35972" spans="1:1">
      <c r="A35972" s="27"/>
    </row>
    <row r="35973" spans="1:1">
      <c r="A35973" s="27"/>
    </row>
    <row r="35974" spans="1:1">
      <c r="A35974" s="27"/>
    </row>
    <row r="35975" spans="1:1">
      <c r="A35975" s="27"/>
    </row>
    <row r="35976" spans="1:1">
      <c r="A35976" s="27"/>
    </row>
    <row r="35977" spans="1:1">
      <c r="A35977" s="27"/>
    </row>
    <row r="35978" spans="1:1">
      <c r="A35978" s="27"/>
    </row>
    <row r="35979" spans="1:1">
      <c r="A35979" s="27"/>
    </row>
    <row r="35980" spans="1:1">
      <c r="A35980" s="27"/>
    </row>
    <row r="35981" spans="1:1">
      <c r="A35981" s="27"/>
    </row>
    <row r="35982" spans="1:1">
      <c r="A35982" s="27"/>
    </row>
    <row r="35983" spans="1:1">
      <c r="A35983" s="27"/>
    </row>
    <row r="35984" spans="1:1">
      <c r="A35984" s="27"/>
    </row>
    <row r="35985" spans="1:1">
      <c r="A35985" s="27"/>
    </row>
    <row r="35986" spans="1:1">
      <c r="A35986" s="27"/>
    </row>
    <row r="35987" spans="1:1">
      <c r="A35987" s="27"/>
    </row>
    <row r="35988" spans="1:1">
      <c r="A35988" s="27"/>
    </row>
    <row r="35989" spans="1:1">
      <c r="A35989" s="27"/>
    </row>
    <row r="35990" spans="1:1">
      <c r="A35990" s="27"/>
    </row>
    <row r="35991" spans="1:1">
      <c r="A35991" s="27"/>
    </row>
    <row r="35992" spans="1:1">
      <c r="A35992" s="27"/>
    </row>
    <row r="35993" spans="1:1">
      <c r="A35993" s="27"/>
    </row>
    <row r="35994" spans="1:1">
      <c r="A35994" s="27"/>
    </row>
    <row r="35995" spans="1:1">
      <c r="A35995" s="27"/>
    </row>
    <row r="35996" spans="1:1">
      <c r="A35996" s="27"/>
    </row>
    <row r="35997" spans="1:1">
      <c r="A35997" s="27"/>
    </row>
    <row r="35998" spans="1:1">
      <c r="A35998" s="27"/>
    </row>
    <row r="35999" spans="1:1">
      <c r="A35999" s="27"/>
    </row>
    <row r="36000" spans="1:1">
      <c r="A36000" s="27"/>
    </row>
    <row r="36001" spans="1:1">
      <c r="A36001" s="27"/>
    </row>
    <row r="36002" spans="1:1">
      <c r="A36002" s="27"/>
    </row>
    <row r="36003" spans="1:1">
      <c r="A36003" s="27"/>
    </row>
    <row r="36004" spans="1:1">
      <c r="A36004" s="27"/>
    </row>
    <row r="36005" spans="1:1">
      <c r="A36005" s="27"/>
    </row>
    <row r="36006" spans="1:1">
      <c r="A36006" s="27"/>
    </row>
    <row r="36007" spans="1:1">
      <c r="A36007" s="27"/>
    </row>
    <row r="36008" spans="1:1">
      <c r="A36008" s="27"/>
    </row>
    <row r="36009" spans="1:1">
      <c r="A36009" s="27"/>
    </row>
    <row r="36010" spans="1:1">
      <c r="A36010" s="27"/>
    </row>
    <row r="36011" spans="1:1">
      <c r="A36011" s="27"/>
    </row>
    <row r="36012" spans="1:1">
      <c r="A36012" s="27"/>
    </row>
    <row r="36013" spans="1:1">
      <c r="A36013" s="27"/>
    </row>
    <row r="36014" spans="1:1">
      <c r="A36014" s="27"/>
    </row>
    <row r="36015" spans="1:1">
      <c r="A36015" s="27"/>
    </row>
    <row r="36016" spans="1:1">
      <c r="A36016" s="27"/>
    </row>
    <row r="36017" spans="1:1">
      <c r="A36017" s="27"/>
    </row>
    <row r="36018" spans="1:1">
      <c r="A36018" s="27"/>
    </row>
    <row r="36019" spans="1:1">
      <c r="A36019" s="27"/>
    </row>
    <row r="36020" spans="1:1">
      <c r="A36020" s="27"/>
    </row>
    <row r="36021" spans="1:1">
      <c r="A36021" s="27"/>
    </row>
    <row r="36022" spans="1:1">
      <c r="A36022" s="27"/>
    </row>
    <row r="36023" spans="1:1">
      <c r="A36023" s="27"/>
    </row>
    <row r="36024" spans="1:1">
      <c r="A36024" s="27"/>
    </row>
    <row r="36025" spans="1:1">
      <c r="A36025" s="27"/>
    </row>
    <row r="36026" spans="1:1">
      <c r="A36026" s="27"/>
    </row>
    <row r="36027" spans="1:1">
      <c r="A36027" s="27"/>
    </row>
    <row r="36028" spans="1:1">
      <c r="A36028" s="27"/>
    </row>
    <row r="36029" spans="1:1">
      <c r="A36029" s="27"/>
    </row>
    <row r="36030" spans="1:1">
      <c r="A36030" s="27"/>
    </row>
    <row r="36031" spans="1:1">
      <c r="A36031" s="27"/>
    </row>
    <row r="36032" spans="1:1">
      <c r="A36032" s="27"/>
    </row>
    <row r="36033" spans="1:1">
      <c r="A36033" s="27"/>
    </row>
    <row r="36034" spans="1:1">
      <c r="A36034" s="27"/>
    </row>
    <row r="36035" spans="1:1">
      <c r="A36035" s="27"/>
    </row>
    <row r="36036" spans="1:1">
      <c r="A36036" s="27"/>
    </row>
    <row r="36037" spans="1:1">
      <c r="A36037" s="27"/>
    </row>
    <row r="36038" spans="1:1">
      <c r="A36038" s="27"/>
    </row>
    <row r="36039" spans="1:1">
      <c r="A36039" s="27"/>
    </row>
    <row r="36040" spans="1:1">
      <c r="A36040" s="27"/>
    </row>
    <row r="36041" spans="1:1">
      <c r="A36041" s="27"/>
    </row>
    <row r="36042" spans="1:1">
      <c r="A36042" s="27"/>
    </row>
    <row r="36043" spans="1:1">
      <c r="A36043" s="27"/>
    </row>
    <row r="36044" spans="1:1">
      <c r="A36044" s="27"/>
    </row>
    <row r="36045" spans="1:1">
      <c r="A36045" s="27"/>
    </row>
    <row r="36046" spans="1:1">
      <c r="A36046" s="27"/>
    </row>
    <row r="36047" spans="1:1">
      <c r="A36047" s="27"/>
    </row>
    <row r="36048" spans="1:1">
      <c r="A36048" s="27"/>
    </row>
    <row r="36049" spans="1:1">
      <c r="A36049" s="27"/>
    </row>
    <row r="36050" spans="1:1">
      <c r="A36050" s="27"/>
    </row>
    <row r="36051" spans="1:1">
      <c r="A36051" s="27"/>
    </row>
    <row r="36052" spans="1:1">
      <c r="A36052" s="27"/>
    </row>
    <row r="36053" spans="1:1">
      <c r="A36053" s="27"/>
    </row>
    <row r="36054" spans="1:1">
      <c r="A36054" s="27"/>
    </row>
    <row r="36055" spans="1:1">
      <c r="A36055" s="27"/>
    </row>
    <row r="36056" spans="1:1">
      <c r="A36056" s="27"/>
    </row>
    <row r="36057" spans="1:1">
      <c r="A36057" s="27"/>
    </row>
    <row r="36058" spans="1:1">
      <c r="A36058" s="27"/>
    </row>
    <row r="36059" spans="1:1">
      <c r="A36059" s="27"/>
    </row>
    <row r="36060" spans="1:1">
      <c r="A36060" s="27"/>
    </row>
    <row r="36061" spans="1:1">
      <c r="A36061" s="27"/>
    </row>
    <row r="36062" spans="1:1">
      <c r="A36062" s="27"/>
    </row>
    <row r="36063" spans="1:1">
      <c r="A36063" s="27"/>
    </row>
    <row r="36064" spans="1:1">
      <c r="A36064" s="27"/>
    </row>
    <row r="36065" spans="1:1">
      <c r="A36065" s="27"/>
    </row>
    <row r="36066" spans="1:1">
      <c r="A36066" s="27"/>
    </row>
    <row r="36067" spans="1:1">
      <c r="A36067" s="27"/>
    </row>
    <row r="36068" spans="1:1">
      <c r="A36068" s="27"/>
    </row>
    <row r="36069" spans="1:1">
      <c r="A36069" s="27"/>
    </row>
    <row r="36070" spans="1:1">
      <c r="A36070" s="27"/>
    </row>
    <row r="36071" spans="1:1">
      <c r="A36071" s="27"/>
    </row>
    <row r="36072" spans="1:1">
      <c r="A36072" s="27"/>
    </row>
    <row r="36073" spans="1:1">
      <c r="A36073" s="27"/>
    </row>
    <row r="36074" spans="1:1">
      <c r="A36074" s="27"/>
    </row>
    <row r="36075" spans="1:1">
      <c r="A36075" s="27"/>
    </row>
    <row r="36076" spans="1:1">
      <c r="A36076" s="27"/>
    </row>
    <row r="36077" spans="1:1">
      <c r="A36077" s="27"/>
    </row>
    <row r="36078" spans="1:1">
      <c r="A36078" s="27"/>
    </row>
    <row r="36079" spans="1:1">
      <c r="A36079" s="27"/>
    </row>
    <row r="36080" spans="1:1">
      <c r="A36080" s="27"/>
    </row>
    <row r="36081" spans="1:1">
      <c r="A36081" s="27"/>
    </row>
    <row r="36082" spans="1:1">
      <c r="A36082" s="27"/>
    </row>
    <row r="36083" spans="1:1">
      <c r="A36083" s="27"/>
    </row>
    <row r="36084" spans="1:1">
      <c r="A36084" s="27"/>
    </row>
    <row r="36085" spans="1:1">
      <c r="A36085" s="27"/>
    </row>
    <row r="36086" spans="1:1">
      <c r="A36086" s="27"/>
    </row>
    <row r="36087" spans="1:1">
      <c r="A36087" s="27"/>
    </row>
    <row r="36088" spans="1:1">
      <c r="A36088" s="27"/>
    </row>
    <row r="36089" spans="1:1">
      <c r="A36089" s="27"/>
    </row>
    <row r="36090" spans="1:1">
      <c r="A36090" s="27"/>
    </row>
    <row r="36091" spans="1:1">
      <c r="A36091" s="27"/>
    </row>
    <row r="36092" spans="1:1">
      <c r="A36092" s="27"/>
    </row>
    <row r="36093" spans="1:1">
      <c r="A36093" s="27"/>
    </row>
    <row r="36094" spans="1:1">
      <c r="A36094" s="27"/>
    </row>
    <row r="36095" spans="1:1">
      <c r="A36095" s="27"/>
    </row>
    <row r="36096" spans="1:1">
      <c r="A36096" s="27"/>
    </row>
    <row r="36097" spans="1:1">
      <c r="A36097" s="27"/>
    </row>
    <row r="36098" spans="1:1">
      <c r="A36098" s="27"/>
    </row>
    <row r="36099" spans="1:1">
      <c r="A36099" s="27"/>
    </row>
    <row r="36100" spans="1:1">
      <c r="A36100" s="27"/>
    </row>
    <row r="36101" spans="1:1">
      <c r="A36101" s="27"/>
    </row>
    <row r="36102" spans="1:1">
      <c r="A36102" s="27"/>
    </row>
    <row r="36103" spans="1:1">
      <c r="A36103" s="27"/>
    </row>
    <row r="36104" spans="1:1">
      <c r="A36104" s="27"/>
    </row>
    <row r="36105" spans="1:1">
      <c r="A36105" s="27"/>
    </row>
    <row r="36106" spans="1:1">
      <c r="A36106" s="27"/>
    </row>
    <row r="36107" spans="1:1">
      <c r="A36107" s="27"/>
    </row>
    <row r="36108" spans="1:1">
      <c r="A36108" s="27"/>
    </row>
    <row r="36109" spans="1:1">
      <c r="A36109" s="27"/>
    </row>
    <row r="36110" spans="1:1">
      <c r="A36110" s="27"/>
    </row>
    <row r="36111" spans="1:1">
      <c r="A36111" s="27"/>
    </row>
    <row r="36112" spans="1:1">
      <c r="A36112" s="27"/>
    </row>
    <row r="36113" spans="1:1">
      <c r="A36113" s="27"/>
    </row>
    <row r="36114" spans="1:1">
      <c r="A36114" s="27"/>
    </row>
    <row r="36115" spans="1:1">
      <c r="A36115" s="27"/>
    </row>
    <row r="36116" spans="1:1">
      <c r="A36116" s="27"/>
    </row>
    <row r="36117" spans="1:1">
      <c r="A36117" s="27"/>
    </row>
    <row r="36118" spans="1:1">
      <c r="A36118" s="27"/>
    </row>
    <row r="36119" spans="1:1">
      <c r="A36119" s="27"/>
    </row>
    <row r="36120" spans="1:1">
      <c r="A36120" s="27"/>
    </row>
    <row r="36121" spans="1:1">
      <c r="A36121" s="27"/>
    </row>
    <row r="36122" spans="1:1">
      <c r="A36122" s="27"/>
    </row>
    <row r="36123" spans="1:1">
      <c r="A36123" s="27"/>
    </row>
    <row r="36124" spans="1:1">
      <c r="A36124" s="27"/>
    </row>
    <row r="36125" spans="1:1">
      <c r="A36125" s="27"/>
    </row>
    <row r="36126" spans="1:1">
      <c r="A36126" s="27"/>
    </row>
    <row r="36127" spans="1:1">
      <c r="A36127" s="27"/>
    </row>
    <row r="36128" spans="1:1">
      <c r="A36128" s="27"/>
    </row>
    <row r="36129" spans="1:1">
      <c r="A36129" s="27"/>
    </row>
    <row r="36130" spans="1:1">
      <c r="A36130" s="27"/>
    </row>
    <row r="36131" spans="1:1">
      <c r="A36131" s="27"/>
    </row>
    <row r="36132" spans="1:1">
      <c r="A36132" s="27"/>
    </row>
    <row r="36133" spans="1:1">
      <c r="A36133" s="27"/>
    </row>
    <row r="36134" spans="1:1">
      <c r="A36134" s="27"/>
    </row>
    <row r="36135" spans="1:1">
      <c r="A36135" s="27"/>
    </row>
    <row r="36136" spans="1:1">
      <c r="A36136" s="27"/>
    </row>
    <row r="36137" spans="1:1">
      <c r="A36137" s="27"/>
    </row>
    <row r="36138" spans="1:1">
      <c r="A36138" s="27"/>
    </row>
    <row r="36139" spans="1:1">
      <c r="A36139" s="27"/>
    </row>
    <row r="36140" spans="1:1">
      <c r="A36140" s="27"/>
    </row>
    <row r="36141" spans="1:1">
      <c r="A36141" s="27"/>
    </row>
    <row r="36142" spans="1:1">
      <c r="A36142" s="27"/>
    </row>
    <row r="36143" spans="1:1">
      <c r="A36143" s="27"/>
    </row>
    <row r="36144" spans="1:1">
      <c r="A36144" s="27"/>
    </row>
    <row r="36145" spans="1:1">
      <c r="A36145" s="27"/>
    </row>
    <row r="36146" spans="1:1">
      <c r="A36146" s="27"/>
    </row>
    <row r="36147" spans="1:1">
      <c r="A36147" s="27"/>
    </row>
    <row r="36148" spans="1:1">
      <c r="A36148" s="27"/>
    </row>
    <row r="36149" spans="1:1">
      <c r="A36149" s="27"/>
    </row>
    <row r="36150" spans="1:1">
      <c r="A36150" s="27"/>
    </row>
    <row r="36151" spans="1:1">
      <c r="A36151" s="27"/>
    </row>
    <row r="36152" spans="1:1">
      <c r="A36152" s="27"/>
    </row>
    <row r="36153" spans="1:1">
      <c r="A36153" s="27"/>
    </row>
    <row r="36154" spans="1:1">
      <c r="A36154" s="27"/>
    </row>
    <row r="36155" spans="1:1">
      <c r="A36155" s="27"/>
    </row>
    <row r="36156" spans="1:1">
      <c r="A36156" s="27"/>
    </row>
    <row r="36157" spans="1:1">
      <c r="A36157" s="27"/>
    </row>
    <row r="36158" spans="1:1">
      <c r="A36158" s="27"/>
    </row>
    <row r="36159" spans="1:1">
      <c r="A36159" s="27"/>
    </row>
    <row r="36160" spans="1:1">
      <c r="A36160" s="27"/>
    </row>
    <row r="36161" spans="1:1">
      <c r="A36161" s="27"/>
    </row>
    <row r="36162" spans="1:1">
      <c r="A36162" s="27"/>
    </row>
    <row r="36163" spans="1:1">
      <c r="A36163" s="27"/>
    </row>
    <row r="36164" spans="1:1">
      <c r="A36164" s="27"/>
    </row>
    <row r="36165" spans="1:1">
      <c r="A36165" s="27"/>
    </row>
    <row r="36166" spans="1:1">
      <c r="A36166" s="27"/>
    </row>
    <row r="36167" spans="1:1">
      <c r="A36167" s="27"/>
    </row>
    <row r="36168" spans="1:1">
      <c r="A36168" s="27"/>
    </row>
    <row r="36169" spans="1:1">
      <c r="A36169" s="27"/>
    </row>
    <row r="36170" spans="1:1">
      <c r="A36170" s="27"/>
    </row>
    <row r="36171" spans="1:1">
      <c r="A36171" s="27"/>
    </row>
    <row r="36172" spans="1:1">
      <c r="A36172" s="27"/>
    </row>
    <row r="36173" spans="1:1">
      <c r="A36173" s="27"/>
    </row>
    <row r="36174" spans="1:1">
      <c r="A36174" s="27"/>
    </row>
    <row r="36175" spans="1:1">
      <c r="A36175" s="27"/>
    </row>
    <row r="36176" spans="1:1">
      <c r="A36176" s="27"/>
    </row>
    <row r="36177" spans="1:1">
      <c r="A36177" s="27"/>
    </row>
    <row r="36178" spans="1:1">
      <c r="A36178" s="27"/>
    </row>
    <row r="36179" spans="1:1">
      <c r="A36179" s="27"/>
    </row>
    <row r="36180" spans="1:1">
      <c r="A36180" s="27"/>
    </row>
    <row r="36181" spans="1:1">
      <c r="A36181" s="27"/>
    </row>
    <row r="36182" spans="1:1">
      <c r="A36182" s="27"/>
    </row>
    <row r="36183" spans="1:1">
      <c r="A36183" s="27"/>
    </row>
    <row r="36184" spans="1:1">
      <c r="A36184" s="27"/>
    </row>
    <row r="36185" spans="1:1">
      <c r="A36185" s="27"/>
    </row>
    <row r="36186" spans="1:1">
      <c r="A36186" s="27"/>
    </row>
    <row r="36187" spans="1:1">
      <c r="A36187" s="27"/>
    </row>
    <row r="36188" spans="1:1">
      <c r="A36188" s="27"/>
    </row>
    <row r="36189" spans="1:1">
      <c r="A36189" s="27"/>
    </row>
    <row r="36190" spans="1:1">
      <c r="A36190" s="27"/>
    </row>
    <row r="36191" spans="1:1">
      <c r="A36191" s="27"/>
    </row>
    <row r="36192" spans="1:1">
      <c r="A36192" s="27"/>
    </row>
    <row r="36193" spans="1:1">
      <c r="A36193" s="27"/>
    </row>
    <row r="36194" spans="1:1">
      <c r="A36194" s="27"/>
    </row>
    <row r="36195" spans="1:1">
      <c r="A36195" s="27"/>
    </row>
    <row r="36196" spans="1:1">
      <c r="A36196" s="27"/>
    </row>
    <row r="36197" spans="1:1">
      <c r="A36197" s="27"/>
    </row>
    <row r="36198" spans="1:1">
      <c r="A36198" s="27"/>
    </row>
    <row r="36199" spans="1:1">
      <c r="A36199" s="27"/>
    </row>
    <row r="36200" spans="1:1">
      <c r="A36200" s="27"/>
    </row>
    <row r="36201" spans="1:1">
      <c r="A36201" s="27"/>
    </row>
    <row r="36202" spans="1:1">
      <c r="A36202" s="27"/>
    </row>
    <row r="36203" spans="1:1">
      <c r="A36203" s="27"/>
    </row>
    <row r="36204" spans="1:1">
      <c r="A36204" s="27"/>
    </row>
    <row r="36205" spans="1:1">
      <c r="A36205" s="27"/>
    </row>
    <row r="36206" spans="1:1">
      <c r="A36206" s="27"/>
    </row>
    <row r="36207" spans="1:1">
      <c r="A36207" s="27"/>
    </row>
    <row r="36208" spans="1:1">
      <c r="A36208" s="27"/>
    </row>
    <row r="36209" spans="1:1">
      <c r="A36209" s="27"/>
    </row>
    <row r="36210" spans="1:1">
      <c r="A36210" s="27"/>
    </row>
    <row r="36211" spans="1:1">
      <c r="A36211" s="27"/>
    </row>
    <row r="36212" spans="1:1">
      <c r="A36212" s="27"/>
    </row>
    <row r="36213" spans="1:1">
      <c r="A36213" s="27"/>
    </row>
    <row r="36214" spans="1:1">
      <c r="A36214" s="27"/>
    </row>
    <row r="36215" spans="1:1">
      <c r="A36215" s="27"/>
    </row>
    <row r="36216" spans="1:1">
      <c r="A36216" s="27"/>
    </row>
    <row r="36217" spans="1:1">
      <c r="A36217" s="27"/>
    </row>
    <row r="36218" spans="1:1">
      <c r="A36218" s="27"/>
    </row>
    <row r="36219" spans="1:1">
      <c r="A36219" s="27"/>
    </row>
    <row r="36220" spans="1:1">
      <c r="A36220" s="27"/>
    </row>
    <row r="36221" spans="1:1">
      <c r="A36221" s="27"/>
    </row>
    <row r="36222" spans="1:1">
      <c r="A36222" s="27"/>
    </row>
    <row r="36223" spans="1:1">
      <c r="A36223" s="27"/>
    </row>
    <row r="36224" spans="1:1">
      <c r="A36224" s="27"/>
    </row>
    <row r="36225" spans="1:1">
      <c r="A36225" s="27"/>
    </row>
    <row r="36226" spans="1:1">
      <c r="A36226" s="27"/>
    </row>
    <row r="36227" spans="1:1">
      <c r="A36227" s="27"/>
    </row>
    <row r="36228" spans="1:1">
      <c r="A36228" s="27"/>
    </row>
    <row r="36229" spans="1:1">
      <c r="A36229" s="27"/>
    </row>
    <row r="36230" spans="1:1">
      <c r="A36230" s="27"/>
    </row>
    <row r="36231" spans="1:1">
      <c r="A36231" s="27"/>
    </row>
    <row r="36232" spans="1:1">
      <c r="A36232" s="27"/>
    </row>
    <row r="36233" spans="1:1">
      <c r="A36233" s="27"/>
    </row>
    <row r="36234" spans="1:1">
      <c r="A36234" s="27"/>
    </row>
    <row r="36235" spans="1:1">
      <c r="A36235" s="27"/>
    </row>
    <row r="36236" spans="1:1">
      <c r="A36236" s="27"/>
    </row>
    <row r="36237" spans="1:1">
      <c r="A36237" s="27"/>
    </row>
    <row r="36238" spans="1:1">
      <c r="A36238" s="27"/>
    </row>
    <row r="36239" spans="1:1">
      <c r="A36239" s="27"/>
    </row>
    <row r="36240" spans="1:1">
      <c r="A36240" s="27"/>
    </row>
    <row r="36241" spans="1:1">
      <c r="A36241" s="27"/>
    </row>
    <row r="36242" spans="1:1">
      <c r="A36242" s="27"/>
    </row>
    <row r="36243" spans="1:1">
      <c r="A36243" s="27"/>
    </row>
    <row r="36244" spans="1:1">
      <c r="A36244" s="27"/>
    </row>
    <row r="36245" spans="1:1">
      <c r="A36245" s="27"/>
    </row>
    <row r="36246" spans="1:1">
      <c r="A36246" s="27"/>
    </row>
    <row r="36247" spans="1:1">
      <c r="A36247" s="27"/>
    </row>
    <row r="36248" spans="1:1">
      <c r="A36248" s="27"/>
    </row>
    <row r="36249" spans="1:1">
      <c r="A36249" s="27"/>
    </row>
    <row r="36250" spans="1:1">
      <c r="A36250" s="27"/>
    </row>
    <row r="36251" spans="1:1">
      <c r="A36251" s="27"/>
    </row>
    <row r="36252" spans="1:1">
      <c r="A36252" s="27"/>
    </row>
    <row r="36253" spans="1:1">
      <c r="A36253" s="27"/>
    </row>
    <row r="36254" spans="1:1">
      <c r="A36254" s="27"/>
    </row>
    <row r="36255" spans="1:1">
      <c r="A36255" s="27"/>
    </row>
    <row r="36256" spans="1:1">
      <c r="A36256" s="27"/>
    </row>
    <row r="36257" spans="1:1">
      <c r="A36257" s="27"/>
    </row>
    <row r="36258" spans="1:1">
      <c r="A36258" s="27"/>
    </row>
    <row r="36259" spans="1:1">
      <c r="A36259" s="27"/>
    </row>
    <row r="36260" spans="1:1">
      <c r="A36260" s="27"/>
    </row>
    <row r="36261" spans="1:1">
      <c r="A36261" s="27"/>
    </row>
    <row r="36262" spans="1:1">
      <c r="A36262" s="27"/>
    </row>
    <row r="36263" spans="1:1">
      <c r="A36263" s="27"/>
    </row>
    <row r="36264" spans="1:1">
      <c r="A36264" s="27"/>
    </row>
    <row r="36265" spans="1:1">
      <c r="A36265" s="27"/>
    </row>
    <row r="36266" spans="1:1">
      <c r="A36266" s="27"/>
    </row>
    <row r="36267" spans="1:1">
      <c r="A36267" s="27"/>
    </row>
    <row r="36268" spans="1:1">
      <c r="A36268" s="27"/>
    </row>
    <row r="36269" spans="1:1">
      <c r="A36269" s="27"/>
    </row>
    <row r="36270" spans="1:1">
      <c r="A36270" s="27"/>
    </row>
    <row r="36271" spans="1:1">
      <c r="A36271" s="27"/>
    </row>
    <row r="36272" spans="1:1">
      <c r="A36272" s="27"/>
    </row>
    <row r="36273" spans="1:1">
      <c r="A36273" s="27"/>
    </row>
    <row r="36274" spans="1:1">
      <c r="A36274" s="27"/>
    </row>
    <row r="36275" spans="1:1">
      <c r="A36275" s="27"/>
    </row>
    <row r="36276" spans="1:1">
      <c r="A36276" s="27"/>
    </row>
    <row r="36277" spans="1:1">
      <c r="A36277" s="27"/>
    </row>
    <row r="36278" spans="1:1">
      <c r="A36278" s="27"/>
    </row>
    <row r="36279" spans="1:1">
      <c r="A36279" s="27"/>
    </row>
    <row r="36280" spans="1:1">
      <c r="A36280" s="27"/>
    </row>
    <row r="36281" spans="1:1">
      <c r="A36281" s="27"/>
    </row>
    <row r="36282" spans="1:1">
      <c r="A36282" s="27"/>
    </row>
    <row r="36283" spans="1:1">
      <c r="A36283" s="27"/>
    </row>
    <row r="36284" spans="1:1">
      <c r="A36284" s="27"/>
    </row>
    <row r="36285" spans="1:1">
      <c r="A36285" s="27"/>
    </row>
    <row r="36286" spans="1:1">
      <c r="A36286" s="27"/>
    </row>
    <row r="36287" spans="1:1">
      <c r="A36287" s="27"/>
    </row>
    <row r="36288" spans="1:1">
      <c r="A36288" s="27"/>
    </row>
    <row r="36289" spans="1:1">
      <c r="A36289" s="27"/>
    </row>
    <row r="36290" spans="1:1">
      <c r="A36290" s="27"/>
    </row>
    <row r="36291" spans="1:1">
      <c r="A36291" s="27"/>
    </row>
    <row r="36292" spans="1:1">
      <c r="A36292" s="27"/>
    </row>
    <row r="36293" spans="1:1">
      <c r="A36293" s="27"/>
    </row>
    <row r="36294" spans="1:1">
      <c r="A36294" s="27"/>
    </row>
    <row r="36295" spans="1:1">
      <c r="A36295" s="27"/>
    </row>
    <row r="36296" spans="1:1">
      <c r="A36296" s="27"/>
    </row>
    <row r="36297" spans="1:1">
      <c r="A36297" s="27"/>
    </row>
    <row r="36298" spans="1:1">
      <c r="A36298" s="27"/>
    </row>
    <row r="36299" spans="1:1">
      <c r="A36299" s="27"/>
    </row>
    <row r="36300" spans="1:1">
      <c r="A36300" s="27"/>
    </row>
    <row r="36301" spans="1:1">
      <c r="A36301" s="27"/>
    </row>
    <row r="36302" spans="1:1">
      <c r="A36302" s="27"/>
    </row>
    <row r="36303" spans="1:1">
      <c r="A36303" s="27"/>
    </row>
    <row r="36304" spans="1:1">
      <c r="A36304" s="27"/>
    </row>
    <row r="36305" spans="1:1">
      <c r="A36305" s="27"/>
    </row>
    <row r="36306" spans="1:1">
      <c r="A36306" s="27"/>
    </row>
    <row r="36307" spans="1:1">
      <c r="A36307" s="27"/>
    </row>
    <row r="36308" spans="1:1">
      <c r="A36308" s="27"/>
    </row>
    <row r="36309" spans="1:1">
      <c r="A36309" s="27"/>
    </row>
    <row r="36310" spans="1:1">
      <c r="A36310" s="27"/>
    </row>
    <row r="36311" spans="1:1">
      <c r="A36311" s="27"/>
    </row>
    <row r="36312" spans="1:1">
      <c r="A36312" s="27"/>
    </row>
    <row r="36313" spans="1:1">
      <c r="A36313" s="27"/>
    </row>
    <row r="36314" spans="1:1">
      <c r="A36314" s="27"/>
    </row>
    <row r="36315" spans="1:1">
      <c r="A36315" s="27"/>
    </row>
    <row r="36316" spans="1:1">
      <c r="A36316" s="27"/>
    </row>
    <row r="36317" spans="1:1">
      <c r="A36317" s="27"/>
    </row>
    <row r="36318" spans="1:1">
      <c r="A36318" s="27"/>
    </row>
    <row r="36319" spans="1:1">
      <c r="A36319" s="27"/>
    </row>
    <row r="36320" spans="1:1">
      <c r="A36320" s="27"/>
    </row>
    <row r="36321" spans="1:1">
      <c r="A36321" s="27"/>
    </row>
    <row r="36322" spans="1:1">
      <c r="A36322" s="27"/>
    </row>
    <row r="36323" spans="1:1">
      <c r="A36323" s="27"/>
    </row>
    <row r="36324" spans="1:1">
      <c r="A36324" s="27"/>
    </row>
    <row r="36325" spans="1:1">
      <c r="A36325" s="27"/>
    </row>
    <row r="36326" spans="1:1">
      <c r="A36326" s="27"/>
    </row>
    <row r="36327" spans="1:1">
      <c r="A36327" s="27"/>
    </row>
    <row r="36328" spans="1:1">
      <c r="A36328" s="27"/>
    </row>
    <row r="36329" spans="1:1">
      <c r="A36329" s="27"/>
    </row>
    <row r="36330" spans="1:1">
      <c r="A36330" s="27"/>
    </row>
    <row r="36331" spans="1:1">
      <c r="A36331" s="27"/>
    </row>
    <row r="36332" spans="1:1">
      <c r="A36332" s="27"/>
    </row>
    <row r="36333" spans="1:1">
      <c r="A36333" s="27"/>
    </row>
    <row r="36334" spans="1:1">
      <c r="A36334" s="27"/>
    </row>
    <row r="36335" spans="1:1">
      <c r="A36335" s="27"/>
    </row>
    <row r="36336" spans="1:1">
      <c r="A36336" s="27"/>
    </row>
    <row r="36337" spans="1:1">
      <c r="A36337" s="27"/>
    </row>
    <row r="36338" spans="1:1">
      <c r="A36338" s="27"/>
    </row>
    <row r="36339" spans="1:1">
      <c r="A36339" s="27"/>
    </row>
    <row r="36340" spans="1:1">
      <c r="A36340" s="27"/>
    </row>
    <row r="36341" spans="1:1">
      <c r="A36341" s="27"/>
    </row>
    <row r="36342" spans="1:1">
      <c r="A36342" s="27"/>
    </row>
    <row r="36343" spans="1:1">
      <c r="A36343" s="27"/>
    </row>
    <row r="36344" spans="1:1">
      <c r="A36344" s="27"/>
    </row>
    <row r="36345" spans="1:1">
      <c r="A36345" s="27"/>
    </row>
    <row r="36346" spans="1:1">
      <c r="A36346" s="27"/>
    </row>
    <row r="36347" spans="1:1">
      <c r="A36347" s="27"/>
    </row>
    <row r="36348" spans="1:1">
      <c r="A36348" s="27"/>
    </row>
    <row r="36349" spans="1:1">
      <c r="A36349" s="27"/>
    </row>
    <row r="36350" spans="1:1">
      <c r="A36350" s="27"/>
    </row>
    <row r="36351" spans="1:1">
      <c r="A36351" s="27"/>
    </row>
    <row r="36352" spans="1:1">
      <c r="A36352" s="27"/>
    </row>
    <row r="36353" spans="1:1">
      <c r="A36353" s="27"/>
    </row>
    <row r="36354" spans="1:1">
      <c r="A36354" s="27"/>
    </row>
    <row r="36355" spans="1:1">
      <c r="A36355" s="27"/>
    </row>
    <row r="36356" spans="1:1">
      <c r="A36356" s="27"/>
    </row>
    <row r="36357" spans="1:1">
      <c r="A36357" s="27"/>
    </row>
    <row r="36358" spans="1:1">
      <c r="A36358" s="27"/>
    </row>
    <row r="36359" spans="1:1">
      <c r="A36359" s="27"/>
    </row>
    <row r="36360" spans="1:1">
      <c r="A36360" s="27"/>
    </row>
    <row r="36361" spans="1:1">
      <c r="A36361" s="27"/>
    </row>
    <row r="36362" spans="1:1">
      <c r="A36362" s="27"/>
    </row>
    <row r="36363" spans="1:1">
      <c r="A36363" s="27"/>
    </row>
    <row r="36364" spans="1:1">
      <c r="A36364" s="27"/>
    </row>
    <row r="36365" spans="1:1">
      <c r="A36365" s="27"/>
    </row>
    <row r="36366" spans="1:1">
      <c r="A36366" s="27"/>
    </row>
    <row r="36367" spans="1:1">
      <c r="A36367" s="27"/>
    </row>
    <row r="36368" spans="1:1">
      <c r="A36368" s="27"/>
    </row>
    <row r="36369" spans="1:1">
      <c r="A36369" s="27"/>
    </row>
    <row r="36370" spans="1:1">
      <c r="A36370" s="27"/>
    </row>
    <row r="36371" spans="1:1">
      <c r="A36371" s="27"/>
    </row>
    <row r="36372" spans="1:1">
      <c r="A36372" s="27"/>
    </row>
    <row r="36373" spans="1:1">
      <c r="A36373" s="27"/>
    </row>
    <row r="36374" spans="1:1">
      <c r="A36374" s="27"/>
    </row>
    <row r="36375" spans="1:1">
      <c r="A36375" s="27"/>
    </row>
    <row r="36376" spans="1:1">
      <c r="A36376" s="27"/>
    </row>
    <row r="36377" spans="1:1">
      <c r="A36377" s="27"/>
    </row>
    <row r="36378" spans="1:1">
      <c r="A36378" s="27"/>
    </row>
    <row r="36379" spans="1:1">
      <c r="A36379" s="27"/>
    </row>
    <row r="36380" spans="1:1">
      <c r="A36380" s="27"/>
    </row>
    <row r="36381" spans="1:1">
      <c r="A36381" s="27"/>
    </row>
    <row r="36382" spans="1:1">
      <c r="A36382" s="27"/>
    </row>
    <row r="36383" spans="1:1">
      <c r="A36383" s="27"/>
    </row>
    <row r="36384" spans="1:1">
      <c r="A36384" s="27"/>
    </row>
    <row r="36385" spans="1:1">
      <c r="A36385" s="27"/>
    </row>
    <row r="36386" spans="1:1">
      <c r="A36386" s="27"/>
    </row>
    <row r="36387" spans="1:1">
      <c r="A36387" s="27"/>
    </row>
    <row r="36388" spans="1:1">
      <c r="A36388" s="27"/>
    </row>
    <row r="36389" spans="1:1">
      <c r="A36389" s="27"/>
    </row>
    <row r="36390" spans="1:1">
      <c r="A36390" s="27"/>
    </row>
    <row r="36391" spans="1:1">
      <c r="A36391" s="27"/>
    </row>
    <row r="36392" spans="1:1">
      <c r="A36392" s="27"/>
    </row>
    <row r="36393" spans="1:1">
      <c r="A36393" s="27"/>
    </row>
    <row r="36394" spans="1:1">
      <c r="A36394" s="27"/>
    </row>
    <row r="36395" spans="1:1">
      <c r="A36395" s="27"/>
    </row>
    <row r="36396" spans="1:1">
      <c r="A36396" s="27"/>
    </row>
    <row r="36397" spans="1:1">
      <c r="A36397" s="27"/>
    </row>
    <row r="36398" spans="1:1">
      <c r="A36398" s="27"/>
    </row>
    <row r="36399" spans="1:1">
      <c r="A36399" s="27"/>
    </row>
    <row r="36400" spans="1:1">
      <c r="A36400" s="27"/>
    </row>
    <row r="36401" spans="1:1">
      <c r="A36401" s="27"/>
    </row>
    <row r="36402" spans="1:1">
      <c r="A36402" s="27"/>
    </row>
    <row r="36403" spans="1:1">
      <c r="A36403" s="27"/>
    </row>
    <row r="36404" spans="1:1">
      <c r="A36404" s="27"/>
    </row>
    <row r="36405" spans="1:1">
      <c r="A36405" s="27"/>
    </row>
    <row r="36406" spans="1:1">
      <c r="A36406" s="27"/>
    </row>
    <row r="36407" spans="1:1">
      <c r="A36407" s="27"/>
    </row>
    <row r="36408" spans="1:1">
      <c r="A36408" s="27"/>
    </row>
    <row r="36409" spans="1:1">
      <c r="A36409" s="27"/>
    </row>
    <row r="36410" spans="1:1">
      <c r="A36410" s="27"/>
    </row>
    <row r="36411" spans="1:1">
      <c r="A36411" s="27"/>
    </row>
    <row r="36412" spans="1:1">
      <c r="A36412" s="27"/>
    </row>
    <row r="36413" spans="1:1">
      <c r="A36413" s="27"/>
    </row>
    <row r="36414" spans="1:1">
      <c r="A36414" s="27"/>
    </row>
    <row r="36415" spans="1:1">
      <c r="A36415" s="27"/>
    </row>
    <row r="36416" spans="1:1">
      <c r="A36416" s="27"/>
    </row>
    <row r="36417" spans="1:1">
      <c r="A36417" s="27"/>
    </row>
    <row r="36418" spans="1:1">
      <c r="A36418" s="27"/>
    </row>
    <row r="36419" spans="1:1">
      <c r="A36419" s="27"/>
    </row>
    <row r="36420" spans="1:1">
      <c r="A36420" s="27"/>
    </row>
    <row r="36421" spans="1:1">
      <c r="A36421" s="27"/>
    </row>
    <row r="36422" spans="1:1">
      <c r="A36422" s="27"/>
    </row>
    <row r="36423" spans="1:1">
      <c r="A36423" s="27"/>
    </row>
    <row r="36424" spans="1:1">
      <c r="A36424" s="27"/>
    </row>
    <row r="36425" spans="1:1">
      <c r="A36425" s="27"/>
    </row>
    <row r="36426" spans="1:1">
      <c r="A36426" s="27"/>
    </row>
    <row r="36427" spans="1:1">
      <c r="A36427" s="27"/>
    </row>
    <row r="36428" spans="1:1">
      <c r="A36428" s="27"/>
    </row>
    <row r="36429" spans="1:1">
      <c r="A36429" s="27"/>
    </row>
    <row r="36430" spans="1:1">
      <c r="A36430" s="27"/>
    </row>
    <row r="36431" spans="1:1">
      <c r="A36431" s="27"/>
    </row>
    <row r="36432" spans="1:1">
      <c r="A36432" s="27"/>
    </row>
    <row r="36433" spans="1:1">
      <c r="A36433" s="27"/>
    </row>
    <row r="36434" spans="1:1">
      <c r="A36434" s="27"/>
    </row>
    <row r="36435" spans="1:1">
      <c r="A36435" s="27"/>
    </row>
    <row r="36436" spans="1:1">
      <c r="A36436" s="27"/>
    </row>
    <row r="36437" spans="1:1">
      <c r="A36437" s="27"/>
    </row>
    <row r="36438" spans="1:1">
      <c r="A36438" s="27"/>
    </row>
    <row r="36439" spans="1:1">
      <c r="A36439" s="27"/>
    </row>
    <row r="36440" spans="1:1">
      <c r="A36440" s="27"/>
    </row>
    <row r="36441" spans="1:1">
      <c r="A36441" s="27"/>
    </row>
    <row r="36442" spans="1:1">
      <c r="A36442" s="27"/>
    </row>
    <row r="36443" spans="1:1">
      <c r="A36443" s="27"/>
    </row>
    <row r="36444" spans="1:1">
      <c r="A36444" s="27"/>
    </row>
    <row r="36445" spans="1:1">
      <c r="A36445" s="27"/>
    </row>
    <row r="36446" spans="1:1">
      <c r="A36446" s="27"/>
    </row>
    <row r="36447" spans="1:1">
      <c r="A36447" s="27"/>
    </row>
    <row r="36448" spans="1:1">
      <c r="A36448" s="27"/>
    </row>
    <row r="36449" spans="1:1">
      <c r="A36449" s="27"/>
    </row>
    <row r="36450" spans="1:1">
      <c r="A36450" s="27"/>
    </row>
    <row r="36451" spans="1:1">
      <c r="A36451" s="27"/>
    </row>
    <row r="36452" spans="1:1">
      <c r="A36452" s="27"/>
    </row>
    <row r="36453" spans="1:1">
      <c r="A36453" s="27"/>
    </row>
    <row r="36454" spans="1:1">
      <c r="A36454" s="27"/>
    </row>
    <row r="36455" spans="1:1">
      <c r="A36455" s="27"/>
    </row>
    <row r="36456" spans="1:1">
      <c r="A36456" s="27"/>
    </row>
    <row r="36457" spans="1:1">
      <c r="A36457" s="27"/>
    </row>
    <row r="36458" spans="1:1">
      <c r="A36458" s="27"/>
    </row>
    <row r="36459" spans="1:1">
      <c r="A36459" s="27"/>
    </row>
    <row r="36460" spans="1:1">
      <c r="A36460" s="27"/>
    </row>
    <row r="36461" spans="1:1">
      <c r="A36461" s="27"/>
    </row>
    <row r="36462" spans="1:1">
      <c r="A36462" s="27"/>
    </row>
    <row r="36463" spans="1:1">
      <c r="A36463" s="27"/>
    </row>
    <row r="36464" spans="1:1">
      <c r="A36464" s="27"/>
    </row>
    <row r="36465" spans="1:1">
      <c r="A36465" s="27"/>
    </row>
    <row r="36466" spans="1:1">
      <c r="A36466" s="27"/>
    </row>
    <row r="36467" spans="1:1">
      <c r="A36467" s="27"/>
    </row>
    <row r="36468" spans="1:1">
      <c r="A36468" s="27"/>
    </row>
    <row r="36469" spans="1:1">
      <c r="A36469" s="27"/>
    </row>
    <row r="36470" spans="1:1">
      <c r="A36470" s="27"/>
    </row>
    <row r="36471" spans="1:1">
      <c r="A36471" s="27"/>
    </row>
    <row r="36472" spans="1:1">
      <c r="A36472" s="27"/>
    </row>
    <row r="36473" spans="1:1">
      <c r="A36473" s="27"/>
    </row>
    <row r="36474" spans="1:1">
      <c r="A36474" s="27"/>
    </row>
    <row r="36475" spans="1:1">
      <c r="A36475" s="27"/>
    </row>
    <row r="36476" spans="1:1">
      <c r="A36476" s="27"/>
    </row>
    <row r="36477" spans="1:1">
      <c r="A36477" s="27"/>
    </row>
    <row r="36478" spans="1:1">
      <c r="A36478" s="27"/>
    </row>
    <row r="36479" spans="1:1">
      <c r="A36479" s="27"/>
    </row>
    <row r="36480" spans="1:1">
      <c r="A36480" s="27"/>
    </row>
    <row r="36481" spans="1:1">
      <c r="A36481" s="27"/>
    </row>
    <row r="36482" spans="1:1">
      <c r="A36482" s="27"/>
    </row>
    <row r="36483" spans="1:1">
      <c r="A36483" s="27"/>
    </row>
    <row r="36484" spans="1:1">
      <c r="A36484" s="27"/>
    </row>
    <row r="36485" spans="1:1">
      <c r="A36485" s="27"/>
    </row>
    <row r="36486" spans="1:1">
      <c r="A36486" s="27"/>
    </row>
    <row r="36487" spans="1:1">
      <c r="A36487" s="27"/>
    </row>
    <row r="36488" spans="1:1">
      <c r="A36488" s="27"/>
    </row>
    <row r="36489" spans="1:1">
      <c r="A36489" s="27"/>
    </row>
    <row r="36490" spans="1:1">
      <c r="A36490" s="27"/>
    </row>
    <row r="36491" spans="1:1">
      <c r="A36491" s="27"/>
    </row>
    <row r="36492" spans="1:1">
      <c r="A36492" s="27"/>
    </row>
    <row r="36493" spans="1:1">
      <c r="A36493" s="27"/>
    </row>
    <row r="36494" spans="1:1">
      <c r="A36494" s="27"/>
    </row>
    <row r="36495" spans="1:1">
      <c r="A36495" s="27"/>
    </row>
    <row r="36496" spans="1:1">
      <c r="A36496" s="27"/>
    </row>
    <row r="36497" spans="1:1">
      <c r="A36497" s="27"/>
    </row>
    <row r="36498" spans="1:1">
      <c r="A36498" s="27"/>
    </row>
    <row r="36499" spans="1:1">
      <c r="A36499" s="27"/>
    </row>
    <row r="36500" spans="1:1">
      <c r="A36500" s="27"/>
    </row>
    <row r="36501" spans="1:1">
      <c r="A36501" s="27"/>
    </row>
    <row r="36502" spans="1:1">
      <c r="A36502" s="27"/>
    </row>
    <row r="36503" spans="1:1">
      <c r="A36503" s="27"/>
    </row>
    <row r="36504" spans="1:1">
      <c r="A36504" s="27"/>
    </row>
    <row r="36505" spans="1:1">
      <c r="A36505" s="27"/>
    </row>
    <row r="36506" spans="1:1">
      <c r="A36506" s="27"/>
    </row>
    <row r="36507" spans="1:1">
      <c r="A36507" s="27"/>
    </row>
    <row r="36508" spans="1:1">
      <c r="A36508" s="27"/>
    </row>
    <row r="36509" spans="1:1">
      <c r="A36509" s="27"/>
    </row>
    <row r="36510" spans="1:1">
      <c r="A36510" s="27"/>
    </row>
    <row r="36511" spans="1:1">
      <c r="A36511" s="27"/>
    </row>
    <row r="36512" spans="1:1">
      <c r="A36512" s="27"/>
    </row>
    <row r="36513" spans="1:1">
      <c r="A36513" s="27"/>
    </row>
    <row r="36514" spans="1:1">
      <c r="A36514" s="27"/>
    </row>
    <row r="36515" spans="1:1">
      <c r="A36515" s="27"/>
    </row>
    <row r="36516" spans="1:1">
      <c r="A36516" s="27"/>
    </row>
    <row r="36517" spans="1:1">
      <c r="A36517" s="27"/>
    </row>
    <row r="36518" spans="1:1">
      <c r="A36518" s="27"/>
    </row>
    <row r="36519" spans="1:1">
      <c r="A36519" s="27"/>
    </row>
    <row r="36520" spans="1:1">
      <c r="A36520" s="27"/>
    </row>
    <row r="36521" spans="1:1">
      <c r="A36521" s="27"/>
    </row>
    <row r="36522" spans="1:1">
      <c r="A36522" s="27"/>
    </row>
    <row r="36523" spans="1:1">
      <c r="A36523" s="27"/>
    </row>
    <row r="36524" spans="1:1">
      <c r="A36524" s="27"/>
    </row>
    <row r="36525" spans="1:1">
      <c r="A36525" s="27"/>
    </row>
    <row r="36526" spans="1:1">
      <c r="A36526" s="27"/>
    </row>
    <row r="36527" spans="1:1">
      <c r="A36527" s="27"/>
    </row>
    <row r="36528" spans="1:1">
      <c r="A36528" s="27"/>
    </row>
    <row r="36529" spans="1:1">
      <c r="A36529" s="27"/>
    </row>
    <row r="36530" spans="1:1">
      <c r="A36530" s="27"/>
    </row>
    <row r="36531" spans="1:1">
      <c r="A36531" s="27"/>
    </row>
    <row r="36532" spans="1:1">
      <c r="A36532" s="27"/>
    </row>
    <row r="36533" spans="1:1">
      <c r="A36533" s="27"/>
    </row>
    <row r="36534" spans="1:1">
      <c r="A36534" s="27"/>
    </row>
    <row r="36535" spans="1:1">
      <c r="A36535" s="27"/>
    </row>
    <row r="36536" spans="1:1">
      <c r="A36536" s="27"/>
    </row>
    <row r="36537" spans="1:1">
      <c r="A36537" s="27"/>
    </row>
    <row r="36538" spans="1:1">
      <c r="A36538" s="27"/>
    </row>
    <row r="36539" spans="1:1">
      <c r="A36539" s="27"/>
    </row>
    <row r="36540" spans="1:1">
      <c r="A36540" s="27"/>
    </row>
    <row r="36541" spans="1:1">
      <c r="A36541" s="27"/>
    </row>
    <row r="36542" spans="1:1">
      <c r="A36542" s="27"/>
    </row>
    <row r="36543" spans="1:1">
      <c r="A36543" s="27"/>
    </row>
    <row r="36544" spans="1:1">
      <c r="A36544" s="27"/>
    </row>
    <row r="36545" spans="1:1">
      <c r="A36545" s="27"/>
    </row>
    <row r="36546" spans="1:1">
      <c r="A36546" s="27"/>
    </row>
    <row r="36547" spans="1:1">
      <c r="A36547" s="27"/>
    </row>
    <row r="36548" spans="1:1">
      <c r="A36548" s="27"/>
    </row>
    <row r="36549" spans="1:1">
      <c r="A36549" s="27"/>
    </row>
    <row r="36550" spans="1:1">
      <c r="A36550" s="27"/>
    </row>
    <row r="36551" spans="1:1">
      <c r="A36551" s="27"/>
    </row>
    <row r="36552" spans="1:1">
      <c r="A36552" s="27"/>
    </row>
    <row r="36553" spans="1:1">
      <c r="A36553" s="27"/>
    </row>
    <row r="36554" spans="1:1">
      <c r="A36554" s="27"/>
    </row>
    <row r="36555" spans="1:1">
      <c r="A36555" s="27"/>
    </row>
    <row r="36556" spans="1:1">
      <c r="A36556" s="27"/>
    </row>
    <row r="36557" spans="1:1">
      <c r="A36557" s="27"/>
    </row>
    <row r="36558" spans="1:1">
      <c r="A36558" s="27"/>
    </row>
    <row r="36559" spans="1:1">
      <c r="A36559" s="27"/>
    </row>
    <row r="36560" spans="1:1">
      <c r="A36560" s="27"/>
    </row>
    <row r="36561" spans="1:1">
      <c r="A36561" s="27"/>
    </row>
    <row r="36562" spans="1:1">
      <c r="A36562" s="27"/>
    </row>
    <row r="36563" spans="1:1">
      <c r="A36563" s="27"/>
    </row>
    <row r="36564" spans="1:1">
      <c r="A36564" s="27"/>
    </row>
    <row r="36565" spans="1:1">
      <c r="A36565" s="27"/>
    </row>
    <row r="36566" spans="1:1">
      <c r="A36566" s="27"/>
    </row>
    <row r="36567" spans="1:1">
      <c r="A36567" s="27"/>
    </row>
    <row r="36568" spans="1:1">
      <c r="A36568" s="27"/>
    </row>
    <row r="36569" spans="1:1">
      <c r="A36569" s="27"/>
    </row>
    <row r="36570" spans="1:1">
      <c r="A36570" s="27"/>
    </row>
    <row r="36571" spans="1:1">
      <c r="A36571" s="27"/>
    </row>
    <row r="36572" spans="1:1">
      <c r="A36572" s="27"/>
    </row>
    <row r="36573" spans="1:1">
      <c r="A36573" s="27"/>
    </row>
    <row r="36574" spans="1:1">
      <c r="A36574" s="27"/>
    </row>
    <row r="36575" spans="1:1">
      <c r="A36575" s="27"/>
    </row>
    <row r="36576" spans="1:1">
      <c r="A36576" s="27"/>
    </row>
    <row r="36577" spans="1:1">
      <c r="A36577" s="27"/>
    </row>
    <row r="36578" spans="1:1">
      <c r="A36578" s="27"/>
    </row>
    <row r="36579" spans="1:1">
      <c r="A36579" s="27"/>
    </row>
    <row r="36580" spans="1:1">
      <c r="A36580" s="27"/>
    </row>
    <row r="36581" spans="1:1">
      <c r="A36581" s="27"/>
    </row>
    <row r="36582" spans="1:1">
      <c r="A36582" s="27"/>
    </row>
    <row r="36583" spans="1:1">
      <c r="A36583" s="27"/>
    </row>
    <row r="36584" spans="1:1">
      <c r="A36584" s="27"/>
    </row>
    <row r="36585" spans="1:1">
      <c r="A36585" s="27"/>
    </row>
    <row r="36586" spans="1:1">
      <c r="A36586" s="27"/>
    </row>
    <row r="36587" spans="1:1">
      <c r="A36587" s="27"/>
    </row>
    <row r="36588" spans="1:1">
      <c r="A36588" s="27"/>
    </row>
    <row r="36589" spans="1:1">
      <c r="A36589" s="27"/>
    </row>
    <row r="36590" spans="1:1">
      <c r="A36590" s="27"/>
    </row>
    <row r="36591" spans="1:1">
      <c r="A36591" s="27"/>
    </row>
    <row r="36592" spans="1:1">
      <c r="A36592" s="27"/>
    </row>
    <row r="36593" spans="1:1">
      <c r="A36593" s="27"/>
    </row>
    <row r="36594" spans="1:1">
      <c r="A36594" s="27"/>
    </row>
    <row r="36595" spans="1:1">
      <c r="A36595" s="27"/>
    </row>
    <row r="36596" spans="1:1">
      <c r="A36596" s="27"/>
    </row>
    <row r="36597" spans="1:1">
      <c r="A36597" s="27"/>
    </row>
    <row r="36598" spans="1:1">
      <c r="A36598" s="27"/>
    </row>
    <row r="36599" spans="1:1">
      <c r="A36599" s="27"/>
    </row>
    <row r="36600" spans="1:1">
      <c r="A36600" s="27"/>
    </row>
    <row r="36601" spans="1:1">
      <c r="A36601" s="27"/>
    </row>
    <row r="36602" spans="1:1">
      <c r="A36602" s="27"/>
    </row>
    <row r="36603" spans="1:1">
      <c r="A36603" s="27"/>
    </row>
    <row r="36604" spans="1:1">
      <c r="A36604" s="27"/>
    </row>
    <row r="36605" spans="1:1">
      <c r="A36605" s="27"/>
    </row>
    <row r="36606" spans="1:1">
      <c r="A36606" s="27"/>
    </row>
    <row r="36607" spans="1:1">
      <c r="A36607" s="27"/>
    </row>
    <row r="36608" spans="1:1">
      <c r="A36608" s="27"/>
    </row>
    <row r="36609" spans="1:1">
      <c r="A36609" s="27"/>
    </row>
    <row r="36610" spans="1:1">
      <c r="A36610" s="27"/>
    </row>
    <row r="36611" spans="1:1">
      <c r="A36611" s="27"/>
    </row>
    <row r="36612" spans="1:1">
      <c r="A36612" s="27"/>
    </row>
    <row r="36613" spans="1:1">
      <c r="A36613" s="27"/>
    </row>
    <row r="36614" spans="1:1">
      <c r="A36614" s="27"/>
    </row>
    <row r="36615" spans="1:1">
      <c r="A36615" s="27"/>
    </row>
    <row r="36616" spans="1:1">
      <c r="A36616" s="27"/>
    </row>
    <row r="36617" spans="1:1">
      <c r="A36617" s="27"/>
    </row>
    <row r="36618" spans="1:1">
      <c r="A36618" s="27"/>
    </row>
    <row r="36619" spans="1:1">
      <c r="A36619" s="27"/>
    </row>
    <row r="36620" spans="1:1">
      <c r="A36620" s="27"/>
    </row>
    <row r="36621" spans="1:1">
      <c r="A36621" s="27"/>
    </row>
    <row r="36622" spans="1:1">
      <c r="A36622" s="27"/>
    </row>
    <row r="36623" spans="1:1">
      <c r="A36623" s="27"/>
    </row>
    <row r="36624" spans="1:1">
      <c r="A36624" s="27"/>
    </row>
    <row r="36625" spans="1:1">
      <c r="A36625" s="27"/>
    </row>
    <row r="36626" spans="1:1">
      <c r="A36626" s="27"/>
    </row>
    <row r="36627" spans="1:1">
      <c r="A36627" s="27"/>
    </row>
    <row r="36628" spans="1:1">
      <c r="A36628" s="27"/>
    </row>
    <row r="36629" spans="1:1">
      <c r="A36629" s="27"/>
    </row>
    <row r="36630" spans="1:1">
      <c r="A36630" s="27"/>
    </row>
    <row r="36631" spans="1:1">
      <c r="A36631" s="27"/>
    </row>
    <row r="36632" spans="1:1">
      <c r="A36632" s="27"/>
    </row>
    <row r="36633" spans="1:1">
      <c r="A36633" s="27"/>
    </row>
    <row r="36634" spans="1:1">
      <c r="A36634" s="27"/>
    </row>
    <row r="36635" spans="1:1">
      <c r="A36635" s="27"/>
    </row>
    <row r="36636" spans="1:1">
      <c r="A36636" s="27"/>
    </row>
    <row r="36637" spans="1:1">
      <c r="A36637" s="27"/>
    </row>
    <row r="36638" spans="1:1">
      <c r="A36638" s="27"/>
    </row>
    <row r="36639" spans="1:1">
      <c r="A36639" s="27"/>
    </row>
    <row r="36640" spans="1:1">
      <c r="A36640" s="27"/>
    </row>
    <row r="36641" spans="1:1">
      <c r="A36641" s="27"/>
    </row>
    <row r="36642" spans="1:1">
      <c r="A36642" s="27"/>
    </row>
    <row r="36643" spans="1:1">
      <c r="A36643" s="27"/>
    </row>
    <row r="36644" spans="1:1">
      <c r="A36644" s="27"/>
    </row>
    <row r="36645" spans="1:1">
      <c r="A36645" s="27"/>
    </row>
    <row r="36646" spans="1:1">
      <c r="A36646" s="27"/>
    </row>
    <row r="36647" spans="1:1">
      <c r="A36647" s="27"/>
    </row>
    <row r="36648" spans="1:1">
      <c r="A36648" s="27"/>
    </row>
    <row r="36649" spans="1:1">
      <c r="A36649" s="27"/>
    </row>
    <row r="36650" spans="1:1">
      <c r="A36650" s="27"/>
    </row>
    <row r="36651" spans="1:1">
      <c r="A36651" s="27"/>
    </row>
    <row r="36652" spans="1:1">
      <c r="A36652" s="27"/>
    </row>
    <row r="36653" spans="1:1">
      <c r="A36653" s="27"/>
    </row>
    <row r="36654" spans="1:1">
      <c r="A36654" s="27"/>
    </row>
    <row r="36655" spans="1:1">
      <c r="A36655" s="27"/>
    </row>
    <row r="36656" spans="1:1">
      <c r="A36656" s="27"/>
    </row>
    <row r="36657" spans="1:1">
      <c r="A36657" s="27"/>
    </row>
    <row r="36658" spans="1:1">
      <c r="A36658" s="27"/>
    </row>
    <row r="36659" spans="1:1">
      <c r="A36659" s="27"/>
    </row>
    <row r="36660" spans="1:1">
      <c r="A36660" s="27"/>
    </row>
    <row r="36661" spans="1:1">
      <c r="A36661" s="27"/>
    </row>
    <row r="36662" spans="1:1">
      <c r="A36662" s="27"/>
    </row>
    <row r="36663" spans="1:1">
      <c r="A36663" s="27"/>
    </row>
    <row r="36664" spans="1:1">
      <c r="A36664" s="27"/>
    </row>
    <row r="36665" spans="1:1">
      <c r="A36665" s="27"/>
    </row>
    <row r="36666" spans="1:1">
      <c r="A36666" s="27"/>
    </row>
    <row r="36667" spans="1:1">
      <c r="A36667" s="27"/>
    </row>
    <row r="36668" spans="1:1">
      <c r="A36668" s="27"/>
    </row>
    <row r="36669" spans="1:1">
      <c r="A36669" s="27"/>
    </row>
    <row r="36670" spans="1:1">
      <c r="A36670" s="27"/>
    </row>
    <row r="36671" spans="1:1">
      <c r="A36671" s="27"/>
    </row>
    <row r="36672" spans="1:1">
      <c r="A36672" s="27"/>
    </row>
    <row r="36673" spans="1:1">
      <c r="A36673" s="27"/>
    </row>
    <row r="36674" spans="1:1">
      <c r="A36674" s="27"/>
    </row>
    <row r="36675" spans="1:1">
      <c r="A36675" s="27"/>
    </row>
    <row r="36676" spans="1:1">
      <c r="A36676" s="27"/>
    </row>
    <row r="36677" spans="1:1">
      <c r="A36677" s="27"/>
    </row>
    <row r="36678" spans="1:1">
      <c r="A36678" s="27"/>
    </row>
    <row r="36679" spans="1:1">
      <c r="A36679" s="27"/>
    </row>
    <row r="36680" spans="1:1">
      <c r="A36680" s="27"/>
    </row>
    <row r="36681" spans="1:1">
      <c r="A36681" s="27"/>
    </row>
    <row r="36682" spans="1:1">
      <c r="A36682" s="27"/>
    </row>
    <row r="36683" spans="1:1">
      <c r="A36683" s="27"/>
    </row>
    <row r="36684" spans="1:1">
      <c r="A36684" s="27"/>
    </row>
    <row r="36685" spans="1:1">
      <c r="A36685" s="27"/>
    </row>
    <row r="36686" spans="1:1">
      <c r="A36686" s="27"/>
    </row>
    <row r="36687" spans="1:1">
      <c r="A36687" s="27"/>
    </row>
    <row r="36688" spans="1:1">
      <c r="A36688" s="27"/>
    </row>
    <row r="36689" spans="1:1">
      <c r="A36689" s="27"/>
    </row>
    <row r="36690" spans="1:1">
      <c r="A36690" s="27"/>
    </row>
    <row r="36691" spans="1:1">
      <c r="A36691" s="27"/>
    </row>
    <row r="36692" spans="1:1">
      <c r="A36692" s="27"/>
    </row>
    <row r="36693" spans="1:1">
      <c r="A36693" s="27"/>
    </row>
    <row r="36694" spans="1:1">
      <c r="A36694" s="27"/>
    </row>
    <row r="36695" spans="1:1">
      <c r="A36695" s="27"/>
    </row>
    <row r="36696" spans="1:1">
      <c r="A36696" s="27"/>
    </row>
    <row r="36697" spans="1:1">
      <c r="A36697" s="27"/>
    </row>
    <row r="36698" spans="1:1">
      <c r="A36698" s="27"/>
    </row>
    <row r="36699" spans="1:1">
      <c r="A36699" s="27"/>
    </row>
    <row r="36700" spans="1:1">
      <c r="A36700" s="27"/>
    </row>
    <row r="36701" spans="1:1">
      <c r="A36701" s="27"/>
    </row>
    <row r="36702" spans="1:1">
      <c r="A36702" s="27"/>
    </row>
    <row r="36703" spans="1:1">
      <c r="A36703" s="27"/>
    </row>
    <row r="36704" spans="1:1">
      <c r="A36704" s="27"/>
    </row>
    <row r="36705" spans="1:1">
      <c r="A36705" s="27"/>
    </row>
    <row r="36706" spans="1:1">
      <c r="A36706" s="27"/>
    </row>
    <row r="36707" spans="1:1">
      <c r="A36707" s="27"/>
    </row>
    <row r="36708" spans="1:1">
      <c r="A36708" s="27"/>
    </row>
    <row r="36709" spans="1:1">
      <c r="A36709" s="27"/>
    </row>
    <row r="36710" spans="1:1">
      <c r="A36710" s="27"/>
    </row>
    <row r="36711" spans="1:1">
      <c r="A36711" s="27"/>
    </row>
    <row r="36712" spans="1:1">
      <c r="A36712" s="27"/>
    </row>
    <row r="36713" spans="1:1">
      <c r="A36713" s="27"/>
    </row>
    <row r="36714" spans="1:1">
      <c r="A36714" s="27"/>
    </row>
    <row r="36715" spans="1:1">
      <c r="A36715" s="27"/>
    </row>
    <row r="36716" spans="1:1">
      <c r="A36716" s="27"/>
    </row>
    <row r="36717" spans="1:1">
      <c r="A36717" s="27"/>
    </row>
    <row r="36718" spans="1:1">
      <c r="A36718" s="27"/>
    </row>
    <row r="36719" spans="1:1">
      <c r="A36719" s="27"/>
    </row>
    <row r="36720" spans="1:1">
      <c r="A36720" s="27"/>
    </row>
    <row r="36721" spans="1:1">
      <c r="A36721" s="27"/>
    </row>
    <row r="36722" spans="1:1">
      <c r="A36722" s="27"/>
    </row>
    <row r="36723" spans="1:1">
      <c r="A36723" s="27"/>
    </row>
    <row r="36724" spans="1:1">
      <c r="A36724" s="27"/>
    </row>
    <row r="36725" spans="1:1">
      <c r="A36725" s="27"/>
    </row>
    <row r="36726" spans="1:1">
      <c r="A36726" s="27"/>
    </row>
    <row r="36727" spans="1:1">
      <c r="A36727" s="27"/>
    </row>
    <row r="36728" spans="1:1">
      <c r="A36728" s="27"/>
    </row>
    <row r="36729" spans="1:1">
      <c r="A36729" s="27"/>
    </row>
    <row r="36730" spans="1:1">
      <c r="A36730" s="27"/>
    </row>
    <row r="36731" spans="1:1">
      <c r="A36731" s="27"/>
    </row>
    <row r="36732" spans="1:1">
      <c r="A36732" s="27"/>
    </row>
    <row r="36733" spans="1:1">
      <c r="A36733" s="27"/>
    </row>
    <row r="36734" spans="1:1">
      <c r="A36734" s="27"/>
    </row>
    <row r="36735" spans="1:1">
      <c r="A36735" s="27"/>
    </row>
    <row r="36736" spans="1:1">
      <c r="A36736" s="27"/>
    </row>
    <row r="36737" spans="1:1">
      <c r="A36737" s="27"/>
    </row>
    <row r="36738" spans="1:1">
      <c r="A36738" s="27"/>
    </row>
    <row r="36739" spans="1:1">
      <c r="A36739" s="27"/>
    </row>
    <row r="36740" spans="1:1">
      <c r="A36740" s="27"/>
    </row>
    <row r="36741" spans="1:1">
      <c r="A36741" s="27"/>
    </row>
    <row r="36742" spans="1:1">
      <c r="A36742" s="27"/>
    </row>
    <row r="36743" spans="1:1">
      <c r="A36743" s="27"/>
    </row>
    <row r="36744" spans="1:1">
      <c r="A36744" s="27"/>
    </row>
    <row r="36745" spans="1:1">
      <c r="A36745" s="27"/>
    </row>
    <row r="36746" spans="1:1">
      <c r="A36746" s="27"/>
    </row>
    <row r="36747" spans="1:1">
      <c r="A36747" s="27"/>
    </row>
    <row r="36748" spans="1:1">
      <c r="A36748" s="27"/>
    </row>
    <row r="36749" spans="1:1">
      <c r="A36749" s="27"/>
    </row>
    <row r="36750" spans="1:1">
      <c r="A36750" s="27"/>
    </row>
    <row r="36751" spans="1:1">
      <c r="A36751" s="27"/>
    </row>
    <row r="36752" spans="1:1">
      <c r="A36752" s="27"/>
    </row>
    <row r="36753" spans="1:1">
      <c r="A36753" s="27"/>
    </row>
    <row r="36754" spans="1:1">
      <c r="A36754" s="27"/>
    </row>
    <row r="36755" spans="1:1">
      <c r="A36755" s="27"/>
    </row>
    <row r="36756" spans="1:1">
      <c r="A36756" s="27"/>
    </row>
    <row r="36757" spans="1:1">
      <c r="A36757" s="27"/>
    </row>
    <row r="36758" spans="1:1">
      <c r="A36758" s="27"/>
    </row>
    <row r="36759" spans="1:1">
      <c r="A36759" s="27"/>
    </row>
    <row r="36760" spans="1:1">
      <c r="A36760" s="27"/>
    </row>
    <row r="36761" spans="1:1">
      <c r="A36761" s="27"/>
    </row>
    <row r="36762" spans="1:1">
      <c r="A36762" s="27"/>
    </row>
    <row r="36763" spans="1:1">
      <c r="A36763" s="27"/>
    </row>
    <row r="36764" spans="1:1">
      <c r="A36764" s="27"/>
    </row>
    <row r="36765" spans="1:1">
      <c r="A36765" s="27"/>
    </row>
    <row r="36766" spans="1:1">
      <c r="A36766" s="27"/>
    </row>
    <row r="36767" spans="1:1">
      <c r="A36767" s="27"/>
    </row>
    <row r="36768" spans="1:1">
      <c r="A36768" s="27"/>
    </row>
    <row r="36769" spans="1:1">
      <c r="A36769" s="27"/>
    </row>
    <row r="36770" spans="1:1">
      <c r="A36770" s="27"/>
    </row>
    <row r="36771" spans="1:1">
      <c r="A36771" s="27"/>
    </row>
    <row r="36772" spans="1:1">
      <c r="A36772" s="27"/>
    </row>
    <row r="36773" spans="1:1">
      <c r="A36773" s="27"/>
    </row>
    <row r="36774" spans="1:1">
      <c r="A36774" s="27"/>
    </row>
    <row r="36775" spans="1:1">
      <c r="A36775" s="27"/>
    </row>
    <row r="36776" spans="1:1">
      <c r="A36776" s="27"/>
    </row>
    <row r="36777" spans="1:1">
      <c r="A36777" s="27"/>
    </row>
    <row r="36778" spans="1:1">
      <c r="A36778" s="27"/>
    </row>
    <row r="36779" spans="1:1">
      <c r="A36779" s="27"/>
    </row>
    <row r="36780" spans="1:1">
      <c r="A36780" s="27"/>
    </row>
    <row r="36781" spans="1:1">
      <c r="A36781" s="27"/>
    </row>
    <row r="36782" spans="1:1">
      <c r="A36782" s="27"/>
    </row>
    <row r="36783" spans="1:1">
      <c r="A36783" s="27"/>
    </row>
    <row r="36784" spans="1:1">
      <c r="A36784" s="27"/>
    </row>
    <row r="36785" spans="1:1">
      <c r="A36785" s="27"/>
    </row>
    <row r="36786" spans="1:1">
      <c r="A36786" s="27"/>
    </row>
    <row r="36787" spans="1:1">
      <c r="A36787" s="27"/>
    </row>
    <row r="36788" spans="1:1">
      <c r="A36788" s="27"/>
    </row>
    <row r="36789" spans="1:1">
      <c r="A36789" s="27"/>
    </row>
    <row r="36790" spans="1:1">
      <c r="A36790" s="27"/>
    </row>
    <row r="36791" spans="1:1">
      <c r="A36791" s="27"/>
    </row>
    <row r="36792" spans="1:1">
      <c r="A36792" s="27"/>
    </row>
    <row r="36793" spans="1:1">
      <c r="A36793" s="27"/>
    </row>
    <row r="36794" spans="1:1">
      <c r="A36794" s="27"/>
    </row>
    <row r="36795" spans="1:1">
      <c r="A36795" s="27"/>
    </row>
    <row r="36796" spans="1:1">
      <c r="A36796" s="27"/>
    </row>
    <row r="36797" spans="1:1">
      <c r="A36797" s="27"/>
    </row>
    <row r="36798" spans="1:1">
      <c r="A36798" s="27"/>
    </row>
    <row r="36799" spans="1:1">
      <c r="A36799" s="27"/>
    </row>
    <row r="36800" spans="1:1">
      <c r="A36800" s="27"/>
    </row>
    <row r="36801" spans="1:1">
      <c r="A36801" s="27"/>
    </row>
    <row r="36802" spans="1:1">
      <c r="A36802" s="27"/>
    </row>
    <row r="36803" spans="1:1">
      <c r="A36803" s="27"/>
    </row>
    <row r="36804" spans="1:1">
      <c r="A36804" s="27"/>
    </row>
    <row r="36805" spans="1:1">
      <c r="A36805" s="27"/>
    </row>
    <row r="36806" spans="1:1">
      <c r="A36806" s="27"/>
    </row>
    <row r="36807" spans="1:1">
      <c r="A36807" s="27"/>
    </row>
    <row r="36808" spans="1:1">
      <c r="A36808" s="27"/>
    </row>
    <row r="36809" spans="1:1">
      <c r="A36809" s="27"/>
    </row>
    <row r="36810" spans="1:1">
      <c r="A36810" s="27"/>
    </row>
    <row r="36811" spans="1:1">
      <c r="A36811" s="27"/>
    </row>
    <row r="36812" spans="1:1">
      <c r="A36812" s="27"/>
    </row>
    <row r="36813" spans="1:1">
      <c r="A36813" s="27"/>
    </row>
    <row r="36814" spans="1:1">
      <c r="A36814" s="27"/>
    </row>
    <row r="36815" spans="1:1">
      <c r="A36815" s="27"/>
    </row>
    <row r="36816" spans="1:1">
      <c r="A36816" s="27"/>
    </row>
    <row r="36817" spans="1:1">
      <c r="A36817" s="27"/>
    </row>
    <row r="36818" spans="1:1">
      <c r="A36818" s="27"/>
    </row>
    <row r="36819" spans="1:1">
      <c r="A36819" s="27"/>
    </row>
    <row r="36820" spans="1:1">
      <c r="A36820" s="27"/>
    </row>
    <row r="36821" spans="1:1">
      <c r="A36821" s="27"/>
    </row>
    <row r="36822" spans="1:1">
      <c r="A36822" s="27"/>
    </row>
    <row r="36823" spans="1:1">
      <c r="A36823" s="27"/>
    </row>
    <row r="36824" spans="1:1">
      <c r="A36824" s="27"/>
    </row>
    <row r="36825" spans="1:1">
      <c r="A36825" s="27"/>
    </row>
    <row r="36826" spans="1:1">
      <c r="A36826" s="27"/>
    </row>
    <row r="36827" spans="1:1">
      <c r="A36827" s="27"/>
    </row>
    <row r="36828" spans="1:1">
      <c r="A36828" s="27"/>
    </row>
    <row r="36829" spans="1:1">
      <c r="A36829" s="27"/>
    </row>
    <row r="36830" spans="1:1">
      <c r="A36830" s="27"/>
    </row>
    <row r="36831" spans="1:1">
      <c r="A36831" s="27"/>
    </row>
    <row r="36832" spans="1:1">
      <c r="A36832" s="27"/>
    </row>
    <row r="36833" spans="1:1">
      <c r="A36833" s="27"/>
    </row>
    <row r="36834" spans="1:1">
      <c r="A36834" s="27"/>
    </row>
    <row r="36835" spans="1:1">
      <c r="A36835" s="27"/>
    </row>
    <row r="36836" spans="1:1">
      <c r="A36836" s="27"/>
    </row>
    <row r="36837" spans="1:1">
      <c r="A36837" s="27"/>
    </row>
    <row r="36838" spans="1:1">
      <c r="A36838" s="27"/>
    </row>
    <row r="36839" spans="1:1">
      <c r="A36839" s="27"/>
    </row>
    <row r="36840" spans="1:1">
      <c r="A36840" s="27"/>
    </row>
    <row r="36841" spans="1:1">
      <c r="A36841" s="27"/>
    </row>
    <row r="36842" spans="1:1">
      <c r="A36842" s="27"/>
    </row>
    <row r="36843" spans="1:1">
      <c r="A36843" s="27"/>
    </row>
    <row r="36844" spans="1:1">
      <c r="A36844" s="27"/>
    </row>
    <row r="36845" spans="1:1">
      <c r="A36845" s="27"/>
    </row>
    <row r="36846" spans="1:1">
      <c r="A36846" s="27"/>
    </row>
    <row r="36847" spans="1:1">
      <c r="A36847" s="27"/>
    </row>
    <row r="36848" spans="1:1">
      <c r="A36848" s="27"/>
    </row>
    <row r="36849" spans="1:1">
      <c r="A36849" s="27"/>
    </row>
    <row r="36850" spans="1:1">
      <c r="A36850" s="27"/>
    </row>
    <row r="36851" spans="1:1">
      <c r="A36851" s="27"/>
    </row>
    <row r="36852" spans="1:1">
      <c r="A36852" s="27"/>
    </row>
    <row r="36853" spans="1:1">
      <c r="A36853" s="27"/>
    </row>
    <row r="36854" spans="1:1">
      <c r="A36854" s="27"/>
    </row>
    <row r="36855" spans="1:1">
      <c r="A36855" s="27"/>
    </row>
    <row r="36856" spans="1:1">
      <c r="A36856" s="27"/>
    </row>
    <row r="36857" spans="1:1">
      <c r="A36857" s="27"/>
    </row>
    <row r="36858" spans="1:1">
      <c r="A36858" s="27"/>
    </row>
    <row r="36859" spans="1:1">
      <c r="A36859" s="27"/>
    </row>
    <row r="36860" spans="1:1">
      <c r="A36860" s="27"/>
    </row>
    <row r="36861" spans="1:1">
      <c r="A36861" s="27"/>
    </row>
    <row r="36862" spans="1:1">
      <c r="A36862" s="27"/>
    </row>
    <row r="36863" spans="1:1">
      <c r="A36863" s="27"/>
    </row>
    <row r="36864" spans="1:1">
      <c r="A36864" s="27"/>
    </row>
    <row r="36865" spans="1:1">
      <c r="A36865" s="27"/>
    </row>
    <row r="36866" spans="1:1">
      <c r="A36866" s="27"/>
    </row>
    <row r="36867" spans="1:1">
      <c r="A36867" s="27"/>
    </row>
    <row r="36868" spans="1:1">
      <c r="A36868" s="27"/>
    </row>
    <row r="36869" spans="1:1">
      <c r="A36869" s="27"/>
    </row>
    <row r="36870" spans="1:1">
      <c r="A36870" s="27"/>
    </row>
    <row r="36871" spans="1:1">
      <c r="A36871" s="27"/>
    </row>
    <row r="36872" spans="1:1">
      <c r="A36872" s="27"/>
    </row>
    <row r="36873" spans="1:1">
      <c r="A36873" s="27"/>
    </row>
    <row r="36874" spans="1:1">
      <c r="A36874" s="27"/>
    </row>
    <row r="36875" spans="1:1">
      <c r="A36875" s="27"/>
    </row>
    <row r="36876" spans="1:1">
      <c r="A36876" s="27"/>
    </row>
    <row r="36877" spans="1:1">
      <c r="A36877" s="27"/>
    </row>
    <row r="36878" spans="1:1">
      <c r="A36878" s="27"/>
    </row>
    <row r="36879" spans="1:1">
      <c r="A36879" s="27"/>
    </row>
    <row r="36880" spans="1:1">
      <c r="A36880" s="27"/>
    </row>
    <row r="36881" spans="1:1">
      <c r="A36881" s="27"/>
    </row>
    <row r="36882" spans="1:1">
      <c r="A36882" s="27"/>
    </row>
    <row r="36883" spans="1:1">
      <c r="A36883" s="27"/>
    </row>
    <row r="36884" spans="1:1">
      <c r="A36884" s="27"/>
    </row>
    <row r="36885" spans="1:1">
      <c r="A36885" s="27"/>
    </row>
    <row r="36886" spans="1:1">
      <c r="A36886" s="27"/>
    </row>
    <row r="36887" spans="1:1">
      <c r="A36887" s="27"/>
    </row>
    <row r="36888" spans="1:1">
      <c r="A36888" s="27"/>
    </row>
    <row r="36889" spans="1:1">
      <c r="A36889" s="27"/>
    </row>
    <row r="36890" spans="1:1">
      <c r="A36890" s="27"/>
    </row>
    <row r="36891" spans="1:1">
      <c r="A36891" s="27"/>
    </row>
    <row r="36892" spans="1:1">
      <c r="A36892" s="27"/>
    </row>
    <row r="36893" spans="1:1">
      <c r="A36893" s="27"/>
    </row>
    <row r="36894" spans="1:1">
      <c r="A36894" s="27"/>
    </row>
    <row r="36895" spans="1:1">
      <c r="A36895" s="27"/>
    </row>
    <row r="36896" spans="1:1">
      <c r="A36896" s="27"/>
    </row>
    <row r="36897" spans="1:1">
      <c r="A36897" s="27"/>
    </row>
    <row r="36898" spans="1:1">
      <c r="A36898" s="27"/>
    </row>
    <row r="36899" spans="1:1">
      <c r="A36899" s="27"/>
    </row>
    <row r="36900" spans="1:1">
      <c r="A36900" s="27"/>
    </row>
    <row r="36901" spans="1:1">
      <c r="A36901" s="27"/>
    </row>
    <row r="36902" spans="1:1">
      <c r="A36902" s="27"/>
    </row>
    <row r="36903" spans="1:1">
      <c r="A36903" s="27"/>
    </row>
    <row r="36904" spans="1:1">
      <c r="A36904" s="27"/>
    </row>
    <row r="36905" spans="1:1">
      <c r="A36905" s="27"/>
    </row>
    <row r="36906" spans="1:1">
      <c r="A36906" s="27"/>
    </row>
    <row r="36907" spans="1:1">
      <c r="A36907" s="27"/>
    </row>
    <row r="36908" spans="1:1">
      <c r="A36908" s="27"/>
    </row>
    <row r="36909" spans="1:1">
      <c r="A36909" s="27"/>
    </row>
    <row r="36910" spans="1:1">
      <c r="A36910" s="27"/>
    </row>
    <row r="36911" spans="1:1">
      <c r="A36911" s="27"/>
    </row>
    <row r="36912" spans="1:1">
      <c r="A36912" s="27"/>
    </row>
    <row r="36913" spans="1:1">
      <c r="A36913" s="27"/>
    </row>
    <row r="36914" spans="1:1">
      <c r="A36914" s="27"/>
    </row>
    <row r="36915" spans="1:1">
      <c r="A36915" s="27"/>
    </row>
    <row r="36916" spans="1:1">
      <c r="A36916" s="27"/>
    </row>
    <row r="36917" spans="1:1">
      <c r="A36917" s="27"/>
    </row>
    <row r="36918" spans="1:1">
      <c r="A36918" s="27"/>
    </row>
    <row r="36919" spans="1:1">
      <c r="A36919" s="27"/>
    </row>
    <row r="36920" spans="1:1">
      <c r="A36920" s="27"/>
    </row>
    <row r="36921" spans="1:1">
      <c r="A36921" s="27"/>
    </row>
    <row r="36922" spans="1:1">
      <c r="A36922" s="27"/>
    </row>
    <row r="36923" spans="1:1">
      <c r="A36923" s="27"/>
    </row>
    <row r="36924" spans="1:1">
      <c r="A36924" s="27"/>
    </row>
    <row r="36925" spans="1:1">
      <c r="A36925" s="27"/>
    </row>
    <row r="36926" spans="1:1">
      <c r="A36926" s="27"/>
    </row>
    <row r="36927" spans="1:1">
      <c r="A36927" s="27"/>
    </row>
    <row r="36928" spans="1:1">
      <c r="A36928" s="27"/>
    </row>
    <row r="36929" spans="1:1">
      <c r="A36929" s="27"/>
    </row>
    <row r="36930" spans="1:1">
      <c r="A36930" s="27"/>
    </row>
    <row r="36931" spans="1:1">
      <c r="A36931" s="27"/>
    </row>
    <row r="36932" spans="1:1">
      <c r="A36932" s="27"/>
    </row>
    <row r="36933" spans="1:1">
      <c r="A36933" s="27"/>
    </row>
    <row r="36934" spans="1:1">
      <c r="A36934" s="27"/>
    </row>
    <row r="36935" spans="1:1">
      <c r="A36935" s="27"/>
    </row>
    <row r="36936" spans="1:1">
      <c r="A36936" s="27"/>
    </row>
    <row r="36937" spans="1:1">
      <c r="A36937" s="27"/>
    </row>
    <row r="36938" spans="1:1">
      <c r="A36938" s="27"/>
    </row>
    <row r="36939" spans="1:1">
      <c r="A36939" s="27"/>
    </row>
    <row r="36940" spans="1:1">
      <c r="A36940" s="27"/>
    </row>
    <row r="36941" spans="1:1">
      <c r="A36941" s="27"/>
    </row>
    <row r="36942" spans="1:1">
      <c r="A36942" s="27"/>
    </row>
    <row r="36943" spans="1:1">
      <c r="A36943" s="27"/>
    </row>
    <row r="36944" spans="1:1">
      <c r="A36944" s="27"/>
    </row>
    <row r="36945" spans="1:1">
      <c r="A36945" s="27"/>
    </row>
    <row r="36946" spans="1:1">
      <c r="A36946" s="27"/>
    </row>
    <row r="36947" spans="1:1">
      <c r="A36947" s="27"/>
    </row>
    <row r="36948" spans="1:1">
      <c r="A36948" s="27"/>
    </row>
    <row r="36949" spans="1:1">
      <c r="A36949" s="27"/>
    </row>
    <row r="36950" spans="1:1">
      <c r="A36950" s="27"/>
    </row>
    <row r="36951" spans="1:1">
      <c r="A36951" s="27"/>
    </row>
    <row r="36952" spans="1:1">
      <c r="A36952" s="27"/>
    </row>
    <row r="36953" spans="1:1">
      <c r="A36953" s="27"/>
    </row>
    <row r="36954" spans="1:1">
      <c r="A36954" s="27"/>
    </row>
    <row r="36955" spans="1:1">
      <c r="A36955" s="27"/>
    </row>
    <row r="36956" spans="1:1">
      <c r="A36956" s="27"/>
    </row>
    <row r="36957" spans="1:1">
      <c r="A36957" s="27"/>
    </row>
    <row r="36958" spans="1:1">
      <c r="A36958" s="27"/>
    </row>
    <row r="36959" spans="1:1">
      <c r="A36959" s="27"/>
    </row>
    <row r="36960" spans="1:1">
      <c r="A36960" s="27"/>
    </row>
    <row r="36961" spans="1:1">
      <c r="A36961" s="27"/>
    </row>
    <row r="36962" spans="1:1">
      <c r="A36962" s="27"/>
    </row>
    <row r="36963" spans="1:1">
      <c r="A36963" s="27"/>
    </row>
    <row r="36964" spans="1:1">
      <c r="A36964" s="27"/>
    </row>
    <row r="36965" spans="1:1">
      <c r="A36965" s="27"/>
    </row>
    <row r="36966" spans="1:1">
      <c r="A36966" s="27"/>
    </row>
    <row r="36967" spans="1:1">
      <c r="A36967" s="27"/>
    </row>
    <row r="36968" spans="1:1">
      <c r="A36968" s="27"/>
    </row>
    <row r="36969" spans="1:1">
      <c r="A36969" s="27"/>
    </row>
    <row r="36970" spans="1:1">
      <c r="A36970" s="27"/>
    </row>
    <row r="36971" spans="1:1">
      <c r="A36971" s="27"/>
    </row>
    <row r="36972" spans="1:1">
      <c r="A36972" s="27"/>
    </row>
    <row r="36973" spans="1:1">
      <c r="A36973" s="27"/>
    </row>
    <row r="36974" spans="1:1">
      <c r="A36974" s="27"/>
    </row>
    <row r="36975" spans="1:1">
      <c r="A36975" s="27"/>
    </row>
    <row r="36976" spans="1:1">
      <c r="A36976" s="27"/>
    </row>
    <row r="36977" spans="1:1">
      <c r="A36977" s="27"/>
    </row>
    <row r="36978" spans="1:1">
      <c r="A36978" s="27"/>
    </row>
    <row r="36979" spans="1:1">
      <c r="A36979" s="27"/>
    </row>
    <row r="36980" spans="1:1">
      <c r="A36980" s="27"/>
    </row>
    <row r="36981" spans="1:1">
      <c r="A36981" s="27"/>
    </row>
    <row r="36982" spans="1:1">
      <c r="A36982" s="27"/>
    </row>
    <row r="36983" spans="1:1">
      <c r="A36983" s="27"/>
    </row>
    <row r="36984" spans="1:1">
      <c r="A36984" s="27"/>
    </row>
    <row r="36985" spans="1:1">
      <c r="A36985" s="27"/>
    </row>
    <row r="36986" spans="1:1">
      <c r="A36986" s="27"/>
    </row>
    <row r="36987" spans="1:1">
      <c r="A36987" s="27"/>
    </row>
    <row r="36988" spans="1:1">
      <c r="A36988" s="27"/>
    </row>
    <row r="36989" spans="1:1">
      <c r="A36989" s="27"/>
    </row>
    <row r="36990" spans="1:1">
      <c r="A36990" s="27"/>
    </row>
    <row r="36991" spans="1:1">
      <c r="A36991" s="27"/>
    </row>
    <row r="36992" spans="1:1">
      <c r="A36992" s="27"/>
    </row>
    <row r="36993" spans="1:1">
      <c r="A36993" s="27"/>
    </row>
    <row r="36994" spans="1:1">
      <c r="A36994" s="27"/>
    </row>
    <row r="36995" spans="1:1">
      <c r="A36995" s="27"/>
    </row>
    <row r="36996" spans="1:1">
      <c r="A36996" s="27"/>
    </row>
    <row r="36997" spans="1:1">
      <c r="A36997" s="27"/>
    </row>
    <row r="36998" spans="1:1">
      <c r="A36998" s="27"/>
    </row>
    <row r="36999" spans="1:1">
      <c r="A36999" s="27"/>
    </row>
    <row r="37000" spans="1:1">
      <c r="A37000" s="27"/>
    </row>
    <row r="37001" spans="1:1">
      <c r="A37001" s="27"/>
    </row>
    <row r="37002" spans="1:1">
      <c r="A37002" s="27"/>
    </row>
    <row r="37003" spans="1:1">
      <c r="A37003" s="27"/>
    </row>
    <row r="37004" spans="1:1">
      <c r="A37004" s="27"/>
    </row>
    <row r="37005" spans="1:1">
      <c r="A37005" s="27"/>
    </row>
    <row r="37006" spans="1:1">
      <c r="A37006" s="27"/>
    </row>
    <row r="37007" spans="1:1">
      <c r="A37007" s="27"/>
    </row>
    <row r="37008" spans="1:1">
      <c r="A37008" s="27"/>
    </row>
    <row r="37009" spans="1:1">
      <c r="A37009" s="27"/>
    </row>
    <row r="37010" spans="1:1">
      <c r="A37010" s="27"/>
    </row>
    <row r="37011" spans="1:1">
      <c r="A37011" s="27"/>
    </row>
    <row r="37012" spans="1:1">
      <c r="A37012" s="27"/>
    </row>
    <row r="37013" spans="1:1">
      <c r="A37013" s="27"/>
    </row>
    <row r="37014" spans="1:1">
      <c r="A37014" s="27"/>
    </row>
    <row r="37015" spans="1:1">
      <c r="A37015" s="27"/>
    </row>
    <row r="37016" spans="1:1">
      <c r="A37016" s="27"/>
    </row>
    <row r="37017" spans="1:1">
      <c r="A37017" s="27"/>
    </row>
    <row r="37018" spans="1:1">
      <c r="A37018" s="27"/>
    </row>
    <row r="37019" spans="1:1">
      <c r="A37019" s="27"/>
    </row>
    <row r="37020" spans="1:1">
      <c r="A37020" s="27"/>
    </row>
    <row r="37021" spans="1:1">
      <c r="A37021" s="27"/>
    </row>
    <row r="37022" spans="1:1">
      <c r="A37022" s="27"/>
    </row>
    <row r="37023" spans="1:1">
      <c r="A37023" s="27"/>
    </row>
    <row r="37024" spans="1:1">
      <c r="A37024" s="27"/>
    </row>
    <row r="37025" spans="1:1">
      <c r="A37025" s="27"/>
    </row>
    <row r="37026" spans="1:1">
      <c r="A37026" s="27"/>
    </row>
    <row r="37027" spans="1:1">
      <c r="A37027" s="27"/>
    </row>
    <row r="37028" spans="1:1">
      <c r="A37028" s="27"/>
    </row>
    <row r="37029" spans="1:1">
      <c r="A37029" s="27"/>
    </row>
    <row r="37030" spans="1:1">
      <c r="A37030" s="27"/>
    </row>
    <row r="37031" spans="1:1">
      <c r="A37031" s="27"/>
    </row>
    <row r="37032" spans="1:1">
      <c r="A37032" s="27"/>
    </row>
    <row r="37033" spans="1:1">
      <c r="A37033" s="27"/>
    </row>
    <row r="37034" spans="1:1">
      <c r="A37034" s="27"/>
    </row>
    <row r="37035" spans="1:1">
      <c r="A37035" s="27"/>
    </row>
    <row r="37036" spans="1:1">
      <c r="A37036" s="27"/>
    </row>
    <row r="37037" spans="1:1">
      <c r="A37037" s="27"/>
    </row>
    <row r="37038" spans="1:1">
      <c r="A37038" s="27"/>
    </row>
    <row r="37039" spans="1:1">
      <c r="A37039" s="27"/>
    </row>
    <row r="37040" spans="1:1">
      <c r="A37040" s="27"/>
    </row>
    <row r="37041" spans="1:1">
      <c r="A37041" s="27"/>
    </row>
    <row r="37042" spans="1:1">
      <c r="A37042" s="27"/>
    </row>
    <row r="37043" spans="1:1">
      <c r="A37043" s="27"/>
    </row>
    <row r="37044" spans="1:1">
      <c r="A37044" s="27"/>
    </row>
    <row r="37045" spans="1:1">
      <c r="A37045" s="27"/>
    </row>
    <row r="37046" spans="1:1">
      <c r="A37046" s="27"/>
    </row>
    <row r="37047" spans="1:1">
      <c r="A37047" s="27"/>
    </row>
    <row r="37048" spans="1:1">
      <c r="A37048" s="27"/>
    </row>
    <row r="37049" spans="1:1">
      <c r="A37049" s="27"/>
    </row>
    <row r="37050" spans="1:1">
      <c r="A37050" s="27"/>
    </row>
    <row r="37051" spans="1:1">
      <c r="A37051" s="27"/>
    </row>
    <row r="37052" spans="1:1">
      <c r="A37052" s="27"/>
    </row>
    <row r="37053" spans="1:1">
      <c r="A37053" s="27"/>
    </row>
    <row r="37054" spans="1:1">
      <c r="A37054" s="27"/>
    </row>
    <row r="37055" spans="1:1">
      <c r="A37055" s="27"/>
    </row>
    <row r="37056" spans="1:1">
      <c r="A37056" s="27"/>
    </row>
    <row r="37057" spans="1:1">
      <c r="A37057" s="27"/>
    </row>
    <row r="37058" spans="1:1">
      <c r="A37058" s="27"/>
    </row>
    <row r="37059" spans="1:1">
      <c r="A37059" s="27"/>
    </row>
    <row r="37060" spans="1:1">
      <c r="A37060" s="27"/>
    </row>
    <row r="37061" spans="1:1">
      <c r="A37061" s="27"/>
    </row>
    <row r="37062" spans="1:1">
      <c r="A37062" s="27"/>
    </row>
    <row r="37063" spans="1:1">
      <c r="A37063" s="27"/>
    </row>
    <row r="37064" spans="1:1">
      <c r="A37064" s="27"/>
    </row>
    <row r="37065" spans="1:1">
      <c r="A37065" s="27"/>
    </row>
    <row r="37066" spans="1:1">
      <c r="A37066" s="27"/>
    </row>
    <row r="37067" spans="1:1">
      <c r="A37067" s="27"/>
    </row>
    <row r="37068" spans="1:1">
      <c r="A37068" s="27"/>
    </row>
    <row r="37069" spans="1:1">
      <c r="A37069" s="27"/>
    </row>
    <row r="37070" spans="1:1">
      <c r="A37070" s="27"/>
    </row>
    <row r="37071" spans="1:1">
      <c r="A37071" s="27"/>
    </row>
    <row r="37072" spans="1:1">
      <c r="A37072" s="27"/>
    </row>
    <row r="37073" spans="1:1">
      <c r="A37073" s="27"/>
    </row>
    <row r="37074" spans="1:1">
      <c r="A37074" s="27"/>
    </row>
    <row r="37075" spans="1:1">
      <c r="A37075" s="27"/>
    </row>
    <row r="37076" spans="1:1">
      <c r="A37076" s="27"/>
    </row>
    <row r="37077" spans="1:1">
      <c r="A37077" s="27"/>
    </row>
    <row r="37078" spans="1:1">
      <c r="A37078" s="27"/>
    </row>
    <row r="37079" spans="1:1">
      <c r="A37079" s="27"/>
    </row>
    <row r="37080" spans="1:1">
      <c r="A37080" s="27"/>
    </row>
    <row r="37081" spans="1:1">
      <c r="A37081" s="27"/>
    </row>
    <row r="37082" spans="1:1">
      <c r="A37082" s="27"/>
    </row>
    <row r="37083" spans="1:1">
      <c r="A37083" s="27"/>
    </row>
    <row r="37084" spans="1:1">
      <c r="A37084" s="27"/>
    </row>
    <row r="37085" spans="1:1">
      <c r="A37085" s="27"/>
    </row>
    <row r="37086" spans="1:1">
      <c r="A37086" s="27"/>
    </row>
    <row r="37087" spans="1:1">
      <c r="A37087" s="27"/>
    </row>
    <row r="37088" spans="1:1">
      <c r="A37088" s="27"/>
    </row>
    <row r="37089" spans="1:1">
      <c r="A37089" s="27"/>
    </row>
    <row r="37090" spans="1:1">
      <c r="A37090" s="27"/>
    </row>
    <row r="37091" spans="1:1">
      <c r="A37091" s="27"/>
    </row>
    <row r="37092" spans="1:1">
      <c r="A37092" s="27"/>
    </row>
    <row r="37093" spans="1:1">
      <c r="A37093" s="27"/>
    </row>
    <row r="37094" spans="1:1">
      <c r="A37094" s="27"/>
    </row>
    <row r="37095" spans="1:1">
      <c r="A37095" s="27"/>
    </row>
    <row r="37096" spans="1:1">
      <c r="A37096" s="27"/>
    </row>
    <row r="37097" spans="1:1">
      <c r="A37097" s="27"/>
    </row>
    <row r="37098" spans="1:1">
      <c r="A37098" s="27"/>
    </row>
    <row r="37099" spans="1:1">
      <c r="A37099" s="27"/>
    </row>
    <row r="37100" spans="1:1">
      <c r="A37100" s="27"/>
    </row>
    <row r="37101" spans="1:1">
      <c r="A37101" s="27"/>
    </row>
    <row r="37102" spans="1:1">
      <c r="A37102" s="27"/>
    </row>
    <row r="37103" spans="1:1">
      <c r="A37103" s="27"/>
    </row>
    <row r="37104" spans="1:1">
      <c r="A37104" s="27"/>
    </row>
    <row r="37105" spans="1:1">
      <c r="A37105" s="27"/>
    </row>
    <row r="37106" spans="1:1">
      <c r="A37106" s="27"/>
    </row>
    <row r="37107" spans="1:1">
      <c r="A37107" s="27"/>
    </row>
    <row r="37108" spans="1:1">
      <c r="A37108" s="27"/>
    </row>
    <row r="37109" spans="1:1">
      <c r="A37109" s="27"/>
    </row>
    <row r="37110" spans="1:1">
      <c r="A37110" s="27"/>
    </row>
    <row r="37111" spans="1:1">
      <c r="A37111" s="27"/>
    </row>
    <row r="37112" spans="1:1">
      <c r="A37112" s="27"/>
    </row>
    <row r="37113" spans="1:1">
      <c r="A37113" s="27"/>
    </row>
    <row r="37114" spans="1:1">
      <c r="A37114" s="27"/>
    </row>
    <row r="37115" spans="1:1">
      <c r="A37115" s="27"/>
    </row>
    <row r="37116" spans="1:1">
      <c r="A37116" s="27"/>
    </row>
    <row r="37117" spans="1:1">
      <c r="A37117" s="27"/>
    </row>
    <row r="37118" spans="1:1">
      <c r="A37118" s="27"/>
    </row>
    <row r="37119" spans="1:1">
      <c r="A37119" s="27"/>
    </row>
    <row r="37120" spans="1:1">
      <c r="A37120" s="27"/>
    </row>
    <row r="37121" spans="1:1">
      <c r="A37121" s="27"/>
    </row>
    <row r="37122" spans="1:1">
      <c r="A37122" s="27"/>
    </row>
    <row r="37123" spans="1:1">
      <c r="A37123" s="27"/>
    </row>
    <row r="37124" spans="1:1">
      <c r="A37124" s="27"/>
    </row>
    <row r="37125" spans="1:1">
      <c r="A37125" s="27"/>
    </row>
    <row r="37126" spans="1:1">
      <c r="A37126" s="27"/>
    </row>
    <row r="37127" spans="1:1">
      <c r="A37127" s="27"/>
    </row>
    <row r="37128" spans="1:1">
      <c r="A37128" s="27"/>
    </row>
    <row r="37129" spans="1:1">
      <c r="A37129" s="27"/>
    </row>
    <row r="37130" spans="1:1">
      <c r="A37130" s="27"/>
    </row>
    <row r="37131" spans="1:1">
      <c r="A37131" s="27"/>
    </row>
    <row r="37132" spans="1:1">
      <c r="A37132" s="27"/>
    </row>
    <row r="37133" spans="1:1">
      <c r="A37133" s="27"/>
    </row>
    <row r="37134" spans="1:1">
      <c r="A37134" s="27"/>
    </row>
    <row r="37135" spans="1:1">
      <c r="A37135" s="27"/>
    </row>
    <row r="37136" spans="1:1">
      <c r="A37136" s="27"/>
    </row>
    <row r="37137" spans="1:1">
      <c r="A37137" s="27"/>
    </row>
    <row r="37138" spans="1:1">
      <c r="A37138" s="27"/>
    </row>
    <row r="37139" spans="1:1">
      <c r="A37139" s="27"/>
    </row>
    <row r="37140" spans="1:1">
      <c r="A37140" s="27"/>
    </row>
    <row r="37141" spans="1:1">
      <c r="A37141" s="27"/>
    </row>
    <row r="37142" spans="1:1">
      <c r="A37142" s="27"/>
    </row>
    <row r="37143" spans="1:1">
      <c r="A37143" s="27"/>
    </row>
    <row r="37144" spans="1:1">
      <c r="A37144" s="27"/>
    </row>
    <row r="37145" spans="1:1">
      <c r="A37145" s="27"/>
    </row>
    <row r="37146" spans="1:1">
      <c r="A37146" s="27"/>
    </row>
    <row r="37147" spans="1:1">
      <c r="A37147" s="27"/>
    </row>
    <row r="37148" spans="1:1">
      <c r="A37148" s="27"/>
    </row>
    <row r="37149" spans="1:1">
      <c r="A37149" s="27"/>
    </row>
    <row r="37150" spans="1:1">
      <c r="A37150" s="27"/>
    </row>
    <row r="37151" spans="1:1">
      <c r="A37151" s="27"/>
    </row>
    <row r="37152" spans="1:1">
      <c r="A37152" s="27"/>
    </row>
    <row r="37153" spans="1:1">
      <c r="A37153" s="27"/>
    </row>
    <row r="37154" spans="1:1">
      <c r="A37154" s="27"/>
    </row>
    <row r="37155" spans="1:1">
      <c r="A37155" s="27"/>
    </row>
    <row r="37156" spans="1:1">
      <c r="A37156" s="27"/>
    </row>
    <row r="37157" spans="1:1">
      <c r="A37157" s="27"/>
    </row>
    <row r="37158" spans="1:1">
      <c r="A37158" s="27"/>
    </row>
    <row r="37159" spans="1:1">
      <c r="A37159" s="27"/>
    </row>
    <row r="37160" spans="1:1">
      <c r="A37160" s="27"/>
    </row>
    <row r="37161" spans="1:1">
      <c r="A37161" s="27"/>
    </row>
    <row r="37162" spans="1:1">
      <c r="A37162" s="27"/>
    </row>
    <row r="37163" spans="1:1">
      <c r="A37163" s="27"/>
    </row>
    <row r="37164" spans="1:1">
      <c r="A37164" s="27"/>
    </row>
    <row r="37165" spans="1:1">
      <c r="A37165" s="27"/>
    </row>
    <row r="37166" spans="1:1">
      <c r="A37166" s="27"/>
    </row>
    <row r="37167" spans="1:1">
      <c r="A37167" s="27"/>
    </row>
    <row r="37168" spans="1:1">
      <c r="A37168" s="27"/>
    </row>
    <row r="37169" spans="1:1">
      <c r="A37169" s="27"/>
    </row>
    <row r="37170" spans="1:1">
      <c r="A37170" s="27"/>
    </row>
    <row r="37171" spans="1:1">
      <c r="A37171" s="27"/>
    </row>
    <row r="37172" spans="1:1">
      <c r="A37172" s="27"/>
    </row>
    <row r="37173" spans="1:1">
      <c r="A37173" s="27"/>
    </row>
    <row r="37174" spans="1:1">
      <c r="A37174" s="27"/>
    </row>
    <row r="37175" spans="1:1">
      <c r="A37175" s="27"/>
    </row>
    <row r="37176" spans="1:1">
      <c r="A37176" s="27"/>
    </row>
    <row r="37177" spans="1:1">
      <c r="A37177" s="27"/>
    </row>
    <row r="37178" spans="1:1">
      <c r="A37178" s="27"/>
    </row>
    <row r="37179" spans="1:1">
      <c r="A37179" s="27"/>
    </row>
    <row r="37180" spans="1:1">
      <c r="A37180" s="27"/>
    </row>
    <row r="37181" spans="1:1">
      <c r="A37181" s="27"/>
    </row>
    <row r="37182" spans="1:1">
      <c r="A37182" s="27"/>
    </row>
    <row r="37183" spans="1:1">
      <c r="A37183" s="27"/>
    </row>
    <row r="37184" spans="1:1">
      <c r="A37184" s="27"/>
    </row>
    <row r="37185" spans="1:1">
      <c r="A37185" s="27"/>
    </row>
    <row r="37186" spans="1:1">
      <c r="A37186" s="27"/>
    </row>
    <row r="37187" spans="1:1">
      <c r="A37187" s="27"/>
    </row>
    <row r="37188" spans="1:1">
      <c r="A37188" s="27"/>
    </row>
    <row r="37189" spans="1:1">
      <c r="A37189" s="27"/>
    </row>
    <row r="37190" spans="1:1">
      <c r="A37190" s="27"/>
    </row>
    <row r="37191" spans="1:1">
      <c r="A37191" s="27"/>
    </row>
    <row r="37192" spans="1:1">
      <c r="A37192" s="27"/>
    </row>
    <row r="37193" spans="1:1">
      <c r="A37193" s="27"/>
    </row>
    <row r="37194" spans="1:1">
      <c r="A37194" s="27"/>
    </row>
    <row r="37195" spans="1:1">
      <c r="A37195" s="27"/>
    </row>
    <row r="37196" spans="1:1">
      <c r="A37196" s="27"/>
    </row>
    <row r="37197" spans="1:1">
      <c r="A37197" s="27"/>
    </row>
    <row r="37198" spans="1:1">
      <c r="A37198" s="27"/>
    </row>
    <row r="37199" spans="1:1">
      <c r="A37199" s="27"/>
    </row>
    <row r="37200" spans="1:1">
      <c r="A37200" s="27"/>
    </row>
    <row r="37201" spans="1:1">
      <c r="A37201" s="27"/>
    </row>
    <row r="37202" spans="1:1">
      <c r="A37202" s="27"/>
    </row>
    <row r="37203" spans="1:1">
      <c r="A37203" s="27"/>
    </row>
    <row r="37204" spans="1:1">
      <c r="A37204" s="27"/>
    </row>
    <row r="37205" spans="1:1">
      <c r="A37205" s="27"/>
    </row>
    <row r="37206" spans="1:1">
      <c r="A37206" s="27"/>
    </row>
    <row r="37207" spans="1:1">
      <c r="A37207" s="27"/>
    </row>
    <row r="37208" spans="1:1">
      <c r="A37208" s="27"/>
    </row>
    <row r="37209" spans="1:1">
      <c r="A37209" s="27"/>
    </row>
    <row r="37210" spans="1:1">
      <c r="A37210" s="27"/>
    </row>
    <row r="37211" spans="1:1">
      <c r="A37211" s="27"/>
    </row>
    <row r="37212" spans="1:1">
      <c r="A37212" s="27"/>
    </row>
    <row r="37213" spans="1:1">
      <c r="A37213" s="27"/>
    </row>
    <row r="37214" spans="1:1">
      <c r="A37214" s="27"/>
    </row>
    <row r="37215" spans="1:1">
      <c r="A37215" s="27"/>
    </row>
    <row r="37216" spans="1:1">
      <c r="A37216" s="27"/>
    </row>
    <row r="37217" spans="1:1">
      <c r="A37217" s="27"/>
    </row>
    <row r="37218" spans="1:1">
      <c r="A37218" s="27"/>
    </row>
    <row r="37219" spans="1:1">
      <c r="A37219" s="27"/>
    </row>
    <row r="37220" spans="1:1">
      <c r="A37220" s="27"/>
    </row>
    <row r="37221" spans="1:1">
      <c r="A37221" s="27"/>
    </row>
    <row r="37222" spans="1:1">
      <c r="A37222" s="27"/>
    </row>
    <row r="37223" spans="1:1">
      <c r="A37223" s="27"/>
    </row>
    <row r="37224" spans="1:1">
      <c r="A37224" s="27"/>
    </row>
    <row r="37225" spans="1:1">
      <c r="A37225" s="27"/>
    </row>
    <row r="37226" spans="1:1">
      <c r="A37226" s="27"/>
    </row>
    <row r="37227" spans="1:1">
      <c r="A37227" s="27"/>
    </row>
    <row r="37228" spans="1:1">
      <c r="A37228" s="27"/>
    </row>
    <row r="37229" spans="1:1">
      <c r="A37229" s="27"/>
    </row>
    <row r="37230" spans="1:1">
      <c r="A37230" s="27"/>
    </row>
    <row r="37231" spans="1:1">
      <c r="A37231" s="27"/>
    </row>
    <row r="37232" spans="1:1">
      <c r="A37232" s="27"/>
    </row>
    <row r="37233" spans="1:1">
      <c r="A37233" s="27"/>
    </row>
    <row r="37234" spans="1:1">
      <c r="A37234" s="27"/>
    </row>
    <row r="37235" spans="1:1">
      <c r="A37235" s="27"/>
    </row>
    <row r="37236" spans="1:1">
      <c r="A37236" s="27"/>
    </row>
    <row r="37237" spans="1:1">
      <c r="A37237" s="27"/>
    </row>
    <row r="37238" spans="1:1">
      <c r="A37238" s="27"/>
    </row>
    <row r="37239" spans="1:1">
      <c r="A37239" s="27"/>
    </row>
    <row r="37240" spans="1:1">
      <c r="A37240" s="27"/>
    </row>
    <row r="37241" spans="1:1">
      <c r="A37241" s="27"/>
    </row>
    <row r="37242" spans="1:1">
      <c r="A37242" s="27"/>
    </row>
    <row r="37243" spans="1:1">
      <c r="A37243" s="27"/>
    </row>
    <row r="37244" spans="1:1">
      <c r="A37244" s="27"/>
    </row>
    <row r="37245" spans="1:1">
      <c r="A37245" s="27"/>
    </row>
    <row r="37246" spans="1:1">
      <c r="A37246" s="27"/>
    </row>
    <row r="37247" spans="1:1">
      <c r="A37247" s="27"/>
    </row>
    <row r="37248" spans="1:1">
      <c r="A37248" s="27"/>
    </row>
    <row r="37249" spans="1:1">
      <c r="A37249" s="27"/>
    </row>
    <row r="37250" spans="1:1">
      <c r="A37250" s="27"/>
    </row>
    <row r="37251" spans="1:1">
      <c r="A37251" s="27"/>
    </row>
    <row r="37252" spans="1:1">
      <c r="A37252" s="27"/>
    </row>
    <row r="37253" spans="1:1">
      <c r="A37253" s="27"/>
    </row>
    <row r="37254" spans="1:1">
      <c r="A37254" s="27"/>
    </row>
    <row r="37255" spans="1:1">
      <c r="A37255" s="27"/>
    </row>
    <row r="37256" spans="1:1">
      <c r="A37256" s="27"/>
    </row>
    <row r="37257" spans="1:1">
      <c r="A37257" s="27"/>
    </row>
    <row r="37258" spans="1:1">
      <c r="A37258" s="27"/>
    </row>
    <row r="37259" spans="1:1">
      <c r="A37259" s="27"/>
    </row>
    <row r="37260" spans="1:1">
      <c r="A37260" s="27"/>
    </row>
    <row r="37261" spans="1:1">
      <c r="A37261" s="27"/>
    </row>
    <row r="37262" spans="1:1">
      <c r="A37262" s="27"/>
    </row>
    <row r="37263" spans="1:1">
      <c r="A37263" s="27"/>
    </row>
    <row r="37264" spans="1:1">
      <c r="A37264" s="27"/>
    </row>
    <row r="37265" spans="1:1">
      <c r="A37265" s="27"/>
    </row>
    <row r="37266" spans="1:1">
      <c r="A37266" s="27"/>
    </row>
    <row r="37267" spans="1:1">
      <c r="A37267" s="27"/>
    </row>
    <row r="37268" spans="1:1">
      <c r="A37268" s="27"/>
    </row>
    <row r="37269" spans="1:1">
      <c r="A37269" s="27"/>
    </row>
    <row r="37270" spans="1:1">
      <c r="A37270" s="27"/>
    </row>
    <row r="37271" spans="1:1">
      <c r="A37271" s="27"/>
    </row>
    <row r="37272" spans="1:1">
      <c r="A37272" s="27"/>
    </row>
    <row r="37273" spans="1:1">
      <c r="A37273" s="27"/>
    </row>
    <row r="37274" spans="1:1">
      <c r="A37274" s="27"/>
    </row>
    <row r="37275" spans="1:1">
      <c r="A37275" s="27"/>
    </row>
    <row r="37276" spans="1:1">
      <c r="A37276" s="27"/>
    </row>
    <row r="37277" spans="1:1">
      <c r="A37277" s="27"/>
    </row>
    <row r="37278" spans="1:1">
      <c r="A37278" s="27"/>
    </row>
    <row r="37279" spans="1:1">
      <c r="A37279" s="27"/>
    </row>
    <row r="37280" spans="1:1">
      <c r="A37280" s="27"/>
    </row>
    <row r="37281" spans="1:1">
      <c r="A37281" s="27"/>
    </row>
    <row r="37282" spans="1:1">
      <c r="A37282" s="27"/>
    </row>
    <row r="37283" spans="1:1">
      <c r="A37283" s="27"/>
    </row>
    <row r="37284" spans="1:1">
      <c r="A37284" s="27"/>
    </row>
    <row r="37285" spans="1:1">
      <c r="A37285" s="27"/>
    </row>
    <row r="37286" spans="1:1">
      <c r="A37286" s="27"/>
    </row>
    <row r="37287" spans="1:1">
      <c r="A37287" s="27"/>
    </row>
    <row r="37288" spans="1:1">
      <c r="A37288" s="27"/>
    </row>
    <row r="37289" spans="1:1">
      <c r="A37289" s="27"/>
    </row>
    <row r="37290" spans="1:1">
      <c r="A37290" s="27"/>
    </row>
    <row r="37291" spans="1:1">
      <c r="A37291" s="27"/>
    </row>
    <row r="37292" spans="1:1">
      <c r="A37292" s="27"/>
    </row>
    <row r="37293" spans="1:1">
      <c r="A37293" s="27"/>
    </row>
    <row r="37294" spans="1:1">
      <c r="A37294" s="27"/>
    </row>
    <row r="37295" spans="1:1">
      <c r="A37295" s="27"/>
    </row>
    <row r="37296" spans="1:1">
      <c r="A37296" s="27"/>
    </row>
    <row r="37297" spans="1:1">
      <c r="A37297" s="27"/>
    </row>
    <row r="37298" spans="1:1">
      <c r="A37298" s="27"/>
    </row>
    <row r="37299" spans="1:1">
      <c r="A37299" s="27"/>
    </row>
    <row r="37300" spans="1:1">
      <c r="A37300" s="27"/>
    </row>
    <row r="37301" spans="1:1">
      <c r="A37301" s="27"/>
    </row>
    <row r="37302" spans="1:1">
      <c r="A37302" s="27"/>
    </row>
    <row r="37303" spans="1:1">
      <c r="A37303" s="27"/>
    </row>
    <row r="37304" spans="1:1">
      <c r="A37304" s="27"/>
    </row>
    <row r="37305" spans="1:1">
      <c r="A37305" s="27"/>
    </row>
    <row r="37306" spans="1:1">
      <c r="A37306" s="27"/>
    </row>
    <row r="37307" spans="1:1">
      <c r="A37307" s="27"/>
    </row>
    <row r="37308" spans="1:1">
      <c r="A37308" s="27"/>
    </row>
    <row r="37309" spans="1:1">
      <c r="A37309" s="27"/>
    </row>
    <row r="37310" spans="1:1">
      <c r="A37310" s="27"/>
    </row>
    <row r="37311" spans="1:1">
      <c r="A37311" s="27"/>
    </row>
    <row r="37312" spans="1:1">
      <c r="A37312" s="27"/>
    </row>
    <row r="37313" spans="1:1">
      <c r="A37313" s="27"/>
    </row>
    <row r="37314" spans="1:1">
      <c r="A37314" s="27"/>
    </row>
    <row r="37315" spans="1:1">
      <c r="A37315" s="27"/>
    </row>
    <row r="37316" spans="1:1">
      <c r="A37316" s="27"/>
    </row>
    <row r="37317" spans="1:1">
      <c r="A37317" s="27"/>
    </row>
    <row r="37318" spans="1:1">
      <c r="A37318" s="27"/>
    </row>
    <row r="37319" spans="1:1">
      <c r="A37319" s="27"/>
    </row>
    <row r="37320" spans="1:1">
      <c r="A37320" s="27"/>
    </row>
    <row r="37321" spans="1:1">
      <c r="A37321" s="27"/>
    </row>
    <row r="37322" spans="1:1">
      <c r="A37322" s="27"/>
    </row>
    <row r="37323" spans="1:1">
      <c r="A37323" s="27"/>
    </row>
    <row r="37324" spans="1:1">
      <c r="A37324" s="27"/>
    </row>
    <row r="37325" spans="1:1">
      <c r="A37325" s="27"/>
    </row>
    <row r="37326" spans="1:1">
      <c r="A37326" s="27"/>
    </row>
    <row r="37327" spans="1:1">
      <c r="A37327" s="27"/>
    </row>
    <row r="37328" spans="1:1">
      <c r="A37328" s="27"/>
    </row>
    <row r="37329" spans="1:1">
      <c r="A37329" s="27"/>
    </row>
    <row r="37330" spans="1:1">
      <c r="A37330" s="27"/>
    </row>
    <row r="37331" spans="1:1">
      <c r="A37331" s="27"/>
    </row>
    <row r="37332" spans="1:1">
      <c r="A37332" s="27"/>
    </row>
    <row r="37333" spans="1:1">
      <c r="A37333" s="27"/>
    </row>
    <row r="37334" spans="1:1">
      <c r="A37334" s="27"/>
    </row>
    <row r="37335" spans="1:1">
      <c r="A37335" s="27"/>
    </row>
    <row r="37336" spans="1:1">
      <c r="A37336" s="27"/>
    </row>
    <row r="37337" spans="1:1">
      <c r="A37337" s="27"/>
    </row>
    <row r="37338" spans="1:1">
      <c r="A37338" s="27"/>
    </row>
    <row r="37339" spans="1:1">
      <c r="A37339" s="27"/>
    </row>
    <row r="37340" spans="1:1">
      <c r="A37340" s="27"/>
    </row>
    <row r="37341" spans="1:1">
      <c r="A37341" s="27"/>
    </row>
    <row r="37342" spans="1:1">
      <c r="A37342" s="27"/>
    </row>
    <row r="37343" spans="1:1">
      <c r="A37343" s="27"/>
    </row>
    <row r="37344" spans="1:1">
      <c r="A37344" s="27"/>
    </row>
    <row r="37345" spans="1:1">
      <c r="A37345" s="27"/>
    </row>
    <row r="37346" spans="1:1">
      <c r="A37346" s="27"/>
    </row>
    <row r="37347" spans="1:1">
      <c r="A37347" s="27"/>
    </row>
    <row r="37348" spans="1:1">
      <c r="A37348" s="27"/>
    </row>
    <row r="37349" spans="1:1">
      <c r="A37349" s="27"/>
    </row>
    <row r="37350" spans="1:1">
      <c r="A37350" s="27"/>
    </row>
    <row r="37351" spans="1:1">
      <c r="A37351" s="27"/>
    </row>
    <row r="37352" spans="1:1">
      <c r="A37352" s="27"/>
    </row>
    <row r="37353" spans="1:1">
      <c r="A37353" s="27"/>
    </row>
    <row r="37354" spans="1:1">
      <c r="A37354" s="27"/>
    </row>
    <row r="37355" spans="1:1">
      <c r="A37355" s="27"/>
    </row>
    <row r="37356" spans="1:1">
      <c r="A37356" s="27"/>
    </row>
    <row r="37357" spans="1:1">
      <c r="A37357" s="27"/>
    </row>
    <row r="37358" spans="1:1">
      <c r="A37358" s="27"/>
    </row>
    <row r="37359" spans="1:1">
      <c r="A37359" s="27"/>
    </row>
    <row r="37360" spans="1:1">
      <c r="A37360" s="27"/>
    </row>
    <row r="37361" spans="1:1">
      <c r="A37361" s="27"/>
    </row>
    <row r="37362" spans="1:1">
      <c r="A37362" s="27"/>
    </row>
    <row r="37363" spans="1:1">
      <c r="A37363" s="27"/>
    </row>
    <row r="37364" spans="1:1">
      <c r="A37364" s="27"/>
    </row>
    <row r="37365" spans="1:1">
      <c r="A37365" s="27"/>
    </row>
    <row r="37366" spans="1:1">
      <c r="A37366" s="27"/>
    </row>
    <row r="37367" spans="1:1">
      <c r="A37367" s="27"/>
    </row>
    <row r="37368" spans="1:1">
      <c r="A37368" s="27"/>
    </row>
    <row r="37369" spans="1:1">
      <c r="A37369" s="27"/>
    </row>
    <row r="37370" spans="1:1">
      <c r="A37370" s="27"/>
    </row>
    <row r="37371" spans="1:1">
      <c r="A37371" s="27"/>
    </row>
    <row r="37372" spans="1:1">
      <c r="A37372" s="27"/>
    </row>
    <row r="37373" spans="1:1">
      <c r="A37373" s="27"/>
    </row>
    <row r="37374" spans="1:1">
      <c r="A37374" s="27"/>
    </row>
    <row r="37375" spans="1:1">
      <c r="A37375" s="27"/>
    </row>
    <row r="37376" spans="1:1">
      <c r="A37376" s="27"/>
    </row>
    <row r="37377" spans="1:1">
      <c r="A37377" s="27"/>
    </row>
    <row r="37378" spans="1:1">
      <c r="A37378" s="27"/>
    </row>
    <row r="37379" spans="1:1">
      <c r="A37379" s="27"/>
    </row>
    <row r="37380" spans="1:1">
      <c r="A37380" s="27"/>
    </row>
    <row r="37381" spans="1:1">
      <c r="A37381" s="27"/>
    </row>
    <row r="37382" spans="1:1">
      <c r="A37382" s="27"/>
    </row>
    <row r="37383" spans="1:1">
      <c r="A37383" s="27"/>
    </row>
    <row r="37384" spans="1:1">
      <c r="A37384" s="27"/>
    </row>
    <row r="37385" spans="1:1">
      <c r="A37385" s="27"/>
    </row>
    <row r="37386" spans="1:1">
      <c r="A37386" s="27"/>
    </row>
    <row r="37387" spans="1:1">
      <c r="A37387" s="27"/>
    </row>
    <row r="37388" spans="1:1">
      <c r="A37388" s="27"/>
    </row>
    <row r="37389" spans="1:1">
      <c r="A37389" s="27"/>
    </row>
    <row r="37390" spans="1:1">
      <c r="A37390" s="27"/>
    </row>
    <row r="37391" spans="1:1">
      <c r="A37391" s="27"/>
    </row>
    <row r="37392" spans="1:1">
      <c r="A37392" s="27"/>
    </row>
    <row r="37393" spans="1:1">
      <c r="A37393" s="27"/>
    </row>
    <row r="37394" spans="1:1">
      <c r="A37394" s="27"/>
    </row>
    <row r="37395" spans="1:1">
      <c r="A37395" s="27"/>
    </row>
    <row r="37396" spans="1:1">
      <c r="A37396" s="27"/>
    </row>
    <row r="37397" spans="1:1">
      <c r="A37397" s="27"/>
    </row>
    <row r="37398" spans="1:1">
      <c r="A37398" s="27"/>
    </row>
    <row r="37399" spans="1:1">
      <c r="A37399" s="27"/>
    </row>
    <row r="37400" spans="1:1">
      <c r="A37400" s="27"/>
    </row>
    <row r="37401" spans="1:1">
      <c r="A37401" s="27"/>
    </row>
    <row r="37402" spans="1:1">
      <c r="A37402" s="27"/>
    </row>
    <row r="37403" spans="1:1">
      <c r="A37403" s="27"/>
    </row>
    <row r="37404" spans="1:1">
      <c r="A37404" s="27"/>
    </row>
    <row r="37405" spans="1:1">
      <c r="A37405" s="27"/>
    </row>
    <row r="37406" spans="1:1">
      <c r="A37406" s="27"/>
    </row>
    <row r="37407" spans="1:1">
      <c r="A37407" s="27"/>
    </row>
    <row r="37408" spans="1:1">
      <c r="A37408" s="27"/>
    </row>
    <row r="37409" spans="1:1">
      <c r="A37409" s="27"/>
    </row>
    <row r="37410" spans="1:1">
      <c r="A37410" s="27"/>
    </row>
    <row r="37411" spans="1:1">
      <c r="A37411" s="27"/>
    </row>
    <row r="37412" spans="1:1">
      <c r="A37412" s="27"/>
    </row>
    <row r="37413" spans="1:1">
      <c r="A37413" s="27"/>
    </row>
    <row r="37414" spans="1:1">
      <c r="A37414" s="27"/>
    </row>
    <row r="37415" spans="1:1">
      <c r="A37415" s="27"/>
    </row>
    <row r="37416" spans="1:1">
      <c r="A37416" s="27"/>
    </row>
    <row r="37417" spans="1:1">
      <c r="A37417" s="27"/>
    </row>
    <row r="37418" spans="1:1">
      <c r="A37418" s="27"/>
    </row>
    <row r="37419" spans="1:1">
      <c r="A37419" s="27"/>
    </row>
    <row r="37420" spans="1:1">
      <c r="A37420" s="27"/>
    </row>
    <row r="37421" spans="1:1">
      <c r="A37421" s="27"/>
    </row>
    <row r="37422" spans="1:1">
      <c r="A37422" s="27"/>
    </row>
    <row r="37423" spans="1:1">
      <c r="A37423" s="27"/>
    </row>
    <row r="37424" spans="1:1">
      <c r="A37424" s="27"/>
    </row>
    <row r="37425" spans="1:1">
      <c r="A37425" s="27"/>
    </row>
    <row r="37426" spans="1:1">
      <c r="A37426" s="27"/>
    </row>
    <row r="37427" spans="1:1">
      <c r="A37427" s="27"/>
    </row>
    <row r="37428" spans="1:1">
      <c r="A37428" s="27"/>
    </row>
    <row r="37429" spans="1:1">
      <c r="A37429" s="27"/>
    </row>
    <row r="37430" spans="1:1">
      <c r="A37430" s="27"/>
    </row>
    <row r="37431" spans="1:1">
      <c r="A37431" s="27"/>
    </row>
    <row r="37432" spans="1:1">
      <c r="A37432" s="27"/>
    </row>
    <row r="37433" spans="1:1">
      <c r="A37433" s="27"/>
    </row>
    <row r="37434" spans="1:1">
      <c r="A37434" s="27"/>
    </row>
    <row r="37435" spans="1:1">
      <c r="A37435" s="27"/>
    </row>
    <row r="37436" spans="1:1">
      <c r="A37436" s="27"/>
    </row>
    <row r="37437" spans="1:1">
      <c r="A37437" s="27"/>
    </row>
    <row r="37438" spans="1:1">
      <c r="A37438" s="27"/>
    </row>
    <row r="37439" spans="1:1">
      <c r="A37439" s="27"/>
    </row>
    <row r="37440" spans="1:1">
      <c r="A37440" s="27"/>
    </row>
    <row r="37441" spans="1:1">
      <c r="A37441" s="27"/>
    </row>
    <row r="37442" spans="1:1">
      <c r="A37442" s="27"/>
    </row>
    <row r="37443" spans="1:1">
      <c r="A37443" s="27"/>
    </row>
    <row r="37444" spans="1:1">
      <c r="A37444" s="27"/>
    </row>
    <row r="37445" spans="1:1">
      <c r="A37445" s="27"/>
    </row>
    <row r="37446" spans="1:1">
      <c r="A37446" s="27"/>
    </row>
    <row r="37447" spans="1:1">
      <c r="A37447" s="27"/>
    </row>
    <row r="37448" spans="1:1">
      <c r="A37448" s="27"/>
    </row>
    <row r="37449" spans="1:1">
      <c r="A37449" s="27"/>
    </row>
    <row r="37450" spans="1:1">
      <c r="A37450" s="27"/>
    </row>
    <row r="37451" spans="1:1">
      <c r="A37451" s="27"/>
    </row>
    <row r="37452" spans="1:1">
      <c r="A37452" s="27"/>
    </row>
    <row r="37453" spans="1:1">
      <c r="A37453" s="27"/>
    </row>
    <row r="37454" spans="1:1">
      <c r="A37454" s="27"/>
    </row>
    <row r="37455" spans="1:1">
      <c r="A37455" s="27"/>
    </row>
    <row r="37456" spans="1:1">
      <c r="A37456" s="27"/>
    </row>
    <row r="37457" spans="1:1">
      <c r="A37457" s="27"/>
    </row>
    <row r="37458" spans="1:1">
      <c r="A37458" s="27"/>
    </row>
    <row r="37459" spans="1:1">
      <c r="A37459" s="27"/>
    </row>
    <row r="37460" spans="1:1">
      <c r="A37460" s="27"/>
    </row>
    <row r="37461" spans="1:1">
      <c r="A37461" s="27"/>
    </row>
    <row r="37462" spans="1:1">
      <c r="A37462" s="27"/>
    </row>
    <row r="37463" spans="1:1">
      <c r="A37463" s="27"/>
    </row>
    <row r="37464" spans="1:1">
      <c r="A37464" s="27"/>
    </row>
    <row r="37465" spans="1:1">
      <c r="A37465" s="27"/>
    </row>
    <row r="37466" spans="1:1">
      <c r="A37466" s="27"/>
    </row>
    <row r="37467" spans="1:1">
      <c r="A37467" s="27"/>
    </row>
    <row r="37468" spans="1:1">
      <c r="A37468" s="27"/>
    </row>
    <row r="37469" spans="1:1">
      <c r="A37469" s="27"/>
    </row>
    <row r="37470" spans="1:1">
      <c r="A37470" s="27"/>
    </row>
    <row r="37471" spans="1:1">
      <c r="A37471" s="27"/>
    </row>
    <row r="37472" spans="1:1">
      <c r="A37472" s="27"/>
    </row>
    <row r="37473" spans="1:1">
      <c r="A37473" s="27"/>
    </row>
    <row r="37474" spans="1:1">
      <c r="A37474" s="27"/>
    </row>
    <row r="37475" spans="1:1">
      <c r="A37475" s="27"/>
    </row>
    <row r="37476" spans="1:1">
      <c r="A37476" s="27"/>
    </row>
    <row r="37477" spans="1:1">
      <c r="A37477" s="27"/>
    </row>
    <row r="37478" spans="1:1">
      <c r="A37478" s="27"/>
    </row>
    <row r="37479" spans="1:1">
      <c r="A37479" s="27"/>
    </row>
    <row r="37480" spans="1:1">
      <c r="A37480" s="27"/>
    </row>
    <row r="37481" spans="1:1">
      <c r="A37481" s="27"/>
    </row>
    <row r="37482" spans="1:1">
      <c r="A37482" s="27"/>
    </row>
    <row r="37483" spans="1:1">
      <c r="A37483" s="27"/>
    </row>
    <row r="37484" spans="1:1">
      <c r="A37484" s="27"/>
    </row>
    <row r="37485" spans="1:1">
      <c r="A37485" s="27"/>
    </row>
    <row r="37486" spans="1:1">
      <c r="A37486" s="27"/>
    </row>
    <row r="37487" spans="1:1">
      <c r="A37487" s="27"/>
    </row>
    <row r="37488" spans="1:1">
      <c r="A37488" s="27"/>
    </row>
    <row r="37489" spans="1:1">
      <c r="A37489" s="27"/>
    </row>
    <row r="37490" spans="1:1">
      <c r="A37490" s="27"/>
    </row>
    <row r="37491" spans="1:1">
      <c r="A37491" s="27"/>
    </row>
    <row r="37492" spans="1:1">
      <c r="A37492" s="27"/>
    </row>
    <row r="37493" spans="1:1">
      <c r="A37493" s="27"/>
    </row>
    <row r="37494" spans="1:1">
      <c r="A37494" s="27"/>
    </row>
    <row r="37495" spans="1:1">
      <c r="A37495" s="27"/>
    </row>
    <row r="37496" spans="1:1">
      <c r="A37496" s="27"/>
    </row>
    <row r="37497" spans="1:1">
      <c r="A37497" s="27"/>
    </row>
    <row r="37498" spans="1:1">
      <c r="A37498" s="27"/>
    </row>
    <row r="37499" spans="1:1">
      <c r="A37499" s="27"/>
    </row>
    <row r="37500" spans="1:1">
      <c r="A37500" s="27"/>
    </row>
    <row r="37501" spans="1:1">
      <c r="A37501" s="27"/>
    </row>
    <row r="37502" spans="1:1">
      <c r="A37502" s="27"/>
    </row>
    <row r="37503" spans="1:1">
      <c r="A37503" s="27"/>
    </row>
    <row r="37504" spans="1:1">
      <c r="A37504" s="27"/>
    </row>
    <row r="37505" spans="1:1">
      <c r="A37505" s="27"/>
    </row>
    <row r="37506" spans="1:1">
      <c r="A37506" s="27"/>
    </row>
    <row r="37507" spans="1:1">
      <c r="A37507" s="27"/>
    </row>
    <row r="37508" spans="1:1">
      <c r="A37508" s="27"/>
    </row>
    <row r="37509" spans="1:1">
      <c r="A37509" s="27"/>
    </row>
    <row r="37510" spans="1:1">
      <c r="A37510" s="27"/>
    </row>
    <row r="37511" spans="1:1">
      <c r="A37511" s="27"/>
    </row>
    <row r="37512" spans="1:1">
      <c r="A37512" s="27"/>
    </row>
    <row r="37513" spans="1:1">
      <c r="A37513" s="27"/>
    </row>
    <row r="37514" spans="1:1">
      <c r="A37514" s="27"/>
    </row>
    <row r="37515" spans="1:1">
      <c r="A37515" s="27"/>
    </row>
    <row r="37516" spans="1:1">
      <c r="A37516" s="27"/>
    </row>
    <row r="37517" spans="1:1">
      <c r="A37517" s="27"/>
    </row>
    <row r="37518" spans="1:1">
      <c r="A37518" s="27"/>
    </row>
    <row r="37519" spans="1:1">
      <c r="A37519" s="27"/>
    </row>
    <row r="37520" spans="1:1">
      <c r="A37520" s="27"/>
    </row>
    <row r="37521" spans="1:1">
      <c r="A37521" s="27"/>
    </row>
    <row r="37522" spans="1:1">
      <c r="A37522" s="27"/>
    </row>
    <row r="37523" spans="1:1">
      <c r="A37523" s="27"/>
    </row>
    <row r="37524" spans="1:1">
      <c r="A37524" s="27"/>
    </row>
    <row r="37525" spans="1:1">
      <c r="A37525" s="27"/>
    </row>
    <row r="37526" spans="1:1">
      <c r="A37526" s="27"/>
    </row>
    <row r="37527" spans="1:1">
      <c r="A37527" s="27"/>
    </row>
    <row r="37528" spans="1:1">
      <c r="A37528" s="27"/>
    </row>
    <row r="37529" spans="1:1">
      <c r="A37529" s="27"/>
    </row>
    <row r="37530" spans="1:1">
      <c r="A37530" s="27"/>
    </row>
    <row r="37531" spans="1:1">
      <c r="A37531" s="27"/>
    </row>
    <row r="37532" spans="1:1">
      <c r="A37532" s="27"/>
    </row>
    <row r="37533" spans="1:1">
      <c r="A37533" s="27"/>
    </row>
    <row r="37534" spans="1:1">
      <c r="A37534" s="27"/>
    </row>
    <row r="37535" spans="1:1">
      <c r="A37535" s="27"/>
    </row>
    <row r="37536" spans="1:1">
      <c r="A37536" s="27"/>
    </row>
    <row r="37537" spans="1:1">
      <c r="A37537" s="27"/>
    </row>
    <row r="37538" spans="1:1">
      <c r="A37538" s="27"/>
    </row>
    <row r="37539" spans="1:1">
      <c r="A37539" s="27"/>
    </row>
    <row r="37540" spans="1:1">
      <c r="A37540" s="27"/>
    </row>
    <row r="37541" spans="1:1">
      <c r="A37541" s="27"/>
    </row>
    <row r="37542" spans="1:1">
      <c r="A37542" s="27"/>
    </row>
    <row r="37543" spans="1:1">
      <c r="A37543" s="27"/>
    </row>
    <row r="37544" spans="1:1">
      <c r="A37544" s="27"/>
    </row>
    <row r="37545" spans="1:1">
      <c r="A37545" s="27"/>
    </row>
    <row r="37546" spans="1:1">
      <c r="A37546" s="27"/>
    </row>
    <row r="37547" spans="1:1">
      <c r="A37547" s="27"/>
    </row>
    <row r="37548" spans="1:1">
      <c r="A37548" s="27"/>
    </row>
    <row r="37549" spans="1:1">
      <c r="A37549" s="27"/>
    </row>
    <row r="37550" spans="1:1">
      <c r="A37550" s="27"/>
    </row>
    <row r="37551" spans="1:1">
      <c r="A37551" s="27"/>
    </row>
    <row r="37552" spans="1:1">
      <c r="A37552" s="27"/>
    </row>
    <row r="37553" spans="1:1">
      <c r="A37553" s="27"/>
    </row>
    <row r="37554" spans="1:1">
      <c r="A37554" s="27"/>
    </row>
    <row r="37555" spans="1:1">
      <c r="A37555" s="27"/>
    </row>
    <row r="37556" spans="1:1">
      <c r="A37556" s="27"/>
    </row>
    <row r="37557" spans="1:1">
      <c r="A37557" s="27"/>
    </row>
    <row r="37558" spans="1:1">
      <c r="A37558" s="27"/>
    </row>
    <row r="37559" spans="1:1">
      <c r="A37559" s="27"/>
    </row>
    <row r="37560" spans="1:1">
      <c r="A37560" s="27"/>
    </row>
    <row r="37561" spans="1:1">
      <c r="A37561" s="27"/>
    </row>
    <row r="37562" spans="1:1">
      <c r="A37562" s="27"/>
    </row>
    <row r="37563" spans="1:1">
      <c r="A37563" s="27"/>
    </row>
    <row r="37564" spans="1:1">
      <c r="A37564" s="27"/>
    </row>
    <row r="37565" spans="1:1">
      <c r="A37565" s="27"/>
    </row>
    <row r="37566" spans="1:1">
      <c r="A37566" s="27"/>
    </row>
    <row r="37567" spans="1:1">
      <c r="A37567" s="27"/>
    </row>
    <row r="37568" spans="1:1">
      <c r="A37568" s="27"/>
    </row>
    <row r="37569" spans="1:1">
      <c r="A37569" s="27"/>
    </row>
    <row r="37570" spans="1:1">
      <c r="A37570" s="27"/>
    </row>
    <row r="37571" spans="1:1">
      <c r="A37571" s="27"/>
    </row>
    <row r="37572" spans="1:1">
      <c r="A37572" s="27"/>
    </row>
    <row r="37573" spans="1:1">
      <c r="A37573" s="27"/>
    </row>
    <row r="37574" spans="1:1">
      <c r="A37574" s="27"/>
    </row>
    <row r="37575" spans="1:1">
      <c r="A37575" s="27"/>
    </row>
    <row r="37576" spans="1:1">
      <c r="A37576" s="27"/>
    </row>
    <row r="37577" spans="1:1">
      <c r="A37577" s="27"/>
    </row>
    <row r="37578" spans="1:1">
      <c r="A37578" s="27"/>
    </row>
    <row r="37579" spans="1:1">
      <c r="A37579" s="27"/>
    </row>
    <row r="37580" spans="1:1">
      <c r="A37580" s="27"/>
    </row>
    <row r="37581" spans="1:1">
      <c r="A37581" s="27"/>
    </row>
    <row r="37582" spans="1:1">
      <c r="A37582" s="27"/>
    </row>
    <row r="37583" spans="1:1">
      <c r="A37583" s="27"/>
    </row>
    <row r="37584" spans="1:1">
      <c r="A37584" s="27"/>
    </row>
    <row r="37585" spans="1:1">
      <c r="A37585" s="27"/>
    </row>
    <row r="37586" spans="1:1">
      <c r="A37586" s="27"/>
    </row>
    <row r="37587" spans="1:1">
      <c r="A37587" s="27"/>
    </row>
    <row r="37588" spans="1:1">
      <c r="A37588" s="27"/>
    </row>
    <row r="37589" spans="1:1">
      <c r="A37589" s="27"/>
    </row>
    <row r="37590" spans="1:1">
      <c r="A37590" s="27"/>
    </row>
    <row r="37591" spans="1:1">
      <c r="A37591" s="27"/>
    </row>
    <row r="37592" spans="1:1">
      <c r="A37592" s="27"/>
    </row>
    <row r="37593" spans="1:1">
      <c r="A37593" s="27"/>
    </row>
    <row r="37594" spans="1:1">
      <c r="A37594" s="27"/>
    </row>
    <row r="37595" spans="1:1">
      <c r="A37595" s="27"/>
    </row>
    <row r="37596" spans="1:1">
      <c r="A37596" s="27"/>
    </row>
    <row r="37597" spans="1:1">
      <c r="A37597" s="27"/>
    </row>
    <row r="37598" spans="1:1">
      <c r="A37598" s="27"/>
    </row>
    <row r="37599" spans="1:1">
      <c r="A37599" s="27"/>
    </row>
    <row r="37600" spans="1:1">
      <c r="A37600" s="27"/>
    </row>
    <row r="37601" spans="1:1">
      <c r="A37601" s="27"/>
    </row>
    <row r="37602" spans="1:1">
      <c r="A37602" s="27"/>
    </row>
    <row r="37603" spans="1:1">
      <c r="A37603" s="27"/>
    </row>
    <row r="37604" spans="1:1">
      <c r="A37604" s="27"/>
    </row>
    <row r="37605" spans="1:1">
      <c r="A37605" s="27"/>
    </row>
    <row r="37606" spans="1:1">
      <c r="A37606" s="27"/>
    </row>
    <row r="37607" spans="1:1">
      <c r="A37607" s="27"/>
    </row>
    <row r="37608" spans="1:1">
      <c r="A37608" s="27"/>
    </row>
    <row r="37609" spans="1:1">
      <c r="A37609" s="27"/>
    </row>
    <row r="37610" spans="1:1">
      <c r="A37610" s="27"/>
    </row>
    <row r="37611" spans="1:1">
      <c r="A37611" s="27"/>
    </row>
    <row r="37612" spans="1:1">
      <c r="A37612" s="27"/>
    </row>
    <row r="37613" spans="1:1">
      <c r="A37613" s="27"/>
    </row>
    <row r="37614" spans="1:1">
      <c r="A37614" s="27"/>
    </row>
    <row r="37615" spans="1:1">
      <c r="A37615" s="27"/>
    </row>
    <row r="37616" spans="1:1">
      <c r="A37616" s="27"/>
    </row>
    <row r="37617" spans="1:1">
      <c r="A37617" s="27"/>
    </row>
    <row r="37618" spans="1:1">
      <c r="A37618" s="27"/>
    </row>
    <row r="37619" spans="1:1">
      <c r="A37619" s="27"/>
    </row>
    <row r="37620" spans="1:1">
      <c r="A37620" s="27"/>
    </row>
    <row r="37621" spans="1:1">
      <c r="A37621" s="27"/>
    </row>
    <row r="37622" spans="1:1">
      <c r="A37622" s="27"/>
    </row>
    <row r="37623" spans="1:1">
      <c r="A37623" s="27"/>
    </row>
    <row r="37624" spans="1:1">
      <c r="A37624" s="27"/>
    </row>
    <row r="37625" spans="1:1">
      <c r="A37625" s="27"/>
    </row>
    <row r="37626" spans="1:1">
      <c r="A37626" s="27"/>
    </row>
    <row r="37627" spans="1:1">
      <c r="A37627" s="27"/>
    </row>
    <row r="37628" spans="1:1">
      <c r="A37628" s="27"/>
    </row>
    <row r="37629" spans="1:1">
      <c r="A37629" s="27"/>
    </row>
    <row r="37630" spans="1:1">
      <c r="A37630" s="27"/>
    </row>
    <row r="37631" spans="1:1">
      <c r="A37631" s="27"/>
    </row>
    <row r="37632" spans="1:1">
      <c r="A37632" s="27"/>
    </row>
    <row r="37633" spans="1:1">
      <c r="A37633" s="27"/>
    </row>
    <row r="37634" spans="1:1">
      <c r="A37634" s="27"/>
    </row>
    <row r="37635" spans="1:1">
      <c r="A37635" s="27"/>
    </row>
    <row r="37636" spans="1:1">
      <c r="A37636" s="27"/>
    </row>
    <row r="37637" spans="1:1">
      <c r="A37637" s="27"/>
    </row>
    <row r="37638" spans="1:1">
      <c r="A37638" s="27"/>
    </row>
    <row r="37639" spans="1:1">
      <c r="A37639" s="27"/>
    </row>
    <row r="37640" spans="1:1">
      <c r="A37640" s="27"/>
    </row>
    <row r="37641" spans="1:1">
      <c r="A37641" s="27"/>
    </row>
    <row r="37642" spans="1:1">
      <c r="A37642" s="27"/>
    </row>
    <row r="37643" spans="1:1">
      <c r="A37643" s="27"/>
    </row>
    <row r="37644" spans="1:1">
      <c r="A37644" s="27"/>
    </row>
    <row r="37645" spans="1:1">
      <c r="A37645" s="27"/>
    </row>
    <row r="37646" spans="1:1">
      <c r="A37646" s="27"/>
    </row>
    <row r="37647" spans="1:1">
      <c r="A37647" s="27"/>
    </row>
    <row r="37648" spans="1:1">
      <c r="A37648" s="27"/>
    </row>
    <row r="37649" spans="1:1">
      <c r="A37649" s="27"/>
    </row>
    <row r="37650" spans="1:1">
      <c r="A37650" s="27"/>
    </row>
    <row r="37651" spans="1:1">
      <c r="A37651" s="27"/>
    </row>
    <row r="37652" spans="1:1">
      <c r="A37652" s="27"/>
    </row>
    <row r="37653" spans="1:1">
      <c r="A37653" s="27"/>
    </row>
    <row r="37654" spans="1:1">
      <c r="A37654" s="27"/>
    </row>
    <row r="37655" spans="1:1">
      <c r="A37655" s="27"/>
    </row>
    <row r="37656" spans="1:1">
      <c r="A37656" s="27"/>
    </row>
    <row r="37657" spans="1:1">
      <c r="A37657" s="27"/>
    </row>
    <row r="37658" spans="1:1">
      <c r="A37658" s="27"/>
    </row>
    <row r="37659" spans="1:1">
      <c r="A37659" s="27"/>
    </row>
    <row r="37660" spans="1:1">
      <c r="A37660" s="27"/>
    </row>
    <row r="37661" spans="1:1">
      <c r="A37661" s="27"/>
    </row>
    <row r="37662" spans="1:1">
      <c r="A37662" s="27"/>
    </row>
    <row r="37663" spans="1:1">
      <c r="A37663" s="27"/>
    </row>
    <row r="37664" spans="1:1">
      <c r="A37664" s="27"/>
    </row>
    <row r="37665" spans="1:1">
      <c r="A37665" s="27"/>
    </row>
    <row r="37666" spans="1:1">
      <c r="A37666" s="27"/>
    </row>
    <row r="37667" spans="1:1">
      <c r="A37667" s="27"/>
    </row>
    <row r="37668" spans="1:1">
      <c r="A37668" s="27"/>
    </row>
    <row r="37669" spans="1:1">
      <c r="A37669" s="27"/>
    </row>
    <row r="37670" spans="1:1">
      <c r="A37670" s="27"/>
    </row>
    <row r="37671" spans="1:1">
      <c r="A37671" s="27"/>
    </row>
    <row r="37672" spans="1:1">
      <c r="A37672" s="27"/>
    </row>
    <row r="37673" spans="1:1">
      <c r="A37673" s="27"/>
    </row>
    <row r="37674" spans="1:1">
      <c r="A37674" s="27"/>
    </row>
    <row r="37675" spans="1:1">
      <c r="A37675" s="27"/>
    </row>
    <row r="37676" spans="1:1">
      <c r="A37676" s="27"/>
    </row>
    <row r="37677" spans="1:1">
      <c r="A37677" s="27"/>
    </row>
    <row r="37678" spans="1:1">
      <c r="A37678" s="27"/>
    </row>
    <row r="37679" spans="1:1">
      <c r="A37679" s="27"/>
    </row>
    <row r="37680" spans="1:1">
      <c r="A37680" s="27"/>
    </row>
    <row r="37681" spans="1:1">
      <c r="A37681" s="27"/>
    </row>
    <row r="37682" spans="1:1">
      <c r="A37682" s="27"/>
    </row>
    <row r="37683" spans="1:1">
      <c r="A37683" s="27"/>
    </row>
    <row r="37684" spans="1:1">
      <c r="A37684" s="27"/>
    </row>
    <row r="37685" spans="1:1">
      <c r="A37685" s="27"/>
    </row>
    <row r="37686" spans="1:1">
      <c r="A37686" s="27"/>
    </row>
    <row r="37687" spans="1:1">
      <c r="A37687" s="27"/>
    </row>
    <row r="37688" spans="1:1">
      <c r="A37688" s="27"/>
    </row>
    <row r="37689" spans="1:1">
      <c r="A37689" s="27"/>
    </row>
    <row r="37690" spans="1:1">
      <c r="A37690" s="27"/>
    </row>
    <row r="37691" spans="1:1">
      <c r="A37691" s="27"/>
    </row>
    <row r="37692" spans="1:1">
      <c r="A37692" s="27"/>
    </row>
    <row r="37693" spans="1:1">
      <c r="A37693" s="27"/>
    </row>
    <row r="37694" spans="1:1">
      <c r="A37694" s="27"/>
    </row>
    <row r="37695" spans="1:1">
      <c r="A37695" s="27"/>
    </row>
    <row r="37696" spans="1:1">
      <c r="A37696" s="27"/>
    </row>
    <row r="37697" spans="1:1">
      <c r="A37697" s="27"/>
    </row>
    <row r="37698" spans="1:1">
      <c r="A37698" s="27"/>
    </row>
    <row r="37699" spans="1:1">
      <c r="A37699" s="27"/>
    </row>
    <row r="37700" spans="1:1">
      <c r="A37700" s="27"/>
    </row>
    <row r="37701" spans="1:1">
      <c r="A37701" s="27"/>
    </row>
    <row r="37702" spans="1:1">
      <c r="A37702" s="27"/>
    </row>
    <row r="37703" spans="1:1">
      <c r="A37703" s="27"/>
    </row>
    <row r="37704" spans="1:1">
      <c r="A37704" s="27"/>
    </row>
    <row r="37705" spans="1:1">
      <c r="A37705" s="27"/>
    </row>
    <row r="37706" spans="1:1">
      <c r="A37706" s="27"/>
    </row>
    <row r="37707" spans="1:1">
      <c r="A37707" s="27"/>
    </row>
    <row r="37708" spans="1:1">
      <c r="A37708" s="27"/>
    </row>
    <row r="37709" spans="1:1">
      <c r="A37709" s="27"/>
    </row>
    <row r="37710" spans="1:1">
      <c r="A37710" s="27"/>
    </row>
    <row r="37711" spans="1:1">
      <c r="A37711" s="27"/>
    </row>
    <row r="37712" spans="1:1">
      <c r="A37712" s="27"/>
    </row>
    <row r="37713" spans="1:1">
      <c r="A37713" s="27"/>
    </row>
    <row r="37714" spans="1:1">
      <c r="A37714" s="27"/>
    </row>
    <row r="37715" spans="1:1">
      <c r="A37715" s="27"/>
    </row>
    <row r="37716" spans="1:1">
      <c r="A37716" s="27"/>
    </row>
    <row r="37717" spans="1:1">
      <c r="A37717" s="27"/>
    </row>
    <row r="37718" spans="1:1">
      <c r="A37718" s="27"/>
    </row>
    <row r="37719" spans="1:1">
      <c r="A37719" s="27"/>
    </row>
    <row r="37720" spans="1:1">
      <c r="A37720" s="27"/>
    </row>
    <row r="37721" spans="1:1">
      <c r="A37721" s="27"/>
    </row>
    <row r="37722" spans="1:1">
      <c r="A37722" s="27"/>
    </row>
    <row r="37723" spans="1:1">
      <c r="A37723" s="27"/>
    </row>
    <row r="37724" spans="1:1">
      <c r="A37724" s="27"/>
    </row>
    <row r="37725" spans="1:1">
      <c r="A37725" s="27"/>
    </row>
    <row r="37726" spans="1:1">
      <c r="A37726" s="27"/>
    </row>
    <row r="37727" spans="1:1">
      <c r="A37727" s="27"/>
    </row>
    <row r="37728" spans="1:1">
      <c r="A37728" s="27"/>
    </row>
    <row r="37729" spans="1:1">
      <c r="A37729" s="27"/>
    </row>
    <row r="37730" spans="1:1">
      <c r="A37730" s="27"/>
    </row>
    <row r="37731" spans="1:1">
      <c r="A37731" s="27"/>
    </row>
    <row r="37732" spans="1:1">
      <c r="A37732" s="27"/>
    </row>
    <row r="37733" spans="1:1">
      <c r="A37733" s="27"/>
    </row>
    <row r="37734" spans="1:1">
      <c r="A37734" s="27"/>
    </row>
    <row r="37735" spans="1:1">
      <c r="A37735" s="27"/>
    </row>
    <row r="37736" spans="1:1">
      <c r="A37736" s="27"/>
    </row>
    <row r="37737" spans="1:1">
      <c r="A37737" s="27"/>
    </row>
    <row r="37738" spans="1:1">
      <c r="A37738" s="27"/>
    </row>
    <row r="37739" spans="1:1">
      <c r="A37739" s="27"/>
    </row>
    <row r="37740" spans="1:1">
      <c r="A37740" s="27"/>
    </row>
    <row r="37741" spans="1:1">
      <c r="A37741" s="27"/>
    </row>
    <row r="37742" spans="1:1">
      <c r="A37742" s="27"/>
    </row>
    <row r="37743" spans="1:1">
      <c r="A37743" s="27"/>
    </row>
    <row r="37744" spans="1:1">
      <c r="A37744" s="27"/>
    </row>
    <row r="37745" spans="1:1">
      <c r="A37745" s="27"/>
    </row>
    <row r="37746" spans="1:1">
      <c r="A37746" s="27"/>
    </row>
    <row r="37747" spans="1:1">
      <c r="A37747" s="27"/>
    </row>
    <row r="37748" spans="1:1">
      <c r="A37748" s="27"/>
    </row>
    <row r="37749" spans="1:1">
      <c r="A37749" s="27"/>
    </row>
    <row r="37750" spans="1:1">
      <c r="A37750" s="27"/>
    </row>
    <row r="37751" spans="1:1">
      <c r="A37751" s="27"/>
    </row>
    <row r="37752" spans="1:1">
      <c r="A37752" s="27"/>
    </row>
    <row r="37753" spans="1:1">
      <c r="A37753" s="27"/>
    </row>
    <row r="37754" spans="1:1">
      <c r="A37754" s="27"/>
    </row>
    <row r="37755" spans="1:1">
      <c r="A37755" s="27"/>
    </row>
    <row r="37756" spans="1:1">
      <c r="A37756" s="27"/>
    </row>
    <row r="37757" spans="1:1">
      <c r="A37757" s="27"/>
    </row>
    <row r="37758" spans="1:1">
      <c r="A37758" s="27"/>
    </row>
    <row r="37759" spans="1:1">
      <c r="A37759" s="27"/>
    </row>
    <row r="37760" spans="1:1">
      <c r="A37760" s="27"/>
    </row>
    <row r="37761" spans="1:1">
      <c r="A37761" s="27"/>
    </row>
    <row r="37762" spans="1:1">
      <c r="A37762" s="27"/>
    </row>
    <row r="37763" spans="1:1">
      <c r="A37763" s="27"/>
    </row>
    <row r="37764" spans="1:1">
      <c r="A37764" s="27"/>
    </row>
    <row r="37765" spans="1:1">
      <c r="A37765" s="27"/>
    </row>
    <row r="37766" spans="1:1">
      <c r="A37766" s="27"/>
    </row>
    <row r="37767" spans="1:1">
      <c r="A37767" s="27"/>
    </row>
    <row r="37768" spans="1:1">
      <c r="A37768" s="27"/>
    </row>
    <row r="37769" spans="1:1">
      <c r="A37769" s="27"/>
    </row>
    <row r="37770" spans="1:1">
      <c r="A37770" s="27"/>
    </row>
    <row r="37771" spans="1:1">
      <c r="A37771" s="27"/>
    </row>
    <row r="37772" spans="1:1">
      <c r="A37772" s="27"/>
    </row>
    <row r="37773" spans="1:1">
      <c r="A37773" s="27"/>
    </row>
    <row r="37774" spans="1:1">
      <c r="A37774" s="27"/>
    </row>
    <row r="37775" spans="1:1">
      <c r="A37775" s="27"/>
    </row>
    <row r="37776" spans="1:1">
      <c r="A37776" s="27"/>
    </row>
    <row r="37777" spans="1:1">
      <c r="A37777" s="27"/>
    </row>
    <row r="37778" spans="1:1">
      <c r="A37778" s="27"/>
    </row>
    <row r="37779" spans="1:1">
      <c r="A37779" s="27"/>
    </row>
    <row r="37780" spans="1:1">
      <c r="A37780" s="27"/>
    </row>
    <row r="37781" spans="1:1">
      <c r="A37781" s="27"/>
    </row>
    <row r="37782" spans="1:1">
      <c r="A37782" s="27"/>
    </row>
    <row r="37783" spans="1:1">
      <c r="A37783" s="27"/>
    </row>
    <row r="37784" spans="1:1">
      <c r="A37784" s="27"/>
    </row>
    <row r="37785" spans="1:1">
      <c r="A37785" s="27"/>
    </row>
    <row r="37786" spans="1:1">
      <c r="A37786" s="27"/>
    </row>
    <row r="37787" spans="1:1">
      <c r="A37787" s="27"/>
    </row>
    <row r="37788" spans="1:1">
      <c r="A37788" s="27"/>
    </row>
    <row r="37789" spans="1:1">
      <c r="A37789" s="27"/>
    </row>
    <row r="37790" spans="1:1">
      <c r="A37790" s="27"/>
    </row>
    <row r="37791" spans="1:1">
      <c r="A37791" s="27"/>
    </row>
    <row r="37792" spans="1:1">
      <c r="A37792" s="27"/>
    </row>
    <row r="37793" spans="1:1">
      <c r="A37793" s="27"/>
    </row>
    <row r="37794" spans="1:1">
      <c r="A37794" s="27"/>
    </row>
    <row r="37795" spans="1:1">
      <c r="A37795" s="27"/>
    </row>
    <row r="37796" spans="1:1">
      <c r="A37796" s="27"/>
    </row>
    <row r="37797" spans="1:1">
      <c r="A37797" s="27"/>
    </row>
    <row r="37798" spans="1:1">
      <c r="A37798" s="27"/>
    </row>
    <row r="37799" spans="1:1">
      <c r="A37799" s="27"/>
    </row>
    <row r="37800" spans="1:1">
      <c r="A37800" s="27"/>
    </row>
    <row r="37801" spans="1:1">
      <c r="A37801" s="27"/>
    </row>
    <row r="37802" spans="1:1">
      <c r="A37802" s="27"/>
    </row>
    <row r="37803" spans="1:1">
      <c r="A37803" s="27"/>
    </row>
    <row r="37804" spans="1:1">
      <c r="A37804" s="27"/>
    </row>
    <row r="37805" spans="1:1">
      <c r="A37805" s="27"/>
    </row>
    <row r="37806" spans="1:1">
      <c r="A37806" s="27"/>
    </row>
    <row r="37807" spans="1:1">
      <c r="A37807" s="27"/>
    </row>
    <row r="37808" spans="1:1">
      <c r="A37808" s="27"/>
    </row>
    <row r="37809" spans="1:1">
      <c r="A37809" s="27"/>
    </row>
    <row r="37810" spans="1:1">
      <c r="A37810" s="27"/>
    </row>
    <row r="37811" spans="1:1">
      <c r="A37811" s="27"/>
    </row>
    <row r="37812" spans="1:1">
      <c r="A37812" s="27"/>
    </row>
    <row r="37813" spans="1:1">
      <c r="A37813" s="27"/>
    </row>
    <row r="37814" spans="1:1">
      <c r="A37814" s="27"/>
    </row>
    <row r="37815" spans="1:1">
      <c r="A37815" s="27"/>
    </row>
    <row r="37816" spans="1:1">
      <c r="A37816" s="27"/>
    </row>
    <row r="37817" spans="1:1">
      <c r="A37817" s="27"/>
    </row>
    <row r="37818" spans="1:1">
      <c r="A37818" s="27"/>
    </row>
    <row r="37819" spans="1:1">
      <c r="A37819" s="27"/>
    </row>
    <row r="37820" spans="1:1">
      <c r="A37820" s="27"/>
    </row>
    <row r="37821" spans="1:1">
      <c r="A37821" s="27"/>
    </row>
    <row r="37822" spans="1:1">
      <c r="A37822" s="27"/>
    </row>
    <row r="37823" spans="1:1">
      <c r="A37823" s="27"/>
    </row>
    <row r="37824" spans="1:1">
      <c r="A37824" s="27"/>
    </row>
    <row r="37825" spans="1:1">
      <c r="A37825" s="27"/>
    </row>
    <row r="37826" spans="1:1">
      <c r="A37826" s="27"/>
    </row>
    <row r="37827" spans="1:1">
      <c r="A37827" s="27"/>
    </row>
    <row r="37828" spans="1:1">
      <c r="A37828" s="27"/>
    </row>
    <row r="37829" spans="1:1">
      <c r="A37829" s="27"/>
    </row>
    <row r="37830" spans="1:1">
      <c r="A37830" s="27"/>
    </row>
    <row r="37831" spans="1:1">
      <c r="A37831" s="27"/>
    </row>
    <row r="37832" spans="1:1">
      <c r="A37832" s="27"/>
    </row>
    <row r="37833" spans="1:1">
      <c r="A37833" s="27"/>
    </row>
    <row r="37834" spans="1:1">
      <c r="A37834" s="27"/>
    </row>
    <row r="37835" spans="1:1">
      <c r="A37835" s="27"/>
    </row>
    <row r="37836" spans="1:1">
      <c r="A37836" s="27"/>
    </row>
    <row r="37837" spans="1:1">
      <c r="A37837" s="27"/>
    </row>
    <row r="37838" spans="1:1">
      <c r="A37838" s="27"/>
    </row>
    <row r="37839" spans="1:1">
      <c r="A37839" s="27"/>
    </row>
    <row r="37840" spans="1:1">
      <c r="A37840" s="27"/>
    </row>
    <row r="37841" spans="1:1">
      <c r="A37841" s="27"/>
    </row>
    <row r="37842" spans="1:1">
      <c r="A37842" s="27"/>
    </row>
    <row r="37843" spans="1:1">
      <c r="A37843" s="27"/>
    </row>
    <row r="37844" spans="1:1">
      <c r="A37844" s="27"/>
    </row>
    <row r="37845" spans="1:1">
      <c r="A37845" s="27"/>
    </row>
    <row r="37846" spans="1:1">
      <c r="A37846" s="27"/>
    </row>
    <row r="37847" spans="1:1">
      <c r="A37847" s="27"/>
    </row>
    <row r="37848" spans="1:1">
      <c r="A37848" s="27"/>
    </row>
    <row r="37849" spans="1:1">
      <c r="A37849" s="27"/>
    </row>
    <row r="37850" spans="1:1">
      <c r="A37850" s="27"/>
    </row>
    <row r="37851" spans="1:1">
      <c r="A37851" s="27"/>
    </row>
    <row r="37852" spans="1:1">
      <c r="A37852" s="27"/>
    </row>
    <row r="37853" spans="1:1">
      <c r="A37853" s="27"/>
    </row>
    <row r="37854" spans="1:1">
      <c r="A37854" s="27"/>
    </row>
    <row r="37855" spans="1:1">
      <c r="A37855" s="27"/>
    </row>
    <row r="37856" spans="1:1">
      <c r="A37856" s="27"/>
    </row>
    <row r="37857" spans="1:1">
      <c r="A37857" s="27"/>
    </row>
    <row r="37858" spans="1:1">
      <c r="A37858" s="27"/>
    </row>
    <row r="37859" spans="1:1">
      <c r="A37859" s="27"/>
    </row>
    <row r="37860" spans="1:1">
      <c r="A37860" s="27"/>
    </row>
    <row r="37861" spans="1:1">
      <c r="A37861" s="27"/>
    </row>
    <row r="37862" spans="1:1">
      <c r="A37862" s="27"/>
    </row>
    <row r="37863" spans="1:1">
      <c r="A37863" s="27"/>
    </row>
    <row r="37864" spans="1:1">
      <c r="A37864" s="27"/>
    </row>
    <row r="37865" spans="1:1">
      <c r="A37865" s="27"/>
    </row>
    <row r="37866" spans="1:1">
      <c r="A37866" s="27"/>
    </row>
    <row r="37867" spans="1:1">
      <c r="A37867" s="27"/>
    </row>
    <row r="37868" spans="1:1">
      <c r="A37868" s="27"/>
    </row>
    <row r="37869" spans="1:1">
      <c r="A37869" s="27"/>
    </row>
    <row r="37870" spans="1:1">
      <c r="A37870" s="27"/>
    </row>
    <row r="37871" spans="1:1">
      <c r="A37871" s="27"/>
    </row>
    <row r="37872" spans="1:1">
      <c r="A37872" s="27"/>
    </row>
    <row r="37873" spans="1:1">
      <c r="A37873" s="27"/>
    </row>
    <row r="37874" spans="1:1">
      <c r="A37874" s="27"/>
    </row>
    <row r="37875" spans="1:1">
      <c r="A37875" s="27"/>
    </row>
    <row r="37876" spans="1:1">
      <c r="A37876" s="27"/>
    </row>
    <row r="37877" spans="1:1">
      <c r="A37877" s="27"/>
    </row>
    <row r="37878" spans="1:1">
      <c r="A37878" s="27"/>
    </row>
    <row r="37879" spans="1:1">
      <c r="A37879" s="27"/>
    </row>
    <row r="37880" spans="1:1">
      <c r="A37880" s="27"/>
    </row>
    <row r="37881" spans="1:1">
      <c r="A37881" s="27"/>
    </row>
    <row r="37882" spans="1:1">
      <c r="A37882" s="27"/>
    </row>
    <row r="37883" spans="1:1">
      <c r="A37883" s="27"/>
    </row>
    <row r="37884" spans="1:1">
      <c r="A37884" s="27"/>
    </row>
    <row r="37885" spans="1:1">
      <c r="A37885" s="27"/>
    </row>
    <row r="37886" spans="1:1">
      <c r="A37886" s="27"/>
    </row>
    <row r="37887" spans="1:1">
      <c r="A37887" s="27"/>
    </row>
    <row r="37888" spans="1:1">
      <c r="A37888" s="27"/>
    </row>
    <row r="37889" spans="1:1">
      <c r="A37889" s="27"/>
    </row>
    <row r="37890" spans="1:1">
      <c r="A37890" s="27"/>
    </row>
    <row r="37891" spans="1:1">
      <c r="A37891" s="27"/>
    </row>
    <row r="37892" spans="1:1">
      <c r="A37892" s="27"/>
    </row>
    <row r="37893" spans="1:1">
      <c r="A37893" s="27"/>
    </row>
    <row r="37894" spans="1:1">
      <c r="A37894" s="27"/>
    </row>
    <row r="37895" spans="1:1">
      <c r="A37895" s="27"/>
    </row>
    <row r="37896" spans="1:1">
      <c r="A37896" s="27"/>
    </row>
    <row r="37897" spans="1:1">
      <c r="A37897" s="27"/>
    </row>
    <row r="37898" spans="1:1">
      <c r="A37898" s="27"/>
    </row>
    <row r="37899" spans="1:1">
      <c r="A37899" s="27"/>
    </row>
    <row r="37900" spans="1:1">
      <c r="A37900" s="27"/>
    </row>
    <row r="37901" spans="1:1">
      <c r="A37901" s="27"/>
    </row>
    <row r="37902" spans="1:1">
      <c r="A37902" s="27"/>
    </row>
    <row r="37903" spans="1:1">
      <c r="A37903" s="27"/>
    </row>
    <row r="37904" spans="1:1">
      <c r="A37904" s="27"/>
    </row>
    <row r="37905" spans="1:1">
      <c r="A37905" s="27"/>
    </row>
    <row r="37906" spans="1:1">
      <c r="A37906" s="27"/>
    </row>
    <row r="37907" spans="1:1">
      <c r="A37907" s="27"/>
    </row>
    <row r="37908" spans="1:1">
      <c r="A37908" s="27"/>
    </row>
    <row r="37909" spans="1:1">
      <c r="A37909" s="27"/>
    </row>
    <row r="37910" spans="1:1">
      <c r="A37910" s="27"/>
    </row>
    <row r="37911" spans="1:1">
      <c r="A37911" s="27"/>
    </row>
    <row r="37912" spans="1:1">
      <c r="A37912" s="27"/>
    </row>
    <row r="37913" spans="1:1">
      <c r="A37913" s="27"/>
    </row>
    <row r="37914" spans="1:1">
      <c r="A37914" s="27"/>
    </row>
    <row r="37915" spans="1:1">
      <c r="A37915" s="27"/>
    </row>
    <row r="37916" spans="1:1">
      <c r="A37916" s="27"/>
    </row>
    <row r="37917" spans="1:1">
      <c r="A37917" s="27"/>
    </row>
    <row r="37918" spans="1:1">
      <c r="A37918" s="27"/>
    </row>
    <row r="37919" spans="1:1">
      <c r="A37919" s="27"/>
    </row>
    <row r="37920" spans="1:1">
      <c r="A37920" s="27"/>
    </row>
    <row r="37921" spans="1:1">
      <c r="A37921" s="27"/>
    </row>
    <row r="37922" spans="1:1">
      <c r="A37922" s="27"/>
    </row>
    <row r="37923" spans="1:1">
      <c r="A37923" s="27"/>
    </row>
    <row r="37924" spans="1:1">
      <c r="A37924" s="27"/>
    </row>
    <row r="37925" spans="1:1">
      <c r="A37925" s="27"/>
    </row>
    <row r="37926" spans="1:1">
      <c r="A37926" s="27"/>
    </row>
    <row r="37927" spans="1:1">
      <c r="A37927" s="27"/>
    </row>
    <row r="37928" spans="1:1">
      <c r="A37928" s="27"/>
    </row>
    <row r="37929" spans="1:1">
      <c r="A37929" s="27"/>
    </row>
    <row r="37930" spans="1:1">
      <c r="A37930" s="27"/>
    </row>
    <row r="37931" spans="1:1">
      <c r="A37931" s="27"/>
    </row>
    <row r="37932" spans="1:1">
      <c r="A37932" s="27"/>
    </row>
    <row r="37933" spans="1:1">
      <c r="A37933" s="27"/>
    </row>
    <row r="37934" spans="1:1">
      <c r="A37934" s="27"/>
    </row>
    <row r="37935" spans="1:1">
      <c r="A37935" s="27"/>
    </row>
    <row r="37936" spans="1:1">
      <c r="A37936" s="27"/>
    </row>
    <row r="37937" spans="1:1">
      <c r="A37937" s="27"/>
    </row>
    <row r="37938" spans="1:1">
      <c r="A37938" s="27"/>
    </row>
    <row r="37939" spans="1:1">
      <c r="A37939" s="27"/>
    </row>
    <row r="37940" spans="1:1">
      <c r="A37940" s="27"/>
    </row>
    <row r="37941" spans="1:1">
      <c r="A37941" s="27"/>
    </row>
    <row r="37942" spans="1:1">
      <c r="A37942" s="27"/>
    </row>
    <row r="37943" spans="1:1">
      <c r="A37943" s="27"/>
    </row>
    <row r="37944" spans="1:1">
      <c r="A37944" s="27"/>
    </row>
    <row r="37945" spans="1:1">
      <c r="A37945" s="27"/>
    </row>
    <row r="37946" spans="1:1">
      <c r="A37946" s="27"/>
    </row>
    <row r="37947" spans="1:1">
      <c r="A37947" s="27"/>
    </row>
    <row r="37948" spans="1:1">
      <c r="A37948" s="27"/>
    </row>
    <row r="37949" spans="1:1">
      <c r="A37949" s="27"/>
    </row>
    <row r="37950" spans="1:1">
      <c r="A37950" s="27"/>
    </row>
    <row r="37951" spans="1:1">
      <c r="A37951" s="27"/>
    </row>
    <row r="37952" spans="1:1">
      <c r="A37952" s="27"/>
    </row>
    <row r="37953" spans="1:1">
      <c r="A37953" s="27"/>
    </row>
    <row r="37954" spans="1:1">
      <c r="A37954" s="27"/>
    </row>
    <row r="37955" spans="1:1">
      <c r="A37955" s="27"/>
    </row>
    <row r="37956" spans="1:1">
      <c r="A37956" s="27"/>
    </row>
    <row r="37957" spans="1:1">
      <c r="A37957" s="27"/>
    </row>
    <row r="37958" spans="1:1">
      <c r="A37958" s="27"/>
    </row>
    <row r="37959" spans="1:1">
      <c r="A37959" s="27"/>
    </row>
    <row r="37960" spans="1:1">
      <c r="A37960" s="27"/>
    </row>
    <row r="37961" spans="1:1">
      <c r="A37961" s="27"/>
    </row>
    <row r="37962" spans="1:1">
      <c r="A37962" s="27"/>
    </row>
    <row r="37963" spans="1:1">
      <c r="A37963" s="27"/>
    </row>
    <row r="37964" spans="1:1">
      <c r="A37964" s="27"/>
    </row>
    <row r="37965" spans="1:1">
      <c r="A37965" s="27"/>
    </row>
    <row r="37966" spans="1:1">
      <c r="A37966" s="27"/>
    </row>
    <row r="37967" spans="1:1">
      <c r="A37967" s="27"/>
    </row>
    <row r="37968" spans="1:1">
      <c r="A37968" s="27"/>
    </row>
    <row r="37969" spans="1:1">
      <c r="A37969" s="27"/>
    </row>
    <row r="37970" spans="1:1">
      <c r="A37970" s="27"/>
    </row>
    <row r="37971" spans="1:1">
      <c r="A37971" s="27"/>
    </row>
    <row r="37972" spans="1:1">
      <c r="A37972" s="27"/>
    </row>
    <row r="37973" spans="1:1">
      <c r="A37973" s="27"/>
    </row>
    <row r="37974" spans="1:1">
      <c r="A37974" s="27"/>
    </row>
    <row r="37975" spans="1:1">
      <c r="A37975" s="27"/>
    </row>
    <row r="37976" spans="1:1">
      <c r="A37976" s="27"/>
    </row>
    <row r="37977" spans="1:1">
      <c r="A37977" s="27"/>
    </row>
    <row r="37978" spans="1:1">
      <c r="A37978" s="27"/>
    </row>
    <row r="37979" spans="1:1">
      <c r="A37979" s="27"/>
    </row>
    <row r="37980" spans="1:1">
      <c r="A37980" s="27"/>
    </row>
    <row r="37981" spans="1:1">
      <c r="A37981" s="27"/>
    </row>
    <row r="37982" spans="1:1">
      <c r="A37982" s="27"/>
    </row>
    <row r="37983" spans="1:1">
      <c r="A37983" s="27"/>
    </row>
    <row r="37984" spans="1:1">
      <c r="A37984" s="27"/>
    </row>
    <row r="37985" spans="1:1">
      <c r="A37985" s="27"/>
    </row>
    <row r="37986" spans="1:1">
      <c r="A37986" s="27"/>
    </row>
    <row r="37987" spans="1:1">
      <c r="A37987" s="27"/>
    </row>
    <row r="37988" spans="1:1">
      <c r="A37988" s="27"/>
    </row>
    <row r="37989" spans="1:1">
      <c r="A37989" s="27"/>
    </row>
    <row r="37990" spans="1:1">
      <c r="A37990" s="27"/>
    </row>
    <row r="37991" spans="1:1">
      <c r="A37991" s="27"/>
    </row>
    <row r="37992" spans="1:1">
      <c r="A37992" s="27"/>
    </row>
    <row r="37993" spans="1:1">
      <c r="A37993" s="27"/>
    </row>
    <row r="37994" spans="1:1">
      <c r="A37994" s="27"/>
    </row>
    <row r="37995" spans="1:1">
      <c r="A37995" s="27"/>
    </row>
    <row r="37996" spans="1:1">
      <c r="A37996" s="27"/>
    </row>
    <row r="37997" spans="1:1">
      <c r="A37997" s="27"/>
    </row>
    <row r="37998" spans="1:1">
      <c r="A37998" s="27"/>
    </row>
    <row r="37999" spans="1:1">
      <c r="A37999" s="27"/>
    </row>
    <row r="38000" spans="1:1">
      <c r="A38000" s="27"/>
    </row>
    <row r="38001" spans="1:1">
      <c r="A38001" s="27"/>
    </row>
    <row r="38002" spans="1:1">
      <c r="A38002" s="27"/>
    </row>
    <row r="38003" spans="1:1">
      <c r="A38003" s="27"/>
    </row>
    <row r="38004" spans="1:1">
      <c r="A38004" s="27"/>
    </row>
    <row r="38005" spans="1:1">
      <c r="A38005" s="27"/>
    </row>
    <row r="38006" spans="1:1">
      <c r="A38006" s="27"/>
    </row>
    <row r="38007" spans="1:1">
      <c r="A38007" s="27"/>
    </row>
    <row r="38008" spans="1:1">
      <c r="A38008" s="27"/>
    </row>
    <row r="38009" spans="1:1">
      <c r="A38009" s="27"/>
    </row>
    <row r="38010" spans="1:1">
      <c r="A38010" s="27"/>
    </row>
    <row r="38011" spans="1:1">
      <c r="A38011" s="27"/>
    </row>
    <row r="38012" spans="1:1">
      <c r="A38012" s="27"/>
    </row>
    <row r="38013" spans="1:1">
      <c r="A38013" s="27"/>
    </row>
    <row r="38014" spans="1:1">
      <c r="A38014" s="27"/>
    </row>
    <row r="38015" spans="1:1">
      <c r="A38015" s="27"/>
    </row>
    <row r="38016" spans="1:1">
      <c r="A38016" s="27"/>
    </row>
    <row r="38017" spans="1:1">
      <c r="A38017" s="27"/>
    </row>
    <row r="38018" spans="1:1">
      <c r="A38018" s="27"/>
    </row>
    <row r="38019" spans="1:1">
      <c r="A38019" s="27"/>
    </row>
    <row r="38020" spans="1:1">
      <c r="A38020" s="27"/>
    </row>
    <row r="38021" spans="1:1">
      <c r="A38021" s="27"/>
    </row>
    <row r="38022" spans="1:1">
      <c r="A38022" s="27"/>
    </row>
    <row r="38023" spans="1:1">
      <c r="A38023" s="27"/>
    </row>
    <row r="38024" spans="1:1">
      <c r="A38024" s="27"/>
    </row>
    <row r="38025" spans="1:1">
      <c r="A38025" s="27"/>
    </row>
    <row r="38026" spans="1:1">
      <c r="A38026" s="27"/>
    </row>
    <row r="38027" spans="1:1">
      <c r="A38027" s="27"/>
    </row>
    <row r="38028" spans="1:1">
      <c r="A38028" s="27"/>
    </row>
    <row r="38029" spans="1:1">
      <c r="A38029" s="27"/>
    </row>
    <row r="38030" spans="1:1">
      <c r="A38030" s="27"/>
    </row>
    <row r="38031" spans="1:1">
      <c r="A38031" s="27"/>
    </row>
    <row r="38032" spans="1:1">
      <c r="A38032" s="27"/>
    </row>
    <row r="38033" spans="1:1">
      <c r="A38033" s="27"/>
    </row>
    <row r="38034" spans="1:1">
      <c r="A38034" s="27"/>
    </row>
    <row r="38035" spans="1:1">
      <c r="A38035" s="27"/>
    </row>
    <row r="38036" spans="1:1">
      <c r="A38036" s="27"/>
    </row>
    <row r="38037" spans="1:1">
      <c r="A38037" s="27"/>
    </row>
    <row r="38038" spans="1:1">
      <c r="A38038" s="27"/>
    </row>
    <row r="38039" spans="1:1">
      <c r="A38039" s="27"/>
    </row>
    <row r="38040" spans="1:1">
      <c r="A38040" s="27"/>
    </row>
    <row r="38041" spans="1:1">
      <c r="A38041" s="27"/>
    </row>
    <row r="38042" spans="1:1">
      <c r="A38042" s="27"/>
    </row>
    <row r="38043" spans="1:1">
      <c r="A38043" s="27"/>
    </row>
    <row r="38044" spans="1:1">
      <c r="A38044" s="27"/>
    </row>
    <row r="38045" spans="1:1">
      <c r="A38045" s="27"/>
    </row>
    <row r="38046" spans="1:1">
      <c r="A38046" s="27"/>
    </row>
    <row r="38047" spans="1:1">
      <c r="A38047" s="27"/>
    </row>
    <row r="38048" spans="1:1">
      <c r="A38048" s="27"/>
    </row>
    <row r="38049" spans="1:1">
      <c r="A38049" s="27"/>
    </row>
    <row r="38050" spans="1:1">
      <c r="A38050" s="27"/>
    </row>
    <row r="38051" spans="1:1">
      <c r="A38051" s="27"/>
    </row>
    <row r="38052" spans="1:1">
      <c r="A38052" s="27"/>
    </row>
    <row r="38053" spans="1:1">
      <c r="A38053" s="27"/>
    </row>
    <row r="38054" spans="1:1">
      <c r="A38054" s="27"/>
    </row>
    <row r="38055" spans="1:1">
      <c r="A38055" s="27"/>
    </row>
    <row r="38056" spans="1:1">
      <c r="A38056" s="27"/>
    </row>
    <row r="38057" spans="1:1">
      <c r="A38057" s="27"/>
    </row>
    <row r="38058" spans="1:1">
      <c r="A38058" s="27"/>
    </row>
    <row r="38059" spans="1:1">
      <c r="A38059" s="27"/>
    </row>
    <row r="38060" spans="1:1">
      <c r="A38060" s="27"/>
    </row>
    <row r="38061" spans="1:1">
      <c r="A38061" s="27"/>
    </row>
    <row r="38062" spans="1:1">
      <c r="A38062" s="27"/>
    </row>
    <row r="38063" spans="1:1">
      <c r="A38063" s="27"/>
    </row>
    <row r="38064" spans="1:1">
      <c r="A38064" s="27"/>
    </row>
    <row r="38065" spans="1:1">
      <c r="A38065" s="27"/>
    </row>
    <row r="38066" spans="1:1">
      <c r="A38066" s="27"/>
    </row>
    <row r="38067" spans="1:1">
      <c r="A38067" s="27"/>
    </row>
    <row r="38068" spans="1:1">
      <c r="A38068" s="27"/>
    </row>
    <row r="38069" spans="1:1">
      <c r="A38069" s="27"/>
    </row>
    <row r="38070" spans="1:1">
      <c r="A38070" s="27"/>
    </row>
    <row r="38071" spans="1:1">
      <c r="A38071" s="27"/>
    </row>
    <row r="38072" spans="1:1">
      <c r="A38072" s="27"/>
    </row>
    <row r="38073" spans="1:1">
      <c r="A38073" s="27"/>
    </row>
    <row r="38074" spans="1:1">
      <c r="A38074" s="27"/>
    </row>
    <row r="38075" spans="1:1">
      <c r="A38075" s="27"/>
    </row>
    <row r="38076" spans="1:1">
      <c r="A38076" s="27"/>
    </row>
    <row r="38077" spans="1:1">
      <c r="A38077" s="27"/>
    </row>
    <row r="38078" spans="1:1">
      <c r="A38078" s="27"/>
    </row>
    <row r="38079" spans="1:1">
      <c r="A38079" s="27"/>
    </row>
    <row r="38080" spans="1:1">
      <c r="A38080" s="27"/>
    </row>
    <row r="38081" spans="1:1">
      <c r="A38081" s="27"/>
    </row>
    <row r="38082" spans="1:1">
      <c r="A38082" s="27"/>
    </row>
    <row r="38083" spans="1:1">
      <c r="A38083" s="27"/>
    </row>
    <row r="38084" spans="1:1">
      <c r="A38084" s="27"/>
    </row>
    <row r="38085" spans="1:1">
      <c r="A38085" s="27"/>
    </row>
    <row r="38086" spans="1:1">
      <c r="A38086" s="27"/>
    </row>
    <row r="38087" spans="1:1">
      <c r="A38087" s="27"/>
    </row>
    <row r="38088" spans="1:1">
      <c r="A38088" s="27"/>
    </row>
    <row r="38089" spans="1:1">
      <c r="A38089" s="27"/>
    </row>
    <row r="38090" spans="1:1">
      <c r="A38090" s="27"/>
    </row>
    <row r="38091" spans="1:1">
      <c r="A38091" s="27"/>
    </row>
    <row r="38092" spans="1:1">
      <c r="A38092" s="27"/>
    </row>
    <row r="38093" spans="1:1">
      <c r="A38093" s="27"/>
    </row>
    <row r="38094" spans="1:1">
      <c r="A38094" s="27"/>
    </row>
    <row r="38095" spans="1:1">
      <c r="A38095" s="27"/>
    </row>
    <row r="38096" spans="1:1">
      <c r="A38096" s="27"/>
    </row>
    <row r="38097" spans="1:1">
      <c r="A38097" s="27"/>
    </row>
    <row r="38098" spans="1:1">
      <c r="A38098" s="27"/>
    </row>
    <row r="38099" spans="1:1">
      <c r="A38099" s="27"/>
    </row>
    <row r="38100" spans="1:1">
      <c r="A38100" s="27"/>
    </row>
    <row r="38101" spans="1:1">
      <c r="A38101" s="27"/>
    </row>
    <row r="38102" spans="1:1">
      <c r="A38102" s="27"/>
    </row>
    <row r="38103" spans="1:1">
      <c r="A38103" s="27"/>
    </row>
    <row r="38104" spans="1:1">
      <c r="A38104" s="27"/>
    </row>
    <row r="38105" spans="1:1">
      <c r="A38105" s="27"/>
    </row>
    <row r="38106" spans="1:1">
      <c r="A38106" s="27"/>
    </row>
    <row r="38107" spans="1:1">
      <c r="A38107" s="27"/>
    </row>
    <row r="38108" spans="1:1">
      <c r="A38108" s="27"/>
    </row>
    <row r="38109" spans="1:1">
      <c r="A38109" s="27"/>
    </row>
    <row r="38110" spans="1:1">
      <c r="A38110" s="27"/>
    </row>
    <row r="38111" spans="1:1">
      <c r="A38111" s="27"/>
    </row>
    <row r="38112" spans="1:1">
      <c r="A38112" s="27"/>
    </row>
    <row r="38113" spans="1:1">
      <c r="A38113" s="27"/>
    </row>
    <row r="38114" spans="1:1">
      <c r="A38114" s="27"/>
    </row>
    <row r="38115" spans="1:1">
      <c r="A38115" s="27"/>
    </row>
    <row r="38116" spans="1:1">
      <c r="A38116" s="27"/>
    </row>
    <row r="38117" spans="1:1">
      <c r="A38117" s="27"/>
    </row>
    <row r="38118" spans="1:1">
      <c r="A38118" s="27"/>
    </row>
    <row r="38119" spans="1:1">
      <c r="A38119" s="27"/>
    </row>
    <row r="38120" spans="1:1">
      <c r="A38120" s="27"/>
    </row>
    <row r="38121" spans="1:1">
      <c r="A38121" s="27"/>
    </row>
    <row r="38122" spans="1:1">
      <c r="A38122" s="27"/>
    </row>
    <row r="38123" spans="1:1">
      <c r="A38123" s="27"/>
    </row>
    <row r="38124" spans="1:1">
      <c r="A38124" s="27"/>
    </row>
    <row r="38125" spans="1:1">
      <c r="A38125" s="27"/>
    </row>
    <row r="38126" spans="1:1">
      <c r="A38126" s="27"/>
    </row>
    <row r="38127" spans="1:1">
      <c r="A38127" s="27"/>
    </row>
    <row r="38128" spans="1:1">
      <c r="A38128" s="27"/>
    </row>
    <row r="38129" spans="1:1">
      <c r="A38129" s="27"/>
    </row>
    <row r="38130" spans="1:1">
      <c r="A38130" s="27"/>
    </row>
    <row r="38131" spans="1:1">
      <c r="A38131" s="27"/>
    </row>
    <row r="38132" spans="1:1">
      <c r="A38132" s="27"/>
    </row>
    <row r="38133" spans="1:1">
      <c r="A38133" s="27"/>
    </row>
    <row r="38134" spans="1:1">
      <c r="A38134" s="27"/>
    </row>
    <row r="38135" spans="1:1">
      <c r="A38135" s="27"/>
    </row>
    <row r="38136" spans="1:1">
      <c r="A38136" s="27"/>
    </row>
    <row r="38137" spans="1:1">
      <c r="A38137" s="27"/>
    </row>
    <row r="38138" spans="1:1">
      <c r="A38138" s="27"/>
    </row>
    <row r="38139" spans="1:1">
      <c r="A38139" s="27"/>
    </row>
    <row r="38140" spans="1:1">
      <c r="A38140" s="27"/>
    </row>
    <row r="38141" spans="1:1">
      <c r="A38141" s="27"/>
    </row>
    <row r="38142" spans="1:1">
      <c r="A38142" s="27"/>
    </row>
    <row r="38143" spans="1:1">
      <c r="A38143" s="27"/>
    </row>
    <row r="38144" spans="1:1">
      <c r="A38144" s="27"/>
    </row>
    <row r="38145" spans="1:1">
      <c r="A38145" s="27"/>
    </row>
    <row r="38146" spans="1:1">
      <c r="A38146" s="27"/>
    </row>
    <row r="38147" spans="1:1">
      <c r="A38147" s="27"/>
    </row>
    <row r="38148" spans="1:1">
      <c r="A38148" s="27"/>
    </row>
    <row r="38149" spans="1:1">
      <c r="A38149" s="27"/>
    </row>
    <row r="38150" spans="1:1">
      <c r="A38150" s="27"/>
    </row>
    <row r="38151" spans="1:1">
      <c r="A38151" s="27"/>
    </row>
    <row r="38152" spans="1:1">
      <c r="A38152" s="27"/>
    </row>
    <row r="38153" spans="1:1">
      <c r="A38153" s="27"/>
    </row>
    <row r="38154" spans="1:1">
      <c r="A38154" s="27"/>
    </row>
    <row r="38155" spans="1:1">
      <c r="A38155" s="27"/>
    </row>
    <row r="38156" spans="1:1">
      <c r="A38156" s="27"/>
    </row>
    <row r="38157" spans="1:1">
      <c r="A38157" s="27"/>
    </row>
    <row r="38158" spans="1:1">
      <c r="A38158" s="27"/>
    </row>
    <row r="38159" spans="1:1">
      <c r="A38159" s="27"/>
    </row>
    <row r="38160" spans="1:1">
      <c r="A38160" s="27"/>
    </row>
    <row r="38161" spans="1:1">
      <c r="A38161" s="27"/>
    </row>
    <row r="38162" spans="1:1">
      <c r="A38162" s="27"/>
    </row>
    <row r="38163" spans="1:1">
      <c r="A38163" s="27"/>
    </row>
    <row r="38164" spans="1:1">
      <c r="A38164" s="27"/>
    </row>
    <row r="38165" spans="1:1">
      <c r="A38165" s="27"/>
    </row>
    <row r="38166" spans="1:1">
      <c r="A38166" s="27"/>
    </row>
    <row r="38167" spans="1:1">
      <c r="A38167" s="27"/>
    </row>
    <row r="38168" spans="1:1">
      <c r="A38168" s="27"/>
    </row>
    <row r="38169" spans="1:1">
      <c r="A38169" s="27"/>
    </row>
    <row r="38170" spans="1:1">
      <c r="A38170" s="27"/>
    </row>
    <row r="38171" spans="1:1">
      <c r="A38171" s="27"/>
    </row>
    <row r="38172" spans="1:1">
      <c r="A38172" s="27"/>
    </row>
    <row r="38173" spans="1:1">
      <c r="A38173" s="27"/>
    </row>
    <row r="38174" spans="1:1">
      <c r="A38174" s="27"/>
    </row>
    <row r="38175" spans="1:1">
      <c r="A38175" s="27"/>
    </row>
    <row r="38176" spans="1:1">
      <c r="A38176" s="27"/>
    </row>
    <row r="38177" spans="1:1">
      <c r="A38177" s="27"/>
    </row>
    <row r="38178" spans="1:1">
      <c r="A38178" s="27"/>
    </row>
    <row r="38179" spans="1:1">
      <c r="A38179" s="27"/>
    </row>
    <row r="38180" spans="1:1">
      <c r="A38180" s="27"/>
    </row>
    <row r="38181" spans="1:1">
      <c r="A38181" s="27"/>
    </row>
    <row r="38182" spans="1:1">
      <c r="A38182" s="27"/>
    </row>
    <row r="38183" spans="1:1">
      <c r="A38183" s="27"/>
    </row>
    <row r="38184" spans="1:1">
      <c r="A38184" s="27"/>
    </row>
    <row r="38185" spans="1:1">
      <c r="A38185" s="27"/>
    </row>
    <row r="38186" spans="1:1">
      <c r="A38186" s="27"/>
    </row>
    <row r="38187" spans="1:1">
      <c r="A38187" s="27"/>
    </row>
    <row r="38188" spans="1:1">
      <c r="A38188" s="27"/>
    </row>
    <row r="38189" spans="1:1">
      <c r="A38189" s="27"/>
    </row>
    <row r="38190" spans="1:1">
      <c r="A38190" s="27"/>
    </row>
    <row r="38191" spans="1:1">
      <c r="A38191" s="27"/>
    </row>
    <row r="38192" spans="1:1">
      <c r="A38192" s="27"/>
    </row>
    <row r="38193" spans="1:1">
      <c r="A38193" s="27"/>
    </row>
    <row r="38194" spans="1:1">
      <c r="A38194" s="27"/>
    </row>
    <row r="38195" spans="1:1">
      <c r="A38195" s="27"/>
    </row>
    <row r="38196" spans="1:1">
      <c r="A38196" s="27"/>
    </row>
    <row r="38197" spans="1:1">
      <c r="A38197" s="27"/>
    </row>
    <row r="38198" spans="1:1">
      <c r="A38198" s="27"/>
    </row>
    <row r="38199" spans="1:1">
      <c r="A38199" s="27"/>
    </row>
    <row r="38200" spans="1:1">
      <c r="A38200" s="27"/>
    </row>
    <row r="38201" spans="1:1">
      <c r="A38201" s="27"/>
    </row>
    <row r="38202" spans="1:1">
      <c r="A38202" s="27"/>
    </row>
    <row r="38203" spans="1:1">
      <c r="A38203" s="27"/>
    </row>
    <row r="38204" spans="1:1">
      <c r="A38204" s="27"/>
    </row>
    <row r="38205" spans="1:1">
      <c r="A38205" s="27"/>
    </row>
    <row r="38206" spans="1:1">
      <c r="A38206" s="27"/>
    </row>
    <row r="38207" spans="1:1">
      <c r="A38207" s="27"/>
    </row>
    <row r="38208" spans="1:1">
      <c r="A38208" s="27"/>
    </row>
    <row r="38209" spans="1:1">
      <c r="A38209" s="27"/>
    </row>
    <row r="38210" spans="1:1">
      <c r="A38210" s="27"/>
    </row>
    <row r="38211" spans="1:1">
      <c r="A38211" s="27"/>
    </row>
    <row r="38212" spans="1:1">
      <c r="A38212" s="27"/>
    </row>
    <row r="38213" spans="1:1">
      <c r="A38213" s="27"/>
    </row>
    <row r="38214" spans="1:1">
      <c r="A38214" s="27"/>
    </row>
    <row r="38215" spans="1:1">
      <c r="A38215" s="27"/>
    </row>
    <row r="38216" spans="1:1">
      <c r="A38216" s="27"/>
    </row>
    <row r="38217" spans="1:1">
      <c r="A38217" s="27"/>
    </row>
    <row r="38218" spans="1:1">
      <c r="A38218" s="27"/>
    </row>
    <row r="38219" spans="1:1">
      <c r="A38219" s="27"/>
    </row>
    <row r="38220" spans="1:1">
      <c r="A38220" s="27"/>
    </row>
    <row r="38221" spans="1:1">
      <c r="A38221" s="27"/>
    </row>
    <row r="38222" spans="1:1">
      <c r="A38222" s="27"/>
    </row>
    <row r="38223" spans="1:1">
      <c r="A38223" s="27"/>
    </row>
    <row r="38224" spans="1:1">
      <c r="A38224" s="27"/>
    </row>
    <row r="38225" spans="1:1">
      <c r="A38225" s="27"/>
    </row>
    <row r="38226" spans="1:1">
      <c r="A38226" s="27"/>
    </row>
    <row r="38227" spans="1:1">
      <c r="A38227" s="27"/>
    </row>
    <row r="38228" spans="1:1">
      <c r="A38228" s="27"/>
    </row>
    <row r="38229" spans="1:1">
      <c r="A38229" s="27"/>
    </row>
    <row r="38230" spans="1:1">
      <c r="A38230" s="27"/>
    </row>
    <row r="38231" spans="1:1">
      <c r="A38231" s="27"/>
    </row>
    <row r="38232" spans="1:1">
      <c r="A38232" s="27"/>
    </row>
    <row r="38233" spans="1:1">
      <c r="A38233" s="27"/>
    </row>
    <row r="38234" spans="1:1">
      <c r="A38234" s="27"/>
    </row>
    <row r="38235" spans="1:1">
      <c r="A38235" s="27"/>
    </row>
    <row r="38236" spans="1:1">
      <c r="A38236" s="27"/>
    </row>
    <row r="38237" spans="1:1">
      <c r="A38237" s="27"/>
    </row>
    <row r="38238" spans="1:1">
      <c r="A38238" s="27"/>
    </row>
    <row r="38239" spans="1:1">
      <c r="A38239" s="27"/>
    </row>
    <row r="38240" spans="1:1">
      <c r="A38240" s="27"/>
    </row>
    <row r="38241" spans="1:1">
      <c r="A38241" s="27"/>
    </row>
    <row r="38242" spans="1:1">
      <c r="A38242" s="27"/>
    </row>
    <row r="38243" spans="1:1">
      <c r="A38243" s="27"/>
    </row>
    <row r="38244" spans="1:1">
      <c r="A38244" s="27"/>
    </row>
    <row r="38245" spans="1:1">
      <c r="A38245" s="27"/>
    </row>
    <row r="38246" spans="1:1">
      <c r="A38246" s="27"/>
    </row>
    <row r="38247" spans="1:1">
      <c r="A38247" s="27"/>
    </row>
    <row r="38248" spans="1:1">
      <c r="A38248" s="27"/>
    </row>
    <row r="38249" spans="1:1">
      <c r="A38249" s="27"/>
    </row>
    <row r="38250" spans="1:1">
      <c r="A38250" s="27"/>
    </row>
    <row r="38251" spans="1:1">
      <c r="A38251" s="27"/>
    </row>
    <row r="38252" spans="1:1">
      <c r="A38252" s="27"/>
    </row>
    <row r="38253" spans="1:1">
      <c r="A38253" s="27"/>
    </row>
    <row r="38254" spans="1:1">
      <c r="A38254" s="27"/>
    </row>
    <row r="38255" spans="1:1">
      <c r="A38255" s="27"/>
    </row>
    <row r="38256" spans="1:1">
      <c r="A38256" s="27"/>
    </row>
    <row r="38257" spans="1:1">
      <c r="A38257" s="27"/>
    </row>
    <row r="38258" spans="1:1">
      <c r="A38258" s="27"/>
    </row>
    <row r="38259" spans="1:1">
      <c r="A38259" s="27"/>
    </row>
    <row r="38260" spans="1:1">
      <c r="A38260" s="27"/>
    </row>
    <row r="38261" spans="1:1">
      <c r="A38261" s="27"/>
    </row>
    <row r="38262" spans="1:1">
      <c r="A38262" s="27"/>
    </row>
    <row r="38263" spans="1:1">
      <c r="A38263" s="27"/>
    </row>
    <row r="38264" spans="1:1">
      <c r="A38264" s="27"/>
    </row>
    <row r="38265" spans="1:1">
      <c r="A38265" s="27"/>
    </row>
    <row r="38266" spans="1:1">
      <c r="A38266" s="27"/>
    </row>
    <row r="38267" spans="1:1">
      <c r="A38267" s="27"/>
    </row>
    <row r="38268" spans="1:1">
      <c r="A38268" s="27"/>
    </row>
    <row r="38269" spans="1:1">
      <c r="A38269" s="27"/>
    </row>
    <row r="38270" spans="1:1">
      <c r="A38270" s="27"/>
    </row>
    <row r="38271" spans="1:1">
      <c r="A38271" s="27"/>
    </row>
    <row r="38272" spans="1:1">
      <c r="A38272" s="27"/>
    </row>
    <row r="38273" spans="1:1">
      <c r="A38273" s="27"/>
    </row>
    <row r="38274" spans="1:1">
      <c r="A38274" s="27"/>
    </row>
    <row r="38275" spans="1:1">
      <c r="A38275" s="27"/>
    </row>
    <row r="38276" spans="1:1">
      <c r="A38276" s="27"/>
    </row>
    <row r="38277" spans="1:1">
      <c r="A38277" s="27"/>
    </row>
    <row r="38278" spans="1:1">
      <c r="A38278" s="27"/>
    </row>
    <row r="38279" spans="1:1">
      <c r="A38279" s="27"/>
    </row>
    <row r="38280" spans="1:1">
      <c r="A38280" s="27"/>
    </row>
    <row r="38281" spans="1:1">
      <c r="A38281" s="27"/>
    </row>
    <row r="38282" spans="1:1">
      <c r="A38282" s="27"/>
    </row>
    <row r="38283" spans="1:1">
      <c r="A38283" s="27"/>
    </row>
    <row r="38284" spans="1:1">
      <c r="A38284" s="27"/>
    </row>
    <row r="38285" spans="1:1">
      <c r="A38285" s="27"/>
    </row>
    <row r="38286" spans="1:1">
      <c r="A38286" s="27"/>
    </row>
    <row r="38287" spans="1:1">
      <c r="A38287" s="27"/>
    </row>
    <row r="38288" spans="1:1">
      <c r="A38288" s="27"/>
    </row>
    <row r="38289" spans="1:1">
      <c r="A38289" s="27"/>
    </row>
    <row r="38290" spans="1:1">
      <c r="A38290" s="27"/>
    </row>
    <row r="38291" spans="1:1">
      <c r="A38291" s="27"/>
    </row>
    <row r="38292" spans="1:1">
      <c r="A38292" s="27"/>
    </row>
    <row r="38293" spans="1:1">
      <c r="A38293" s="27"/>
    </row>
    <row r="38294" spans="1:1">
      <c r="A38294" s="27"/>
    </row>
    <row r="38295" spans="1:1">
      <c r="A38295" s="27"/>
    </row>
    <row r="38296" spans="1:1">
      <c r="A38296" s="27"/>
    </row>
    <row r="38297" spans="1:1">
      <c r="A38297" s="27"/>
    </row>
    <row r="38298" spans="1:1">
      <c r="A38298" s="27"/>
    </row>
    <row r="38299" spans="1:1">
      <c r="A38299" s="27"/>
    </row>
    <row r="38300" spans="1:1">
      <c r="A38300" s="27"/>
    </row>
    <row r="38301" spans="1:1">
      <c r="A38301" s="27"/>
    </row>
    <row r="38302" spans="1:1">
      <c r="A38302" s="27"/>
    </row>
    <row r="38303" spans="1:1">
      <c r="A38303" s="27"/>
    </row>
    <row r="38304" spans="1:1">
      <c r="A38304" s="27"/>
    </row>
    <row r="38305" spans="1:1">
      <c r="A38305" s="27"/>
    </row>
    <row r="38306" spans="1:1">
      <c r="A38306" s="27"/>
    </row>
    <row r="38307" spans="1:1">
      <c r="A38307" s="27"/>
    </row>
    <row r="38308" spans="1:1">
      <c r="A38308" s="27"/>
    </row>
    <row r="38309" spans="1:1">
      <c r="A38309" s="27"/>
    </row>
    <row r="38310" spans="1:1">
      <c r="A38310" s="27"/>
    </row>
    <row r="38311" spans="1:1">
      <c r="A38311" s="27"/>
    </row>
    <row r="38312" spans="1:1">
      <c r="A38312" s="27"/>
    </row>
    <row r="38313" spans="1:1">
      <c r="A38313" s="27"/>
    </row>
    <row r="38314" spans="1:1">
      <c r="A38314" s="27"/>
    </row>
    <row r="38315" spans="1:1">
      <c r="A38315" s="27"/>
    </row>
    <row r="38316" spans="1:1">
      <c r="A38316" s="27"/>
    </row>
    <row r="38317" spans="1:1">
      <c r="A38317" s="27"/>
    </row>
    <row r="38318" spans="1:1">
      <c r="A38318" s="27"/>
    </row>
    <row r="38319" spans="1:1">
      <c r="A38319" s="27"/>
    </row>
    <row r="38320" spans="1:1">
      <c r="A38320" s="27"/>
    </row>
    <row r="38321" spans="1:1">
      <c r="A38321" s="27"/>
    </row>
    <row r="38322" spans="1:1">
      <c r="A38322" s="27"/>
    </row>
    <row r="38323" spans="1:1">
      <c r="A38323" s="27"/>
    </row>
    <row r="38324" spans="1:1">
      <c r="A38324" s="27"/>
    </row>
    <row r="38325" spans="1:1">
      <c r="A38325" s="27"/>
    </row>
    <row r="38326" spans="1:1">
      <c r="A38326" s="27"/>
    </row>
    <row r="38327" spans="1:1">
      <c r="A38327" s="27"/>
    </row>
    <row r="38328" spans="1:1">
      <c r="A38328" s="27"/>
    </row>
    <row r="38329" spans="1:1">
      <c r="A38329" s="27"/>
    </row>
    <row r="38330" spans="1:1">
      <c r="A38330" s="27"/>
    </row>
    <row r="38331" spans="1:1">
      <c r="A38331" s="27"/>
    </row>
    <row r="38332" spans="1:1">
      <c r="A38332" s="27"/>
    </row>
    <row r="38333" spans="1:1">
      <c r="A38333" s="27"/>
    </row>
    <row r="38334" spans="1:1">
      <c r="A38334" s="27"/>
    </row>
    <row r="38335" spans="1:1">
      <c r="A38335" s="27"/>
    </row>
    <row r="38336" spans="1:1">
      <c r="A38336" s="27"/>
    </row>
    <row r="38337" spans="1:1">
      <c r="A38337" s="27"/>
    </row>
    <row r="38338" spans="1:1">
      <c r="A38338" s="27"/>
    </row>
    <row r="38339" spans="1:1">
      <c r="A38339" s="27"/>
    </row>
    <row r="38340" spans="1:1">
      <c r="A38340" s="27"/>
    </row>
    <row r="38341" spans="1:1">
      <c r="A38341" s="27"/>
    </row>
    <row r="38342" spans="1:1">
      <c r="A38342" s="27"/>
    </row>
    <row r="38343" spans="1:1">
      <c r="A38343" s="27"/>
    </row>
    <row r="38344" spans="1:1">
      <c r="A38344" s="27"/>
    </row>
    <row r="38345" spans="1:1">
      <c r="A38345" s="27"/>
    </row>
    <row r="38346" spans="1:1">
      <c r="A38346" s="27"/>
    </row>
    <row r="38347" spans="1:1">
      <c r="A38347" s="27"/>
    </row>
    <row r="38348" spans="1:1">
      <c r="A38348" s="27"/>
    </row>
    <row r="38349" spans="1:1">
      <c r="A38349" s="27"/>
    </row>
    <row r="38350" spans="1:1">
      <c r="A38350" s="27"/>
    </row>
    <row r="38351" spans="1:1">
      <c r="A38351" s="27"/>
    </row>
    <row r="38352" spans="1:1">
      <c r="A38352" s="27"/>
    </row>
    <row r="38353" spans="1:1">
      <c r="A38353" s="27"/>
    </row>
    <row r="38354" spans="1:1">
      <c r="A38354" s="27"/>
    </row>
    <row r="38355" spans="1:1">
      <c r="A38355" s="27"/>
    </row>
    <row r="38356" spans="1:1">
      <c r="A38356" s="27"/>
    </row>
    <row r="38357" spans="1:1">
      <c r="A38357" s="27"/>
    </row>
    <row r="38358" spans="1:1">
      <c r="A38358" s="27"/>
    </row>
    <row r="38359" spans="1:1">
      <c r="A38359" s="27"/>
    </row>
    <row r="38360" spans="1:1">
      <c r="A38360" s="27"/>
    </row>
    <row r="38361" spans="1:1">
      <c r="A38361" s="27"/>
    </row>
    <row r="38362" spans="1:1">
      <c r="A38362" s="27"/>
    </row>
    <row r="38363" spans="1:1">
      <c r="A38363" s="27"/>
    </row>
    <row r="38364" spans="1:1">
      <c r="A38364" s="27"/>
    </row>
    <row r="38365" spans="1:1">
      <c r="A38365" s="27"/>
    </row>
    <row r="38366" spans="1:1">
      <c r="A38366" s="27"/>
    </row>
    <row r="38367" spans="1:1">
      <c r="A38367" s="27"/>
    </row>
    <row r="38368" spans="1:1">
      <c r="A38368" s="27"/>
    </row>
    <row r="38369" spans="1:1">
      <c r="A38369" s="27"/>
    </row>
    <row r="38370" spans="1:1">
      <c r="A38370" s="27"/>
    </row>
    <row r="38371" spans="1:1">
      <c r="A38371" s="27"/>
    </row>
    <row r="38372" spans="1:1">
      <c r="A38372" s="27"/>
    </row>
    <row r="38373" spans="1:1">
      <c r="A38373" s="27"/>
    </row>
    <row r="38374" spans="1:1">
      <c r="A38374" s="27"/>
    </row>
    <row r="38375" spans="1:1">
      <c r="A38375" s="27"/>
    </row>
    <row r="38376" spans="1:1">
      <c r="A38376" s="27"/>
    </row>
    <row r="38377" spans="1:1">
      <c r="A38377" s="27"/>
    </row>
    <row r="38378" spans="1:1">
      <c r="A38378" s="27"/>
    </row>
    <row r="38379" spans="1:1">
      <c r="A38379" s="27"/>
    </row>
    <row r="38380" spans="1:1">
      <c r="A38380" s="27"/>
    </row>
    <row r="38381" spans="1:1">
      <c r="A38381" s="27"/>
    </row>
    <row r="38382" spans="1:1">
      <c r="A38382" s="27"/>
    </row>
    <row r="38383" spans="1:1">
      <c r="A38383" s="27"/>
    </row>
    <row r="38384" spans="1:1">
      <c r="A38384" s="27"/>
    </row>
    <row r="38385" spans="1:1">
      <c r="A38385" s="27"/>
    </row>
    <row r="38386" spans="1:1">
      <c r="A38386" s="27"/>
    </row>
    <row r="38387" spans="1:1">
      <c r="A38387" s="27"/>
    </row>
    <row r="38388" spans="1:1">
      <c r="A38388" s="27"/>
    </row>
    <row r="38389" spans="1:1">
      <c r="A38389" s="27"/>
    </row>
    <row r="38390" spans="1:1">
      <c r="A38390" s="27"/>
    </row>
    <row r="38391" spans="1:1">
      <c r="A38391" s="27"/>
    </row>
    <row r="38392" spans="1:1">
      <c r="A38392" s="27"/>
    </row>
    <row r="38393" spans="1:1">
      <c r="A38393" s="27"/>
    </row>
    <row r="38394" spans="1:1">
      <c r="A38394" s="27"/>
    </row>
    <row r="38395" spans="1:1">
      <c r="A38395" s="27"/>
    </row>
    <row r="38396" spans="1:1">
      <c r="A38396" s="27"/>
    </row>
    <row r="38397" spans="1:1">
      <c r="A38397" s="27"/>
    </row>
    <row r="38398" spans="1:1">
      <c r="A38398" s="27"/>
    </row>
    <row r="38399" spans="1:1">
      <c r="A38399" s="27"/>
    </row>
    <row r="38400" spans="1:1">
      <c r="A38400" s="27"/>
    </row>
    <row r="38401" spans="1:1">
      <c r="A38401" s="27"/>
    </row>
    <row r="38402" spans="1:1">
      <c r="A38402" s="27"/>
    </row>
    <row r="38403" spans="1:1">
      <c r="A38403" s="27"/>
    </row>
    <row r="38404" spans="1:1">
      <c r="A38404" s="27"/>
    </row>
    <row r="38405" spans="1:1">
      <c r="A38405" s="27"/>
    </row>
    <row r="38406" spans="1:1">
      <c r="A38406" s="27"/>
    </row>
    <row r="38407" spans="1:1">
      <c r="A38407" s="27"/>
    </row>
    <row r="38408" spans="1:1">
      <c r="A38408" s="27"/>
    </row>
    <row r="38409" spans="1:1">
      <c r="A38409" s="27"/>
    </row>
    <row r="38410" spans="1:1">
      <c r="A38410" s="27"/>
    </row>
    <row r="38411" spans="1:1">
      <c r="A38411" s="27"/>
    </row>
    <row r="38412" spans="1:1">
      <c r="A38412" s="27"/>
    </row>
    <row r="38413" spans="1:1">
      <c r="A38413" s="27"/>
    </row>
    <row r="38414" spans="1:1">
      <c r="A38414" s="27"/>
    </row>
    <row r="38415" spans="1:1">
      <c r="A38415" s="27"/>
    </row>
    <row r="38416" spans="1:1">
      <c r="A38416" s="27"/>
    </row>
    <row r="38417" spans="1:1">
      <c r="A38417" s="27"/>
    </row>
    <row r="38418" spans="1:1">
      <c r="A38418" s="27"/>
    </row>
    <row r="38419" spans="1:1">
      <c r="A38419" s="27"/>
    </row>
    <row r="38420" spans="1:1">
      <c r="A38420" s="27"/>
    </row>
    <row r="38421" spans="1:1">
      <c r="A38421" s="27"/>
    </row>
    <row r="38422" spans="1:1">
      <c r="A38422" s="27"/>
    </row>
    <row r="38423" spans="1:1">
      <c r="A38423" s="27"/>
    </row>
    <row r="38424" spans="1:1">
      <c r="A38424" s="27"/>
    </row>
    <row r="38425" spans="1:1">
      <c r="A38425" s="27"/>
    </row>
    <row r="38426" spans="1:1">
      <c r="A38426" s="27"/>
    </row>
    <row r="38427" spans="1:1">
      <c r="A38427" s="27"/>
    </row>
    <row r="38428" spans="1:1">
      <c r="A38428" s="27"/>
    </row>
    <row r="38429" spans="1:1">
      <c r="A38429" s="27"/>
    </row>
    <row r="38430" spans="1:1">
      <c r="A38430" s="27"/>
    </row>
    <row r="38431" spans="1:1">
      <c r="A38431" s="27"/>
    </row>
    <row r="38432" spans="1:1">
      <c r="A38432" s="27"/>
    </row>
    <row r="38433" spans="1:1">
      <c r="A38433" s="27"/>
    </row>
    <row r="38434" spans="1:1">
      <c r="A38434" s="27"/>
    </row>
    <row r="38435" spans="1:1">
      <c r="A38435" s="27"/>
    </row>
    <row r="38436" spans="1:1">
      <c r="A38436" s="27"/>
    </row>
    <row r="38437" spans="1:1">
      <c r="A38437" s="27"/>
    </row>
    <row r="38438" spans="1:1">
      <c r="A38438" s="27"/>
    </row>
    <row r="38439" spans="1:1">
      <c r="A38439" s="27"/>
    </row>
    <row r="38440" spans="1:1">
      <c r="A38440" s="27"/>
    </row>
    <row r="38441" spans="1:1">
      <c r="A38441" s="27"/>
    </row>
    <row r="38442" spans="1:1">
      <c r="A38442" s="27"/>
    </row>
    <row r="38443" spans="1:1">
      <c r="A38443" s="27"/>
    </row>
    <row r="38444" spans="1:1">
      <c r="A38444" s="27"/>
    </row>
    <row r="38445" spans="1:1">
      <c r="A38445" s="27"/>
    </row>
    <row r="38446" spans="1:1">
      <c r="A38446" s="27"/>
    </row>
    <row r="38447" spans="1:1">
      <c r="A38447" s="27"/>
    </row>
    <row r="38448" spans="1:1">
      <c r="A38448" s="27"/>
    </row>
    <row r="38449" spans="1:1">
      <c r="A38449" s="27"/>
    </row>
    <row r="38450" spans="1:1">
      <c r="A38450" s="27"/>
    </row>
    <row r="38451" spans="1:1">
      <c r="A38451" s="27"/>
    </row>
    <row r="38452" spans="1:1">
      <c r="A38452" s="27"/>
    </row>
    <row r="38453" spans="1:1">
      <c r="A38453" s="27"/>
    </row>
    <row r="38454" spans="1:1">
      <c r="A38454" s="27"/>
    </row>
    <row r="38455" spans="1:1">
      <c r="A38455" s="27"/>
    </row>
    <row r="38456" spans="1:1">
      <c r="A38456" s="27"/>
    </row>
    <row r="38457" spans="1:1">
      <c r="A38457" s="27"/>
    </row>
    <row r="38458" spans="1:1">
      <c r="A38458" s="27"/>
    </row>
    <row r="38459" spans="1:1">
      <c r="A38459" s="27"/>
    </row>
    <row r="38460" spans="1:1">
      <c r="A38460" s="27"/>
    </row>
    <row r="38461" spans="1:1">
      <c r="A38461" s="27"/>
    </row>
    <row r="38462" spans="1:1">
      <c r="A38462" s="27"/>
    </row>
    <row r="38463" spans="1:1">
      <c r="A38463" s="27"/>
    </row>
    <row r="38464" spans="1:1">
      <c r="A38464" s="27"/>
    </row>
    <row r="38465" spans="1:1">
      <c r="A38465" s="27"/>
    </row>
    <row r="38466" spans="1:1">
      <c r="A38466" s="27"/>
    </row>
    <row r="38467" spans="1:1">
      <c r="A38467" s="27"/>
    </row>
    <row r="38468" spans="1:1">
      <c r="A38468" s="27"/>
    </row>
    <row r="38469" spans="1:1">
      <c r="A38469" s="27"/>
    </row>
    <row r="38470" spans="1:1">
      <c r="A38470" s="27"/>
    </row>
    <row r="38471" spans="1:1">
      <c r="A38471" s="27"/>
    </row>
    <row r="38472" spans="1:1">
      <c r="A38472" s="27"/>
    </row>
    <row r="38473" spans="1:1">
      <c r="A38473" s="27"/>
    </row>
    <row r="38474" spans="1:1">
      <c r="A38474" s="27"/>
    </row>
    <row r="38475" spans="1:1">
      <c r="A38475" s="27"/>
    </row>
    <row r="38476" spans="1:1">
      <c r="A38476" s="27"/>
    </row>
    <row r="38477" spans="1:1">
      <c r="A38477" s="27"/>
    </row>
    <row r="38478" spans="1:1">
      <c r="A38478" s="27"/>
    </row>
    <row r="38479" spans="1:1">
      <c r="A38479" s="27"/>
    </row>
    <row r="38480" spans="1:1">
      <c r="A38480" s="27"/>
    </row>
    <row r="38481" spans="1:1">
      <c r="A38481" s="27"/>
    </row>
    <row r="38482" spans="1:1">
      <c r="A38482" s="27"/>
    </row>
    <row r="38483" spans="1:1">
      <c r="A38483" s="27"/>
    </row>
    <row r="38484" spans="1:1">
      <c r="A38484" s="27"/>
    </row>
    <row r="38485" spans="1:1">
      <c r="A38485" s="27"/>
    </row>
    <row r="38486" spans="1:1">
      <c r="A38486" s="27"/>
    </row>
    <row r="38487" spans="1:1">
      <c r="A38487" s="27"/>
    </row>
    <row r="38488" spans="1:1">
      <c r="A38488" s="27"/>
    </row>
    <row r="38489" spans="1:1">
      <c r="A38489" s="27"/>
    </row>
    <row r="38490" spans="1:1">
      <c r="A38490" s="27"/>
    </row>
    <row r="38491" spans="1:1">
      <c r="A38491" s="27"/>
    </row>
    <row r="38492" spans="1:1">
      <c r="A38492" s="27"/>
    </row>
    <row r="38493" spans="1:1">
      <c r="A38493" s="27"/>
    </row>
    <row r="38494" spans="1:1">
      <c r="A38494" s="27"/>
    </row>
    <row r="38495" spans="1:1">
      <c r="A38495" s="27"/>
    </row>
    <row r="38496" spans="1:1">
      <c r="A38496" s="27"/>
    </row>
    <row r="38497" spans="1:1">
      <c r="A38497" s="27"/>
    </row>
    <row r="38498" spans="1:1">
      <c r="A38498" s="27"/>
    </row>
    <row r="38499" spans="1:1">
      <c r="A38499" s="27"/>
    </row>
    <row r="38500" spans="1:1">
      <c r="A38500" s="27"/>
    </row>
    <row r="38501" spans="1:1">
      <c r="A38501" s="27"/>
    </row>
    <row r="38502" spans="1:1">
      <c r="A38502" s="27"/>
    </row>
    <row r="38503" spans="1:1">
      <c r="A38503" s="27"/>
    </row>
    <row r="38504" spans="1:1">
      <c r="A38504" s="27"/>
    </row>
    <row r="38505" spans="1:1">
      <c r="A38505" s="27"/>
    </row>
    <row r="38506" spans="1:1">
      <c r="A38506" s="27"/>
    </row>
    <row r="38507" spans="1:1">
      <c r="A38507" s="27"/>
    </row>
    <row r="38508" spans="1:1">
      <c r="A38508" s="27"/>
    </row>
    <row r="38509" spans="1:1">
      <c r="A38509" s="27"/>
    </row>
    <row r="38510" spans="1:1">
      <c r="A38510" s="27"/>
    </row>
    <row r="38511" spans="1:1">
      <c r="A38511" s="27"/>
    </row>
    <row r="38512" spans="1:1">
      <c r="A38512" s="27"/>
    </row>
    <row r="38513" spans="1:1">
      <c r="A38513" s="27"/>
    </row>
    <row r="38514" spans="1:1">
      <c r="A38514" s="27"/>
    </row>
    <row r="38515" spans="1:1">
      <c r="A38515" s="27"/>
    </row>
    <row r="38516" spans="1:1">
      <c r="A38516" s="27"/>
    </row>
    <row r="38517" spans="1:1">
      <c r="A38517" s="27"/>
    </row>
    <row r="38518" spans="1:1">
      <c r="A38518" s="27"/>
    </row>
    <row r="38519" spans="1:1">
      <c r="A38519" s="27"/>
    </row>
    <row r="38520" spans="1:1">
      <c r="A38520" s="27"/>
    </row>
    <row r="38521" spans="1:1">
      <c r="A38521" s="27"/>
    </row>
    <row r="38522" spans="1:1">
      <c r="A38522" s="27"/>
    </row>
    <row r="38523" spans="1:1">
      <c r="A38523" s="27"/>
    </row>
    <row r="38524" spans="1:1">
      <c r="A38524" s="27"/>
    </row>
    <row r="38525" spans="1:1">
      <c r="A38525" s="27"/>
    </row>
    <row r="38526" spans="1:1">
      <c r="A38526" s="27"/>
    </row>
    <row r="38527" spans="1:1">
      <c r="A38527" s="27"/>
    </row>
    <row r="38528" spans="1:1">
      <c r="A38528" s="27"/>
    </row>
    <row r="38529" spans="1:1">
      <c r="A38529" s="27"/>
    </row>
    <row r="38530" spans="1:1">
      <c r="A38530" s="27"/>
    </row>
    <row r="38531" spans="1:1">
      <c r="A38531" s="27"/>
    </row>
    <row r="38532" spans="1:1">
      <c r="A38532" s="27"/>
    </row>
    <row r="38533" spans="1:1">
      <c r="A38533" s="27"/>
    </row>
    <row r="38534" spans="1:1">
      <c r="A38534" s="27"/>
    </row>
    <row r="38535" spans="1:1">
      <c r="A38535" s="27"/>
    </row>
    <row r="38536" spans="1:1">
      <c r="A38536" s="27"/>
    </row>
    <row r="38537" spans="1:1">
      <c r="A38537" s="27"/>
    </row>
    <row r="38538" spans="1:1">
      <c r="A38538" s="27"/>
    </row>
    <row r="38539" spans="1:1">
      <c r="A38539" s="27"/>
    </row>
    <row r="38540" spans="1:1">
      <c r="A38540" s="27"/>
    </row>
    <row r="38541" spans="1:1">
      <c r="A38541" s="27"/>
    </row>
    <row r="38542" spans="1:1">
      <c r="A38542" s="27"/>
    </row>
    <row r="38543" spans="1:1">
      <c r="A38543" s="27"/>
    </row>
    <row r="38544" spans="1:1">
      <c r="A38544" s="27"/>
    </row>
    <row r="38545" spans="1:1">
      <c r="A38545" s="27"/>
    </row>
    <row r="38546" spans="1:1">
      <c r="A38546" s="27"/>
    </row>
    <row r="38547" spans="1:1">
      <c r="A38547" s="27"/>
    </row>
    <row r="38548" spans="1:1">
      <c r="A38548" s="27"/>
    </row>
    <row r="38549" spans="1:1">
      <c r="A38549" s="27"/>
    </row>
    <row r="38550" spans="1:1">
      <c r="A38550" s="27"/>
    </row>
    <row r="38551" spans="1:1">
      <c r="A38551" s="27"/>
    </row>
    <row r="38552" spans="1:1">
      <c r="A38552" s="27"/>
    </row>
    <row r="38553" spans="1:1">
      <c r="A38553" s="27"/>
    </row>
    <row r="38554" spans="1:1">
      <c r="A38554" s="27"/>
    </row>
    <row r="38555" spans="1:1">
      <c r="A38555" s="27"/>
    </row>
    <row r="38556" spans="1:1">
      <c r="A38556" s="27"/>
    </row>
    <row r="38557" spans="1:1">
      <c r="A38557" s="27"/>
    </row>
    <row r="38558" spans="1:1">
      <c r="A38558" s="27"/>
    </row>
    <row r="38559" spans="1:1">
      <c r="A38559" s="27"/>
    </row>
    <row r="38560" spans="1:1">
      <c r="A38560" s="27"/>
    </row>
    <row r="38561" spans="1:1">
      <c r="A38561" s="27"/>
    </row>
    <row r="38562" spans="1:1">
      <c r="A38562" s="27"/>
    </row>
    <row r="38563" spans="1:1">
      <c r="A38563" s="27"/>
    </row>
    <row r="38564" spans="1:1">
      <c r="A38564" s="27"/>
    </row>
    <row r="38565" spans="1:1">
      <c r="A38565" s="27"/>
    </row>
    <row r="38566" spans="1:1">
      <c r="A38566" s="27"/>
    </row>
    <row r="38567" spans="1:1">
      <c r="A38567" s="27"/>
    </row>
    <row r="38568" spans="1:1">
      <c r="A38568" s="27"/>
    </row>
    <row r="38569" spans="1:1">
      <c r="A38569" s="27"/>
    </row>
    <row r="38570" spans="1:1">
      <c r="A38570" s="27"/>
    </row>
    <row r="38571" spans="1:1">
      <c r="A38571" s="27"/>
    </row>
    <row r="38572" spans="1:1">
      <c r="A38572" s="27"/>
    </row>
    <row r="38573" spans="1:1">
      <c r="A38573" s="27"/>
    </row>
    <row r="38574" spans="1:1">
      <c r="A38574" s="27"/>
    </row>
    <row r="38575" spans="1:1">
      <c r="A38575" s="27"/>
    </row>
    <row r="38576" spans="1:1">
      <c r="A38576" s="27"/>
    </row>
    <row r="38577" spans="1:1">
      <c r="A38577" s="27"/>
    </row>
    <row r="38578" spans="1:1">
      <c r="A38578" s="27"/>
    </row>
    <row r="38579" spans="1:1">
      <c r="A38579" s="27"/>
    </row>
    <row r="38580" spans="1:1">
      <c r="A38580" s="27"/>
    </row>
    <row r="38581" spans="1:1">
      <c r="A38581" s="27"/>
    </row>
    <row r="38582" spans="1:1">
      <c r="A38582" s="27"/>
    </row>
    <row r="38583" spans="1:1">
      <c r="A38583" s="27"/>
    </row>
    <row r="38584" spans="1:1">
      <c r="A38584" s="27"/>
    </row>
    <row r="38585" spans="1:1">
      <c r="A38585" s="27"/>
    </row>
    <row r="38586" spans="1:1">
      <c r="A38586" s="27"/>
    </row>
    <row r="38587" spans="1:1">
      <c r="A38587" s="27"/>
    </row>
    <row r="38588" spans="1:1">
      <c r="A38588" s="27"/>
    </row>
    <row r="38589" spans="1:1">
      <c r="A38589" s="27"/>
    </row>
    <row r="38590" spans="1:1">
      <c r="A38590" s="27"/>
    </row>
    <row r="38591" spans="1:1">
      <c r="A38591" s="27"/>
    </row>
    <row r="38592" spans="1:1">
      <c r="A38592" s="27"/>
    </row>
    <row r="38593" spans="1:1">
      <c r="A38593" s="27"/>
    </row>
    <row r="38594" spans="1:1">
      <c r="A38594" s="27"/>
    </row>
    <row r="38595" spans="1:1">
      <c r="A38595" s="27"/>
    </row>
    <row r="38596" spans="1:1">
      <c r="A38596" s="27"/>
    </row>
    <row r="38597" spans="1:1">
      <c r="A38597" s="27"/>
    </row>
    <row r="38598" spans="1:1">
      <c r="A38598" s="27"/>
    </row>
    <row r="38599" spans="1:1">
      <c r="A38599" s="27"/>
    </row>
    <row r="38600" spans="1:1">
      <c r="A38600" s="27"/>
    </row>
    <row r="38601" spans="1:1">
      <c r="A38601" s="27"/>
    </row>
    <row r="38602" spans="1:1">
      <c r="A38602" s="27"/>
    </row>
    <row r="38603" spans="1:1">
      <c r="A38603" s="27"/>
    </row>
    <row r="38604" spans="1:1">
      <c r="A38604" s="27"/>
    </row>
    <row r="38605" spans="1:1">
      <c r="A38605" s="27"/>
    </row>
    <row r="38606" spans="1:1">
      <c r="A38606" s="27"/>
    </row>
    <row r="38607" spans="1:1">
      <c r="A38607" s="27"/>
    </row>
    <row r="38608" spans="1:1">
      <c r="A38608" s="27"/>
    </row>
    <row r="38609" spans="1:1">
      <c r="A38609" s="27"/>
    </row>
    <row r="38610" spans="1:1">
      <c r="A38610" s="27"/>
    </row>
    <row r="38611" spans="1:1">
      <c r="A38611" s="27"/>
    </row>
    <row r="38612" spans="1:1">
      <c r="A38612" s="27"/>
    </row>
    <row r="38613" spans="1:1">
      <c r="A38613" s="27"/>
    </row>
    <row r="38614" spans="1:1">
      <c r="A38614" s="27"/>
    </row>
    <row r="38615" spans="1:1">
      <c r="A38615" s="27"/>
    </row>
    <row r="38616" spans="1:1">
      <c r="A38616" s="27"/>
    </row>
    <row r="38617" spans="1:1">
      <c r="A38617" s="27"/>
    </row>
    <row r="38618" spans="1:1">
      <c r="A38618" s="27"/>
    </row>
    <row r="38619" spans="1:1">
      <c r="A38619" s="27"/>
    </row>
    <row r="38620" spans="1:1">
      <c r="A38620" s="27"/>
    </row>
    <row r="38621" spans="1:1">
      <c r="A38621" s="27"/>
    </row>
    <row r="38622" spans="1:1">
      <c r="A38622" s="27"/>
    </row>
    <row r="38623" spans="1:1">
      <c r="A38623" s="27"/>
    </row>
    <row r="38624" spans="1:1">
      <c r="A38624" s="27"/>
    </row>
    <row r="38625" spans="1:1">
      <c r="A38625" s="27"/>
    </row>
    <row r="38626" spans="1:1">
      <c r="A38626" s="27"/>
    </row>
    <row r="38627" spans="1:1">
      <c r="A38627" s="27"/>
    </row>
    <row r="38628" spans="1:1">
      <c r="A38628" s="27"/>
    </row>
    <row r="38629" spans="1:1">
      <c r="A38629" s="27"/>
    </row>
    <row r="38630" spans="1:1">
      <c r="A38630" s="27"/>
    </row>
    <row r="38631" spans="1:1">
      <c r="A38631" s="27"/>
    </row>
    <row r="38632" spans="1:1">
      <c r="A38632" s="27"/>
    </row>
    <row r="38633" spans="1:1">
      <c r="A38633" s="27"/>
    </row>
    <row r="38634" spans="1:1">
      <c r="A38634" s="27"/>
    </row>
    <row r="38635" spans="1:1">
      <c r="A38635" s="27"/>
    </row>
    <row r="38636" spans="1:1">
      <c r="A38636" s="27"/>
    </row>
    <row r="38637" spans="1:1">
      <c r="A38637" s="27"/>
    </row>
    <row r="38638" spans="1:1">
      <c r="A38638" s="27"/>
    </row>
    <row r="38639" spans="1:1">
      <c r="A38639" s="27"/>
    </row>
    <row r="38640" spans="1:1">
      <c r="A38640" s="27"/>
    </row>
    <row r="38641" spans="1:1">
      <c r="A38641" s="27"/>
    </row>
    <row r="38642" spans="1:1">
      <c r="A38642" s="27"/>
    </row>
    <row r="38643" spans="1:1">
      <c r="A38643" s="27"/>
    </row>
    <row r="38644" spans="1:1">
      <c r="A38644" s="27"/>
    </row>
    <row r="38645" spans="1:1">
      <c r="A38645" s="27"/>
    </row>
    <row r="38646" spans="1:1">
      <c r="A38646" s="27"/>
    </row>
    <row r="38647" spans="1:1">
      <c r="A38647" s="27"/>
    </row>
    <row r="38648" spans="1:1">
      <c r="A38648" s="27"/>
    </row>
    <row r="38649" spans="1:1">
      <c r="A38649" s="27"/>
    </row>
    <row r="38650" spans="1:1">
      <c r="A38650" s="27"/>
    </row>
    <row r="38651" spans="1:1">
      <c r="A38651" s="27"/>
    </row>
    <row r="38652" spans="1:1">
      <c r="A38652" s="27"/>
    </row>
    <row r="38653" spans="1:1">
      <c r="A38653" s="27"/>
    </row>
    <row r="38654" spans="1:1">
      <c r="A38654" s="27"/>
    </row>
    <row r="38655" spans="1:1">
      <c r="A38655" s="27"/>
    </row>
    <row r="38656" spans="1:1">
      <c r="A38656" s="27"/>
    </row>
    <row r="38657" spans="1:1">
      <c r="A38657" s="27"/>
    </row>
    <row r="38658" spans="1:1">
      <c r="A38658" s="27"/>
    </row>
    <row r="38659" spans="1:1">
      <c r="A38659" s="27"/>
    </row>
    <row r="38660" spans="1:1">
      <c r="A38660" s="27"/>
    </row>
    <row r="38661" spans="1:1">
      <c r="A38661" s="27"/>
    </row>
    <row r="38662" spans="1:1">
      <c r="A38662" s="27"/>
    </row>
    <row r="38663" spans="1:1">
      <c r="A38663" s="27"/>
    </row>
    <row r="38664" spans="1:1">
      <c r="A38664" s="27"/>
    </row>
    <row r="38665" spans="1:1">
      <c r="A38665" s="27"/>
    </row>
    <row r="38666" spans="1:1">
      <c r="A38666" s="27"/>
    </row>
    <row r="38667" spans="1:1">
      <c r="A38667" s="27"/>
    </row>
    <row r="38668" spans="1:1">
      <c r="A38668" s="27"/>
    </row>
    <row r="38669" spans="1:1">
      <c r="A38669" s="27"/>
    </row>
    <row r="38670" spans="1:1">
      <c r="A38670" s="27"/>
    </row>
    <row r="38671" spans="1:1">
      <c r="A38671" s="27"/>
    </row>
    <row r="38672" spans="1:1">
      <c r="A38672" s="27"/>
    </row>
    <row r="38673" spans="1:1">
      <c r="A38673" s="27"/>
    </row>
    <row r="38674" spans="1:1">
      <c r="A38674" s="27"/>
    </row>
    <row r="38675" spans="1:1">
      <c r="A38675" s="27"/>
    </row>
    <row r="38676" spans="1:1">
      <c r="A38676" s="27"/>
    </row>
    <row r="38677" spans="1:1">
      <c r="A38677" s="27"/>
    </row>
    <row r="38678" spans="1:1">
      <c r="A38678" s="27"/>
    </row>
    <row r="38679" spans="1:1">
      <c r="A38679" s="27"/>
    </row>
    <row r="38680" spans="1:1">
      <c r="A38680" s="27"/>
    </row>
    <row r="38681" spans="1:1">
      <c r="A38681" s="27"/>
    </row>
    <row r="38682" spans="1:1">
      <c r="A38682" s="27"/>
    </row>
    <row r="38683" spans="1:1">
      <c r="A38683" s="27"/>
    </row>
    <row r="38684" spans="1:1">
      <c r="A38684" s="27"/>
    </row>
    <row r="38685" spans="1:1">
      <c r="A38685" s="27"/>
    </row>
    <row r="38686" spans="1:1">
      <c r="A38686" s="27"/>
    </row>
    <row r="38687" spans="1:1">
      <c r="A38687" s="27"/>
    </row>
    <row r="38688" spans="1:1">
      <c r="A38688" s="27"/>
    </row>
    <row r="38689" spans="1:1">
      <c r="A38689" s="27"/>
    </row>
    <row r="38690" spans="1:1">
      <c r="A38690" s="27"/>
    </row>
    <row r="38691" spans="1:1">
      <c r="A38691" s="27"/>
    </row>
    <row r="38692" spans="1:1">
      <c r="A38692" s="27"/>
    </row>
    <row r="38693" spans="1:1">
      <c r="A38693" s="27"/>
    </row>
    <row r="38694" spans="1:1">
      <c r="A38694" s="27"/>
    </row>
    <row r="38695" spans="1:1">
      <c r="A38695" s="27"/>
    </row>
    <row r="38696" spans="1:1">
      <c r="A38696" s="27"/>
    </row>
    <row r="38697" spans="1:1">
      <c r="A38697" s="27"/>
    </row>
    <row r="38698" spans="1:1">
      <c r="A38698" s="27"/>
    </row>
    <row r="38699" spans="1:1">
      <c r="A38699" s="27"/>
    </row>
    <row r="38700" spans="1:1">
      <c r="A38700" s="27"/>
    </row>
    <row r="38701" spans="1:1">
      <c r="A38701" s="27"/>
    </row>
    <row r="38702" spans="1:1">
      <c r="A38702" s="27"/>
    </row>
    <row r="38703" spans="1:1">
      <c r="A38703" s="27"/>
    </row>
    <row r="38704" spans="1:1">
      <c r="A38704" s="27"/>
    </row>
    <row r="38705" spans="1:1">
      <c r="A38705" s="27"/>
    </row>
    <row r="38706" spans="1:1">
      <c r="A38706" s="27"/>
    </row>
    <row r="38707" spans="1:1">
      <c r="A38707" s="27"/>
    </row>
    <row r="38708" spans="1:1">
      <c r="A38708" s="27"/>
    </row>
    <row r="38709" spans="1:1">
      <c r="A38709" s="27"/>
    </row>
    <row r="38710" spans="1:1">
      <c r="A38710" s="27"/>
    </row>
    <row r="38711" spans="1:1">
      <c r="A38711" s="27"/>
    </row>
    <row r="38712" spans="1:1">
      <c r="A38712" s="27"/>
    </row>
    <row r="38713" spans="1:1">
      <c r="A38713" s="27"/>
    </row>
    <row r="38714" spans="1:1">
      <c r="A38714" s="27"/>
    </row>
    <row r="38715" spans="1:1">
      <c r="A38715" s="27"/>
    </row>
    <row r="38716" spans="1:1">
      <c r="A38716" s="27"/>
    </row>
    <row r="38717" spans="1:1">
      <c r="A38717" s="27"/>
    </row>
    <row r="38718" spans="1:1">
      <c r="A38718" s="27"/>
    </row>
    <row r="38719" spans="1:1">
      <c r="A38719" s="27"/>
    </row>
    <row r="38720" spans="1:1">
      <c r="A38720" s="27"/>
    </row>
    <row r="38721" spans="1:1">
      <c r="A38721" s="27"/>
    </row>
    <row r="38722" spans="1:1">
      <c r="A38722" s="27"/>
    </row>
    <row r="38723" spans="1:1">
      <c r="A38723" s="27"/>
    </row>
    <row r="38724" spans="1:1">
      <c r="A38724" s="27"/>
    </row>
    <row r="38725" spans="1:1">
      <c r="A38725" s="27"/>
    </row>
    <row r="38726" spans="1:1">
      <c r="A38726" s="27"/>
    </row>
    <row r="38727" spans="1:1">
      <c r="A38727" s="27"/>
    </row>
    <row r="38728" spans="1:1">
      <c r="A38728" s="27"/>
    </row>
    <row r="38729" spans="1:1">
      <c r="A38729" s="27"/>
    </row>
    <row r="38730" spans="1:1">
      <c r="A38730" s="27"/>
    </row>
    <row r="38731" spans="1:1">
      <c r="A38731" s="27"/>
    </row>
    <row r="38732" spans="1:1">
      <c r="A38732" s="27"/>
    </row>
    <row r="38733" spans="1:1">
      <c r="A38733" s="27"/>
    </row>
    <row r="38734" spans="1:1">
      <c r="A38734" s="27"/>
    </row>
    <row r="38735" spans="1:1">
      <c r="A38735" s="27"/>
    </row>
    <row r="38736" spans="1:1">
      <c r="A38736" s="27"/>
    </row>
    <row r="38737" spans="1:1">
      <c r="A38737" s="27"/>
    </row>
    <row r="38738" spans="1:1">
      <c r="A38738" s="27"/>
    </row>
    <row r="38739" spans="1:1">
      <c r="A38739" s="27"/>
    </row>
    <row r="38740" spans="1:1">
      <c r="A38740" s="27"/>
    </row>
    <row r="38741" spans="1:1">
      <c r="A38741" s="27"/>
    </row>
    <row r="38742" spans="1:1">
      <c r="A38742" s="27"/>
    </row>
    <row r="38743" spans="1:1">
      <c r="A38743" s="27"/>
    </row>
    <row r="38744" spans="1:1">
      <c r="A38744" s="27"/>
    </row>
    <row r="38745" spans="1:1">
      <c r="A38745" s="27"/>
    </row>
    <row r="38746" spans="1:1">
      <c r="A38746" s="27"/>
    </row>
    <row r="38747" spans="1:1">
      <c r="A38747" s="27"/>
    </row>
    <row r="38748" spans="1:1">
      <c r="A38748" s="27"/>
    </row>
    <row r="38749" spans="1:1">
      <c r="A38749" s="27"/>
    </row>
    <row r="38750" spans="1:1">
      <c r="A38750" s="27"/>
    </row>
    <row r="38751" spans="1:1">
      <c r="A38751" s="27"/>
    </row>
    <row r="38752" spans="1:1">
      <c r="A38752" s="27"/>
    </row>
    <row r="38753" spans="1:1">
      <c r="A38753" s="27"/>
    </row>
    <row r="38754" spans="1:1">
      <c r="A38754" s="27"/>
    </row>
    <row r="38755" spans="1:1">
      <c r="A38755" s="27"/>
    </row>
    <row r="38756" spans="1:1">
      <c r="A38756" s="27"/>
    </row>
    <row r="38757" spans="1:1">
      <c r="A38757" s="27"/>
    </row>
    <row r="38758" spans="1:1">
      <c r="A38758" s="27"/>
    </row>
    <row r="38759" spans="1:1">
      <c r="A38759" s="27"/>
    </row>
    <row r="38760" spans="1:1">
      <c r="A38760" s="27"/>
    </row>
    <row r="38761" spans="1:1">
      <c r="A38761" s="27"/>
    </row>
    <row r="38762" spans="1:1">
      <c r="A38762" s="27"/>
    </row>
    <row r="38763" spans="1:1">
      <c r="A38763" s="27"/>
    </row>
    <row r="38764" spans="1:1">
      <c r="A38764" s="27"/>
    </row>
    <row r="38765" spans="1:1">
      <c r="A38765" s="27"/>
    </row>
    <row r="38766" spans="1:1">
      <c r="A38766" s="27"/>
    </row>
    <row r="38767" spans="1:1">
      <c r="A38767" s="27"/>
    </row>
    <row r="38768" spans="1:1">
      <c r="A38768" s="27"/>
    </row>
    <row r="38769" spans="1:1">
      <c r="A38769" s="27"/>
    </row>
    <row r="38770" spans="1:1">
      <c r="A38770" s="27"/>
    </row>
    <row r="38771" spans="1:1">
      <c r="A38771" s="27"/>
    </row>
    <row r="38772" spans="1:1">
      <c r="A38772" s="27"/>
    </row>
    <row r="38773" spans="1:1">
      <c r="A38773" s="27"/>
    </row>
    <row r="38774" spans="1:1">
      <c r="A38774" s="27"/>
    </row>
    <row r="38775" spans="1:1">
      <c r="A38775" s="27"/>
    </row>
    <row r="38776" spans="1:1">
      <c r="A38776" s="27"/>
    </row>
    <row r="38777" spans="1:1">
      <c r="A38777" s="27"/>
    </row>
    <row r="38778" spans="1:1">
      <c r="A38778" s="27"/>
    </row>
    <row r="38779" spans="1:1">
      <c r="A38779" s="27"/>
    </row>
    <row r="38780" spans="1:1">
      <c r="A38780" s="27"/>
    </row>
    <row r="38781" spans="1:1">
      <c r="A38781" s="27"/>
    </row>
    <row r="38782" spans="1:1">
      <c r="A38782" s="27"/>
    </row>
    <row r="38783" spans="1:1">
      <c r="A38783" s="27"/>
    </row>
    <row r="38784" spans="1:1">
      <c r="A38784" s="27"/>
    </row>
    <row r="38785" spans="1:1">
      <c r="A38785" s="27"/>
    </row>
    <row r="38786" spans="1:1">
      <c r="A38786" s="27"/>
    </row>
    <row r="38787" spans="1:1">
      <c r="A38787" s="27"/>
    </row>
    <row r="38788" spans="1:1">
      <c r="A38788" s="27"/>
    </row>
    <row r="38789" spans="1:1">
      <c r="A38789" s="27"/>
    </row>
    <row r="38790" spans="1:1">
      <c r="A38790" s="27"/>
    </row>
    <row r="38791" spans="1:1">
      <c r="A38791" s="27"/>
    </row>
    <row r="38792" spans="1:1">
      <c r="A38792" s="27"/>
    </row>
    <row r="38793" spans="1:1">
      <c r="A38793" s="27"/>
    </row>
    <row r="38794" spans="1:1">
      <c r="A38794" s="27"/>
    </row>
    <row r="38795" spans="1:1">
      <c r="A38795" s="27"/>
    </row>
    <row r="38796" spans="1:1">
      <c r="A38796" s="27"/>
    </row>
    <row r="38797" spans="1:1">
      <c r="A38797" s="27"/>
    </row>
    <row r="38798" spans="1:1">
      <c r="A38798" s="27"/>
    </row>
    <row r="38799" spans="1:1">
      <c r="A38799" s="27"/>
    </row>
    <row r="38800" spans="1:1">
      <c r="A38800" s="27"/>
    </row>
    <row r="38801" spans="1:1">
      <c r="A38801" s="27"/>
    </row>
    <row r="38802" spans="1:1">
      <c r="A38802" s="27"/>
    </row>
    <row r="38803" spans="1:1">
      <c r="A38803" s="27"/>
    </row>
    <row r="38804" spans="1:1">
      <c r="A38804" s="27"/>
    </row>
    <row r="38805" spans="1:1">
      <c r="A38805" s="27"/>
    </row>
    <row r="38806" spans="1:1">
      <c r="A38806" s="27"/>
    </row>
    <row r="38807" spans="1:1">
      <c r="A38807" s="27"/>
    </row>
    <row r="38808" spans="1:1">
      <c r="A38808" s="27"/>
    </row>
    <row r="38809" spans="1:1">
      <c r="A38809" s="27"/>
    </row>
    <row r="38810" spans="1:1">
      <c r="A38810" s="27"/>
    </row>
    <row r="38811" spans="1:1">
      <c r="A38811" s="27"/>
    </row>
    <row r="38812" spans="1:1">
      <c r="A38812" s="27"/>
    </row>
    <row r="38813" spans="1:1">
      <c r="A38813" s="27"/>
    </row>
    <row r="38814" spans="1:1">
      <c r="A38814" s="27"/>
    </row>
    <row r="38815" spans="1:1">
      <c r="A38815" s="27"/>
    </row>
    <row r="38816" spans="1:1">
      <c r="A38816" s="27"/>
    </row>
    <row r="38817" spans="1:1">
      <c r="A38817" s="27"/>
    </row>
    <row r="38818" spans="1:1">
      <c r="A38818" s="27"/>
    </row>
    <row r="38819" spans="1:1">
      <c r="A38819" s="27"/>
    </row>
    <row r="38820" spans="1:1">
      <c r="A38820" s="27"/>
    </row>
    <row r="38821" spans="1:1">
      <c r="A38821" s="27"/>
    </row>
    <row r="38822" spans="1:1">
      <c r="A38822" s="27"/>
    </row>
    <row r="38823" spans="1:1">
      <c r="A38823" s="27"/>
    </row>
    <row r="38824" spans="1:1">
      <c r="A38824" s="27"/>
    </row>
    <row r="38825" spans="1:1">
      <c r="A38825" s="27"/>
    </row>
    <row r="38826" spans="1:1">
      <c r="A38826" s="27"/>
    </row>
    <row r="38827" spans="1:1">
      <c r="A38827" s="27"/>
    </row>
    <row r="38828" spans="1:1">
      <c r="A38828" s="27"/>
    </row>
    <row r="38829" spans="1:1">
      <c r="A38829" s="27"/>
    </row>
    <row r="38830" spans="1:1">
      <c r="A38830" s="27"/>
    </row>
    <row r="38831" spans="1:1">
      <c r="A38831" s="27"/>
    </row>
    <row r="38832" spans="1:1">
      <c r="A38832" s="27"/>
    </row>
    <row r="38833" spans="1:1">
      <c r="A38833" s="27"/>
    </row>
    <row r="38834" spans="1:1">
      <c r="A38834" s="27"/>
    </row>
    <row r="38835" spans="1:1">
      <c r="A38835" s="27"/>
    </row>
    <row r="38836" spans="1:1">
      <c r="A38836" s="27"/>
    </row>
    <row r="38837" spans="1:1">
      <c r="A38837" s="27"/>
    </row>
    <row r="38838" spans="1:1">
      <c r="A38838" s="27"/>
    </row>
    <row r="38839" spans="1:1">
      <c r="A38839" s="27"/>
    </row>
    <row r="38840" spans="1:1">
      <c r="A38840" s="27"/>
    </row>
    <row r="38841" spans="1:1">
      <c r="A38841" s="27"/>
    </row>
    <row r="38842" spans="1:1">
      <c r="A38842" s="27"/>
    </row>
    <row r="38843" spans="1:1">
      <c r="A38843" s="27"/>
    </row>
    <row r="38844" spans="1:1">
      <c r="A38844" s="27"/>
    </row>
    <row r="38845" spans="1:1">
      <c r="A38845" s="27"/>
    </row>
    <row r="38846" spans="1:1">
      <c r="A38846" s="27"/>
    </row>
    <row r="38847" spans="1:1">
      <c r="A38847" s="27"/>
    </row>
    <row r="38848" spans="1:1">
      <c r="A38848" s="27"/>
    </row>
    <row r="38849" spans="1:1">
      <c r="A38849" s="27"/>
    </row>
    <row r="38850" spans="1:1">
      <c r="A38850" s="27"/>
    </row>
    <row r="38851" spans="1:1">
      <c r="A38851" s="27"/>
    </row>
    <row r="38852" spans="1:1">
      <c r="A38852" s="27"/>
    </row>
    <row r="38853" spans="1:1">
      <c r="A38853" s="27"/>
    </row>
    <row r="38854" spans="1:1">
      <c r="A38854" s="27"/>
    </row>
    <row r="38855" spans="1:1">
      <c r="A38855" s="27"/>
    </row>
    <row r="38856" spans="1:1">
      <c r="A38856" s="27"/>
    </row>
    <row r="38857" spans="1:1">
      <c r="A38857" s="27"/>
    </row>
    <row r="38858" spans="1:1">
      <c r="A38858" s="27"/>
    </row>
    <row r="38859" spans="1:1">
      <c r="A38859" s="27"/>
    </row>
    <row r="38860" spans="1:1">
      <c r="A38860" s="27"/>
    </row>
    <row r="38861" spans="1:1">
      <c r="A38861" s="27"/>
    </row>
    <row r="38862" spans="1:1">
      <c r="A38862" s="27"/>
    </row>
    <row r="38863" spans="1:1">
      <c r="A38863" s="27"/>
    </row>
    <row r="38864" spans="1:1">
      <c r="A38864" s="27"/>
    </row>
    <row r="38865" spans="1:1">
      <c r="A38865" s="27"/>
    </row>
    <row r="38866" spans="1:1">
      <c r="A38866" s="27"/>
    </row>
    <row r="38867" spans="1:1">
      <c r="A38867" s="27"/>
    </row>
    <row r="38868" spans="1:1">
      <c r="A38868" s="27"/>
    </row>
    <row r="38869" spans="1:1">
      <c r="A38869" s="27"/>
    </row>
    <row r="38870" spans="1:1">
      <c r="A38870" s="27"/>
    </row>
    <row r="38871" spans="1:1">
      <c r="A38871" s="27"/>
    </row>
    <row r="38872" spans="1:1">
      <c r="A38872" s="27"/>
    </row>
    <row r="38873" spans="1:1">
      <c r="A38873" s="27"/>
    </row>
    <row r="38874" spans="1:1">
      <c r="A38874" s="27"/>
    </row>
    <row r="38875" spans="1:1">
      <c r="A38875" s="27"/>
    </row>
    <row r="38876" spans="1:1">
      <c r="A38876" s="27"/>
    </row>
    <row r="38877" spans="1:1">
      <c r="A38877" s="27"/>
    </row>
    <row r="38878" spans="1:1">
      <c r="A38878" s="27"/>
    </row>
    <row r="38879" spans="1:1">
      <c r="A38879" s="27"/>
    </row>
    <row r="38880" spans="1:1">
      <c r="A38880" s="27"/>
    </row>
    <row r="38881" spans="1:1">
      <c r="A38881" s="27"/>
    </row>
    <row r="38882" spans="1:1">
      <c r="A38882" s="27"/>
    </row>
    <row r="38883" spans="1:1">
      <c r="A38883" s="27"/>
    </row>
    <row r="38884" spans="1:1">
      <c r="A38884" s="27"/>
    </row>
    <row r="38885" spans="1:1">
      <c r="A38885" s="27"/>
    </row>
    <row r="38886" spans="1:1">
      <c r="A38886" s="27"/>
    </row>
    <row r="38887" spans="1:1">
      <c r="A38887" s="27"/>
    </row>
    <row r="38888" spans="1:1">
      <c r="A38888" s="27"/>
    </row>
    <row r="38889" spans="1:1">
      <c r="A38889" s="27"/>
    </row>
    <row r="38890" spans="1:1">
      <c r="A38890" s="27"/>
    </row>
    <row r="38891" spans="1:1">
      <c r="A38891" s="27"/>
    </row>
    <row r="38892" spans="1:1">
      <c r="A38892" s="27"/>
    </row>
    <row r="38893" spans="1:1">
      <c r="A38893" s="27"/>
    </row>
    <row r="38894" spans="1:1">
      <c r="A38894" s="27"/>
    </row>
    <row r="38895" spans="1:1">
      <c r="A38895" s="27"/>
    </row>
    <row r="38896" spans="1:1">
      <c r="A38896" s="27"/>
    </row>
    <row r="38897" spans="1:1">
      <c r="A38897" s="27"/>
    </row>
    <row r="38898" spans="1:1">
      <c r="A38898" s="27"/>
    </row>
    <row r="38899" spans="1:1">
      <c r="A38899" s="27"/>
    </row>
    <row r="38900" spans="1:1">
      <c r="A38900" s="27"/>
    </row>
    <row r="38901" spans="1:1">
      <c r="A38901" s="27"/>
    </row>
    <row r="38902" spans="1:1">
      <c r="A38902" s="27"/>
    </row>
    <row r="38903" spans="1:1">
      <c r="A38903" s="27"/>
    </row>
    <row r="38904" spans="1:1">
      <c r="A38904" s="27"/>
    </row>
    <row r="38905" spans="1:1">
      <c r="A38905" s="27"/>
    </row>
    <row r="38906" spans="1:1">
      <c r="A38906" s="27"/>
    </row>
    <row r="38907" spans="1:1">
      <c r="A38907" s="27"/>
    </row>
    <row r="38908" spans="1:1">
      <c r="A38908" s="27"/>
    </row>
    <row r="38909" spans="1:1">
      <c r="A38909" s="27"/>
    </row>
    <row r="38910" spans="1:1">
      <c r="A38910" s="27"/>
    </row>
    <row r="38911" spans="1:1">
      <c r="A38911" s="27"/>
    </row>
    <row r="38912" spans="1:1">
      <c r="A38912" s="27"/>
    </row>
    <row r="38913" spans="1:1">
      <c r="A38913" s="27"/>
    </row>
    <row r="38914" spans="1:1">
      <c r="A38914" s="27"/>
    </row>
    <row r="38915" spans="1:1">
      <c r="A38915" s="27"/>
    </row>
    <row r="38916" spans="1:1">
      <c r="A38916" s="27"/>
    </row>
    <row r="38917" spans="1:1">
      <c r="A38917" s="27"/>
    </row>
    <row r="38918" spans="1:1">
      <c r="A38918" s="27"/>
    </row>
    <row r="38919" spans="1:1">
      <c r="A38919" s="27"/>
    </row>
    <row r="38920" spans="1:1">
      <c r="A38920" s="27"/>
    </row>
    <row r="38921" spans="1:1">
      <c r="A38921" s="27"/>
    </row>
    <row r="38922" spans="1:1">
      <c r="A38922" s="27"/>
    </row>
    <row r="38923" spans="1:1">
      <c r="A38923" s="27"/>
    </row>
    <row r="38924" spans="1:1">
      <c r="A38924" s="27"/>
    </row>
    <row r="38925" spans="1:1">
      <c r="A38925" s="27"/>
    </row>
    <row r="38926" spans="1:1">
      <c r="A38926" s="27"/>
    </row>
    <row r="38927" spans="1:1">
      <c r="A38927" s="27"/>
    </row>
    <row r="38928" spans="1:1">
      <c r="A38928" s="27"/>
    </row>
    <row r="38929" spans="1:1">
      <c r="A38929" s="27"/>
    </row>
    <row r="38930" spans="1:1">
      <c r="A38930" s="27"/>
    </row>
    <row r="38931" spans="1:1">
      <c r="A38931" s="27"/>
    </row>
    <row r="38932" spans="1:1">
      <c r="A38932" s="27"/>
    </row>
    <row r="38933" spans="1:1">
      <c r="A38933" s="27"/>
    </row>
    <row r="38934" spans="1:1">
      <c r="A38934" s="27"/>
    </row>
    <row r="38935" spans="1:1">
      <c r="A38935" s="27"/>
    </row>
    <row r="38936" spans="1:1">
      <c r="A38936" s="27"/>
    </row>
    <row r="38937" spans="1:1">
      <c r="A38937" s="27"/>
    </row>
    <row r="38938" spans="1:1">
      <c r="A38938" s="27"/>
    </row>
    <row r="38939" spans="1:1">
      <c r="A38939" s="27"/>
    </row>
    <row r="38940" spans="1:1">
      <c r="A38940" s="27"/>
    </row>
    <row r="38941" spans="1:1">
      <c r="A38941" s="27"/>
    </row>
    <row r="38942" spans="1:1">
      <c r="A38942" s="27"/>
    </row>
    <row r="38943" spans="1:1">
      <c r="A38943" s="27"/>
    </row>
    <row r="38944" spans="1:1">
      <c r="A38944" s="27"/>
    </row>
    <row r="38945" spans="1:1">
      <c r="A38945" s="27"/>
    </row>
    <row r="38946" spans="1:1">
      <c r="A38946" s="27"/>
    </row>
    <row r="38947" spans="1:1">
      <c r="A38947" s="27"/>
    </row>
    <row r="38948" spans="1:1">
      <c r="A38948" s="27"/>
    </row>
    <row r="38949" spans="1:1">
      <c r="A38949" s="27"/>
    </row>
    <row r="38950" spans="1:1">
      <c r="A38950" s="27"/>
    </row>
    <row r="38951" spans="1:1">
      <c r="A38951" s="27"/>
    </row>
    <row r="38952" spans="1:1">
      <c r="A38952" s="27"/>
    </row>
    <row r="38953" spans="1:1">
      <c r="A38953" s="27"/>
    </row>
    <row r="38954" spans="1:1">
      <c r="A38954" s="27"/>
    </row>
    <row r="38955" spans="1:1">
      <c r="A38955" s="27"/>
    </row>
    <row r="38956" spans="1:1">
      <c r="A38956" s="27"/>
    </row>
    <row r="38957" spans="1:1">
      <c r="A38957" s="27"/>
    </row>
    <row r="38958" spans="1:1">
      <c r="A38958" s="27"/>
    </row>
    <row r="38959" spans="1:1">
      <c r="A38959" s="27"/>
    </row>
    <row r="38960" spans="1:1">
      <c r="A38960" s="27"/>
    </row>
    <row r="38961" spans="1:1">
      <c r="A38961" s="27"/>
    </row>
    <row r="38962" spans="1:1">
      <c r="A38962" s="27"/>
    </row>
    <row r="38963" spans="1:1">
      <c r="A38963" s="27"/>
    </row>
    <row r="38964" spans="1:1">
      <c r="A38964" s="27"/>
    </row>
    <row r="38965" spans="1:1">
      <c r="A38965" s="27"/>
    </row>
    <row r="38966" spans="1:1">
      <c r="A38966" s="27"/>
    </row>
    <row r="38967" spans="1:1">
      <c r="A38967" s="27"/>
    </row>
    <row r="38968" spans="1:1">
      <c r="A38968" s="27"/>
    </row>
    <row r="38969" spans="1:1">
      <c r="A38969" s="27"/>
    </row>
    <row r="38970" spans="1:1">
      <c r="A38970" s="27"/>
    </row>
    <row r="38971" spans="1:1">
      <c r="A38971" s="27"/>
    </row>
    <row r="38972" spans="1:1">
      <c r="A38972" s="27"/>
    </row>
    <row r="38973" spans="1:1">
      <c r="A38973" s="27"/>
    </row>
    <row r="38974" spans="1:1">
      <c r="A38974" s="27"/>
    </row>
    <row r="38975" spans="1:1">
      <c r="A38975" s="27"/>
    </row>
    <row r="38976" spans="1:1">
      <c r="A38976" s="27"/>
    </row>
    <row r="38977" spans="1:1">
      <c r="A38977" s="27"/>
    </row>
    <row r="38978" spans="1:1">
      <c r="A38978" s="27"/>
    </row>
    <row r="38979" spans="1:1">
      <c r="A38979" s="27"/>
    </row>
    <row r="38980" spans="1:1">
      <c r="A38980" s="27"/>
    </row>
    <row r="38981" spans="1:1">
      <c r="A38981" s="27"/>
    </row>
    <row r="38982" spans="1:1">
      <c r="A38982" s="27"/>
    </row>
    <row r="38983" spans="1:1">
      <c r="A38983" s="27"/>
    </row>
    <row r="38984" spans="1:1">
      <c r="A38984" s="27"/>
    </row>
    <row r="38985" spans="1:1">
      <c r="A38985" s="27"/>
    </row>
    <row r="38986" spans="1:1">
      <c r="A38986" s="27"/>
    </row>
    <row r="38987" spans="1:1">
      <c r="A38987" s="27"/>
    </row>
    <row r="38988" spans="1:1">
      <c r="A38988" s="27"/>
    </row>
    <row r="38989" spans="1:1">
      <c r="A38989" s="27"/>
    </row>
    <row r="38990" spans="1:1">
      <c r="A38990" s="27"/>
    </row>
    <row r="38991" spans="1:1">
      <c r="A38991" s="27"/>
    </row>
    <row r="38992" spans="1:1">
      <c r="A38992" s="27"/>
    </row>
    <row r="38993" spans="1:1">
      <c r="A38993" s="27"/>
    </row>
    <row r="38994" spans="1:1">
      <c r="A38994" s="27"/>
    </row>
    <row r="38995" spans="1:1">
      <c r="A38995" s="27"/>
    </row>
    <row r="38996" spans="1:1">
      <c r="A38996" s="27"/>
    </row>
    <row r="38997" spans="1:1">
      <c r="A38997" s="27"/>
    </row>
    <row r="38998" spans="1:1">
      <c r="A38998" s="27"/>
    </row>
    <row r="38999" spans="1:1">
      <c r="A38999" s="27"/>
    </row>
    <row r="39000" spans="1:1">
      <c r="A39000" s="27"/>
    </row>
    <row r="39001" spans="1:1">
      <c r="A39001" s="27"/>
    </row>
    <row r="39002" spans="1:1">
      <c r="A39002" s="27"/>
    </row>
    <row r="39003" spans="1:1">
      <c r="A39003" s="27"/>
    </row>
    <row r="39004" spans="1:1">
      <c r="A39004" s="27"/>
    </row>
    <row r="39005" spans="1:1">
      <c r="A39005" s="27"/>
    </row>
    <row r="39006" spans="1:1">
      <c r="A39006" s="27"/>
    </row>
    <row r="39007" spans="1:1">
      <c r="A39007" s="27"/>
    </row>
    <row r="39008" spans="1:1">
      <c r="A39008" s="27"/>
    </row>
    <row r="39009" spans="1:1">
      <c r="A39009" s="27"/>
    </row>
    <row r="39010" spans="1:1">
      <c r="A39010" s="27"/>
    </row>
    <row r="39011" spans="1:1">
      <c r="A39011" s="27"/>
    </row>
    <row r="39012" spans="1:1">
      <c r="A39012" s="27"/>
    </row>
    <row r="39013" spans="1:1">
      <c r="A39013" s="27"/>
    </row>
    <row r="39014" spans="1:1">
      <c r="A39014" s="27"/>
    </row>
    <row r="39015" spans="1:1">
      <c r="A39015" s="27"/>
    </row>
    <row r="39016" spans="1:1">
      <c r="A39016" s="27"/>
    </row>
    <row r="39017" spans="1:1">
      <c r="A39017" s="27"/>
    </row>
    <row r="39018" spans="1:1">
      <c r="A39018" s="27"/>
    </row>
    <row r="39019" spans="1:1">
      <c r="A39019" s="27"/>
    </row>
    <row r="39020" spans="1:1">
      <c r="A39020" s="27"/>
    </row>
    <row r="39021" spans="1:1">
      <c r="A39021" s="27"/>
    </row>
    <row r="39022" spans="1:1">
      <c r="A39022" s="27"/>
    </row>
    <row r="39023" spans="1:1">
      <c r="A39023" s="27"/>
    </row>
    <row r="39024" spans="1:1">
      <c r="A39024" s="27"/>
    </row>
    <row r="39025" spans="1:1">
      <c r="A39025" s="27"/>
    </row>
    <row r="39026" spans="1:1">
      <c r="A39026" s="27"/>
    </row>
    <row r="39027" spans="1:1">
      <c r="A39027" s="27"/>
    </row>
    <row r="39028" spans="1:1">
      <c r="A39028" s="27"/>
    </row>
    <row r="39029" spans="1:1">
      <c r="A39029" s="27"/>
    </row>
    <row r="39030" spans="1:1">
      <c r="A39030" s="27"/>
    </row>
    <row r="39031" spans="1:1">
      <c r="A39031" s="27"/>
    </row>
    <row r="39032" spans="1:1">
      <c r="A39032" s="27"/>
    </row>
    <row r="39033" spans="1:1">
      <c r="A39033" s="27"/>
    </row>
    <row r="39034" spans="1:1">
      <c r="A39034" s="27"/>
    </row>
    <row r="39035" spans="1:1">
      <c r="A39035" s="27"/>
    </row>
    <row r="39036" spans="1:1">
      <c r="A39036" s="27"/>
    </row>
    <row r="39037" spans="1:1">
      <c r="A39037" s="27"/>
    </row>
    <row r="39038" spans="1:1">
      <c r="A39038" s="27"/>
    </row>
    <row r="39039" spans="1:1">
      <c r="A39039" s="27"/>
    </row>
    <row r="39040" spans="1:1">
      <c r="A39040" s="27"/>
    </row>
    <row r="39041" spans="1:1">
      <c r="A39041" s="27"/>
    </row>
    <row r="39042" spans="1:1">
      <c r="A39042" s="27"/>
    </row>
    <row r="39043" spans="1:1">
      <c r="A39043" s="27"/>
    </row>
    <row r="39044" spans="1:1">
      <c r="A39044" s="27"/>
    </row>
    <row r="39045" spans="1:1">
      <c r="A39045" s="27"/>
    </row>
    <row r="39046" spans="1:1">
      <c r="A39046" s="27"/>
    </row>
    <row r="39047" spans="1:1">
      <c r="A39047" s="27"/>
    </row>
    <row r="39048" spans="1:1">
      <c r="A39048" s="27"/>
    </row>
    <row r="39049" spans="1:1">
      <c r="A39049" s="27"/>
    </row>
    <row r="39050" spans="1:1">
      <c r="A39050" s="27"/>
    </row>
    <row r="39051" spans="1:1">
      <c r="A39051" s="27"/>
    </row>
    <row r="39052" spans="1:1">
      <c r="A39052" s="27"/>
    </row>
    <row r="39053" spans="1:1">
      <c r="A39053" s="27"/>
    </row>
    <row r="39054" spans="1:1">
      <c r="A39054" s="27"/>
    </row>
    <row r="39055" spans="1:1">
      <c r="A39055" s="27"/>
    </row>
    <row r="39056" spans="1:1">
      <c r="A39056" s="27"/>
    </row>
    <row r="39057" spans="1:1">
      <c r="A39057" s="27"/>
    </row>
    <row r="39058" spans="1:1">
      <c r="A39058" s="27"/>
    </row>
    <row r="39059" spans="1:1">
      <c r="A39059" s="27"/>
    </row>
    <row r="39060" spans="1:1">
      <c r="A39060" s="27"/>
    </row>
    <row r="39061" spans="1:1">
      <c r="A39061" s="27"/>
    </row>
    <row r="39062" spans="1:1">
      <c r="A39062" s="27"/>
    </row>
    <row r="39063" spans="1:1">
      <c r="A39063" s="27"/>
    </row>
    <row r="39064" spans="1:1">
      <c r="A39064" s="27"/>
    </row>
    <row r="39065" spans="1:1">
      <c r="A39065" s="27"/>
    </row>
    <row r="39066" spans="1:1">
      <c r="A39066" s="27"/>
    </row>
    <row r="39067" spans="1:1">
      <c r="A39067" s="27"/>
    </row>
    <row r="39068" spans="1:1">
      <c r="A39068" s="27"/>
    </row>
    <row r="39069" spans="1:1">
      <c r="A39069" s="27"/>
    </row>
    <row r="39070" spans="1:1">
      <c r="A39070" s="27"/>
    </row>
    <row r="39071" spans="1:1">
      <c r="A39071" s="27"/>
    </row>
    <row r="39072" spans="1:1">
      <c r="A39072" s="27"/>
    </row>
    <row r="39073" spans="1:1">
      <c r="A39073" s="27"/>
    </row>
    <row r="39074" spans="1:1">
      <c r="A39074" s="27"/>
    </row>
    <row r="39075" spans="1:1">
      <c r="A39075" s="27"/>
    </row>
    <row r="39076" spans="1:1">
      <c r="A39076" s="27"/>
    </row>
    <row r="39077" spans="1:1">
      <c r="A39077" s="27"/>
    </row>
    <row r="39078" spans="1:1">
      <c r="A39078" s="27"/>
    </row>
    <row r="39079" spans="1:1">
      <c r="A39079" s="27"/>
    </row>
    <row r="39080" spans="1:1">
      <c r="A39080" s="27"/>
    </row>
    <row r="39081" spans="1:1">
      <c r="A39081" s="27"/>
    </row>
    <row r="39082" spans="1:1">
      <c r="A39082" s="27"/>
    </row>
    <row r="39083" spans="1:1">
      <c r="A39083" s="27"/>
    </row>
    <row r="39084" spans="1:1">
      <c r="A39084" s="27"/>
    </row>
    <row r="39085" spans="1:1">
      <c r="A39085" s="27"/>
    </row>
    <row r="39086" spans="1:1">
      <c r="A39086" s="27"/>
    </row>
    <row r="39087" spans="1:1">
      <c r="A39087" s="27"/>
    </row>
    <row r="39088" spans="1:1">
      <c r="A39088" s="27"/>
    </row>
    <row r="39089" spans="1:1">
      <c r="A39089" s="27"/>
    </row>
    <row r="39090" spans="1:1">
      <c r="A39090" s="27"/>
    </row>
    <row r="39091" spans="1:1">
      <c r="A39091" s="27"/>
    </row>
    <row r="39092" spans="1:1">
      <c r="A39092" s="27"/>
    </row>
    <row r="39093" spans="1:1">
      <c r="A39093" s="27"/>
    </row>
    <row r="39094" spans="1:1">
      <c r="A39094" s="27"/>
    </row>
    <row r="39095" spans="1:1">
      <c r="A39095" s="27"/>
    </row>
    <row r="39096" spans="1:1">
      <c r="A39096" s="27"/>
    </row>
    <row r="39097" spans="1:1">
      <c r="A39097" s="27"/>
    </row>
    <row r="39098" spans="1:1">
      <c r="A39098" s="27"/>
    </row>
    <row r="39099" spans="1:1">
      <c r="A39099" s="27"/>
    </row>
    <row r="39100" spans="1:1">
      <c r="A39100" s="27"/>
    </row>
    <row r="39101" spans="1:1">
      <c r="A39101" s="27"/>
    </row>
    <row r="39102" spans="1:1">
      <c r="A39102" s="27"/>
    </row>
    <row r="39103" spans="1:1">
      <c r="A39103" s="27"/>
    </row>
    <row r="39104" spans="1:1">
      <c r="A39104" s="27"/>
    </row>
    <row r="39105" spans="1:1">
      <c r="A39105" s="27"/>
    </row>
    <row r="39106" spans="1:1">
      <c r="A39106" s="27"/>
    </row>
    <row r="39107" spans="1:1">
      <c r="A39107" s="27"/>
    </row>
    <row r="39108" spans="1:1">
      <c r="A39108" s="27"/>
    </row>
    <row r="39109" spans="1:1">
      <c r="A39109" s="27"/>
    </row>
    <row r="39110" spans="1:1">
      <c r="A39110" s="27"/>
    </row>
    <row r="39111" spans="1:1">
      <c r="A39111" s="27"/>
    </row>
    <row r="39112" spans="1:1">
      <c r="A39112" s="27"/>
    </row>
    <row r="39113" spans="1:1">
      <c r="A39113" s="27"/>
    </row>
    <row r="39114" spans="1:1">
      <c r="A39114" s="27"/>
    </row>
    <row r="39115" spans="1:1">
      <c r="A39115" s="27"/>
    </row>
    <row r="39116" spans="1:1">
      <c r="A39116" s="27"/>
    </row>
    <row r="39117" spans="1:1">
      <c r="A39117" s="27"/>
    </row>
    <row r="39118" spans="1:1">
      <c r="A39118" s="27"/>
    </row>
    <row r="39119" spans="1:1">
      <c r="A39119" s="27"/>
    </row>
    <row r="39120" spans="1:1">
      <c r="A39120" s="27"/>
    </row>
    <row r="39121" spans="1:1">
      <c r="A39121" s="27"/>
    </row>
    <row r="39122" spans="1:1">
      <c r="A39122" s="27"/>
    </row>
    <row r="39123" spans="1:1">
      <c r="A39123" s="27"/>
    </row>
    <row r="39124" spans="1:1">
      <c r="A39124" s="27"/>
    </row>
    <row r="39125" spans="1:1">
      <c r="A39125" s="27"/>
    </row>
    <row r="39126" spans="1:1">
      <c r="A39126" s="27"/>
    </row>
    <row r="39127" spans="1:1">
      <c r="A39127" s="27"/>
    </row>
    <row r="39128" spans="1:1">
      <c r="A39128" s="27"/>
    </row>
    <row r="39129" spans="1:1">
      <c r="A39129" s="27"/>
    </row>
    <row r="39130" spans="1:1">
      <c r="A39130" s="27"/>
    </row>
    <row r="39131" spans="1:1">
      <c r="A39131" s="27"/>
    </row>
    <row r="39132" spans="1:1">
      <c r="A39132" s="27"/>
    </row>
    <row r="39133" spans="1:1">
      <c r="A39133" s="27"/>
    </row>
    <row r="39134" spans="1:1">
      <c r="A39134" s="27"/>
    </row>
    <row r="39135" spans="1:1">
      <c r="A39135" s="27"/>
    </row>
    <row r="39136" spans="1:1">
      <c r="A39136" s="27"/>
    </row>
    <row r="39137" spans="1:1">
      <c r="A39137" s="27"/>
    </row>
    <row r="39138" spans="1:1">
      <c r="A39138" s="27"/>
    </row>
    <row r="39139" spans="1:1">
      <c r="A39139" s="27"/>
    </row>
    <row r="39140" spans="1:1">
      <c r="A39140" s="27"/>
    </row>
    <row r="39141" spans="1:1">
      <c r="A39141" s="27"/>
    </row>
    <row r="39142" spans="1:1">
      <c r="A39142" s="27"/>
    </row>
    <row r="39143" spans="1:1">
      <c r="A39143" s="27"/>
    </row>
    <row r="39144" spans="1:1">
      <c r="A39144" s="27"/>
    </row>
    <row r="39145" spans="1:1">
      <c r="A39145" s="27"/>
    </row>
    <row r="39146" spans="1:1">
      <c r="A39146" s="27"/>
    </row>
    <row r="39147" spans="1:1">
      <c r="A39147" s="27"/>
    </row>
    <row r="39148" spans="1:1">
      <c r="A39148" s="27"/>
    </row>
    <row r="39149" spans="1:1">
      <c r="A39149" s="27"/>
    </row>
    <row r="39150" spans="1:1">
      <c r="A39150" s="27"/>
    </row>
    <row r="39151" spans="1:1">
      <c r="A39151" s="27"/>
    </row>
    <row r="39152" spans="1:1">
      <c r="A39152" s="27"/>
    </row>
    <row r="39153" spans="1:1">
      <c r="A39153" s="27"/>
    </row>
    <row r="39154" spans="1:1">
      <c r="A39154" s="27"/>
    </row>
    <row r="39155" spans="1:1">
      <c r="A39155" s="27"/>
    </row>
    <row r="39156" spans="1:1">
      <c r="A39156" s="27"/>
    </row>
    <row r="39157" spans="1:1">
      <c r="A39157" s="27"/>
    </row>
    <row r="39158" spans="1:1">
      <c r="A39158" s="27"/>
    </row>
    <row r="39159" spans="1:1">
      <c r="A39159" s="27"/>
    </row>
    <row r="39160" spans="1:1">
      <c r="A39160" s="27"/>
    </row>
    <row r="39161" spans="1:1">
      <c r="A39161" s="27"/>
    </row>
    <row r="39162" spans="1:1">
      <c r="A39162" s="27"/>
    </row>
    <row r="39163" spans="1:1">
      <c r="A39163" s="27"/>
    </row>
    <row r="39164" spans="1:1">
      <c r="A39164" s="27"/>
    </row>
    <row r="39165" spans="1:1">
      <c r="A39165" s="27"/>
    </row>
    <row r="39166" spans="1:1">
      <c r="A39166" s="27"/>
    </row>
    <row r="39167" spans="1:1">
      <c r="A39167" s="27"/>
    </row>
    <row r="39168" spans="1:1">
      <c r="A39168" s="27"/>
    </row>
    <row r="39169" spans="1:1">
      <c r="A39169" s="27"/>
    </row>
    <row r="39170" spans="1:1">
      <c r="A39170" s="27"/>
    </row>
    <row r="39171" spans="1:1">
      <c r="A39171" s="27"/>
    </row>
    <row r="39172" spans="1:1">
      <c r="A39172" s="27"/>
    </row>
    <row r="39173" spans="1:1">
      <c r="A39173" s="27"/>
    </row>
    <row r="39174" spans="1:1">
      <c r="A39174" s="27"/>
    </row>
    <row r="39175" spans="1:1">
      <c r="A39175" s="27"/>
    </row>
    <row r="39176" spans="1:1">
      <c r="A39176" s="27"/>
    </row>
    <row r="39177" spans="1:1">
      <c r="A39177" s="27"/>
    </row>
    <row r="39178" spans="1:1">
      <c r="A39178" s="27"/>
    </row>
    <row r="39179" spans="1:1">
      <c r="A39179" s="27"/>
    </row>
    <row r="39180" spans="1:1">
      <c r="A39180" s="27"/>
    </row>
    <row r="39181" spans="1:1">
      <c r="A39181" s="27"/>
    </row>
    <row r="39182" spans="1:1">
      <c r="A39182" s="27"/>
    </row>
    <row r="39183" spans="1:1">
      <c r="A39183" s="27"/>
    </row>
    <row r="39184" spans="1:1">
      <c r="A39184" s="27"/>
    </row>
    <row r="39185" spans="1:1">
      <c r="A39185" s="27"/>
    </row>
    <row r="39186" spans="1:1">
      <c r="A39186" s="27"/>
    </row>
    <row r="39187" spans="1:1">
      <c r="A39187" s="27"/>
    </row>
    <row r="39188" spans="1:1">
      <c r="A39188" s="27"/>
    </row>
    <row r="39189" spans="1:1">
      <c r="A39189" s="27"/>
    </row>
    <row r="39190" spans="1:1">
      <c r="A39190" s="27"/>
    </row>
    <row r="39191" spans="1:1">
      <c r="A39191" s="27"/>
    </row>
    <row r="39192" spans="1:1">
      <c r="A39192" s="27"/>
    </row>
    <row r="39193" spans="1:1">
      <c r="A39193" s="27"/>
    </row>
    <row r="39194" spans="1:1">
      <c r="A39194" s="27"/>
    </row>
    <row r="39195" spans="1:1">
      <c r="A39195" s="27"/>
    </row>
    <row r="39196" spans="1:1">
      <c r="A39196" s="27"/>
    </row>
    <row r="39197" spans="1:1">
      <c r="A39197" s="27"/>
    </row>
    <row r="39198" spans="1:1">
      <c r="A39198" s="27"/>
    </row>
    <row r="39199" spans="1:1">
      <c r="A39199" s="27"/>
    </row>
    <row r="39200" spans="1:1">
      <c r="A39200" s="27"/>
    </row>
    <row r="39201" spans="1:1">
      <c r="A39201" s="27"/>
    </row>
    <row r="39202" spans="1:1">
      <c r="A39202" s="27"/>
    </row>
    <row r="39203" spans="1:1">
      <c r="A39203" s="27"/>
    </row>
    <row r="39204" spans="1:1">
      <c r="A39204" s="27"/>
    </row>
    <row r="39205" spans="1:1">
      <c r="A39205" s="27"/>
    </row>
    <row r="39206" spans="1:1">
      <c r="A39206" s="27"/>
    </row>
    <row r="39207" spans="1:1">
      <c r="A39207" s="27"/>
    </row>
    <row r="39208" spans="1:1">
      <c r="A39208" s="27"/>
    </row>
    <row r="39209" spans="1:1">
      <c r="A39209" s="27"/>
    </row>
    <row r="39210" spans="1:1">
      <c r="A39210" s="27"/>
    </row>
    <row r="39211" spans="1:1">
      <c r="A39211" s="27"/>
    </row>
    <row r="39212" spans="1:1">
      <c r="A39212" s="27"/>
    </row>
    <row r="39213" spans="1:1">
      <c r="A39213" s="27"/>
    </row>
    <row r="39214" spans="1:1">
      <c r="A39214" s="27"/>
    </row>
    <row r="39215" spans="1:1">
      <c r="A39215" s="27"/>
    </row>
    <row r="39216" spans="1:1">
      <c r="A39216" s="27"/>
    </row>
    <row r="39217" spans="1:1">
      <c r="A39217" s="27"/>
    </row>
    <row r="39218" spans="1:1">
      <c r="A39218" s="27"/>
    </row>
    <row r="39219" spans="1:1">
      <c r="A39219" s="27"/>
    </row>
    <row r="39220" spans="1:1">
      <c r="A39220" s="27"/>
    </row>
    <row r="39221" spans="1:1">
      <c r="A39221" s="27"/>
    </row>
    <row r="39222" spans="1:1">
      <c r="A39222" s="27"/>
    </row>
    <row r="39223" spans="1:1">
      <c r="A39223" s="27"/>
    </row>
    <row r="39224" spans="1:1">
      <c r="A39224" s="27"/>
    </row>
    <row r="39225" spans="1:1">
      <c r="A39225" s="27"/>
    </row>
    <row r="39226" spans="1:1">
      <c r="A39226" s="27"/>
    </row>
    <row r="39227" spans="1:1">
      <c r="A39227" s="27"/>
    </row>
    <row r="39228" spans="1:1">
      <c r="A39228" s="27"/>
    </row>
    <row r="39229" spans="1:1">
      <c r="A39229" s="27"/>
    </row>
    <row r="39230" spans="1:1">
      <c r="A39230" s="27"/>
    </row>
    <row r="39231" spans="1:1">
      <c r="A39231" s="27"/>
    </row>
    <row r="39232" spans="1:1">
      <c r="A39232" s="27"/>
    </row>
    <row r="39233" spans="1:1">
      <c r="A39233" s="27"/>
    </row>
    <row r="39234" spans="1:1">
      <c r="A39234" s="27"/>
    </row>
    <row r="39235" spans="1:1">
      <c r="A39235" s="27"/>
    </row>
    <row r="39236" spans="1:1">
      <c r="A39236" s="27"/>
    </row>
    <row r="39237" spans="1:1">
      <c r="A39237" s="27"/>
    </row>
    <row r="39238" spans="1:1">
      <c r="A39238" s="27"/>
    </row>
    <row r="39239" spans="1:1">
      <c r="A39239" s="27"/>
    </row>
    <row r="39240" spans="1:1">
      <c r="A39240" s="27"/>
    </row>
    <row r="39241" spans="1:1">
      <c r="A39241" s="27"/>
    </row>
    <row r="39242" spans="1:1">
      <c r="A39242" s="27"/>
    </row>
    <row r="39243" spans="1:1">
      <c r="A39243" s="27"/>
    </row>
    <row r="39244" spans="1:1">
      <c r="A39244" s="27"/>
    </row>
    <row r="39245" spans="1:1">
      <c r="A39245" s="27"/>
    </row>
    <row r="39246" spans="1:1">
      <c r="A39246" s="27"/>
    </row>
    <row r="39247" spans="1:1">
      <c r="A39247" s="27"/>
    </row>
    <row r="39248" spans="1:1">
      <c r="A39248" s="27"/>
    </row>
    <row r="39249" spans="1:1">
      <c r="A39249" s="27"/>
    </row>
    <row r="39250" spans="1:1">
      <c r="A39250" s="27"/>
    </row>
    <row r="39251" spans="1:1">
      <c r="A39251" s="27"/>
    </row>
    <row r="39252" spans="1:1">
      <c r="A39252" s="27"/>
    </row>
    <row r="39253" spans="1:1">
      <c r="A39253" s="27"/>
    </row>
    <row r="39254" spans="1:1">
      <c r="A39254" s="27"/>
    </row>
    <row r="39255" spans="1:1">
      <c r="A39255" s="27"/>
    </row>
    <row r="39256" spans="1:1">
      <c r="A39256" s="27"/>
    </row>
    <row r="39257" spans="1:1">
      <c r="A39257" s="27"/>
    </row>
    <row r="39258" spans="1:1">
      <c r="A39258" s="27"/>
    </row>
    <row r="39259" spans="1:1">
      <c r="A39259" s="27"/>
    </row>
    <row r="39260" spans="1:1">
      <c r="A39260" s="27"/>
    </row>
    <row r="39261" spans="1:1">
      <c r="A39261" s="27"/>
    </row>
    <row r="39262" spans="1:1">
      <c r="A39262" s="27"/>
    </row>
    <row r="39263" spans="1:1">
      <c r="A39263" s="27"/>
    </row>
    <row r="39264" spans="1:1">
      <c r="A39264" s="27"/>
    </row>
    <row r="39265" spans="1:1">
      <c r="A39265" s="27"/>
    </row>
    <row r="39266" spans="1:1">
      <c r="A39266" s="27"/>
    </row>
    <row r="39267" spans="1:1">
      <c r="A39267" s="27"/>
    </row>
    <row r="39268" spans="1:1">
      <c r="A39268" s="27"/>
    </row>
    <row r="39269" spans="1:1">
      <c r="A39269" s="27"/>
    </row>
    <row r="39270" spans="1:1">
      <c r="A39270" s="27"/>
    </row>
    <row r="39271" spans="1:1">
      <c r="A39271" s="27"/>
    </row>
    <row r="39272" spans="1:1">
      <c r="A39272" s="27"/>
    </row>
    <row r="39273" spans="1:1">
      <c r="A39273" s="27"/>
    </row>
    <row r="39274" spans="1:1">
      <c r="A39274" s="27"/>
    </row>
    <row r="39275" spans="1:1">
      <c r="A39275" s="27"/>
    </row>
    <row r="39276" spans="1:1">
      <c r="A39276" s="27"/>
    </row>
    <row r="39277" spans="1:1">
      <c r="A39277" s="27"/>
    </row>
    <row r="39278" spans="1:1">
      <c r="A39278" s="27"/>
    </row>
    <row r="39279" spans="1:1">
      <c r="A39279" s="27"/>
    </row>
    <row r="39280" spans="1:1">
      <c r="A39280" s="27"/>
    </row>
    <row r="39281" spans="1:1">
      <c r="A39281" s="27"/>
    </row>
    <row r="39282" spans="1:1">
      <c r="A39282" s="27"/>
    </row>
    <row r="39283" spans="1:1">
      <c r="A39283" s="27"/>
    </row>
    <row r="39284" spans="1:1">
      <c r="A39284" s="27"/>
    </row>
    <row r="39285" spans="1:1">
      <c r="A39285" s="27"/>
    </row>
    <row r="39286" spans="1:1">
      <c r="A39286" s="27"/>
    </row>
    <row r="39287" spans="1:1">
      <c r="A39287" s="27"/>
    </row>
    <row r="39288" spans="1:1">
      <c r="A39288" s="27"/>
    </row>
    <row r="39289" spans="1:1">
      <c r="A39289" s="27"/>
    </row>
    <row r="39290" spans="1:1">
      <c r="A39290" s="27"/>
    </row>
    <row r="39291" spans="1:1">
      <c r="A39291" s="27"/>
    </row>
    <row r="39292" spans="1:1">
      <c r="A39292" s="27"/>
    </row>
    <row r="39293" spans="1:1">
      <c r="A39293" s="27"/>
    </row>
    <row r="39294" spans="1:1">
      <c r="A39294" s="27"/>
    </row>
    <row r="39295" spans="1:1">
      <c r="A39295" s="27"/>
    </row>
    <row r="39296" spans="1:1">
      <c r="A39296" s="27"/>
    </row>
    <row r="39297" spans="1:1">
      <c r="A39297" s="27"/>
    </row>
    <row r="39298" spans="1:1">
      <c r="A39298" s="27"/>
    </row>
    <row r="39299" spans="1:1">
      <c r="A39299" s="27"/>
    </row>
    <row r="39300" spans="1:1">
      <c r="A39300" s="27"/>
    </row>
    <row r="39301" spans="1:1">
      <c r="A39301" s="27"/>
    </row>
    <row r="39302" spans="1:1">
      <c r="A39302" s="27"/>
    </row>
    <row r="39303" spans="1:1">
      <c r="A39303" s="27"/>
    </row>
    <row r="39304" spans="1:1">
      <c r="A39304" s="27"/>
    </row>
    <row r="39305" spans="1:1">
      <c r="A39305" s="27"/>
    </row>
    <row r="39306" spans="1:1">
      <c r="A39306" s="27"/>
    </row>
    <row r="39307" spans="1:1">
      <c r="A39307" s="27"/>
    </row>
    <row r="39308" spans="1:1">
      <c r="A39308" s="27"/>
    </row>
    <row r="39309" spans="1:1">
      <c r="A39309" s="27"/>
    </row>
    <row r="39310" spans="1:1">
      <c r="A39310" s="27"/>
    </row>
    <row r="39311" spans="1:1">
      <c r="A39311" s="27"/>
    </row>
    <row r="39312" spans="1:1">
      <c r="A39312" s="27"/>
    </row>
    <row r="39313" spans="1:1">
      <c r="A39313" s="27"/>
    </row>
    <row r="39314" spans="1:1">
      <c r="A39314" s="27"/>
    </row>
    <row r="39315" spans="1:1">
      <c r="A39315" s="27"/>
    </row>
    <row r="39316" spans="1:1">
      <c r="A39316" s="27"/>
    </row>
    <row r="39317" spans="1:1">
      <c r="A39317" s="27"/>
    </row>
    <row r="39318" spans="1:1">
      <c r="A39318" s="27"/>
    </row>
    <row r="39319" spans="1:1">
      <c r="A39319" s="27"/>
    </row>
    <row r="39320" spans="1:1">
      <c r="A39320" s="27"/>
    </row>
    <row r="39321" spans="1:1">
      <c r="A39321" s="27"/>
    </row>
    <row r="39322" spans="1:1">
      <c r="A39322" s="27"/>
    </row>
    <row r="39323" spans="1:1">
      <c r="A39323" s="27"/>
    </row>
    <row r="39324" spans="1:1">
      <c r="A39324" s="27"/>
    </row>
    <row r="39325" spans="1:1">
      <c r="A39325" s="27"/>
    </row>
    <row r="39326" spans="1:1">
      <c r="A39326" s="27"/>
    </row>
    <row r="39327" spans="1:1">
      <c r="A39327" s="27"/>
    </row>
    <row r="39328" spans="1:1">
      <c r="A39328" s="27"/>
    </row>
    <row r="39329" spans="1:1">
      <c r="A39329" s="27"/>
    </row>
    <row r="39330" spans="1:1">
      <c r="A39330" s="27"/>
    </row>
    <row r="39331" spans="1:1">
      <c r="A39331" s="27"/>
    </row>
    <row r="39332" spans="1:1">
      <c r="A39332" s="27"/>
    </row>
    <row r="39333" spans="1:1">
      <c r="A39333" s="27"/>
    </row>
    <row r="39334" spans="1:1">
      <c r="A39334" s="27"/>
    </row>
    <row r="39335" spans="1:1">
      <c r="A39335" s="27"/>
    </row>
    <row r="39336" spans="1:1">
      <c r="A39336" s="27"/>
    </row>
    <row r="39337" spans="1:1">
      <c r="A39337" s="27"/>
    </row>
    <row r="39338" spans="1:1">
      <c r="A39338" s="27"/>
    </row>
    <row r="39339" spans="1:1">
      <c r="A39339" s="27"/>
    </row>
    <row r="39340" spans="1:1">
      <c r="A39340" s="27"/>
    </row>
    <row r="39341" spans="1:1">
      <c r="A39341" s="27"/>
    </row>
    <row r="39342" spans="1:1">
      <c r="A39342" s="27"/>
    </row>
    <row r="39343" spans="1:1">
      <c r="A39343" s="27"/>
    </row>
    <row r="39344" spans="1:1">
      <c r="A39344" s="27"/>
    </row>
    <row r="39345" spans="1:1">
      <c r="A39345" s="27"/>
    </row>
    <row r="39346" spans="1:1">
      <c r="A39346" s="27"/>
    </row>
    <row r="39347" spans="1:1">
      <c r="A39347" s="27"/>
    </row>
    <row r="39348" spans="1:1">
      <c r="A39348" s="27"/>
    </row>
    <row r="39349" spans="1:1">
      <c r="A39349" s="27"/>
    </row>
    <row r="39350" spans="1:1">
      <c r="A39350" s="27"/>
    </row>
    <row r="39351" spans="1:1">
      <c r="A39351" s="27"/>
    </row>
    <row r="39352" spans="1:1">
      <c r="A39352" s="27"/>
    </row>
    <row r="39353" spans="1:1">
      <c r="A39353" s="27"/>
    </row>
    <row r="39354" spans="1:1">
      <c r="A39354" s="27"/>
    </row>
    <row r="39355" spans="1:1">
      <c r="A39355" s="27"/>
    </row>
    <row r="39356" spans="1:1">
      <c r="A39356" s="27"/>
    </row>
    <row r="39357" spans="1:1">
      <c r="A39357" s="27"/>
    </row>
    <row r="39358" spans="1:1">
      <c r="A39358" s="27"/>
    </row>
    <row r="39359" spans="1:1">
      <c r="A39359" s="27"/>
    </row>
    <row r="39360" spans="1:1">
      <c r="A39360" s="27"/>
    </row>
    <row r="39361" spans="1:1">
      <c r="A39361" s="27"/>
    </row>
    <row r="39362" spans="1:1">
      <c r="A39362" s="27"/>
    </row>
    <row r="39363" spans="1:1">
      <c r="A39363" s="27"/>
    </row>
    <row r="39364" spans="1:1">
      <c r="A39364" s="27"/>
    </row>
    <row r="39365" spans="1:1">
      <c r="A39365" s="27"/>
    </row>
    <row r="39366" spans="1:1">
      <c r="A39366" s="27"/>
    </row>
    <row r="39367" spans="1:1">
      <c r="A39367" s="27"/>
    </row>
    <row r="39368" spans="1:1">
      <c r="A39368" s="27"/>
    </row>
    <row r="39369" spans="1:1">
      <c r="A39369" s="27"/>
    </row>
    <row r="39370" spans="1:1">
      <c r="A39370" s="27"/>
    </row>
    <row r="39371" spans="1:1">
      <c r="A39371" s="27"/>
    </row>
    <row r="39372" spans="1:1">
      <c r="A39372" s="27"/>
    </row>
    <row r="39373" spans="1:1">
      <c r="A39373" s="27"/>
    </row>
    <row r="39374" spans="1:1">
      <c r="A39374" s="27"/>
    </row>
    <row r="39375" spans="1:1">
      <c r="A39375" s="27"/>
    </row>
    <row r="39376" spans="1:1">
      <c r="A39376" s="27"/>
    </row>
    <row r="39377" spans="1:1">
      <c r="A39377" s="27"/>
    </row>
    <row r="39378" spans="1:1">
      <c r="A39378" s="27"/>
    </row>
    <row r="39379" spans="1:1">
      <c r="A39379" s="27"/>
    </row>
    <row r="39380" spans="1:1">
      <c r="A39380" s="27"/>
    </row>
    <row r="39381" spans="1:1">
      <c r="A39381" s="27"/>
    </row>
    <row r="39382" spans="1:1">
      <c r="A39382" s="27"/>
    </row>
    <row r="39383" spans="1:1">
      <c r="A39383" s="27"/>
    </row>
    <row r="39384" spans="1:1">
      <c r="A39384" s="27"/>
    </row>
    <row r="39385" spans="1:1">
      <c r="A39385" s="27"/>
    </row>
    <row r="39386" spans="1:1">
      <c r="A39386" s="27"/>
    </row>
    <row r="39387" spans="1:1">
      <c r="A39387" s="27"/>
    </row>
    <row r="39388" spans="1:1">
      <c r="A39388" s="27"/>
    </row>
    <row r="39389" spans="1:1">
      <c r="A39389" s="27"/>
    </row>
    <row r="39390" spans="1:1">
      <c r="A39390" s="27"/>
    </row>
    <row r="39391" spans="1:1">
      <c r="A39391" s="27"/>
    </row>
    <row r="39392" spans="1:1">
      <c r="A39392" s="27"/>
    </row>
    <row r="39393" spans="1:1">
      <c r="A39393" s="27"/>
    </row>
    <row r="39394" spans="1:1">
      <c r="A39394" s="27"/>
    </row>
    <row r="39395" spans="1:1">
      <c r="A39395" s="27"/>
    </row>
    <row r="39396" spans="1:1">
      <c r="A39396" s="27"/>
    </row>
    <row r="39397" spans="1:1">
      <c r="A39397" s="27"/>
    </row>
    <row r="39398" spans="1:1">
      <c r="A39398" s="27"/>
    </row>
    <row r="39399" spans="1:1">
      <c r="A39399" s="27"/>
    </row>
    <row r="39400" spans="1:1">
      <c r="A39400" s="27"/>
    </row>
    <row r="39401" spans="1:1">
      <c r="A39401" s="27"/>
    </row>
    <row r="39402" spans="1:1">
      <c r="A39402" s="27"/>
    </row>
    <row r="39403" spans="1:1">
      <c r="A39403" s="27"/>
    </row>
    <row r="39404" spans="1:1">
      <c r="A39404" s="27"/>
    </row>
    <row r="39405" spans="1:1">
      <c r="A39405" s="27"/>
    </row>
    <row r="39406" spans="1:1">
      <c r="A39406" s="27"/>
    </row>
    <row r="39407" spans="1:1">
      <c r="A39407" s="27"/>
    </row>
    <row r="39408" spans="1:1">
      <c r="A39408" s="27"/>
    </row>
    <row r="39409" spans="1:1">
      <c r="A39409" s="27"/>
    </row>
    <row r="39410" spans="1:1">
      <c r="A39410" s="27"/>
    </row>
    <row r="39411" spans="1:1">
      <c r="A39411" s="27"/>
    </row>
    <row r="39412" spans="1:1">
      <c r="A39412" s="27"/>
    </row>
    <row r="39413" spans="1:1">
      <c r="A39413" s="27"/>
    </row>
    <row r="39414" spans="1:1">
      <c r="A39414" s="27"/>
    </row>
    <row r="39415" spans="1:1">
      <c r="A39415" s="27"/>
    </row>
    <row r="39416" spans="1:1">
      <c r="A39416" s="27"/>
    </row>
    <row r="39417" spans="1:1">
      <c r="A39417" s="27"/>
    </row>
    <row r="39418" spans="1:1">
      <c r="A39418" s="27"/>
    </row>
    <row r="39419" spans="1:1">
      <c r="A39419" s="27"/>
    </row>
    <row r="39420" spans="1:1">
      <c r="A39420" s="27"/>
    </row>
    <row r="39421" spans="1:1">
      <c r="A39421" s="27"/>
    </row>
    <row r="39422" spans="1:1">
      <c r="A39422" s="27"/>
    </row>
    <row r="39423" spans="1:1">
      <c r="A39423" s="27"/>
    </row>
    <row r="39424" spans="1:1">
      <c r="A39424" s="27"/>
    </row>
    <row r="39425" spans="1:1">
      <c r="A39425" s="27"/>
    </row>
    <row r="39426" spans="1:1">
      <c r="A39426" s="27"/>
    </row>
    <row r="39427" spans="1:1">
      <c r="A39427" s="27"/>
    </row>
    <row r="39428" spans="1:1">
      <c r="A39428" s="27"/>
    </row>
    <row r="39429" spans="1:1">
      <c r="A39429" s="27"/>
    </row>
    <row r="39430" spans="1:1">
      <c r="A39430" s="27"/>
    </row>
    <row r="39431" spans="1:1">
      <c r="A39431" s="27"/>
    </row>
    <row r="39432" spans="1:1">
      <c r="A39432" s="27"/>
    </row>
    <row r="39433" spans="1:1">
      <c r="A39433" s="27"/>
    </row>
    <row r="39434" spans="1:1">
      <c r="A39434" s="27"/>
    </row>
    <row r="39435" spans="1:1">
      <c r="A39435" s="27"/>
    </row>
    <row r="39436" spans="1:1">
      <c r="A39436" s="27"/>
    </row>
    <row r="39437" spans="1:1">
      <c r="A39437" s="27"/>
    </row>
    <row r="39438" spans="1:1">
      <c r="A39438" s="27"/>
    </row>
    <row r="39439" spans="1:1">
      <c r="A39439" s="27"/>
    </row>
    <row r="39440" spans="1:1">
      <c r="A39440" s="27"/>
    </row>
    <row r="39441" spans="1:1">
      <c r="A39441" s="27"/>
    </row>
    <row r="39442" spans="1:1">
      <c r="A39442" s="27"/>
    </row>
    <row r="39443" spans="1:1">
      <c r="A39443" s="27"/>
    </row>
    <row r="39444" spans="1:1">
      <c r="A39444" s="27"/>
    </row>
    <row r="39445" spans="1:1">
      <c r="A39445" s="27"/>
    </row>
    <row r="39446" spans="1:1">
      <c r="A39446" s="27"/>
    </row>
    <row r="39447" spans="1:1">
      <c r="A39447" s="27"/>
    </row>
    <row r="39448" spans="1:1">
      <c r="A39448" s="27"/>
    </row>
    <row r="39449" spans="1:1">
      <c r="A39449" s="27"/>
    </row>
    <row r="39450" spans="1:1">
      <c r="A39450" s="27"/>
    </row>
    <row r="39451" spans="1:1">
      <c r="A39451" s="27"/>
    </row>
    <row r="39452" spans="1:1">
      <c r="A39452" s="27"/>
    </row>
    <row r="39453" spans="1:1">
      <c r="A39453" s="27"/>
    </row>
    <row r="39454" spans="1:1">
      <c r="A39454" s="27"/>
    </row>
    <row r="39455" spans="1:1">
      <c r="A39455" s="27"/>
    </row>
    <row r="39456" spans="1:1">
      <c r="A39456" s="27"/>
    </row>
    <row r="39457" spans="1:1">
      <c r="A39457" s="27"/>
    </row>
    <row r="39458" spans="1:1">
      <c r="A39458" s="27"/>
    </row>
    <row r="39459" spans="1:1">
      <c r="A39459" s="27"/>
    </row>
    <row r="39460" spans="1:1">
      <c r="A39460" s="27"/>
    </row>
    <row r="39461" spans="1:1">
      <c r="A39461" s="27"/>
    </row>
    <row r="39462" spans="1:1">
      <c r="A39462" s="27"/>
    </row>
    <row r="39463" spans="1:1">
      <c r="A39463" s="27"/>
    </row>
    <row r="39464" spans="1:1">
      <c r="A39464" s="27"/>
    </row>
    <row r="39465" spans="1:1">
      <c r="A39465" s="27"/>
    </row>
    <row r="39466" spans="1:1">
      <c r="A39466" s="27"/>
    </row>
    <row r="39467" spans="1:1">
      <c r="A39467" s="27"/>
    </row>
    <row r="39468" spans="1:1">
      <c r="A39468" s="27"/>
    </row>
    <row r="39469" spans="1:1">
      <c r="A39469" s="27"/>
    </row>
    <row r="39470" spans="1:1">
      <c r="A39470" s="27"/>
    </row>
    <row r="39471" spans="1:1">
      <c r="A39471" s="27"/>
    </row>
    <row r="39472" spans="1:1">
      <c r="A39472" s="27"/>
    </row>
    <row r="39473" spans="1:1">
      <c r="A39473" s="27"/>
    </row>
    <row r="39474" spans="1:1">
      <c r="A39474" s="27"/>
    </row>
    <row r="39475" spans="1:1">
      <c r="A39475" s="27"/>
    </row>
    <row r="39476" spans="1:1">
      <c r="A39476" s="27"/>
    </row>
    <row r="39477" spans="1:1">
      <c r="A39477" s="27"/>
    </row>
    <row r="39478" spans="1:1">
      <c r="A39478" s="27"/>
    </row>
    <row r="39479" spans="1:1">
      <c r="A39479" s="27"/>
    </row>
    <row r="39480" spans="1:1">
      <c r="A39480" s="27"/>
    </row>
    <row r="39481" spans="1:1">
      <c r="A39481" s="27"/>
    </row>
    <row r="39482" spans="1:1">
      <c r="A39482" s="27"/>
    </row>
    <row r="39483" spans="1:1">
      <c r="A39483" s="27"/>
    </row>
    <row r="39484" spans="1:1">
      <c r="A39484" s="27"/>
    </row>
    <row r="39485" spans="1:1">
      <c r="A39485" s="27"/>
    </row>
    <row r="39486" spans="1:1">
      <c r="A39486" s="27"/>
    </row>
    <row r="39487" spans="1:1">
      <c r="A39487" s="27"/>
    </row>
    <row r="39488" spans="1:1">
      <c r="A39488" s="27"/>
    </row>
    <row r="39489" spans="1:1">
      <c r="A39489" s="27"/>
    </row>
    <row r="39490" spans="1:1">
      <c r="A39490" s="27"/>
    </row>
    <row r="39491" spans="1:1">
      <c r="A39491" s="27"/>
    </row>
    <row r="39492" spans="1:1">
      <c r="A39492" s="27"/>
    </row>
    <row r="39493" spans="1:1">
      <c r="A39493" s="27"/>
    </row>
    <row r="39494" spans="1:1">
      <c r="A39494" s="27"/>
    </row>
    <row r="39495" spans="1:1">
      <c r="A39495" s="27"/>
    </row>
    <row r="39496" spans="1:1">
      <c r="A39496" s="27"/>
    </row>
    <row r="39497" spans="1:1">
      <c r="A39497" s="27"/>
    </row>
    <row r="39498" spans="1:1">
      <c r="A39498" s="27"/>
    </row>
    <row r="39499" spans="1:1">
      <c r="A39499" s="27"/>
    </row>
    <row r="39500" spans="1:1">
      <c r="A39500" s="27"/>
    </row>
    <row r="39501" spans="1:1">
      <c r="A39501" s="27"/>
    </row>
    <row r="39502" spans="1:1">
      <c r="A39502" s="27"/>
    </row>
    <row r="39503" spans="1:1">
      <c r="A39503" s="27"/>
    </row>
    <row r="39504" spans="1:1">
      <c r="A39504" s="27"/>
    </row>
    <row r="39505" spans="1:1">
      <c r="A39505" s="27"/>
    </row>
    <row r="39506" spans="1:1">
      <c r="A39506" s="27"/>
    </row>
    <row r="39507" spans="1:1">
      <c r="A39507" s="27"/>
    </row>
    <row r="39508" spans="1:1">
      <c r="A39508" s="27"/>
    </row>
    <row r="39509" spans="1:1">
      <c r="A39509" s="27"/>
    </row>
    <row r="39510" spans="1:1">
      <c r="A39510" s="27"/>
    </row>
    <row r="39511" spans="1:1">
      <c r="A39511" s="27"/>
    </row>
    <row r="39512" spans="1:1">
      <c r="A39512" s="27"/>
    </row>
    <row r="39513" spans="1:1">
      <c r="A39513" s="27"/>
    </row>
    <row r="39514" spans="1:1">
      <c r="A39514" s="27"/>
    </row>
    <row r="39515" spans="1:1">
      <c r="A39515" s="27"/>
    </row>
    <row r="39516" spans="1:1">
      <c r="A39516" s="27"/>
    </row>
    <row r="39517" spans="1:1">
      <c r="A39517" s="27"/>
    </row>
    <row r="39518" spans="1:1">
      <c r="A39518" s="27"/>
    </row>
    <row r="39519" spans="1:1">
      <c r="A39519" s="27"/>
    </row>
    <row r="39520" spans="1:1">
      <c r="A39520" s="27"/>
    </row>
    <row r="39521" spans="1:1">
      <c r="A39521" s="27"/>
    </row>
    <row r="39522" spans="1:1">
      <c r="A39522" s="27"/>
    </row>
    <row r="39523" spans="1:1">
      <c r="A39523" s="27"/>
    </row>
    <row r="39524" spans="1:1">
      <c r="A39524" s="27"/>
    </row>
    <row r="39525" spans="1:1">
      <c r="A39525" s="27"/>
    </row>
    <row r="39526" spans="1:1">
      <c r="A39526" s="27"/>
    </row>
    <row r="39527" spans="1:1">
      <c r="A39527" s="27"/>
    </row>
    <row r="39528" spans="1:1">
      <c r="A39528" s="27"/>
    </row>
    <row r="39529" spans="1:1">
      <c r="A39529" s="27"/>
    </row>
    <row r="39530" spans="1:1">
      <c r="A39530" s="27"/>
    </row>
    <row r="39531" spans="1:1">
      <c r="A39531" s="27"/>
    </row>
    <row r="39532" spans="1:1">
      <c r="A39532" s="27"/>
    </row>
    <row r="39533" spans="1:1">
      <c r="A39533" s="27"/>
    </row>
    <row r="39534" spans="1:1">
      <c r="A39534" s="27"/>
    </row>
    <row r="39535" spans="1:1">
      <c r="A39535" s="27"/>
    </row>
    <row r="39536" spans="1:1">
      <c r="A39536" s="27"/>
    </row>
    <row r="39537" spans="1:1">
      <c r="A39537" s="27"/>
    </row>
    <row r="39538" spans="1:1">
      <c r="A39538" s="27"/>
    </row>
    <row r="39539" spans="1:1">
      <c r="A39539" s="27"/>
    </row>
    <row r="39540" spans="1:1">
      <c r="A39540" s="27"/>
    </row>
    <row r="39541" spans="1:1">
      <c r="A39541" s="27"/>
    </row>
    <row r="39542" spans="1:1">
      <c r="A39542" s="27"/>
    </row>
    <row r="39543" spans="1:1">
      <c r="A39543" s="27"/>
    </row>
    <row r="39544" spans="1:1">
      <c r="A39544" s="27"/>
    </row>
    <row r="39545" spans="1:1">
      <c r="A39545" s="27"/>
    </row>
    <row r="39546" spans="1:1">
      <c r="A39546" s="27"/>
    </row>
    <row r="39547" spans="1:1">
      <c r="A39547" s="27"/>
    </row>
    <row r="39548" spans="1:1">
      <c r="A39548" s="27"/>
    </row>
    <row r="39549" spans="1:1">
      <c r="A39549" s="27"/>
    </row>
    <row r="39550" spans="1:1">
      <c r="A39550" s="27"/>
    </row>
    <row r="39551" spans="1:1">
      <c r="A39551" s="27"/>
    </row>
    <row r="39552" spans="1:1">
      <c r="A39552" s="27"/>
    </row>
    <row r="39553" spans="1:1">
      <c r="A39553" s="27"/>
    </row>
    <row r="39554" spans="1:1">
      <c r="A39554" s="27"/>
    </row>
    <row r="39555" spans="1:1">
      <c r="A39555" s="27"/>
    </row>
    <row r="39556" spans="1:1">
      <c r="A39556" s="27"/>
    </row>
    <row r="39557" spans="1:1">
      <c r="A39557" s="27"/>
    </row>
    <row r="39558" spans="1:1">
      <c r="A39558" s="27"/>
    </row>
    <row r="39559" spans="1:1">
      <c r="A39559" s="27"/>
    </row>
    <row r="39560" spans="1:1">
      <c r="A39560" s="27"/>
    </row>
    <row r="39561" spans="1:1">
      <c r="A39561" s="27"/>
    </row>
    <row r="39562" spans="1:1">
      <c r="A39562" s="27"/>
    </row>
    <row r="39563" spans="1:1">
      <c r="A39563" s="27"/>
    </row>
    <row r="39564" spans="1:1">
      <c r="A39564" s="27"/>
    </row>
    <row r="39565" spans="1:1">
      <c r="A39565" s="27"/>
    </row>
    <row r="39566" spans="1:1">
      <c r="A39566" s="27"/>
    </row>
    <row r="39567" spans="1:1">
      <c r="A39567" s="27"/>
    </row>
    <row r="39568" spans="1:1">
      <c r="A39568" s="27"/>
    </row>
    <row r="39569" spans="1:1">
      <c r="A39569" s="27"/>
    </row>
    <row r="39570" spans="1:1">
      <c r="A39570" s="27"/>
    </row>
    <row r="39571" spans="1:1">
      <c r="A39571" s="27"/>
    </row>
    <row r="39572" spans="1:1">
      <c r="A39572" s="27"/>
    </row>
    <row r="39573" spans="1:1">
      <c r="A39573" s="27"/>
    </row>
    <row r="39574" spans="1:1">
      <c r="A39574" s="27"/>
    </row>
    <row r="39575" spans="1:1">
      <c r="A39575" s="27"/>
    </row>
    <row r="39576" spans="1:1">
      <c r="A39576" s="27"/>
    </row>
    <row r="39577" spans="1:1">
      <c r="A39577" s="27"/>
    </row>
    <row r="39578" spans="1:1">
      <c r="A39578" s="27"/>
    </row>
    <row r="39579" spans="1:1">
      <c r="A39579" s="27"/>
    </row>
    <row r="39580" spans="1:1">
      <c r="A39580" s="27"/>
    </row>
    <row r="39581" spans="1:1">
      <c r="A39581" s="27"/>
    </row>
    <row r="39582" spans="1:1">
      <c r="A39582" s="27"/>
    </row>
    <row r="39583" spans="1:1">
      <c r="A39583" s="27"/>
    </row>
    <row r="39584" spans="1:1">
      <c r="A39584" s="27"/>
    </row>
    <row r="39585" spans="1:1">
      <c r="A39585" s="27"/>
    </row>
    <row r="39586" spans="1:1">
      <c r="A39586" s="27"/>
    </row>
    <row r="39587" spans="1:1">
      <c r="A39587" s="27"/>
    </row>
    <row r="39588" spans="1:1">
      <c r="A39588" s="27"/>
    </row>
    <row r="39589" spans="1:1">
      <c r="A39589" s="27"/>
    </row>
    <row r="39590" spans="1:1">
      <c r="A39590" s="27"/>
    </row>
    <row r="39591" spans="1:1">
      <c r="A39591" s="27"/>
    </row>
    <row r="39592" spans="1:1">
      <c r="A39592" s="27"/>
    </row>
    <row r="39593" spans="1:1">
      <c r="A39593" s="27"/>
    </row>
    <row r="39594" spans="1:1">
      <c r="A39594" s="27"/>
    </row>
    <row r="39595" spans="1:1">
      <c r="A39595" s="27"/>
    </row>
    <row r="39596" spans="1:1">
      <c r="A39596" s="27"/>
    </row>
    <row r="39597" spans="1:1">
      <c r="A39597" s="27"/>
    </row>
    <row r="39598" spans="1:1">
      <c r="A39598" s="27"/>
    </row>
    <row r="39599" spans="1:1">
      <c r="A39599" s="27"/>
    </row>
    <row r="39600" spans="1:1">
      <c r="A39600" s="27"/>
    </row>
    <row r="39601" spans="1:1">
      <c r="A39601" s="27"/>
    </row>
    <row r="39602" spans="1:1">
      <c r="A39602" s="27"/>
    </row>
    <row r="39603" spans="1:1">
      <c r="A39603" s="27"/>
    </row>
    <row r="39604" spans="1:1">
      <c r="A39604" s="27"/>
    </row>
    <row r="39605" spans="1:1">
      <c r="A39605" s="27"/>
    </row>
    <row r="39606" spans="1:1">
      <c r="A39606" s="27"/>
    </row>
    <row r="39607" spans="1:1">
      <c r="A39607" s="27"/>
    </row>
    <row r="39608" spans="1:1">
      <c r="A39608" s="27"/>
    </row>
    <row r="39609" spans="1:1">
      <c r="A39609" s="27"/>
    </row>
    <row r="39610" spans="1:1">
      <c r="A39610" s="27"/>
    </row>
    <row r="39611" spans="1:1">
      <c r="A39611" s="27"/>
    </row>
    <row r="39612" spans="1:1">
      <c r="A39612" s="27"/>
    </row>
    <row r="39613" spans="1:1">
      <c r="A39613" s="27"/>
    </row>
    <row r="39614" spans="1:1">
      <c r="A39614" s="27"/>
    </row>
    <row r="39615" spans="1:1">
      <c r="A39615" s="27"/>
    </row>
    <row r="39616" spans="1:1">
      <c r="A39616" s="27"/>
    </row>
    <row r="39617" spans="1:1">
      <c r="A39617" s="27"/>
    </row>
    <row r="39618" spans="1:1">
      <c r="A39618" s="27"/>
    </row>
    <row r="39619" spans="1:1">
      <c r="A39619" s="27"/>
    </row>
    <row r="39620" spans="1:1">
      <c r="A39620" s="27"/>
    </row>
    <row r="39621" spans="1:1">
      <c r="A39621" s="27"/>
    </row>
    <row r="39622" spans="1:1">
      <c r="A39622" s="27"/>
    </row>
    <row r="39623" spans="1:1">
      <c r="A39623" s="27"/>
    </row>
    <row r="39624" spans="1:1">
      <c r="A39624" s="27"/>
    </row>
    <row r="39625" spans="1:1">
      <c r="A39625" s="27"/>
    </row>
    <row r="39626" spans="1:1">
      <c r="A39626" s="27"/>
    </row>
    <row r="39627" spans="1:1">
      <c r="A39627" s="27"/>
    </row>
    <row r="39628" spans="1:1">
      <c r="A39628" s="27"/>
    </row>
    <row r="39629" spans="1:1">
      <c r="A39629" s="27"/>
    </row>
    <row r="39630" spans="1:1">
      <c r="A39630" s="27"/>
    </row>
    <row r="39631" spans="1:1">
      <c r="A39631" s="27"/>
    </row>
    <row r="39632" spans="1:1">
      <c r="A39632" s="27"/>
    </row>
    <row r="39633" spans="1:1">
      <c r="A39633" s="27"/>
    </row>
    <row r="39634" spans="1:1">
      <c r="A39634" s="27"/>
    </row>
    <row r="39635" spans="1:1">
      <c r="A39635" s="27"/>
    </row>
    <row r="39636" spans="1:1">
      <c r="A39636" s="27"/>
    </row>
    <row r="39637" spans="1:1">
      <c r="A39637" s="27"/>
    </row>
    <row r="39638" spans="1:1">
      <c r="A39638" s="27"/>
    </row>
    <row r="39639" spans="1:1">
      <c r="A39639" s="27"/>
    </row>
    <row r="39640" spans="1:1">
      <c r="A39640" s="27"/>
    </row>
    <row r="39641" spans="1:1">
      <c r="A39641" s="27"/>
    </row>
    <row r="39642" spans="1:1">
      <c r="A39642" s="27"/>
    </row>
    <row r="39643" spans="1:1">
      <c r="A39643" s="27"/>
    </row>
    <row r="39644" spans="1:1">
      <c r="A39644" s="27"/>
    </row>
    <row r="39645" spans="1:1">
      <c r="A39645" s="27"/>
    </row>
    <row r="39646" spans="1:1">
      <c r="A39646" s="27"/>
    </row>
    <row r="39647" spans="1:1">
      <c r="A39647" s="27"/>
    </row>
    <row r="39648" spans="1:1">
      <c r="A39648" s="27"/>
    </row>
    <row r="39649" spans="1:1">
      <c r="A39649" s="27"/>
    </row>
    <row r="39650" spans="1:1">
      <c r="A39650" s="27"/>
    </row>
    <row r="39651" spans="1:1">
      <c r="A39651" s="27"/>
    </row>
    <row r="39652" spans="1:1">
      <c r="A39652" s="27"/>
    </row>
    <row r="39653" spans="1:1">
      <c r="A39653" s="27"/>
    </row>
    <row r="39654" spans="1:1">
      <c r="A39654" s="27"/>
    </row>
    <row r="39655" spans="1:1">
      <c r="A39655" s="27"/>
    </row>
    <row r="39656" spans="1:1">
      <c r="A39656" s="27"/>
    </row>
    <row r="39657" spans="1:1">
      <c r="A39657" s="27"/>
    </row>
    <row r="39658" spans="1:1">
      <c r="A39658" s="27"/>
    </row>
    <row r="39659" spans="1:1">
      <c r="A39659" s="27"/>
    </row>
    <row r="39660" spans="1:1">
      <c r="A39660" s="27"/>
    </row>
    <row r="39661" spans="1:1">
      <c r="A39661" s="27"/>
    </row>
    <row r="39662" spans="1:1">
      <c r="A39662" s="27"/>
    </row>
    <row r="39663" spans="1:1">
      <c r="A39663" s="27"/>
    </row>
    <row r="39664" spans="1:1">
      <c r="A39664" s="27"/>
    </row>
    <row r="39665" spans="1:1">
      <c r="A39665" s="27"/>
    </row>
    <row r="39666" spans="1:1">
      <c r="A39666" s="27"/>
    </row>
    <row r="39667" spans="1:1">
      <c r="A39667" s="27"/>
    </row>
    <row r="39668" spans="1:1">
      <c r="A39668" s="27"/>
    </row>
    <row r="39669" spans="1:1">
      <c r="A39669" s="27"/>
    </row>
    <row r="39670" spans="1:1">
      <c r="A39670" s="27"/>
    </row>
    <row r="39671" spans="1:1">
      <c r="A39671" s="27"/>
    </row>
    <row r="39672" spans="1:1">
      <c r="A39672" s="27"/>
    </row>
    <row r="39673" spans="1:1">
      <c r="A39673" s="27"/>
    </row>
    <row r="39674" spans="1:1">
      <c r="A39674" s="27"/>
    </row>
    <row r="39675" spans="1:1">
      <c r="A39675" s="27"/>
    </row>
    <row r="39676" spans="1:1">
      <c r="A39676" s="27"/>
    </row>
    <row r="39677" spans="1:1">
      <c r="A39677" s="27"/>
    </row>
    <row r="39678" spans="1:1">
      <c r="A39678" s="27"/>
    </row>
    <row r="39679" spans="1:1">
      <c r="A39679" s="27"/>
    </row>
    <row r="39680" spans="1:1">
      <c r="A39680" s="27"/>
    </row>
    <row r="39681" spans="1:1">
      <c r="A39681" s="27"/>
    </row>
    <row r="39682" spans="1:1">
      <c r="A39682" s="27"/>
    </row>
    <row r="39683" spans="1:1">
      <c r="A39683" s="27"/>
    </row>
    <row r="39684" spans="1:1">
      <c r="A39684" s="27"/>
    </row>
    <row r="39685" spans="1:1">
      <c r="A39685" s="27"/>
    </row>
    <row r="39686" spans="1:1">
      <c r="A39686" s="27"/>
    </row>
    <row r="39687" spans="1:1">
      <c r="A39687" s="27"/>
    </row>
    <row r="39688" spans="1:1">
      <c r="A39688" s="27"/>
    </row>
    <row r="39689" spans="1:1">
      <c r="A39689" s="27"/>
    </row>
    <row r="39690" spans="1:1">
      <c r="A39690" s="27"/>
    </row>
    <row r="39691" spans="1:1">
      <c r="A39691" s="27"/>
    </row>
    <row r="39692" spans="1:1">
      <c r="A39692" s="27"/>
    </row>
    <row r="39693" spans="1:1">
      <c r="A39693" s="27"/>
    </row>
    <row r="39694" spans="1:1">
      <c r="A39694" s="27"/>
    </row>
    <row r="39695" spans="1:1">
      <c r="A39695" s="27"/>
    </row>
    <row r="39696" spans="1:1">
      <c r="A39696" s="27"/>
    </row>
    <row r="39697" spans="1:1">
      <c r="A39697" s="27"/>
    </row>
    <row r="39698" spans="1:1">
      <c r="A39698" s="27"/>
    </row>
    <row r="39699" spans="1:1">
      <c r="A39699" s="27"/>
    </row>
    <row r="39700" spans="1:1">
      <c r="A39700" s="27"/>
    </row>
    <row r="39701" spans="1:1">
      <c r="A39701" s="27"/>
    </row>
    <row r="39702" spans="1:1">
      <c r="A39702" s="27"/>
    </row>
    <row r="39703" spans="1:1">
      <c r="A39703" s="27"/>
    </row>
    <row r="39704" spans="1:1">
      <c r="A39704" s="27"/>
    </row>
    <row r="39705" spans="1:1">
      <c r="A39705" s="27"/>
    </row>
    <row r="39706" spans="1:1">
      <c r="A39706" s="27"/>
    </row>
    <row r="39707" spans="1:1">
      <c r="A39707" s="27"/>
    </row>
    <row r="39708" spans="1:1">
      <c r="A39708" s="27"/>
    </row>
    <row r="39709" spans="1:1">
      <c r="A39709" s="27"/>
    </row>
    <row r="39710" spans="1:1">
      <c r="A39710" s="27"/>
    </row>
    <row r="39711" spans="1:1">
      <c r="A39711" s="27"/>
    </row>
    <row r="39712" spans="1:1">
      <c r="A39712" s="27"/>
    </row>
    <row r="39713" spans="1:1">
      <c r="A39713" s="27"/>
    </row>
    <row r="39714" spans="1:1">
      <c r="A39714" s="27"/>
    </row>
    <row r="39715" spans="1:1">
      <c r="A39715" s="27"/>
    </row>
    <row r="39716" spans="1:1">
      <c r="A39716" s="27"/>
    </row>
    <row r="39717" spans="1:1">
      <c r="A39717" s="27"/>
    </row>
    <row r="39718" spans="1:1">
      <c r="A39718" s="27"/>
    </row>
    <row r="39719" spans="1:1">
      <c r="A39719" s="27"/>
    </row>
    <row r="39720" spans="1:1">
      <c r="A39720" s="27"/>
    </row>
    <row r="39721" spans="1:1">
      <c r="A39721" s="27"/>
    </row>
    <row r="39722" spans="1:1">
      <c r="A39722" s="27"/>
    </row>
    <row r="39723" spans="1:1">
      <c r="A39723" s="27"/>
    </row>
    <row r="39724" spans="1:1">
      <c r="A39724" s="27"/>
    </row>
    <row r="39725" spans="1:1">
      <c r="A39725" s="27"/>
    </row>
    <row r="39726" spans="1:1">
      <c r="A39726" s="27"/>
    </row>
    <row r="39727" spans="1:1">
      <c r="A39727" s="27"/>
    </row>
    <row r="39728" spans="1:1">
      <c r="A39728" s="27"/>
    </row>
    <row r="39729" spans="1:1">
      <c r="A39729" s="27"/>
    </row>
    <row r="39730" spans="1:1">
      <c r="A39730" s="27"/>
    </row>
    <row r="39731" spans="1:1">
      <c r="A39731" s="27"/>
    </row>
    <row r="39732" spans="1:1">
      <c r="A39732" s="27"/>
    </row>
    <row r="39733" spans="1:1">
      <c r="A39733" s="27"/>
    </row>
    <row r="39734" spans="1:1">
      <c r="A39734" s="27"/>
    </row>
    <row r="39735" spans="1:1">
      <c r="A39735" s="27"/>
    </row>
    <row r="39736" spans="1:1">
      <c r="A39736" s="27"/>
    </row>
    <row r="39737" spans="1:1">
      <c r="A39737" s="27"/>
    </row>
    <row r="39738" spans="1:1">
      <c r="A39738" s="27"/>
    </row>
    <row r="39739" spans="1:1">
      <c r="A39739" s="27"/>
    </row>
    <row r="39740" spans="1:1">
      <c r="A39740" s="27"/>
    </row>
    <row r="39741" spans="1:1">
      <c r="A39741" s="27"/>
    </row>
    <row r="39742" spans="1:1">
      <c r="A39742" s="27"/>
    </row>
    <row r="39743" spans="1:1">
      <c r="A39743" s="27"/>
    </row>
    <row r="39744" spans="1:1">
      <c r="A39744" s="27"/>
    </row>
    <row r="39745" spans="1:1">
      <c r="A39745" s="27"/>
    </row>
    <row r="39746" spans="1:1">
      <c r="A39746" s="27"/>
    </row>
    <row r="39747" spans="1:1">
      <c r="A39747" s="27"/>
    </row>
    <row r="39748" spans="1:1">
      <c r="A39748" s="27"/>
    </row>
    <row r="39749" spans="1:1">
      <c r="A39749" s="27"/>
    </row>
    <row r="39750" spans="1:1">
      <c r="A39750" s="27"/>
    </row>
    <row r="39751" spans="1:1">
      <c r="A39751" s="27"/>
    </row>
    <row r="39752" spans="1:1">
      <c r="A39752" s="27"/>
    </row>
    <row r="39753" spans="1:1">
      <c r="A39753" s="27"/>
    </row>
    <row r="39754" spans="1:1">
      <c r="A39754" s="27"/>
    </row>
    <row r="39755" spans="1:1">
      <c r="A39755" s="27"/>
    </row>
    <row r="39756" spans="1:1">
      <c r="A39756" s="27"/>
    </row>
    <row r="39757" spans="1:1">
      <c r="A39757" s="27"/>
    </row>
    <row r="39758" spans="1:1">
      <c r="A39758" s="27"/>
    </row>
    <row r="39759" spans="1:1">
      <c r="A39759" s="27"/>
    </row>
    <row r="39760" spans="1:1">
      <c r="A39760" s="27"/>
    </row>
    <row r="39761" spans="1:1">
      <c r="A39761" s="27"/>
    </row>
    <row r="39762" spans="1:1">
      <c r="A39762" s="27"/>
    </row>
    <row r="39763" spans="1:1">
      <c r="A39763" s="27"/>
    </row>
    <row r="39764" spans="1:1">
      <c r="A39764" s="27"/>
    </row>
    <row r="39765" spans="1:1">
      <c r="A39765" s="27"/>
    </row>
    <row r="39766" spans="1:1">
      <c r="A39766" s="27"/>
    </row>
    <row r="39767" spans="1:1">
      <c r="A39767" s="27"/>
    </row>
    <row r="39768" spans="1:1">
      <c r="A39768" s="27"/>
    </row>
    <row r="39769" spans="1:1">
      <c r="A39769" s="27"/>
    </row>
    <row r="39770" spans="1:1">
      <c r="A39770" s="27"/>
    </row>
    <row r="39771" spans="1:1">
      <c r="A39771" s="27"/>
    </row>
    <row r="39772" spans="1:1">
      <c r="A39772" s="27"/>
    </row>
    <row r="39773" spans="1:1">
      <c r="A39773" s="27"/>
    </row>
    <row r="39774" spans="1:1">
      <c r="A39774" s="27"/>
    </row>
    <row r="39775" spans="1:1">
      <c r="A39775" s="27"/>
    </row>
    <row r="39776" spans="1:1">
      <c r="A39776" s="27"/>
    </row>
    <row r="39777" spans="1:1">
      <c r="A39777" s="27"/>
    </row>
    <row r="39778" spans="1:1">
      <c r="A39778" s="27"/>
    </row>
    <row r="39779" spans="1:1">
      <c r="A39779" s="27"/>
    </row>
    <row r="39780" spans="1:1">
      <c r="A39780" s="27"/>
    </row>
    <row r="39781" spans="1:1">
      <c r="A39781" s="27"/>
    </row>
    <row r="39782" spans="1:1">
      <c r="A39782" s="27"/>
    </row>
    <row r="39783" spans="1:1">
      <c r="A39783" s="27"/>
    </row>
    <row r="39784" spans="1:1">
      <c r="A39784" s="27"/>
    </row>
    <row r="39785" spans="1:1">
      <c r="A39785" s="27"/>
    </row>
    <row r="39786" spans="1:1">
      <c r="A39786" s="27"/>
    </row>
    <row r="39787" spans="1:1">
      <c r="A39787" s="27"/>
    </row>
    <row r="39788" spans="1:1">
      <c r="A39788" s="27"/>
    </row>
    <row r="39789" spans="1:1">
      <c r="A39789" s="27"/>
    </row>
    <row r="39790" spans="1:1">
      <c r="A39790" s="27"/>
    </row>
    <row r="39791" spans="1:1">
      <c r="A39791" s="27"/>
    </row>
    <row r="39792" spans="1:1">
      <c r="A39792" s="27"/>
    </row>
    <row r="39793" spans="1:1">
      <c r="A39793" s="27"/>
    </row>
    <row r="39794" spans="1:1">
      <c r="A39794" s="27"/>
    </row>
    <row r="39795" spans="1:1">
      <c r="A39795" s="27"/>
    </row>
    <row r="39796" spans="1:1">
      <c r="A39796" s="27"/>
    </row>
    <row r="39797" spans="1:1">
      <c r="A39797" s="27"/>
    </row>
    <row r="39798" spans="1:1">
      <c r="A39798" s="27"/>
    </row>
    <row r="39799" spans="1:1">
      <c r="A39799" s="27"/>
    </row>
    <row r="39800" spans="1:1">
      <c r="A39800" s="27"/>
    </row>
    <row r="39801" spans="1:1">
      <c r="A39801" s="27"/>
    </row>
    <row r="39802" spans="1:1">
      <c r="A39802" s="27"/>
    </row>
    <row r="39803" spans="1:1">
      <c r="A39803" s="27"/>
    </row>
    <row r="39804" spans="1:1">
      <c r="A39804" s="27"/>
    </row>
    <row r="39805" spans="1:1">
      <c r="A39805" s="27"/>
    </row>
    <row r="39806" spans="1:1">
      <c r="A39806" s="27"/>
    </row>
    <row r="39807" spans="1:1">
      <c r="A39807" s="27"/>
    </row>
    <row r="39808" spans="1:1">
      <c r="A39808" s="27"/>
    </row>
    <row r="39809" spans="1:1">
      <c r="A39809" s="27"/>
    </row>
    <row r="39810" spans="1:1">
      <c r="A39810" s="27"/>
    </row>
    <row r="39811" spans="1:1">
      <c r="A39811" s="27"/>
    </row>
    <row r="39812" spans="1:1">
      <c r="A39812" s="27"/>
    </row>
    <row r="39813" spans="1:1">
      <c r="A39813" s="27"/>
    </row>
    <row r="39814" spans="1:1">
      <c r="A39814" s="27"/>
    </row>
    <row r="39815" spans="1:1">
      <c r="A39815" s="27"/>
    </row>
    <row r="39816" spans="1:1">
      <c r="A39816" s="27"/>
    </row>
    <row r="39817" spans="1:1">
      <c r="A39817" s="27"/>
    </row>
    <row r="39818" spans="1:1">
      <c r="A39818" s="27"/>
    </row>
    <row r="39819" spans="1:1">
      <c r="A39819" s="27"/>
    </row>
    <row r="39820" spans="1:1">
      <c r="A39820" s="27"/>
    </row>
    <row r="39821" spans="1:1">
      <c r="A39821" s="27"/>
    </row>
    <row r="39822" spans="1:1">
      <c r="A39822" s="27"/>
    </row>
    <row r="39823" spans="1:1">
      <c r="A39823" s="27"/>
    </row>
    <row r="39824" spans="1:1">
      <c r="A39824" s="27"/>
    </row>
    <row r="39825" spans="1:1">
      <c r="A39825" s="27"/>
    </row>
    <row r="39826" spans="1:1">
      <c r="A39826" s="27"/>
    </row>
    <row r="39827" spans="1:1">
      <c r="A39827" s="27"/>
    </row>
    <row r="39828" spans="1:1">
      <c r="A39828" s="27"/>
    </row>
    <row r="39829" spans="1:1">
      <c r="A39829" s="27"/>
    </row>
    <row r="39830" spans="1:1">
      <c r="A39830" s="27"/>
    </row>
    <row r="39831" spans="1:1">
      <c r="A39831" s="27"/>
    </row>
    <row r="39832" spans="1:1">
      <c r="A39832" s="27"/>
    </row>
    <row r="39833" spans="1:1">
      <c r="A39833" s="27"/>
    </row>
    <row r="39834" spans="1:1">
      <c r="A39834" s="27"/>
    </row>
    <row r="39835" spans="1:1">
      <c r="A39835" s="27"/>
    </row>
    <row r="39836" spans="1:1">
      <c r="A39836" s="27"/>
    </row>
    <row r="39837" spans="1:1">
      <c r="A39837" s="27"/>
    </row>
    <row r="39838" spans="1:1">
      <c r="A39838" s="27"/>
    </row>
    <row r="39839" spans="1:1">
      <c r="A39839" s="27"/>
    </row>
    <row r="39840" spans="1:1">
      <c r="A39840" s="27"/>
    </row>
    <row r="39841" spans="1:1">
      <c r="A39841" s="27"/>
    </row>
    <row r="39842" spans="1:1">
      <c r="A39842" s="27"/>
    </row>
    <row r="39843" spans="1:1">
      <c r="A39843" s="27"/>
    </row>
    <row r="39844" spans="1:1">
      <c r="A39844" s="27"/>
    </row>
    <row r="39845" spans="1:1">
      <c r="A39845" s="27"/>
    </row>
    <row r="39846" spans="1:1">
      <c r="A39846" s="27"/>
    </row>
    <row r="39847" spans="1:1">
      <c r="A39847" s="27"/>
    </row>
    <row r="39848" spans="1:1">
      <c r="A39848" s="27"/>
    </row>
    <row r="39849" spans="1:1">
      <c r="A39849" s="27"/>
    </row>
    <row r="39850" spans="1:1">
      <c r="A39850" s="27"/>
    </row>
    <row r="39851" spans="1:1">
      <c r="A39851" s="27"/>
    </row>
    <row r="39852" spans="1:1">
      <c r="A39852" s="27"/>
    </row>
    <row r="39853" spans="1:1">
      <c r="A39853" s="27"/>
    </row>
    <row r="39854" spans="1:1">
      <c r="A39854" s="27"/>
    </row>
    <row r="39855" spans="1:1">
      <c r="A39855" s="27"/>
    </row>
    <row r="39856" spans="1:1">
      <c r="A39856" s="27"/>
    </row>
    <row r="39857" spans="1:1">
      <c r="A39857" s="27"/>
    </row>
    <row r="39858" spans="1:1">
      <c r="A39858" s="27"/>
    </row>
    <row r="39859" spans="1:1">
      <c r="A39859" s="27"/>
    </row>
    <row r="39860" spans="1:1">
      <c r="A39860" s="27"/>
    </row>
    <row r="39861" spans="1:1">
      <c r="A39861" s="27"/>
    </row>
    <row r="39862" spans="1:1">
      <c r="A39862" s="27"/>
    </row>
    <row r="39863" spans="1:1">
      <c r="A39863" s="27"/>
    </row>
    <row r="39864" spans="1:1">
      <c r="A39864" s="27"/>
    </row>
    <row r="39865" spans="1:1">
      <c r="A39865" s="27"/>
    </row>
    <row r="39866" spans="1:1">
      <c r="A39866" s="27"/>
    </row>
    <row r="39867" spans="1:1">
      <c r="A39867" s="27"/>
    </row>
    <row r="39868" spans="1:1">
      <c r="A39868" s="27"/>
    </row>
    <row r="39869" spans="1:1">
      <c r="A39869" s="27"/>
    </row>
    <row r="39870" spans="1:1">
      <c r="A39870" s="27"/>
    </row>
    <row r="39871" spans="1:1">
      <c r="A39871" s="27"/>
    </row>
    <row r="39872" spans="1:1">
      <c r="A39872" s="27"/>
    </row>
    <row r="39873" spans="1:1">
      <c r="A39873" s="27"/>
    </row>
    <row r="39874" spans="1:1">
      <c r="A39874" s="27"/>
    </row>
    <row r="39875" spans="1:1">
      <c r="A39875" s="27"/>
    </row>
    <row r="39876" spans="1:1">
      <c r="A39876" s="27"/>
    </row>
    <row r="39877" spans="1:1">
      <c r="A39877" s="27"/>
    </row>
    <row r="39878" spans="1:1">
      <c r="A39878" s="27"/>
    </row>
    <row r="39879" spans="1:1">
      <c r="A39879" s="27"/>
    </row>
    <row r="39880" spans="1:1">
      <c r="A39880" s="27"/>
    </row>
    <row r="39881" spans="1:1">
      <c r="A39881" s="27"/>
    </row>
    <row r="39882" spans="1:1">
      <c r="A39882" s="27"/>
    </row>
    <row r="39883" spans="1:1">
      <c r="A39883" s="27"/>
    </row>
    <row r="39884" spans="1:1">
      <c r="A39884" s="27"/>
    </row>
    <row r="39885" spans="1:1">
      <c r="A39885" s="27"/>
    </row>
    <row r="39886" spans="1:1">
      <c r="A39886" s="27"/>
    </row>
    <row r="39887" spans="1:1">
      <c r="A39887" s="27"/>
    </row>
    <row r="39888" spans="1:1">
      <c r="A39888" s="27"/>
    </row>
    <row r="39889" spans="1:1">
      <c r="A39889" s="27"/>
    </row>
    <row r="39890" spans="1:1">
      <c r="A39890" s="27"/>
    </row>
    <row r="39891" spans="1:1">
      <c r="A39891" s="27"/>
    </row>
    <row r="39892" spans="1:1">
      <c r="A39892" s="27"/>
    </row>
    <row r="39893" spans="1:1">
      <c r="A39893" s="27"/>
    </row>
    <row r="39894" spans="1:1">
      <c r="A39894" s="27"/>
    </row>
    <row r="39895" spans="1:1">
      <c r="A39895" s="27"/>
    </row>
    <row r="39896" spans="1:1">
      <c r="A39896" s="27"/>
    </row>
    <row r="39897" spans="1:1">
      <c r="A39897" s="27"/>
    </row>
    <row r="39898" spans="1:1">
      <c r="A39898" s="27"/>
    </row>
    <row r="39899" spans="1:1">
      <c r="A39899" s="27"/>
    </row>
    <row r="39900" spans="1:1">
      <c r="A39900" s="27"/>
    </row>
    <row r="39901" spans="1:1">
      <c r="A39901" s="27"/>
    </row>
    <row r="39902" spans="1:1">
      <c r="A39902" s="27"/>
    </row>
    <row r="39903" spans="1:1">
      <c r="A39903" s="27"/>
    </row>
    <row r="39904" spans="1:1">
      <c r="A39904" s="27"/>
    </row>
    <row r="39905" spans="1:1">
      <c r="A39905" s="27"/>
    </row>
    <row r="39906" spans="1:1">
      <c r="A39906" s="27"/>
    </row>
    <row r="39907" spans="1:1">
      <c r="A39907" s="27"/>
    </row>
    <row r="39908" spans="1:1">
      <c r="A39908" s="27"/>
    </row>
    <row r="39909" spans="1:1">
      <c r="A39909" s="27"/>
    </row>
    <row r="39910" spans="1:1">
      <c r="A39910" s="27"/>
    </row>
    <row r="39911" spans="1:1">
      <c r="A39911" s="27"/>
    </row>
    <row r="39912" spans="1:1">
      <c r="A39912" s="27"/>
    </row>
    <row r="39913" spans="1:1">
      <c r="A39913" s="27"/>
    </row>
    <row r="39914" spans="1:1">
      <c r="A39914" s="27"/>
    </row>
    <row r="39915" spans="1:1">
      <c r="A39915" s="27"/>
    </row>
    <row r="39916" spans="1:1">
      <c r="A39916" s="27"/>
    </row>
    <row r="39917" spans="1:1">
      <c r="A39917" s="27"/>
    </row>
    <row r="39918" spans="1:1">
      <c r="A39918" s="27"/>
    </row>
    <row r="39919" spans="1:1">
      <c r="A39919" s="27"/>
    </row>
    <row r="39920" spans="1:1">
      <c r="A39920" s="27"/>
    </row>
    <row r="39921" spans="1:1">
      <c r="A39921" s="27"/>
    </row>
    <row r="39922" spans="1:1">
      <c r="A39922" s="27"/>
    </row>
    <row r="39923" spans="1:1">
      <c r="A39923" s="27"/>
    </row>
    <row r="39924" spans="1:1">
      <c r="A39924" s="27"/>
    </row>
    <row r="39925" spans="1:1">
      <c r="A39925" s="27"/>
    </row>
    <row r="39926" spans="1:1">
      <c r="A39926" s="27"/>
    </row>
    <row r="39927" spans="1:1">
      <c r="A39927" s="27"/>
    </row>
    <row r="39928" spans="1:1">
      <c r="A39928" s="27"/>
    </row>
    <row r="39929" spans="1:1">
      <c r="A39929" s="27"/>
    </row>
    <row r="39930" spans="1:1">
      <c r="A39930" s="27"/>
    </row>
    <row r="39931" spans="1:1">
      <c r="A39931" s="27"/>
    </row>
    <row r="39932" spans="1:1">
      <c r="A39932" s="27"/>
    </row>
    <row r="39933" spans="1:1">
      <c r="A39933" s="27"/>
    </row>
    <row r="39934" spans="1:1">
      <c r="A39934" s="27"/>
    </row>
    <row r="39935" spans="1:1">
      <c r="A39935" s="27"/>
    </row>
    <row r="39936" spans="1:1">
      <c r="A39936" s="27"/>
    </row>
    <row r="39937" spans="1:1">
      <c r="A39937" s="27"/>
    </row>
    <row r="39938" spans="1:1">
      <c r="A39938" s="27"/>
    </row>
    <row r="39939" spans="1:1">
      <c r="A39939" s="27"/>
    </row>
    <row r="39940" spans="1:1">
      <c r="A39940" s="27"/>
    </row>
    <row r="39941" spans="1:1">
      <c r="A39941" s="27"/>
    </row>
    <row r="39942" spans="1:1">
      <c r="A39942" s="27"/>
    </row>
    <row r="39943" spans="1:1">
      <c r="A39943" s="27"/>
    </row>
    <row r="39944" spans="1:1">
      <c r="A39944" s="27"/>
    </row>
    <row r="39945" spans="1:1">
      <c r="A39945" s="27"/>
    </row>
    <row r="39946" spans="1:1">
      <c r="A39946" s="27"/>
    </row>
    <row r="39947" spans="1:1">
      <c r="A39947" s="27"/>
    </row>
    <row r="39948" spans="1:1">
      <c r="A39948" s="27"/>
    </row>
    <row r="39949" spans="1:1">
      <c r="A39949" s="27"/>
    </row>
    <row r="39950" spans="1:1">
      <c r="A39950" s="27"/>
    </row>
    <row r="39951" spans="1:1">
      <c r="A39951" s="27"/>
    </row>
    <row r="39952" spans="1:1">
      <c r="A39952" s="27"/>
    </row>
    <row r="39953" spans="1:1">
      <c r="A39953" s="27"/>
    </row>
    <row r="39954" spans="1:1">
      <c r="A39954" s="27"/>
    </row>
    <row r="39955" spans="1:1">
      <c r="A39955" s="27"/>
    </row>
    <row r="39956" spans="1:1">
      <c r="A39956" s="27"/>
    </row>
    <row r="39957" spans="1:1">
      <c r="A39957" s="27"/>
    </row>
    <row r="39958" spans="1:1">
      <c r="A39958" s="27"/>
    </row>
    <row r="39959" spans="1:1">
      <c r="A39959" s="27"/>
    </row>
    <row r="39960" spans="1:1">
      <c r="A39960" s="27"/>
    </row>
    <row r="39961" spans="1:1">
      <c r="A39961" s="27"/>
    </row>
    <row r="39962" spans="1:1">
      <c r="A39962" s="27"/>
    </row>
    <row r="39963" spans="1:1">
      <c r="A39963" s="27"/>
    </row>
    <row r="39964" spans="1:1">
      <c r="A39964" s="27"/>
    </row>
    <row r="39965" spans="1:1">
      <c r="A39965" s="27"/>
    </row>
    <row r="39966" spans="1:1">
      <c r="A39966" s="27"/>
    </row>
    <row r="39967" spans="1:1">
      <c r="A39967" s="27"/>
    </row>
    <row r="39968" spans="1:1">
      <c r="A39968" s="27"/>
    </row>
    <row r="39969" spans="1:1">
      <c r="A39969" s="27"/>
    </row>
    <row r="39970" spans="1:1">
      <c r="A39970" s="27"/>
    </row>
    <row r="39971" spans="1:1">
      <c r="A39971" s="27"/>
    </row>
    <row r="39972" spans="1:1">
      <c r="A39972" s="27"/>
    </row>
    <row r="39973" spans="1:1">
      <c r="A39973" s="27"/>
    </row>
    <row r="39974" spans="1:1">
      <c r="A39974" s="27"/>
    </row>
    <row r="39975" spans="1:1">
      <c r="A39975" s="27"/>
    </row>
    <row r="39976" spans="1:1">
      <c r="A39976" s="27"/>
    </row>
    <row r="39977" spans="1:1">
      <c r="A39977" s="27"/>
    </row>
    <row r="39978" spans="1:1">
      <c r="A39978" s="27"/>
    </row>
    <row r="39979" spans="1:1">
      <c r="A39979" s="27"/>
    </row>
    <row r="39980" spans="1:1">
      <c r="A39980" s="27"/>
    </row>
    <row r="39981" spans="1:1">
      <c r="A39981" s="27"/>
    </row>
    <row r="39982" spans="1:1">
      <c r="A39982" s="27"/>
    </row>
    <row r="39983" spans="1:1">
      <c r="A39983" s="27"/>
    </row>
    <row r="39984" spans="1:1">
      <c r="A39984" s="27"/>
    </row>
    <row r="39985" spans="1:1">
      <c r="A39985" s="27"/>
    </row>
    <row r="39986" spans="1:1">
      <c r="A39986" s="27"/>
    </row>
    <row r="39987" spans="1:1">
      <c r="A39987" s="27"/>
    </row>
    <row r="39988" spans="1:1">
      <c r="A39988" s="27"/>
    </row>
    <row r="39989" spans="1:1">
      <c r="A39989" s="27"/>
    </row>
    <row r="39990" spans="1:1">
      <c r="A39990" s="27"/>
    </row>
    <row r="39991" spans="1:1">
      <c r="A39991" s="27"/>
    </row>
    <row r="39992" spans="1:1">
      <c r="A39992" s="27"/>
    </row>
    <row r="39993" spans="1:1">
      <c r="A39993" s="27"/>
    </row>
    <row r="39994" spans="1:1">
      <c r="A39994" s="27"/>
    </row>
    <row r="39995" spans="1:1">
      <c r="A39995" s="27"/>
    </row>
    <row r="39996" spans="1:1">
      <c r="A39996" s="27"/>
    </row>
    <row r="39997" spans="1:1">
      <c r="A39997" s="27"/>
    </row>
    <row r="39998" spans="1:1">
      <c r="A39998" s="27"/>
    </row>
    <row r="39999" spans="1:1">
      <c r="A39999" s="27"/>
    </row>
    <row r="40000" spans="1:1">
      <c r="A40000" s="27"/>
    </row>
    <row r="40001" spans="1:1">
      <c r="A40001" s="27"/>
    </row>
    <row r="40002" spans="1:1">
      <c r="A40002" s="27"/>
    </row>
    <row r="40003" spans="1:1">
      <c r="A40003" s="27"/>
    </row>
    <row r="40004" spans="1:1">
      <c r="A40004" s="27"/>
    </row>
    <row r="40005" spans="1:1">
      <c r="A40005" s="27"/>
    </row>
    <row r="40006" spans="1:1">
      <c r="A40006" s="27"/>
    </row>
    <row r="40007" spans="1:1">
      <c r="A40007" s="27"/>
    </row>
    <row r="40008" spans="1:1">
      <c r="A40008" s="27"/>
    </row>
    <row r="40009" spans="1:1">
      <c r="A40009" s="27"/>
    </row>
    <row r="40010" spans="1:1">
      <c r="A40010" s="27"/>
    </row>
    <row r="40011" spans="1:1">
      <c r="A40011" s="27"/>
    </row>
    <row r="40012" spans="1:1">
      <c r="A40012" s="27"/>
    </row>
    <row r="40013" spans="1:1">
      <c r="A40013" s="27"/>
    </row>
    <row r="40014" spans="1:1">
      <c r="A40014" s="27"/>
    </row>
    <row r="40015" spans="1:1">
      <c r="A40015" s="27"/>
    </row>
    <row r="40016" spans="1:1">
      <c r="A40016" s="27"/>
    </row>
    <row r="40017" spans="1:1">
      <c r="A40017" s="27"/>
    </row>
    <row r="40018" spans="1:1">
      <c r="A40018" s="27"/>
    </row>
    <row r="40019" spans="1:1">
      <c r="A40019" s="27"/>
    </row>
    <row r="40020" spans="1:1">
      <c r="A40020" s="27"/>
    </row>
    <row r="40021" spans="1:1">
      <c r="A40021" s="27"/>
    </row>
    <row r="40022" spans="1:1">
      <c r="A40022" s="27"/>
    </row>
    <row r="40023" spans="1:1">
      <c r="A40023" s="27"/>
    </row>
    <row r="40024" spans="1:1">
      <c r="A40024" s="27"/>
    </row>
    <row r="40025" spans="1:1">
      <c r="A40025" s="27"/>
    </row>
    <row r="40026" spans="1:1">
      <c r="A40026" s="27"/>
    </row>
    <row r="40027" spans="1:1">
      <c r="A40027" s="27"/>
    </row>
    <row r="40028" spans="1:1">
      <c r="A40028" s="27"/>
    </row>
    <row r="40029" spans="1:1">
      <c r="A40029" s="27"/>
    </row>
    <row r="40030" spans="1:1">
      <c r="A40030" s="27"/>
    </row>
    <row r="40031" spans="1:1">
      <c r="A40031" s="27"/>
    </row>
    <row r="40032" spans="1:1">
      <c r="A40032" s="27"/>
    </row>
    <row r="40033" spans="1:1">
      <c r="A40033" s="27"/>
    </row>
    <row r="40034" spans="1:1">
      <c r="A40034" s="27"/>
    </row>
    <row r="40035" spans="1:1">
      <c r="A40035" s="27"/>
    </row>
    <row r="40036" spans="1:1">
      <c r="A40036" s="27"/>
    </row>
    <row r="40037" spans="1:1">
      <c r="A40037" s="27"/>
    </row>
    <row r="40038" spans="1:1">
      <c r="A40038" s="27"/>
    </row>
    <row r="40039" spans="1:1">
      <c r="A40039" s="27"/>
    </row>
    <row r="40040" spans="1:1">
      <c r="A40040" s="27"/>
    </row>
    <row r="40041" spans="1:1">
      <c r="A40041" s="27"/>
    </row>
    <row r="40042" spans="1:1">
      <c r="A40042" s="27"/>
    </row>
    <row r="40043" spans="1:1">
      <c r="A40043" s="27"/>
    </row>
    <row r="40044" spans="1:1">
      <c r="A40044" s="27"/>
    </row>
    <row r="40045" spans="1:1">
      <c r="A40045" s="27"/>
    </row>
    <row r="40046" spans="1:1">
      <c r="A40046" s="27"/>
    </row>
    <row r="40047" spans="1:1">
      <c r="A40047" s="27"/>
    </row>
    <row r="40048" spans="1:1">
      <c r="A40048" s="27"/>
    </row>
    <row r="40049" spans="1:1">
      <c r="A40049" s="27"/>
    </row>
    <row r="40050" spans="1:1">
      <c r="A40050" s="27"/>
    </row>
    <row r="40051" spans="1:1">
      <c r="A40051" s="27"/>
    </row>
    <row r="40052" spans="1:1">
      <c r="A40052" s="27"/>
    </row>
    <row r="40053" spans="1:1">
      <c r="A40053" s="27"/>
    </row>
    <row r="40054" spans="1:1">
      <c r="A40054" s="27"/>
    </row>
    <row r="40055" spans="1:1">
      <c r="A40055" s="27"/>
    </row>
    <row r="40056" spans="1:1">
      <c r="A40056" s="27"/>
    </row>
    <row r="40057" spans="1:1">
      <c r="A40057" s="27"/>
    </row>
    <row r="40058" spans="1:1">
      <c r="A40058" s="27"/>
    </row>
    <row r="40059" spans="1:1">
      <c r="A40059" s="27"/>
    </row>
    <row r="40060" spans="1:1">
      <c r="A40060" s="27"/>
    </row>
    <row r="40061" spans="1:1">
      <c r="A40061" s="27"/>
    </row>
    <row r="40062" spans="1:1">
      <c r="A40062" s="27"/>
    </row>
    <row r="40063" spans="1:1">
      <c r="A40063" s="27"/>
    </row>
    <row r="40064" spans="1:1">
      <c r="A40064" s="27"/>
    </row>
    <row r="40065" spans="1:1">
      <c r="A40065" s="27"/>
    </row>
    <row r="40066" spans="1:1">
      <c r="A40066" s="27"/>
    </row>
    <row r="40067" spans="1:1">
      <c r="A40067" s="27"/>
    </row>
    <row r="40068" spans="1:1">
      <c r="A40068" s="27"/>
    </row>
    <row r="40069" spans="1:1">
      <c r="A40069" s="27"/>
    </row>
    <row r="40070" spans="1:1">
      <c r="A40070" s="27"/>
    </row>
    <row r="40071" spans="1:1">
      <c r="A40071" s="27"/>
    </row>
    <row r="40072" spans="1:1">
      <c r="A40072" s="27"/>
    </row>
    <row r="40073" spans="1:1">
      <c r="A40073" s="27"/>
    </row>
    <row r="40074" spans="1:1">
      <c r="A40074" s="27"/>
    </row>
    <row r="40075" spans="1:1">
      <c r="A40075" s="27"/>
    </row>
    <row r="40076" spans="1:1">
      <c r="A40076" s="27"/>
    </row>
    <row r="40077" spans="1:1">
      <c r="A40077" s="27"/>
    </row>
    <row r="40078" spans="1:1">
      <c r="A40078" s="27"/>
    </row>
    <row r="40079" spans="1:1">
      <c r="A40079" s="27"/>
    </row>
    <row r="40080" spans="1:1">
      <c r="A40080" s="27"/>
    </row>
    <row r="40081" spans="1:1">
      <c r="A40081" s="27"/>
    </row>
    <row r="40082" spans="1:1">
      <c r="A40082" s="27"/>
    </row>
    <row r="40083" spans="1:1">
      <c r="A40083" s="27"/>
    </row>
    <row r="40084" spans="1:1">
      <c r="A40084" s="27"/>
    </row>
    <row r="40085" spans="1:1">
      <c r="A40085" s="27"/>
    </row>
    <row r="40086" spans="1:1">
      <c r="A40086" s="27"/>
    </row>
    <row r="40087" spans="1:1">
      <c r="A40087" s="27"/>
    </row>
    <row r="40088" spans="1:1">
      <c r="A40088" s="27"/>
    </row>
    <row r="40089" spans="1:1">
      <c r="A40089" s="27"/>
    </row>
    <row r="40090" spans="1:1">
      <c r="A40090" s="27"/>
    </row>
    <row r="40091" spans="1:1">
      <c r="A40091" s="27"/>
    </row>
    <row r="40092" spans="1:1">
      <c r="A40092" s="27"/>
    </row>
    <row r="40093" spans="1:1">
      <c r="A40093" s="27"/>
    </row>
    <row r="40094" spans="1:1">
      <c r="A40094" s="27"/>
    </row>
    <row r="40095" spans="1:1">
      <c r="A40095" s="27"/>
    </row>
    <row r="40096" spans="1:1">
      <c r="A40096" s="27"/>
    </row>
    <row r="40097" spans="1:1">
      <c r="A40097" s="27"/>
    </row>
    <row r="40098" spans="1:1">
      <c r="A40098" s="27"/>
    </row>
    <row r="40099" spans="1:1">
      <c r="A40099" s="27"/>
    </row>
    <row r="40100" spans="1:1">
      <c r="A40100" s="27"/>
    </row>
    <row r="40101" spans="1:1">
      <c r="A40101" s="27"/>
    </row>
    <row r="40102" spans="1:1">
      <c r="A40102" s="27"/>
    </row>
    <row r="40103" spans="1:1">
      <c r="A40103" s="27"/>
    </row>
    <row r="40104" spans="1:1">
      <c r="A40104" s="27"/>
    </row>
    <row r="40105" spans="1:1">
      <c r="A40105" s="27"/>
    </row>
    <row r="40106" spans="1:1">
      <c r="A40106" s="27"/>
    </row>
    <row r="40107" spans="1:1">
      <c r="A40107" s="27"/>
    </row>
    <row r="40108" spans="1:1">
      <c r="A40108" s="27"/>
    </row>
    <row r="40109" spans="1:1">
      <c r="A40109" s="27"/>
    </row>
    <row r="40110" spans="1:1">
      <c r="A40110" s="27"/>
    </row>
    <row r="40111" spans="1:1">
      <c r="A40111" s="27"/>
    </row>
    <row r="40112" spans="1:1">
      <c r="A40112" s="27"/>
    </row>
    <row r="40113" spans="1:1">
      <c r="A40113" s="27"/>
    </row>
    <row r="40114" spans="1:1">
      <c r="A40114" s="27"/>
    </row>
    <row r="40115" spans="1:1">
      <c r="A40115" s="27"/>
    </row>
    <row r="40116" spans="1:1">
      <c r="A40116" s="27"/>
    </row>
    <row r="40117" spans="1:1">
      <c r="A40117" s="27"/>
    </row>
    <row r="40118" spans="1:1">
      <c r="A40118" s="27"/>
    </row>
    <row r="40119" spans="1:1">
      <c r="A40119" s="27"/>
    </row>
    <row r="40120" spans="1:1">
      <c r="A40120" s="27"/>
    </row>
    <row r="40121" spans="1:1">
      <c r="A40121" s="27"/>
    </row>
    <row r="40122" spans="1:1">
      <c r="A40122" s="27"/>
    </row>
    <row r="40123" spans="1:1">
      <c r="A40123" s="27"/>
    </row>
    <row r="40124" spans="1:1">
      <c r="A40124" s="27"/>
    </row>
    <row r="40125" spans="1:1">
      <c r="A40125" s="27"/>
    </row>
    <row r="40126" spans="1:1">
      <c r="A40126" s="27"/>
    </row>
    <row r="40127" spans="1:1">
      <c r="A40127" s="27"/>
    </row>
    <row r="40128" spans="1:1">
      <c r="A40128" s="27"/>
    </row>
    <row r="40129" spans="1:1">
      <c r="A40129" s="27"/>
    </row>
    <row r="40130" spans="1:1">
      <c r="A40130" s="27"/>
    </row>
    <row r="40131" spans="1:1">
      <c r="A40131" s="27"/>
    </row>
    <row r="40132" spans="1:1">
      <c r="A40132" s="27"/>
    </row>
    <row r="40133" spans="1:1">
      <c r="A40133" s="27"/>
    </row>
    <row r="40134" spans="1:1">
      <c r="A40134" s="27"/>
    </row>
    <row r="40135" spans="1:1">
      <c r="A40135" s="27"/>
    </row>
    <row r="40136" spans="1:1">
      <c r="A40136" s="27"/>
    </row>
    <row r="40137" spans="1:1">
      <c r="A40137" s="27"/>
    </row>
    <row r="40138" spans="1:1">
      <c r="A40138" s="27"/>
    </row>
    <row r="40139" spans="1:1">
      <c r="A40139" s="27"/>
    </row>
    <row r="40140" spans="1:1">
      <c r="A40140" s="27"/>
    </row>
    <row r="40141" spans="1:1">
      <c r="A40141" s="27"/>
    </row>
    <row r="40142" spans="1:1">
      <c r="A40142" s="27"/>
    </row>
    <row r="40143" spans="1:1">
      <c r="A40143" s="27"/>
    </row>
    <row r="40144" spans="1:1">
      <c r="A40144" s="27"/>
    </row>
    <row r="40145" spans="1:1">
      <c r="A40145" s="27"/>
    </row>
    <row r="40146" spans="1:1">
      <c r="A40146" s="27"/>
    </row>
    <row r="40147" spans="1:1">
      <c r="A40147" s="27"/>
    </row>
    <row r="40148" spans="1:1">
      <c r="A40148" s="27"/>
    </row>
    <row r="40149" spans="1:1">
      <c r="A40149" s="27"/>
    </row>
    <row r="40150" spans="1:1">
      <c r="A40150" s="27"/>
    </row>
    <row r="40151" spans="1:1">
      <c r="A40151" s="27"/>
    </row>
    <row r="40152" spans="1:1">
      <c r="A40152" s="27"/>
    </row>
    <row r="40153" spans="1:1">
      <c r="A40153" s="27"/>
    </row>
    <row r="40154" spans="1:1">
      <c r="A40154" s="27"/>
    </row>
    <row r="40155" spans="1:1">
      <c r="A40155" s="27"/>
    </row>
    <row r="40156" spans="1:1">
      <c r="A40156" s="27"/>
    </row>
    <row r="40157" spans="1:1">
      <c r="A40157" s="27"/>
    </row>
    <row r="40158" spans="1:1">
      <c r="A40158" s="27"/>
    </row>
    <row r="40159" spans="1:1">
      <c r="A40159" s="27"/>
    </row>
    <row r="40160" spans="1:1">
      <c r="A40160" s="27"/>
    </row>
    <row r="40161" spans="1:1">
      <c r="A40161" s="27"/>
    </row>
    <row r="40162" spans="1:1">
      <c r="A40162" s="27"/>
    </row>
    <row r="40163" spans="1:1">
      <c r="A40163" s="27"/>
    </row>
    <row r="40164" spans="1:1">
      <c r="A40164" s="27"/>
    </row>
    <row r="40165" spans="1:1">
      <c r="A40165" s="27"/>
    </row>
    <row r="40166" spans="1:1">
      <c r="A40166" s="27"/>
    </row>
    <row r="40167" spans="1:1">
      <c r="A40167" s="27"/>
    </row>
    <row r="40168" spans="1:1">
      <c r="A40168" s="27"/>
    </row>
    <row r="40169" spans="1:1">
      <c r="A40169" s="27"/>
    </row>
    <row r="40170" spans="1:1">
      <c r="A40170" s="27"/>
    </row>
    <row r="40171" spans="1:1">
      <c r="A40171" s="27"/>
    </row>
    <row r="40172" spans="1:1">
      <c r="A40172" s="27"/>
    </row>
    <row r="40173" spans="1:1">
      <c r="A40173" s="27"/>
    </row>
    <row r="40174" spans="1:1">
      <c r="A40174" s="27"/>
    </row>
    <row r="40175" spans="1:1">
      <c r="A40175" s="27"/>
    </row>
    <row r="40176" spans="1:1">
      <c r="A40176" s="27"/>
    </row>
    <row r="40177" spans="1:1">
      <c r="A40177" s="27"/>
    </row>
    <row r="40178" spans="1:1">
      <c r="A40178" s="27"/>
    </row>
    <row r="40179" spans="1:1">
      <c r="A40179" s="27"/>
    </row>
    <row r="40180" spans="1:1">
      <c r="A40180" s="27"/>
    </row>
    <row r="40181" spans="1:1">
      <c r="A40181" s="27"/>
    </row>
    <row r="40182" spans="1:1">
      <c r="A40182" s="27"/>
    </row>
    <row r="40183" spans="1:1">
      <c r="A40183" s="27"/>
    </row>
    <row r="40184" spans="1:1">
      <c r="A40184" s="27"/>
    </row>
    <row r="40185" spans="1:1">
      <c r="A40185" s="27"/>
    </row>
    <row r="40186" spans="1:1">
      <c r="A40186" s="27"/>
    </row>
    <row r="40187" spans="1:1">
      <c r="A40187" s="27"/>
    </row>
    <row r="40188" spans="1:1">
      <c r="A40188" s="27"/>
    </row>
    <row r="40189" spans="1:1">
      <c r="A40189" s="27"/>
    </row>
    <row r="40190" spans="1:1">
      <c r="A40190" s="27"/>
    </row>
    <row r="40191" spans="1:1">
      <c r="A40191" s="27"/>
    </row>
    <row r="40192" spans="1:1">
      <c r="A40192" s="27"/>
    </row>
    <row r="40193" spans="1:1">
      <c r="A40193" s="27"/>
    </row>
    <row r="40194" spans="1:1">
      <c r="A40194" s="27"/>
    </row>
    <row r="40195" spans="1:1">
      <c r="A40195" s="27"/>
    </row>
    <row r="40196" spans="1:1">
      <c r="A40196" s="27"/>
    </row>
    <row r="40197" spans="1:1">
      <c r="A40197" s="27"/>
    </row>
    <row r="40198" spans="1:1">
      <c r="A40198" s="27"/>
    </row>
    <row r="40199" spans="1:1">
      <c r="A40199" s="27"/>
    </row>
    <row r="40200" spans="1:1">
      <c r="A40200" s="27"/>
    </row>
    <row r="40201" spans="1:1">
      <c r="A40201" s="27"/>
    </row>
    <row r="40202" spans="1:1">
      <c r="A40202" s="27"/>
    </row>
    <row r="40203" spans="1:1">
      <c r="A40203" s="27"/>
    </row>
    <row r="40204" spans="1:1">
      <c r="A40204" s="27"/>
    </row>
    <row r="40205" spans="1:1">
      <c r="A40205" s="27"/>
    </row>
    <row r="40206" spans="1:1">
      <c r="A40206" s="27"/>
    </row>
    <row r="40207" spans="1:1">
      <c r="A40207" s="27"/>
    </row>
    <row r="40208" spans="1:1">
      <c r="A40208" s="27"/>
    </row>
    <row r="40209" spans="1:1">
      <c r="A40209" s="27"/>
    </row>
    <row r="40210" spans="1:1">
      <c r="A40210" s="27"/>
    </row>
    <row r="40211" spans="1:1">
      <c r="A40211" s="27"/>
    </row>
    <row r="40212" spans="1:1">
      <c r="A40212" s="27"/>
    </row>
    <row r="40213" spans="1:1">
      <c r="A40213" s="27"/>
    </row>
    <row r="40214" spans="1:1">
      <c r="A40214" s="27"/>
    </row>
    <row r="40215" spans="1:1">
      <c r="A40215" s="27"/>
    </row>
    <row r="40216" spans="1:1">
      <c r="A40216" s="27"/>
    </row>
    <row r="40217" spans="1:1">
      <c r="A40217" s="27"/>
    </row>
    <row r="40218" spans="1:1">
      <c r="A40218" s="27"/>
    </row>
    <row r="40219" spans="1:1">
      <c r="A40219" s="27"/>
    </row>
    <row r="40220" spans="1:1">
      <c r="A40220" s="27"/>
    </row>
    <row r="40221" spans="1:1">
      <c r="A40221" s="27"/>
    </row>
    <row r="40222" spans="1:1">
      <c r="A40222" s="27"/>
    </row>
    <row r="40223" spans="1:1">
      <c r="A40223" s="27"/>
    </row>
    <row r="40224" spans="1:1">
      <c r="A40224" s="27"/>
    </row>
    <row r="40225" spans="1:1">
      <c r="A40225" s="27"/>
    </row>
    <row r="40226" spans="1:1">
      <c r="A40226" s="27"/>
    </row>
    <row r="40227" spans="1:1">
      <c r="A40227" s="27"/>
    </row>
    <row r="40228" spans="1:1">
      <c r="A40228" s="27"/>
    </row>
    <row r="40229" spans="1:1">
      <c r="A40229" s="27"/>
    </row>
    <row r="40230" spans="1:1">
      <c r="A40230" s="27"/>
    </row>
    <row r="40231" spans="1:1">
      <c r="A40231" s="27"/>
    </row>
    <row r="40232" spans="1:1">
      <c r="A40232" s="27"/>
    </row>
    <row r="40233" spans="1:1">
      <c r="A40233" s="27"/>
    </row>
    <row r="40234" spans="1:1">
      <c r="A40234" s="27"/>
    </row>
    <row r="40235" spans="1:1">
      <c r="A40235" s="27"/>
    </row>
    <row r="40236" spans="1:1">
      <c r="A40236" s="27"/>
    </row>
    <row r="40237" spans="1:1">
      <c r="A40237" s="27"/>
    </row>
    <row r="40238" spans="1:1">
      <c r="A40238" s="27"/>
    </row>
    <row r="40239" spans="1:1">
      <c r="A40239" s="27"/>
    </row>
    <row r="40240" spans="1:1">
      <c r="A40240" s="27"/>
    </row>
    <row r="40241" spans="1:1">
      <c r="A40241" s="27"/>
    </row>
    <row r="40242" spans="1:1">
      <c r="A40242" s="27"/>
    </row>
    <row r="40243" spans="1:1">
      <c r="A40243" s="27"/>
    </row>
    <row r="40244" spans="1:1">
      <c r="A40244" s="27"/>
    </row>
    <row r="40245" spans="1:1">
      <c r="A40245" s="27"/>
    </row>
    <row r="40246" spans="1:1">
      <c r="A40246" s="27"/>
    </row>
    <row r="40247" spans="1:1">
      <c r="A40247" s="27"/>
    </row>
    <row r="40248" spans="1:1">
      <c r="A40248" s="27"/>
    </row>
    <row r="40249" spans="1:1">
      <c r="A40249" s="27"/>
    </row>
    <row r="40250" spans="1:1">
      <c r="A40250" s="27"/>
    </row>
    <row r="40251" spans="1:1">
      <c r="A40251" s="27"/>
    </row>
    <row r="40252" spans="1:1">
      <c r="A40252" s="27"/>
    </row>
    <row r="40253" spans="1:1">
      <c r="A40253" s="27"/>
    </row>
    <row r="40254" spans="1:1">
      <c r="A40254" s="27"/>
    </row>
    <row r="40255" spans="1:1">
      <c r="A40255" s="27"/>
    </row>
    <row r="40256" spans="1:1">
      <c r="A40256" s="27"/>
    </row>
    <row r="40257" spans="1:1">
      <c r="A40257" s="27"/>
    </row>
    <row r="40258" spans="1:1">
      <c r="A40258" s="27"/>
    </row>
    <row r="40259" spans="1:1">
      <c r="A40259" s="27"/>
    </row>
    <row r="40260" spans="1:1">
      <c r="A40260" s="27"/>
    </row>
    <row r="40261" spans="1:1">
      <c r="A40261" s="27"/>
    </row>
    <row r="40262" spans="1:1">
      <c r="A40262" s="27"/>
    </row>
    <row r="40263" spans="1:1">
      <c r="A40263" s="27"/>
    </row>
    <row r="40264" spans="1:1">
      <c r="A40264" s="27"/>
    </row>
    <row r="40265" spans="1:1">
      <c r="A40265" s="27"/>
    </row>
    <row r="40266" spans="1:1">
      <c r="A40266" s="27"/>
    </row>
    <row r="40267" spans="1:1">
      <c r="A40267" s="27"/>
    </row>
    <row r="40268" spans="1:1">
      <c r="A40268" s="27"/>
    </row>
    <row r="40269" spans="1:1">
      <c r="A40269" s="27"/>
    </row>
    <row r="40270" spans="1:1">
      <c r="A40270" s="27"/>
    </row>
    <row r="40271" spans="1:1">
      <c r="A40271" s="27"/>
    </row>
    <row r="40272" spans="1:1">
      <c r="A40272" s="27"/>
    </row>
    <row r="40273" spans="1:1">
      <c r="A40273" s="27"/>
    </row>
    <row r="40274" spans="1:1">
      <c r="A40274" s="27"/>
    </row>
    <row r="40275" spans="1:1">
      <c r="A40275" s="27"/>
    </row>
    <row r="40276" spans="1:1">
      <c r="A40276" s="27"/>
    </row>
    <row r="40277" spans="1:1">
      <c r="A40277" s="27"/>
    </row>
    <row r="40278" spans="1:1">
      <c r="A40278" s="27"/>
    </row>
    <row r="40279" spans="1:1">
      <c r="A40279" s="27"/>
    </row>
    <row r="40280" spans="1:1">
      <c r="A40280" s="27"/>
    </row>
    <row r="40281" spans="1:1">
      <c r="A40281" s="27"/>
    </row>
    <row r="40282" spans="1:1">
      <c r="A40282" s="27"/>
    </row>
    <row r="40283" spans="1:1">
      <c r="A40283" s="27"/>
    </row>
    <row r="40284" spans="1:1">
      <c r="A40284" s="27"/>
    </row>
    <row r="40285" spans="1:1">
      <c r="A40285" s="27"/>
    </row>
    <row r="40286" spans="1:1">
      <c r="A40286" s="27"/>
    </row>
    <row r="40287" spans="1:1">
      <c r="A40287" s="27"/>
    </row>
    <row r="40288" spans="1:1">
      <c r="A40288" s="27"/>
    </row>
    <row r="40289" spans="1:1">
      <c r="A40289" s="27"/>
    </row>
    <row r="40290" spans="1:1">
      <c r="A40290" s="27"/>
    </row>
    <row r="40291" spans="1:1">
      <c r="A40291" s="27"/>
    </row>
    <row r="40292" spans="1:1">
      <c r="A40292" s="27"/>
    </row>
    <row r="40293" spans="1:1">
      <c r="A40293" s="27"/>
    </row>
    <row r="40294" spans="1:1">
      <c r="A40294" s="27"/>
    </row>
    <row r="40295" spans="1:1">
      <c r="A40295" s="27"/>
    </row>
    <row r="40296" spans="1:1">
      <c r="A40296" s="27"/>
    </row>
    <row r="40297" spans="1:1">
      <c r="A40297" s="27"/>
    </row>
    <row r="40298" spans="1:1">
      <c r="A40298" s="27"/>
    </row>
    <row r="40299" spans="1:1">
      <c r="A40299" s="27"/>
    </row>
    <row r="40300" spans="1:1">
      <c r="A40300" s="27"/>
    </row>
    <row r="40301" spans="1:1">
      <c r="A40301" s="27"/>
    </row>
    <row r="40302" spans="1:1">
      <c r="A40302" s="27"/>
    </row>
    <row r="40303" spans="1:1">
      <c r="A40303" s="27"/>
    </row>
    <row r="40304" spans="1:1">
      <c r="A40304" s="27"/>
    </row>
    <row r="40305" spans="1:1">
      <c r="A40305" s="27"/>
    </row>
    <row r="40306" spans="1:1">
      <c r="A40306" s="27"/>
    </row>
    <row r="40307" spans="1:1">
      <c r="A40307" s="27"/>
    </row>
    <row r="40308" spans="1:1">
      <c r="A40308" s="27"/>
    </row>
    <row r="40309" spans="1:1">
      <c r="A40309" s="27"/>
    </row>
    <row r="40310" spans="1:1">
      <c r="A40310" s="27"/>
    </row>
    <row r="40311" spans="1:1">
      <c r="A40311" s="27"/>
    </row>
    <row r="40312" spans="1:1">
      <c r="A40312" s="27"/>
    </row>
    <row r="40313" spans="1:1">
      <c r="A40313" s="27"/>
    </row>
    <row r="40314" spans="1:1">
      <c r="A40314" s="27"/>
    </row>
    <row r="40315" spans="1:1">
      <c r="A40315" s="27"/>
    </row>
    <row r="40316" spans="1:1">
      <c r="A40316" s="27"/>
    </row>
    <row r="40317" spans="1:1">
      <c r="A40317" s="27"/>
    </row>
    <row r="40318" spans="1:1">
      <c r="A40318" s="27"/>
    </row>
    <row r="40319" spans="1:1">
      <c r="A40319" s="27"/>
    </row>
    <row r="40320" spans="1:1">
      <c r="A40320" s="27"/>
    </row>
    <row r="40321" spans="1:1">
      <c r="A40321" s="27"/>
    </row>
    <row r="40322" spans="1:1">
      <c r="A40322" s="27"/>
    </row>
    <row r="40323" spans="1:1">
      <c r="A40323" s="27"/>
    </row>
    <row r="40324" spans="1:1">
      <c r="A40324" s="27"/>
    </row>
    <row r="40325" spans="1:1">
      <c r="A40325" s="27"/>
    </row>
    <row r="40326" spans="1:1">
      <c r="A40326" s="27"/>
    </row>
    <row r="40327" spans="1:1">
      <c r="A40327" s="27"/>
    </row>
    <row r="40328" spans="1:1">
      <c r="A40328" s="27"/>
    </row>
    <row r="40329" spans="1:1">
      <c r="A40329" s="27"/>
    </row>
    <row r="40330" spans="1:1">
      <c r="A40330" s="27"/>
    </row>
    <row r="40331" spans="1:1">
      <c r="A40331" s="27"/>
    </row>
    <row r="40332" spans="1:1">
      <c r="A40332" s="27"/>
    </row>
    <row r="40333" spans="1:1">
      <c r="A40333" s="27"/>
    </row>
    <row r="40334" spans="1:1">
      <c r="A40334" s="27"/>
    </row>
    <row r="40335" spans="1:1">
      <c r="A40335" s="27"/>
    </row>
    <row r="40336" spans="1:1">
      <c r="A40336" s="27"/>
    </row>
    <row r="40337" spans="1:1">
      <c r="A40337" s="27"/>
    </row>
    <row r="40338" spans="1:1">
      <c r="A40338" s="27"/>
    </row>
    <row r="40339" spans="1:1">
      <c r="A40339" s="27"/>
    </row>
    <row r="40340" spans="1:1">
      <c r="A40340" s="27"/>
    </row>
    <row r="40341" spans="1:1">
      <c r="A40341" s="27"/>
    </row>
    <row r="40342" spans="1:1">
      <c r="A40342" s="27"/>
    </row>
    <row r="40343" spans="1:1">
      <c r="A40343" s="27"/>
    </row>
    <row r="40344" spans="1:1">
      <c r="A40344" s="27"/>
    </row>
    <row r="40345" spans="1:1">
      <c r="A40345" s="27"/>
    </row>
    <row r="40346" spans="1:1">
      <c r="A40346" s="27"/>
    </row>
    <row r="40347" spans="1:1">
      <c r="A40347" s="27"/>
    </row>
    <row r="40348" spans="1:1">
      <c r="A40348" s="27"/>
    </row>
    <row r="40349" spans="1:1">
      <c r="A40349" s="27"/>
    </row>
    <row r="40350" spans="1:1">
      <c r="A40350" s="27"/>
    </row>
    <row r="40351" spans="1:1">
      <c r="A40351" s="27"/>
    </row>
    <row r="40352" spans="1:1">
      <c r="A40352" s="27"/>
    </row>
    <row r="40353" spans="1:1">
      <c r="A40353" s="27"/>
    </row>
    <row r="40354" spans="1:1">
      <c r="A40354" s="27"/>
    </row>
    <row r="40355" spans="1:1">
      <c r="A40355" s="27"/>
    </row>
    <row r="40356" spans="1:1">
      <c r="A40356" s="27"/>
    </row>
    <row r="40357" spans="1:1">
      <c r="A40357" s="27"/>
    </row>
    <row r="40358" spans="1:1">
      <c r="A40358" s="27"/>
    </row>
    <row r="40359" spans="1:1">
      <c r="A40359" s="27"/>
    </row>
    <row r="40360" spans="1:1">
      <c r="A40360" s="27"/>
    </row>
    <row r="40361" spans="1:1">
      <c r="A40361" s="27"/>
    </row>
    <row r="40362" spans="1:1">
      <c r="A40362" s="27"/>
    </row>
    <row r="40363" spans="1:1">
      <c r="A40363" s="27"/>
    </row>
    <row r="40364" spans="1:1">
      <c r="A40364" s="27"/>
    </row>
    <row r="40365" spans="1:1">
      <c r="A40365" s="27"/>
    </row>
    <row r="40366" spans="1:1">
      <c r="A40366" s="27"/>
    </row>
    <row r="40367" spans="1:1">
      <c r="A40367" s="27"/>
    </row>
    <row r="40368" spans="1:1">
      <c r="A40368" s="27"/>
    </row>
    <row r="40369" spans="1:1">
      <c r="A40369" s="27"/>
    </row>
    <row r="40370" spans="1:1">
      <c r="A40370" s="27"/>
    </row>
    <row r="40371" spans="1:1">
      <c r="A40371" s="27"/>
    </row>
    <row r="40372" spans="1:1">
      <c r="A40372" s="27"/>
    </row>
    <row r="40373" spans="1:1">
      <c r="A40373" s="27"/>
    </row>
    <row r="40374" spans="1:1">
      <c r="A40374" s="27"/>
    </row>
    <row r="40375" spans="1:1">
      <c r="A40375" s="27"/>
    </row>
    <row r="40376" spans="1:1">
      <c r="A40376" s="27"/>
    </row>
    <row r="40377" spans="1:1">
      <c r="A40377" s="27"/>
    </row>
    <row r="40378" spans="1:1">
      <c r="A40378" s="27"/>
    </row>
    <row r="40379" spans="1:1">
      <c r="A40379" s="27"/>
    </row>
    <row r="40380" spans="1:1">
      <c r="A40380" s="27"/>
    </row>
    <row r="40381" spans="1:1">
      <c r="A40381" s="27"/>
    </row>
    <row r="40382" spans="1:1">
      <c r="A40382" s="27"/>
    </row>
    <row r="40383" spans="1:1">
      <c r="A40383" s="27"/>
    </row>
    <row r="40384" spans="1:1">
      <c r="A40384" s="27"/>
    </row>
    <row r="40385" spans="1:1">
      <c r="A40385" s="27"/>
    </row>
    <row r="40386" spans="1:1">
      <c r="A40386" s="27"/>
    </row>
    <row r="40387" spans="1:1">
      <c r="A40387" s="27"/>
    </row>
    <row r="40388" spans="1:1">
      <c r="A40388" s="27"/>
    </row>
    <row r="40389" spans="1:1">
      <c r="A40389" s="27"/>
    </row>
    <row r="40390" spans="1:1">
      <c r="A40390" s="27"/>
    </row>
    <row r="40391" spans="1:1">
      <c r="A40391" s="27"/>
    </row>
    <row r="40392" spans="1:1">
      <c r="A40392" s="27"/>
    </row>
    <row r="40393" spans="1:1">
      <c r="A40393" s="27"/>
    </row>
    <row r="40394" spans="1:1">
      <c r="A40394" s="27"/>
    </row>
    <row r="40395" spans="1:1">
      <c r="A40395" s="27"/>
    </row>
    <row r="40396" spans="1:1">
      <c r="A40396" s="27"/>
    </row>
    <row r="40397" spans="1:1">
      <c r="A40397" s="27"/>
    </row>
    <row r="40398" spans="1:1">
      <c r="A40398" s="27"/>
    </row>
    <row r="40399" spans="1:1">
      <c r="A40399" s="27"/>
    </row>
    <row r="40400" spans="1:1">
      <c r="A40400" s="27"/>
    </row>
    <row r="40401" spans="1:1">
      <c r="A40401" s="27"/>
    </row>
    <row r="40402" spans="1:1">
      <c r="A40402" s="27"/>
    </row>
    <row r="40403" spans="1:1">
      <c r="A40403" s="27"/>
    </row>
    <row r="40404" spans="1:1">
      <c r="A40404" s="27"/>
    </row>
    <row r="40405" spans="1:1">
      <c r="A40405" s="27"/>
    </row>
    <row r="40406" spans="1:1">
      <c r="A40406" s="27"/>
    </row>
    <row r="40407" spans="1:1">
      <c r="A40407" s="27"/>
    </row>
    <row r="40408" spans="1:1">
      <c r="A40408" s="27"/>
    </row>
    <row r="40409" spans="1:1">
      <c r="A40409" s="27"/>
    </row>
    <row r="40410" spans="1:1">
      <c r="A40410" s="27"/>
    </row>
    <row r="40411" spans="1:1">
      <c r="A40411" s="27"/>
    </row>
    <row r="40412" spans="1:1">
      <c r="A40412" s="27"/>
    </row>
    <row r="40413" spans="1:1">
      <c r="A40413" s="27"/>
    </row>
    <row r="40414" spans="1:1">
      <c r="A40414" s="27"/>
    </row>
    <row r="40415" spans="1:1">
      <c r="A40415" s="27"/>
    </row>
    <row r="40416" spans="1:1">
      <c r="A40416" s="27"/>
    </row>
    <row r="40417" spans="1:1">
      <c r="A40417" s="27"/>
    </row>
    <row r="40418" spans="1:1">
      <c r="A40418" s="27"/>
    </row>
    <row r="40419" spans="1:1">
      <c r="A40419" s="27"/>
    </row>
    <row r="40420" spans="1:1">
      <c r="A40420" s="27"/>
    </row>
    <row r="40421" spans="1:1">
      <c r="A40421" s="27"/>
    </row>
    <row r="40422" spans="1:1">
      <c r="A40422" s="27"/>
    </row>
    <row r="40423" spans="1:1">
      <c r="A40423" s="27"/>
    </row>
    <row r="40424" spans="1:1">
      <c r="A40424" s="27"/>
    </row>
    <row r="40425" spans="1:1">
      <c r="A40425" s="27"/>
    </row>
    <row r="40426" spans="1:1">
      <c r="A40426" s="27"/>
    </row>
    <row r="40427" spans="1:1">
      <c r="A40427" s="27"/>
    </row>
    <row r="40428" spans="1:1">
      <c r="A40428" s="27"/>
    </row>
    <row r="40429" spans="1:1">
      <c r="A40429" s="27"/>
    </row>
    <row r="40430" spans="1:1">
      <c r="A40430" s="27"/>
    </row>
    <row r="40431" spans="1:1">
      <c r="A40431" s="27"/>
    </row>
    <row r="40432" spans="1:1">
      <c r="A40432" s="27"/>
    </row>
    <row r="40433" spans="1:1">
      <c r="A40433" s="27"/>
    </row>
    <row r="40434" spans="1:1">
      <c r="A40434" s="27"/>
    </row>
    <row r="40435" spans="1:1">
      <c r="A40435" s="27"/>
    </row>
    <row r="40436" spans="1:1">
      <c r="A40436" s="27"/>
    </row>
    <row r="40437" spans="1:1">
      <c r="A40437" s="27"/>
    </row>
    <row r="40438" spans="1:1">
      <c r="A40438" s="27"/>
    </row>
    <row r="40439" spans="1:1">
      <c r="A40439" s="27"/>
    </row>
    <row r="40440" spans="1:1">
      <c r="A40440" s="27"/>
    </row>
    <row r="40441" spans="1:1">
      <c r="A40441" s="27"/>
    </row>
    <row r="40442" spans="1:1">
      <c r="A40442" s="27"/>
    </row>
    <row r="40443" spans="1:1">
      <c r="A40443" s="27"/>
    </row>
    <row r="40444" spans="1:1">
      <c r="A40444" s="27"/>
    </row>
    <row r="40445" spans="1:1">
      <c r="A40445" s="27"/>
    </row>
    <row r="40446" spans="1:1">
      <c r="A40446" s="27"/>
    </row>
    <row r="40447" spans="1:1">
      <c r="A40447" s="27"/>
    </row>
    <row r="40448" spans="1:1">
      <c r="A40448" s="27"/>
    </row>
    <row r="40449" spans="1:1">
      <c r="A40449" s="27"/>
    </row>
    <row r="40450" spans="1:1">
      <c r="A40450" s="27"/>
    </row>
    <row r="40451" spans="1:1">
      <c r="A40451" s="27"/>
    </row>
    <row r="40452" spans="1:1">
      <c r="A40452" s="27"/>
    </row>
    <row r="40453" spans="1:1">
      <c r="A40453" s="27"/>
    </row>
    <row r="40454" spans="1:1">
      <c r="A40454" s="27"/>
    </row>
    <row r="40455" spans="1:1">
      <c r="A40455" s="27"/>
    </row>
    <row r="40456" spans="1:1">
      <c r="A40456" s="27"/>
    </row>
    <row r="40457" spans="1:1">
      <c r="A40457" s="27"/>
    </row>
    <row r="40458" spans="1:1">
      <c r="A40458" s="27"/>
    </row>
    <row r="40459" spans="1:1">
      <c r="A40459" s="27"/>
    </row>
    <row r="40460" spans="1:1">
      <c r="A40460" s="27"/>
    </row>
    <row r="40461" spans="1:1">
      <c r="A40461" s="27"/>
    </row>
    <row r="40462" spans="1:1">
      <c r="A40462" s="27"/>
    </row>
    <row r="40463" spans="1:1">
      <c r="A40463" s="27"/>
    </row>
    <row r="40464" spans="1:1">
      <c r="A40464" s="27"/>
    </row>
    <row r="40465" spans="1:1">
      <c r="A40465" s="27"/>
    </row>
    <row r="40466" spans="1:1">
      <c r="A40466" s="27"/>
    </row>
    <row r="40467" spans="1:1">
      <c r="A40467" s="27"/>
    </row>
    <row r="40468" spans="1:1">
      <c r="A40468" s="27"/>
    </row>
    <row r="40469" spans="1:1">
      <c r="A40469" s="27"/>
    </row>
    <row r="40470" spans="1:1">
      <c r="A40470" s="27"/>
    </row>
    <row r="40471" spans="1:1">
      <c r="A40471" s="27"/>
    </row>
    <row r="40472" spans="1:1">
      <c r="A40472" s="27"/>
    </row>
    <row r="40473" spans="1:1">
      <c r="A40473" s="27"/>
    </row>
    <row r="40474" spans="1:1">
      <c r="A40474" s="27"/>
    </row>
    <row r="40475" spans="1:1">
      <c r="A40475" s="27"/>
    </row>
    <row r="40476" spans="1:1">
      <c r="A40476" s="27"/>
    </row>
    <row r="40477" spans="1:1">
      <c r="A40477" s="27"/>
    </row>
    <row r="40478" spans="1:1">
      <c r="A40478" s="27"/>
    </row>
    <row r="40479" spans="1:1">
      <c r="A40479" s="27"/>
    </row>
    <row r="40480" spans="1:1">
      <c r="A40480" s="27"/>
    </row>
    <row r="40481" spans="1:1">
      <c r="A40481" s="27"/>
    </row>
    <row r="40482" spans="1:1">
      <c r="A40482" s="27"/>
    </row>
    <row r="40483" spans="1:1">
      <c r="A40483" s="27"/>
    </row>
    <row r="40484" spans="1:1">
      <c r="A40484" s="27"/>
    </row>
    <row r="40485" spans="1:1">
      <c r="A40485" s="27"/>
    </row>
    <row r="40486" spans="1:1">
      <c r="A40486" s="27"/>
    </row>
    <row r="40487" spans="1:1">
      <c r="A40487" s="27"/>
    </row>
    <row r="40488" spans="1:1">
      <c r="A40488" s="27"/>
    </row>
    <row r="40489" spans="1:1">
      <c r="A40489" s="27"/>
    </row>
    <row r="40490" spans="1:1">
      <c r="A40490" s="27"/>
    </row>
    <row r="40491" spans="1:1">
      <c r="A40491" s="27"/>
    </row>
    <row r="40492" spans="1:1">
      <c r="A40492" s="27"/>
    </row>
    <row r="40493" spans="1:1">
      <c r="A40493" s="27"/>
    </row>
    <row r="40494" spans="1:1">
      <c r="A40494" s="27"/>
    </row>
    <row r="40495" spans="1:1">
      <c r="A40495" s="27"/>
    </row>
    <row r="40496" spans="1:1">
      <c r="A40496" s="27"/>
    </row>
    <row r="40497" spans="1:1">
      <c r="A40497" s="27"/>
    </row>
    <row r="40498" spans="1:1">
      <c r="A40498" s="27"/>
    </row>
    <row r="40499" spans="1:1">
      <c r="A40499" s="27"/>
    </row>
    <row r="40500" spans="1:1">
      <c r="A40500" s="27"/>
    </row>
    <row r="40501" spans="1:1">
      <c r="A40501" s="27"/>
    </row>
    <row r="40502" spans="1:1">
      <c r="A40502" s="27"/>
    </row>
    <row r="40503" spans="1:1">
      <c r="A40503" s="27"/>
    </row>
    <row r="40504" spans="1:1">
      <c r="A40504" s="27"/>
    </row>
    <row r="40505" spans="1:1">
      <c r="A40505" s="27"/>
    </row>
    <row r="40506" spans="1:1">
      <c r="A40506" s="27"/>
    </row>
    <row r="40507" spans="1:1">
      <c r="A40507" s="27"/>
    </row>
    <row r="40508" spans="1:1">
      <c r="A40508" s="27"/>
    </row>
    <row r="40509" spans="1:1">
      <c r="A40509" s="27"/>
    </row>
    <row r="40510" spans="1:1">
      <c r="A40510" s="27"/>
    </row>
    <row r="40511" spans="1:1">
      <c r="A40511" s="27"/>
    </row>
    <row r="40512" spans="1:1">
      <c r="A40512" s="27"/>
    </row>
    <row r="40513" spans="1:1">
      <c r="A40513" s="27"/>
    </row>
    <row r="40514" spans="1:1">
      <c r="A40514" s="27"/>
    </row>
    <row r="40515" spans="1:1">
      <c r="A40515" s="27"/>
    </row>
    <row r="40516" spans="1:1">
      <c r="A40516" s="27"/>
    </row>
    <row r="40517" spans="1:1">
      <c r="A40517" s="27"/>
    </row>
    <row r="40518" spans="1:1">
      <c r="A40518" s="27"/>
    </row>
    <row r="40519" spans="1:1">
      <c r="A40519" s="27"/>
    </row>
    <row r="40520" spans="1:1">
      <c r="A40520" s="27"/>
    </row>
    <row r="40521" spans="1:1">
      <c r="A40521" s="27"/>
    </row>
    <row r="40522" spans="1:1">
      <c r="A40522" s="27"/>
    </row>
    <row r="40523" spans="1:1">
      <c r="A40523" s="27"/>
    </row>
    <row r="40524" spans="1:1">
      <c r="A40524" s="27"/>
    </row>
    <row r="40525" spans="1:1">
      <c r="A40525" s="27"/>
    </row>
    <row r="40526" spans="1:1">
      <c r="A40526" s="27"/>
    </row>
    <row r="40527" spans="1:1">
      <c r="A40527" s="27"/>
    </row>
    <row r="40528" spans="1:1">
      <c r="A40528" s="27"/>
    </row>
    <row r="40529" spans="1:1">
      <c r="A40529" s="27"/>
    </row>
    <row r="40530" spans="1:1">
      <c r="A40530" s="27"/>
    </row>
    <row r="40531" spans="1:1">
      <c r="A40531" s="27"/>
    </row>
    <row r="40532" spans="1:1">
      <c r="A40532" s="27"/>
    </row>
    <row r="40533" spans="1:1">
      <c r="A40533" s="27"/>
    </row>
    <row r="40534" spans="1:1">
      <c r="A40534" s="27"/>
    </row>
    <row r="40535" spans="1:1">
      <c r="A40535" s="27"/>
    </row>
    <row r="40536" spans="1:1">
      <c r="A40536" s="27"/>
    </row>
    <row r="40537" spans="1:1">
      <c r="A40537" s="27"/>
    </row>
    <row r="40538" spans="1:1">
      <c r="A40538" s="27"/>
    </row>
    <row r="40539" spans="1:1">
      <c r="A40539" s="27"/>
    </row>
    <row r="40540" spans="1:1">
      <c r="A40540" s="27"/>
    </row>
    <row r="40541" spans="1:1">
      <c r="A40541" s="27"/>
    </row>
    <row r="40542" spans="1:1">
      <c r="A40542" s="27"/>
    </row>
    <row r="40543" spans="1:1">
      <c r="A40543" s="27"/>
    </row>
    <row r="40544" spans="1:1">
      <c r="A40544" s="27"/>
    </row>
    <row r="40545" spans="1:1">
      <c r="A40545" s="27"/>
    </row>
    <row r="40546" spans="1:1">
      <c r="A40546" s="27"/>
    </row>
    <row r="40547" spans="1:1">
      <c r="A40547" s="27"/>
    </row>
    <row r="40548" spans="1:1">
      <c r="A40548" s="27"/>
    </row>
    <row r="40549" spans="1:1">
      <c r="A40549" s="27"/>
    </row>
    <row r="40550" spans="1:1">
      <c r="A40550" s="27"/>
    </row>
    <row r="40551" spans="1:1">
      <c r="A40551" s="27"/>
    </row>
    <row r="40552" spans="1:1">
      <c r="A40552" s="27"/>
    </row>
    <row r="40553" spans="1:1">
      <c r="A40553" s="27"/>
    </row>
    <row r="40554" spans="1:1">
      <c r="A40554" s="27"/>
    </row>
    <row r="40555" spans="1:1">
      <c r="A40555" s="27"/>
    </row>
    <row r="40556" spans="1:1">
      <c r="A40556" s="27"/>
    </row>
    <row r="40557" spans="1:1">
      <c r="A40557" s="27"/>
    </row>
    <row r="40558" spans="1:1">
      <c r="A40558" s="27"/>
    </row>
    <row r="40559" spans="1:1">
      <c r="A40559" s="27"/>
    </row>
    <row r="40560" spans="1:1">
      <c r="A40560" s="27"/>
    </row>
    <row r="40561" spans="1:1">
      <c r="A40561" s="27"/>
    </row>
    <row r="40562" spans="1:1">
      <c r="A40562" s="27"/>
    </row>
    <row r="40563" spans="1:1">
      <c r="A40563" s="27"/>
    </row>
    <row r="40564" spans="1:1">
      <c r="A40564" s="27"/>
    </row>
    <row r="40565" spans="1:1">
      <c r="A40565" s="27"/>
    </row>
    <row r="40566" spans="1:1">
      <c r="A40566" s="27"/>
    </row>
    <row r="40567" spans="1:1">
      <c r="A40567" s="27"/>
    </row>
    <row r="40568" spans="1:1">
      <c r="A40568" s="27"/>
    </row>
    <row r="40569" spans="1:1">
      <c r="A40569" s="27"/>
    </row>
    <row r="40570" spans="1:1">
      <c r="A40570" s="27"/>
    </row>
    <row r="40571" spans="1:1">
      <c r="A40571" s="27"/>
    </row>
    <row r="40572" spans="1:1">
      <c r="A40572" s="27"/>
    </row>
    <row r="40573" spans="1:1">
      <c r="A40573" s="27"/>
    </row>
    <row r="40574" spans="1:1">
      <c r="A40574" s="27"/>
    </row>
    <row r="40575" spans="1:1">
      <c r="A40575" s="27"/>
    </row>
    <row r="40576" spans="1:1">
      <c r="A40576" s="27"/>
    </row>
    <row r="40577" spans="1:1">
      <c r="A40577" s="27"/>
    </row>
    <row r="40578" spans="1:1">
      <c r="A40578" s="27"/>
    </row>
    <row r="40579" spans="1:1">
      <c r="A40579" s="27"/>
    </row>
    <row r="40580" spans="1:1">
      <c r="A40580" s="27"/>
    </row>
    <row r="40581" spans="1:1">
      <c r="A40581" s="27"/>
    </row>
    <row r="40582" spans="1:1">
      <c r="A40582" s="27"/>
    </row>
    <row r="40583" spans="1:1">
      <c r="A40583" s="27"/>
    </row>
    <row r="40584" spans="1:1">
      <c r="A40584" s="27"/>
    </row>
    <row r="40585" spans="1:1">
      <c r="A40585" s="27"/>
    </row>
    <row r="40586" spans="1:1">
      <c r="A40586" s="27"/>
    </row>
    <row r="40587" spans="1:1">
      <c r="A40587" s="27"/>
    </row>
    <row r="40588" spans="1:1">
      <c r="A40588" s="27"/>
    </row>
    <row r="40589" spans="1:1">
      <c r="A40589" s="27"/>
    </row>
    <row r="40590" spans="1:1">
      <c r="A40590" s="27"/>
    </row>
    <row r="40591" spans="1:1">
      <c r="A40591" s="27"/>
    </row>
    <row r="40592" spans="1:1">
      <c r="A40592" s="27"/>
    </row>
    <row r="40593" spans="1:1">
      <c r="A40593" s="27"/>
    </row>
    <row r="40594" spans="1:1">
      <c r="A40594" s="27"/>
    </row>
    <row r="40595" spans="1:1">
      <c r="A40595" s="27"/>
    </row>
    <row r="40596" spans="1:1">
      <c r="A40596" s="27"/>
    </row>
    <row r="40597" spans="1:1">
      <c r="A40597" s="27"/>
    </row>
    <row r="40598" spans="1:1">
      <c r="A40598" s="27"/>
    </row>
    <row r="40599" spans="1:1">
      <c r="A40599" s="27"/>
    </row>
    <row r="40600" spans="1:1">
      <c r="A40600" s="27"/>
    </row>
    <row r="40601" spans="1:1">
      <c r="A40601" s="27"/>
    </row>
    <row r="40602" spans="1:1">
      <c r="A40602" s="27"/>
    </row>
    <row r="40603" spans="1:1">
      <c r="A40603" s="27"/>
    </row>
    <row r="40604" spans="1:1">
      <c r="A40604" s="27"/>
    </row>
    <row r="40605" spans="1:1">
      <c r="A40605" s="27"/>
    </row>
    <row r="40606" spans="1:1">
      <c r="A40606" s="27"/>
    </row>
    <row r="40607" spans="1:1">
      <c r="A40607" s="27"/>
    </row>
    <row r="40608" spans="1:1">
      <c r="A40608" s="27"/>
    </row>
    <row r="40609" spans="1:1">
      <c r="A40609" s="27"/>
    </row>
    <row r="40610" spans="1:1">
      <c r="A40610" s="27"/>
    </row>
    <row r="40611" spans="1:1">
      <c r="A40611" s="27"/>
    </row>
    <row r="40612" spans="1:1">
      <c r="A40612" s="27"/>
    </row>
    <row r="40613" spans="1:1">
      <c r="A40613" s="27"/>
    </row>
    <row r="40614" spans="1:1">
      <c r="A40614" s="27"/>
    </row>
    <row r="40615" spans="1:1">
      <c r="A40615" s="27"/>
    </row>
    <row r="40616" spans="1:1">
      <c r="A40616" s="27"/>
    </row>
    <row r="40617" spans="1:1">
      <c r="A40617" s="27"/>
    </row>
    <row r="40618" spans="1:1">
      <c r="A40618" s="27"/>
    </row>
    <row r="40619" spans="1:1">
      <c r="A40619" s="27"/>
    </row>
    <row r="40620" spans="1:1">
      <c r="A40620" s="27"/>
    </row>
    <row r="40621" spans="1:1">
      <c r="A40621" s="27"/>
    </row>
    <row r="40622" spans="1:1">
      <c r="A40622" s="27"/>
    </row>
    <row r="40623" spans="1:1">
      <c r="A40623" s="27"/>
    </row>
    <row r="40624" spans="1:1">
      <c r="A40624" s="27"/>
    </row>
    <row r="40625" spans="1:1">
      <c r="A40625" s="27"/>
    </row>
    <row r="40626" spans="1:1">
      <c r="A40626" s="27"/>
    </row>
    <row r="40627" spans="1:1">
      <c r="A40627" s="27"/>
    </row>
    <row r="40628" spans="1:1">
      <c r="A40628" s="27"/>
    </row>
    <row r="40629" spans="1:1">
      <c r="A40629" s="27"/>
    </row>
    <row r="40630" spans="1:1">
      <c r="A40630" s="27"/>
    </row>
    <row r="40631" spans="1:1">
      <c r="A40631" s="27"/>
    </row>
    <row r="40632" spans="1:1">
      <c r="A40632" s="27"/>
    </row>
    <row r="40633" spans="1:1">
      <c r="A40633" s="27"/>
    </row>
    <row r="40634" spans="1:1">
      <c r="A40634" s="27"/>
    </row>
    <row r="40635" spans="1:1">
      <c r="A40635" s="27"/>
    </row>
    <row r="40636" spans="1:1">
      <c r="A40636" s="27"/>
    </row>
    <row r="40637" spans="1:1">
      <c r="A40637" s="27"/>
    </row>
    <row r="40638" spans="1:1">
      <c r="A40638" s="27"/>
    </row>
    <row r="40639" spans="1:1">
      <c r="A40639" s="27"/>
    </row>
    <row r="40640" spans="1:1">
      <c r="A40640" s="27"/>
    </row>
    <row r="40641" spans="1:1">
      <c r="A40641" s="27"/>
    </row>
    <row r="40642" spans="1:1">
      <c r="A40642" s="27"/>
    </row>
    <row r="40643" spans="1:1">
      <c r="A40643" s="27"/>
    </row>
    <row r="40644" spans="1:1">
      <c r="A40644" s="27"/>
    </row>
    <row r="40645" spans="1:1">
      <c r="A40645" s="27"/>
    </row>
    <row r="40646" spans="1:1">
      <c r="A40646" s="27"/>
    </row>
    <row r="40647" spans="1:1">
      <c r="A40647" s="27"/>
    </row>
    <row r="40648" spans="1:1">
      <c r="A40648" s="27"/>
    </row>
    <row r="40649" spans="1:1">
      <c r="A40649" s="27"/>
    </row>
    <row r="40650" spans="1:1">
      <c r="A40650" s="27"/>
    </row>
    <row r="40651" spans="1:1">
      <c r="A40651" s="27"/>
    </row>
    <row r="40652" spans="1:1">
      <c r="A40652" s="27"/>
    </row>
    <row r="40653" spans="1:1">
      <c r="A40653" s="27"/>
    </row>
    <row r="40654" spans="1:1">
      <c r="A40654" s="27"/>
    </row>
    <row r="40655" spans="1:1">
      <c r="A40655" s="27"/>
    </row>
    <row r="40656" spans="1:1">
      <c r="A40656" s="27"/>
    </row>
    <row r="40657" spans="1:1">
      <c r="A40657" s="27"/>
    </row>
    <row r="40658" spans="1:1">
      <c r="A40658" s="27"/>
    </row>
    <row r="40659" spans="1:1">
      <c r="A40659" s="27"/>
    </row>
    <row r="40660" spans="1:1">
      <c r="A40660" s="27"/>
    </row>
    <row r="40661" spans="1:1">
      <c r="A40661" s="27"/>
    </row>
    <row r="40662" spans="1:1">
      <c r="A40662" s="27"/>
    </row>
    <row r="40663" spans="1:1">
      <c r="A40663" s="27"/>
    </row>
    <row r="40664" spans="1:1">
      <c r="A40664" s="27"/>
    </row>
    <row r="40665" spans="1:1">
      <c r="A40665" s="27"/>
    </row>
    <row r="40666" spans="1:1">
      <c r="A40666" s="27"/>
    </row>
    <row r="40667" spans="1:1">
      <c r="A40667" s="27"/>
    </row>
    <row r="40668" spans="1:1">
      <c r="A40668" s="27"/>
    </row>
    <row r="40669" spans="1:1">
      <c r="A40669" s="27"/>
    </row>
    <row r="40670" spans="1:1">
      <c r="A40670" s="27"/>
    </row>
    <row r="40671" spans="1:1">
      <c r="A40671" s="27"/>
    </row>
    <row r="40672" spans="1:1">
      <c r="A40672" s="27"/>
    </row>
    <row r="40673" spans="1:1">
      <c r="A40673" s="27"/>
    </row>
    <row r="40674" spans="1:1">
      <c r="A40674" s="27"/>
    </row>
    <row r="40675" spans="1:1">
      <c r="A40675" s="27"/>
    </row>
    <row r="40676" spans="1:1">
      <c r="A40676" s="27"/>
    </row>
    <row r="40677" spans="1:1">
      <c r="A40677" s="27"/>
    </row>
    <row r="40678" spans="1:1">
      <c r="A40678" s="27"/>
    </row>
    <row r="40679" spans="1:1">
      <c r="A40679" s="27"/>
    </row>
    <row r="40680" spans="1:1">
      <c r="A40680" s="27"/>
    </row>
    <row r="40681" spans="1:1">
      <c r="A40681" s="27"/>
    </row>
    <row r="40682" spans="1:1">
      <c r="A40682" s="27"/>
    </row>
    <row r="40683" spans="1:1">
      <c r="A40683" s="27"/>
    </row>
    <row r="40684" spans="1:1">
      <c r="A40684" s="27"/>
    </row>
    <row r="40685" spans="1:1">
      <c r="A40685" s="27"/>
    </row>
    <row r="40686" spans="1:1">
      <c r="A40686" s="27"/>
    </row>
    <row r="40687" spans="1:1">
      <c r="A40687" s="27"/>
    </row>
    <row r="40688" spans="1:1">
      <c r="A40688" s="27"/>
    </row>
    <row r="40689" spans="1:1">
      <c r="A40689" s="27"/>
    </row>
    <row r="40690" spans="1:1">
      <c r="A40690" s="27"/>
    </row>
    <row r="40691" spans="1:1">
      <c r="A40691" s="27"/>
    </row>
    <row r="40692" spans="1:1">
      <c r="A40692" s="27"/>
    </row>
    <row r="40693" spans="1:1">
      <c r="A40693" s="27"/>
    </row>
    <row r="40694" spans="1:1">
      <c r="A40694" s="27"/>
    </row>
    <row r="40695" spans="1:1">
      <c r="A40695" s="27"/>
    </row>
    <row r="40696" spans="1:1">
      <c r="A40696" s="27"/>
    </row>
    <row r="40697" spans="1:1">
      <c r="A40697" s="27"/>
    </row>
    <row r="40698" spans="1:1">
      <c r="A40698" s="27"/>
    </row>
    <row r="40699" spans="1:1">
      <c r="A40699" s="27"/>
    </row>
    <row r="40700" spans="1:1">
      <c r="A40700" s="27"/>
    </row>
    <row r="40701" spans="1:1">
      <c r="A40701" s="27"/>
    </row>
    <row r="40702" spans="1:1">
      <c r="A40702" s="27"/>
    </row>
    <row r="40703" spans="1:1">
      <c r="A40703" s="27"/>
    </row>
    <row r="40704" spans="1:1">
      <c r="A40704" s="27"/>
    </row>
    <row r="40705" spans="1:1">
      <c r="A40705" s="27"/>
    </row>
    <row r="40706" spans="1:1">
      <c r="A40706" s="27"/>
    </row>
    <row r="40707" spans="1:1">
      <c r="A40707" s="27"/>
    </row>
    <row r="40708" spans="1:1">
      <c r="A40708" s="27"/>
    </row>
    <row r="40709" spans="1:1">
      <c r="A40709" s="27"/>
    </row>
    <row r="40710" spans="1:1">
      <c r="A40710" s="27"/>
    </row>
    <row r="40711" spans="1:1">
      <c r="A40711" s="27"/>
    </row>
    <row r="40712" spans="1:1">
      <c r="A40712" s="27"/>
    </row>
    <row r="40713" spans="1:1">
      <c r="A40713" s="27"/>
    </row>
    <row r="40714" spans="1:1">
      <c r="A40714" s="27"/>
    </row>
    <row r="40715" spans="1:1">
      <c r="A40715" s="27"/>
    </row>
    <row r="40716" spans="1:1">
      <c r="A40716" s="27"/>
    </row>
    <row r="40717" spans="1:1">
      <c r="A40717" s="27"/>
    </row>
    <row r="40718" spans="1:1">
      <c r="A40718" s="27"/>
    </row>
    <row r="40719" spans="1:1">
      <c r="A40719" s="27"/>
    </row>
    <row r="40720" spans="1:1">
      <c r="A40720" s="27"/>
    </row>
    <row r="40721" spans="1:1">
      <c r="A40721" s="27"/>
    </row>
    <row r="40722" spans="1:1">
      <c r="A40722" s="27"/>
    </row>
    <row r="40723" spans="1:1">
      <c r="A40723" s="27"/>
    </row>
    <row r="40724" spans="1:1">
      <c r="A40724" s="27"/>
    </row>
    <row r="40725" spans="1:1">
      <c r="A40725" s="27"/>
    </row>
    <row r="40726" spans="1:1">
      <c r="A40726" s="27"/>
    </row>
    <row r="40727" spans="1:1">
      <c r="A40727" s="27"/>
    </row>
    <row r="40728" spans="1:1">
      <c r="A40728" s="27"/>
    </row>
    <row r="40729" spans="1:1">
      <c r="A40729" s="27"/>
    </row>
    <row r="40730" spans="1:1">
      <c r="A40730" s="27"/>
    </row>
    <row r="40731" spans="1:1">
      <c r="A40731" s="27"/>
    </row>
    <row r="40732" spans="1:1">
      <c r="A40732" s="27"/>
    </row>
    <row r="40733" spans="1:1">
      <c r="A40733" s="27"/>
    </row>
    <row r="40734" spans="1:1">
      <c r="A40734" s="27"/>
    </row>
    <row r="40735" spans="1:1">
      <c r="A40735" s="27"/>
    </row>
    <row r="40736" spans="1:1">
      <c r="A40736" s="27"/>
    </row>
    <row r="40737" spans="1:1">
      <c r="A40737" s="27"/>
    </row>
    <row r="40738" spans="1:1">
      <c r="A40738" s="27"/>
    </row>
    <row r="40739" spans="1:1">
      <c r="A40739" s="27"/>
    </row>
    <row r="40740" spans="1:1">
      <c r="A40740" s="27"/>
    </row>
    <row r="40741" spans="1:1">
      <c r="A40741" s="27"/>
    </row>
    <row r="40742" spans="1:1">
      <c r="A40742" s="27"/>
    </row>
    <row r="40743" spans="1:1">
      <c r="A40743" s="27"/>
    </row>
    <row r="40744" spans="1:1">
      <c r="A40744" s="27"/>
    </row>
    <row r="40745" spans="1:1">
      <c r="A40745" s="27"/>
    </row>
    <row r="40746" spans="1:1">
      <c r="A40746" s="27"/>
    </row>
    <row r="40747" spans="1:1">
      <c r="A40747" s="27"/>
    </row>
    <row r="40748" spans="1:1">
      <c r="A40748" s="27"/>
    </row>
    <row r="40749" spans="1:1">
      <c r="A40749" s="27"/>
    </row>
    <row r="40750" spans="1:1">
      <c r="A40750" s="27"/>
    </row>
    <row r="40751" spans="1:1">
      <c r="A40751" s="27"/>
    </row>
    <row r="40752" spans="1:1">
      <c r="A40752" s="27"/>
    </row>
    <row r="40753" spans="1:1">
      <c r="A40753" s="27"/>
    </row>
    <row r="40754" spans="1:1">
      <c r="A40754" s="27"/>
    </row>
    <row r="40755" spans="1:1">
      <c r="A40755" s="27"/>
    </row>
    <row r="40756" spans="1:1">
      <c r="A40756" s="27"/>
    </row>
    <row r="40757" spans="1:1">
      <c r="A40757" s="27"/>
    </row>
    <row r="40758" spans="1:1">
      <c r="A40758" s="27"/>
    </row>
    <row r="40759" spans="1:1">
      <c r="A40759" s="27"/>
    </row>
    <row r="40760" spans="1:1">
      <c r="A40760" s="27"/>
    </row>
    <row r="40761" spans="1:1">
      <c r="A40761" s="27"/>
    </row>
    <row r="40762" spans="1:1">
      <c r="A40762" s="27"/>
    </row>
    <row r="40763" spans="1:1">
      <c r="A40763" s="27"/>
    </row>
    <row r="40764" spans="1:1">
      <c r="A40764" s="27"/>
    </row>
    <row r="40765" spans="1:1">
      <c r="A40765" s="27"/>
    </row>
    <row r="40766" spans="1:1">
      <c r="A40766" s="27"/>
    </row>
    <row r="40767" spans="1:1">
      <c r="A40767" s="27"/>
    </row>
    <row r="40768" spans="1:1">
      <c r="A40768" s="27"/>
    </row>
    <row r="40769" spans="1:1">
      <c r="A40769" s="27"/>
    </row>
    <row r="40770" spans="1:1">
      <c r="A40770" s="27"/>
    </row>
    <row r="40771" spans="1:1">
      <c r="A40771" s="27"/>
    </row>
    <row r="40772" spans="1:1">
      <c r="A40772" s="27"/>
    </row>
    <row r="40773" spans="1:1">
      <c r="A40773" s="27"/>
    </row>
    <row r="40774" spans="1:1">
      <c r="A40774" s="27"/>
    </row>
    <row r="40775" spans="1:1">
      <c r="A40775" s="27"/>
    </row>
    <row r="40776" spans="1:1">
      <c r="A40776" s="27"/>
    </row>
    <row r="40777" spans="1:1">
      <c r="A40777" s="27"/>
    </row>
    <row r="40778" spans="1:1">
      <c r="A40778" s="27"/>
    </row>
    <row r="40779" spans="1:1">
      <c r="A40779" s="27"/>
    </row>
    <row r="40780" spans="1:1">
      <c r="A40780" s="27"/>
    </row>
    <row r="40781" spans="1:1">
      <c r="A40781" s="27"/>
    </row>
    <row r="40782" spans="1:1">
      <c r="A40782" s="27"/>
    </row>
    <row r="40783" spans="1:1">
      <c r="A40783" s="27"/>
    </row>
    <row r="40784" spans="1:1">
      <c r="A40784" s="27"/>
    </row>
    <row r="40785" spans="1:1">
      <c r="A40785" s="27"/>
    </row>
    <row r="40786" spans="1:1">
      <c r="A40786" s="27"/>
    </row>
    <row r="40787" spans="1:1">
      <c r="A40787" s="27"/>
    </row>
    <row r="40788" spans="1:1">
      <c r="A40788" s="27"/>
    </row>
    <row r="40789" spans="1:1">
      <c r="A40789" s="27"/>
    </row>
    <row r="40790" spans="1:1">
      <c r="A40790" s="27"/>
    </row>
    <row r="40791" spans="1:1">
      <c r="A40791" s="27"/>
    </row>
    <row r="40792" spans="1:1">
      <c r="A40792" s="27"/>
    </row>
    <row r="40793" spans="1:1">
      <c r="A40793" s="27"/>
    </row>
    <row r="40794" spans="1:1">
      <c r="A40794" s="27"/>
    </row>
    <row r="40795" spans="1:1">
      <c r="A40795" s="27"/>
    </row>
    <row r="40796" spans="1:1">
      <c r="A40796" s="27"/>
    </row>
    <row r="40797" spans="1:1">
      <c r="A40797" s="27"/>
    </row>
    <row r="40798" spans="1:1">
      <c r="A40798" s="27"/>
    </row>
    <row r="40799" spans="1:1">
      <c r="A40799" s="27"/>
    </row>
    <row r="40800" spans="1:1">
      <c r="A40800" s="27"/>
    </row>
    <row r="40801" spans="1:1">
      <c r="A40801" s="27"/>
    </row>
    <row r="40802" spans="1:1">
      <c r="A40802" s="27"/>
    </row>
    <row r="40803" spans="1:1">
      <c r="A40803" s="27"/>
    </row>
    <row r="40804" spans="1:1">
      <c r="A40804" s="27"/>
    </row>
    <row r="40805" spans="1:1">
      <c r="A40805" s="27"/>
    </row>
    <row r="40806" spans="1:1">
      <c r="A40806" s="27"/>
    </row>
    <row r="40807" spans="1:1">
      <c r="A40807" s="27"/>
    </row>
    <row r="40808" spans="1:1">
      <c r="A40808" s="27"/>
    </row>
    <row r="40809" spans="1:1">
      <c r="A40809" s="27"/>
    </row>
    <row r="40810" spans="1:1">
      <c r="A40810" s="27"/>
    </row>
    <row r="40811" spans="1:1">
      <c r="A40811" s="27"/>
    </row>
    <row r="40812" spans="1:1">
      <c r="A40812" s="27"/>
    </row>
    <row r="40813" spans="1:1">
      <c r="A40813" s="27"/>
    </row>
    <row r="40814" spans="1:1">
      <c r="A40814" s="27"/>
    </row>
    <row r="40815" spans="1:1">
      <c r="A40815" s="27"/>
    </row>
    <row r="40816" spans="1:1">
      <c r="A40816" s="27"/>
    </row>
    <row r="40817" spans="1:1">
      <c r="A40817" s="27"/>
    </row>
    <row r="40818" spans="1:1">
      <c r="A40818" s="27"/>
    </row>
    <row r="40819" spans="1:1">
      <c r="A40819" s="27"/>
    </row>
    <row r="40820" spans="1:1">
      <c r="A40820" s="27"/>
    </row>
    <row r="40821" spans="1:1">
      <c r="A40821" s="27"/>
    </row>
    <row r="40822" spans="1:1">
      <c r="A40822" s="27"/>
    </row>
    <row r="40823" spans="1:1">
      <c r="A40823" s="27"/>
    </row>
    <row r="40824" spans="1:1">
      <c r="A40824" s="27"/>
    </row>
    <row r="40825" spans="1:1">
      <c r="A40825" s="27"/>
    </row>
    <row r="40826" spans="1:1">
      <c r="A40826" s="27"/>
    </row>
    <row r="40827" spans="1:1">
      <c r="A40827" s="27"/>
    </row>
    <row r="40828" spans="1:1">
      <c r="A40828" s="27"/>
    </row>
    <row r="40829" spans="1:1">
      <c r="A40829" s="27"/>
    </row>
    <row r="40830" spans="1:1">
      <c r="A40830" s="27"/>
    </row>
    <row r="40831" spans="1:1">
      <c r="A40831" s="27"/>
    </row>
    <row r="40832" spans="1:1">
      <c r="A40832" s="27"/>
    </row>
    <row r="40833" spans="1:1">
      <c r="A40833" s="27"/>
    </row>
    <row r="40834" spans="1:1">
      <c r="A40834" s="27"/>
    </row>
    <row r="40835" spans="1:1">
      <c r="A40835" s="27"/>
    </row>
    <row r="40836" spans="1:1">
      <c r="A40836" s="27"/>
    </row>
    <row r="40837" spans="1:1">
      <c r="A40837" s="27"/>
    </row>
    <row r="40838" spans="1:1">
      <c r="A40838" s="27"/>
    </row>
    <row r="40839" spans="1:1">
      <c r="A40839" s="27"/>
    </row>
    <row r="40840" spans="1:1">
      <c r="A40840" s="27"/>
    </row>
    <row r="40841" spans="1:1">
      <c r="A40841" s="27"/>
    </row>
    <row r="40842" spans="1:1">
      <c r="A40842" s="27"/>
    </row>
    <row r="40843" spans="1:1">
      <c r="A40843" s="27"/>
    </row>
    <row r="40844" spans="1:1">
      <c r="A40844" s="27"/>
    </row>
    <row r="40845" spans="1:1">
      <c r="A40845" s="27"/>
    </row>
    <row r="40846" spans="1:1">
      <c r="A40846" s="27"/>
    </row>
    <row r="40847" spans="1:1">
      <c r="A40847" s="27"/>
    </row>
    <row r="40848" spans="1:1">
      <c r="A40848" s="27"/>
    </row>
    <row r="40849" spans="1:1">
      <c r="A40849" s="27"/>
    </row>
    <row r="40850" spans="1:1">
      <c r="A40850" s="27"/>
    </row>
    <row r="40851" spans="1:1">
      <c r="A40851" s="27"/>
    </row>
    <row r="40852" spans="1:1">
      <c r="A40852" s="27"/>
    </row>
    <row r="40853" spans="1:1">
      <c r="A40853" s="27"/>
    </row>
    <row r="40854" spans="1:1">
      <c r="A40854" s="27"/>
    </row>
    <row r="40855" spans="1:1">
      <c r="A40855" s="27"/>
    </row>
    <row r="40856" spans="1:1">
      <c r="A40856" s="27"/>
    </row>
    <row r="40857" spans="1:1">
      <c r="A40857" s="27"/>
    </row>
    <row r="40858" spans="1:1">
      <c r="A40858" s="27"/>
    </row>
    <row r="40859" spans="1:1">
      <c r="A40859" s="27"/>
    </row>
    <row r="40860" spans="1:1">
      <c r="A40860" s="27"/>
    </row>
    <row r="40861" spans="1:1">
      <c r="A40861" s="27"/>
    </row>
    <row r="40862" spans="1:1">
      <c r="A40862" s="27"/>
    </row>
    <row r="40863" spans="1:1">
      <c r="A40863" s="27"/>
    </row>
    <row r="40864" spans="1:1">
      <c r="A40864" s="27"/>
    </row>
    <row r="40865" spans="1:1">
      <c r="A40865" s="27"/>
    </row>
    <row r="40866" spans="1:1">
      <c r="A40866" s="27"/>
    </row>
    <row r="40867" spans="1:1">
      <c r="A40867" s="27"/>
    </row>
    <row r="40868" spans="1:1">
      <c r="A40868" s="27"/>
    </row>
    <row r="40869" spans="1:1">
      <c r="A40869" s="27"/>
    </row>
    <row r="40870" spans="1:1">
      <c r="A40870" s="27"/>
    </row>
    <row r="40871" spans="1:1">
      <c r="A40871" s="27"/>
    </row>
    <row r="40872" spans="1:1">
      <c r="A40872" s="27"/>
    </row>
    <row r="40873" spans="1:1">
      <c r="A40873" s="27"/>
    </row>
    <row r="40874" spans="1:1">
      <c r="A40874" s="27"/>
    </row>
    <row r="40875" spans="1:1">
      <c r="A40875" s="27"/>
    </row>
    <row r="40876" spans="1:1">
      <c r="A40876" s="27"/>
    </row>
    <row r="40877" spans="1:1">
      <c r="A40877" s="27"/>
    </row>
    <row r="40878" spans="1:1">
      <c r="A40878" s="27"/>
    </row>
    <row r="40879" spans="1:1">
      <c r="A40879" s="27"/>
    </row>
    <row r="40880" spans="1:1">
      <c r="A40880" s="27"/>
    </row>
    <row r="40881" spans="1:1">
      <c r="A40881" s="27"/>
    </row>
    <row r="40882" spans="1:1">
      <c r="A40882" s="27"/>
    </row>
    <row r="40883" spans="1:1">
      <c r="A40883" s="27"/>
    </row>
    <row r="40884" spans="1:1">
      <c r="A40884" s="27"/>
    </row>
    <row r="40885" spans="1:1">
      <c r="A40885" s="27"/>
    </row>
    <row r="40886" spans="1:1">
      <c r="A40886" s="27"/>
    </row>
    <row r="40887" spans="1:1">
      <c r="A40887" s="27"/>
    </row>
    <row r="40888" spans="1:1">
      <c r="A40888" s="27"/>
    </row>
    <row r="40889" spans="1:1">
      <c r="A40889" s="27"/>
    </row>
    <row r="40890" spans="1:1">
      <c r="A40890" s="27"/>
    </row>
    <row r="40891" spans="1:1">
      <c r="A40891" s="27"/>
    </row>
    <row r="40892" spans="1:1">
      <c r="A40892" s="27"/>
    </row>
    <row r="40893" spans="1:1">
      <c r="A40893" s="27"/>
    </row>
    <row r="40894" spans="1:1">
      <c r="A40894" s="27"/>
    </row>
    <row r="40895" spans="1:1">
      <c r="A40895" s="27"/>
    </row>
    <row r="40896" spans="1:1">
      <c r="A40896" s="27"/>
    </row>
    <row r="40897" spans="1:1">
      <c r="A40897" s="27"/>
    </row>
    <row r="40898" spans="1:1">
      <c r="A40898" s="27"/>
    </row>
    <row r="40899" spans="1:1">
      <c r="A40899" s="27"/>
    </row>
    <row r="40900" spans="1:1">
      <c r="A40900" s="27"/>
    </row>
    <row r="40901" spans="1:1">
      <c r="A40901" s="27"/>
    </row>
    <row r="40902" spans="1:1">
      <c r="A40902" s="27"/>
    </row>
    <row r="40903" spans="1:1">
      <c r="A40903" s="27"/>
    </row>
    <row r="40904" spans="1:1">
      <c r="A40904" s="27"/>
    </row>
    <row r="40905" spans="1:1">
      <c r="A40905" s="27"/>
    </row>
    <row r="40906" spans="1:1">
      <c r="A40906" s="27"/>
    </row>
    <row r="40907" spans="1:1">
      <c r="A40907" s="27"/>
    </row>
    <row r="40908" spans="1:1">
      <c r="A40908" s="27"/>
    </row>
    <row r="40909" spans="1:1">
      <c r="A40909" s="27"/>
    </row>
    <row r="40910" spans="1:1">
      <c r="A40910" s="27"/>
    </row>
    <row r="40911" spans="1:1">
      <c r="A40911" s="27"/>
    </row>
    <row r="40912" spans="1:1">
      <c r="A40912" s="27"/>
    </row>
    <row r="40913" spans="1:1">
      <c r="A40913" s="27"/>
    </row>
    <row r="40914" spans="1:1">
      <c r="A40914" s="27"/>
    </row>
    <row r="40915" spans="1:1">
      <c r="A40915" s="27"/>
    </row>
    <row r="40916" spans="1:1">
      <c r="A40916" s="27"/>
    </row>
    <row r="40917" spans="1:1">
      <c r="A40917" s="27"/>
    </row>
    <row r="40918" spans="1:1">
      <c r="A40918" s="27"/>
    </row>
    <row r="40919" spans="1:1">
      <c r="A40919" s="27"/>
    </row>
    <row r="40920" spans="1:1">
      <c r="A40920" s="27"/>
    </row>
    <row r="40921" spans="1:1">
      <c r="A40921" s="27"/>
    </row>
    <row r="40922" spans="1:1">
      <c r="A40922" s="27"/>
    </row>
    <row r="40923" spans="1:1">
      <c r="A40923" s="27"/>
    </row>
    <row r="40924" spans="1:1">
      <c r="A40924" s="27"/>
    </row>
    <row r="40925" spans="1:1">
      <c r="A40925" s="27"/>
    </row>
    <row r="40926" spans="1:1">
      <c r="A40926" s="27"/>
    </row>
    <row r="40927" spans="1:1">
      <c r="A40927" s="27"/>
    </row>
    <row r="40928" spans="1:1">
      <c r="A40928" s="27"/>
    </row>
    <row r="40929" spans="1:1">
      <c r="A40929" s="27"/>
    </row>
    <row r="40930" spans="1:1">
      <c r="A40930" s="27"/>
    </row>
    <row r="40931" spans="1:1">
      <c r="A40931" s="27"/>
    </row>
    <row r="40932" spans="1:1">
      <c r="A40932" s="27"/>
    </row>
    <row r="40933" spans="1:1">
      <c r="A40933" s="27"/>
    </row>
    <row r="40934" spans="1:1">
      <c r="A40934" s="27"/>
    </row>
    <row r="40935" spans="1:1">
      <c r="A40935" s="27"/>
    </row>
    <row r="40936" spans="1:1">
      <c r="A40936" s="27"/>
    </row>
    <row r="40937" spans="1:1">
      <c r="A40937" s="27"/>
    </row>
    <row r="40938" spans="1:1">
      <c r="A40938" s="27"/>
    </row>
    <row r="40939" spans="1:1">
      <c r="A40939" s="27"/>
    </row>
    <row r="40940" spans="1:1">
      <c r="A40940" s="27"/>
    </row>
    <row r="40941" spans="1:1">
      <c r="A40941" s="27"/>
    </row>
    <row r="40942" spans="1:1">
      <c r="A40942" s="27"/>
    </row>
    <row r="40943" spans="1:1">
      <c r="A40943" s="27"/>
    </row>
    <row r="40944" spans="1:1">
      <c r="A40944" s="27"/>
    </row>
    <row r="40945" spans="1:1">
      <c r="A40945" s="27"/>
    </row>
    <row r="40946" spans="1:1">
      <c r="A40946" s="27"/>
    </row>
    <row r="40947" spans="1:1">
      <c r="A40947" s="27"/>
    </row>
    <row r="40948" spans="1:1">
      <c r="A40948" s="27"/>
    </row>
    <row r="40949" spans="1:1">
      <c r="A40949" s="27"/>
    </row>
    <row r="40950" spans="1:1">
      <c r="A40950" s="27"/>
    </row>
    <row r="40951" spans="1:1">
      <c r="A40951" s="27"/>
    </row>
    <row r="40952" spans="1:1">
      <c r="A40952" s="27"/>
    </row>
    <row r="40953" spans="1:1">
      <c r="A40953" s="27"/>
    </row>
    <row r="40954" spans="1:1">
      <c r="A40954" s="27"/>
    </row>
    <row r="40955" spans="1:1">
      <c r="A40955" s="27"/>
    </row>
    <row r="40956" spans="1:1">
      <c r="A40956" s="27"/>
    </row>
    <row r="40957" spans="1:1">
      <c r="A40957" s="27"/>
    </row>
    <row r="40958" spans="1:1">
      <c r="A40958" s="27"/>
    </row>
    <row r="40959" spans="1:1">
      <c r="A40959" s="27"/>
    </row>
    <row r="40960" spans="1:1">
      <c r="A40960" s="27"/>
    </row>
    <row r="40961" spans="1:1">
      <c r="A40961" s="27"/>
    </row>
    <row r="40962" spans="1:1">
      <c r="A40962" s="27"/>
    </row>
    <row r="40963" spans="1:1">
      <c r="A40963" s="27"/>
    </row>
    <row r="40964" spans="1:1">
      <c r="A40964" s="27"/>
    </row>
    <row r="40965" spans="1:1">
      <c r="A40965" s="27"/>
    </row>
    <row r="40966" spans="1:1">
      <c r="A40966" s="27"/>
    </row>
    <row r="40967" spans="1:1">
      <c r="A40967" s="27"/>
    </row>
    <row r="40968" spans="1:1">
      <c r="A40968" s="27"/>
    </row>
    <row r="40969" spans="1:1">
      <c r="A40969" s="27"/>
    </row>
    <row r="40970" spans="1:1">
      <c r="A40970" s="27"/>
    </row>
    <row r="40971" spans="1:1">
      <c r="A40971" s="27"/>
    </row>
    <row r="40972" spans="1:1">
      <c r="A40972" s="27"/>
    </row>
    <row r="40973" spans="1:1">
      <c r="A40973" s="27"/>
    </row>
    <row r="40974" spans="1:1">
      <c r="A40974" s="27"/>
    </row>
    <row r="40975" spans="1:1">
      <c r="A40975" s="27"/>
    </row>
    <row r="40976" spans="1:1">
      <c r="A40976" s="27"/>
    </row>
    <row r="40977" spans="1:1">
      <c r="A40977" s="27"/>
    </row>
    <row r="40978" spans="1:1">
      <c r="A40978" s="27"/>
    </row>
    <row r="40979" spans="1:1">
      <c r="A40979" s="27"/>
    </row>
    <row r="40980" spans="1:1">
      <c r="A40980" s="27"/>
    </row>
    <row r="40981" spans="1:1">
      <c r="A40981" s="27"/>
    </row>
    <row r="40982" spans="1:1">
      <c r="A40982" s="27"/>
    </row>
    <row r="40983" spans="1:1">
      <c r="A40983" s="27"/>
    </row>
    <row r="40984" spans="1:1">
      <c r="A40984" s="27"/>
    </row>
    <row r="40985" spans="1:1">
      <c r="A40985" s="27"/>
    </row>
    <row r="40986" spans="1:1">
      <c r="A40986" s="27"/>
    </row>
    <row r="40987" spans="1:1">
      <c r="A40987" s="27"/>
    </row>
    <row r="40988" spans="1:1">
      <c r="A40988" s="27"/>
    </row>
    <row r="40989" spans="1:1">
      <c r="A40989" s="27"/>
    </row>
    <row r="40990" spans="1:1">
      <c r="A40990" s="27"/>
    </row>
    <row r="40991" spans="1:1">
      <c r="A40991" s="27"/>
    </row>
    <row r="40992" spans="1:1">
      <c r="A40992" s="27"/>
    </row>
    <row r="40993" spans="1:1">
      <c r="A40993" s="27"/>
    </row>
    <row r="40994" spans="1:1">
      <c r="A40994" s="27"/>
    </row>
    <row r="40995" spans="1:1">
      <c r="A40995" s="27"/>
    </row>
    <row r="40996" spans="1:1">
      <c r="A40996" s="27"/>
    </row>
    <row r="40997" spans="1:1">
      <c r="A40997" s="27"/>
    </row>
    <row r="40998" spans="1:1">
      <c r="A40998" s="27"/>
    </row>
    <row r="40999" spans="1:1">
      <c r="A40999" s="27"/>
    </row>
    <row r="41000" spans="1:1">
      <c r="A41000" s="27"/>
    </row>
    <row r="41001" spans="1:1">
      <c r="A41001" s="27"/>
    </row>
    <row r="41002" spans="1:1">
      <c r="A41002" s="27"/>
    </row>
    <row r="41003" spans="1:1">
      <c r="A41003" s="27"/>
    </row>
    <row r="41004" spans="1:1">
      <c r="A41004" s="27"/>
    </row>
    <row r="41005" spans="1:1">
      <c r="A41005" s="27"/>
    </row>
    <row r="41006" spans="1:1">
      <c r="A41006" s="27"/>
    </row>
    <row r="41007" spans="1:1">
      <c r="A41007" s="27"/>
    </row>
    <row r="41008" spans="1:1">
      <c r="A41008" s="27"/>
    </row>
    <row r="41009" spans="1:1">
      <c r="A41009" s="27"/>
    </row>
    <row r="41010" spans="1:1">
      <c r="A41010" s="27"/>
    </row>
    <row r="41011" spans="1:1">
      <c r="A41011" s="27"/>
    </row>
    <row r="41012" spans="1:1">
      <c r="A41012" s="27"/>
    </row>
    <row r="41013" spans="1:1">
      <c r="A41013" s="27"/>
    </row>
    <row r="41014" spans="1:1">
      <c r="A41014" s="27"/>
    </row>
    <row r="41015" spans="1:1">
      <c r="A41015" s="27"/>
    </row>
    <row r="41016" spans="1:1">
      <c r="A41016" s="27"/>
    </row>
    <row r="41017" spans="1:1">
      <c r="A41017" s="27"/>
    </row>
    <row r="41018" spans="1:1">
      <c r="A41018" s="27"/>
    </row>
    <row r="41019" spans="1:1">
      <c r="A41019" s="27"/>
    </row>
    <row r="41020" spans="1:1">
      <c r="A41020" s="27"/>
    </row>
    <row r="41021" spans="1:1">
      <c r="A41021" s="27"/>
    </row>
    <row r="41022" spans="1:1">
      <c r="A41022" s="27"/>
    </row>
    <row r="41023" spans="1:1">
      <c r="A41023" s="27"/>
    </row>
    <row r="41024" spans="1:1">
      <c r="A41024" s="27"/>
    </row>
    <row r="41025" spans="1:1">
      <c r="A41025" s="27"/>
    </row>
    <row r="41026" spans="1:1">
      <c r="A41026" s="27"/>
    </row>
    <row r="41027" spans="1:1">
      <c r="A41027" s="27"/>
    </row>
    <row r="41028" spans="1:1">
      <c r="A41028" s="27"/>
    </row>
    <row r="41029" spans="1:1">
      <c r="A41029" s="27"/>
    </row>
    <row r="41030" spans="1:1">
      <c r="A41030" s="27"/>
    </row>
    <row r="41031" spans="1:1">
      <c r="A41031" s="27"/>
    </row>
    <row r="41032" spans="1:1">
      <c r="A41032" s="27"/>
    </row>
    <row r="41033" spans="1:1">
      <c r="A41033" s="27"/>
    </row>
    <row r="41034" spans="1:1">
      <c r="A41034" s="27"/>
    </row>
    <row r="41035" spans="1:1">
      <c r="A41035" s="27"/>
    </row>
    <row r="41036" spans="1:1">
      <c r="A41036" s="27"/>
    </row>
    <row r="41037" spans="1:1">
      <c r="A41037" s="27"/>
    </row>
    <row r="41038" spans="1:1">
      <c r="A41038" s="27"/>
    </row>
    <row r="41039" spans="1:1">
      <c r="A41039" s="27"/>
    </row>
    <row r="41040" spans="1:1">
      <c r="A41040" s="27"/>
    </row>
    <row r="41041" spans="1:1">
      <c r="A41041" s="27"/>
    </row>
    <row r="41042" spans="1:1">
      <c r="A41042" s="27"/>
    </row>
    <row r="41043" spans="1:1">
      <c r="A41043" s="27"/>
    </row>
    <row r="41044" spans="1:1">
      <c r="A41044" s="27"/>
    </row>
    <row r="41045" spans="1:1">
      <c r="A41045" s="27"/>
    </row>
    <row r="41046" spans="1:1">
      <c r="A41046" s="27"/>
    </row>
    <row r="41047" spans="1:1">
      <c r="A41047" s="27"/>
    </row>
    <row r="41048" spans="1:1">
      <c r="A41048" s="27"/>
    </row>
    <row r="41049" spans="1:1">
      <c r="A41049" s="27"/>
    </row>
    <row r="41050" spans="1:1">
      <c r="A41050" s="27"/>
    </row>
    <row r="41051" spans="1:1">
      <c r="A41051" s="27"/>
    </row>
    <row r="41052" spans="1:1">
      <c r="A41052" s="27"/>
    </row>
    <row r="41053" spans="1:1">
      <c r="A41053" s="27"/>
    </row>
    <row r="41054" spans="1:1">
      <c r="A41054" s="27"/>
    </row>
    <row r="41055" spans="1:1">
      <c r="A41055" s="27"/>
    </row>
    <row r="41056" spans="1:1">
      <c r="A41056" s="27"/>
    </row>
    <row r="41057" spans="1:1">
      <c r="A41057" s="27"/>
    </row>
    <row r="41058" spans="1:1">
      <c r="A41058" s="27"/>
    </row>
    <row r="41059" spans="1:1">
      <c r="A41059" s="27"/>
    </row>
    <row r="41060" spans="1:1">
      <c r="A41060" s="27"/>
    </row>
    <row r="41061" spans="1:1">
      <c r="A41061" s="27"/>
    </row>
    <row r="41062" spans="1:1">
      <c r="A41062" s="27"/>
    </row>
    <row r="41063" spans="1:1">
      <c r="A41063" s="27"/>
    </row>
    <row r="41064" spans="1:1">
      <c r="A41064" s="27"/>
    </row>
    <row r="41065" spans="1:1">
      <c r="A41065" s="27"/>
    </row>
    <row r="41066" spans="1:1">
      <c r="A41066" s="27"/>
    </row>
    <row r="41067" spans="1:1">
      <c r="A41067" s="27"/>
    </row>
    <row r="41068" spans="1:1">
      <c r="A41068" s="27"/>
    </row>
    <row r="41069" spans="1:1">
      <c r="A41069" s="27"/>
    </row>
    <row r="41070" spans="1:1">
      <c r="A41070" s="27"/>
    </row>
    <row r="41071" spans="1:1">
      <c r="A41071" s="27"/>
    </row>
    <row r="41072" spans="1:1">
      <c r="A41072" s="27"/>
    </row>
    <row r="41073" spans="1:1">
      <c r="A41073" s="27"/>
    </row>
    <row r="41074" spans="1:1">
      <c r="A41074" s="27"/>
    </row>
    <row r="41075" spans="1:1">
      <c r="A41075" s="27"/>
    </row>
    <row r="41076" spans="1:1">
      <c r="A41076" s="27"/>
    </row>
    <row r="41077" spans="1:1">
      <c r="A41077" s="27"/>
    </row>
    <row r="41078" spans="1:1">
      <c r="A41078" s="27"/>
    </row>
    <row r="41079" spans="1:1">
      <c r="A41079" s="27"/>
    </row>
    <row r="41080" spans="1:1">
      <c r="A41080" s="27"/>
    </row>
    <row r="41081" spans="1:1">
      <c r="A41081" s="27"/>
    </row>
    <row r="41082" spans="1:1">
      <c r="A41082" s="27"/>
    </row>
    <row r="41083" spans="1:1">
      <c r="A41083" s="27"/>
    </row>
    <row r="41084" spans="1:1">
      <c r="A41084" s="27"/>
    </row>
    <row r="41085" spans="1:1">
      <c r="A41085" s="27"/>
    </row>
    <row r="41086" spans="1:1">
      <c r="A41086" s="27"/>
    </row>
    <row r="41087" spans="1:1">
      <c r="A41087" s="27"/>
    </row>
    <row r="41088" spans="1:1">
      <c r="A41088" s="27"/>
    </row>
    <row r="41089" spans="1:1">
      <c r="A41089" s="27"/>
    </row>
    <row r="41090" spans="1:1">
      <c r="A41090" s="27"/>
    </row>
    <row r="41091" spans="1:1">
      <c r="A41091" s="27"/>
    </row>
    <row r="41092" spans="1:1">
      <c r="A41092" s="27"/>
    </row>
    <row r="41093" spans="1:1">
      <c r="A41093" s="27"/>
    </row>
    <row r="41094" spans="1:1">
      <c r="A41094" s="27"/>
    </row>
    <row r="41095" spans="1:1">
      <c r="A41095" s="27"/>
    </row>
    <row r="41096" spans="1:1">
      <c r="A41096" s="27"/>
    </row>
    <row r="41097" spans="1:1">
      <c r="A41097" s="27"/>
    </row>
    <row r="41098" spans="1:1">
      <c r="A41098" s="27"/>
    </row>
    <row r="41099" spans="1:1">
      <c r="A41099" s="27"/>
    </row>
    <row r="41100" spans="1:1">
      <c r="A41100" s="27"/>
    </row>
    <row r="41101" spans="1:1">
      <c r="A41101" s="27"/>
    </row>
    <row r="41102" spans="1:1">
      <c r="A41102" s="27"/>
    </row>
    <row r="41103" spans="1:1">
      <c r="A41103" s="27"/>
    </row>
    <row r="41104" spans="1:1">
      <c r="A41104" s="27"/>
    </row>
    <row r="41105" spans="1:1">
      <c r="A41105" s="27"/>
    </row>
    <row r="41106" spans="1:1">
      <c r="A41106" s="27"/>
    </row>
    <row r="41107" spans="1:1">
      <c r="A41107" s="27"/>
    </row>
    <row r="41108" spans="1:1">
      <c r="A41108" s="27"/>
    </row>
    <row r="41109" spans="1:1">
      <c r="A41109" s="27"/>
    </row>
    <row r="41110" spans="1:1">
      <c r="A41110" s="27"/>
    </row>
    <row r="41111" spans="1:1">
      <c r="A41111" s="27"/>
    </row>
    <row r="41112" spans="1:1">
      <c r="A41112" s="27"/>
    </row>
    <row r="41113" spans="1:1">
      <c r="A41113" s="27"/>
    </row>
    <row r="41114" spans="1:1">
      <c r="A41114" s="27"/>
    </row>
    <row r="41115" spans="1:1">
      <c r="A41115" s="27"/>
    </row>
    <row r="41116" spans="1:1">
      <c r="A41116" s="27"/>
    </row>
    <row r="41117" spans="1:1">
      <c r="A41117" s="27"/>
    </row>
    <row r="41118" spans="1:1">
      <c r="A41118" s="27"/>
    </row>
    <row r="41119" spans="1:1">
      <c r="A41119" s="27"/>
    </row>
    <row r="41120" spans="1:1">
      <c r="A41120" s="27"/>
    </row>
    <row r="41121" spans="1:1">
      <c r="A41121" s="27"/>
    </row>
    <row r="41122" spans="1:1">
      <c r="A41122" s="27"/>
    </row>
    <row r="41123" spans="1:1">
      <c r="A41123" s="27"/>
    </row>
    <row r="41124" spans="1:1">
      <c r="A41124" s="27"/>
    </row>
    <row r="41125" spans="1:1">
      <c r="A41125" s="27"/>
    </row>
    <row r="41126" spans="1:1">
      <c r="A41126" s="27"/>
    </row>
    <row r="41127" spans="1:1">
      <c r="A41127" s="27"/>
    </row>
    <row r="41128" spans="1:1">
      <c r="A41128" s="27"/>
    </row>
    <row r="41129" spans="1:1">
      <c r="A41129" s="27"/>
    </row>
    <row r="41130" spans="1:1">
      <c r="A41130" s="27"/>
    </row>
    <row r="41131" spans="1:1">
      <c r="A41131" s="27"/>
    </row>
    <row r="41132" spans="1:1">
      <c r="A41132" s="27"/>
    </row>
    <row r="41133" spans="1:1">
      <c r="A41133" s="27"/>
    </row>
    <row r="41134" spans="1:1">
      <c r="A41134" s="27"/>
    </row>
    <row r="41135" spans="1:1">
      <c r="A41135" s="27"/>
    </row>
    <row r="41136" spans="1:1">
      <c r="A41136" s="27"/>
    </row>
    <row r="41137" spans="1:1">
      <c r="A41137" s="27"/>
    </row>
    <row r="41138" spans="1:1">
      <c r="A41138" s="27"/>
    </row>
    <row r="41139" spans="1:1">
      <c r="A41139" s="27"/>
    </row>
    <row r="41140" spans="1:1">
      <c r="A41140" s="27"/>
    </row>
    <row r="41141" spans="1:1">
      <c r="A41141" s="27"/>
    </row>
    <row r="41142" spans="1:1">
      <c r="A41142" s="27"/>
    </row>
    <row r="41143" spans="1:1">
      <c r="A41143" s="27"/>
    </row>
    <row r="41144" spans="1:1">
      <c r="A41144" s="27"/>
    </row>
    <row r="41145" spans="1:1">
      <c r="A41145" s="27"/>
    </row>
    <row r="41146" spans="1:1">
      <c r="A41146" s="27"/>
    </row>
    <row r="41147" spans="1:1">
      <c r="A41147" s="27"/>
    </row>
    <row r="41148" spans="1:1">
      <c r="A41148" s="27"/>
    </row>
    <row r="41149" spans="1:1">
      <c r="A41149" s="27"/>
    </row>
    <row r="41150" spans="1:1">
      <c r="A41150" s="27"/>
    </row>
    <row r="41151" spans="1:1">
      <c r="A41151" s="27"/>
    </row>
    <row r="41152" spans="1:1">
      <c r="A41152" s="27"/>
    </row>
    <row r="41153" spans="1:1">
      <c r="A41153" s="27"/>
    </row>
    <row r="41154" spans="1:1">
      <c r="A41154" s="27"/>
    </row>
    <row r="41155" spans="1:1">
      <c r="A41155" s="27"/>
    </row>
    <row r="41156" spans="1:1">
      <c r="A41156" s="27"/>
    </row>
    <row r="41157" spans="1:1">
      <c r="A41157" s="27"/>
    </row>
    <row r="41158" spans="1:1">
      <c r="A41158" s="27"/>
    </row>
    <row r="41159" spans="1:1">
      <c r="A41159" s="27"/>
    </row>
    <row r="41160" spans="1:1">
      <c r="A41160" s="27"/>
    </row>
    <row r="41161" spans="1:1">
      <c r="A41161" s="27"/>
    </row>
    <row r="41162" spans="1:1">
      <c r="A41162" s="27"/>
    </row>
    <row r="41163" spans="1:1">
      <c r="A41163" s="27"/>
    </row>
    <row r="41164" spans="1:1">
      <c r="A41164" s="27"/>
    </row>
    <row r="41165" spans="1:1">
      <c r="A41165" s="27"/>
    </row>
    <row r="41166" spans="1:1">
      <c r="A41166" s="27"/>
    </row>
    <row r="41167" spans="1:1">
      <c r="A41167" s="27"/>
    </row>
    <row r="41168" spans="1:1">
      <c r="A41168" s="27"/>
    </row>
    <row r="41169" spans="1:1">
      <c r="A41169" s="27"/>
    </row>
    <row r="41170" spans="1:1">
      <c r="A41170" s="27"/>
    </row>
    <row r="41171" spans="1:1">
      <c r="A41171" s="27"/>
    </row>
    <row r="41172" spans="1:1">
      <c r="A41172" s="27"/>
    </row>
    <row r="41173" spans="1:1">
      <c r="A41173" s="27"/>
    </row>
    <row r="41174" spans="1:1">
      <c r="A41174" s="27"/>
    </row>
    <row r="41175" spans="1:1">
      <c r="A41175" s="27"/>
    </row>
    <row r="41176" spans="1:1">
      <c r="A41176" s="27"/>
    </row>
    <row r="41177" spans="1:1">
      <c r="A41177" s="27"/>
    </row>
    <row r="41178" spans="1:1">
      <c r="A41178" s="27"/>
    </row>
    <row r="41179" spans="1:1">
      <c r="A41179" s="27"/>
    </row>
    <row r="41180" spans="1:1">
      <c r="A41180" s="27"/>
    </row>
    <row r="41181" spans="1:1">
      <c r="A41181" s="27"/>
    </row>
    <row r="41182" spans="1:1">
      <c r="A41182" s="27"/>
    </row>
    <row r="41183" spans="1:1">
      <c r="A41183" s="27"/>
    </row>
    <row r="41184" spans="1:1">
      <c r="A41184" s="27"/>
    </row>
    <row r="41185" spans="1:1">
      <c r="A41185" s="27"/>
    </row>
    <row r="41186" spans="1:1">
      <c r="A41186" s="27"/>
    </row>
    <row r="41187" spans="1:1">
      <c r="A41187" s="27"/>
    </row>
    <row r="41188" spans="1:1">
      <c r="A41188" s="27"/>
    </row>
    <row r="41189" spans="1:1">
      <c r="A41189" s="27"/>
    </row>
    <row r="41190" spans="1:1">
      <c r="A41190" s="27"/>
    </row>
    <row r="41191" spans="1:1">
      <c r="A41191" s="27"/>
    </row>
    <row r="41192" spans="1:1">
      <c r="A41192" s="27"/>
    </row>
    <row r="41193" spans="1:1">
      <c r="A41193" s="27"/>
    </row>
    <row r="41194" spans="1:1">
      <c r="A41194" s="27"/>
    </row>
    <row r="41195" spans="1:1">
      <c r="A41195" s="27"/>
    </row>
    <row r="41196" spans="1:1">
      <c r="A41196" s="27"/>
    </row>
    <row r="41197" spans="1:1">
      <c r="A41197" s="27"/>
    </row>
    <row r="41198" spans="1:1">
      <c r="A41198" s="27"/>
    </row>
    <row r="41199" spans="1:1">
      <c r="A41199" s="27"/>
    </row>
    <row r="41200" spans="1:1">
      <c r="A41200" s="27"/>
    </row>
    <row r="41201" spans="1:1">
      <c r="A41201" s="27"/>
    </row>
    <row r="41202" spans="1:1">
      <c r="A41202" s="27"/>
    </row>
    <row r="41203" spans="1:1">
      <c r="A41203" s="27"/>
    </row>
    <row r="41204" spans="1:1">
      <c r="A41204" s="27"/>
    </row>
    <row r="41205" spans="1:1">
      <c r="A41205" s="27"/>
    </row>
    <row r="41206" spans="1:1">
      <c r="A41206" s="27"/>
    </row>
    <row r="41207" spans="1:1">
      <c r="A41207" s="27"/>
    </row>
    <row r="41208" spans="1:1">
      <c r="A41208" s="27"/>
    </row>
    <row r="41209" spans="1:1">
      <c r="A41209" s="27"/>
    </row>
    <row r="41210" spans="1:1">
      <c r="A41210" s="27"/>
    </row>
    <row r="41211" spans="1:1">
      <c r="A41211" s="27"/>
    </row>
    <row r="41212" spans="1:1">
      <c r="A41212" s="27"/>
    </row>
    <row r="41213" spans="1:1">
      <c r="A41213" s="27"/>
    </row>
    <row r="41214" spans="1:1">
      <c r="A41214" s="27"/>
    </row>
    <row r="41215" spans="1:1">
      <c r="A41215" s="27"/>
    </row>
    <row r="41216" spans="1:1">
      <c r="A41216" s="27"/>
    </row>
    <row r="41217" spans="1:1">
      <c r="A41217" s="27"/>
    </row>
    <row r="41218" spans="1:1">
      <c r="A41218" s="27"/>
    </row>
    <row r="41219" spans="1:1">
      <c r="A41219" s="27"/>
    </row>
    <row r="41220" spans="1:1">
      <c r="A41220" s="27"/>
    </row>
    <row r="41221" spans="1:1">
      <c r="A41221" s="27"/>
    </row>
    <row r="41222" spans="1:1">
      <c r="A41222" s="27"/>
    </row>
    <row r="41223" spans="1:1">
      <c r="A41223" s="27"/>
    </row>
    <row r="41224" spans="1:1">
      <c r="A41224" s="27"/>
    </row>
    <row r="41225" spans="1:1">
      <c r="A41225" s="27"/>
    </row>
    <row r="41226" spans="1:1">
      <c r="A41226" s="27"/>
    </row>
    <row r="41227" spans="1:1">
      <c r="A41227" s="27"/>
    </row>
    <row r="41228" spans="1:1">
      <c r="A41228" s="27"/>
    </row>
    <row r="41229" spans="1:1">
      <c r="A41229" s="27"/>
    </row>
    <row r="41230" spans="1:1">
      <c r="A41230" s="27"/>
    </row>
    <row r="41231" spans="1:1">
      <c r="A41231" s="27"/>
    </row>
    <row r="41232" spans="1:1">
      <c r="A41232" s="27"/>
    </row>
    <row r="41233" spans="1:1">
      <c r="A41233" s="27"/>
    </row>
    <row r="41234" spans="1:1">
      <c r="A41234" s="27"/>
    </row>
    <row r="41235" spans="1:1">
      <c r="A41235" s="27"/>
    </row>
    <row r="41236" spans="1:1">
      <c r="A41236" s="27"/>
    </row>
    <row r="41237" spans="1:1">
      <c r="A41237" s="27"/>
    </row>
    <row r="41238" spans="1:1">
      <c r="A41238" s="27"/>
    </row>
    <row r="41239" spans="1:1">
      <c r="A41239" s="27"/>
    </row>
    <row r="41240" spans="1:1">
      <c r="A41240" s="27"/>
    </row>
    <row r="41241" spans="1:1">
      <c r="A41241" s="27"/>
    </row>
    <row r="41242" spans="1:1">
      <c r="A41242" s="27"/>
    </row>
    <row r="41243" spans="1:1">
      <c r="A41243" s="27"/>
    </row>
    <row r="41244" spans="1:1">
      <c r="A41244" s="27"/>
    </row>
    <row r="41245" spans="1:1">
      <c r="A41245" s="27"/>
    </row>
    <row r="41246" spans="1:1">
      <c r="A41246" s="27"/>
    </row>
    <row r="41247" spans="1:1">
      <c r="A41247" s="27"/>
    </row>
    <row r="41248" spans="1:1">
      <c r="A41248" s="27"/>
    </row>
    <row r="41249" spans="1:1">
      <c r="A41249" s="27"/>
    </row>
    <row r="41250" spans="1:1">
      <c r="A41250" s="27"/>
    </row>
    <row r="41251" spans="1:1">
      <c r="A41251" s="27"/>
    </row>
    <row r="41252" spans="1:1">
      <c r="A41252" s="27"/>
    </row>
    <row r="41253" spans="1:1">
      <c r="A41253" s="27"/>
    </row>
    <row r="41254" spans="1:1">
      <c r="A41254" s="27"/>
    </row>
    <row r="41255" spans="1:1">
      <c r="A41255" s="27"/>
    </row>
    <row r="41256" spans="1:1">
      <c r="A41256" s="27"/>
    </row>
    <row r="41257" spans="1:1">
      <c r="A41257" s="27"/>
    </row>
    <row r="41258" spans="1:1">
      <c r="A41258" s="27"/>
    </row>
    <row r="41259" spans="1:1">
      <c r="A41259" s="27"/>
    </row>
    <row r="41260" spans="1:1">
      <c r="A41260" s="27"/>
    </row>
    <row r="41261" spans="1:1">
      <c r="A41261" s="27"/>
    </row>
    <row r="41262" spans="1:1">
      <c r="A41262" s="27"/>
    </row>
    <row r="41263" spans="1:1">
      <c r="A41263" s="27"/>
    </row>
    <row r="41264" spans="1:1">
      <c r="A41264" s="27"/>
    </row>
    <row r="41265" spans="1:1">
      <c r="A41265" s="27"/>
    </row>
    <row r="41266" spans="1:1">
      <c r="A41266" s="27"/>
    </row>
    <row r="41267" spans="1:1">
      <c r="A41267" s="27"/>
    </row>
    <row r="41268" spans="1:1">
      <c r="A41268" s="27"/>
    </row>
    <row r="41269" spans="1:1">
      <c r="A41269" s="27"/>
    </row>
    <row r="41270" spans="1:1">
      <c r="A41270" s="27"/>
    </row>
    <row r="41271" spans="1:1">
      <c r="A41271" s="27"/>
    </row>
    <row r="41272" spans="1:1">
      <c r="A41272" s="27"/>
    </row>
    <row r="41273" spans="1:1">
      <c r="A41273" s="27"/>
    </row>
    <row r="41274" spans="1:1">
      <c r="A41274" s="27"/>
    </row>
    <row r="41275" spans="1:1">
      <c r="A41275" s="27"/>
    </row>
    <row r="41276" spans="1:1">
      <c r="A41276" s="27"/>
    </row>
    <row r="41277" spans="1:1">
      <c r="A41277" s="27"/>
    </row>
    <row r="41278" spans="1:1">
      <c r="A41278" s="27"/>
    </row>
    <row r="41279" spans="1:1">
      <c r="A41279" s="27"/>
    </row>
    <row r="41280" spans="1:1">
      <c r="A41280" s="27"/>
    </row>
    <row r="41281" spans="1:1">
      <c r="A41281" s="27"/>
    </row>
    <row r="41282" spans="1:1">
      <c r="A41282" s="27"/>
    </row>
    <row r="41283" spans="1:1">
      <c r="A41283" s="27"/>
    </row>
    <row r="41284" spans="1:1">
      <c r="A41284" s="27"/>
    </row>
    <row r="41285" spans="1:1">
      <c r="A41285" s="27"/>
    </row>
    <row r="41286" spans="1:1">
      <c r="A41286" s="27"/>
    </row>
    <row r="41287" spans="1:1">
      <c r="A41287" s="27"/>
    </row>
    <row r="41288" spans="1:1">
      <c r="A41288" s="27"/>
    </row>
    <row r="41289" spans="1:1">
      <c r="A41289" s="27"/>
    </row>
    <row r="41290" spans="1:1">
      <c r="A41290" s="27"/>
    </row>
    <row r="41291" spans="1:1">
      <c r="A41291" s="27"/>
    </row>
    <row r="41292" spans="1:1">
      <c r="A41292" s="27"/>
    </row>
    <row r="41293" spans="1:1">
      <c r="A41293" s="27"/>
    </row>
    <row r="41294" spans="1:1">
      <c r="A41294" s="27"/>
    </row>
    <row r="41295" spans="1:1">
      <c r="A41295" s="27"/>
    </row>
    <row r="41296" spans="1:1">
      <c r="A41296" s="27"/>
    </row>
    <row r="41297" spans="1:1">
      <c r="A41297" s="27"/>
    </row>
    <row r="41298" spans="1:1">
      <c r="A41298" s="27"/>
    </row>
    <row r="41299" spans="1:1">
      <c r="A41299" s="27"/>
    </row>
    <row r="41300" spans="1:1">
      <c r="A41300" s="27"/>
    </row>
    <row r="41301" spans="1:1">
      <c r="A41301" s="27"/>
    </row>
    <row r="41302" spans="1:1">
      <c r="A41302" s="27"/>
    </row>
    <row r="41303" spans="1:1">
      <c r="A41303" s="27"/>
    </row>
    <row r="41304" spans="1:1">
      <c r="A41304" s="27"/>
    </row>
    <row r="41305" spans="1:1">
      <c r="A41305" s="27"/>
    </row>
    <row r="41306" spans="1:1">
      <c r="A41306" s="27"/>
    </row>
    <row r="41307" spans="1:1">
      <c r="A41307" s="27"/>
    </row>
    <row r="41308" spans="1:1">
      <c r="A41308" s="27"/>
    </row>
    <row r="41309" spans="1:1">
      <c r="A41309" s="27"/>
    </row>
    <row r="41310" spans="1:1">
      <c r="A41310" s="27"/>
    </row>
    <row r="41311" spans="1:1">
      <c r="A41311" s="27"/>
    </row>
    <row r="41312" spans="1:1">
      <c r="A41312" s="27"/>
    </row>
    <row r="41313" spans="1:1">
      <c r="A41313" s="27"/>
    </row>
    <row r="41314" spans="1:1">
      <c r="A41314" s="27"/>
    </row>
    <row r="41315" spans="1:1">
      <c r="A41315" s="27"/>
    </row>
    <row r="41316" spans="1:1">
      <c r="A41316" s="27"/>
    </row>
    <row r="41317" spans="1:1">
      <c r="A41317" s="27"/>
    </row>
    <row r="41318" spans="1:1">
      <c r="A41318" s="27"/>
    </row>
    <row r="41319" spans="1:1">
      <c r="A41319" s="27"/>
    </row>
    <row r="41320" spans="1:1">
      <c r="A41320" s="27"/>
    </row>
    <row r="41321" spans="1:1">
      <c r="A41321" s="27"/>
    </row>
    <row r="41322" spans="1:1">
      <c r="A41322" s="27"/>
    </row>
    <row r="41323" spans="1:1">
      <c r="A41323" s="27"/>
    </row>
    <row r="41324" spans="1:1">
      <c r="A41324" s="27"/>
    </row>
    <row r="41325" spans="1:1">
      <c r="A41325" s="27"/>
    </row>
    <row r="41326" spans="1:1">
      <c r="A41326" s="27"/>
    </row>
    <row r="41327" spans="1:1">
      <c r="A41327" s="27"/>
    </row>
    <row r="41328" spans="1:1">
      <c r="A41328" s="27"/>
    </row>
    <row r="41329" spans="1:1">
      <c r="A41329" s="27"/>
    </row>
    <row r="41330" spans="1:1">
      <c r="A41330" s="27"/>
    </row>
    <row r="41331" spans="1:1">
      <c r="A41331" s="27"/>
    </row>
    <row r="41332" spans="1:1">
      <c r="A41332" s="27"/>
    </row>
    <row r="41333" spans="1:1">
      <c r="A41333" s="27"/>
    </row>
    <row r="41334" spans="1:1">
      <c r="A41334" s="27"/>
    </row>
    <row r="41335" spans="1:1">
      <c r="A41335" s="27"/>
    </row>
    <row r="41336" spans="1:1">
      <c r="A41336" s="27"/>
    </row>
    <row r="41337" spans="1:1">
      <c r="A41337" s="27"/>
    </row>
    <row r="41338" spans="1:1">
      <c r="A41338" s="27"/>
    </row>
    <row r="41339" spans="1:1">
      <c r="A41339" s="27"/>
    </row>
    <row r="41340" spans="1:1">
      <c r="A41340" s="27"/>
    </row>
    <row r="41341" spans="1:1">
      <c r="A41341" s="27"/>
    </row>
    <row r="41342" spans="1:1">
      <c r="A41342" s="27"/>
    </row>
    <row r="41343" spans="1:1">
      <c r="A41343" s="27"/>
    </row>
    <row r="41344" spans="1:1">
      <c r="A41344" s="27"/>
    </row>
    <row r="41345" spans="1:1">
      <c r="A41345" s="27"/>
    </row>
    <row r="41346" spans="1:1">
      <c r="A41346" s="27"/>
    </row>
    <row r="41347" spans="1:1">
      <c r="A41347" s="27"/>
    </row>
    <row r="41348" spans="1:1">
      <c r="A41348" s="27"/>
    </row>
    <row r="41349" spans="1:1">
      <c r="A41349" s="27"/>
    </row>
    <row r="41350" spans="1:1">
      <c r="A41350" s="27"/>
    </row>
    <row r="41351" spans="1:1">
      <c r="A41351" s="27"/>
    </row>
    <row r="41352" spans="1:1">
      <c r="A41352" s="27"/>
    </row>
    <row r="41353" spans="1:1">
      <c r="A41353" s="27"/>
    </row>
    <row r="41354" spans="1:1">
      <c r="A41354" s="27"/>
    </row>
    <row r="41355" spans="1:1">
      <c r="A41355" s="27"/>
    </row>
    <row r="41356" spans="1:1">
      <c r="A41356" s="27"/>
    </row>
    <row r="41357" spans="1:1">
      <c r="A41357" s="27"/>
    </row>
    <row r="41358" spans="1:1">
      <c r="A41358" s="27"/>
    </row>
    <row r="41359" spans="1:1">
      <c r="A41359" s="27"/>
    </row>
    <row r="41360" spans="1:1">
      <c r="A41360" s="27"/>
    </row>
    <row r="41361" spans="1:1">
      <c r="A41361" s="27"/>
    </row>
    <row r="41362" spans="1:1">
      <c r="A41362" s="27"/>
    </row>
    <row r="41363" spans="1:1">
      <c r="A41363" s="27"/>
    </row>
    <row r="41364" spans="1:1">
      <c r="A41364" s="27"/>
    </row>
    <row r="41365" spans="1:1">
      <c r="A41365" s="27"/>
    </row>
    <row r="41366" spans="1:1">
      <c r="A41366" s="27"/>
    </row>
    <row r="41367" spans="1:1">
      <c r="A41367" s="27"/>
    </row>
    <row r="41368" spans="1:1">
      <c r="A41368" s="27"/>
    </row>
    <row r="41369" spans="1:1">
      <c r="A41369" s="27"/>
    </row>
    <row r="41370" spans="1:1">
      <c r="A41370" s="27"/>
    </row>
    <row r="41371" spans="1:1">
      <c r="A41371" s="27"/>
    </row>
    <row r="41372" spans="1:1">
      <c r="A41372" s="27"/>
    </row>
    <row r="41373" spans="1:1">
      <c r="A41373" s="27"/>
    </row>
    <row r="41374" spans="1:1">
      <c r="A41374" s="27"/>
    </row>
    <row r="41375" spans="1:1">
      <c r="A41375" s="27"/>
    </row>
    <row r="41376" spans="1:1">
      <c r="A41376" s="27"/>
    </row>
    <row r="41377" spans="1:1">
      <c r="A41377" s="27"/>
    </row>
    <row r="41378" spans="1:1">
      <c r="A41378" s="27"/>
    </row>
    <row r="41379" spans="1:1">
      <c r="A41379" s="27"/>
    </row>
    <row r="41380" spans="1:1">
      <c r="A41380" s="27"/>
    </row>
    <row r="41381" spans="1:1">
      <c r="A41381" s="27"/>
    </row>
    <row r="41382" spans="1:1">
      <c r="A41382" s="27"/>
    </row>
    <row r="41383" spans="1:1">
      <c r="A41383" s="27"/>
    </row>
    <row r="41384" spans="1:1">
      <c r="A41384" s="27"/>
    </row>
    <row r="41385" spans="1:1">
      <c r="A41385" s="27"/>
    </row>
    <row r="41386" spans="1:1">
      <c r="A41386" s="27"/>
    </row>
    <row r="41387" spans="1:1">
      <c r="A41387" s="27"/>
    </row>
    <row r="41388" spans="1:1">
      <c r="A41388" s="27"/>
    </row>
    <row r="41389" spans="1:1">
      <c r="A41389" s="27"/>
    </row>
    <row r="41390" spans="1:1">
      <c r="A41390" s="27"/>
    </row>
    <row r="41391" spans="1:1">
      <c r="A41391" s="27"/>
    </row>
    <row r="41392" spans="1:1">
      <c r="A41392" s="27"/>
    </row>
    <row r="41393" spans="1:1">
      <c r="A41393" s="27"/>
    </row>
    <row r="41394" spans="1:1">
      <c r="A41394" s="27"/>
    </row>
    <row r="41395" spans="1:1">
      <c r="A41395" s="27"/>
    </row>
    <row r="41396" spans="1:1">
      <c r="A41396" s="27"/>
    </row>
    <row r="41397" spans="1:1">
      <c r="A41397" s="27"/>
    </row>
    <row r="41398" spans="1:1">
      <c r="A41398" s="27"/>
    </row>
    <row r="41399" spans="1:1">
      <c r="A41399" s="27"/>
    </row>
    <row r="41400" spans="1:1">
      <c r="A41400" s="27"/>
    </row>
    <row r="41401" spans="1:1">
      <c r="A41401" s="27"/>
    </row>
    <row r="41402" spans="1:1">
      <c r="A41402" s="27"/>
    </row>
    <row r="41403" spans="1:1">
      <c r="A41403" s="27"/>
    </row>
    <row r="41404" spans="1:1">
      <c r="A41404" s="27"/>
    </row>
    <row r="41405" spans="1:1">
      <c r="A41405" s="27"/>
    </row>
    <row r="41406" spans="1:1">
      <c r="A41406" s="27"/>
    </row>
    <row r="41407" spans="1:1">
      <c r="A41407" s="27"/>
    </row>
    <row r="41408" spans="1:1">
      <c r="A41408" s="27"/>
    </row>
    <row r="41409" spans="1:1">
      <c r="A41409" s="27"/>
    </row>
    <row r="41410" spans="1:1">
      <c r="A41410" s="27"/>
    </row>
    <row r="41411" spans="1:1">
      <c r="A41411" s="27"/>
    </row>
    <row r="41412" spans="1:1">
      <c r="A41412" s="27"/>
    </row>
    <row r="41413" spans="1:1">
      <c r="A41413" s="27"/>
    </row>
    <row r="41414" spans="1:1">
      <c r="A41414" s="27"/>
    </row>
    <row r="41415" spans="1:1">
      <c r="A41415" s="27"/>
    </row>
    <row r="41416" spans="1:1">
      <c r="A41416" s="27"/>
    </row>
    <row r="41417" spans="1:1">
      <c r="A41417" s="27"/>
    </row>
    <row r="41418" spans="1:1">
      <c r="A41418" s="27"/>
    </row>
    <row r="41419" spans="1:1">
      <c r="A41419" s="27"/>
    </row>
    <row r="41420" spans="1:1">
      <c r="A41420" s="27"/>
    </row>
    <row r="41421" spans="1:1">
      <c r="A41421" s="27"/>
    </row>
    <row r="41422" spans="1:1">
      <c r="A41422" s="27"/>
    </row>
    <row r="41423" spans="1:1">
      <c r="A41423" s="27"/>
    </row>
    <row r="41424" spans="1:1">
      <c r="A41424" s="27"/>
    </row>
    <row r="41425" spans="1:1">
      <c r="A41425" s="27"/>
    </row>
    <row r="41426" spans="1:1">
      <c r="A41426" s="27"/>
    </row>
    <row r="41427" spans="1:1">
      <c r="A41427" s="27"/>
    </row>
    <row r="41428" spans="1:1">
      <c r="A41428" s="27"/>
    </row>
    <row r="41429" spans="1:1">
      <c r="A41429" s="27"/>
    </row>
    <row r="41430" spans="1:1">
      <c r="A41430" s="27"/>
    </row>
    <row r="41431" spans="1:1">
      <c r="A41431" s="27"/>
    </row>
    <row r="41432" spans="1:1">
      <c r="A41432" s="27"/>
    </row>
    <row r="41433" spans="1:1">
      <c r="A41433" s="27"/>
    </row>
    <row r="41434" spans="1:1">
      <c r="A41434" s="27"/>
    </row>
    <row r="41435" spans="1:1">
      <c r="A41435" s="27"/>
    </row>
    <row r="41436" spans="1:1">
      <c r="A41436" s="27"/>
    </row>
    <row r="41437" spans="1:1">
      <c r="A41437" s="27"/>
    </row>
    <row r="41438" spans="1:1">
      <c r="A41438" s="27"/>
    </row>
    <row r="41439" spans="1:1">
      <c r="A41439" s="27"/>
    </row>
    <row r="41440" spans="1:1">
      <c r="A41440" s="27"/>
    </row>
    <row r="41441" spans="1:1">
      <c r="A41441" s="27"/>
    </row>
    <row r="41442" spans="1:1">
      <c r="A41442" s="27"/>
    </row>
    <row r="41443" spans="1:1">
      <c r="A41443" s="27"/>
    </row>
    <row r="41444" spans="1:1">
      <c r="A41444" s="27"/>
    </row>
    <row r="41445" spans="1:1">
      <c r="A41445" s="27"/>
    </row>
    <row r="41446" spans="1:1">
      <c r="A41446" s="27"/>
    </row>
    <row r="41447" spans="1:1">
      <c r="A41447" s="27"/>
    </row>
    <row r="41448" spans="1:1">
      <c r="A41448" s="27"/>
    </row>
    <row r="41449" spans="1:1">
      <c r="A41449" s="27"/>
    </row>
    <row r="41450" spans="1:1">
      <c r="A41450" s="27"/>
    </row>
    <row r="41451" spans="1:1">
      <c r="A41451" s="27"/>
    </row>
    <row r="41452" spans="1:1">
      <c r="A41452" s="27"/>
    </row>
    <row r="41453" spans="1:1">
      <c r="A41453" s="27"/>
    </row>
    <row r="41454" spans="1:1">
      <c r="A41454" s="27"/>
    </row>
    <row r="41455" spans="1:1">
      <c r="A41455" s="27"/>
    </row>
    <row r="41456" spans="1:1">
      <c r="A41456" s="27"/>
    </row>
    <row r="41457" spans="1:1">
      <c r="A41457" s="27"/>
    </row>
    <row r="41458" spans="1:1">
      <c r="A41458" s="27"/>
    </row>
    <row r="41459" spans="1:1">
      <c r="A41459" s="27"/>
    </row>
    <row r="41460" spans="1:1">
      <c r="A41460" s="27"/>
    </row>
    <row r="41461" spans="1:1">
      <c r="A41461" s="27"/>
    </row>
    <row r="41462" spans="1:1">
      <c r="A41462" s="27"/>
    </row>
    <row r="41463" spans="1:1">
      <c r="A41463" s="27"/>
    </row>
    <row r="41464" spans="1:1">
      <c r="A41464" s="27"/>
    </row>
    <row r="41465" spans="1:1">
      <c r="A41465" s="27"/>
    </row>
    <row r="41466" spans="1:1">
      <c r="A41466" s="27"/>
    </row>
    <row r="41467" spans="1:1">
      <c r="A41467" s="27"/>
    </row>
    <row r="41468" spans="1:1">
      <c r="A41468" s="27"/>
    </row>
    <row r="41469" spans="1:1">
      <c r="A41469" s="27"/>
    </row>
    <row r="41470" spans="1:1">
      <c r="A41470" s="27"/>
    </row>
    <row r="41471" spans="1:1">
      <c r="A41471" s="27"/>
    </row>
    <row r="41472" spans="1:1">
      <c r="A41472" s="27"/>
    </row>
    <row r="41473" spans="1:1">
      <c r="A41473" s="27"/>
    </row>
    <row r="41474" spans="1:1">
      <c r="A41474" s="27"/>
    </row>
    <row r="41475" spans="1:1">
      <c r="A41475" s="27"/>
    </row>
    <row r="41476" spans="1:1">
      <c r="A41476" s="27"/>
    </row>
    <row r="41477" spans="1:1">
      <c r="A41477" s="27"/>
    </row>
    <row r="41478" spans="1:1">
      <c r="A41478" s="27"/>
    </row>
    <row r="41479" spans="1:1">
      <c r="A41479" s="27"/>
    </row>
    <row r="41480" spans="1:1">
      <c r="A41480" s="27"/>
    </row>
    <row r="41481" spans="1:1">
      <c r="A41481" s="27"/>
    </row>
    <row r="41482" spans="1:1">
      <c r="A41482" s="27"/>
    </row>
    <row r="41483" spans="1:1">
      <c r="A41483" s="27"/>
    </row>
    <row r="41484" spans="1:1">
      <c r="A41484" s="27"/>
    </row>
    <row r="41485" spans="1:1">
      <c r="A41485" s="27"/>
    </row>
    <row r="41486" spans="1:1">
      <c r="A41486" s="27"/>
    </row>
    <row r="41487" spans="1:1">
      <c r="A41487" s="27"/>
    </row>
    <row r="41488" spans="1:1">
      <c r="A41488" s="27"/>
    </row>
    <row r="41489" spans="1:1">
      <c r="A41489" s="27"/>
    </row>
    <row r="41490" spans="1:1">
      <c r="A41490" s="27"/>
    </row>
    <row r="41491" spans="1:1">
      <c r="A41491" s="27"/>
    </row>
    <row r="41492" spans="1:1">
      <c r="A41492" s="27"/>
    </row>
    <row r="41493" spans="1:1">
      <c r="A41493" s="27"/>
    </row>
    <row r="41494" spans="1:1">
      <c r="A41494" s="27"/>
    </row>
    <row r="41495" spans="1:1">
      <c r="A41495" s="27"/>
    </row>
    <row r="41496" spans="1:1">
      <c r="A41496" s="27"/>
    </row>
    <row r="41497" spans="1:1">
      <c r="A41497" s="27"/>
    </row>
    <row r="41498" spans="1:1">
      <c r="A41498" s="27"/>
    </row>
    <row r="41499" spans="1:1">
      <c r="A41499" s="27"/>
    </row>
    <row r="41500" spans="1:1">
      <c r="A41500" s="27"/>
    </row>
    <row r="41501" spans="1:1">
      <c r="A41501" s="27"/>
    </row>
    <row r="41502" spans="1:1">
      <c r="A41502" s="27"/>
    </row>
    <row r="41503" spans="1:1">
      <c r="A41503" s="27"/>
    </row>
    <row r="41504" spans="1:1">
      <c r="A41504" s="27"/>
    </row>
    <row r="41505" spans="1:1">
      <c r="A41505" s="27"/>
    </row>
    <row r="41506" spans="1:1">
      <c r="A41506" s="27"/>
    </row>
    <row r="41507" spans="1:1">
      <c r="A41507" s="27"/>
    </row>
    <row r="41508" spans="1:1">
      <c r="A41508" s="27"/>
    </row>
    <row r="41509" spans="1:1">
      <c r="A41509" s="27"/>
    </row>
    <row r="41510" spans="1:1">
      <c r="A41510" s="27"/>
    </row>
    <row r="41511" spans="1:1">
      <c r="A41511" s="27"/>
    </row>
    <row r="41512" spans="1:1">
      <c r="A41512" s="27"/>
    </row>
    <row r="41513" spans="1:1">
      <c r="A41513" s="27"/>
    </row>
    <row r="41514" spans="1:1">
      <c r="A41514" s="27"/>
    </row>
    <row r="41515" spans="1:1">
      <c r="A41515" s="27"/>
    </row>
    <row r="41516" spans="1:1">
      <c r="A41516" s="27"/>
    </row>
    <row r="41517" spans="1:1">
      <c r="A41517" s="27"/>
    </row>
    <row r="41518" spans="1:1">
      <c r="A41518" s="27"/>
    </row>
    <row r="41519" spans="1:1">
      <c r="A41519" s="27"/>
    </row>
    <row r="41520" spans="1:1">
      <c r="A41520" s="27"/>
    </row>
    <row r="41521" spans="1:1">
      <c r="A41521" s="27"/>
    </row>
    <row r="41522" spans="1:1">
      <c r="A41522" s="27"/>
    </row>
    <row r="41523" spans="1:1">
      <c r="A41523" s="27"/>
    </row>
    <row r="41524" spans="1:1">
      <c r="A41524" s="27"/>
    </row>
    <row r="41525" spans="1:1">
      <c r="A41525" s="27"/>
    </row>
    <row r="41526" spans="1:1">
      <c r="A41526" s="27"/>
    </row>
    <row r="41527" spans="1:1">
      <c r="A41527" s="27"/>
    </row>
    <row r="41528" spans="1:1">
      <c r="A41528" s="27"/>
    </row>
    <row r="41529" spans="1:1">
      <c r="A41529" s="27"/>
    </row>
    <row r="41530" spans="1:1">
      <c r="A41530" s="27"/>
    </row>
    <row r="41531" spans="1:1">
      <c r="A41531" s="27"/>
    </row>
    <row r="41532" spans="1:1">
      <c r="A41532" s="27"/>
    </row>
    <row r="41533" spans="1:1">
      <c r="A41533" s="27"/>
    </row>
    <row r="41534" spans="1:1">
      <c r="A41534" s="27"/>
    </row>
    <row r="41535" spans="1:1">
      <c r="A41535" s="27"/>
    </row>
    <row r="41536" spans="1:1">
      <c r="A41536" s="27"/>
    </row>
    <row r="41537" spans="1:1">
      <c r="A41537" s="27"/>
    </row>
    <row r="41538" spans="1:1">
      <c r="A41538" s="27"/>
    </row>
    <row r="41539" spans="1:1">
      <c r="A41539" s="27"/>
    </row>
    <row r="41540" spans="1:1">
      <c r="A41540" s="27"/>
    </row>
    <row r="41541" spans="1:1">
      <c r="A41541" s="27"/>
    </row>
    <row r="41542" spans="1:1">
      <c r="A41542" s="27"/>
    </row>
    <row r="41543" spans="1:1">
      <c r="A41543" s="27"/>
    </row>
    <row r="41544" spans="1:1">
      <c r="A41544" s="27"/>
    </row>
    <row r="41545" spans="1:1">
      <c r="A41545" s="27"/>
    </row>
    <row r="41546" spans="1:1">
      <c r="A41546" s="27"/>
    </row>
    <row r="41547" spans="1:1">
      <c r="A41547" s="27"/>
    </row>
    <row r="41548" spans="1:1">
      <c r="A41548" s="27"/>
    </row>
    <row r="41549" spans="1:1">
      <c r="A41549" s="27"/>
    </row>
    <row r="41550" spans="1:1">
      <c r="A41550" s="27"/>
    </row>
    <row r="41551" spans="1:1">
      <c r="A41551" s="27"/>
    </row>
    <row r="41552" spans="1:1">
      <c r="A41552" s="27"/>
    </row>
    <row r="41553" spans="1:1">
      <c r="A41553" s="27"/>
    </row>
    <row r="41554" spans="1:1">
      <c r="A41554" s="27"/>
    </row>
    <row r="41555" spans="1:1">
      <c r="A41555" s="27"/>
    </row>
    <row r="41556" spans="1:1">
      <c r="A41556" s="27"/>
    </row>
    <row r="41557" spans="1:1">
      <c r="A41557" s="27"/>
    </row>
    <row r="41558" spans="1:1">
      <c r="A41558" s="27"/>
    </row>
    <row r="41559" spans="1:1">
      <c r="A41559" s="27"/>
    </row>
    <row r="41560" spans="1:1">
      <c r="A41560" s="27"/>
    </row>
    <row r="41561" spans="1:1">
      <c r="A41561" s="27"/>
    </row>
    <row r="41562" spans="1:1">
      <c r="A41562" s="27"/>
    </row>
    <row r="41563" spans="1:1">
      <c r="A41563" s="27"/>
    </row>
    <row r="41564" spans="1:1">
      <c r="A41564" s="27"/>
    </row>
    <row r="41565" spans="1:1">
      <c r="A41565" s="27"/>
    </row>
    <row r="41566" spans="1:1">
      <c r="A41566" s="27"/>
    </row>
    <row r="41567" spans="1:1">
      <c r="A41567" s="27"/>
    </row>
    <row r="41568" spans="1:1">
      <c r="A41568" s="27"/>
    </row>
    <row r="41569" spans="1:1">
      <c r="A41569" s="27"/>
    </row>
    <row r="41570" spans="1:1">
      <c r="A41570" s="27"/>
    </row>
    <row r="41571" spans="1:1">
      <c r="A41571" s="27"/>
    </row>
    <row r="41572" spans="1:1">
      <c r="A41572" s="27"/>
    </row>
    <row r="41573" spans="1:1">
      <c r="A41573" s="27"/>
    </row>
    <row r="41574" spans="1:1">
      <c r="A41574" s="27"/>
    </row>
    <row r="41575" spans="1:1">
      <c r="A41575" s="27"/>
    </row>
    <row r="41576" spans="1:1">
      <c r="A41576" s="27"/>
    </row>
    <row r="41577" spans="1:1">
      <c r="A41577" s="27"/>
    </row>
    <row r="41578" spans="1:1">
      <c r="A41578" s="27"/>
    </row>
    <row r="41579" spans="1:1">
      <c r="A41579" s="27"/>
    </row>
    <row r="41580" spans="1:1">
      <c r="A41580" s="27"/>
    </row>
    <row r="41581" spans="1:1">
      <c r="A41581" s="27"/>
    </row>
    <row r="41582" spans="1:1">
      <c r="A41582" s="27"/>
    </row>
    <row r="41583" spans="1:1">
      <c r="A41583" s="27"/>
    </row>
    <row r="41584" spans="1:1">
      <c r="A41584" s="27"/>
    </row>
    <row r="41585" spans="1:1">
      <c r="A41585" s="27"/>
    </row>
    <row r="41586" spans="1:1">
      <c r="A41586" s="27"/>
    </row>
    <row r="41587" spans="1:1">
      <c r="A41587" s="27"/>
    </row>
    <row r="41588" spans="1:1">
      <c r="A41588" s="27"/>
    </row>
    <row r="41589" spans="1:1">
      <c r="A41589" s="27"/>
    </row>
    <row r="41590" spans="1:1">
      <c r="A41590" s="27"/>
    </row>
    <row r="41591" spans="1:1">
      <c r="A41591" s="27"/>
    </row>
    <row r="41592" spans="1:1">
      <c r="A41592" s="27"/>
    </row>
    <row r="41593" spans="1:1">
      <c r="A41593" s="27"/>
    </row>
    <row r="41594" spans="1:1">
      <c r="A41594" s="27"/>
    </row>
    <row r="41595" spans="1:1">
      <c r="A41595" s="27"/>
    </row>
    <row r="41596" spans="1:1">
      <c r="A41596" s="27"/>
    </row>
    <row r="41597" spans="1:1">
      <c r="A41597" s="27"/>
    </row>
    <row r="41598" spans="1:1">
      <c r="A41598" s="27"/>
    </row>
    <row r="41599" spans="1:1">
      <c r="A41599" s="27"/>
    </row>
    <row r="41600" spans="1:1">
      <c r="A41600" s="27"/>
    </row>
    <row r="41601" spans="1:1">
      <c r="A41601" s="27"/>
    </row>
    <row r="41602" spans="1:1">
      <c r="A41602" s="27"/>
    </row>
    <row r="41603" spans="1:1">
      <c r="A41603" s="27"/>
    </row>
    <row r="41604" spans="1:1">
      <c r="A41604" s="27"/>
    </row>
    <row r="41605" spans="1:1">
      <c r="A41605" s="27"/>
    </row>
    <row r="41606" spans="1:1">
      <c r="A41606" s="27"/>
    </row>
    <row r="41607" spans="1:1">
      <c r="A41607" s="27"/>
    </row>
    <row r="41608" spans="1:1">
      <c r="A41608" s="27"/>
    </row>
    <row r="41609" spans="1:1">
      <c r="A41609" s="27"/>
    </row>
    <row r="41610" spans="1:1">
      <c r="A41610" s="27"/>
    </row>
    <row r="41611" spans="1:1">
      <c r="A41611" s="27"/>
    </row>
    <row r="41612" spans="1:1">
      <c r="A41612" s="27"/>
    </row>
    <row r="41613" spans="1:1">
      <c r="A41613" s="27"/>
    </row>
    <row r="41614" spans="1:1">
      <c r="A41614" s="27"/>
    </row>
    <row r="41615" spans="1:1">
      <c r="A41615" s="27"/>
    </row>
    <row r="41616" spans="1:1">
      <c r="A41616" s="27"/>
    </row>
    <row r="41617" spans="1:1">
      <c r="A41617" s="27"/>
    </row>
    <row r="41618" spans="1:1">
      <c r="A41618" s="27"/>
    </row>
    <row r="41619" spans="1:1">
      <c r="A41619" s="27"/>
    </row>
    <row r="41620" spans="1:1">
      <c r="A41620" s="27"/>
    </row>
    <row r="41621" spans="1:1">
      <c r="A41621" s="27"/>
    </row>
    <row r="41622" spans="1:1">
      <c r="A41622" s="27"/>
    </row>
    <row r="41623" spans="1:1">
      <c r="A41623" s="27"/>
    </row>
    <row r="41624" spans="1:1">
      <c r="A41624" s="27"/>
    </row>
    <row r="41625" spans="1:1">
      <c r="A41625" s="27"/>
    </row>
    <row r="41626" spans="1:1">
      <c r="A41626" s="27"/>
    </row>
    <row r="41627" spans="1:1">
      <c r="A41627" s="27"/>
    </row>
    <row r="41628" spans="1:1">
      <c r="A41628" s="27"/>
    </row>
    <row r="41629" spans="1:1">
      <c r="A41629" s="27"/>
    </row>
    <row r="41630" spans="1:1">
      <c r="A41630" s="27"/>
    </row>
    <row r="41631" spans="1:1">
      <c r="A41631" s="27"/>
    </row>
    <row r="41632" spans="1:1">
      <c r="A41632" s="27"/>
    </row>
    <row r="41633" spans="1:1">
      <c r="A41633" s="27"/>
    </row>
    <row r="41634" spans="1:1">
      <c r="A41634" s="27"/>
    </row>
    <row r="41635" spans="1:1">
      <c r="A41635" s="27"/>
    </row>
    <row r="41636" spans="1:1">
      <c r="A41636" s="27"/>
    </row>
    <row r="41637" spans="1:1">
      <c r="A41637" s="27"/>
    </row>
    <row r="41638" spans="1:1">
      <c r="A41638" s="27"/>
    </row>
    <row r="41639" spans="1:1">
      <c r="A41639" s="27"/>
    </row>
    <row r="41640" spans="1:1">
      <c r="A41640" s="27"/>
    </row>
    <row r="41641" spans="1:1">
      <c r="A41641" s="27"/>
    </row>
    <row r="41642" spans="1:1">
      <c r="A41642" s="27"/>
    </row>
    <row r="41643" spans="1:1">
      <c r="A41643" s="27"/>
    </row>
    <row r="41644" spans="1:1">
      <c r="A41644" s="27"/>
    </row>
    <row r="41645" spans="1:1">
      <c r="A41645" s="27"/>
    </row>
    <row r="41646" spans="1:1">
      <c r="A41646" s="27"/>
    </row>
    <row r="41647" spans="1:1">
      <c r="A41647" s="27"/>
    </row>
    <row r="41648" spans="1:1">
      <c r="A41648" s="27"/>
    </row>
    <row r="41649" spans="1:1">
      <c r="A41649" s="27"/>
    </row>
    <row r="41650" spans="1:1">
      <c r="A41650" s="27"/>
    </row>
    <row r="41651" spans="1:1">
      <c r="A41651" s="27"/>
    </row>
    <row r="41652" spans="1:1">
      <c r="A41652" s="27"/>
    </row>
    <row r="41653" spans="1:1">
      <c r="A41653" s="27"/>
    </row>
    <row r="41654" spans="1:1">
      <c r="A41654" s="27"/>
    </row>
    <row r="41655" spans="1:1">
      <c r="A41655" s="27"/>
    </row>
    <row r="41656" spans="1:1">
      <c r="A41656" s="27"/>
    </row>
    <row r="41657" spans="1:1">
      <c r="A41657" s="27"/>
    </row>
    <row r="41658" spans="1:1">
      <c r="A41658" s="27"/>
    </row>
    <row r="41659" spans="1:1">
      <c r="A41659" s="27"/>
    </row>
    <row r="41660" spans="1:1">
      <c r="A41660" s="27"/>
    </row>
    <row r="41661" spans="1:1">
      <c r="A41661" s="27"/>
    </row>
    <row r="41662" spans="1:1">
      <c r="A41662" s="27"/>
    </row>
    <row r="41663" spans="1:1">
      <c r="A41663" s="27"/>
    </row>
    <row r="41664" spans="1:1">
      <c r="A41664" s="27"/>
    </row>
    <row r="41665" spans="1:1">
      <c r="A41665" s="27"/>
    </row>
    <row r="41666" spans="1:1">
      <c r="A41666" s="27"/>
    </row>
    <row r="41667" spans="1:1">
      <c r="A41667" s="27"/>
    </row>
    <row r="41668" spans="1:1">
      <c r="A41668" s="27"/>
    </row>
    <row r="41669" spans="1:1">
      <c r="A41669" s="27"/>
    </row>
    <row r="41670" spans="1:1">
      <c r="A41670" s="27"/>
    </row>
    <row r="41671" spans="1:1">
      <c r="A41671" s="27"/>
    </row>
    <row r="41672" spans="1:1">
      <c r="A41672" s="27"/>
    </row>
    <row r="41673" spans="1:1">
      <c r="A41673" s="27"/>
    </row>
    <row r="41674" spans="1:1">
      <c r="A41674" s="27"/>
    </row>
    <row r="41675" spans="1:1">
      <c r="A41675" s="27"/>
    </row>
    <row r="41676" spans="1:1">
      <c r="A41676" s="27"/>
    </row>
    <row r="41677" spans="1:1">
      <c r="A41677" s="27"/>
    </row>
    <row r="41678" spans="1:1">
      <c r="A41678" s="27"/>
    </row>
    <row r="41679" spans="1:1">
      <c r="A41679" s="27"/>
    </row>
    <row r="41680" spans="1:1">
      <c r="A41680" s="27"/>
    </row>
    <row r="41681" spans="1:1">
      <c r="A41681" s="27"/>
    </row>
    <row r="41682" spans="1:1">
      <c r="A41682" s="27"/>
    </row>
    <row r="41683" spans="1:1">
      <c r="A41683" s="27"/>
    </row>
    <row r="41684" spans="1:1">
      <c r="A41684" s="27"/>
    </row>
    <row r="41685" spans="1:1">
      <c r="A41685" s="27"/>
    </row>
    <row r="41686" spans="1:1">
      <c r="A41686" s="27"/>
    </row>
    <row r="41687" spans="1:1">
      <c r="A41687" s="27"/>
    </row>
    <row r="41688" spans="1:1">
      <c r="A41688" s="27"/>
    </row>
    <row r="41689" spans="1:1">
      <c r="A41689" s="27"/>
    </row>
    <row r="41690" spans="1:1">
      <c r="A41690" s="27"/>
    </row>
    <row r="41691" spans="1:1">
      <c r="A41691" s="27"/>
    </row>
    <row r="41692" spans="1:1">
      <c r="A41692" s="27"/>
    </row>
    <row r="41693" spans="1:1">
      <c r="A41693" s="27"/>
    </row>
    <row r="41694" spans="1:1">
      <c r="A41694" s="27"/>
    </row>
    <row r="41695" spans="1:1">
      <c r="A41695" s="27"/>
    </row>
    <row r="41696" spans="1:1">
      <c r="A41696" s="27"/>
    </row>
    <row r="41697" spans="1:1">
      <c r="A41697" s="27"/>
    </row>
    <row r="41698" spans="1:1">
      <c r="A41698" s="27"/>
    </row>
    <row r="41699" spans="1:1">
      <c r="A41699" s="27"/>
    </row>
    <row r="41700" spans="1:1">
      <c r="A41700" s="27"/>
    </row>
    <row r="41701" spans="1:1">
      <c r="A41701" s="27"/>
    </row>
    <row r="41702" spans="1:1">
      <c r="A41702" s="27"/>
    </row>
    <row r="41703" spans="1:1">
      <c r="A41703" s="27"/>
    </row>
    <row r="41704" spans="1:1">
      <c r="A41704" s="27"/>
    </row>
    <row r="41705" spans="1:1">
      <c r="A41705" s="27"/>
    </row>
    <row r="41706" spans="1:1">
      <c r="A41706" s="27"/>
    </row>
    <row r="41707" spans="1:1">
      <c r="A41707" s="27"/>
    </row>
    <row r="41708" spans="1:1">
      <c r="A41708" s="27"/>
    </row>
    <row r="41709" spans="1:1">
      <c r="A41709" s="27"/>
    </row>
    <row r="41710" spans="1:1">
      <c r="A41710" s="27"/>
    </row>
    <row r="41711" spans="1:1">
      <c r="A41711" s="27"/>
    </row>
    <row r="41712" spans="1:1">
      <c r="A41712" s="27"/>
    </row>
    <row r="41713" spans="1:1">
      <c r="A41713" s="27"/>
    </row>
    <row r="41714" spans="1:1">
      <c r="A41714" s="27"/>
    </row>
    <row r="41715" spans="1:1">
      <c r="A41715" s="27"/>
    </row>
    <row r="41716" spans="1:1">
      <c r="A41716" s="27"/>
    </row>
    <row r="41717" spans="1:1">
      <c r="A41717" s="27"/>
    </row>
    <row r="41718" spans="1:1">
      <c r="A41718" s="27"/>
    </row>
    <row r="41719" spans="1:1">
      <c r="A41719" s="27"/>
    </row>
    <row r="41720" spans="1:1">
      <c r="A41720" s="27"/>
    </row>
    <row r="41721" spans="1:1">
      <c r="A41721" s="27"/>
    </row>
    <row r="41722" spans="1:1">
      <c r="A41722" s="27"/>
    </row>
    <row r="41723" spans="1:1">
      <c r="A41723" s="27"/>
    </row>
    <row r="41724" spans="1:1">
      <c r="A41724" s="27"/>
    </row>
    <row r="41725" spans="1:1">
      <c r="A41725" s="27"/>
    </row>
    <row r="41726" spans="1:1">
      <c r="A41726" s="27"/>
    </row>
    <row r="41727" spans="1:1">
      <c r="A41727" s="27"/>
    </row>
    <row r="41728" spans="1:1">
      <c r="A41728" s="27"/>
    </row>
    <row r="41729" spans="1:1">
      <c r="A41729" s="27"/>
    </row>
    <row r="41730" spans="1:1">
      <c r="A41730" s="27"/>
    </row>
    <row r="41731" spans="1:1">
      <c r="A41731" s="27"/>
    </row>
    <row r="41732" spans="1:1">
      <c r="A41732" s="27"/>
    </row>
    <row r="41733" spans="1:1">
      <c r="A41733" s="27"/>
    </row>
    <row r="41734" spans="1:1">
      <c r="A41734" s="27"/>
    </row>
    <row r="41735" spans="1:1">
      <c r="A41735" s="27"/>
    </row>
    <row r="41736" spans="1:1">
      <c r="A41736" s="27"/>
    </row>
    <row r="41737" spans="1:1">
      <c r="A41737" s="27"/>
    </row>
    <row r="41738" spans="1:1">
      <c r="A41738" s="27"/>
    </row>
    <row r="41739" spans="1:1">
      <c r="A41739" s="27"/>
    </row>
    <row r="41740" spans="1:1">
      <c r="A41740" s="27"/>
    </row>
    <row r="41741" spans="1:1">
      <c r="A41741" s="27"/>
    </row>
    <row r="41742" spans="1:1">
      <c r="A41742" s="27"/>
    </row>
    <row r="41743" spans="1:1">
      <c r="A41743" s="27"/>
    </row>
    <row r="41744" spans="1:1">
      <c r="A41744" s="27"/>
    </row>
    <row r="41745" spans="1:1">
      <c r="A41745" s="27"/>
    </row>
    <row r="41746" spans="1:1">
      <c r="A41746" s="27"/>
    </row>
    <row r="41747" spans="1:1">
      <c r="A41747" s="27"/>
    </row>
    <row r="41748" spans="1:1">
      <c r="A41748" s="27"/>
    </row>
    <row r="41749" spans="1:1">
      <c r="A41749" s="27"/>
    </row>
    <row r="41750" spans="1:1">
      <c r="A41750" s="27"/>
    </row>
    <row r="41751" spans="1:1">
      <c r="A41751" s="27"/>
    </row>
    <row r="41752" spans="1:1">
      <c r="A41752" s="27"/>
    </row>
    <row r="41753" spans="1:1">
      <c r="A41753" s="27"/>
    </row>
    <row r="41754" spans="1:1">
      <c r="A41754" s="27"/>
    </row>
    <row r="41755" spans="1:1">
      <c r="A41755" s="27"/>
    </row>
    <row r="41756" spans="1:1">
      <c r="A41756" s="27"/>
    </row>
    <row r="41757" spans="1:1">
      <c r="A41757" s="27"/>
    </row>
    <row r="41758" spans="1:1">
      <c r="A41758" s="27"/>
    </row>
    <row r="41759" spans="1:1">
      <c r="A41759" s="27"/>
    </row>
    <row r="41760" spans="1:1">
      <c r="A41760" s="27"/>
    </row>
    <row r="41761" spans="1:1">
      <c r="A41761" s="27"/>
    </row>
    <row r="41762" spans="1:1">
      <c r="A41762" s="27"/>
    </row>
    <row r="41763" spans="1:1">
      <c r="A41763" s="27"/>
    </row>
    <row r="41764" spans="1:1">
      <c r="A41764" s="27"/>
    </row>
    <row r="41765" spans="1:1">
      <c r="A41765" s="27"/>
    </row>
    <row r="41766" spans="1:1">
      <c r="A41766" s="27"/>
    </row>
    <row r="41767" spans="1:1">
      <c r="A41767" s="27"/>
    </row>
    <row r="41768" spans="1:1">
      <c r="A41768" s="27"/>
    </row>
    <row r="41769" spans="1:1">
      <c r="A41769" s="27"/>
    </row>
    <row r="41770" spans="1:1">
      <c r="A41770" s="27"/>
    </row>
    <row r="41771" spans="1:1">
      <c r="A41771" s="27"/>
    </row>
    <row r="41772" spans="1:1">
      <c r="A41772" s="27"/>
    </row>
    <row r="41773" spans="1:1">
      <c r="A41773" s="27"/>
    </row>
    <row r="41774" spans="1:1">
      <c r="A41774" s="27"/>
    </row>
    <row r="41775" spans="1:1">
      <c r="A41775" s="27"/>
    </row>
    <row r="41776" spans="1:1">
      <c r="A41776" s="27"/>
    </row>
    <row r="41777" spans="1:1">
      <c r="A41777" s="27"/>
    </row>
    <row r="41778" spans="1:1">
      <c r="A41778" s="27"/>
    </row>
    <row r="41779" spans="1:1">
      <c r="A41779" s="27"/>
    </row>
    <row r="41780" spans="1:1">
      <c r="A41780" s="27"/>
    </row>
    <row r="41781" spans="1:1">
      <c r="A41781" s="27"/>
    </row>
    <row r="41782" spans="1:1">
      <c r="A41782" s="27"/>
    </row>
    <row r="41783" spans="1:1">
      <c r="A41783" s="27"/>
    </row>
    <row r="41784" spans="1:1">
      <c r="A41784" s="27"/>
    </row>
    <row r="41785" spans="1:1">
      <c r="A41785" s="27"/>
    </row>
    <row r="41786" spans="1:1">
      <c r="A41786" s="27"/>
    </row>
    <row r="41787" spans="1:1">
      <c r="A41787" s="27"/>
    </row>
    <row r="41788" spans="1:1">
      <c r="A41788" s="27"/>
    </row>
    <row r="41789" spans="1:1">
      <c r="A41789" s="27"/>
    </row>
    <row r="41790" spans="1:1">
      <c r="A41790" s="27"/>
    </row>
    <row r="41791" spans="1:1">
      <c r="A41791" s="27"/>
    </row>
    <row r="41792" spans="1:1">
      <c r="A41792" s="27"/>
    </row>
    <row r="41793" spans="1:1">
      <c r="A41793" s="27"/>
    </row>
    <row r="41794" spans="1:1">
      <c r="A41794" s="27"/>
    </row>
    <row r="41795" spans="1:1">
      <c r="A41795" s="27"/>
    </row>
    <row r="41796" spans="1:1">
      <c r="A41796" s="27"/>
    </row>
    <row r="41797" spans="1:1">
      <c r="A41797" s="27"/>
    </row>
    <row r="41798" spans="1:1">
      <c r="A41798" s="27"/>
    </row>
    <row r="41799" spans="1:1">
      <c r="A41799" s="27"/>
    </row>
    <row r="41800" spans="1:1">
      <c r="A41800" s="27"/>
    </row>
    <row r="41801" spans="1:1">
      <c r="A41801" s="27"/>
    </row>
    <row r="41802" spans="1:1">
      <c r="A41802" s="27"/>
    </row>
    <row r="41803" spans="1:1">
      <c r="A41803" s="27"/>
    </row>
    <row r="41804" spans="1:1">
      <c r="A41804" s="27"/>
    </row>
    <row r="41805" spans="1:1">
      <c r="A41805" s="27"/>
    </row>
    <row r="41806" spans="1:1">
      <c r="A41806" s="27"/>
    </row>
    <row r="41807" spans="1:1">
      <c r="A41807" s="27"/>
    </row>
    <row r="41808" spans="1:1">
      <c r="A41808" s="27"/>
    </row>
    <row r="41809" spans="1:1">
      <c r="A41809" s="27"/>
    </row>
    <row r="41810" spans="1:1">
      <c r="A41810" s="27"/>
    </row>
    <row r="41811" spans="1:1">
      <c r="A41811" s="27"/>
    </row>
    <row r="41812" spans="1:1">
      <c r="A41812" s="27"/>
    </row>
    <row r="41813" spans="1:1">
      <c r="A41813" s="27"/>
    </row>
    <row r="41814" spans="1:1">
      <c r="A41814" s="27"/>
    </row>
    <row r="41815" spans="1:1">
      <c r="A41815" s="27"/>
    </row>
    <row r="41816" spans="1:1">
      <c r="A41816" s="27"/>
    </row>
    <row r="41817" spans="1:1">
      <c r="A41817" s="27"/>
    </row>
    <row r="41818" spans="1:1">
      <c r="A41818" s="27"/>
    </row>
    <row r="41819" spans="1:1">
      <c r="A41819" s="27"/>
    </row>
    <row r="41820" spans="1:1">
      <c r="A41820" s="27"/>
    </row>
    <row r="41821" spans="1:1">
      <c r="A41821" s="27"/>
    </row>
    <row r="41822" spans="1:1">
      <c r="A41822" s="27"/>
    </row>
    <row r="41823" spans="1:1">
      <c r="A41823" s="27"/>
    </row>
    <row r="41824" spans="1:1">
      <c r="A41824" s="27"/>
    </row>
    <row r="41825" spans="1:1">
      <c r="A41825" s="27"/>
    </row>
    <row r="41826" spans="1:1">
      <c r="A41826" s="27"/>
    </row>
    <row r="41827" spans="1:1">
      <c r="A41827" s="27"/>
    </row>
    <row r="41828" spans="1:1">
      <c r="A41828" s="27"/>
    </row>
    <row r="41829" spans="1:1">
      <c r="A41829" s="27"/>
    </row>
    <row r="41830" spans="1:1">
      <c r="A41830" s="27"/>
    </row>
    <row r="41831" spans="1:1">
      <c r="A41831" s="27"/>
    </row>
    <row r="41832" spans="1:1">
      <c r="A41832" s="27"/>
    </row>
    <row r="41833" spans="1:1">
      <c r="A41833" s="27"/>
    </row>
    <row r="41834" spans="1:1">
      <c r="A41834" s="27"/>
    </row>
    <row r="41835" spans="1:1">
      <c r="A41835" s="27"/>
    </row>
    <row r="41836" spans="1:1">
      <c r="A41836" s="27"/>
    </row>
    <row r="41837" spans="1:1">
      <c r="A41837" s="27"/>
    </row>
    <row r="41838" spans="1:1">
      <c r="A41838" s="27"/>
    </row>
    <row r="41839" spans="1:1">
      <c r="A41839" s="27"/>
    </row>
    <row r="41840" spans="1:1">
      <c r="A41840" s="27"/>
    </row>
    <row r="41841" spans="1:1">
      <c r="A41841" s="27"/>
    </row>
    <row r="41842" spans="1:1">
      <c r="A41842" s="27"/>
    </row>
    <row r="41843" spans="1:1">
      <c r="A41843" s="27"/>
    </row>
    <row r="41844" spans="1:1">
      <c r="A41844" s="27"/>
    </row>
    <row r="41845" spans="1:1">
      <c r="A41845" s="27"/>
    </row>
    <row r="41846" spans="1:1">
      <c r="A41846" s="27"/>
    </row>
    <row r="41847" spans="1:1">
      <c r="A41847" s="27"/>
    </row>
    <row r="41848" spans="1:1">
      <c r="A41848" s="27"/>
    </row>
    <row r="41849" spans="1:1">
      <c r="A41849" s="27"/>
    </row>
    <row r="41850" spans="1:1">
      <c r="A41850" s="27"/>
    </row>
    <row r="41851" spans="1:1">
      <c r="A41851" s="27"/>
    </row>
    <row r="41852" spans="1:1">
      <c r="A41852" s="27"/>
    </row>
    <row r="41853" spans="1:1">
      <c r="A41853" s="27"/>
    </row>
    <row r="41854" spans="1:1">
      <c r="A41854" s="27"/>
    </row>
    <row r="41855" spans="1:1">
      <c r="A41855" s="27"/>
    </row>
    <row r="41856" spans="1:1">
      <c r="A41856" s="27"/>
    </row>
    <row r="41857" spans="1:1">
      <c r="A41857" s="27"/>
    </row>
    <row r="41858" spans="1:1">
      <c r="A41858" s="27"/>
    </row>
    <row r="41859" spans="1:1">
      <c r="A41859" s="27"/>
    </row>
    <row r="41860" spans="1:1">
      <c r="A41860" s="27"/>
    </row>
    <row r="41861" spans="1:1">
      <c r="A41861" s="27"/>
    </row>
    <row r="41862" spans="1:1">
      <c r="A41862" s="27"/>
    </row>
    <row r="41863" spans="1:1">
      <c r="A41863" s="27"/>
    </row>
    <row r="41864" spans="1:1">
      <c r="A41864" s="27"/>
    </row>
    <row r="41865" spans="1:1">
      <c r="A41865" s="27"/>
    </row>
    <row r="41866" spans="1:1">
      <c r="A41866" s="27"/>
    </row>
    <row r="41867" spans="1:1">
      <c r="A41867" s="27"/>
    </row>
    <row r="41868" spans="1:1">
      <c r="A41868" s="27"/>
    </row>
    <row r="41869" spans="1:1">
      <c r="A41869" s="27"/>
    </row>
    <row r="41870" spans="1:1">
      <c r="A41870" s="27"/>
    </row>
    <row r="41871" spans="1:1">
      <c r="A41871" s="27"/>
    </row>
    <row r="41872" spans="1:1">
      <c r="A41872" s="27"/>
    </row>
    <row r="41873" spans="1:1">
      <c r="A41873" s="27"/>
    </row>
    <row r="41874" spans="1:1">
      <c r="A41874" s="27"/>
    </row>
    <row r="41875" spans="1:1">
      <c r="A41875" s="27"/>
    </row>
    <row r="41876" spans="1:1">
      <c r="A41876" s="27"/>
    </row>
    <row r="41877" spans="1:1">
      <c r="A41877" s="27"/>
    </row>
    <row r="41878" spans="1:1">
      <c r="A41878" s="27"/>
    </row>
    <row r="41879" spans="1:1">
      <c r="A41879" s="27"/>
    </row>
    <row r="41880" spans="1:1">
      <c r="A41880" s="27"/>
    </row>
    <row r="41881" spans="1:1">
      <c r="A41881" s="27"/>
    </row>
    <row r="41882" spans="1:1">
      <c r="A41882" s="27"/>
    </row>
    <row r="41883" spans="1:1">
      <c r="A41883" s="27"/>
    </row>
    <row r="41884" spans="1:1">
      <c r="A41884" s="27"/>
    </row>
    <row r="41885" spans="1:1">
      <c r="A41885" s="27"/>
    </row>
    <row r="41886" spans="1:1">
      <c r="A41886" s="27"/>
    </row>
    <row r="41887" spans="1:1">
      <c r="A41887" s="27"/>
    </row>
    <row r="41888" spans="1:1">
      <c r="A41888" s="27"/>
    </row>
    <row r="41889" spans="1:1">
      <c r="A41889" s="27"/>
    </row>
    <row r="41890" spans="1:1">
      <c r="A41890" s="27"/>
    </row>
    <row r="41891" spans="1:1">
      <c r="A41891" s="27"/>
    </row>
    <row r="41892" spans="1:1">
      <c r="A41892" s="27"/>
    </row>
    <row r="41893" spans="1:1">
      <c r="A41893" s="27"/>
    </row>
    <row r="41894" spans="1:1">
      <c r="A41894" s="27"/>
    </row>
    <row r="41895" spans="1:1">
      <c r="A41895" s="27"/>
    </row>
    <row r="41896" spans="1:1">
      <c r="A41896" s="27"/>
    </row>
    <row r="41897" spans="1:1">
      <c r="A41897" s="27"/>
    </row>
    <row r="41898" spans="1:1">
      <c r="A41898" s="27"/>
    </row>
    <row r="41899" spans="1:1">
      <c r="A41899" s="27"/>
    </row>
    <row r="41900" spans="1:1">
      <c r="A41900" s="27"/>
    </row>
    <row r="41901" spans="1:1">
      <c r="A41901" s="27"/>
    </row>
    <row r="41902" spans="1:1">
      <c r="A41902" s="27"/>
    </row>
    <row r="41903" spans="1:1">
      <c r="A41903" s="27"/>
    </row>
    <row r="41904" spans="1:1">
      <c r="A41904" s="27"/>
    </row>
    <row r="41905" spans="1:1">
      <c r="A41905" s="27"/>
    </row>
    <row r="41906" spans="1:1">
      <c r="A41906" s="27"/>
    </row>
    <row r="41907" spans="1:1">
      <c r="A41907" s="27"/>
    </row>
    <row r="41908" spans="1:1">
      <c r="A41908" s="27"/>
    </row>
    <row r="41909" spans="1:1">
      <c r="A41909" s="27"/>
    </row>
    <row r="41910" spans="1:1">
      <c r="A41910" s="27"/>
    </row>
    <row r="41911" spans="1:1">
      <c r="A41911" s="27"/>
    </row>
    <row r="41912" spans="1:1">
      <c r="A41912" s="27"/>
    </row>
    <row r="41913" spans="1:1">
      <c r="A41913" s="27"/>
    </row>
    <row r="41914" spans="1:1">
      <c r="A41914" s="27"/>
    </row>
    <row r="41915" spans="1:1">
      <c r="A41915" s="27"/>
    </row>
    <row r="41916" spans="1:1">
      <c r="A41916" s="27"/>
    </row>
    <row r="41917" spans="1:1">
      <c r="A41917" s="27"/>
    </row>
    <row r="41918" spans="1:1">
      <c r="A41918" s="27"/>
    </row>
    <row r="41919" spans="1:1">
      <c r="A41919" s="27"/>
    </row>
    <row r="41920" spans="1:1">
      <c r="A41920" s="27"/>
    </row>
    <row r="41921" spans="1:1">
      <c r="A41921" s="27"/>
    </row>
    <row r="41922" spans="1:1">
      <c r="A41922" s="27"/>
    </row>
    <row r="41923" spans="1:1">
      <c r="A41923" s="27"/>
    </row>
    <row r="41924" spans="1:1">
      <c r="A41924" s="27"/>
    </row>
    <row r="41925" spans="1:1">
      <c r="A41925" s="27"/>
    </row>
    <row r="41926" spans="1:1">
      <c r="A41926" s="27"/>
    </row>
    <row r="41927" spans="1:1">
      <c r="A41927" s="27"/>
    </row>
    <row r="41928" spans="1:1">
      <c r="A41928" s="27"/>
    </row>
    <row r="41929" spans="1:1">
      <c r="A41929" s="27"/>
    </row>
    <row r="41930" spans="1:1">
      <c r="A41930" s="27"/>
    </row>
    <row r="41931" spans="1:1">
      <c r="A41931" s="27"/>
    </row>
    <row r="41932" spans="1:1">
      <c r="A41932" s="27"/>
    </row>
    <row r="41933" spans="1:1">
      <c r="A41933" s="27"/>
    </row>
    <row r="41934" spans="1:1">
      <c r="A41934" s="27"/>
    </row>
    <row r="41935" spans="1:1">
      <c r="A41935" s="27"/>
    </row>
    <row r="41936" spans="1:1">
      <c r="A41936" s="27"/>
    </row>
    <row r="41937" spans="1:1">
      <c r="A41937" s="27"/>
    </row>
    <row r="41938" spans="1:1">
      <c r="A41938" s="27"/>
    </row>
    <row r="41939" spans="1:1">
      <c r="A41939" s="27"/>
    </row>
    <row r="41940" spans="1:1">
      <c r="A41940" s="27"/>
    </row>
  </sheetData>
  <mergeCells count="26">
    <mergeCell ref="YE3:YH3"/>
    <mergeCell ref="VO3:VU3"/>
    <mergeCell ref="TZ1:UA1"/>
    <mergeCell ref="TP3:TQ3"/>
    <mergeCell ref="TU3:TV3"/>
    <mergeCell ref="TZ3:UA3"/>
    <mergeCell ref="UO2:UP2"/>
    <mergeCell ref="UO3:UP3"/>
    <mergeCell ref="XP3:YA3"/>
    <mergeCell ref="UI3:UK3"/>
    <mergeCell ref="UI2:UK2"/>
    <mergeCell ref="RF1:RR1"/>
    <mergeCell ref="RF2:RR2"/>
    <mergeCell ref="SY3:TD3"/>
    <mergeCell ref="SL1:SQ1"/>
    <mergeCell ref="SL2:SQ2"/>
    <mergeCell ref="ST1:TO1"/>
    <mergeCell ref="ST2:TO2"/>
    <mergeCell ref="TL3:TM3"/>
    <mergeCell ref="TN3:TO3"/>
    <mergeCell ref="RV3:RY3"/>
    <mergeCell ref="SY8:SZ8"/>
    <mergeCell ref="SW3:SX3"/>
    <mergeCell ref="SU3:SV3"/>
    <mergeCell ref="TE3:TK3"/>
    <mergeCell ref="SM3:SP3"/>
  </mergeCells>
  <conditionalFormatting sqref="A3:RD3 TE3">
    <cfRule type="cellIs" dxfId="15" priority="8" operator="equal">
      <formula>#N/A</formula>
    </cfRule>
  </conditionalFormatting>
  <conditionalFormatting sqref="SJ3:SL3 RF3">
    <cfRule type="cellIs" dxfId="14" priority="7" operator="equal">
      <formula>#N/A</formula>
    </cfRule>
  </conditionalFormatting>
  <conditionalFormatting sqref="SM3:SP3">
    <cfRule type="cellIs" dxfId="13" priority="6" operator="equal">
      <formula>#N/A</formula>
    </cfRule>
  </conditionalFormatting>
  <conditionalFormatting sqref="SS3:SU3 SW3">
    <cfRule type="cellIs" dxfId="12" priority="5" operator="equal">
      <formula>#N/A</formula>
    </cfRule>
  </conditionalFormatting>
  <conditionalFormatting sqref="TW3:TZ3 UB3 UD3">
    <cfRule type="cellIs" dxfId="11" priority="4" operator="equal">
      <formula>#N/A</formula>
    </cfRule>
  </conditionalFormatting>
  <conditionalFormatting sqref="UA4">
    <cfRule type="cellIs" dxfId="10" priority="3" operator="equal">
      <formula>#N/A</formula>
    </cfRule>
  </conditionalFormatting>
  <conditionalFormatting sqref="TV4">
    <cfRule type="cellIs" dxfId="9" priority="2" operator="equal">
      <formula>#N/A</formula>
    </cfRule>
  </conditionalFormatting>
  <conditionalFormatting sqref="UC3">
    <cfRule type="cellIs" dxfId="8" priority="1" operator="equal">
      <formula>#N/A</formula>
    </cfRule>
  </conditionalFormatting>
  <pageMargins left="0.7" right="0.7" top="0.75" bottom="0.75" header="0.3" footer="0.3"/>
  <pageSetup orientation="portrait" horizontalDpi="0"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O9"/>
  <sheetViews>
    <sheetView workbookViewId="0">
      <selection activeCell="K23" sqref="K23"/>
    </sheetView>
  </sheetViews>
  <sheetFormatPr defaultColWidth="9.1796875" defaultRowHeight="14.5"/>
  <cols>
    <col min="1" max="1" width="4.1796875" style="40" customWidth="1"/>
    <col min="2" max="16384" width="9.1796875" style="40"/>
  </cols>
  <sheetData>
    <row r="7" spans="2:15" ht="63" customHeight="1">
      <c r="B7" s="1000" t="s">
        <v>2826</v>
      </c>
      <c r="C7" s="1000"/>
      <c r="D7" s="1000"/>
      <c r="E7" s="1000"/>
      <c r="F7" s="1000"/>
      <c r="G7" s="1000"/>
      <c r="H7" s="1000"/>
      <c r="I7" s="1000"/>
      <c r="J7" s="1000"/>
      <c r="K7" s="1000"/>
      <c r="L7" s="1000"/>
      <c r="M7" s="1000"/>
      <c r="N7" s="1000"/>
      <c r="O7" s="1000"/>
    </row>
    <row r="9" spans="2:15" ht="33" customHeight="1">
      <c r="B9" s="1000" t="s">
        <v>2827</v>
      </c>
      <c r="C9" s="1000"/>
      <c r="D9" s="1000"/>
      <c r="E9" s="1000"/>
      <c r="F9" s="1000"/>
      <c r="G9" s="1000"/>
      <c r="H9" s="1000"/>
      <c r="I9" s="1000"/>
      <c r="J9" s="1000"/>
      <c r="K9" s="1000"/>
      <c r="L9" s="1000"/>
      <c r="M9" s="1000"/>
      <c r="N9" s="1000"/>
      <c r="O9" s="1000"/>
    </row>
  </sheetData>
  <mergeCells count="2">
    <mergeCell ref="B7:O7"/>
    <mergeCell ref="B9:O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6"/>
  <sheetViews>
    <sheetView workbookViewId="0">
      <selection activeCell="H7" sqref="H7"/>
    </sheetView>
  </sheetViews>
  <sheetFormatPr defaultRowHeight="14.5"/>
  <cols>
    <col min="2" max="2" width="20.26953125" customWidth="1"/>
    <col min="3" max="3" width="11.54296875" bestFit="1" customWidth="1"/>
    <col min="4" max="4" width="10.54296875" bestFit="1" customWidth="1"/>
    <col min="5" max="6" width="18.54296875" customWidth="1"/>
  </cols>
  <sheetData>
    <row r="2" spans="2:7">
      <c r="B2" s="302" t="s">
        <v>1185</v>
      </c>
      <c r="C2" s="138" t="s">
        <v>1441</v>
      </c>
      <c r="E2" s="302" t="s">
        <v>1346</v>
      </c>
    </row>
    <row r="3" spans="2:7">
      <c r="B3" s="2" t="s">
        <v>97</v>
      </c>
      <c r="C3" s="200">
        <v>7494.4181586430041</v>
      </c>
      <c r="D3" s="200">
        <v>6896.8362795918556</v>
      </c>
      <c r="E3" s="200">
        <v>619674.51389351895</v>
      </c>
      <c r="F3" s="39"/>
      <c r="G3" t="s">
        <v>1442</v>
      </c>
    </row>
    <row r="4" spans="2:7">
      <c r="B4" s="2" t="s">
        <v>99</v>
      </c>
      <c r="C4" s="200">
        <v>5853.8548653722228</v>
      </c>
      <c r="D4" s="200">
        <v>5617.7576529540202</v>
      </c>
      <c r="E4" s="200">
        <v>393235.77083858673</v>
      </c>
      <c r="F4" s="39"/>
    </row>
    <row r="5" spans="2:7">
      <c r="B5" s="2" t="s">
        <v>102</v>
      </c>
      <c r="C5" s="200">
        <v>5464.7748774877491</v>
      </c>
      <c r="D5" s="200">
        <v>6188.9606874437986</v>
      </c>
      <c r="E5" s="200">
        <v>230431.10611061106</v>
      </c>
      <c r="F5" s="39"/>
    </row>
    <row r="6" spans="2:7">
      <c r="B6" s="2" t="s">
        <v>103</v>
      </c>
      <c r="C6" s="200">
        <v>10090.106382978724</v>
      </c>
      <c r="D6" s="200">
        <v>3161.7234366767984</v>
      </c>
      <c r="E6" s="200">
        <v>1526246.865248227</v>
      </c>
      <c r="F6" s="39"/>
    </row>
    <row r="7" spans="2:7">
      <c r="B7" s="2" t="s">
        <v>104</v>
      </c>
      <c r="C7" s="200">
        <v>7138.2444444444445</v>
      </c>
      <c r="D7" s="200">
        <v>4650.6566577777776</v>
      </c>
      <c r="E7" s="200">
        <v>646289.26222222217</v>
      </c>
      <c r="F7" s="39"/>
    </row>
    <row r="8" spans="2:7">
      <c r="B8" s="2" t="s">
        <v>105</v>
      </c>
      <c r="C8" s="200">
        <v>5462.3825944170776</v>
      </c>
      <c r="D8" s="200">
        <v>4952.0793262370171</v>
      </c>
      <c r="E8" s="200">
        <v>498527.08620689658</v>
      </c>
      <c r="F8" s="39"/>
    </row>
    <row r="9" spans="2:7">
      <c r="B9" s="2" t="s">
        <v>106</v>
      </c>
      <c r="C9" s="200">
        <v>5094.8220409787145</v>
      </c>
      <c r="D9" s="200">
        <v>5868.3800543690013</v>
      </c>
      <c r="E9" s="200">
        <v>268737.18504077976</v>
      </c>
      <c r="F9" s="39"/>
    </row>
    <row r="10" spans="2:7">
      <c r="B10" s="2" t="s">
        <v>108</v>
      </c>
      <c r="C10" s="200">
        <v>5931.6700336700333</v>
      </c>
      <c r="D10" s="200">
        <v>4478.1248570008647</v>
      </c>
      <c r="E10" s="200">
        <v>729429.83838383842</v>
      </c>
      <c r="F10" s="39"/>
    </row>
    <row r="11" spans="2:7">
      <c r="B11" s="2" t="s">
        <v>109</v>
      </c>
      <c r="C11" s="200">
        <v>6879.5236467236464</v>
      </c>
      <c r="D11" s="200">
        <v>6266.4922090249065</v>
      </c>
      <c r="E11" s="200">
        <v>503484.43076923076</v>
      </c>
      <c r="F11" s="39"/>
    </row>
    <row r="12" spans="2:7">
      <c r="B12" s="2" t="s">
        <v>110</v>
      </c>
      <c r="C12" s="200">
        <v>6603.0446043165466</v>
      </c>
      <c r="D12" s="200">
        <v>3154.8692974888759</v>
      </c>
      <c r="E12" s="200">
        <v>1413319.4762589929</v>
      </c>
      <c r="F12" s="39"/>
    </row>
    <row r="13" spans="2:7">
      <c r="B13" s="2" t="s">
        <v>111</v>
      </c>
      <c r="C13" s="200">
        <v>5537.4673212641919</v>
      </c>
      <c r="D13" s="200">
        <v>6023.5908490774373</v>
      </c>
      <c r="E13" s="200">
        <v>212224.77876649279</v>
      </c>
      <c r="F13" s="39"/>
    </row>
    <row r="14" spans="2:7">
      <c r="B14" s="2" t="s">
        <v>112</v>
      </c>
      <c r="C14" s="200">
        <v>4953.2937638907042</v>
      </c>
      <c r="D14" s="200">
        <v>5842.6735547664848</v>
      </c>
      <c r="E14" s="200">
        <v>197924.50542554582</v>
      </c>
      <c r="F14" s="39"/>
    </row>
    <row r="15" spans="2:7">
      <c r="B15" s="2" t="s">
        <v>113</v>
      </c>
      <c r="C15" s="200">
        <v>6751.1706263498918</v>
      </c>
      <c r="D15" s="200">
        <v>6903.7050307240297</v>
      </c>
      <c r="E15" s="200">
        <v>317701.36501079914</v>
      </c>
      <c r="F15" s="39"/>
    </row>
    <row r="16" spans="2:7">
      <c r="B16" s="2" t="s">
        <v>114</v>
      </c>
      <c r="C16" s="200">
        <v>5038.4284745762716</v>
      </c>
      <c r="D16" s="200">
        <v>5306.3294452053233</v>
      </c>
      <c r="E16" s="200">
        <v>253874.53559322035</v>
      </c>
      <c r="F16" s="39"/>
    </row>
    <row r="17" spans="2:6">
      <c r="B17" s="2" t="s">
        <v>115</v>
      </c>
      <c r="C17" s="200">
        <v>4758.7025995707127</v>
      </c>
      <c r="D17" s="200">
        <v>5454.8488041548144</v>
      </c>
      <c r="E17" s="200">
        <v>220228.36298592892</v>
      </c>
      <c r="F17" s="39"/>
    </row>
    <row r="18" spans="2:6">
      <c r="B18" s="2" t="s">
        <v>116</v>
      </c>
      <c r="C18" s="200">
        <v>16619.701771336553</v>
      </c>
      <c r="D18" s="200">
        <v>9618.9670343182315</v>
      </c>
      <c r="E18" s="200">
        <v>2759325.8492753622</v>
      </c>
      <c r="F18" s="39"/>
    </row>
    <row r="19" spans="2:6">
      <c r="B19" s="2" t="s">
        <v>117</v>
      </c>
      <c r="C19" s="200">
        <v>15567.681372549019</v>
      </c>
      <c r="D19" s="200">
        <v>7840.753941176471</v>
      </c>
      <c r="E19" s="200">
        <v>1751558.4901960783</v>
      </c>
      <c r="F19" s="39"/>
    </row>
    <row r="20" spans="2:6">
      <c r="B20" s="2" t="s">
        <v>118</v>
      </c>
      <c r="C20" s="200">
        <v>6367.4216524216527</v>
      </c>
      <c r="D20" s="200">
        <v>4355.0370856200325</v>
      </c>
      <c r="E20" s="200">
        <v>744388.79772079771</v>
      </c>
      <c r="F20" s="39"/>
    </row>
    <row r="21" spans="2:6">
      <c r="B21" s="2" t="s">
        <v>119</v>
      </c>
      <c r="C21" s="200">
        <v>8108.073319755601</v>
      </c>
      <c r="D21" s="200">
        <v>6551.0957788769274</v>
      </c>
      <c r="E21" s="200">
        <v>405247.1446028513</v>
      </c>
      <c r="F21" s="39"/>
    </row>
    <row r="22" spans="2:6">
      <c r="B22" s="2" t="s">
        <v>120</v>
      </c>
      <c r="C22" s="200">
        <v>7763.3284064665131</v>
      </c>
      <c r="D22" s="200">
        <v>4577.645559231195</v>
      </c>
      <c r="E22" s="200">
        <v>1417141.5482678984</v>
      </c>
      <c r="F22" s="39"/>
    </row>
    <row r="23" spans="2:6">
      <c r="B23" s="2" t="s">
        <v>121</v>
      </c>
      <c r="C23" s="200">
        <v>7020.8090935587288</v>
      </c>
      <c r="D23" s="200">
        <v>4547.8607134587864</v>
      </c>
      <c r="E23" s="200">
        <v>1190729.1664237832</v>
      </c>
      <c r="F23" s="39"/>
    </row>
    <row r="24" spans="2:6">
      <c r="B24" s="2" t="s">
        <v>122</v>
      </c>
      <c r="C24" s="200">
        <v>5274.9101425744584</v>
      </c>
      <c r="D24" s="200">
        <v>5879.1541072977452</v>
      </c>
      <c r="E24" s="200">
        <v>294287.05880562181</v>
      </c>
      <c r="F24" s="39"/>
    </row>
    <row r="25" spans="2:6">
      <c r="B25" s="2" t="s">
        <v>123</v>
      </c>
      <c r="C25" s="200">
        <v>13935.173913043478</v>
      </c>
      <c r="D25" s="200">
        <v>336.07502173913053</v>
      </c>
      <c r="E25" s="200">
        <v>4035362.6739130435</v>
      </c>
      <c r="F25" s="39"/>
    </row>
    <row r="26" spans="2:6">
      <c r="B26" s="2" t="s">
        <v>124</v>
      </c>
      <c r="C26" s="200">
        <v>5055.8019819500969</v>
      </c>
      <c r="D26" s="200">
        <v>5864.3630268404195</v>
      </c>
      <c r="E26" s="200">
        <v>203640.37922491593</v>
      </c>
      <c r="F26" s="39"/>
    </row>
    <row r="27" spans="2:6">
      <c r="B27" s="2" t="s">
        <v>125</v>
      </c>
      <c r="C27" s="200">
        <v>6296.3251653053285</v>
      </c>
      <c r="D27" s="200">
        <v>5420.3603863180851</v>
      </c>
      <c r="E27" s="200">
        <v>641442.77246207697</v>
      </c>
      <c r="F27" s="39"/>
    </row>
    <row r="28" spans="2:6">
      <c r="B28" s="2" t="s">
        <v>126</v>
      </c>
      <c r="C28" s="200">
        <v>7106.1775585696669</v>
      </c>
      <c r="D28" s="200">
        <v>6153.3988570123765</v>
      </c>
      <c r="E28" s="200">
        <v>384247.45745992602</v>
      </c>
      <c r="F28" s="39"/>
    </row>
    <row r="29" spans="2:6">
      <c r="B29" s="2" t="s">
        <v>127</v>
      </c>
      <c r="C29" s="200">
        <v>12136.80985915493</v>
      </c>
      <c r="D29" s="200">
        <v>6980.3145055770874</v>
      </c>
      <c r="E29" s="200">
        <v>910669.38732394367</v>
      </c>
      <c r="F29" s="39"/>
    </row>
    <row r="30" spans="2:6">
      <c r="B30" s="2" t="s">
        <v>128</v>
      </c>
      <c r="C30" s="200">
        <v>4810.9841884683765</v>
      </c>
      <c r="D30" s="200">
        <v>6025.8512544617215</v>
      </c>
      <c r="E30" s="200">
        <v>235490.26778003556</v>
      </c>
      <c r="F30" s="39"/>
    </row>
    <row r="31" spans="2:6">
      <c r="B31" s="2" t="s">
        <v>130</v>
      </c>
      <c r="C31" s="200">
        <v>5099.5780066388625</v>
      </c>
      <c r="D31" s="200">
        <v>6502.321290753589</v>
      </c>
      <c r="E31" s="200">
        <v>238985.33049621244</v>
      </c>
      <c r="F31" s="39"/>
    </row>
    <row r="32" spans="2:6">
      <c r="B32" s="2" t="s">
        <v>131</v>
      </c>
      <c r="C32" s="200">
        <v>7524.2503067484658</v>
      </c>
      <c r="D32" s="200">
        <v>7812.2984343558282</v>
      </c>
      <c r="E32" s="200">
        <v>431690.29693251534</v>
      </c>
      <c r="F32" s="39"/>
    </row>
    <row r="33" spans="2:6">
      <c r="B33" s="2" t="s">
        <v>132</v>
      </c>
      <c r="C33" s="200">
        <v>5151.5131106817553</v>
      </c>
      <c r="D33" s="200">
        <v>5962.2350683667246</v>
      </c>
      <c r="E33" s="200">
        <v>212872.96329009108</v>
      </c>
      <c r="F33" s="39"/>
    </row>
    <row r="34" spans="2:6">
      <c r="B34" s="2" t="s">
        <v>133</v>
      </c>
      <c r="C34" s="200">
        <v>6413.6026666666667</v>
      </c>
      <c r="D34" s="200">
        <v>6271.0720391534387</v>
      </c>
      <c r="E34" s="200">
        <v>230016.46666666667</v>
      </c>
      <c r="F34" s="39"/>
    </row>
    <row r="35" spans="2:6">
      <c r="B35" s="2" t="s">
        <v>134</v>
      </c>
      <c r="C35" s="200">
        <v>5074.8784810126581</v>
      </c>
      <c r="D35" s="200">
        <v>5524.8170734052346</v>
      </c>
      <c r="E35" s="200">
        <v>260432</v>
      </c>
      <c r="F35" s="39"/>
    </row>
    <row r="36" spans="2:6">
      <c r="B36" s="2" t="s">
        <v>135</v>
      </c>
      <c r="C36" s="200">
        <v>5970.0581745235704</v>
      </c>
      <c r="D36" s="200">
        <v>6589.0283377287287</v>
      </c>
      <c r="E36" s="200">
        <v>259265.48445336008</v>
      </c>
      <c r="F36" s="39"/>
    </row>
    <row r="37" spans="2:6">
      <c r="B37" s="2" t="s">
        <v>136</v>
      </c>
      <c r="C37" s="200">
        <v>5241.9615454600598</v>
      </c>
      <c r="D37" s="200">
        <v>6412.3238492402088</v>
      </c>
      <c r="E37" s="200">
        <v>218003.26572451022</v>
      </c>
      <c r="F37" s="39"/>
    </row>
    <row r="38" spans="2:6">
      <c r="B38" s="2" t="s">
        <v>138</v>
      </c>
      <c r="C38" s="200">
        <v>6323.8590909090908</v>
      </c>
      <c r="D38" s="200">
        <v>5808.2025593073595</v>
      </c>
      <c r="E38" s="200">
        <v>302090.23636363639</v>
      </c>
      <c r="F38" s="39"/>
    </row>
    <row r="39" spans="2:6">
      <c r="B39" s="2" t="s">
        <v>139</v>
      </c>
      <c r="C39" s="200">
        <v>8321.5603217158168</v>
      </c>
      <c r="D39" s="200">
        <v>5849.3972080486619</v>
      </c>
      <c r="E39" s="200">
        <v>500744.63806970511</v>
      </c>
      <c r="F39" s="39"/>
    </row>
    <row r="40" spans="2:6">
      <c r="B40" s="2" t="s">
        <v>140</v>
      </c>
      <c r="C40" s="200">
        <v>6764.7306943543153</v>
      </c>
      <c r="D40" s="200">
        <v>5265.4826227618023</v>
      </c>
      <c r="E40" s="200">
        <v>722138.38676184299</v>
      </c>
      <c r="F40" s="39"/>
    </row>
    <row r="41" spans="2:6">
      <c r="B41" s="2" t="s">
        <v>141</v>
      </c>
      <c r="C41" s="200">
        <v>5163.0463366336635</v>
      </c>
      <c r="D41" s="200">
        <v>5657.5453355011723</v>
      </c>
      <c r="E41" s="200">
        <v>237309.57821782178</v>
      </c>
      <c r="F41" s="39"/>
    </row>
    <row r="42" spans="2:6">
      <c r="B42" s="2" t="s">
        <v>142</v>
      </c>
      <c r="C42" s="200">
        <v>10717.032727272728</v>
      </c>
      <c r="D42" s="200">
        <v>6136.1763835334477</v>
      </c>
      <c r="E42" s="200">
        <v>814484.32727272727</v>
      </c>
      <c r="F42" s="39"/>
    </row>
    <row r="43" spans="2:6">
      <c r="B43" s="2" t="s">
        <v>143</v>
      </c>
      <c r="C43" s="200">
        <v>9324.6783968719446</v>
      </c>
      <c r="D43" s="200">
        <v>7491.7594944584407</v>
      </c>
      <c r="E43" s="200">
        <v>498736.65982404695</v>
      </c>
      <c r="F43" s="39"/>
    </row>
    <row r="44" spans="2:6">
      <c r="B44" s="2" t="s">
        <v>144</v>
      </c>
      <c r="C44" s="200">
        <v>7137.0192554557125</v>
      </c>
      <c r="D44" s="200">
        <v>1763.9672026662456</v>
      </c>
      <c r="E44" s="200">
        <v>1739002.7291399229</v>
      </c>
      <c r="F44" s="39"/>
    </row>
    <row r="45" spans="2:6">
      <c r="B45" s="2" t="s">
        <v>145</v>
      </c>
      <c r="C45" s="200">
        <v>10144.595611285267</v>
      </c>
      <c r="D45" s="200">
        <v>5622.6990836749455</v>
      </c>
      <c r="E45" s="200">
        <v>896740.12539184955</v>
      </c>
      <c r="F45" s="39"/>
    </row>
    <row r="46" spans="2:6">
      <c r="B46" s="2" t="s">
        <v>146</v>
      </c>
      <c r="C46" s="200">
        <v>20529.833333333332</v>
      </c>
      <c r="D46" s="200">
        <v>-879.72400000000016</v>
      </c>
      <c r="E46" s="200">
        <v>1760574.6666666667</v>
      </c>
      <c r="F46" s="39"/>
    </row>
    <row r="47" spans="2:6">
      <c r="B47" s="2" t="s">
        <v>147</v>
      </c>
      <c r="C47" s="200">
        <v>6818.6625310173695</v>
      </c>
      <c r="D47" s="200">
        <v>5665.8534797353168</v>
      </c>
      <c r="E47" s="200">
        <v>591203.78908188583</v>
      </c>
      <c r="F47" s="39"/>
    </row>
    <row r="48" spans="2:6">
      <c r="B48" s="2" t="s">
        <v>148</v>
      </c>
      <c r="C48" s="200">
        <v>5367.932685729922</v>
      </c>
      <c r="D48" s="200">
        <v>5540.0696139213833</v>
      </c>
      <c r="E48" s="200">
        <v>277980.46490627993</v>
      </c>
      <c r="F48" s="39"/>
    </row>
    <row r="49" spans="2:6">
      <c r="B49" s="2" t="s">
        <v>149</v>
      </c>
      <c r="C49" s="200">
        <v>4107.4045189504377</v>
      </c>
      <c r="D49" s="200">
        <v>5111.7979827653953</v>
      </c>
      <c r="E49" s="200">
        <v>167066.67164723031</v>
      </c>
      <c r="F49" s="39"/>
    </row>
    <row r="50" spans="2:6">
      <c r="B50" s="2" t="s">
        <v>151</v>
      </c>
      <c r="C50" s="200">
        <v>5041.6976542137272</v>
      </c>
      <c r="D50" s="200">
        <v>5118.9448079391696</v>
      </c>
      <c r="E50" s="200">
        <v>230161.09991311902</v>
      </c>
      <c r="F50" s="39"/>
    </row>
    <row r="51" spans="2:6">
      <c r="B51" s="2" t="s">
        <v>152</v>
      </c>
      <c r="C51" s="200">
        <v>6331.2327790973868</v>
      </c>
      <c r="D51" s="200">
        <v>5279.7350519552119</v>
      </c>
      <c r="E51" s="200">
        <v>735363.94726840861</v>
      </c>
      <c r="F51" s="39"/>
    </row>
    <row r="52" spans="2:6">
      <c r="B52" s="2" t="s">
        <v>153</v>
      </c>
      <c r="C52" s="200">
        <v>5508.7377895778818</v>
      </c>
      <c r="D52" s="200">
        <v>6123.3723648773375</v>
      </c>
      <c r="E52" s="200">
        <v>286990.15377650224</v>
      </c>
      <c r="F52" s="39"/>
    </row>
    <row r="53" spans="2:6">
      <c r="B53" s="2" t="s">
        <v>155</v>
      </c>
      <c r="C53" s="200">
        <v>5216.3280991735537</v>
      </c>
      <c r="D53" s="200">
        <v>5797.0696015059393</v>
      </c>
      <c r="E53" s="200">
        <v>333503.96363636362</v>
      </c>
      <c r="F53" s="39"/>
    </row>
    <row r="54" spans="2:6">
      <c r="B54" s="2" t="s">
        <v>156</v>
      </c>
      <c r="C54" s="200">
        <v>5553.41393631749</v>
      </c>
      <c r="D54" s="200">
        <v>6199.4823320207606</v>
      </c>
      <c r="E54" s="200">
        <v>243032.07106598985</v>
      </c>
      <c r="F54" s="39"/>
    </row>
    <row r="55" spans="2:6">
      <c r="B55" s="2" t="s">
        <v>157</v>
      </c>
      <c r="C55" s="200">
        <v>7498.9361702127662</v>
      </c>
      <c r="D55" s="200">
        <v>6063.160239083697</v>
      </c>
      <c r="E55" s="200">
        <v>464796.48936170212</v>
      </c>
      <c r="F55" s="39"/>
    </row>
    <row r="56" spans="2:6">
      <c r="B56" s="2" t="s">
        <v>158</v>
      </c>
      <c r="C56" s="200">
        <v>9966.149019607843</v>
      </c>
      <c r="D56" s="200">
        <v>5351.6004774027651</v>
      </c>
      <c r="E56" s="200">
        <v>588518.34509803925</v>
      </c>
      <c r="F56" s="39"/>
    </row>
    <row r="57" spans="2:6">
      <c r="B57" s="2" t="s">
        <v>159</v>
      </c>
      <c r="C57" s="200">
        <v>8327.6956521739139</v>
      </c>
      <c r="D57" s="200">
        <v>6885.0955061071263</v>
      </c>
      <c r="E57" s="200">
        <v>405508.57065217389</v>
      </c>
      <c r="F57" s="39"/>
    </row>
    <row r="58" spans="2:6">
      <c r="B58" s="2" t="s">
        <v>160</v>
      </c>
      <c r="C58" s="200">
        <v>15979.613526570049</v>
      </c>
      <c r="D58" s="200">
        <v>7494.293536231884</v>
      </c>
      <c r="E58" s="200">
        <v>1271196.8405797102</v>
      </c>
      <c r="F58" s="39"/>
    </row>
    <row r="59" spans="2:6">
      <c r="B59" s="2" t="s">
        <v>161</v>
      </c>
      <c r="C59" s="200">
        <v>7425.1843378794547</v>
      </c>
      <c r="D59" s="200">
        <v>6055.2347542676334</v>
      </c>
      <c r="E59" s="200">
        <v>717623.63044434669</v>
      </c>
      <c r="F59" s="39"/>
    </row>
    <row r="60" spans="2:6">
      <c r="B60" s="2" t="s">
        <v>162</v>
      </c>
      <c r="C60" s="200">
        <v>4649.3895776635418</v>
      </c>
      <c r="D60" s="200">
        <v>5568.5744118660314</v>
      </c>
      <c r="E60" s="200">
        <v>177183.24906763431</v>
      </c>
      <c r="F60" s="39"/>
    </row>
    <row r="61" spans="2:6">
      <c r="B61" s="2" t="s">
        <v>163</v>
      </c>
      <c r="C61" s="200">
        <v>6315.4226498889711</v>
      </c>
      <c r="D61" s="200">
        <v>6599.1884060441571</v>
      </c>
      <c r="E61" s="200">
        <v>192153.9896373057</v>
      </c>
      <c r="F61" s="39"/>
    </row>
    <row r="62" spans="2:6">
      <c r="B62" s="2" t="s">
        <v>164</v>
      </c>
      <c r="C62" s="200">
        <v>6235.959390862944</v>
      </c>
      <c r="D62" s="200">
        <v>5927.1569198733687</v>
      </c>
      <c r="E62" s="200">
        <v>278128.50592216582</v>
      </c>
      <c r="F62" s="39"/>
    </row>
    <row r="63" spans="2:6">
      <c r="B63" s="2" t="s">
        <v>165</v>
      </c>
      <c r="C63" s="200">
        <v>5032.9242190783025</v>
      </c>
      <c r="D63" s="200">
        <v>5965.149131894952</v>
      </c>
      <c r="E63" s="200">
        <v>287149.46631180838</v>
      </c>
      <c r="F63" s="39"/>
    </row>
    <row r="64" spans="2:6">
      <c r="B64" s="2" t="s">
        <v>166</v>
      </c>
      <c r="C64" s="200">
        <v>5906.6211723534561</v>
      </c>
      <c r="D64" s="200">
        <v>5631.5932141671956</v>
      </c>
      <c r="E64" s="200">
        <v>352488.8801399825</v>
      </c>
      <c r="F64" s="39"/>
    </row>
    <row r="65" spans="2:6">
      <c r="B65" s="2" t="s">
        <v>167</v>
      </c>
      <c r="C65" s="200">
        <v>5754.0486656986932</v>
      </c>
      <c r="D65" s="200">
        <v>4966.6697720125294</v>
      </c>
      <c r="E65" s="200">
        <v>705801.6765633605</v>
      </c>
      <c r="F65" s="39"/>
    </row>
    <row r="66" spans="2:6">
      <c r="B66" s="2" t="s">
        <v>168</v>
      </c>
      <c r="C66" s="200">
        <v>5988.9787286975989</v>
      </c>
      <c r="D66" s="200">
        <v>5731.9369798174821</v>
      </c>
      <c r="E66" s="200">
        <v>534442.72347306879</v>
      </c>
      <c r="F66" s="39"/>
    </row>
    <row r="67" spans="2:6">
      <c r="B67" s="2" t="s">
        <v>169</v>
      </c>
      <c r="C67" s="200">
        <v>5443.1561771561774</v>
      </c>
      <c r="D67" s="200">
        <v>5609.8570723507464</v>
      </c>
      <c r="E67" s="200">
        <v>418848.97678321676</v>
      </c>
      <c r="F67" s="39"/>
    </row>
    <row r="68" spans="2:6">
      <c r="B68" s="2" t="s">
        <v>170</v>
      </c>
      <c r="C68" s="200">
        <v>14596.990712074303</v>
      </c>
      <c r="D68" s="200">
        <v>3518.8785812227252</v>
      </c>
      <c r="E68" s="200">
        <v>3209798.4024767801</v>
      </c>
      <c r="F68" s="39"/>
    </row>
    <row r="69" spans="2:6">
      <c r="B69" s="2" t="s">
        <v>171</v>
      </c>
      <c r="C69" s="200">
        <v>8583.9402280770737</v>
      </c>
      <c r="D69" s="200">
        <v>8349.210847909666</v>
      </c>
      <c r="E69" s="200">
        <v>524331.92764451436</v>
      </c>
      <c r="F69" s="39"/>
    </row>
    <row r="70" spans="2:6">
      <c r="B70" s="2" t="s">
        <v>173</v>
      </c>
      <c r="C70" s="200">
        <v>10470.492957746479</v>
      </c>
      <c r="D70" s="200">
        <v>8067.916533886244</v>
      </c>
      <c r="E70" s="200">
        <v>581294.35211267602</v>
      </c>
      <c r="F70" s="39"/>
    </row>
    <row r="71" spans="2:6">
      <c r="B71" s="2" t="s">
        <v>174</v>
      </c>
      <c r="C71" s="200">
        <v>10915.833333333334</v>
      </c>
      <c r="D71" s="200">
        <v>8545.9933245614029</v>
      </c>
      <c r="E71" s="200">
        <v>540691.55263157899</v>
      </c>
      <c r="F71" s="39"/>
    </row>
    <row r="72" spans="2:6">
      <c r="B72" s="2" t="s">
        <v>175</v>
      </c>
      <c r="C72" s="200">
        <v>8215.0174672489084</v>
      </c>
      <c r="D72" s="200">
        <v>7068.1348081055885</v>
      </c>
      <c r="E72" s="200">
        <v>498646.84716157208</v>
      </c>
      <c r="F72" s="39"/>
    </row>
    <row r="73" spans="2:6">
      <c r="B73" s="2" t="s">
        <v>176</v>
      </c>
      <c r="C73" s="200">
        <v>11148.53720508167</v>
      </c>
      <c r="D73" s="200">
        <v>8604.1673428593349</v>
      </c>
      <c r="E73" s="200">
        <v>486005.91651542648</v>
      </c>
      <c r="F73" s="39"/>
    </row>
    <row r="74" spans="2:6">
      <c r="B74" s="2" t="s">
        <v>177</v>
      </c>
      <c r="C74" s="200">
        <v>11538.846153846154</v>
      </c>
      <c r="D74" s="200">
        <v>7602.0636579830061</v>
      </c>
      <c r="E74" s="200">
        <v>835169.55288461538</v>
      </c>
      <c r="F74" s="39"/>
    </row>
    <row r="75" spans="2:6">
      <c r="B75" s="2" t="s">
        <v>178</v>
      </c>
      <c r="C75" s="200">
        <v>5407.1235059760957</v>
      </c>
      <c r="D75" s="200">
        <v>3634.025851917434</v>
      </c>
      <c r="E75" s="200">
        <v>690452.71978751663</v>
      </c>
      <c r="F75" s="39"/>
    </row>
    <row r="76" spans="2:6">
      <c r="B76" s="2" t="s">
        <v>179</v>
      </c>
      <c r="C76" s="200">
        <v>14578.165605095541</v>
      </c>
      <c r="D76" s="200">
        <v>3951.4830855988816</v>
      </c>
      <c r="E76" s="200">
        <v>1004176.3439490446</v>
      </c>
      <c r="F76" s="39"/>
    </row>
    <row r="77" spans="2:6">
      <c r="B77" s="2" t="s">
        <v>180</v>
      </c>
      <c r="C77" s="200">
        <v>14188.190871369294</v>
      </c>
      <c r="D77" s="200">
        <v>7897.4535850622406</v>
      </c>
      <c r="E77" s="200">
        <v>908467.06224066392</v>
      </c>
      <c r="F77" s="39"/>
    </row>
    <row r="78" spans="2:6">
      <c r="B78" s="2" t="s">
        <v>181</v>
      </c>
      <c r="C78" s="200">
        <v>7888.9204819277111</v>
      </c>
      <c r="D78" s="200">
        <v>6725.1336296197132</v>
      </c>
      <c r="E78" s="200">
        <v>476953.37108433736</v>
      </c>
      <c r="F78" s="39"/>
    </row>
    <row r="79" spans="2:6">
      <c r="B79" s="2" t="s">
        <v>182</v>
      </c>
      <c r="C79" s="200">
        <v>10337.454022988506</v>
      </c>
      <c r="D79" s="200">
        <v>6640.6884084469402</v>
      </c>
      <c r="E79" s="200">
        <v>797349.60919540224</v>
      </c>
      <c r="F79" s="39"/>
    </row>
    <row r="80" spans="2:6">
      <c r="B80" s="2" t="s">
        <v>183</v>
      </c>
      <c r="C80" s="200">
        <v>6314.8161616161615</v>
      </c>
      <c r="D80" s="200">
        <v>6111.129246431864</v>
      </c>
      <c r="E80" s="200">
        <v>327982.41010101011</v>
      </c>
      <c r="F80" s="39"/>
    </row>
    <row r="81" spans="2:6">
      <c r="B81" s="2" t="s">
        <v>184</v>
      </c>
      <c r="C81" s="200">
        <v>7165.4895591647328</v>
      </c>
      <c r="D81" s="200">
        <v>6009.2608204019043</v>
      </c>
      <c r="E81" s="200">
        <v>197815.716937355</v>
      </c>
      <c r="F81" s="39"/>
    </row>
    <row r="82" spans="2:6">
      <c r="B82" s="2" t="s">
        <v>185</v>
      </c>
      <c r="C82" s="200">
        <v>8016.716112531969</v>
      </c>
      <c r="D82" s="200">
        <v>6805.9736082474228</v>
      </c>
      <c r="E82" s="200">
        <v>350564.09207161126</v>
      </c>
      <c r="F82" s="39"/>
    </row>
    <row r="83" spans="2:6">
      <c r="B83" s="2" t="s">
        <v>186</v>
      </c>
      <c r="C83" s="200">
        <v>5227.9262934089302</v>
      </c>
      <c r="D83" s="200">
        <v>5813.2016003194813</v>
      </c>
      <c r="E83" s="200">
        <v>258693.66852283082</v>
      </c>
      <c r="F83" s="39"/>
    </row>
    <row r="84" spans="2:6">
      <c r="B84" s="2" t="s">
        <v>187</v>
      </c>
      <c r="C84" s="200">
        <v>5291.8739523969161</v>
      </c>
      <c r="D84" s="200">
        <v>5953.5917893746173</v>
      </c>
      <c r="E84" s="200">
        <v>169712.9534026148</v>
      </c>
      <c r="F84" s="39"/>
    </row>
    <row r="85" spans="2:6">
      <c r="B85" s="2" t="s">
        <v>188</v>
      </c>
      <c r="C85" s="200">
        <v>4933.5401699716713</v>
      </c>
      <c r="D85" s="200">
        <v>5772.648707553717</v>
      </c>
      <c r="E85" s="200">
        <v>279185.65393767704</v>
      </c>
      <c r="F85" s="39"/>
    </row>
    <row r="86" spans="2:6">
      <c r="B86" s="2" t="s">
        <v>190</v>
      </c>
      <c r="C86" s="200">
        <v>7204.9435695538059</v>
      </c>
      <c r="D86" s="200">
        <v>6816.7460037425362</v>
      </c>
      <c r="E86" s="200">
        <v>520154.8357392826</v>
      </c>
      <c r="F86" s="39"/>
    </row>
    <row r="87" spans="2:6">
      <c r="B87" s="2" t="s">
        <v>191</v>
      </c>
      <c r="C87" s="200">
        <v>5776.9514767932487</v>
      </c>
      <c r="D87" s="200">
        <v>6025.6022077709122</v>
      </c>
      <c r="E87" s="200">
        <v>291563.76371308014</v>
      </c>
      <c r="F87" s="39"/>
    </row>
    <row r="88" spans="2:6">
      <c r="B88" s="2" t="s">
        <v>192</v>
      </c>
      <c r="C88" s="200">
        <v>14950.294478527607</v>
      </c>
      <c r="D88" s="200">
        <v>7620.1254283652115</v>
      </c>
      <c r="E88" s="200">
        <v>632107.59509202454</v>
      </c>
      <c r="F88" s="39"/>
    </row>
    <row r="89" spans="2:6">
      <c r="B89" s="2" t="s">
        <v>193</v>
      </c>
      <c r="C89" s="200">
        <v>5616.0171044593772</v>
      </c>
      <c r="D89" s="200">
        <v>5551.6171168342507</v>
      </c>
      <c r="E89" s="200">
        <v>359467.9792302993</v>
      </c>
      <c r="F89" s="39"/>
    </row>
    <row r="90" spans="2:6">
      <c r="B90" s="2" t="s">
        <v>194</v>
      </c>
      <c r="C90" s="200">
        <v>5363.9346485819979</v>
      </c>
      <c r="D90" s="200">
        <v>6019.9166881454794</v>
      </c>
      <c r="E90" s="200">
        <v>235231.89025893959</v>
      </c>
      <c r="F90" s="39"/>
    </row>
    <row r="91" spans="2:6">
      <c r="B91" s="2" t="s">
        <v>195</v>
      </c>
      <c r="C91" s="200">
        <v>17726.81818181818</v>
      </c>
      <c r="D91" s="200">
        <v>887.86854545454526</v>
      </c>
      <c r="E91" s="200">
        <v>1611316.5454545454</v>
      </c>
      <c r="F91" s="39"/>
    </row>
    <row r="92" spans="2:6">
      <c r="B92" s="2" t="s">
        <v>196</v>
      </c>
      <c r="C92" s="200">
        <v>9399.8897058823532</v>
      </c>
      <c r="D92" s="200">
        <v>7822.9711537910625</v>
      </c>
      <c r="E92" s="200">
        <v>659569.8713235294</v>
      </c>
      <c r="F92" s="39"/>
    </row>
    <row r="93" spans="2:6">
      <c r="B93" s="2" t="s">
        <v>197</v>
      </c>
      <c r="C93" s="200">
        <v>5005.6487424111019</v>
      </c>
      <c r="D93" s="200">
        <v>6023.1132537756075</v>
      </c>
      <c r="E93" s="200">
        <v>179480.30702515176</v>
      </c>
      <c r="F93" s="39"/>
    </row>
    <row r="94" spans="2:6">
      <c r="B94" s="2" t="s">
        <v>198</v>
      </c>
      <c r="C94" s="200">
        <v>5007.2132378027973</v>
      </c>
      <c r="D94" s="200">
        <v>5917.9995495050252</v>
      </c>
      <c r="E94" s="200">
        <v>237751.13749573525</v>
      </c>
      <c r="F94" s="39"/>
    </row>
    <row r="95" spans="2:6">
      <c r="B95" s="2" t="s">
        <v>199</v>
      </c>
      <c r="C95" s="200">
        <v>5921.36231884058</v>
      </c>
      <c r="D95" s="200">
        <v>5331.7423279353552</v>
      </c>
      <c r="E95" s="200">
        <v>393712.61315496097</v>
      </c>
      <c r="F95" s="39"/>
    </row>
    <row r="96" spans="2:6">
      <c r="B96" s="2" t="s">
        <v>200</v>
      </c>
      <c r="C96" s="200">
        <v>5320.4033970276005</v>
      </c>
      <c r="D96" s="200">
        <v>5652.1626726763243</v>
      </c>
      <c r="E96" s="200">
        <v>283189.32666060055</v>
      </c>
      <c r="F96" s="39"/>
    </row>
    <row r="97" spans="2:6">
      <c r="B97" s="2" t="s">
        <v>201</v>
      </c>
      <c r="C97" s="200">
        <v>7407.6089344562433</v>
      </c>
      <c r="D97" s="200">
        <v>7184.2033173342752</v>
      </c>
      <c r="E97" s="200">
        <v>568693.30574880994</v>
      </c>
      <c r="F97" s="39"/>
    </row>
    <row r="98" spans="2:6">
      <c r="B98" s="2" t="s">
        <v>202</v>
      </c>
      <c r="C98" s="200">
        <v>8257.9</v>
      </c>
      <c r="D98" s="200">
        <v>7425.6449277777774</v>
      </c>
      <c r="E98" s="200">
        <v>221772.06111111111</v>
      </c>
      <c r="F98" s="39"/>
    </row>
    <row r="99" spans="2:6">
      <c r="B99" s="2" t="s">
        <v>203</v>
      </c>
      <c r="C99" s="200">
        <v>12239.297297297297</v>
      </c>
      <c r="D99" s="200">
        <v>3381.1926486486486</v>
      </c>
      <c r="E99" s="200">
        <v>1340773.6216216215</v>
      </c>
      <c r="F99" s="39"/>
    </row>
    <row r="100" spans="2:6">
      <c r="B100" s="2" t="s">
        <v>204</v>
      </c>
      <c r="C100" s="200">
        <v>8486.9195612431449</v>
      </c>
      <c r="D100" s="200">
        <v>8192.6601101094875</v>
      </c>
      <c r="E100" s="200">
        <v>465463.69195612433</v>
      </c>
      <c r="F100" s="39"/>
    </row>
    <row r="101" spans="2:6">
      <c r="B101" s="2" t="s">
        <v>205</v>
      </c>
      <c r="C101" s="200">
        <v>14427.765258215963</v>
      </c>
      <c r="D101" s="200">
        <v>8429.3984614613237</v>
      </c>
      <c r="E101" s="200">
        <v>779538.52582159627</v>
      </c>
      <c r="F101" s="39"/>
    </row>
    <row r="102" spans="2:6">
      <c r="B102" s="2" t="s">
        <v>206</v>
      </c>
      <c r="C102" s="200">
        <v>9074.7482305358953</v>
      </c>
      <c r="D102" s="200">
        <v>8449.49548716358</v>
      </c>
      <c r="E102" s="200">
        <v>463242.42062689585</v>
      </c>
      <c r="F102" s="39"/>
    </row>
    <row r="103" spans="2:6">
      <c r="B103" s="2" t="s">
        <v>207</v>
      </c>
      <c r="C103" s="200">
        <v>24349.703703703704</v>
      </c>
      <c r="D103" s="200">
        <v>-8987.5302222222235</v>
      </c>
      <c r="E103" s="200">
        <v>8747638.9629629627</v>
      </c>
      <c r="F103" s="39"/>
    </row>
    <row r="104" spans="2:6">
      <c r="B104" s="2" t="s">
        <v>208</v>
      </c>
      <c r="C104" s="200">
        <v>7744.0673671199011</v>
      </c>
      <c r="D104" s="200">
        <v>6685.0845459152179</v>
      </c>
      <c r="E104" s="200">
        <v>812821.13906056865</v>
      </c>
      <c r="F104" s="39"/>
    </row>
    <row r="105" spans="2:6">
      <c r="B105" s="2" t="s">
        <v>209</v>
      </c>
      <c r="C105" s="200">
        <v>6163.807331730769</v>
      </c>
      <c r="D105" s="200">
        <v>6728.7155394624924</v>
      </c>
      <c r="E105" s="200">
        <v>336348.96021634614</v>
      </c>
      <c r="F105" s="39"/>
    </row>
    <row r="106" spans="2:6">
      <c r="B106" s="2" t="s">
        <v>210</v>
      </c>
      <c r="C106" s="200">
        <v>5496.2212908633701</v>
      </c>
      <c r="D106" s="200">
        <v>5937.1955201808105</v>
      </c>
      <c r="E106" s="200">
        <v>452954.17686504609</v>
      </c>
      <c r="F106" s="39"/>
    </row>
    <row r="107" spans="2:6">
      <c r="B107" s="2" t="s">
        <v>211</v>
      </c>
      <c r="C107" s="200">
        <v>5836.4525745257451</v>
      </c>
      <c r="D107" s="200">
        <v>6387.3014611452363</v>
      </c>
      <c r="E107" s="200">
        <v>295694.98577235773</v>
      </c>
      <c r="F107" s="39"/>
    </row>
    <row r="108" spans="2:6">
      <c r="B108" s="2" t="s">
        <v>212</v>
      </c>
      <c r="C108" s="200">
        <v>5210.9444614912554</v>
      </c>
      <c r="D108" s="200">
        <v>5490.9986772139273</v>
      </c>
      <c r="E108" s="200">
        <v>222899.46118441239</v>
      </c>
      <c r="F108" s="39"/>
    </row>
    <row r="109" spans="2:6">
      <c r="B109" s="2" t="s">
        <v>213</v>
      </c>
      <c r="C109" s="200">
        <v>7103.1685761047465</v>
      </c>
      <c r="D109" s="200">
        <v>6100.3771171381813</v>
      </c>
      <c r="E109" s="200">
        <v>423673.04418985272</v>
      </c>
      <c r="F109" s="39"/>
    </row>
    <row r="110" spans="2:6">
      <c r="B110" s="2" t="s">
        <v>214</v>
      </c>
      <c r="C110" s="200">
        <v>10969.90909090909</v>
      </c>
      <c r="D110" s="200">
        <v>1625.3913636363636</v>
      </c>
      <c r="E110" s="200">
        <v>1718415</v>
      </c>
      <c r="F110" s="39"/>
    </row>
    <row r="111" spans="2:6">
      <c r="B111" s="2" t="s">
        <v>215</v>
      </c>
      <c r="C111" s="200">
        <v>6806.6611018363938</v>
      </c>
      <c r="D111" s="200">
        <v>5564.9532259749149</v>
      </c>
      <c r="E111" s="200">
        <v>456395.09849749581</v>
      </c>
      <c r="F111" s="39"/>
    </row>
    <row r="112" spans="2:6">
      <c r="B112" s="2" t="s">
        <v>216</v>
      </c>
      <c r="C112" s="200">
        <v>7763.9666666666662</v>
      </c>
      <c r="D112" s="200">
        <v>6459.9615999999996</v>
      </c>
      <c r="E112" s="200">
        <v>587458.6333333333</v>
      </c>
      <c r="F112" s="39"/>
    </row>
    <row r="113" spans="2:6">
      <c r="B113" s="2" t="s">
        <v>217</v>
      </c>
      <c r="C113" s="200">
        <v>13295.815610267156</v>
      </c>
      <c r="D113" s="200">
        <v>5520.6355556885928</v>
      </c>
      <c r="E113" s="200">
        <v>2778916.4044002094</v>
      </c>
      <c r="F113" s="39"/>
    </row>
    <row r="114" spans="2:6">
      <c r="B114" s="2" t="s">
        <v>218</v>
      </c>
      <c r="C114" s="200">
        <v>10131.574552683896</v>
      </c>
      <c r="D114" s="200">
        <v>3975.2876801012103</v>
      </c>
      <c r="E114" s="200">
        <v>1813862.1113320079</v>
      </c>
      <c r="F114" s="39"/>
    </row>
    <row r="115" spans="2:6">
      <c r="B115" s="2" t="s">
        <v>219</v>
      </c>
      <c r="C115" s="200">
        <v>4997.3143650242882</v>
      </c>
      <c r="D115" s="200">
        <v>5424.354164125868</v>
      </c>
      <c r="E115" s="200">
        <v>300220.89312977099</v>
      </c>
      <c r="F115" s="39"/>
    </row>
    <row r="116" spans="2:6">
      <c r="B116" s="2" t="s">
        <v>220</v>
      </c>
      <c r="C116" s="200">
        <v>12623.211822660098</v>
      </c>
      <c r="D116" s="200">
        <v>3573.7212151067311</v>
      </c>
      <c r="E116" s="200">
        <v>1524110.4433497537</v>
      </c>
      <c r="F116" s="39"/>
    </row>
    <row r="117" spans="2:6">
      <c r="B117" s="2" t="s">
        <v>221</v>
      </c>
      <c r="C117" s="200">
        <v>9877.1286307053942</v>
      </c>
      <c r="D117" s="200">
        <v>2848.6678174273861</v>
      </c>
      <c r="E117" s="200">
        <v>1019567.8506224067</v>
      </c>
      <c r="F117" s="39"/>
    </row>
    <row r="118" spans="2:6">
      <c r="C118" s="200"/>
      <c r="D118" s="459"/>
    </row>
    <row r="119" spans="2:6">
      <c r="C119" s="200"/>
      <c r="D119" s="459"/>
    </row>
    <row r="120" spans="2:6">
      <c r="C120" s="200"/>
      <c r="D120" s="459"/>
    </row>
    <row r="121" spans="2:6">
      <c r="C121" s="200"/>
      <c r="D121" s="459"/>
    </row>
    <row r="122" spans="2:6">
      <c r="C122" s="200"/>
      <c r="D122" s="459"/>
    </row>
    <row r="123" spans="2:6">
      <c r="C123" s="200"/>
      <c r="D123" s="459"/>
    </row>
    <row r="124" spans="2:6">
      <c r="C124" s="200"/>
      <c r="D124" s="459"/>
    </row>
    <row r="125" spans="2:6">
      <c r="C125" s="200"/>
      <c r="D125" s="459"/>
    </row>
    <row r="126" spans="2:6">
      <c r="C126" s="200"/>
      <c r="D126" s="459"/>
    </row>
    <row r="127" spans="2:6">
      <c r="C127" s="200"/>
      <c r="D127" s="459"/>
    </row>
    <row r="128" spans="2:6">
      <c r="C128" s="200"/>
      <c r="D128" s="459"/>
    </row>
    <row r="129" spans="3:4">
      <c r="C129" s="200"/>
      <c r="D129" s="459"/>
    </row>
    <row r="130" spans="3:4">
      <c r="C130" s="200"/>
      <c r="D130" s="459"/>
    </row>
    <row r="131" spans="3:4">
      <c r="C131" s="200"/>
      <c r="D131" s="459"/>
    </row>
    <row r="132" spans="3:4">
      <c r="C132" s="200"/>
      <c r="D132" s="459"/>
    </row>
    <row r="133" spans="3:4">
      <c r="C133" s="200"/>
      <c r="D133" s="459"/>
    </row>
    <row r="134" spans="3:4">
      <c r="C134" s="200"/>
      <c r="D134" s="459"/>
    </row>
    <row r="135" spans="3:4">
      <c r="C135" s="200"/>
      <c r="D135" s="459"/>
    </row>
    <row r="136" spans="3:4">
      <c r="C136" s="200"/>
      <c r="D136" s="459"/>
    </row>
    <row r="137" spans="3:4">
      <c r="C137" s="200"/>
      <c r="D137" s="459"/>
    </row>
    <row r="138" spans="3:4">
      <c r="C138" s="200"/>
      <c r="D138" s="459"/>
    </row>
    <row r="139" spans="3:4">
      <c r="C139" s="200"/>
      <c r="D139" s="459"/>
    </row>
    <row r="140" spans="3:4">
      <c r="C140" s="200"/>
      <c r="D140" s="459"/>
    </row>
    <row r="141" spans="3:4">
      <c r="C141" s="200"/>
      <c r="D141" s="459"/>
    </row>
    <row r="142" spans="3:4">
      <c r="C142" s="200"/>
      <c r="D142" s="459"/>
    </row>
    <row r="143" spans="3:4">
      <c r="C143" s="200"/>
      <c r="D143" s="459"/>
    </row>
    <row r="144" spans="3:4">
      <c r="C144" s="200"/>
      <c r="D144" s="459"/>
    </row>
    <row r="145" spans="3:4">
      <c r="C145" s="200"/>
      <c r="D145" s="459"/>
    </row>
    <row r="146" spans="3:4">
      <c r="C146" s="200"/>
      <c r="D146" s="459"/>
    </row>
    <row r="147" spans="3:4">
      <c r="C147" s="200"/>
      <c r="D147" s="459"/>
    </row>
    <row r="148" spans="3:4">
      <c r="C148" s="200"/>
      <c r="D148" s="459"/>
    </row>
    <row r="149" spans="3:4">
      <c r="C149" s="200"/>
      <c r="D149" s="459"/>
    </row>
    <row r="150" spans="3:4">
      <c r="C150" s="200"/>
      <c r="D150" s="459"/>
    </row>
    <row r="151" spans="3:4">
      <c r="C151" s="200"/>
      <c r="D151" s="459"/>
    </row>
    <row r="152" spans="3:4">
      <c r="C152" s="200"/>
      <c r="D152" s="459"/>
    </row>
    <row r="153" spans="3:4">
      <c r="C153" s="200"/>
      <c r="D153" s="459"/>
    </row>
    <row r="154" spans="3:4">
      <c r="C154" s="200"/>
      <c r="D154" s="459"/>
    </row>
    <row r="155" spans="3:4">
      <c r="C155" s="200"/>
      <c r="D155" s="459"/>
    </row>
    <row r="156" spans="3:4">
      <c r="C156" s="200"/>
      <c r="D156" s="459"/>
    </row>
  </sheetData>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S37"/>
  <sheetViews>
    <sheetView zoomScale="60" zoomScaleNormal="60" workbookViewId="0">
      <pane xSplit="2" ySplit="5" topLeftCell="C15" activePane="bottomRight" state="frozen"/>
      <selection pane="topRight" activeCell="C1" sqref="C1"/>
      <selection pane="bottomLeft" activeCell="A6" sqref="A6"/>
      <selection pane="bottomRight" activeCell="F47" sqref="F47"/>
    </sheetView>
  </sheetViews>
  <sheetFormatPr defaultRowHeight="14.5"/>
  <cols>
    <col min="2" max="2" width="18.7265625" customWidth="1"/>
    <col min="3" max="3" width="20.453125" customWidth="1"/>
    <col min="4" max="6" width="9.1796875" customWidth="1"/>
    <col min="7" max="7" width="20.1796875" customWidth="1"/>
    <col min="8" max="459" width="9.1796875" customWidth="1"/>
  </cols>
  <sheetData>
    <row r="1" spans="1:591">
      <c r="A1" s="6"/>
      <c r="B1" s="7" t="s">
        <v>0</v>
      </c>
      <c r="C1">
        <v>100</v>
      </c>
      <c r="D1">
        <v>310</v>
      </c>
      <c r="E1">
        <v>420</v>
      </c>
      <c r="F1">
        <v>425</v>
      </c>
      <c r="G1">
        <v>100</v>
      </c>
      <c r="H1">
        <v>235</v>
      </c>
      <c r="I1">
        <v>100</v>
      </c>
      <c r="J1">
        <v>100</v>
      </c>
      <c r="K1">
        <v>100</v>
      </c>
      <c r="L1">
        <v>100</v>
      </c>
      <c r="M1">
        <v>100</v>
      </c>
      <c r="N1">
        <v>100</v>
      </c>
      <c r="O1">
        <v>220</v>
      </c>
      <c r="P1">
        <v>310</v>
      </c>
      <c r="Q1">
        <v>236</v>
      </c>
      <c r="R1">
        <v>310</v>
      </c>
      <c r="S1">
        <v>420</v>
      </c>
      <c r="T1">
        <v>425</v>
      </c>
      <c r="U1">
        <v>430</v>
      </c>
      <c r="V1">
        <v>310</v>
      </c>
      <c r="W1">
        <v>100</v>
      </c>
      <c r="X1">
        <v>235</v>
      </c>
      <c r="Y1">
        <v>310</v>
      </c>
      <c r="Z1">
        <v>420</v>
      </c>
      <c r="AA1">
        <v>425</v>
      </c>
      <c r="AB1">
        <v>430</v>
      </c>
      <c r="AC1">
        <v>100</v>
      </c>
      <c r="AD1">
        <v>231</v>
      </c>
      <c r="AE1">
        <v>232</v>
      </c>
      <c r="AF1">
        <v>233</v>
      </c>
      <c r="AG1">
        <v>241</v>
      </c>
      <c r="AH1">
        <v>100</v>
      </c>
      <c r="AI1">
        <v>100</v>
      </c>
      <c r="AJ1">
        <v>100</v>
      </c>
      <c r="AK1">
        <v>220</v>
      </c>
      <c r="AL1">
        <v>230</v>
      </c>
      <c r="AM1">
        <v>231</v>
      </c>
      <c r="AN1">
        <v>232</v>
      </c>
      <c r="AO1">
        <v>233</v>
      </c>
      <c r="AP1">
        <v>234</v>
      </c>
      <c r="AQ1">
        <v>235</v>
      </c>
      <c r="AR1">
        <v>236</v>
      </c>
      <c r="AS1">
        <v>237</v>
      </c>
      <c r="AT1">
        <v>238</v>
      </c>
      <c r="AU1">
        <v>239</v>
      </c>
      <c r="AV1">
        <v>240</v>
      </c>
      <c r="AW1">
        <v>245</v>
      </c>
      <c r="AX1">
        <v>248</v>
      </c>
      <c r="AY1">
        <v>279</v>
      </c>
      <c r="AZ1">
        <v>288</v>
      </c>
      <c r="BA1">
        <v>290</v>
      </c>
      <c r="BB1">
        <v>310</v>
      </c>
      <c r="BC1">
        <v>410</v>
      </c>
      <c r="BD1">
        <v>420</v>
      </c>
      <c r="BE1">
        <v>424</v>
      </c>
      <c r="BF1">
        <v>425</v>
      </c>
      <c r="BG1">
        <v>430</v>
      </c>
      <c r="BH1">
        <v>490</v>
      </c>
      <c r="BI1">
        <v>510</v>
      </c>
      <c r="BJ1">
        <v>610</v>
      </c>
      <c r="BK1">
        <v>710</v>
      </c>
      <c r="BL1">
        <v>711</v>
      </c>
      <c r="BM1">
        <v>713</v>
      </c>
      <c r="BN1">
        <v>714</v>
      </c>
      <c r="BO1">
        <v>715</v>
      </c>
      <c r="BP1">
        <v>716</v>
      </c>
      <c r="BQ1">
        <v>720</v>
      </c>
      <c r="BR1">
        <v>721</v>
      </c>
      <c r="BS1">
        <v>722</v>
      </c>
      <c r="BT1">
        <v>725</v>
      </c>
      <c r="BU1">
        <v>727</v>
      </c>
      <c r="BV1">
        <v>290</v>
      </c>
      <c r="BW1">
        <v>290</v>
      </c>
      <c r="BX1">
        <v>100</v>
      </c>
      <c r="BY1">
        <v>234</v>
      </c>
      <c r="BZ1">
        <v>290</v>
      </c>
      <c r="CA1">
        <v>720</v>
      </c>
      <c r="CB1">
        <v>100</v>
      </c>
      <c r="CC1">
        <v>231</v>
      </c>
      <c r="CD1">
        <v>234</v>
      </c>
      <c r="CE1">
        <v>235</v>
      </c>
      <c r="CF1">
        <v>236</v>
      </c>
      <c r="CG1">
        <v>237</v>
      </c>
      <c r="CH1">
        <v>238</v>
      </c>
      <c r="CI1">
        <v>100</v>
      </c>
      <c r="CJ1">
        <v>100</v>
      </c>
      <c r="CK1">
        <v>234</v>
      </c>
      <c r="CL1">
        <v>100</v>
      </c>
      <c r="CM1">
        <v>231</v>
      </c>
      <c r="CN1">
        <v>232</v>
      </c>
      <c r="CO1">
        <v>234</v>
      </c>
      <c r="CP1">
        <v>235</v>
      </c>
      <c r="CQ1">
        <v>236</v>
      </c>
      <c r="CR1">
        <v>237</v>
      </c>
      <c r="CS1">
        <v>238</v>
      </c>
      <c r="CT1">
        <v>239</v>
      </c>
      <c r="CU1">
        <v>241</v>
      </c>
      <c r="CV1">
        <v>243</v>
      </c>
      <c r="CW1">
        <v>258</v>
      </c>
      <c r="CX1">
        <v>100</v>
      </c>
      <c r="CY1">
        <v>231</v>
      </c>
      <c r="CZ1">
        <v>234</v>
      </c>
      <c r="DA1">
        <v>236</v>
      </c>
      <c r="DB1">
        <v>237</v>
      </c>
      <c r="DC1">
        <v>238</v>
      </c>
      <c r="DD1">
        <v>239</v>
      </c>
      <c r="DE1">
        <v>241</v>
      </c>
      <c r="DF1">
        <v>100</v>
      </c>
      <c r="DG1">
        <v>230</v>
      </c>
      <c r="DH1">
        <v>235</v>
      </c>
      <c r="DI1">
        <v>236</v>
      </c>
      <c r="DJ1">
        <v>241</v>
      </c>
      <c r="DK1">
        <v>720</v>
      </c>
      <c r="DL1">
        <v>100</v>
      </c>
      <c r="DM1">
        <v>230</v>
      </c>
      <c r="DN1">
        <v>231</v>
      </c>
      <c r="DO1">
        <v>234</v>
      </c>
      <c r="DP1">
        <v>239</v>
      </c>
      <c r="DQ1">
        <v>290</v>
      </c>
      <c r="DR1">
        <v>420</v>
      </c>
      <c r="DS1">
        <v>510</v>
      </c>
      <c r="DT1">
        <v>712</v>
      </c>
      <c r="DU1">
        <v>100</v>
      </c>
      <c r="DV1">
        <v>220</v>
      </c>
      <c r="DW1">
        <v>230</v>
      </c>
      <c r="DX1">
        <v>231</v>
      </c>
      <c r="DY1">
        <v>232</v>
      </c>
      <c r="DZ1">
        <v>233</v>
      </c>
      <c r="EA1">
        <v>234</v>
      </c>
      <c r="EB1">
        <v>235</v>
      </c>
      <c r="EC1">
        <v>236</v>
      </c>
      <c r="ED1">
        <v>237</v>
      </c>
      <c r="EE1">
        <v>238</v>
      </c>
      <c r="EF1">
        <v>239</v>
      </c>
      <c r="EG1">
        <v>241</v>
      </c>
      <c r="EH1">
        <v>242</v>
      </c>
      <c r="EI1">
        <v>243</v>
      </c>
      <c r="EJ1">
        <v>245</v>
      </c>
      <c r="EK1">
        <v>248</v>
      </c>
      <c r="EL1">
        <v>249</v>
      </c>
      <c r="EM1">
        <v>273</v>
      </c>
      <c r="EN1">
        <v>284</v>
      </c>
      <c r="EO1">
        <v>285</v>
      </c>
      <c r="EP1">
        <v>288</v>
      </c>
      <c r="EQ1">
        <v>290</v>
      </c>
      <c r="ER1">
        <v>310</v>
      </c>
      <c r="ES1">
        <v>410</v>
      </c>
      <c r="ET1">
        <v>420</v>
      </c>
      <c r="EU1">
        <v>424</v>
      </c>
      <c r="EV1">
        <v>610</v>
      </c>
      <c r="EW1">
        <v>710</v>
      </c>
      <c r="EX1">
        <v>711</v>
      </c>
      <c r="EY1">
        <v>715</v>
      </c>
      <c r="EZ1">
        <v>716</v>
      </c>
      <c r="FA1">
        <v>720</v>
      </c>
      <c r="FB1">
        <v>721</v>
      </c>
      <c r="FC1">
        <v>100</v>
      </c>
      <c r="FD1">
        <v>220</v>
      </c>
      <c r="FE1">
        <v>232</v>
      </c>
      <c r="FF1">
        <v>233</v>
      </c>
      <c r="FG1">
        <v>238</v>
      </c>
      <c r="FH1">
        <v>241</v>
      </c>
      <c r="FI1">
        <v>420</v>
      </c>
      <c r="FJ1">
        <v>424</v>
      </c>
      <c r="FK1">
        <v>100</v>
      </c>
      <c r="FL1">
        <v>220</v>
      </c>
      <c r="FM1">
        <v>230</v>
      </c>
      <c r="FN1">
        <v>231</v>
      </c>
      <c r="FO1">
        <v>232</v>
      </c>
      <c r="FP1">
        <v>233</v>
      </c>
      <c r="FQ1">
        <v>234</v>
      </c>
      <c r="FR1">
        <v>235</v>
      </c>
      <c r="FS1">
        <v>236</v>
      </c>
      <c r="FT1">
        <v>237</v>
      </c>
      <c r="FU1">
        <v>238</v>
      </c>
      <c r="FV1">
        <v>239</v>
      </c>
      <c r="FW1">
        <v>241</v>
      </c>
      <c r="FX1">
        <v>242</v>
      </c>
      <c r="FY1">
        <v>243</v>
      </c>
      <c r="FZ1">
        <v>245</v>
      </c>
      <c r="GA1">
        <v>246</v>
      </c>
      <c r="GB1">
        <v>247</v>
      </c>
      <c r="GC1">
        <v>248</v>
      </c>
      <c r="GD1">
        <v>249</v>
      </c>
      <c r="GE1">
        <v>251</v>
      </c>
      <c r="GF1">
        <v>253</v>
      </c>
      <c r="GG1">
        <v>257</v>
      </c>
      <c r="GH1">
        <v>270</v>
      </c>
      <c r="GI1">
        <v>273</v>
      </c>
      <c r="GJ1">
        <v>275</v>
      </c>
      <c r="GK1">
        <v>288</v>
      </c>
      <c r="GL1">
        <v>289</v>
      </c>
      <c r="GM1">
        <v>290</v>
      </c>
      <c r="GN1">
        <v>410</v>
      </c>
      <c r="GO1">
        <v>420</v>
      </c>
      <c r="GP1">
        <v>424</v>
      </c>
      <c r="GQ1">
        <v>425</v>
      </c>
      <c r="GR1">
        <v>430</v>
      </c>
      <c r="GS1">
        <v>510</v>
      </c>
      <c r="GT1">
        <v>610</v>
      </c>
      <c r="GU1">
        <v>710</v>
      </c>
      <c r="GV1">
        <v>713</v>
      </c>
      <c r="GW1">
        <v>720</v>
      </c>
      <c r="GX1">
        <v>100</v>
      </c>
      <c r="GY1">
        <v>100</v>
      </c>
      <c r="GZ1">
        <v>233</v>
      </c>
      <c r="HA1">
        <v>240</v>
      </c>
      <c r="HB1">
        <v>245</v>
      </c>
      <c r="HC1">
        <v>420</v>
      </c>
      <c r="HD1">
        <v>100</v>
      </c>
      <c r="HE1">
        <v>420</v>
      </c>
      <c r="HF1">
        <v>424</v>
      </c>
      <c r="HG1">
        <v>100</v>
      </c>
      <c r="HH1">
        <v>100</v>
      </c>
      <c r="HI1">
        <v>100</v>
      </c>
      <c r="HJ1">
        <v>100</v>
      </c>
      <c r="HK1">
        <v>100</v>
      </c>
      <c r="HL1">
        <v>230</v>
      </c>
      <c r="HM1">
        <v>232</v>
      </c>
      <c r="HN1">
        <v>233</v>
      </c>
      <c r="HO1">
        <v>234</v>
      </c>
      <c r="HP1">
        <v>236</v>
      </c>
      <c r="HQ1">
        <v>240</v>
      </c>
      <c r="HR1">
        <v>241</v>
      </c>
      <c r="HS1">
        <v>242</v>
      </c>
      <c r="HT1">
        <v>243</v>
      </c>
      <c r="HU1">
        <v>244</v>
      </c>
      <c r="HV1">
        <v>245</v>
      </c>
      <c r="HW1">
        <v>246</v>
      </c>
      <c r="HX1">
        <v>247</v>
      </c>
      <c r="HY1">
        <v>248</v>
      </c>
      <c r="HZ1">
        <v>249</v>
      </c>
      <c r="IA1">
        <v>257</v>
      </c>
      <c r="IB1">
        <v>273</v>
      </c>
      <c r="IC1">
        <v>288</v>
      </c>
      <c r="ID1">
        <v>289</v>
      </c>
      <c r="IE1">
        <v>290</v>
      </c>
      <c r="IF1">
        <v>310</v>
      </c>
      <c r="IG1">
        <v>420</v>
      </c>
      <c r="IH1">
        <v>424</v>
      </c>
      <c r="II1">
        <v>430</v>
      </c>
      <c r="IJ1">
        <v>100</v>
      </c>
      <c r="IK1">
        <v>241</v>
      </c>
      <c r="IL1">
        <v>243</v>
      </c>
      <c r="IM1">
        <v>100</v>
      </c>
      <c r="IN1">
        <v>243</v>
      </c>
      <c r="IO1">
        <v>244</v>
      </c>
      <c r="IP1">
        <v>245</v>
      </c>
      <c r="IQ1">
        <v>246</v>
      </c>
      <c r="IR1">
        <v>247</v>
      </c>
      <c r="IS1">
        <v>251</v>
      </c>
      <c r="IT1">
        <v>263</v>
      </c>
      <c r="IU1">
        <v>273</v>
      </c>
      <c r="IV1">
        <v>100</v>
      </c>
      <c r="IW1">
        <v>240</v>
      </c>
      <c r="IX1">
        <v>246</v>
      </c>
      <c r="IY1">
        <v>420</v>
      </c>
      <c r="IZ1">
        <v>425</v>
      </c>
      <c r="JA1">
        <v>430</v>
      </c>
      <c r="JB1">
        <v>100</v>
      </c>
      <c r="JC1">
        <v>310</v>
      </c>
      <c r="JD1">
        <v>420</v>
      </c>
      <c r="JE1">
        <v>100</v>
      </c>
      <c r="JF1">
        <v>220</v>
      </c>
      <c r="JG1">
        <v>230</v>
      </c>
      <c r="JH1">
        <v>231</v>
      </c>
      <c r="JI1">
        <v>232</v>
      </c>
      <c r="JJ1">
        <v>233</v>
      </c>
      <c r="JK1">
        <v>235</v>
      </c>
      <c r="JL1">
        <v>236</v>
      </c>
      <c r="JM1">
        <v>238</v>
      </c>
      <c r="JN1">
        <v>240</v>
      </c>
      <c r="JO1">
        <v>241</v>
      </c>
      <c r="JP1">
        <v>242</v>
      </c>
      <c r="JQ1">
        <v>243</v>
      </c>
      <c r="JR1">
        <v>244</v>
      </c>
      <c r="JS1">
        <v>245</v>
      </c>
      <c r="JT1">
        <v>246</v>
      </c>
      <c r="JU1">
        <v>247</v>
      </c>
      <c r="JV1">
        <v>248</v>
      </c>
      <c r="JW1">
        <v>249</v>
      </c>
      <c r="JX1">
        <v>275</v>
      </c>
      <c r="JY1">
        <v>284</v>
      </c>
      <c r="JZ1">
        <v>286</v>
      </c>
      <c r="KA1">
        <v>289</v>
      </c>
      <c r="KB1">
        <v>290</v>
      </c>
      <c r="KC1">
        <v>310</v>
      </c>
      <c r="KD1">
        <v>410</v>
      </c>
      <c r="KE1">
        <v>420</v>
      </c>
      <c r="KF1">
        <v>424</v>
      </c>
      <c r="KG1">
        <v>425</v>
      </c>
      <c r="KH1">
        <v>430</v>
      </c>
      <c r="KI1">
        <v>100</v>
      </c>
      <c r="KJ1">
        <v>220</v>
      </c>
      <c r="KK1">
        <v>230</v>
      </c>
      <c r="KL1">
        <v>233</v>
      </c>
      <c r="KM1">
        <v>249</v>
      </c>
      <c r="KN1">
        <v>251</v>
      </c>
      <c r="KO1">
        <v>262</v>
      </c>
      <c r="KP1">
        <v>270</v>
      </c>
      <c r="KQ1">
        <v>286</v>
      </c>
      <c r="KR1">
        <v>288</v>
      </c>
      <c r="KS1">
        <v>289</v>
      </c>
      <c r="KT1">
        <v>100</v>
      </c>
      <c r="KU1">
        <v>220</v>
      </c>
      <c r="KV1">
        <v>243</v>
      </c>
      <c r="KW1">
        <v>246</v>
      </c>
      <c r="KX1">
        <v>261</v>
      </c>
      <c r="KY1">
        <v>262</v>
      </c>
      <c r="KZ1">
        <v>267</v>
      </c>
      <c r="LA1">
        <v>270</v>
      </c>
      <c r="LB1">
        <v>271</v>
      </c>
      <c r="LC1">
        <v>272</v>
      </c>
      <c r="LD1">
        <v>273</v>
      </c>
      <c r="LE1">
        <v>274</v>
      </c>
      <c r="LF1">
        <v>278</v>
      </c>
      <c r="LG1">
        <v>279</v>
      </c>
      <c r="LH1">
        <v>281</v>
      </c>
      <c r="LI1">
        <v>284</v>
      </c>
      <c r="LJ1">
        <v>285</v>
      </c>
      <c r="LK1">
        <v>288</v>
      </c>
      <c r="LL1">
        <v>289</v>
      </c>
      <c r="LM1">
        <v>290</v>
      </c>
      <c r="LN1">
        <v>310</v>
      </c>
      <c r="LO1">
        <v>100</v>
      </c>
      <c r="LP1">
        <v>251</v>
      </c>
      <c r="LQ1">
        <v>253</v>
      </c>
      <c r="LR1">
        <v>254</v>
      </c>
      <c r="LS1">
        <v>255</v>
      </c>
      <c r="LT1">
        <v>262</v>
      </c>
      <c r="LU1">
        <v>270</v>
      </c>
      <c r="LV1">
        <v>271</v>
      </c>
      <c r="LW1">
        <v>273</v>
      </c>
      <c r="LX1">
        <v>287</v>
      </c>
      <c r="LY1">
        <v>289</v>
      </c>
      <c r="LZ1">
        <v>100</v>
      </c>
      <c r="MA1">
        <v>251</v>
      </c>
      <c r="MB1">
        <v>262</v>
      </c>
      <c r="MC1">
        <v>270</v>
      </c>
      <c r="MD1">
        <v>271</v>
      </c>
      <c r="ME1">
        <v>289</v>
      </c>
      <c r="MF1">
        <v>100</v>
      </c>
      <c r="MG1">
        <v>243</v>
      </c>
      <c r="MH1">
        <v>253</v>
      </c>
      <c r="MI1">
        <v>262</v>
      </c>
      <c r="MJ1">
        <v>263</v>
      </c>
      <c r="MK1">
        <v>251</v>
      </c>
      <c r="ML1">
        <v>262</v>
      </c>
      <c r="MM1">
        <v>248</v>
      </c>
      <c r="MN1">
        <v>273</v>
      </c>
      <c r="MO1">
        <v>288</v>
      </c>
      <c r="MP1">
        <v>289</v>
      </c>
      <c r="MQ1">
        <v>290</v>
      </c>
      <c r="MR1">
        <v>100</v>
      </c>
      <c r="MS1">
        <v>251</v>
      </c>
      <c r="MT1">
        <v>257</v>
      </c>
      <c r="MU1">
        <v>258</v>
      </c>
      <c r="MV1">
        <v>262</v>
      </c>
      <c r="MW1">
        <v>271</v>
      </c>
      <c r="MX1">
        <v>100</v>
      </c>
      <c r="MY1">
        <v>220</v>
      </c>
      <c r="MZ1">
        <v>230</v>
      </c>
      <c r="NA1">
        <v>231</v>
      </c>
      <c r="NB1">
        <v>233</v>
      </c>
      <c r="NC1">
        <v>235</v>
      </c>
      <c r="ND1">
        <v>239</v>
      </c>
      <c r="NE1">
        <v>242</v>
      </c>
      <c r="NF1">
        <v>245</v>
      </c>
      <c r="NG1">
        <v>246</v>
      </c>
      <c r="NH1">
        <v>253</v>
      </c>
      <c r="NI1">
        <v>255</v>
      </c>
      <c r="NJ1">
        <v>256</v>
      </c>
      <c r="NK1">
        <v>257</v>
      </c>
      <c r="NL1">
        <v>258</v>
      </c>
      <c r="NM1">
        <v>262</v>
      </c>
      <c r="NN1">
        <v>263</v>
      </c>
      <c r="NO1">
        <v>267</v>
      </c>
      <c r="NP1">
        <v>269</v>
      </c>
      <c r="NQ1">
        <v>270</v>
      </c>
      <c r="NR1">
        <v>271</v>
      </c>
      <c r="NS1">
        <v>272</v>
      </c>
      <c r="NT1">
        <v>273</v>
      </c>
      <c r="NU1">
        <v>274</v>
      </c>
      <c r="NV1">
        <v>275</v>
      </c>
      <c r="NW1">
        <v>279</v>
      </c>
      <c r="NX1">
        <v>280</v>
      </c>
      <c r="NY1">
        <v>281</v>
      </c>
      <c r="NZ1">
        <v>283</v>
      </c>
      <c r="OA1">
        <v>284</v>
      </c>
      <c r="OB1">
        <v>285</v>
      </c>
      <c r="OC1">
        <v>286</v>
      </c>
      <c r="OD1">
        <v>288</v>
      </c>
      <c r="OE1">
        <v>289</v>
      </c>
      <c r="OF1">
        <v>290</v>
      </c>
      <c r="OG1">
        <v>310</v>
      </c>
      <c r="OH1">
        <v>100</v>
      </c>
      <c r="OI1">
        <v>279</v>
      </c>
      <c r="OJ1">
        <v>100</v>
      </c>
      <c r="OK1">
        <v>249</v>
      </c>
      <c r="OL1">
        <v>310</v>
      </c>
      <c r="OM1">
        <v>410</v>
      </c>
      <c r="ON1">
        <v>420</v>
      </c>
      <c r="OO1">
        <v>424</v>
      </c>
      <c r="OP1">
        <v>425</v>
      </c>
      <c r="OQ1">
        <v>100</v>
      </c>
      <c r="OR1">
        <v>279</v>
      </c>
      <c r="OS1">
        <v>290</v>
      </c>
      <c r="OT1">
        <v>410</v>
      </c>
      <c r="OU1">
        <v>420</v>
      </c>
      <c r="OV1">
        <v>424</v>
      </c>
      <c r="OW1">
        <v>425</v>
      </c>
      <c r="OX1">
        <v>510</v>
      </c>
      <c r="OY1">
        <v>100</v>
      </c>
      <c r="OZ1">
        <v>220</v>
      </c>
      <c r="PA1">
        <v>230</v>
      </c>
      <c r="PB1">
        <v>231</v>
      </c>
      <c r="PC1">
        <v>232</v>
      </c>
      <c r="PD1">
        <v>233</v>
      </c>
      <c r="PE1">
        <v>234</v>
      </c>
      <c r="PF1">
        <v>235</v>
      </c>
      <c r="PG1">
        <v>236</v>
      </c>
      <c r="PH1">
        <v>237</v>
      </c>
      <c r="PI1">
        <v>238</v>
      </c>
      <c r="PJ1">
        <v>239</v>
      </c>
      <c r="PK1">
        <v>240</v>
      </c>
      <c r="PL1">
        <v>241</v>
      </c>
      <c r="PM1">
        <v>243</v>
      </c>
      <c r="PN1">
        <v>245</v>
      </c>
      <c r="PO1">
        <v>246</v>
      </c>
      <c r="PP1">
        <v>248</v>
      </c>
      <c r="PQ1">
        <v>249</v>
      </c>
      <c r="PR1">
        <v>251</v>
      </c>
      <c r="PS1">
        <v>253</v>
      </c>
      <c r="PT1">
        <v>254</v>
      </c>
      <c r="PU1">
        <v>257</v>
      </c>
      <c r="PV1">
        <v>258</v>
      </c>
      <c r="PW1">
        <v>262</v>
      </c>
      <c r="PX1">
        <v>263</v>
      </c>
      <c r="PY1">
        <v>267</v>
      </c>
      <c r="PZ1">
        <v>269</v>
      </c>
      <c r="QA1">
        <v>270</v>
      </c>
      <c r="QB1">
        <v>271</v>
      </c>
      <c r="QC1">
        <v>272</v>
      </c>
      <c r="QD1">
        <v>274</v>
      </c>
      <c r="QE1">
        <v>275</v>
      </c>
      <c r="QF1">
        <v>282</v>
      </c>
      <c r="QG1">
        <v>284</v>
      </c>
      <c r="QH1">
        <v>289</v>
      </c>
      <c r="QI1">
        <v>290</v>
      </c>
      <c r="QJ1">
        <v>310</v>
      </c>
      <c r="QK1">
        <v>410</v>
      </c>
      <c r="QL1">
        <v>420</v>
      </c>
      <c r="QM1">
        <v>424</v>
      </c>
      <c r="QN1">
        <v>425</v>
      </c>
      <c r="QO1">
        <v>430</v>
      </c>
      <c r="QP1">
        <v>610</v>
      </c>
      <c r="QQ1">
        <v>710</v>
      </c>
      <c r="QR1">
        <v>725</v>
      </c>
      <c r="QS1" s="296"/>
      <c r="QT1" s="8"/>
      <c r="QV1" s="1008" t="s">
        <v>262</v>
      </c>
      <c r="QW1" s="1008"/>
      <c r="QX1" s="1008"/>
      <c r="QY1" s="1008"/>
      <c r="QZ1" s="1008"/>
      <c r="RA1" s="1008"/>
      <c r="RB1" s="1008"/>
      <c r="RC1" s="1008"/>
      <c r="RD1" s="1008"/>
      <c r="RE1" s="1008"/>
      <c r="RF1" s="1008"/>
      <c r="RG1" s="1008"/>
      <c r="RH1" s="1008"/>
      <c r="RI1" s="176"/>
      <c r="RJ1" s="177"/>
      <c r="RK1" s="176"/>
      <c r="RL1" s="176"/>
      <c r="RM1" s="176"/>
      <c r="RN1" s="176"/>
      <c r="RO1" s="176"/>
      <c r="RP1" s="176"/>
      <c r="RQ1" s="177"/>
      <c r="RR1" s="176"/>
      <c r="RS1" s="176"/>
      <c r="RT1" s="176"/>
      <c r="RU1" s="176"/>
      <c r="RV1" s="176"/>
      <c r="RW1" s="176"/>
      <c r="RX1" s="176"/>
      <c r="RY1" s="28"/>
      <c r="RZ1" s="1008" t="s">
        <v>463</v>
      </c>
      <c r="SA1" s="1008"/>
      <c r="SB1" s="1008"/>
      <c r="SC1" s="1008"/>
      <c r="SD1" s="1008"/>
      <c r="SE1" s="5"/>
      <c r="SF1" s="116"/>
      <c r="SG1" s="1008" t="s">
        <v>465</v>
      </c>
      <c r="SH1" s="1008"/>
      <c r="SI1" s="1008"/>
      <c r="SJ1" s="1008"/>
      <c r="SK1" s="1008"/>
      <c r="SL1" s="1008"/>
      <c r="SM1" s="1008"/>
      <c r="SN1" s="1008"/>
      <c r="SO1" s="1008"/>
      <c r="SP1" s="1008"/>
      <c r="SQ1" s="1008"/>
      <c r="SR1" s="1008"/>
      <c r="SS1" s="1008"/>
      <c r="ST1" s="1008"/>
      <c r="SU1" s="1008"/>
      <c r="SV1" s="1008"/>
      <c r="SW1" s="1008"/>
      <c r="SX1" s="1008"/>
      <c r="SY1" s="1008"/>
      <c r="SZ1" s="1008"/>
      <c r="TA1" s="1008"/>
      <c r="TB1" s="1008"/>
      <c r="TC1" s="295"/>
      <c r="TD1" s="295"/>
      <c r="TE1" s="295"/>
      <c r="TF1" s="28"/>
      <c r="TG1" s="295"/>
      <c r="TH1" s="295"/>
      <c r="TI1" s="295"/>
      <c r="TJ1" s="116"/>
      <c r="TK1" s="8"/>
      <c r="TL1" s="116"/>
      <c r="TM1" s="147"/>
      <c r="TN1" s="147"/>
      <c r="TO1" s="116"/>
      <c r="TP1" s="8"/>
      <c r="TQ1" s="116"/>
      <c r="TR1" s="115"/>
      <c r="TS1" s="115"/>
      <c r="TT1" s="5"/>
      <c r="TV1" s="1009" t="s">
        <v>1305</v>
      </c>
      <c r="TW1" s="1010"/>
      <c r="TX1" s="202"/>
      <c r="TY1" s="1009" t="s">
        <v>1307</v>
      </c>
      <c r="TZ1" s="1010"/>
      <c r="UP1" s="5"/>
      <c r="UZ1" s="5"/>
      <c r="VG1" s="5"/>
    </row>
    <row r="2" spans="1:591" ht="56.25" customHeight="1" thickBot="1">
      <c r="A2" s="53"/>
      <c r="B2" s="52" t="s">
        <v>1</v>
      </c>
      <c r="C2" s="9" t="s">
        <v>2</v>
      </c>
      <c r="D2" s="9" t="s">
        <v>3</v>
      </c>
      <c r="E2" s="9" t="s">
        <v>4</v>
      </c>
      <c r="F2" s="9" t="s">
        <v>4</v>
      </c>
      <c r="G2" s="9" t="s">
        <v>2</v>
      </c>
      <c r="H2" s="9" t="s">
        <v>5</v>
      </c>
      <c r="I2" s="9" t="s">
        <v>2</v>
      </c>
      <c r="J2" s="9" t="s">
        <v>2</v>
      </c>
      <c r="K2" s="9" t="s">
        <v>2</v>
      </c>
      <c r="L2" s="9" t="s">
        <v>2</v>
      </c>
      <c r="M2" s="9" t="s">
        <v>2</v>
      </c>
      <c r="N2" s="9" t="s">
        <v>2</v>
      </c>
      <c r="O2" s="9" t="s">
        <v>6</v>
      </c>
      <c r="P2" s="9" t="s">
        <v>3</v>
      </c>
      <c r="Q2" s="9" t="s">
        <v>5</v>
      </c>
      <c r="R2" s="9" t="s">
        <v>3</v>
      </c>
      <c r="S2" s="9" t="s">
        <v>4</v>
      </c>
      <c r="T2" s="9" t="s">
        <v>4</v>
      </c>
      <c r="U2" s="9" t="s">
        <v>7</v>
      </c>
      <c r="V2" s="9" t="s">
        <v>3</v>
      </c>
      <c r="W2" s="9" t="s">
        <v>2</v>
      </c>
      <c r="X2" s="9" t="s">
        <v>5</v>
      </c>
      <c r="Y2" s="9" t="s">
        <v>3</v>
      </c>
      <c r="Z2" s="9" t="s">
        <v>4</v>
      </c>
      <c r="AA2" s="9" t="s">
        <v>4</v>
      </c>
      <c r="AB2" s="9" t="s">
        <v>7</v>
      </c>
      <c r="AC2" s="9" t="s">
        <v>2</v>
      </c>
      <c r="AD2" s="9" t="s">
        <v>5</v>
      </c>
      <c r="AE2" s="9" t="s">
        <v>5</v>
      </c>
      <c r="AF2" s="9" t="s">
        <v>5</v>
      </c>
      <c r="AG2" s="9" t="s">
        <v>8</v>
      </c>
      <c r="AH2" s="9" t="s">
        <v>2</v>
      </c>
      <c r="AI2" s="9" t="s">
        <v>2</v>
      </c>
      <c r="AJ2" s="9" t="s">
        <v>2</v>
      </c>
      <c r="AK2" s="9" t="s">
        <v>6</v>
      </c>
      <c r="AL2" s="9" t="s">
        <v>5</v>
      </c>
      <c r="AM2" s="9" t="s">
        <v>5</v>
      </c>
      <c r="AN2" s="9" t="s">
        <v>5</v>
      </c>
      <c r="AO2" s="9" t="s">
        <v>5</v>
      </c>
      <c r="AP2" s="9" t="s">
        <v>5</v>
      </c>
      <c r="AQ2" s="9" t="s">
        <v>5</v>
      </c>
      <c r="AR2" s="9" t="s">
        <v>5</v>
      </c>
      <c r="AS2" s="9" t="s">
        <v>5</v>
      </c>
      <c r="AT2" s="9" t="s">
        <v>5</v>
      </c>
      <c r="AU2" s="9" t="s">
        <v>5</v>
      </c>
      <c r="AV2" s="9" t="s">
        <v>9</v>
      </c>
      <c r="AW2" s="9" t="s">
        <v>10</v>
      </c>
      <c r="AX2" s="9" t="s">
        <v>11</v>
      </c>
      <c r="AY2" s="9" t="s">
        <v>12</v>
      </c>
      <c r="AZ2" s="9" t="s">
        <v>12</v>
      </c>
      <c r="BA2" s="9" t="s">
        <v>13</v>
      </c>
      <c r="BB2" s="9" t="s">
        <v>3</v>
      </c>
      <c r="BC2" s="9" t="s">
        <v>14</v>
      </c>
      <c r="BD2" s="9" t="s">
        <v>4</v>
      </c>
      <c r="BE2" s="9" t="s">
        <v>4</v>
      </c>
      <c r="BF2" s="9" t="s">
        <v>4</v>
      </c>
      <c r="BG2" s="9" t="s">
        <v>7</v>
      </c>
      <c r="BH2" s="9" t="e">
        <v>#N/A</v>
      </c>
      <c r="BI2" s="9" t="e">
        <v>#N/A</v>
      </c>
      <c r="BJ2" s="9" t="e">
        <v>#N/A</v>
      </c>
      <c r="BK2" s="9" t="s">
        <v>15</v>
      </c>
      <c r="BL2" s="9" t="s">
        <v>15</v>
      </c>
      <c r="BM2" s="9" t="s">
        <v>15</v>
      </c>
      <c r="BN2" s="9" t="s">
        <v>15</v>
      </c>
      <c r="BO2" s="9" t="s">
        <v>15</v>
      </c>
      <c r="BP2" s="9" t="s">
        <v>15</v>
      </c>
      <c r="BQ2" s="9" t="s">
        <v>15</v>
      </c>
      <c r="BR2" s="9" t="e">
        <v>#N/A</v>
      </c>
      <c r="BS2" s="9" t="e">
        <v>#N/A</v>
      </c>
      <c r="BT2" s="9" t="e">
        <v>#N/A</v>
      </c>
      <c r="BU2" s="9" t="e">
        <v>#N/A</v>
      </c>
      <c r="BV2" s="9" t="s">
        <v>13</v>
      </c>
      <c r="BW2" s="9" t="s">
        <v>13</v>
      </c>
      <c r="BX2" s="9" t="s">
        <v>2</v>
      </c>
      <c r="BY2" s="9" t="s">
        <v>5</v>
      </c>
      <c r="BZ2" s="9" t="s">
        <v>13</v>
      </c>
      <c r="CA2" s="9" t="s">
        <v>15</v>
      </c>
      <c r="CB2" s="9" t="s">
        <v>2</v>
      </c>
      <c r="CC2" s="9" t="s">
        <v>5</v>
      </c>
      <c r="CD2" s="9" t="s">
        <v>5</v>
      </c>
      <c r="CE2" s="9" t="s">
        <v>5</v>
      </c>
      <c r="CF2" s="9" t="s">
        <v>5</v>
      </c>
      <c r="CG2" s="9" t="s">
        <v>5</v>
      </c>
      <c r="CH2" s="9" t="s">
        <v>5</v>
      </c>
      <c r="CI2" s="9" t="s">
        <v>2</v>
      </c>
      <c r="CJ2" s="9" t="s">
        <v>2</v>
      </c>
      <c r="CK2" s="9" t="s">
        <v>5</v>
      </c>
      <c r="CL2" s="9" t="s">
        <v>2</v>
      </c>
      <c r="CM2" s="9" t="s">
        <v>5</v>
      </c>
      <c r="CN2" s="9" t="s">
        <v>5</v>
      </c>
      <c r="CO2" s="9" t="s">
        <v>5</v>
      </c>
      <c r="CP2" s="9" t="s">
        <v>5</v>
      </c>
      <c r="CQ2" s="9" t="s">
        <v>5</v>
      </c>
      <c r="CR2" s="9" t="s">
        <v>5</v>
      </c>
      <c r="CS2" s="9" t="s">
        <v>5</v>
      </c>
      <c r="CT2" s="9" t="s">
        <v>5</v>
      </c>
      <c r="CU2" s="9" t="s">
        <v>8</v>
      </c>
      <c r="CV2" s="9" t="s">
        <v>16</v>
      </c>
      <c r="CW2" s="9" t="s">
        <v>17</v>
      </c>
      <c r="CX2" s="9" t="s">
        <v>2</v>
      </c>
      <c r="CY2" s="9" t="s">
        <v>5</v>
      </c>
      <c r="CZ2" s="9" t="s">
        <v>5</v>
      </c>
      <c r="DA2" s="9" t="s">
        <v>5</v>
      </c>
      <c r="DB2" s="9" t="s">
        <v>5</v>
      </c>
      <c r="DC2" s="9" t="s">
        <v>5</v>
      </c>
      <c r="DD2" s="9" t="s">
        <v>5</v>
      </c>
      <c r="DE2" s="9" t="s">
        <v>8</v>
      </c>
      <c r="DF2" s="9" t="s">
        <v>2</v>
      </c>
      <c r="DG2" s="9" t="s">
        <v>5</v>
      </c>
      <c r="DH2" s="9" t="s">
        <v>5</v>
      </c>
      <c r="DI2" s="9" t="s">
        <v>5</v>
      </c>
      <c r="DJ2" s="9" t="s">
        <v>8</v>
      </c>
      <c r="DK2" s="9" t="s">
        <v>15</v>
      </c>
      <c r="DL2" s="9" t="s">
        <v>2</v>
      </c>
      <c r="DM2" s="9" t="s">
        <v>5</v>
      </c>
      <c r="DN2" s="9" t="s">
        <v>5</v>
      </c>
      <c r="DO2" s="9" t="s">
        <v>5</v>
      </c>
      <c r="DP2" s="9" t="s">
        <v>5</v>
      </c>
      <c r="DQ2" s="9" t="s">
        <v>13</v>
      </c>
      <c r="DR2" s="9" t="s">
        <v>4</v>
      </c>
      <c r="DS2" s="9" t="e">
        <v>#N/A</v>
      </c>
      <c r="DT2" s="9" t="s">
        <v>15</v>
      </c>
      <c r="DU2" s="9" t="s">
        <v>2</v>
      </c>
      <c r="DV2" s="9" t="s">
        <v>6</v>
      </c>
      <c r="DW2" s="9" t="s">
        <v>5</v>
      </c>
      <c r="DX2" s="9" t="s">
        <v>5</v>
      </c>
      <c r="DY2" s="9" t="s">
        <v>5</v>
      </c>
      <c r="DZ2" s="9" t="s">
        <v>5</v>
      </c>
      <c r="EA2" s="9" t="s">
        <v>5</v>
      </c>
      <c r="EB2" s="9" t="s">
        <v>5</v>
      </c>
      <c r="EC2" s="9" t="s">
        <v>5</v>
      </c>
      <c r="ED2" s="9" t="s">
        <v>5</v>
      </c>
      <c r="EE2" s="9" t="s">
        <v>5</v>
      </c>
      <c r="EF2" s="9" t="s">
        <v>5</v>
      </c>
      <c r="EG2" s="9" t="s">
        <v>8</v>
      </c>
      <c r="EH2" s="9" t="s">
        <v>11</v>
      </c>
      <c r="EI2" s="9" t="s">
        <v>16</v>
      </c>
      <c r="EJ2" s="9" t="s">
        <v>10</v>
      </c>
      <c r="EK2" s="9" t="s">
        <v>11</v>
      </c>
      <c r="EL2" s="9" t="s">
        <v>11</v>
      </c>
      <c r="EM2" s="9" t="s">
        <v>18</v>
      </c>
      <c r="EN2" s="9" t="s">
        <v>12</v>
      </c>
      <c r="EO2" s="9" t="s">
        <v>12</v>
      </c>
      <c r="EP2" s="9" t="s">
        <v>12</v>
      </c>
      <c r="EQ2" s="9" t="s">
        <v>13</v>
      </c>
      <c r="ER2" s="9" t="s">
        <v>3</v>
      </c>
      <c r="ES2" s="9" t="s">
        <v>14</v>
      </c>
      <c r="ET2" s="9" t="s">
        <v>4</v>
      </c>
      <c r="EU2" s="9" t="s">
        <v>4</v>
      </c>
      <c r="EV2" s="9" t="e">
        <v>#N/A</v>
      </c>
      <c r="EW2" s="9" t="s">
        <v>15</v>
      </c>
      <c r="EX2" s="9" t="s">
        <v>15</v>
      </c>
      <c r="EY2" s="9" t="s">
        <v>15</v>
      </c>
      <c r="EZ2" s="9" t="s">
        <v>15</v>
      </c>
      <c r="FA2" s="9" t="s">
        <v>15</v>
      </c>
      <c r="FB2" s="9" t="e">
        <v>#N/A</v>
      </c>
      <c r="FC2" s="9" t="s">
        <v>2</v>
      </c>
      <c r="FD2" s="9" t="s">
        <v>6</v>
      </c>
      <c r="FE2" s="9" t="s">
        <v>5</v>
      </c>
      <c r="FF2" s="9" t="s">
        <v>5</v>
      </c>
      <c r="FG2" s="9" t="s">
        <v>5</v>
      </c>
      <c r="FH2" s="9" t="s">
        <v>8</v>
      </c>
      <c r="FI2" s="9" t="s">
        <v>4</v>
      </c>
      <c r="FJ2" s="9" t="s">
        <v>4</v>
      </c>
      <c r="FK2" s="9" t="s">
        <v>2</v>
      </c>
      <c r="FL2" s="9" t="s">
        <v>6</v>
      </c>
      <c r="FM2" s="9" t="s">
        <v>5</v>
      </c>
      <c r="FN2" s="9" t="s">
        <v>5</v>
      </c>
      <c r="FO2" s="9" t="s">
        <v>5</v>
      </c>
      <c r="FP2" s="9" t="s">
        <v>5</v>
      </c>
      <c r="FQ2" s="9" t="s">
        <v>5</v>
      </c>
      <c r="FR2" s="9" t="s">
        <v>5</v>
      </c>
      <c r="FS2" s="9" t="s">
        <v>5</v>
      </c>
      <c r="FT2" s="9" t="s">
        <v>5</v>
      </c>
      <c r="FU2" s="9" t="s">
        <v>5</v>
      </c>
      <c r="FV2" s="9" t="s">
        <v>5</v>
      </c>
      <c r="FW2" s="9" t="s">
        <v>8</v>
      </c>
      <c r="FX2" s="9" t="s">
        <v>11</v>
      </c>
      <c r="FY2" s="9" t="s">
        <v>16</v>
      </c>
      <c r="FZ2" s="9" t="s">
        <v>10</v>
      </c>
      <c r="GA2" s="9" t="s">
        <v>19</v>
      </c>
      <c r="GB2" s="9" t="s">
        <v>11</v>
      </c>
      <c r="GC2" s="9" t="s">
        <v>11</v>
      </c>
      <c r="GD2" s="9" t="s">
        <v>11</v>
      </c>
      <c r="GE2" s="9" t="s">
        <v>20</v>
      </c>
      <c r="GF2" s="9" t="s">
        <v>21</v>
      </c>
      <c r="GG2" s="9" t="s">
        <v>22</v>
      </c>
      <c r="GH2" s="9" t="s">
        <v>23</v>
      </c>
      <c r="GI2" s="9" t="s">
        <v>18</v>
      </c>
      <c r="GJ2" s="9" t="s">
        <v>12</v>
      </c>
      <c r="GK2" s="9" t="s">
        <v>12</v>
      </c>
      <c r="GL2" s="9" t="s">
        <v>12</v>
      </c>
      <c r="GM2" s="9" t="s">
        <v>13</v>
      </c>
      <c r="GN2" s="9" t="s">
        <v>14</v>
      </c>
      <c r="GO2" s="9" t="s">
        <v>4</v>
      </c>
      <c r="GP2" s="9" t="s">
        <v>4</v>
      </c>
      <c r="GQ2" s="9" t="s">
        <v>4</v>
      </c>
      <c r="GR2" s="9" t="s">
        <v>7</v>
      </c>
      <c r="GS2" s="9" t="e">
        <v>#N/A</v>
      </c>
      <c r="GT2" s="9" t="e">
        <v>#N/A</v>
      </c>
      <c r="GU2" s="9" t="s">
        <v>15</v>
      </c>
      <c r="GV2" s="9" t="s">
        <v>15</v>
      </c>
      <c r="GW2" s="9" t="s">
        <v>15</v>
      </c>
      <c r="GX2" s="9" t="s">
        <v>2</v>
      </c>
      <c r="GY2" s="9" t="s">
        <v>2</v>
      </c>
      <c r="GZ2" s="9" t="s">
        <v>5</v>
      </c>
      <c r="HA2" s="9" t="s">
        <v>9</v>
      </c>
      <c r="HB2" s="9" t="s">
        <v>10</v>
      </c>
      <c r="HC2" s="9" t="s">
        <v>4</v>
      </c>
      <c r="HD2" s="9" t="s">
        <v>2</v>
      </c>
      <c r="HE2" s="9" t="s">
        <v>4</v>
      </c>
      <c r="HF2" s="9" t="s">
        <v>4</v>
      </c>
      <c r="HG2" s="9" t="s">
        <v>2</v>
      </c>
      <c r="HH2" s="9" t="s">
        <v>2</v>
      </c>
      <c r="HI2" s="9" t="s">
        <v>2</v>
      </c>
      <c r="HJ2" s="9" t="s">
        <v>2</v>
      </c>
      <c r="HK2" s="9" t="s">
        <v>2</v>
      </c>
      <c r="HL2" s="9" t="s">
        <v>5</v>
      </c>
      <c r="HM2" s="9" t="s">
        <v>5</v>
      </c>
      <c r="HN2" s="9" t="s">
        <v>5</v>
      </c>
      <c r="HO2" s="9" t="s">
        <v>5</v>
      </c>
      <c r="HP2" s="9" t="s">
        <v>5</v>
      </c>
      <c r="HQ2" s="9" t="s">
        <v>9</v>
      </c>
      <c r="HR2" s="9" t="s">
        <v>8</v>
      </c>
      <c r="HS2" s="9" t="s">
        <v>11</v>
      </c>
      <c r="HT2" s="9" t="s">
        <v>16</v>
      </c>
      <c r="HU2" s="9" t="s">
        <v>11</v>
      </c>
      <c r="HV2" s="9" t="s">
        <v>10</v>
      </c>
      <c r="HW2" s="9" t="s">
        <v>19</v>
      </c>
      <c r="HX2" s="9" t="s">
        <v>11</v>
      </c>
      <c r="HY2" s="9" t="s">
        <v>11</v>
      </c>
      <c r="HZ2" s="9" t="s">
        <v>11</v>
      </c>
      <c r="IA2" s="9" t="s">
        <v>22</v>
      </c>
      <c r="IB2" s="9" t="s">
        <v>18</v>
      </c>
      <c r="IC2" s="9" t="s">
        <v>12</v>
      </c>
      <c r="ID2" s="9" t="s">
        <v>12</v>
      </c>
      <c r="IE2" s="9" t="s">
        <v>13</v>
      </c>
      <c r="IF2" s="9" t="s">
        <v>3</v>
      </c>
      <c r="IG2" s="9" t="s">
        <v>4</v>
      </c>
      <c r="IH2" s="9" t="s">
        <v>4</v>
      </c>
      <c r="II2" s="9" t="s">
        <v>7</v>
      </c>
      <c r="IJ2" s="9" t="s">
        <v>2</v>
      </c>
      <c r="IK2" s="9" t="s">
        <v>8</v>
      </c>
      <c r="IL2" s="9" t="s">
        <v>16</v>
      </c>
      <c r="IM2" s="9" t="s">
        <v>2</v>
      </c>
      <c r="IN2" s="9" t="s">
        <v>16</v>
      </c>
      <c r="IO2" s="9" t="s">
        <v>11</v>
      </c>
      <c r="IP2" s="9" t="s">
        <v>10</v>
      </c>
      <c r="IQ2" s="9" t="s">
        <v>19</v>
      </c>
      <c r="IR2" s="9" t="s">
        <v>11</v>
      </c>
      <c r="IS2" s="9" t="s">
        <v>20</v>
      </c>
      <c r="IT2" s="9" t="s">
        <v>24</v>
      </c>
      <c r="IU2" s="9" t="s">
        <v>18</v>
      </c>
      <c r="IV2" s="9" t="s">
        <v>2</v>
      </c>
      <c r="IW2" s="9" t="s">
        <v>9</v>
      </c>
      <c r="IX2" s="9" t="s">
        <v>19</v>
      </c>
      <c r="IY2" s="9" t="s">
        <v>4</v>
      </c>
      <c r="IZ2" s="9" t="s">
        <v>4</v>
      </c>
      <c r="JA2" s="9" t="s">
        <v>7</v>
      </c>
      <c r="JB2" s="9" t="s">
        <v>2</v>
      </c>
      <c r="JC2" s="9" t="s">
        <v>3</v>
      </c>
      <c r="JD2" s="9" t="s">
        <v>4</v>
      </c>
      <c r="JE2" s="9" t="s">
        <v>2</v>
      </c>
      <c r="JF2" s="9" t="s">
        <v>6</v>
      </c>
      <c r="JG2" s="9" t="s">
        <v>5</v>
      </c>
      <c r="JH2" s="9" t="s">
        <v>5</v>
      </c>
      <c r="JI2" s="9" t="s">
        <v>5</v>
      </c>
      <c r="JJ2" s="9" t="s">
        <v>5</v>
      </c>
      <c r="JK2" s="9" t="s">
        <v>5</v>
      </c>
      <c r="JL2" s="9" t="s">
        <v>5</v>
      </c>
      <c r="JM2" s="9" t="s">
        <v>5</v>
      </c>
      <c r="JN2" s="9" t="s">
        <v>9</v>
      </c>
      <c r="JO2" s="9" t="s">
        <v>8</v>
      </c>
      <c r="JP2" s="9" t="s">
        <v>11</v>
      </c>
      <c r="JQ2" s="9" t="s">
        <v>16</v>
      </c>
      <c r="JR2" s="9" t="s">
        <v>11</v>
      </c>
      <c r="JS2" s="9" t="s">
        <v>10</v>
      </c>
      <c r="JT2" s="9" t="s">
        <v>19</v>
      </c>
      <c r="JU2" s="9" t="s">
        <v>11</v>
      </c>
      <c r="JV2" s="9" t="s">
        <v>11</v>
      </c>
      <c r="JW2" s="9" t="s">
        <v>11</v>
      </c>
      <c r="JX2" s="9" t="s">
        <v>12</v>
      </c>
      <c r="JY2" s="9" t="s">
        <v>12</v>
      </c>
      <c r="JZ2" s="9" t="s">
        <v>12</v>
      </c>
      <c r="KA2" s="9" t="s">
        <v>12</v>
      </c>
      <c r="KB2" s="9" t="s">
        <v>13</v>
      </c>
      <c r="KC2" s="9" t="s">
        <v>3</v>
      </c>
      <c r="KD2" s="9" t="s">
        <v>14</v>
      </c>
      <c r="KE2" s="9" t="s">
        <v>4</v>
      </c>
      <c r="KF2" s="9" t="s">
        <v>4</v>
      </c>
      <c r="KG2" s="9" t="s">
        <v>4</v>
      </c>
      <c r="KH2" s="9" t="s">
        <v>7</v>
      </c>
      <c r="KI2" s="9" t="s">
        <v>2</v>
      </c>
      <c r="KJ2" s="9" t="s">
        <v>6</v>
      </c>
      <c r="KK2" s="9" t="s">
        <v>5</v>
      </c>
      <c r="KL2" s="9" t="s">
        <v>5</v>
      </c>
      <c r="KM2" s="9" t="s">
        <v>11</v>
      </c>
      <c r="KN2" s="9" t="s">
        <v>20</v>
      </c>
      <c r="KO2" s="9" t="s">
        <v>25</v>
      </c>
      <c r="KP2" s="9" t="s">
        <v>23</v>
      </c>
      <c r="KQ2" s="9" t="s">
        <v>12</v>
      </c>
      <c r="KR2" s="9" t="s">
        <v>12</v>
      </c>
      <c r="KS2" s="9" t="s">
        <v>12</v>
      </c>
      <c r="KT2" s="9" t="s">
        <v>2</v>
      </c>
      <c r="KU2" s="9" t="s">
        <v>6</v>
      </c>
      <c r="KV2" s="9" t="s">
        <v>16</v>
      </c>
      <c r="KW2" s="9" t="s">
        <v>19</v>
      </c>
      <c r="KX2" s="9" t="s">
        <v>12</v>
      </c>
      <c r="KY2" s="9" t="s">
        <v>25</v>
      </c>
      <c r="KZ2" s="9" t="s">
        <v>12</v>
      </c>
      <c r="LA2" s="9" t="s">
        <v>23</v>
      </c>
      <c r="LB2" s="9" t="s">
        <v>26</v>
      </c>
      <c r="LC2" s="9" t="s">
        <v>12</v>
      </c>
      <c r="LD2" s="9" t="s">
        <v>18</v>
      </c>
      <c r="LE2" s="9" t="s">
        <v>12</v>
      </c>
      <c r="LF2" s="9" t="s">
        <v>12</v>
      </c>
      <c r="LG2" s="9" t="s">
        <v>12</v>
      </c>
      <c r="LH2" s="9" t="s">
        <v>12</v>
      </c>
      <c r="LI2" s="9" t="s">
        <v>12</v>
      </c>
      <c r="LJ2" s="9" t="s">
        <v>12</v>
      </c>
      <c r="LK2" s="9" t="s">
        <v>12</v>
      </c>
      <c r="LL2" s="9" t="s">
        <v>12</v>
      </c>
      <c r="LM2" s="9" t="s">
        <v>13</v>
      </c>
      <c r="LN2" s="9" t="s">
        <v>3</v>
      </c>
      <c r="LO2" s="9" t="s">
        <v>2</v>
      </c>
      <c r="LP2" s="9" t="s">
        <v>20</v>
      </c>
      <c r="LQ2" s="9" t="s">
        <v>21</v>
      </c>
      <c r="LR2" s="9" t="s">
        <v>12</v>
      </c>
      <c r="LS2" s="9" t="s">
        <v>27</v>
      </c>
      <c r="LT2" s="9" t="s">
        <v>25</v>
      </c>
      <c r="LU2" s="9" t="s">
        <v>23</v>
      </c>
      <c r="LV2" s="9" t="s">
        <v>26</v>
      </c>
      <c r="LW2" s="9" t="s">
        <v>18</v>
      </c>
      <c r="LX2" s="9" t="s">
        <v>12</v>
      </c>
      <c r="LY2" s="9" t="s">
        <v>12</v>
      </c>
      <c r="LZ2" s="9" t="s">
        <v>2</v>
      </c>
      <c r="MA2" s="9" t="s">
        <v>20</v>
      </c>
      <c r="MB2" s="9" t="s">
        <v>25</v>
      </c>
      <c r="MC2" s="9" t="s">
        <v>23</v>
      </c>
      <c r="MD2" s="9" t="s">
        <v>26</v>
      </c>
      <c r="ME2" s="9" t="s">
        <v>12</v>
      </c>
      <c r="MF2" s="9" t="s">
        <v>2</v>
      </c>
      <c r="MG2" s="9" t="s">
        <v>16</v>
      </c>
      <c r="MH2" s="9" t="s">
        <v>21</v>
      </c>
      <c r="MI2" s="9" t="s">
        <v>25</v>
      </c>
      <c r="MJ2" s="9" t="s">
        <v>24</v>
      </c>
      <c r="MK2" s="9" t="s">
        <v>20</v>
      </c>
      <c r="ML2" s="9" t="s">
        <v>25</v>
      </c>
      <c r="MM2" s="9" t="s">
        <v>11</v>
      </c>
      <c r="MN2" s="9" t="s">
        <v>18</v>
      </c>
      <c r="MO2" s="9" t="s">
        <v>12</v>
      </c>
      <c r="MP2" s="9" t="s">
        <v>12</v>
      </c>
      <c r="MQ2" s="9" t="s">
        <v>13</v>
      </c>
      <c r="MR2" s="9" t="s">
        <v>2</v>
      </c>
      <c r="MS2" s="9" t="s">
        <v>20</v>
      </c>
      <c r="MT2" s="9" t="s">
        <v>22</v>
      </c>
      <c r="MU2" s="9" t="s">
        <v>17</v>
      </c>
      <c r="MV2" s="9" t="s">
        <v>25</v>
      </c>
      <c r="MW2" s="9" t="s">
        <v>26</v>
      </c>
      <c r="MX2" s="9" t="s">
        <v>2</v>
      </c>
      <c r="MY2" s="9" t="s">
        <v>6</v>
      </c>
      <c r="MZ2" s="9" t="s">
        <v>5</v>
      </c>
      <c r="NA2" s="9" t="s">
        <v>5</v>
      </c>
      <c r="NB2" s="9" t="s">
        <v>5</v>
      </c>
      <c r="NC2" s="9" t="s">
        <v>5</v>
      </c>
      <c r="ND2" s="9" t="s">
        <v>5</v>
      </c>
      <c r="NE2" s="9" t="s">
        <v>11</v>
      </c>
      <c r="NF2" s="9" t="s">
        <v>10</v>
      </c>
      <c r="NG2" s="9" t="s">
        <v>19</v>
      </c>
      <c r="NH2" s="9" t="s">
        <v>21</v>
      </c>
      <c r="NI2" s="9" t="s">
        <v>27</v>
      </c>
      <c r="NJ2" s="9" t="s">
        <v>12</v>
      </c>
      <c r="NK2" s="9" t="s">
        <v>22</v>
      </c>
      <c r="NL2" s="9" t="s">
        <v>17</v>
      </c>
      <c r="NM2" s="9" t="s">
        <v>25</v>
      </c>
      <c r="NN2" s="9" t="s">
        <v>24</v>
      </c>
      <c r="NO2" s="9" t="s">
        <v>12</v>
      </c>
      <c r="NP2" s="9" t="s">
        <v>12</v>
      </c>
      <c r="NQ2" s="9" t="s">
        <v>23</v>
      </c>
      <c r="NR2" s="9" t="s">
        <v>26</v>
      </c>
      <c r="NS2" s="9" t="s">
        <v>12</v>
      </c>
      <c r="NT2" s="9" t="s">
        <v>18</v>
      </c>
      <c r="NU2" s="9" t="s">
        <v>12</v>
      </c>
      <c r="NV2" s="9" t="s">
        <v>12</v>
      </c>
      <c r="NW2" s="9" t="s">
        <v>12</v>
      </c>
      <c r="NX2" s="9" t="s">
        <v>12</v>
      </c>
      <c r="NY2" s="9" t="s">
        <v>12</v>
      </c>
      <c r="NZ2" s="9" t="s">
        <v>12</v>
      </c>
      <c r="OA2" s="9" t="s">
        <v>12</v>
      </c>
      <c r="OB2" s="9" t="s">
        <v>12</v>
      </c>
      <c r="OC2" s="9" t="s">
        <v>12</v>
      </c>
      <c r="OD2" s="9" t="s">
        <v>12</v>
      </c>
      <c r="OE2" s="9" t="s">
        <v>12</v>
      </c>
      <c r="OF2" s="9" t="s">
        <v>13</v>
      </c>
      <c r="OG2" s="9" t="s">
        <v>3</v>
      </c>
      <c r="OH2" s="9" t="s">
        <v>2</v>
      </c>
      <c r="OI2" s="9" t="s">
        <v>12</v>
      </c>
      <c r="OJ2" s="9" t="s">
        <v>2</v>
      </c>
      <c r="OK2" s="9" t="s">
        <v>11</v>
      </c>
      <c r="OL2" s="9" t="s">
        <v>3</v>
      </c>
      <c r="OM2" s="9" t="s">
        <v>14</v>
      </c>
      <c r="ON2" s="9" t="s">
        <v>4</v>
      </c>
      <c r="OO2" s="9" t="s">
        <v>4</v>
      </c>
      <c r="OP2" s="9" t="s">
        <v>4</v>
      </c>
      <c r="OQ2" s="9" t="s">
        <v>2</v>
      </c>
      <c r="OR2" s="9" t="s">
        <v>12</v>
      </c>
      <c r="OS2" s="9" t="s">
        <v>13</v>
      </c>
      <c r="OT2" s="9" t="s">
        <v>14</v>
      </c>
      <c r="OU2" s="9" t="s">
        <v>4</v>
      </c>
      <c r="OV2" s="9" t="s">
        <v>4</v>
      </c>
      <c r="OW2" s="9" t="s">
        <v>4</v>
      </c>
      <c r="OX2" s="9" t="e">
        <v>#N/A</v>
      </c>
      <c r="OY2" s="9" t="s">
        <v>2</v>
      </c>
      <c r="OZ2" s="9" t="s">
        <v>6</v>
      </c>
      <c r="PA2" s="9" t="s">
        <v>5</v>
      </c>
      <c r="PB2" s="9" t="s">
        <v>5</v>
      </c>
      <c r="PC2" s="9" t="s">
        <v>5</v>
      </c>
      <c r="PD2" s="9" t="s">
        <v>5</v>
      </c>
      <c r="PE2" s="9" t="s">
        <v>5</v>
      </c>
      <c r="PF2" s="9" t="s">
        <v>5</v>
      </c>
      <c r="PG2" s="9" t="s">
        <v>5</v>
      </c>
      <c r="PH2" s="9" t="s">
        <v>5</v>
      </c>
      <c r="PI2" s="9" t="s">
        <v>5</v>
      </c>
      <c r="PJ2" s="9" t="s">
        <v>5</v>
      </c>
      <c r="PK2" s="9" t="s">
        <v>9</v>
      </c>
      <c r="PL2" s="9" t="s">
        <v>8</v>
      </c>
      <c r="PM2" s="9" t="s">
        <v>16</v>
      </c>
      <c r="PN2" s="9" t="s">
        <v>10</v>
      </c>
      <c r="PO2" s="9" t="s">
        <v>19</v>
      </c>
      <c r="PP2" s="9" t="s">
        <v>11</v>
      </c>
      <c r="PQ2" s="9" t="s">
        <v>11</v>
      </c>
      <c r="PR2" s="9" t="s">
        <v>20</v>
      </c>
      <c r="PS2" s="9" t="s">
        <v>21</v>
      </c>
      <c r="PT2" s="9" t="s">
        <v>12</v>
      </c>
      <c r="PU2" s="9" t="s">
        <v>22</v>
      </c>
      <c r="PV2" s="9" t="s">
        <v>17</v>
      </c>
      <c r="PW2" s="9" t="s">
        <v>25</v>
      </c>
      <c r="PX2" s="9" t="s">
        <v>24</v>
      </c>
      <c r="PY2" s="9" t="s">
        <v>12</v>
      </c>
      <c r="PZ2" s="9" t="s">
        <v>12</v>
      </c>
      <c r="QA2" s="9" t="s">
        <v>23</v>
      </c>
      <c r="QB2" s="9" t="s">
        <v>26</v>
      </c>
      <c r="QC2" s="9" t="s">
        <v>12</v>
      </c>
      <c r="QD2" s="9" t="s">
        <v>12</v>
      </c>
      <c r="QE2" s="9" t="s">
        <v>12</v>
      </c>
      <c r="QF2" s="9" t="s">
        <v>12</v>
      </c>
      <c r="QG2" s="9" t="s">
        <v>12</v>
      </c>
      <c r="QH2" s="9" t="s">
        <v>12</v>
      </c>
      <c r="QI2" s="9" t="s">
        <v>13</v>
      </c>
      <c r="QJ2" s="9" t="s">
        <v>3</v>
      </c>
      <c r="QK2" s="9" t="s">
        <v>14</v>
      </c>
      <c r="QL2" s="9" t="s">
        <v>4</v>
      </c>
      <c r="QM2" s="9" t="s">
        <v>4</v>
      </c>
      <c r="QN2" s="9" t="s">
        <v>4</v>
      </c>
      <c r="QO2" s="9" t="s">
        <v>7</v>
      </c>
      <c r="QP2" s="9" t="e">
        <v>#N/A</v>
      </c>
      <c r="QQ2" s="9" t="s">
        <v>15</v>
      </c>
      <c r="QR2" s="9" t="e">
        <v>#N/A</v>
      </c>
      <c r="QS2" s="51"/>
      <c r="QT2" s="10"/>
      <c r="QV2" s="29" t="s">
        <v>263</v>
      </c>
      <c r="QW2" s="30" t="s">
        <v>92</v>
      </c>
      <c r="QX2" s="30" t="s">
        <v>93</v>
      </c>
      <c r="QY2" s="30" t="s">
        <v>61</v>
      </c>
      <c r="QZ2" s="31" t="s">
        <v>62</v>
      </c>
      <c r="RA2" s="30" t="s">
        <v>63</v>
      </c>
      <c r="RB2" s="30" t="s">
        <v>94</v>
      </c>
      <c r="RC2" s="30" t="s">
        <v>65</v>
      </c>
      <c r="RD2" s="30" t="s">
        <v>66</v>
      </c>
      <c r="RE2" s="30" t="s">
        <v>67</v>
      </c>
      <c r="RF2" s="30" t="s">
        <v>68</v>
      </c>
      <c r="RG2" s="30" t="s">
        <v>69</v>
      </c>
      <c r="RH2" s="30" t="s">
        <v>70</v>
      </c>
      <c r="RI2" s="30"/>
      <c r="RJ2" s="178"/>
      <c r="RK2" s="30"/>
      <c r="RL2" s="30"/>
      <c r="RM2" s="30"/>
      <c r="RN2" s="30"/>
      <c r="RO2" s="30"/>
      <c r="RP2" s="30"/>
      <c r="RQ2" s="178"/>
      <c r="RR2" s="30"/>
      <c r="RS2" s="30"/>
      <c r="RT2" s="30"/>
      <c r="RU2" s="30"/>
      <c r="RV2" s="30"/>
      <c r="RW2" s="30"/>
      <c r="RX2" s="32"/>
      <c r="RY2" s="10"/>
      <c r="RZ2" s="32"/>
      <c r="SA2" s="1004" t="s">
        <v>271</v>
      </c>
      <c r="SB2" s="1004"/>
      <c r="SC2" s="1004"/>
      <c r="SE2" s="5"/>
      <c r="SF2" s="117"/>
      <c r="SG2" s="294" t="s">
        <v>1205</v>
      </c>
      <c r="SH2" s="1011" t="s">
        <v>1204</v>
      </c>
      <c r="SI2" s="1011"/>
      <c r="SJ2" s="1012" t="s">
        <v>1203</v>
      </c>
      <c r="SK2" s="1012"/>
      <c r="SL2" s="1013" t="s">
        <v>1201</v>
      </c>
      <c r="SM2" s="1013"/>
      <c r="SN2" s="1013"/>
      <c r="SO2" s="1013"/>
      <c r="SP2" s="1013"/>
      <c r="SQ2" s="1013"/>
      <c r="SR2" s="1004" t="s">
        <v>466</v>
      </c>
      <c r="SS2" s="1004"/>
      <c r="ST2" s="1004"/>
      <c r="SU2" s="1004"/>
      <c r="SV2" s="1004"/>
      <c r="SW2" s="1004"/>
      <c r="SX2" s="1004"/>
      <c r="SY2" s="1004" t="s">
        <v>467</v>
      </c>
      <c r="SZ2" s="1004"/>
      <c r="TA2" s="1004" t="s">
        <v>468</v>
      </c>
      <c r="TB2" s="1004"/>
      <c r="TC2" s="1004" t="s">
        <v>1234</v>
      </c>
      <c r="TD2" s="1004"/>
      <c r="TE2" s="294"/>
      <c r="TF2" s="148"/>
      <c r="TG2" s="294"/>
      <c r="TH2" s="1004" t="s">
        <v>1237</v>
      </c>
      <c r="TI2" s="1004"/>
      <c r="TJ2" s="207" t="s">
        <v>1308</v>
      </c>
      <c r="TK2" s="150"/>
      <c r="TL2" s="149"/>
      <c r="TM2" s="1005" t="s">
        <v>1238</v>
      </c>
      <c r="TN2" s="1005"/>
      <c r="TO2" s="207" t="s">
        <v>1309</v>
      </c>
      <c r="TP2" s="150"/>
      <c r="TQ2" s="149"/>
      <c r="TT2" s="5"/>
      <c r="TV2" s="1006">
        <v>1880375935.9934995</v>
      </c>
      <c r="TW2" s="1007"/>
      <c r="TX2" s="203"/>
      <c r="TY2" s="1001">
        <v>187834488.66894627</v>
      </c>
      <c r="TZ2" s="1002"/>
      <c r="UP2" s="5"/>
      <c r="UR2" s="1003" t="s">
        <v>1327</v>
      </c>
      <c r="US2" s="1003"/>
      <c r="UT2" s="1003"/>
      <c r="UU2" s="293"/>
      <c r="UV2" s="293"/>
      <c r="UW2" s="293"/>
      <c r="UX2" s="293"/>
      <c r="UY2" s="293"/>
      <c r="UZ2" s="144"/>
      <c r="VA2" s="293"/>
      <c r="VG2" s="5"/>
    </row>
    <row r="3" spans="1:591" ht="102" thickBot="1">
      <c r="A3" s="6"/>
      <c r="B3" s="54" t="s">
        <v>28</v>
      </c>
      <c r="C3">
        <v>411100</v>
      </c>
      <c r="D3">
        <v>411100</v>
      </c>
      <c r="E3">
        <v>411100</v>
      </c>
      <c r="F3">
        <v>411100</v>
      </c>
      <c r="G3">
        <v>411200</v>
      </c>
      <c r="H3">
        <v>411200</v>
      </c>
      <c r="I3">
        <v>411300</v>
      </c>
      <c r="J3">
        <v>411400</v>
      </c>
      <c r="K3">
        <v>411500</v>
      </c>
      <c r="L3">
        <v>411600</v>
      </c>
      <c r="M3">
        <v>411700</v>
      </c>
      <c r="N3">
        <v>411900</v>
      </c>
      <c r="O3">
        <v>411900</v>
      </c>
      <c r="P3">
        <v>411900</v>
      </c>
      <c r="Q3">
        <v>412100</v>
      </c>
      <c r="R3">
        <v>412100</v>
      </c>
      <c r="S3">
        <v>412100</v>
      </c>
      <c r="T3">
        <v>412100</v>
      </c>
      <c r="U3">
        <v>412100</v>
      </c>
      <c r="V3">
        <v>412500</v>
      </c>
      <c r="W3">
        <v>413000</v>
      </c>
      <c r="X3">
        <v>413000</v>
      </c>
      <c r="Y3">
        <v>413000</v>
      </c>
      <c r="Z3">
        <v>413000</v>
      </c>
      <c r="AA3">
        <v>413000</v>
      </c>
      <c r="AB3">
        <v>413000</v>
      </c>
      <c r="AC3">
        <v>414100</v>
      </c>
      <c r="AD3">
        <v>414100</v>
      </c>
      <c r="AE3">
        <v>414100</v>
      </c>
      <c r="AF3">
        <v>414100</v>
      </c>
      <c r="AG3">
        <v>414100</v>
      </c>
      <c r="AH3">
        <v>414200</v>
      </c>
      <c r="AI3">
        <v>414300</v>
      </c>
      <c r="AJ3">
        <v>415000</v>
      </c>
      <c r="AK3">
        <v>415000</v>
      </c>
      <c r="AL3">
        <v>415000</v>
      </c>
      <c r="AM3">
        <v>415000</v>
      </c>
      <c r="AN3">
        <v>415000</v>
      </c>
      <c r="AO3">
        <v>415000</v>
      </c>
      <c r="AP3">
        <v>415000</v>
      </c>
      <c r="AQ3">
        <v>415000</v>
      </c>
      <c r="AR3">
        <v>415000</v>
      </c>
      <c r="AS3">
        <v>415000</v>
      </c>
      <c r="AT3">
        <v>415000</v>
      </c>
      <c r="AU3">
        <v>415000</v>
      </c>
      <c r="AV3">
        <v>415000</v>
      </c>
      <c r="AW3">
        <v>415000</v>
      </c>
      <c r="AX3">
        <v>415000</v>
      </c>
      <c r="AY3">
        <v>415000</v>
      </c>
      <c r="AZ3">
        <v>415000</v>
      </c>
      <c r="BA3">
        <v>415000</v>
      </c>
      <c r="BB3">
        <v>415000</v>
      </c>
      <c r="BC3">
        <v>415000</v>
      </c>
      <c r="BD3">
        <v>415000</v>
      </c>
      <c r="BE3">
        <v>415000</v>
      </c>
      <c r="BF3">
        <v>415000</v>
      </c>
      <c r="BG3">
        <v>415000</v>
      </c>
      <c r="BH3">
        <v>415000</v>
      </c>
      <c r="BI3">
        <v>415000</v>
      </c>
      <c r="BJ3">
        <v>415000</v>
      </c>
      <c r="BK3">
        <v>415000</v>
      </c>
      <c r="BL3">
        <v>415000</v>
      </c>
      <c r="BM3">
        <v>415000</v>
      </c>
      <c r="BN3">
        <v>415000</v>
      </c>
      <c r="BO3">
        <v>415000</v>
      </c>
      <c r="BP3">
        <v>415000</v>
      </c>
      <c r="BQ3">
        <v>415000</v>
      </c>
      <c r="BR3">
        <v>415000</v>
      </c>
      <c r="BS3">
        <v>415000</v>
      </c>
      <c r="BT3">
        <v>415000</v>
      </c>
      <c r="BU3">
        <v>415000</v>
      </c>
      <c r="BV3">
        <v>416100</v>
      </c>
      <c r="BW3">
        <v>416200</v>
      </c>
      <c r="BX3">
        <v>416900</v>
      </c>
      <c r="BY3">
        <v>416900</v>
      </c>
      <c r="BZ3">
        <v>416900</v>
      </c>
      <c r="CA3">
        <v>416900</v>
      </c>
      <c r="CB3">
        <v>417100</v>
      </c>
      <c r="CC3">
        <v>417100</v>
      </c>
      <c r="CD3">
        <v>417100</v>
      </c>
      <c r="CE3">
        <v>417100</v>
      </c>
      <c r="CF3">
        <v>417100</v>
      </c>
      <c r="CG3">
        <v>417100</v>
      </c>
      <c r="CH3">
        <v>417100</v>
      </c>
      <c r="CI3">
        <v>417200</v>
      </c>
      <c r="CJ3">
        <v>417300</v>
      </c>
      <c r="CK3">
        <v>417300</v>
      </c>
      <c r="CL3">
        <v>417400</v>
      </c>
      <c r="CM3">
        <v>417400</v>
      </c>
      <c r="CN3">
        <v>417400</v>
      </c>
      <c r="CO3">
        <v>417400</v>
      </c>
      <c r="CP3">
        <v>417400</v>
      </c>
      <c r="CQ3">
        <v>417400</v>
      </c>
      <c r="CR3">
        <v>417400</v>
      </c>
      <c r="CS3">
        <v>417400</v>
      </c>
      <c r="CT3">
        <v>417400</v>
      </c>
      <c r="CU3">
        <v>417400</v>
      </c>
      <c r="CV3">
        <v>417400</v>
      </c>
      <c r="CW3">
        <v>417400</v>
      </c>
      <c r="CX3">
        <v>417900</v>
      </c>
      <c r="CY3">
        <v>417900</v>
      </c>
      <c r="CZ3">
        <v>417900</v>
      </c>
      <c r="DA3">
        <v>417900</v>
      </c>
      <c r="DB3">
        <v>417900</v>
      </c>
      <c r="DC3">
        <v>417900</v>
      </c>
      <c r="DD3">
        <v>417900</v>
      </c>
      <c r="DE3">
        <v>417900</v>
      </c>
      <c r="DF3">
        <v>418100</v>
      </c>
      <c r="DG3">
        <v>418100</v>
      </c>
      <c r="DH3">
        <v>418100</v>
      </c>
      <c r="DI3">
        <v>418100</v>
      </c>
      <c r="DJ3">
        <v>418100</v>
      </c>
      <c r="DK3">
        <v>418100</v>
      </c>
      <c r="DL3">
        <v>419100</v>
      </c>
      <c r="DM3">
        <v>419100</v>
      </c>
      <c r="DN3">
        <v>419100</v>
      </c>
      <c r="DO3">
        <v>419100</v>
      </c>
      <c r="DP3">
        <v>419100</v>
      </c>
      <c r="DQ3">
        <v>419100</v>
      </c>
      <c r="DR3">
        <v>419100</v>
      </c>
      <c r="DS3">
        <v>419100</v>
      </c>
      <c r="DT3">
        <v>419100</v>
      </c>
      <c r="DU3">
        <v>419200</v>
      </c>
      <c r="DV3">
        <v>419200</v>
      </c>
      <c r="DW3">
        <v>419200</v>
      </c>
      <c r="DX3">
        <v>419200</v>
      </c>
      <c r="DY3">
        <v>419200</v>
      </c>
      <c r="DZ3">
        <v>419200</v>
      </c>
      <c r="EA3">
        <v>419200</v>
      </c>
      <c r="EB3">
        <v>419200</v>
      </c>
      <c r="EC3">
        <v>419200</v>
      </c>
      <c r="ED3">
        <v>419200</v>
      </c>
      <c r="EE3">
        <v>419200</v>
      </c>
      <c r="EF3">
        <v>419200</v>
      </c>
      <c r="EG3">
        <v>419200</v>
      </c>
      <c r="EH3">
        <v>419200</v>
      </c>
      <c r="EI3">
        <v>419200</v>
      </c>
      <c r="EJ3">
        <v>419200</v>
      </c>
      <c r="EK3">
        <v>419200</v>
      </c>
      <c r="EL3">
        <v>419200</v>
      </c>
      <c r="EM3">
        <v>419200</v>
      </c>
      <c r="EN3">
        <v>419200</v>
      </c>
      <c r="EO3">
        <v>419200</v>
      </c>
      <c r="EP3">
        <v>419200</v>
      </c>
      <c r="EQ3">
        <v>419200</v>
      </c>
      <c r="ER3">
        <v>419200</v>
      </c>
      <c r="ES3">
        <v>419200</v>
      </c>
      <c r="ET3">
        <v>419200</v>
      </c>
      <c r="EU3">
        <v>419200</v>
      </c>
      <c r="EV3">
        <v>419200</v>
      </c>
      <c r="EW3">
        <v>419200</v>
      </c>
      <c r="EX3">
        <v>419200</v>
      </c>
      <c r="EY3">
        <v>419200</v>
      </c>
      <c r="EZ3">
        <v>419200</v>
      </c>
      <c r="FA3">
        <v>419200</v>
      </c>
      <c r="FB3">
        <v>419200</v>
      </c>
      <c r="FC3">
        <v>419300</v>
      </c>
      <c r="FD3">
        <v>419300</v>
      </c>
      <c r="FE3">
        <v>419300</v>
      </c>
      <c r="FF3">
        <v>419300</v>
      </c>
      <c r="FG3">
        <v>419300</v>
      </c>
      <c r="FH3">
        <v>419300</v>
      </c>
      <c r="FI3">
        <v>419300</v>
      </c>
      <c r="FJ3">
        <v>419300</v>
      </c>
      <c r="FK3">
        <v>419900</v>
      </c>
      <c r="FL3">
        <v>419900</v>
      </c>
      <c r="FM3">
        <v>419900</v>
      </c>
      <c r="FN3">
        <v>419900</v>
      </c>
      <c r="FO3">
        <v>419900</v>
      </c>
      <c r="FP3">
        <v>419900</v>
      </c>
      <c r="FQ3">
        <v>419900</v>
      </c>
      <c r="FR3">
        <v>419900</v>
      </c>
      <c r="FS3">
        <v>419900</v>
      </c>
      <c r="FT3">
        <v>419900</v>
      </c>
      <c r="FU3">
        <v>419900</v>
      </c>
      <c r="FV3">
        <v>419900</v>
      </c>
      <c r="FW3">
        <v>419900</v>
      </c>
      <c r="FX3">
        <v>419900</v>
      </c>
      <c r="FY3">
        <v>419900</v>
      </c>
      <c r="FZ3">
        <v>419900</v>
      </c>
      <c r="GA3">
        <v>419900</v>
      </c>
      <c r="GB3">
        <v>419900</v>
      </c>
      <c r="GC3">
        <v>419900</v>
      </c>
      <c r="GD3">
        <v>419900</v>
      </c>
      <c r="GE3">
        <v>419900</v>
      </c>
      <c r="GF3">
        <v>419900</v>
      </c>
      <c r="GG3">
        <v>419900</v>
      </c>
      <c r="GH3">
        <v>419900</v>
      </c>
      <c r="GI3">
        <v>419900</v>
      </c>
      <c r="GJ3">
        <v>419900</v>
      </c>
      <c r="GK3">
        <v>419900</v>
      </c>
      <c r="GL3">
        <v>419900</v>
      </c>
      <c r="GM3">
        <v>419900</v>
      </c>
      <c r="GN3">
        <v>419900</v>
      </c>
      <c r="GO3">
        <v>419900</v>
      </c>
      <c r="GP3">
        <v>419900</v>
      </c>
      <c r="GQ3">
        <v>419900</v>
      </c>
      <c r="GR3">
        <v>419900</v>
      </c>
      <c r="GS3">
        <v>419900</v>
      </c>
      <c r="GT3">
        <v>419900</v>
      </c>
      <c r="GU3">
        <v>419900</v>
      </c>
      <c r="GV3">
        <v>419900</v>
      </c>
      <c r="GW3">
        <v>419900</v>
      </c>
      <c r="GX3">
        <v>429000</v>
      </c>
      <c r="GY3">
        <v>431100</v>
      </c>
      <c r="GZ3">
        <v>431100</v>
      </c>
      <c r="HA3">
        <v>431100</v>
      </c>
      <c r="HB3">
        <v>431100</v>
      </c>
      <c r="HC3">
        <v>431100</v>
      </c>
      <c r="HD3">
        <v>431200</v>
      </c>
      <c r="HE3">
        <v>431200</v>
      </c>
      <c r="HF3">
        <v>431200</v>
      </c>
      <c r="HG3">
        <v>431400</v>
      </c>
      <c r="HH3">
        <v>431500</v>
      </c>
      <c r="HI3">
        <v>431600</v>
      </c>
      <c r="HJ3">
        <v>431800</v>
      </c>
      <c r="HK3">
        <v>431900</v>
      </c>
      <c r="HL3">
        <v>431900</v>
      </c>
      <c r="HM3">
        <v>431900</v>
      </c>
      <c r="HN3">
        <v>431900</v>
      </c>
      <c r="HO3">
        <v>431900</v>
      </c>
      <c r="HP3">
        <v>431900</v>
      </c>
      <c r="HQ3">
        <v>431900</v>
      </c>
      <c r="HR3">
        <v>431900</v>
      </c>
      <c r="HS3">
        <v>431900</v>
      </c>
      <c r="HT3">
        <v>431900</v>
      </c>
      <c r="HU3">
        <v>431900</v>
      </c>
      <c r="HV3">
        <v>431900</v>
      </c>
      <c r="HW3">
        <v>431900</v>
      </c>
      <c r="HX3">
        <v>431900</v>
      </c>
      <c r="HY3">
        <v>431900</v>
      </c>
      <c r="HZ3">
        <v>431900</v>
      </c>
      <c r="IA3">
        <v>431900</v>
      </c>
      <c r="IB3">
        <v>431900</v>
      </c>
      <c r="IC3">
        <v>431900</v>
      </c>
      <c r="ID3">
        <v>431900</v>
      </c>
      <c r="IE3">
        <v>431900</v>
      </c>
      <c r="IF3">
        <v>431900</v>
      </c>
      <c r="IG3">
        <v>431900</v>
      </c>
      <c r="IH3">
        <v>431900</v>
      </c>
      <c r="II3">
        <v>431900</v>
      </c>
      <c r="IJ3">
        <v>432100</v>
      </c>
      <c r="IK3">
        <v>432100</v>
      </c>
      <c r="IL3">
        <v>432100</v>
      </c>
      <c r="IM3">
        <v>432400</v>
      </c>
      <c r="IN3">
        <v>432400</v>
      </c>
      <c r="IO3">
        <v>432400</v>
      </c>
      <c r="IP3">
        <v>432400</v>
      </c>
      <c r="IQ3">
        <v>432400</v>
      </c>
      <c r="IR3">
        <v>432400</v>
      </c>
      <c r="IS3">
        <v>432400</v>
      </c>
      <c r="IT3">
        <v>432400</v>
      </c>
      <c r="IU3">
        <v>432400</v>
      </c>
      <c r="IV3">
        <v>437000</v>
      </c>
      <c r="IW3">
        <v>437000</v>
      </c>
      <c r="IX3">
        <v>437000</v>
      </c>
      <c r="IY3">
        <v>437000</v>
      </c>
      <c r="IZ3">
        <v>437000</v>
      </c>
      <c r="JA3">
        <v>437000</v>
      </c>
      <c r="JB3">
        <v>438000</v>
      </c>
      <c r="JC3">
        <v>438000</v>
      </c>
      <c r="JD3">
        <v>438000</v>
      </c>
      <c r="JE3">
        <v>439000</v>
      </c>
      <c r="JF3">
        <v>439000</v>
      </c>
      <c r="JG3">
        <v>439000</v>
      </c>
      <c r="JH3">
        <v>439000</v>
      </c>
      <c r="JI3">
        <v>439000</v>
      </c>
      <c r="JJ3">
        <v>439000</v>
      </c>
      <c r="JK3">
        <v>439000</v>
      </c>
      <c r="JL3">
        <v>439000</v>
      </c>
      <c r="JM3">
        <v>439000</v>
      </c>
      <c r="JN3">
        <v>439000</v>
      </c>
      <c r="JO3">
        <v>439000</v>
      </c>
      <c r="JP3">
        <v>439000</v>
      </c>
      <c r="JQ3">
        <v>439000</v>
      </c>
      <c r="JR3">
        <v>439000</v>
      </c>
      <c r="JS3">
        <v>439000</v>
      </c>
      <c r="JT3">
        <v>439000</v>
      </c>
      <c r="JU3">
        <v>439000</v>
      </c>
      <c r="JV3">
        <v>439000</v>
      </c>
      <c r="JW3">
        <v>439000</v>
      </c>
      <c r="JX3">
        <v>439000</v>
      </c>
      <c r="JY3">
        <v>439000</v>
      </c>
      <c r="JZ3">
        <v>439000</v>
      </c>
      <c r="KA3">
        <v>439000</v>
      </c>
      <c r="KB3">
        <v>439000</v>
      </c>
      <c r="KC3">
        <v>439000</v>
      </c>
      <c r="KD3">
        <v>439000</v>
      </c>
      <c r="KE3">
        <v>439000</v>
      </c>
      <c r="KF3">
        <v>439000</v>
      </c>
      <c r="KG3">
        <v>439000</v>
      </c>
      <c r="KH3">
        <v>439000</v>
      </c>
      <c r="KI3">
        <v>442000</v>
      </c>
      <c r="KJ3">
        <v>442000</v>
      </c>
      <c r="KK3">
        <v>442000</v>
      </c>
      <c r="KL3">
        <v>442000</v>
      </c>
      <c r="KM3">
        <v>442000</v>
      </c>
      <c r="KN3">
        <v>442000</v>
      </c>
      <c r="KO3">
        <v>442000</v>
      </c>
      <c r="KP3">
        <v>442000</v>
      </c>
      <c r="KQ3">
        <v>442000</v>
      </c>
      <c r="KR3">
        <v>442000</v>
      </c>
      <c r="KS3">
        <v>442000</v>
      </c>
      <c r="KT3">
        <v>443000</v>
      </c>
      <c r="KU3">
        <v>443000</v>
      </c>
      <c r="KV3">
        <v>443000</v>
      </c>
      <c r="KW3">
        <v>443000</v>
      </c>
      <c r="KX3">
        <v>443000</v>
      </c>
      <c r="KY3">
        <v>443000</v>
      </c>
      <c r="KZ3">
        <v>443000</v>
      </c>
      <c r="LA3">
        <v>443000</v>
      </c>
      <c r="LB3">
        <v>443000</v>
      </c>
      <c r="LC3">
        <v>443000</v>
      </c>
      <c r="LD3">
        <v>443000</v>
      </c>
      <c r="LE3">
        <v>443000</v>
      </c>
      <c r="LF3">
        <v>443000</v>
      </c>
      <c r="LG3">
        <v>443000</v>
      </c>
      <c r="LH3">
        <v>443000</v>
      </c>
      <c r="LI3">
        <v>443000</v>
      </c>
      <c r="LJ3">
        <v>443000</v>
      </c>
      <c r="LK3">
        <v>443000</v>
      </c>
      <c r="LL3">
        <v>443000</v>
      </c>
      <c r="LM3">
        <v>443000</v>
      </c>
      <c r="LN3">
        <v>443000</v>
      </c>
      <c r="LO3">
        <v>445100</v>
      </c>
      <c r="LP3">
        <v>445100</v>
      </c>
      <c r="LQ3">
        <v>445100</v>
      </c>
      <c r="LR3">
        <v>445100</v>
      </c>
      <c r="LS3">
        <v>445100</v>
      </c>
      <c r="LT3">
        <v>445100</v>
      </c>
      <c r="LU3">
        <v>445100</v>
      </c>
      <c r="LV3">
        <v>445100</v>
      </c>
      <c r="LW3">
        <v>445100</v>
      </c>
      <c r="LX3">
        <v>445100</v>
      </c>
      <c r="LY3">
        <v>445100</v>
      </c>
      <c r="LZ3">
        <v>445200</v>
      </c>
      <c r="MA3">
        <v>445200</v>
      </c>
      <c r="MB3">
        <v>445200</v>
      </c>
      <c r="MC3">
        <v>445200</v>
      </c>
      <c r="MD3">
        <v>445200</v>
      </c>
      <c r="ME3">
        <v>445200</v>
      </c>
      <c r="MF3">
        <v>445300</v>
      </c>
      <c r="MG3">
        <v>445300</v>
      </c>
      <c r="MH3">
        <v>445300</v>
      </c>
      <c r="MI3">
        <v>445300</v>
      </c>
      <c r="MJ3">
        <v>445300</v>
      </c>
      <c r="MK3">
        <v>445400</v>
      </c>
      <c r="ML3">
        <v>445400</v>
      </c>
      <c r="MM3">
        <v>445500</v>
      </c>
      <c r="MN3">
        <v>445500</v>
      </c>
      <c r="MO3">
        <v>445500</v>
      </c>
      <c r="MP3">
        <v>445500</v>
      </c>
      <c r="MQ3">
        <v>445500</v>
      </c>
      <c r="MR3">
        <v>445600</v>
      </c>
      <c r="MS3">
        <v>445600</v>
      </c>
      <c r="MT3">
        <v>445600</v>
      </c>
      <c r="MU3">
        <v>445600</v>
      </c>
      <c r="MV3">
        <v>445600</v>
      </c>
      <c r="MW3">
        <v>445600</v>
      </c>
      <c r="MX3">
        <v>445900</v>
      </c>
      <c r="MY3">
        <v>445900</v>
      </c>
      <c r="MZ3">
        <v>445900</v>
      </c>
      <c r="NA3">
        <v>445900</v>
      </c>
      <c r="NB3">
        <v>445900</v>
      </c>
      <c r="NC3">
        <v>445900</v>
      </c>
      <c r="ND3">
        <v>445900</v>
      </c>
      <c r="NE3">
        <v>445900</v>
      </c>
      <c r="NF3">
        <v>445900</v>
      </c>
      <c r="NG3">
        <v>445900</v>
      </c>
      <c r="NH3">
        <v>445900</v>
      </c>
      <c r="NI3">
        <v>445900</v>
      </c>
      <c r="NJ3">
        <v>445900</v>
      </c>
      <c r="NK3">
        <v>445900</v>
      </c>
      <c r="NL3">
        <v>445900</v>
      </c>
      <c r="NM3">
        <v>445900</v>
      </c>
      <c r="NN3">
        <v>445900</v>
      </c>
      <c r="NO3">
        <v>445900</v>
      </c>
      <c r="NP3">
        <v>445900</v>
      </c>
      <c r="NQ3">
        <v>445900</v>
      </c>
      <c r="NR3">
        <v>445900</v>
      </c>
      <c r="NS3">
        <v>445900</v>
      </c>
      <c r="NT3">
        <v>445900</v>
      </c>
      <c r="NU3">
        <v>445900</v>
      </c>
      <c r="NV3">
        <v>445900</v>
      </c>
      <c r="NW3">
        <v>445900</v>
      </c>
      <c r="NX3">
        <v>445900</v>
      </c>
      <c r="NY3">
        <v>445900</v>
      </c>
      <c r="NZ3">
        <v>445900</v>
      </c>
      <c r="OA3">
        <v>445900</v>
      </c>
      <c r="OB3">
        <v>445900</v>
      </c>
      <c r="OC3">
        <v>445900</v>
      </c>
      <c r="OD3">
        <v>445900</v>
      </c>
      <c r="OE3">
        <v>445900</v>
      </c>
      <c r="OF3">
        <v>445900</v>
      </c>
      <c r="OG3">
        <v>445900</v>
      </c>
      <c r="OH3">
        <v>448200</v>
      </c>
      <c r="OI3">
        <v>448200</v>
      </c>
      <c r="OJ3">
        <v>451000</v>
      </c>
      <c r="OK3">
        <v>451000</v>
      </c>
      <c r="OL3">
        <v>451000</v>
      </c>
      <c r="OM3">
        <v>451000</v>
      </c>
      <c r="ON3">
        <v>451000</v>
      </c>
      <c r="OO3">
        <v>451000</v>
      </c>
      <c r="OP3">
        <v>451000</v>
      </c>
      <c r="OQ3">
        <v>453000</v>
      </c>
      <c r="OR3">
        <v>453000</v>
      </c>
      <c r="OS3">
        <v>453000</v>
      </c>
      <c r="OT3">
        <v>453000</v>
      </c>
      <c r="OU3">
        <v>453000</v>
      </c>
      <c r="OV3">
        <v>453000</v>
      </c>
      <c r="OW3">
        <v>453000</v>
      </c>
      <c r="OX3">
        <v>453000</v>
      </c>
      <c r="OY3">
        <v>460000</v>
      </c>
      <c r="OZ3">
        <v>460000</v>
      </c>
      <c r="PA3">
        <v>460000</v>
      </c>
      <c r="PB3">
        <v>460000</v>
      </c>
      <c r="PC3">
        <v>460000</v>
      </c>
      <c r="PD3">
        <v>460000</v>
      </c>
      <c r="PE3">
        <v>460000</v>
      </c>
      <c r="PF3">
        <v>460000</v>
      </c>
      <c r="PG3">
        <v>460000</v>
      </c>
      <c r="PH3">
        <v>460000</v>
      </c>
      <c r="PI3">
        <v>460000</v>
      </c>
      <c r="PJ3">
        <v>460000</v>
      </c>
      <c r="PK3">
        <v>460000</v>
      </c>
      <c r="PL3">
        <v>460000</v>
      </c>
      <c r="PM3">
        <v>460000</v>
      </c>
      <c r="PN3">
        <v>460000</v>
      </c>
      <c r="PO3">
        <v>460000</v>
      </c>
      <c r="PP3">
        <v>460000</v>
      </c>
      <c r="PQ3">
        <v>460000</v>
      </c>
      <c r="PR3">
        <v>460000</v>
      </c>
      <c r="PS3">
        <v>460000</v>
      </c>
      <c r="PT3">
        <v>460000</v>
      </c>
      <c r="PU3">
        <v>460000</v>
      </c>
      <c r="PV3">
        <v>460000</v>
      </c>
      <c r="PW3">
        <v>460000</v>
      </c>
      <c r="PX3">
        <v>460000</v>
      </c>
      <c r="PY3">
        <v>460000</v>
      </c>
      <c r="PZ3">
        <v>460000</v>
      </c>
      <c r="QA3">
        <v>460000</v>
      </c>
      <c r="QB3">
        <v>460000</v>
      </c>
      <c r="QC3">
        <v>460000</v>
      </c>
      <c r="QD3">
        <v>460000</v>
      </c>
      <c r="QE3">
        <v>460000</v>
      </c>
      <c r="QF3">
        <v>460000</v>
      </c>
      <c r="QG3">
        <v>460000</v>
      </c>
      <c r="QH3">
        <v>460000</v>
      </c>
      <c r="QI3">
        <v>460000</v>
      </c>
      <c r="QJ3">
        <v>460000</v>
      </c>
      <c r="QK3">
        <v>460000</v>
      </c>
      <c r="QL3">
        <v>460000</v>
      </c>
      <c r="QM3">
        <v>460000</v>
      </c>
      <c r="QN3">
        <v>460000</v>
      </c>
      <c r="QO3">
        <v>460000</v>
      </c>
      <c r="QP3">
        <v>460000</v>
      </c>
      <c r="QQ3">
        <v>460000</v>
      </c>
      <c r="QR3">
        <v>460000</v>
      </c>
      <c r="QS3" s="296"/>
      <c r="QT3" s="8"/>
      <c r="QV3" s="183" t="s">
        <v>264</v>
      </c>
      <c r="QW3" s="184" t="s">
        <v>270</v>
      </c>
      <c r="QX3" s="184">
        <v>0</v>
      </c>
      <c r="QY3" s="184">
        <v>0</v>
      </c>
      <c r="QZ3" s="184">
        <v>0</v>
      </c>
      <c r="RA3" s="184">
        <v>0</v>
      </c>
      <c r="RB3" s="184" t="s">
        <v>270</v>
      </c>
      <c r="RC3" s="184" t="s">
        <v>270</v>
      </c>
      <c r="RD3" s="184">
        <v>0</v>
      </c>
      <c r="RE3" s="184" t="s">
        <v>270</v>
      </c>
      <c r="RF3" s="184">
        <v>0</v>
      </c>
      <c r="RG3" s="184">
        <v>0</v>
      </c>
      <c r="RH3" s="184" t="s">
        <v>270</v>
      </c>
      <c r="RI3" s="185"/>
      <c r="RJ3" s="179"/>
      <c r="RL3" s="293" t="s">
        <v>88</v>
      </c>
      <c r="RM3" s="293" t="s">
        <v>87</v>
      </c>
      <c r="RN3" s="293" t="s">
        <v>85</v>
      </c>
      <c r="RO3" s="293" t="s">
        <v>89</v>
      </c>
      <c r="RQ3" s="5"/>
      <c r="RS3" s="170" t="s">
        <v>1272</v>
      </c>
      <c r="RT3" s="170" t="s">
        <v>1273</v>
      </c>
      <c r="RU3" s="170" t="s">
        <v>1277</v>
      </c>
      <c r="RV3" s="193" t="s">
        <v>1278</v>
      </c>
      <c r="RW3" s="195" t="s">
        <v>1279</v>
      </c>
      <c r="RX3" s="192"/>
      <c r="RY3" s="8"/>
      <c r="RZ3" s="33"/>
      <c r="SA3" s="46" t="s">
        <v>272</v>
      </c>
      <c r="SB3" s="46" t="s">
        <v>273</v>
      </c>
      <c r="SC3" s="46" t="s">
        <v>274</v>
      </c>
      <c r="SE3" s="5"/>
      <c r="SF3" s="118"/>
      <c r="SG3" s="64" t="s">
        <v>469</v>
      </c>
      <c r="SH3" s="64" t="s">
        <v>470</v>
      </c>
      <c r="SI3" s="64" t="s">
        <v>471</v>
      </c>
      <c r="SJ3" s="64" t="s">
        <v>472</v>
      </c>
      <c r="SK3" s="119" t="s">
        <v>473</v>
      </c>
      <c r="SL3" s="64" t="s">
        <v>474</v>
      </c>
      <c r="SM3" s="64" t="s">
        <v>1200</v>
      </c>
      <c r="SN3" s="64" t="s">
        <v>475</v>
      </c>
      <c r="SO3" s="64" t="s">
        <v>476</v>
      </c>
      <c r="SP3" s="64" t="s">
        <v>477</v>
      </c>
      <c r="SQ3" s="64" t="s">
        <v>478</v>
      </c>
      <c r="SR3" s="64" t="s">
        <v>297</v>
      </c>
      <c r="SS3" s="64" t="s">
        <v>298</v>
      </c>
      <c r="ST3" s="64" t="s">
        <v>299</v>
      </c>
      <c r="SU3" s="64" t="s">
        <v>300</v>
      </c>
      <c r="SV3" s="64" t="s">
        <v>301</v>
      </c>
      <c r="SW3" s="64" t="s">
        <v>302</v>
      </c>
      <c r="SX3" s="64" t="s">
        <v>1233</v>
      </c>
      <c r="SY3" s="64" t="s">
        <v>479</v>
      </c>
      <c r="SZ3" s="64" t="s">
        <v>480</v>
      </c>
      <c r="TA3" s="64" t="s">
        <v>479</v>
      </c>
      <c r="TB3" s="64" t="s">
        <v>480</v>
      </c>
      <c r="TC3" s="64" t="s">
        <v>1235</v>
      </c>
      <c r="TD3" s="64" t="s">
        <v>1236</v>
      </c>
      <c r="TE3" s="64"/>
      <c r="TF3" s="151"/>
      <c r="TG3" s="64"/>
      <c r="TH3" s="64" t="s">
        <v>1239</v>
      </c>
      <c r="TI3" s="152" t="s">
        <v>1240</v>
      </c>
      <c r="TJ3" s="206" t="s">
        <v>1310</v>
      </c>
      <c r="TK3" s="153"/>
      <c r="TL3" s="154"/>
      <c r="TM3" s="64" t="s">
        <v>1239</v>
      </c>
      <c r="TN3" s="152" t="s">
        <v>1240</v>
      </c>
      <c r="TO3" s="208" t="s">
        <v>1310</v>
      </c>
      <c r="TP3" s="153"/>
      <c r="TQ3" s="154"/>
      <c r="TR3" s="64" t="s">
        <v>1241</v>
      </c>
      <c r="TT3" s="5"/>
      <c r="TV3" s="170" t="s">
        <v>1280</v>
      </c>
      <c r="TW3" s="170" t="s">
        <v>1281</v>
      </c>
      <c r="TX3" s="170" t="s">
        <v>1304</v>
      </c>
      <c r="TY3" s="170" t="s">
        <v>1306</v>
      </c>
      <c r="TZ3" s="170" t="s">
        <v>1248</v>
      </c>
      <c r="UA3" s="170" t="s">
        <v>1249</v>
      </c>
      <c r="UB3" s="170" t="s">
        <v>1250</v>
      </c>
      <c r="UC3" s="170" t="s">
        <v>1252</v>
      </c>
      <c r="UD3" s="170" t="s">
        <v>1253</v>
      </c>
      <c r="UE3" s="170" t="s">
        <v>1254</v>
      </c>
      <c r="UF3" s="170" t="s">
        <v>1255</v>
      </c>
      <c r="UG3" s="170" t="s">
        <v>1251</v>
      </c>
      <c r="UH3" s="170" t="s">
        <v>1256</v>
      </c>
      <c r="UI3" s="170" t="s">
        <v>1257</v>
      </c>
      <c r="UJ3" s="171" t="s">
        <v>1258</v>
      </c>
      <c r="UK3" s="171" t="s">
        <v>1428</v>
      </c>
      <c r="UL3" s="170" t="s">
        <v>1429</v>
      </c>
      <c r="UM3" s="170" t="s">
        <v>1259</v>
      </c>
      <c r="UN3" s="170" t="s">
        <v>1425</v>
      </c>
      <c r="UO3" s="170"/>
      <c r="UP3" s="194"/>
      <c r="UQ3" s="170"/>
      <c r="UR3" s="170" t="s">
        <v>1326</v>
      </c>
      <c r="US3" s="170" t="s">
        <v>1332</v>
      </c>
      <c r="UT3" s="170" t="s">
        <v>1325</v>
      </c>
      <c r="UU3" s="170" t="s">
        <v>1333</v>
      </c>
      <c r="UV3" s="170" t="s">
        <v>1334</v>
      </c>
      <c r="UW3" s="170" t="s">
        <v>1424</v>
      </c>
      <c r="UX3" s="170" t="s">
        <v>1336</v>
      </c>
      <c r="UY3" s="170"/>
      <c r="UZ3" s="194"/>
      <c r="VA3" s="170"/>
      <c r="VB3" s="170" t="s">
        <v>1328</v>
      </c>
      <c r="VC3" s="170" t="s">
        <v>1329</v>
      </c>
      <c r="VD3" s="170" t="s">
        <v>1330</v>
      </c>
      <c r="VE3" s="170" t="s">
        <v>1331</v>
      </c>
      <c r="VG3" s="5"/>
      <c r="VI3" s="170" t="s">
        <v>1337</v>
      </c>
      <c r="VJ3" s="170" t="s">
        <v>1338</v>
      </c>
      <c r="VK3" s="170" t="s">
        <v>1339</v>
      </c>
      <c r="VL3" s="170" t="s">
        <v>1340</v>
      </c>
      <c r="VM3" s="170" t="s">
        <v>1335</v>
      </c>
      <c r="VN3" s="170"/>
      <c r="VO3" s="170"/>
    </row>
    <row r="4" spans="1:591" ht="66" thickBot="1">
      <c r="A4" s="6"/>
      <c r="B4" s="11" t="s">
        <v>29</v>
      </c>
      <c r="C4" s="12" t="s">
        <v>30</v>
      </c>
      <c r="D4" s="12" t="s">
        <v>30</v>
      </c>
      <c r="E4" s="12" t="s">
        <v>30</v>
      </c>
      <c r="F4" s="12" t="s">
        <v>30</v>
      </c>
      <c r="G4" s="12" t="s">
        <v>31</v>
      </c>
      <c r="H4" s="12" t="s">
        <v>31</v>
      </c>
      <c r="I4" s="12" t="s">
        <v>32</v>
      </c>
      <c r="J4" s="12" t="s">
        <v>33</v>
      </c>
      <c r="K4" s="12" t="s">
        <v>34</v>
      </c>
      <c r="L4" s="12" t="s">
        <v>35</v>
      </c>
      <c r="M4" s="12" t="s">
        <v>36</v>
      </c>
      <c r="N4" s="12" t="s">
        <v>37</v>
      </c>
      <c r="O4" s="12" t="s">
        <v>37</v>
      </c>
      <c r="P4" s="12" t="s">
        <v>37</v>
      </c>
      <c r="Q4" s="12" t="s">
        <v>38</v>
      </c>
      <c r="R4" s="12" t="s">
        <v>38</v>
      </c>
      <c r="S4" s="12" t="s">
        <v>38</v>
      </c>
      <c r="T4" s="12" t="s">
        <v>38</v>
      </c>
      <c r="U4" s="12" t="s">
        <v>38</v>
      </c>
      <c r="V4" s="12" t="s">
        <v>39</v>
      </c>
      <c r="W4" s="12" t="s">
        <v>40</v>
      </c>
      <c r="X4" s="12" t="s">
        <v>40</v>
      </c>
      <c r="Y4" s="12" t="s">
        <v>40</v>
      </c>
      <c r="Z4" s="12" t="s">
        <v>40</v>
      </c>
      <c r="AA4" s="12" t="s">
        <v>40</v>
      </c>
      <c r="AB4" s="12" t="s">
        <v>40</v>
      </c>
      <c r="AC4" s="12" t="s">
        <v>41</v>
      </c>
      <c r="AD4" s="12" t="s">
        <v>41</v>
      </c>
      <c r="AE4" s="12" t="s">
        <v>41</v>
      </c>
      <c r="AF4" s="12" t="s">
        <v>41</v>
      </c>
      <c r="AG4" s="12" t="s">
        <v>41</v>
      </c>
      <c r="AH4" s="12" t="s">
        <v>42</v>
      </c>
      <c r="AI4" s="12" t="s">
        <v>43</v>
      </c>
      <c r="AJ4" s="12" t="s">
        <v>44</v>
      </c>
      <c r="AK4" s="12" t="s">
        <v>44</v>
      </c>
      <c r="AL4" s="12" t="s">
        <v>44</v>
      </c>
      <c r="AM4" s="12" t="s">
        <v>44</v>
      </c>
      <c r="AN4" s="12" t="s">
        <v>44</v>
      </c>
      <c r="AO4" s="12" t="s">
        <v>44</v>
      </c>
      <c r="AP4" s="12" t="s">
        <v>44</v>
      </c>
      <c r="AQ4" s="12" t="s">
        <v>44</v>
      </c>
      <c r="AR4" s="12" t="s">
        <v>44</v>
      </c>
      <c r="AS4" s="12" t="s">
        <v>44</v>
      </c>
      <c r="AT4" s="12" t="s">
        <v>44</v>
      </c>
      <c r="AU4" s="12" t="s">
        <v>44</v>
      </c>
      <c r="AV4" s="12" t="s">
        <v>44</v>
      </c>
      <c r="AW4" s="12" t="s">
        <v>44</v>
      </c>
      <c r="AX4" s="12" t="s">
        <v>44</v>
      </c>
      <c r="AY4" s="12" t="s">
        <v>44</v>
      </c>
      <c r="AZ4" s="12" t="s">
        <v>44</v>
      </c>
      <c r="BA4" s="12" t="s">
        <v>44</v>
      </c>
      <c r="BB4" s="12" t="s">
        <v>44</v>
      </c>
      <c r="BC4" s="12" t="s">
        <v>44</v>
      </c>
      <c r="BD4" s="12" t="s">
        <v>44</v>
      </c>
      <c r="BE4" s="12" t="s">
        <v>44</v>
      </c>
      <c r="BF4" s="12" t="s">
        <v>44</v>
      </c>
      <c r="BG4" s="12" t="s">
        <v>44</v>
      </c>
      <c r="BH4" s="12" t="s">
        <v>44</v>
      </c>
      <c r="BI4" s="12" t="s">
        <v>44</v>
      </c>
      <c r="BJ4" s="12" t="s">
        <v>44</v>
      </c>
      <c r="BK4" s="12" t="s">
        <v>44</v>
      </c>
      <c r="BL4" s="12" t="s">
        <v>44</v>
      </c>
      <c r="BM4" s="12" t="s">
        <v>44</v>
      </c>
      <c r="BN4" s="12" t="s">
        <v>44</v>
      </c>
      <c r="BO4" s="12" t="s">
        <v>44</v>
      </c>
      <c r="BP4" s="12" t="s">
        <v>44</v>
      </c>
      <c r="BQ4" s="12" t="s">
        <v>44</v>
      </c>
      <c r="BR4" s="12" t="s">
        <v>44</v>
      </c>
      <c r="BS4" s="12" t="s">
        <v>44</v>
      </c>
      <c r="BT4" s="12" t="s">
        <v>44</v>
      </c>
      <c r="BU4" s="12" t="s">
        <v>44</v>
      </c>
      <c r="BV4" s="12" t="s">
        <v>45</v>
      </c>
      <c r="BW4" s="12" t="s">
        <v>46</v>
      </c>
      <c r="BX4" s="12" t="s">
        <v>47</v>
      </c>
      <c r="BY4" s="12" t="s">
        <v>47</v>
      </c>
      <c r="BZ4" s="12" t="s">
        <v>47</v>
      </c>
      <c r="CA4" s="12" t="s">
        <v>47</v>
      </c>
      <c r="CB4" s="12" t="s">
        <v>48</v>
      </c>
      <c r="CC4" s="12" t="s">
        <v>48</v>
      </c>
      <c r="CD4" s="12" t="s">
        <v>48</v>
      </c>
      <c r="CE4" s="12" t="s">
        <v>48</v>
      </c>
      <c r="CF4" s="12" t="s">
        <v>48</v>
      </c>
      <c r="CG4" s="12" t="s">
        <v>48</v>
      </c>
      <c r="CH4" s="12" t="s">
        <v>48</v>
      </c>
      <c r="CI4" s="12" t="s">
        <v>49</v>
      </c>
      <c r="CJ4" s="12" t="s">
        <v>50</v>
      </c>
      <c r="CK4" s="12" t="s">
        <v>50</v>
      </c>
      <c r="CL4" s="12" t="s">
        <v>51</v>
      </c>
      <c r="CM4" s="12" t="s">
        <v>51</v>
      </c>
      <c r="CN4" s="12" t="s">
        <v>51</v>
      </c>
      <c r="CO4" s="12" t="s">
        <v>51</v>
      </c>
      <c r="CP4" s="12" t="s">
        <v>51</v>
      </c>
      <c r="CQ4" s="12" t="s">
        <v>51</v>
      </c>
      <c r="CR4" s="12" t="s">
        <v>51</v>
      </c>
      <c r="CS4" s="12" t="s">
        <v>51</v>
      </c>
      <c r="CT4" s="12" t="s">
        <v>51</v>
      </c>
      <c r="CU4" s="12" t="s">
        <v>51</v>
      </c>
      <c r="CV4" s="12" t="s">
        <v>51</v>
      </c>
      <c r="CW4" s="12" t="s">
        <v>51</v>
      </c>
      <c r="CX4" s="12" t="s">
        <v>52</v>
      </c>
      <c r="CY4" s="12" t="s">
        <v>52</v>
      </c>
      <c r="CZ4" s="12" t="s">
        <v>52</v>
      </c>
      <c r="DA4" s="12" t="s">
        <v>52</v>
      </c>
      <c r="DB4" s="12" t="s">
        <v>52</v>
      </c>
      <c r="DC4" s="12" t="s">
        <v>52</v>
      </c>
      <c r="DD4" s="12" t="s">
        <v>52</v>
      </c>
      <c r="DE4" s="12" t="s">
        <v>52</v>
      </c>
      <c r="DF4" s="12" t="s">
        <v>53</v>
      </c>
      <c r="DG4" s="12" t="s">
        <v>53</v>
      </c>
      <c r="DH4" s="12" t="s">
        <v>53</v>
      </c>
      <c r="DI4" s="12" t="s">
        <v>53</v>
      </c>
      <c r="DJ4" s="12" t="s">
        <v>53</v>
      </c>
      <c r="DK4" s="12" t="s">
        <v>53</v>
      </c>
      <c r="DL4" s="12" t="s">
        <v>54</v>
      </c>
      <c r="DM4" s="12" t="s">
        <v>54</v>
      </c>
      <c r="DN4" s="12" t="s">
        <v>54</v>
      </c>
      <c r="DO4" s="12" t="s">
        <v>54</v>
      </c>
      <c r="DP4" s="12" t="s">
        <v>54</v>
      </c>
      <c r="DQ4" s="12" t="s">
        <v>54</v>
      </c>
      <c r="DR4" s="12" t="s">
        <v>54</v>
      </c>
      <c r="DS4" s="12" t="s">
        <v>54</v>
      </c>
      <c r="DT4" s="12" t="s">
        <v>54</v>
      </c>
      <c r="DU4" s="12" t="s">
        <v>55</v>
      </c>
      <c r="DV4" s="12" t="s">
        <v>55</v>
      </c>
      <c r="DW4" s="12" t="s">
        <v>55</v>
      </c>
      <c r="DX4" s="12" t="s">
        <v>55</v>
      </c>
      <c r="DY4" s="12" t="s">
        <v>55</v>
      </c>
      <c r="DZ4" s="12" t="s">
        <v>55</v>
      </c>
      <c r="EA4" s="12" t="s">
        <v>55</v>
      </c>
      <c r="EB4" s="12" t="s">
        <v>55</v>
      </c>
      <c r="EC4" s="12" t="s">
        <v>55</v>
      </c>
      <c r="ED4" s="12" t="s">
        <v>55</v>
      </c>
      <c r="EE4" s="12" t="s">
        <v>55</v>
      </c>
      <c r="EF4" s="12" t="s">
        <v>55</v>
      </c>
      <c r="EG4" s="12" t="s">
        <v>55</v>
      </c>
      <c r="EH4" s="12" t="s">
        <v>55</v>
      </c>
      <c r="EI4" s="12" t="s">
        <v>55</v>
      </c>
      <c r="EJ4" s="12" t="s">
        <v>55</v>
      </c>
      <c r="EK4" s="12" t="s">
        <v>55</v>
      </c>
      <c r="EL4" s="12" t="s">
        <v>55</v>
      </c>
      <c r="EM4" s="12" t="s">
        <v>55</v>
      </c>
      <c r="EN4" s="12" t="s">
        <v>55</v>
      </c>
      <c r="EO4" s="12" t="s">
        <v>55</v>
      </c>
      <c r="EP4" s="12" t="s">
        <v>55</v>
      </c>
      <c r="EQ4" s="12" t="s">
        <v>55</v>
      </c>
      <c r="ER4" s="12" t="s">
        <v>55</v>
      </c>
      <c r="ES4" s="12" t="s">
        <v>55</v>
      </c>
      <c r="ET4" s="12" t="s">
        <v>55</v>
      </c>
      <c r="EU4" s="12" t="s">
        <v>55</v>
      </c>
      <c r="EV4" s="12" t="s">
        <v>55</v>
      </c>
      <c r="EW4" s="12" t="s">
        <v>55</v>
      </c>
      <c r="EX4" s="12" t="s">
        <v>55</v>
      </c>
      <c r="EY4" s="12" t="s">
        <v>55</v>
      </c>
      <c r="EZ4" s="12" t="s">
        <v>55</v>
      </c>
      <c r="FA4" s="12" t="s">
        <v>55</v>
      </c>
      <c r="FB4" s="12" t="s">
        <v>55</v>
      </c>
      <c r="FC4" s="12" t="s">
        <v>56</v>
      </c>
      <c r="FD4" s="12" t="s">
        <v>56</v>
      </c>
      <c r="FE4" s="12" t="s">
        <v>56</v>
      </c>
      <c r="FF4" s="12" t="s">
        <v>56</v>
      </c>
      <c r="FG4" s="12" t="s">
        <v>56</v>
      </c>
      <c r="FH4" s="12" t="s">
        <v>56</v>
      </c>
      <c r="FI4" s="12" t="s">
        <v>56</v>
      </c>
      <c r="FJ4" s="12" t="s">
        <v>56</v>
      </c>
      <c r="FK4" s="12" t="s">
        <v>57</v>
      </c>
      <c r="FL4" s="12" t="s">
        <v>57</v>
      </c>
      <c r="FM4" s="12" t="s">
        <v>57</v>
      </c>
      <c r="FN4" s="12" t="s">
        <v>57</v>
      </c>
      <c r="FO4" s="12" t="s">
        <v>57</v>
      </c>
      <c r="FP4" s="12" t="s">
        <v>57</v>
      </c>
      <c r="FQ4" s="12" t="s">
        <v>57</v>
      </c>
      <c r="FR4" s="12" t="s">
        <v>57</v>
      </c>
      <c r="FS4" s="12" t="s">
        <v>57</v>
      </c>
      <c r="FT4" s="12" t="s">
        <v>57</v>
      </c>
      <c r="FU4" s="12" t="s">
        <v>57</v>
      </c>
      <c r="FV4" s="12" t="s">
        <v>57</v>
      </c>
      <c r="FW4" s="12" t="s">
        <v>57</v>
      </c>
      <c r="FX4" s="12" t="s">
        <v>57</v>
      </c>
      <c r="FY4" s="12" t="s">
        <v>57</v>
      </c>
      <c r="FZ4" s="12" t="s">
        <v>57</v>
      </c>
      <c r="GA4" s="12" t="s">
        <v>57</v>
      </c>
      <c r="GB4" s="12" t="s">
        <v>57</v>
      </c>
      <c r="GC4" s="12" t="s">
        <v>57</v>
      </c>
      <c r="GD4" s="12" t="s">
        <v>57</v>
      </c>
      <c r="GE4" s="12" t="s">
        <v>57</v>
      </c>
      <c r="GF4" s="12" t="s">
        <v>57</v>
      </c>
      <c r="GG4" s="12" t="s">
        <v>57</v>
      </c>
      <c r="GH4" s="12" t="s">
        <v>57</v>
      </c>
      <c r="GI4" s="12" t="s">
        <v>57</v>
      </c>
      <c r="GJ4" s="12" t="s">
        <v>57</v>
      </c>
      <c r="GK4" s="12" t="s">
        <v>57</v>
      </c>
      <c r="GL4" s="12" t="s">
        <v>57</v>
      </c>
      <c r="GM4" s="12" t="s">
        <v>57</v>
      </c>
      <c r="GN4" s="12" t="s">
        <v>57</v>
      </c>
      <c r="GO4" s="12" t="s">
        <v>57</v>
      </c>
      <c r="GP4" s="12" t="s">
        <v>57</v>
      </c>
      <c r="GQ4" s="12" t="s">
        <v>57</v>
      </c>
      <c r="GR4" s="12" t="s">
        <v>57</v>
      </c>
      <c r="GS4" s="12" t="s">
        <v>57</v>
      </c>
      <c r="GT4" s="12" t="s">
        <v>57</v>
      </c>
      <c r="GU4" s="12" t="s">
        <v>57</v>
      </c>
      <c r="GV4" s="12" t="s">
        <v>57</v>
      </c>
      <c r="GW4" s="12" t="s">
        <v>57</v>
      </c>
      <c r="GX4" s="12" t="s">
        <v>58</v>
      </c>
      <c r="GY4" s="12" t="s">
        <v>59</v>
      </c>
      <c r="GZ4" s="12" t="s">
        <v>59</v>
      </c>
      <c r="HA4" s="12" t="s">
        <v>59</v>
      </c>
      <c r="HB4" s="12" t="s">
        <v>59</v>
      </c>
      <c r="HC4" s="12" t="s">
        <v>59</v>
      </c>
      <c r="HD4" s="12" t="s">
        <v>60</v>
      </c>
      <c r="HE4" s="12" t="s">
        <v>60</v>
      </c>
      <c r="HF4" s="12" t="s">
        <v>60</v>
      </c>
      <c r="HG4" s="12" t="s">
        <v>61</v>
      </c>
      <c r="HH4" s="12" t="s">
        <v>62</v>
      </c>
      <c r="HI4" s="12" t="s">
        <v>63</v>
      </c>
      <c r="HJ4" s="12" t="s">
        <v>64</v>
      </c>
      <c r="HK4" s="12" t="s">
        <v>65</v>
      </c>
      <c r="HL4" s="12" t="s">
        <v>65</v>
      </c>
      <c r="HM4" s="12" t="s">
        <v>65</v>
      </c>
      <c r="HN4" s="12" t="s">
        <v>65</v>
      </c>
      <c r="HO4" s="12" t="s">
        <v>65</v>
      </c>
      <c r="HP4" s="12" t="s">
        <v>65</v>
      </c>
      <c r="HQ4" s="12" t="s">
        <v>65</v>
      </c>
      <c r="HR4" s="12" t="s">
        <v>65</v>
      </c>
      <c r="HS4" s="12" t="s">
        <v>65</v>
      </c>
      <c r="HT4" s="12" t="s">
        <v>65</v>
      </c>
      <c r="HU4" s="12" t="s">
        <v>65</v>
      </c>
      <c r="HV4" s="12" t="s">
        <v>65</v>
      </c>
      <c r="HW4" s="12" t="s">
        <v>65</v>
      </c>
      <c r="HX4" s="12" t="s">
        <v>65</v>
      </c>
      <c r="HY4" s="12" t="s">
        <v>65</v>
      </c>
      <c r="HZ4" s="12" t="s">
        <v>65</v>
      </c>
      <c r="IA4" s="12" t="s">
        <v>65</v>
      </c>
      <c r="IB4" s="12" t="s">
        <v>65</v>
      </c>
      <c r="IC4" s="12" t="s">
        <v>65</v>
      </c>
      <c r="ID4" s="12" t="s">
        <v>65</v>
      </c>
      <c r="IE4" s="12" t="s">
        <v>65</v>
      </c>
      <c r="IF4" s="12" t="s">
        <v>65</v>
      </c>
      <c r="IG4" s="12" t="s">
        <v>65</v>
      </c>
      <c r="IH4" s="12" t="s">
        <v>65</v>
      </c>
      <c r="II4" s="12" t="s">
        <v>65</v>
      </c>
      <c r="IJ4" s="12" t="s">
        <v>66</v>
      </c>
      <c r="IK4" s="12" t="s">
        <v>66</v>
      </c>
      <c r="IL4" s="12" t="s">
        <v>66</v>
      </c>
      <c r="IM4" s="12" t="s">
        <v>67</v>
      </c>
      <c r="IN4" s="12" t="s">
        <v>67</v>
      </c>
      <c r="IO4" s="12" t="s">
        <v>67</v>
      </c>
      <c r="IP4" s="12" t="s">
        <v>67</v>
      </c>
      <c r="IQ4" s="12" t="s">
        <v>67</v>
      </c>
      <c r="IR4" s="12" t="s">
        <v>67</v>
      </c>
      <c r="IS4" s="12" t="s">
        <v>67</v>
      </c>
      <c r="IT4" s="12" t="s">
        <v>67</v>
      </c>
      <c r="IU4" s="12" t="s">
        <v>67</v>
      </c>
      <c r="IV4" s="12" t="s">
        <v>68</v>
      </c>
      <c r="IW4" s="12" t="s">
        <v>68</v>
      </c>
      <c r="IX4" s="12" t="s">
        <v>68</v>
      </c>
      <c r="IY4" s="12" t="s">
        <v>68</v>
      </c>
      <c r="IZ4" s="12" t="s">
        <v>68</v>
      </c>
      <c r="JA4" s="12" t="s">
        <v>68</v>
      </c>
      <c r="JB4" s="12" t="s">
        <v>69</v>
      </c>
      <c r="JC4" s="12" t="s">
        <v>69</v>
      </c>
      <c r="JD4" s="12" t="s">
        <v>69</v>
      </c>
      <c r="JE4" s="12" t="s">
        <v>70</v>
      </c>
      <c r="JF4" s="12" t="s">
        <v>70</v>
      </c>
      <c r="JG4" s="12" t="s">
        <v>70</v>
      </c>
      <c r="JH4" s="12" t="s">
        <v>70</v>
      </c>
      <c r="JI4" s="12" t="s">
        <v>70</v>
      </c>
      <c r="JJ4" s="12" t="s">
        <v>70</v>
      </c>
      <c r="JK4" s="12" t="s">
        <v>70</v>
      </c>
      <c r="JL4" s="12" t="s">
        <v>70</v>
      </c>
      <c r="JM4" s="12" t="s">
        <v>70</v>
      </c>
      <c r="JN4" s="12" t="s">
        <v>70</v>
      </c>
      <c r="JO4" s="12" t="s">
        <v>70</v>
      </c>
      <c r="JP4" s="12" t="s">
        <v>70</v>
      </c>
      <c r="JQ4" s="12" t="s">
        <v>70</v>
      </c>
      <c r="JR4" s="12" t="s">
        <v>70</v>
      </c>
      <c r="JS4" s="12" t="s">
        <v>70</v>
      </c>
      <c r="JT4" s="12" t="s">
        <v>70</v>
      </c>
      <c r="JU4" s="12" t="s">
        <v>70</v>
      </c>
      <c r="JV4" s="12" t="s">
        <v>70</v>
      </c>
      <c r="JW4" s="12" t="s">
        <v>70</v>
      </c>
      <c r="JX4" s="12" t="s">
        <v>70</v>
      </c>
      <c r="JY4" s="12" t="s">
        <v>70</v>
      </c>
      <c r="JZ4" s="12" t="s">
        <v>70</v>
      </c>
      <c r="KA4" s="12" t="s">
        <v>70</v>
      </c>
      <c r="KB4" s="12" t="s">
        <v>70</v>
      </c>
      <c r="KC4" s="12" t="s">
        <v>70</v>
      </c>
      <c r="KD4" s="12" t="s">
        <v>70</v>
      </c>
      <c r="KE4" s="12" t="s">
        <v>70</v>
      </c>
      <c r="KF4" s="12" t="s">
        <v>70</v>
      </c>
      <c r="KG4" s="12" t="s">
        <v>70</v>
      </c>
      <c r="KH4" s="12" t="s">
        <v>70</v>
      </c>
      <c r="KI4" s="12" t="s">
        <v>71</v>
      </c>
      <c r="KJ4" s="12" t="s">
        <v>71</v>
      </c>
      <c r="KK4" s="12" t="s">
        <v>71</v>
      </c>
      <c r="KL4" s="12" t="s">
        <v>71</v>
      </c>
      <c r="KM4" s="12" t="s">
        <v>71</v>
      </c>
      <c r="KN4" s="12" t="s">
        <v>71</v>
      </c>
      <c r="KO4" s="12" t="s">
        <v>71</v>
      </c>
      <c r="KP4" s="12" t="s">
        <v>71</v>
      </c>
      <c r="KQ4" s="12" t="s">
        <v>71</v>
      </c>
      <c r="KR4" s="12" t="s">
        <v>71</v>
      </c>
      <c r="KS4" s="12" t="s">
        <v>71</v>
      </c>
      <c r="KT4" s="12" t="s">
        <v>72</v>
      </c>
      <c r="KU4" s="12" t="s">
        <v>72</v>
      </c>
      <c r="KV4" s="12" t="s">
        <v>72</v>
      </c>
      <c r="KW4" s="12" t="s">
        <v>72</v>
      </c>
      <c r="KX4" s="12" t="s">
        <v>72</v>
      </c>
      <c r="KY4" s="12" t="s">
        <v>72</v>
      </c>
      <c r="KZ4" s="12" t="s">
        <v>72</v>
      </c>
      <c r="LA4" s="12" t="s">
        <v>72</v>
      </c>
      <c r="LB4" s="12" t="s">
        <v>72</v>
      </c>
      <c r="LC4" s="12" t="s">
        <v>72</v>
      </c>
      <c r="LD4" s="12" t="s">
        <v>72</v>
      </c>
      <c r="LE4" s="12" t="s">
        <v>72</v>
      </c>
      <c r="LF4" s="12" t="s">
        <v>72</v>
      </c>
      <c r="LG4" s="12" t="s">
        <v>72</v>
      </c>
      <c r="LH4" s="12" t="s">
        <v>72</v>
      </c>
      <c r="LI4" s="12" t="s">
        <v>72</v>
      </c>
      <c r="LJ4" s="12" t="s">
        <v>72</v>
      </c>
      <c r="LK4" s="12" t="s">
        <v>72</v>
      </c>
      <c r="LL4" s="12" t="s">
        <v>72</v>
      </c>
      <c r="LM4" s="12" t="s">
        <v>72</v>
      </c>
      <c r="LN4" s="12" t="s">
        <v>72</v>
      </c>
      <c r="LO4" s="12" t="s">
        <v>73</v>
      </c>
      <c r="LP4" s="12" t="s">
        <v>73</v>
      </c>
      <c r="LQ4" s="12" t="s">
        <v>73</v>
      </c>
      <c r="LR4" s="12" t="s">
        <v>73</v>
      </c>
      <c r="LS4" s="12" t="s">
        <v>73</v>
      </c>
      <c r="LT4" s="12" t="s">
        <v>73</v>
      </c>
      <c r="LU4" s="12" t="s">
        <v>73</v>
      </c>
      <c r="LV4" s="12" t="s">
        <v>73</v>
      </c>
      <c r="LW4" s="12" t="s">
        <v>73</v>
      </c>
      <c r="LX4" s="12" t="s">
        <v>73</v>
      </c>
      <c r="LY4" s="12" t="s">
        <v>73</v>
      </c>
      <c r="LZ4" s="12" t="s">
        <v>74</v>
      </c>
      <c r="MA4" s="12" t="s">
        <v>74</v>
      </c>
      <c r="MB4" s="12" t="s">
        <v>74</v>
      </c>
      <c r="MC4" s="12" t="s">
        <v>74</v>
      </c>
      <c r="MD4" s="12" t="s">
        <v>74</v>
      </c>
      <c r="ME4" s="12" t="s">
        <v>74</v>
      </c>
      <c r="MF4" s="12" t="s">
        <v>75</v>
      </c>
      <c r="MG4" s="12" t="s">
        <v>75</v>
      </c>
      <c r="MH4" s="12" t="s">
        <v>75</v>
      </c>
      <c r="MI4" s="12" t="s">
        <v>75</v>
      </c>
      <c r="MJ4" s="12" t="s">
        <v>75</v>
      </c>
      <c r="MK4" s="12" t="s">
        <v>76</v>
      </c>
      <c r="ML4" s="12" t="s">
        <v>76</v>
      </c>
      <c r="MM4" s="12" t="s">
        <v>77</v>
      </c>
      <c r="MN4" s="12" t="s">
        <v>77</v>
      </c>
      <c r="MO4" s="12" t="s">
        <v>77</v>
      </c>
      <c r="MP4" s="12" t="s">
        <v>77</v>
      </c>
      <c r="MQ4" s="12" t="s">
        <v>77</v>
      </c>
      <c r="MR4" s="12" t="s">
        <v>78</v>
      </c>
      <c r="MS4" s="12" t="s">
        <v>78</v>
      </c>
      <c r="MT4" s="12" t="s">
        <v>78</v>
      </c>
      <c r="MU4" s="12" t="s">
        <v>78</v>
      </c>
      <c r="MV4" s="12" t="s">
        <v>78</v>
      </c>
      <c r="MW4" s="12" t="s">
        <v>78</v>
      </c>
      <c r="MX4" s="12" t="s">
        <v>79</v>
      </c>
      <c r="MY4" s="12" t="s">
        <v>79</v>
      </c>
      <c r="MZ4" s="12" t="s">
        <v>79</v>
      </c>
      <c r="NA4" s="12" t="s">
        <v>79</v>
      </c>
      <c r="NB4" s="12" t="s">
        <v>79</v>
      </c>
      <c r="NC4" s="12" t="s">
        <v>79</v>
      </c>
      <c r="ND4" s="12" t="s">
        <v>79</v>
      </c>
      <c r="NE4" s="12" t="s">
        <v>79</v>
      </c>
      <c r="NF4" s="12" t="s">
        <v>79</v>
      </c>
      <c r="NG4" s="12" t="s">
        <v>79</v>
      </c>
      <c r="NH4" s="12" t="s">
        <v>79</v>
      </c>
      <c r="NI4" s="12" t="s">
        <v>79</v>
      </c>
      <c r="NJ4" s="12" t="s">
        <v>79</v>
      </c>
      <c r="NK4" s="12" t="s">
        <v>79</v>
      </c>
      <c r="NL4" s="12" t="s">
        <v>79</v>
      </c>
      <c r="NM4" s="12" t="s">
        <v>79</v>
      </c>
      <c r="NN4" s="12" t="s">
        <v>79</v>
      </c>
      <c r="NO4" s="12" t="s">
        <v>79</v>
      </c>
      <c r="NP4" s="12" t="s">
        <v>79</v>
      </c>
      <c r="NQ4" s="12" t="s">
        <v>79</v>
      </c>
      <c r="NR4" s="12" t="s">
        <v>79</v>
      </c>
      <c r="NS4" s="12" t="s">
        <v>79</v>
      </c>
      <c r="NT4" s="12" t="s">
        <v>79</v>
      </c>
      <c r="NU4" s="12" t="s">
        <v>79</v>
      </c>
      <c r="NV4" s="12" t="s">
        <v>79</v>
      </c>
      <c r="NW4" s="12" t="s">
        <v>79</v>
      </c>
      <c r="NX4" s="12" t="s">
        <v>79</v>
      </c>
      <c r="NY4" s="12" t="s">
        <v>79</v>
      </c>
      <c r="NZ4" s="12" t="s">
        <v>79</v>
      </c>
      <c r="OA4" s="12" t="s">
        <v>79</v>
      </c>
      <c r="OB4" s="12" t="s">
        <v>79</v>
      </c>
      <c r="OC4" s="12" t="s">
        <v>79</v>
      </c>
      <c r="OD4" s="12" t="s">
        <v>79</v>
      </c>
      <c r="OE4" s="12" t="s">
        <v>79</v>
      </c>
      <c r="OF4" s="12" t="s">
        <v>79</v>
      </c>
      <c r="OG4" s="12" t="s">
        <v>79</v>
      </c>
      <c r="OH4" s="12" t="s">
        <v>80</v>
      </c>
      <c r="OI4" s="12" t="s">
        <v>80</v>
      </c>
      <c r="OJ4" s="12" t="s">
        <v>81</v>
      </c>
      <c r="OK4" s="12" t="s">
        <v>81</v>
      </c>
      <c r="OL4" s="12" t="s">
        <v>81</v>
      </c>
      <c r="OM4" s="12" t="s">
        <v>81</v>
      </c>
      <c r="ON4" s="12" t="s">
        <v>81</v>
      </c>
      <c r="OO4" s="12" t="s">
        <v>81</v>
      </c>
      <c r="OP4" s="12" t="s">
        <v>81</v>
      </c>
      <c r="OQ4" s="12" t="s">
        <v>82</v>
      </c>
      <c r="OR4" s="12" t="s">
        <v>82</v>
      </c>
      <c r="OS4" s="12" t="s">
        <v>82</v>
      </c>
      <c r="OT4" s="12" t="s">
        <v>82</v>
      </c>
      <c r="OU4" s="12" t="s">
        <v>82</v>
      </c>
      <c r="OV4" s="12" t="s">
        <v>82</v>
      </c>
      <c r="OW4" s="12" t="s">
        <v>82</v>
      </c>
      <c r="OX4" s="12" t="s">
        <v>82</v>
      </c>
      <c r="OY4" s="12" t="s">
        <v>83</v>
      </c>
      <c r="OZ4" s="12" t="s">
        <v>83</v>
      </c>
      <c r="PA4" s="12" t="s">
        <v>83</v>
      </c>
      <c r="PB4" s="12" t="s">
        <v>83</v>
      </c>
      <c r="PC4" s="12" t="s">
        <v>83</v>
      </c>
      <c r="PD4" s="12" t="s">
        <v>83</v>
      </c>
      <c r="PE4" s="12" t="s">
        <v>83</v>
      </c>
      <c r="PF4" s="12" t="s">
        <v>83</v>
      </c>
      <c r="PG4" s="12" t="s">
        <v>83</v>
      </c>
      <c r="PH4" s="12" t="s">
        <v>83</v>
      </c>
      <c r="PI4" s="12" t="s">
        <v>83</v>
      </c>
      <c r="PJ4" s="12" t="s">
        <v>83</v>
      </c>
      <c r="PK4" s="12" t="s">
        <v>83</v>
      </c>
      <c r="PL4" s="12" t="s">
        <v>83</v>
      </c>
      <c r="PM4" s="12" t="s">
        <v>83</v>
      </c>
      <c r="PN4" s="12" t="s">
        <v>83</v>
      </c>
      <c r="PO4" s="12" t="s">
        <v>83</v>
      </c>
      <c r="PP4" s="12" t="s">
        <v>83</v>
      </c>
      <c r="PQ4" s="12" t="s">
        <v>83</v>
      </c>
      <c r="PR4" s="12" t="s">
        <v>83</v>
      </c>
      <c r="PS4" s="12" t="s">
        <v>83</v>
      </c>
      <c r="PT4" s="12" t="s">
        <v>83</v>
      </c>
      <c r="PU4" s="12" t="s">
        <v>83</v>
      </c>
      <c r="PV4" s="12" t="s">
        <v>83</v>
      </c>
      <c r="PW4" s="12" t="s">
        <v>83</v>
      </c>
      <c r="PX4" s="12" t="s">
        <v>83</v>
      </c>
      <c r="PY4" s="12" t="s">
        <v>83</v>
      </c>
      <c r="PZ4" s="12" t="s">
        <v>83</v>
      </c>
      <c r="QA4" s="12" t="s">
        <v>83</v>
      </c>
      <c r="QB4" s="12" t="s">
        <v>83</v>
      </c>
      <c r="QC4" s="12" t="s">
        <v>83</v>
      </c>
      <c r="QD4" s="12" t="s">
        <v>83</v>
      </c>
      <c r="QE4" s="12" t="s">
        <v>83</v>
      </c>
      <c r="QF4" s="12" t="s">
        <v>83</v>
      </c>
      <c r="QG4" s="12" t="s">
        <v>83</v>
      </c>
      <c r="QH4" s="12" t="s">
        <v>83</v>
      </c>
      <c r="QI4" s="12" t="s">
        <v>83</v>
      </c>
      <c r="QJ4" s="12" t="s">
        <v>83</v>
      </c>
      <c r="QK4" s="12" t="s">
        <v>83</v>
      </c>
      <c r="QL4" s="12" t="s">
        <v>83</v>
      </c>
      <c r="QM4" s="12" t="s">
        <v>83</v>
      </c>
      <c r="QN4" s="12" t="s">
        <v>83</v>
      </c>
      <c r="QO4" s="12" t="s">
        <v>83</v>
      </c>
      <c r="QP4" s="12" t="s">
        <v>83</v>
      </c>
      <c r="QQ4" s="12" t="s">
        <v>83</v>
      </c>
      <c r="QR4" s="12" t="s">
        <v>83</v>
      </c>
      <c r="QS4" s="296"/>
      <c r="QT4" s="8"/>
      <c r="QV4" s="34" t="s">
        <v>265</v>
      </c>
      <c r="QW4" s="35">
        <v>1121547659</v>
      </c>
      <c r="QX4" s="35">
        <v>67928043</v>
      </c>
      <c r="QY4" s="35">
        <v>1593270</v>
      </c>
      <c r="QZ4" s="35">
        <v>1189467</v>
      </c>
      <c r="RA4" s="35">
        <v>1903478</v>
      </c>
      <c r="RB4" s="35">
        <v>143584125</v>
      </c>
      <c r="RC4" s="35">
        <v>67746875</v>
      </c>
      <c r="RD4" s="35">
        <v>1180972</v>
      </c>
      <c r="RE4" s="35">
        <v>12293975</v>
      </c>
      <c r="RF4" s="35">
        <v>11515853</v>
      </c>
      <c r="RG4" s="35">
        <v>6694626</v>
      </c>
      <c r="RH4" s="35">
        <v>32438978</v>
      </c>
      <c r="RI4" s="186"/>
      <c r="RJ4" s="180"/>
      <c r="RK4" s="191"/>
      <c r="RL4" s="35">
        <v>239615183</v>
      </c>
      <c r="RM4" s="35">
        <v>1469617321</v>
      </c>
      <c r="RN4" s="35">
        <v>558692263</v>
      </c>
      <c r="RO4" s="35">
        <v>318593568</v>
      </c>
      <c r="RP4" s="186"/>
      <c r="RQ4" s="180"/>
      <c r="RR4" s="191"/>
      <c r="RS4" s="299"/>
      <c r="RT4" s="314"/>
      <c r="RU4" s="299"/>
      <c r="RV4" s="35"/>
      <c r="RW4" s="35"/>
      <c r="RX4" s="158"/>
      <c r="RY4" s="8"/>
      <c r="RZ4" s="55" t="s">
        <v>266</v>
      </c>
      <c r="SA4" s="47">
        <v>1469617321</v>
      </c>
      <c r="SB4" s="47">
        <v>92005709</v>
      </c>
      <c r="SC4" s="56">
        <v>0.93739478455697922</v>
      </c>
      <c r="SD4" s="57"/>
      <c r="SE4" s="5"/>
      <c r="SF4" s="36" t="s">
        <v>266</v>
      </c>
      <c r="SG4" s="120">
        <v>280460.38</v>
      </c>
      <c r="SH4" s="120">
        <v>137421.58982447273</v>
      </c>
      <c r="SI4" s="121">
        <v>0.48998575065922939</v>
      </c>
      <c r="SJ4" s="120">
        <v>13615</v>
      </c>
      <c r="SK4" s="121">
        <v>4.8545181319372098E-2</v>
      </c>
      <c r="SL4" s="122">
        <v>29366</v>
      </c>
      <c r="SM4" s="141">
        <v>0.10470641165072941</v>
      </c>
      <c r="SN4" s="122">
        <v>20556.19999999999</v>
      </c>
      <c r="SO4" s="122">
        <v>5873.2000000000016</v>
      </c>
      <c r="SP4" s="122">
        <v>2055.62</v>
      </c>
      <c r="SQ4" s="122">
        <v>880.98000000000025</v>
      </c>
      <c r="SR4" s="122">
        <v>2879</v>
      </c>
      <c r="SS4" s="122">
        <v>10954.5</v>
      </c>
      <c r="ST4" s="122">
        <v>69568</v>
      </c>
      <c r="SU4" s="122">
        <v>67942</v>
      </c>
      <c r="SV4" s="122">
        <v>45556</v>
      </c>
      <c r="SW4" s="122">
        <v>86439.88</v>
      </c>
      <c r="SX4" s="122">
        <v>181738.86</v>
      </c>
      <c r="SY4" s="121"/>
      <c r="SZ4" s="123">
        <v>82073.148654684454</v>
      </c>
      <c r="TA4" s="121"/>
      <c r="TB4" s="120">
        <v>64218.823137143292</v>
      </c>
      <c r="TC4" s="120"/>
      <c r="TD4" s="120"/>
      <c r="TE4" s="155"/>
      <c r="TF4" s="156"/>
      <c r="TG4" s="157"/>
      <c r="TH4" s="120">
        <v>63644.650506517646</v>
      </c>
      <c r="TI4" s="120">
        <v>82647.321285310085</v>
      </c>
      <c r="TJ4" s="120">
        <v>82647.321285310085</v>
      </c>
      <c r="TK4" s="8"/>
      <c r="TL4" s="159"/>
      <c r="TM4" s="120">
        <v>7332.7828</v>
      </c>
      <c r="TN4" s="120">
        <v>17735.840000000004</v>
      </c>
      <c r="TO4" s="120">
        <v>17735.840000000004</v>
      </c>
      <c r="TP4" s="8"/>
      <c r="TQ4" s="20"/>
      <c r="TR4" s="353">
        <v>1000000</v>
      </c>
      <c r="TT4" s="5"/>
      <c r="TV4" s="120">
        <v>402764323.99349999</v>
      </c>
      <c r="TY4" s="199"/>
      <c r="UP4" s="5"/>
      <c r="UZ4" s="5"/>
      <c r="VG4" s="5"/>
    </row>
    <row r="5" spans="1:591" ht="43.5">
      <c r="A5" s="13"/>
      <c r="B5" s="14" t="s">
        <v>84</v>
      </c>
      <c r="C5" s="15" t="s">
        <v>85</v>
      </c>
      <c r="D5" s="15" t="s">
        <v>85</v>
      </c>
      <c r="E5" s="15" t="s">
        <v>85</v>
      </c>
      <c r="F5" s="15" t="s">
        <v>85</v>
      </c>
      <c r="G5" s="15" t="s">
        <v>85</v>
      </c>
      <c r="H5" s="15" t="s">
        <v>85</v>
      </c>
      <c r="I5" s="15" t="s">
        <v>85</v>
      </c>
      <c r="J5" s="15" t="s">
        <v>85</v>
      </c>
      <c r="K5" s="15" t="s">
        <v>85</v>
      </c>
      <c r="L5" s="15" t="s">
        <v>85</v>
      </c>
      <c r="M5" s="15" t="s">
        <v>85</v>
      </c>
      <c r="N5" s="15" t="s">
        <v>85</v>
      </c>
      <c r="O5" s="15" t="s">
        <v>85</v>
      </c>
      <c r="P5" s="15" t="s">
        <v>85</v>
      </c>
      <c r="Q5" s="15" t="s">
        <v>85</v>
      </c>
      <c r="R5" s="15" t="s">
        <v>85</v>
      </c>
      <c r="S5" s="15" t="s">
        <v>85</v>
      </c>
      <c r="T5" s="15" t="s">
        <v>85</v>
      </c>
      <c r="U5" s="15" t="s">
        <v>85</v>
      </c>
      <c r="V5" s="15" t="s">
        <v>85</v>
      </c>
      <c r="W5" s="15" t="s">
        <v>85</v>
      </c>
      <c r="X5" s="15" t="s">
        <v>85</v>
      </c>
      <c r="Y5" s="15" t="s">
        <v>85</v>
      </c>
      <c r="Z5" s="15" t="s">
        <v>85</v>
      </c>
      <c r="AA5" s="15" t="s">
        <v>85</v>
      </c>
      <c r="AB5" s="15" t="s">
        <v>85</v>
      </c>
      <c r="AC5" s="15" t="s">
        <v>85</v>
      </c>
      <c r="AD5" s="15" t="s">
        <v>85</v>
      </c>
      <c r="AE5" s="15" t="s">
        <v>85</v>
      </c>
      <c r="AF5" s="15" t="s">
        <v>85</v>
      </c>
      <c r="AG5" s="15" t="s">
        <v>85</v>
      </c>
      <c r="AH5" s="15" t="s">
        <v>85</v>
      </c>
      <c r="AI5" s="15" t="s">
        <v>85</v>
      </c>
      <c r="AJ5" s="15" t="s">
        <v>85</v>
      </c>
      <c r="AK5" s="15" t="s">
        <v>85</v>
      </c>
      <c r="AL5" s="15" t="s">
        <v>85</v>
      </c>
      <c r="AM5" s="15" t="s">
        <v>85</v>
      </c>
      <c r="AN5" s="15" t="s">
        <v>85</v>
      </c>
      <c r="AO5" s="15" t="s">
        <v>85</v>
      </c>
      <c r="AP5" s="15" t="s">
        <v>85</v>
      </c>
      <c r="AQ5" s="15" t="s">
        <v>85</v>
      </c>
      <c r="AR5" s="15" t="s">
        <v>85</v>
      </c>
      <c r="AS5" s="15" t="s">
        <v>85</v>
      </c>
      <c r="AT5" s="15" t="s">
        <v>85</v>
      </c>
      <c r="AU5" s="15" t="s">
        <v>85</v>
      </c>
      <c r="AV5" s="15" t="s">
        <v>85</v>
      </c>
      <c r="AW5" s="15" t="s">
        <v>85</v>
      </c>
      <c r="AX5" s="15" t="s">
        <v>85</v>
      </c>
      <c r="AY5" s="15" t="s">
        <v>85</v>
      </c>
      <c r="AZ5" s="15" t="s">
        <v>85</v>
      </c>
      <c r="BA5" s="15" t="s">
        <v>85</v>
      </c>
      <c r="BB5" s="15" t="s">
        <v>85</v>
      </c>
      <c r="BC5" s="15" t="s">
        <v>85</v>
      </c>
      <c r="BD5" s="15" t="s">
        <v>85</v>
      </c>
      <c r="BE5" s="15" t="s">
        <v>85</v>
      </c>
      <c r="BF5" s="15" t="s">
        <v>85</v>
      </c>
      <c r="BG5" s="15" t="s">
        <v>85</v>
      </c>
      <c r="BH5" s="15" t="s">
        <v>85</v>
      </c>
      <c r="BI5" s="15" t="s">
        <v>85</v>
      </c>
      <c r="BJ5" s="15" t="s">
        <v>85</v>
      </c>
      <c r="BK5" s="15" t="s">
        <v>85</v>
      </c>
      <c r="BL5" s="15" t="s">
        <v>85</v>
      </c>
      <c r="BM5" s="15" t="s">
        <v>85</v>
      </c>
      <c r="BN5" s="15" t="s">
        <v>85</v>
      </c>
      <c r="BO5" s="15" t="s">
        <v>85</v>
      </c>
      <c r="BP5" s="15" t="s">
        <v>85</v>
      </c>
      <c r="BQ5" s="15" t="s">
        <v>85</v>
      </c>
      <c r="BR5" s="15" t="s">
        <v>85</v>
      </c>
      <c r="BS5" s="15" t="s">
        <v>85</v>
      </c>
      <c r="BT5" s="15" t="s">
        <v>85</v>
      </c>
      <c r="BU5" s="15" t="s">
        <v>85</v>
      </c>
      <c r="BV5" s="15" t="s">
        <v>85</v>
      </c>
      <c r="BW5" s="15" t="s">
        <v>85</v>
      </c>
      <c r="BX5" s="15" t="s">
        <v>85</v>
      </c>
      <c r="BY5" s="15" t="s">
        <v>85</v>
      </c>
      <c r="BZ5" s="15" t="s">
        <v>85</v>
      </c>
      <c r="CA5" s="15" t="s">
        <v>85</v>
      </c>
      <c r="CB5" s="15" t="s">
        <v>85</v>
      </c>
      <c r="CC5" s="15" t="s">
        <v>85</v>
      </c>
      <c r="CD5" s="15" t="s">
        <v>85</v>
      </c>
      <c r="CE5" s="15" t="s">
        <v>85</v>
      </c>
      <c r="CF5" s="15" t="s">
        <v>85</v>
      </c>
      <c r="CG5" s="15" t="s">
        <v>85</v>
      </c>
      <c r="CH5" s="15" t="s">
        <v>85</v>
      </c>
      <c r="CI5" s="15" t="s">
        <v>85</v>
      </c>
      <c r="CJ5" s="15" t="s">
        <v>85</v>
      </c>
      <c r="CK5" s="15" t="s">
        <v>85</v>
      </c>
      <c r="CL5" s="15" t="s">
        <v>85</v>
      </c>
      <c r="CM5" s="15" t="s">
        <v>85</v>
      </c>
      <c r="CN5" s="15" t="s">
        <v>85</v>
      </c>
      <c r="CO5" s="15" t="s">
        <v>85</v>
      </c>
      <c r="CP5" s="15" t="s">
        <v>85</v>
      </c>
      <c r="CQ5" s="15" t="s">
        <v>85</v>
      </c>
      <c r="CR5" s="15" t="s">
        <v>85</v>
      </c>
      <c r="CS5" s="15" t="s">
        <v>85</v>
      </c>
      <c r="CT5" s="15" t="s">
        <v>85</v>
      </c>
      <c r="CU5" s="15" t="s">
        <v>85</v>
      </c>
      <c r="CV5" s="15" t="s">
        <v>85</v>
      </c>
      <c r="CW5" s="15" t="s">
        <v>85</v>
      </c>
      <c r="CX5" s="15" t="s">
        <v>85</v>
      </c>
      <c r="CY5" s="15" t="s">
        <v>85</v>
      </c>
      <c r="CZ5" s="15" t="s">
        <v>85</v>
      </c>
      <c r="DA5" s="15" t="s">
        <v>85</v>
      </c>
      <c r="DB5" s="15" t="s">
        <v>85</v>
      </c>
      <c r="DC5" s="15" t="s">
        <v>85</v>
      </c>
      <c r="DD5" s="15" t="s">
        <v>85</v>
      </c>
      <c r="DE5" s="15" t="s">
        <v>85</v>
      </c>
      <c r="DF5" s="15" t="s">
        <v>85</v>
      </c>
      <c r="DG5" s="15" t="s">
        <v>85</v>
      </c>
      <c r="DH5" s="15" t="s">
        <v>85</v>
      </c>
      <c r="DI5" s="15" t="s">
        <v>85</v>
      </c>
      <c r="DJ5" s="15" t="s">
        <v>85</v>
      </c>
      <c r="DK5" s="15" t="s">
        <v>85</v>
      </c>
      <c r="DL5" s="15" t="s">
        <v>85</v>
      </c>
      <c r="DM5" s="15" t="s">
        <v>85</v>
      </c>
      <c r="DN5" s="15" t="s">
        <v>85</v>
      </c>
      <c r="DO5" s="15" t="s">
        <v>85</v>
      </c>
      <c r="DP5" s="15" t="s">
        <v>85</v>
      </c>
      <c r="DQ5" s="15" t="s">
        <v>85</v>
      </c>
      <c r="DR5" s="15" t="s">
        <v>85</v>
      </c>
      <c r="DS5" s="15" t="s">
        <v>85</v>
      </c>
      <c r="DT5" s="15" t="s">
        <v>85</v>
      </c>
      <c r="DU5" s="15" t="s">
        <v>85</v>
      </c>
      <c r="DV5" s="15" t="s">
        <v>85</v>
      </c>
      <c r="DW5" s="15" t="s">
        <v>85</v>
      </c>
      <c r="DX5" s="15" t="s">
        <v>85</v>
      </c>
      <c r="DY5" s="15" t="s">
        <v>85</v>
      </c>
      <c r="DZ5" s="15" t="s">
        <v>85</v>
      </c>
      <c r="EA5" s="15" t="s">
        <v>85</v>
      </c>
      <c r="EB5" s="15" t="s">
        <v>85</v>
      </c>
      <c r="EC5" s="15" t="s">
        <v>85</v>
      </c>
      <c r="ED5" s="15" t="s">
        <v>85</v>
      </c>
      <c r="EE5" s="15" t="s">
        <v>85</v>
      </c>
      <c r="EF5" s="15" t="s">
        <v>85</v>
      </c>
      <c r="EG5" s="15" t="s">
        <v>85</v>
      </c>
      <c r="EH5" s="15" t="s">
        <v>85</v>
      </c>
      <c r="EI5" s="15" t="s">
        <v>85</v>
      </c>
      <c r="EJ5" s="15" t="s">
        <v>85</v>
      </c>
      <c r="EK5" s="15" t="s">
        <v>85</v>
      </c>
      <c r="EL5" s="15" t="s">
        <v>85</v>
      </c>
      <c r="EM5" s="15" t="s">
        <v>85</v>
      </c>
      <c r="EN5" s="15" t="s">
        <v>85</v>
      </c>
      <c r="EO5" s="15" t="s">
        <v>85</v>
      </c>
      <c r="EP5" s="15" t="s">
        <v>85</v>
      </c>
      <c r="EQ5" s="15" t="s">
        <v>85</v>
      </c>
      <c r="ER5" s="15" t="s">
        <v>85</v>
      </c>
      <c r="ES5" s="15" t="s">
        <v>85</v>
      </c>
      <c r="ET5" s="15" t="s">
        <v>85</v>
      </c>
      <c r="EU5" s="15" t="s">
        <v>85</v>
      </c>
      <c r="EV5" s="15" t="s">
        <v>85</v>
      </c>
      <c r="EW5" s="15" t="s">
        <v>85</v>
      </c>
      <c r="EX5" s="15" t="s">
        <v>85</v>
      </c>
      <c r="EY5" s="15" t="s">
        <v>85</v>
      </c>
      <c r="EZ5" s="15" t="s">
        <v>85</v>
      </c>
      <c r="FA5" s="15" t="s">
        <v>85</v>
      </c>
      <c r="FB5" s="15" t="s">
        <v>85</v>
      </c>
      <c r="FC5" s="15" t="s">
        <v>85</v>
      </c>
      <c r="FD5" s="15" t="s">
        <v>85</v>
      </c>
      <c r="FE5" s="15" t="s">
        <v>85</v>
      </c>
      <c r="FF5" s="15" t="s">
        <v>85</v>
      </c>
      <c r="FG5" s="15" t="s">
        <v>85</v>
      </c>
      <c r="FH5" s="15" t="s">
        <v>85</v>
      </c>
      <c r="FI5" s="15" t="s">
        <v>85</v>
      </c>
      <c r="FJ5" s="15" t="s">
        <v>85</v>
      </c>
      <c r="FK5" s="15" t="s">
        <v>85</v>
      </c>
      <c r="FL5" s="15" t="s">
        <v>85</v>
      </c>
      <c r="FM5" s="15" t="s">
        <v>85</v>
      </c>
      <c r="FN5" s="15" t="s">
        <v>85</v>
      </c>
      <c r="FO5" s="15" t="s">
        <v>85</v>
      </c>
      <c r="FP5" s="15" t="s">
        <v>85</v>
      </c>
      <c r="FQ5" s="15" t="s">
        <v>85</v>
      </c>
      <c r="FR5" s="15" t="s">
        <v>85</v>
      </c>
      <c r="FS5" s="15" t="s">
        <v>85</v>
      </c>
      <c r="FT5" s="15" t="s">
        <v>85</v>
      </c>
      <c r="FU5" s="15" t="s">
        <v>85</v>
      </c>
      <c r="FV5" s="15" t="s">
        <v>85</v>
      </c>
      <c r="FW5" s="15" t="s">
        <v>85</v>
      </c>
      <c r="FX5" s="15" t="s">
        <v>85</v>
      </c>
      <c r="FY5" s="15" t="s">
        <v>85</v>
      </c>
      <c r="FZ5" s="15" t="s">
        <v>85</v>
      </c>
      <c r="GA5" s="15" t="s">
        <v>85</v>
      </c>
      <c r="GB5" s="15" t="s">
        <v>85</v>
      </c>
      <c r="GC5" s="15" t="s">
        <v>85</v>
      </c>
      <c r="GD5" s="15" t="s">
        <v>85</v>
      </c>
      <c r="GE5" s="15" t="s">
        <v>85</v>
      </c>
      <c r="GF5" s="15" t="s">
        <v>85</v>
      </c>
      <c r="GG5" s="15" t="s">
        <v>85</v>
      </c>
      <c r="GH5" s="15" t="s">
        <v>85</v>
      </c>
      <c r="GI5" s="15" t="s">
        <v>85</v>
      </c>
      <c r="GJ5" s="15" t="s">
        <v>85</v>
      </c>
      <c r="GK5" s="15" t="s">
        <v>85</v>
      </c>
      <c r="GL5" s="15" t="s">
        <v>85</v>
      </c>
      <c r="GM5" s="15" t="s">
        <v>85</v>
      </c>
      <c r="GN5" s="15" t="s">
        <v>85</v>
      </c>
      <c r="GO5" s="15" t="s">
        <v>85</v>
      </c>
      <c r="GP5" s="15" t="s">
        <v>85</v>
      </c>
      <c r="GQ5" s="15" t="s">
        <v>85</v>
      </c>
      <c r="GR5" s="15" t="s">
        <v>85</v>
      </c>
      <c r="GS5" s="15" t="s">
        <v>85</v>
      </c>
      <c r="GT5" s="15" t="s">
        <v>85</v>
      </c>
      <c r="GU5" s="15" t="s">
        <v>85</v>
      </c>
      <c r="GV5" s="15" t="s">
        <v>85</v>
      </c>
      <c r="GW5" s="15" t="s">
        <v>85</v>
      </c>
      <c r="GX5" s="15" t="s">
        <v>86</v>
      </c>
      <c r="GY5" s="15" t="s">
        <v>87</v>
      </c>
      <c r="GZ5" s="15" t="s">
        <v>87</v>
      </c>
      <c r="HA5" s="15" t="s">
        <v>87</v>
      </c>
      <c r="HB5" s="15" t="s">
        <v>87</v>
      </c>
      <c r="HC5" s="15" t="s">
        <v>87</v>
      </c>
      <c r="HD5" s="15" t="s">
        <v>87</v>
      </c>
      <c r="HE5" s="15" t="s">
        <v>87</v>
      </c>
      <c r="HF5" s="15" t="s">
        <v>87</v>
      </c>
      <c r="HG5" s="15" t="s">
        <v>87</v>
      </c>
      <c r="HH5" s="15" t="s">
        <v>87</v>
      </c>
      <c r="HI5" s="15" t="s">
        <v>87</v>
      </c>
      <c r="HJ5" s="15" t="s">
        <v>87</v>
      </c>
      <c r="HK5" s="15" t="s">
        <v>87</v>
      </c>
      <c r="HL5" s="15" t="s">
        <v>87</v>
      </c>
      <c r="HM5" s="15" t="s">
        <v>87</v>
      </c>
      <c r="HN5" s="15" t="s">
        <v>87</v>
      </c>
      <c r="HO5" s="15" t="s">
        <v>87</v>
      </c>
      <c r="HP5" s="15" t="s">
        <v>87</v>
      </c>
      <c r="HQ5" s="15" t="s">
        <v>87</v>
      </c>
      <c r="HR5" s="15" t="s">
        <v>87</v>
      </c>
      <c r="HS5" s="15" t="s">
        <v>87</v>
      </c>
      <c r="HT5" s="15" t="s">
        <v>87</v>
      </c>
      <c r="HU5" s="15" t="s">
        <v>87</v>
      </c>
      <c r="HV5" s="15" t="s">
        <v>87</v>
      </c>
      <c r="HW5" s="15" t="s">
        <v>87</v>
      </c>
      <c r="HX5" s="15" t="s">
        <v>87</v>
      </c>
      <c r="HY5" s="15" t="s">
        <v>87</v>
      </c>
      <c r="HZ5" s="15" t="s">
        <v>87</v>
      </c>
      <c r="IA5" s="15" t="s">
        <v>87</v>
      </c>
      <c r="IB5" s="15" t="s">
        <v>87</v>
      </c>
      <c r="IC5" s="15" t="s">
        <v>87</v>
      </c>
      <c r="ID5" s="15" t="s">
        <v>87</v>
      </c>
      <c r="IE5" s="15" t="s">
        <v>87</v>
      </c>
      <c r="IF5" s="15" t="s">
        <v>87</v>
      </c>
      <c r="IG5" s="15" t="s">
        <v>87</v>
      </c>
      <c r="IH5" s="15" t="s">
        <v>87</v>
      </c>
      <c r="II5" s="15" t="s">
        <v>87</v>
      </c>
      <c r="IJ5" s="15" t="s">
        <v>87</v>
      </c>
      <c r="IK5" s="15" t="s">
        <v>87</v>
      </c>
      <c r="IL5" s="15" t="s">
        <v>87</v>
      </c>
      <c r="IM5" s="15" t="s">
        <v>87</v>
      </c>
      <c r="IN5" s="15" t="s">
        <v>87</v>
      </c>
      <c r="IO5" s="15" t="s">
        <v>87</v>
      </c>
      <c r="IP5" s="15" t="s">
        <v>87</v>
      </c>
      <c r="IQ5" s="15" t="s">
        <v>87</v>
      </c>
      <c r="IR5" s="15" t="s">
        <v>87</v>
      </c>
      <c r="IS5" s="15" t="s">
        <v>87</v>
      </c>
      <c r="IT5" s="15" t="s">
        <v>87</v>
      </c>
      <c r="IU5" s="15" t="s">
        <v>87</v>
      </c>
      <c r="IV5" s="15" t="s">
        <v>87</v>
      </c>
      <c r="IW5" s="15" t="s">
        <v>87</v>
      </c>
      <c r="IX5" s="15" t="s">
        <v>87</v>
      </c>
      <c r="IY5" s="15" t="s">
        <v>87</v>
      </c>
      <c r="IZ5" s="15" t="s">
        <v>87</v>
      </c>
      <c r="JA5" s="15" t="s">
        <v>87</v>
      </c>
      <c r="JB5" s="15" t="s">
        <v>87</v>
      </c>
      <c r="JC5" s="15" t="s">
        <v>87</v>
      </c>
      <c r="JD5" s="15" t="s">
        <v>87</v>
      </c>
      <c r="JE5" s="15" t="s">
        <v>87</v>
      </c>
      <c r="JF5" s="15" t="s">
        <v>87</v>
      </c>
      <c r="JG5" s="15" t="s">
        <v>87</v>
      </c>
      <c r="JH5" s="15" t="s">
        <v>87</v>
      </c>
      <c r="JI5" s="15" t="s">
        <v>87</v>
      </c>
      <c r="JJ5" s="15" t="s">
        <v>87</v>
      </c>
      <c r="JK5" s="15" t="s">
        <v>87</v>
      </c>
      <c r="JL5" s="15" t="s">
        <v>87</v>
      </c>
      <c r="JM5" s="15" t="s">
        <v>87</v>
      </c>
      <c r="JN5" s="15" t="s">
        <v>87</v>
      </c>
      <c r="JO5" s="15" t="s">
        <v>87</v>
      </c>
      <c r="JP5" s="15" t="s">
        <v>87</v>
      </c>
      <c r="JQ5" s="15" t="s">
        <v>87</v>
      </c>
      <c r="JR5" s="15" t="s">
        <v>87</v>
      </c>
      <c r="JS5" s="15" t="s">
        <v>87</v>
      </c>
      <c r="JT5" s="15" t="s">
        <v>87</v>
      </c>
      <c r="JU5" s="15" t="s">
        <v>87</v>
      </c>
      <c r="JV5" s="15" t="s">
        <v>87</v>
      </c>
      <c r="JW5" s="15" t="s">
        <v>87</v>
      </c>
      <c r="JX5" s="15" t="s">
        <v>87</v>
      </c>
      <c r="JY5" s="15" t="s">
        <v>87</v>
      </c>
      <c r="JZ5" s="15" t="s">
        <v>87</v>
      </c>
      <c r="KA5" s="15" t="s">
        <v>87</v>
      </c>
      <c r="KB5" s="15" t="s">
        <v>87</v>
      </c>
      <c r="KC5" s="15" t="s">
        <v>87</v>
      </c>
      <c r="KD5" s="15" t="s">
        <v>87</v>
      </c>
      <c r="KE5" s="15" t="s">
        <v>87</v>
      </c>
      <c r="KF5" s="15" t="s">
        <v>87</v>
      </c>
      <c r="KG5" s="15" t="s">
        <v>87</v>
      </c>
      <c r="KH5" s="15" t="s">
        <v>87</v>
      </c>
      <c r="KI5" s="15" t="s">
        <v>88</v>
      </c>
      <c r="KJ5" s="15" t="s">
        <v>88</v>
      </c>
      <c r="KK5" s="15" t="s">
        <v>88</v>
      </c>
      <c r="KL5" s="15" t="s">
        <v>88</v>
      </c>
      <c r="KM5" s="15" t="s">
        <v>88</v>
      </c>
      <c r="KN5" s="15" t="s">
        <v>88</v>
      </c>
      <c r="KO5" s="15" t="s">
        <v>88</v>
      </c>
      <c r="KP5" s="15" t="s">
        <v>88</v>
      </c>
      <c r="KQ5" s="15" t="s">
        <v>88</v>
      </c>
      <c r="KR5" s="15" t="s">
        <v>88</v>
      </c>
      <c r="KS5" s="15" t="s">
        <v>88</v>
      </c>
      <c r="KT5" s="15" t="s">
        <v>88</v>
      </c>
      <c r="KU5" s="15" t="s">
        <v>88</v>
      </c>
      <c r="KV5" s="15" t="s">
        <v>88</v>
      </c>
      <c r="KW5" s="15" t="s">
        <v>88</v>
      </c>
      <c r="KX5" s="15" t="s">
        <v>88</v>
      </c>
      <c r="KY5" s="15" t="s">
        <v>88</v>
      </c>
      <c r="KZ5" s="15" t="s">
        <v>88</v>
      </c>
      <c r="LA5" s="15" t="s">
        <v>88</v>
      </c>
      <c r="LB5" s="15" t="s">
        <v>88</v>
      </c>
      <c r="LC5" s="15" t="s">
        <v>88</v>
      </c>
      <c r="LD5" s="15" t="s">
        <v>88</v>
      </c>
      <c r="LE5" s="15" t="s">
        <v>88</v>
      </c>
      <c r="LF5" s="15" t="s">
        <v>88</v>
      </c>
      <c r="LG5" s="15" t="s">
        <v>88</v>
      </c>
      <c r="LH5" s="15" t="s">
        <v>88</v>
      </c>
      <c r="LI5" s="15" t="s">
        <v>88</v>
      </c>
      <c r="LJ5" s="15" t="s">
        <v>88</v>
      </c>
      <c r="LK5" s="15" t="s">
        <v>88</v>
      </c>
      <c r="LL5" s="15" t="s">
        <v>88</v>
      </c>
      <c r="LM5" s="15" t="s">
        <v>88</v>
      </c>
      <c r="LN5" s="15" t="s">
        <v>88</v>
      </c>
      <c r="LO5" s="15" t="s">
        <v>88</v>
      </c>
      <c r="LP5" s="15" t="s">
        <v>88</v>
      </c>
      <c r="LQ5" s="15" t="s">
        <v>88</v>
      </c>
      <c r="LR5" s="15" t="s">
        <v>88</v>
      </c>
      <c r="LS5" s="15" t="s">
        <v>88</v>
      </c>
      <c r="LT5" s="15" t="s">
        <v>88</v>
      </c>
      <c r="LU5" s="15" t="s">
        <v>88</v>
      </c>
      <c r="LV5" s="15" t="s">
        <v>88</v>
      </c>
      <c r="LW5" s="15" t="s">
        <v>88</v>
      </c>
      <c r="LX5" s="15" t="s">
        <v>88</v>
      </c>
      <c r="LY5" s="15" t="s">
        <v>88</v>
      </c>
      <c r="LZ5" s="15" t="s">
        <v>88</v>
      </c>
      <c r="MA5" s="15" t="s">
        <v>88</v>
      </c>
      <c r="MB5" s="15" t="s">
        <v>88</v>
      </c>
      <c r="MC5" s="15" t="s">
        <v>88</v>
      </c>
      <c r="MD5" s="15" t="s">
        <v>88</v>
      </c>
      <c r="ME5" s="15" t="s">
        <v>88</v>
      </c>
      <c r="MF5" s="15" t="s">
        <v>88</v>
      </c>
      <c r="MG5" s="15" t="s">
        <v>88</v>
      </c>
      <c r="MH5" s="15" t="s">
        <v>88</v>
      </c>
      <c r="MI5" s="15" t="s">
        <v>88</v>
      </c>
      <c r="MJ5" s="15" t="s">
        <v>88</v>
      </c>
      <c r="MK5" s="15" t="s">
        <v>88</v>
      </c>
      <c r="ML5" s="15" t="s">
        <v>88</v>
      </c>
      <c r="MM5" s="15" t="s">
        <v>88</v>
      </c>
      <c r="MN5" s="15" t="s">
        <v>88</v>
      </c>
      <c r="MO5" s="15" t="s">
        <v>88</v>
      </c>
      <c r="MP5" s="15" t="s">
        <v>88</v>
      </c>
      <c r="MQ5" s="15" t="s">
        <v>88</v>
      </c>
      <c r="MR5" s="15" t="s">
        <v>88</v>
      </c>
      <c r="MS5" s="15" t="s">
        <v>88</v>
      </c>
      <c r="MT5" s="15" t="s">
        <v>88</v>
      </c>
      <c r="MU5" s="15" t="s">
        <v>88</v>
      </c>
      <c r="MV5" s="15" t="s">
        <v>88</v>
      </c>
      <c r="MW5" s="15" t="s">
        <v>88</v>
      </c>
      <c r="MX5" s="15" t="s">
        <v>88</v>
      </c>
      <c r="MY5" s="15" t="s">
        <v>88</v>
      </c>
      <c r="MZ5" s="15" t="s">
        <v>88</v>
      </c>
      <c r="NA5" s="15" t="s">
        <v>88</v>
      </c>
      <c r="NB5" s="15" t="s">
        <v>88</v>
      </c>
      <c r="NC5" s="15" t="s">
        <v>88</v>
      </c>
      <c r="ND5" s="15" t="s">
        <v>88</v>
      </c>
      <c r="NE5" s="15" t="s">
        <v>88</v>
      </c>
      <c r="NF5" s="15" t="s">
        <v>88</v>
      </c>
      <c r="NG5" s="15" t="s">
        <v>88</v>
      </c>
      <c r="NH5" s="15" t="s">
        <v>88</v>
      </c>
      <c r="NI5" s="15" t="s">
        <v>88</v>
      </c>
      <c r="NJ5" s="15" t="s">
        <v>88</v>
      </c>
      <c r="NK5" s="15" t="s">
        <v>88</v>
      </c>
      <c r="NL5" s="15" t="s">
        <v>88</v>
      </c>
      <c r="NM5" s="15" t="s">
        <v>88</v>
      </c>
      <c r="NN5" s="15" t="s">
        <v>88</v>
      </c>
      <c r="NO5" s="15" t="s">
        <v>88</v>
      </c>
      <c r="NP5" s="15" t="s">
        <v>88</v>
      </c>
      <c r="NQ5" s="15" t="s">
        <v>88</v>
      </c>
      <c r="NR5" s="15" t="s">
        <v>88</v>
      </c>
      <c r="NS5" s="15" t="s">
        <v>88</v>
      </c>
      <c r="NT5" s="15" t="s">
        <v>88</v>
      </c>
      <c r="NU5" s="15" t="s">
        <v>88</v>
      </c>
      <c r="NV5" s="15" t="s">
        <v>88</v>
      </c>
      <c r="NW5" s="15" t="s">
        <v>88</v>
      </c>
      <c r="NX5" s="15" t="s">
        <v>88</v>
      </c>
      <c r="NY5" s="15" t="s">
        <v>88</v>
      </c>
      <c r="NZ5" s="15" t="s">
        <v>88</v>
      </c>
      <c r="OA5" s="15" t="s">
        <v>88</v>
      </c>
      <c r="OB5" s="15" t="s">
        <v>88</v>
      </c>
      <c r="OC5" s="15" t="s">
        <v>88</v>
      </c>
      <c r="OD5" s="15" t="s">
        <v>88</v>
      </c>
      <c r="OE5" s="15" t="s">
        <v>88</v>
      </c>
      <c r="OF5" s="15" t="s">
        <v>88</v>
      </c>
      <c r="OG5" s="15" t="s">
        <v>88</v>
      </c>
      <c r="OH5" s="15" t="s">
        <v>88</v>
      </c>
      <c r="OI5" s="15" t="s">
        <v>88</v>
      </c>
      <c r="OJ5" s="15" t="s">
        <v>89</v>
      </c>
      <c r="OK5" s="15" t="s">
        <v>89</v>
      </c>
      <c r="OL5" s="15" t="s">
        <v>89</v>
      </c>
      <c r="OM5" s="15" t="s">
        <v>89</v>
      </c>
      <c r="ON5" s="15" t="s">
        <v>89</v>
      </c>
      <c r="OO5" s="15" t="s">
        <v>89</v>
      </c>
      <c r="OP5" s="15" t="s">
        <v>89</v>
      </c>
      <c r="OQ5" s="15" t="s">
        <v>89</v>
      </c>
      <c r="OR5" s="15" t="s">
        <v>89</v>
      </c>
      <c r="OS5" s="15" t="s">
        <v>89</v>
      </c>
      <c r="OT5" s="15" t="s">
        <v>89</v>
      </c>
      <c r="OU5" s="15" t="s">
        <v>89</v>
      </c>
      <c r="OV5" s="15" t="s">
        <v>89</v>
      </c>
      <c r="OW5" s="15" t="s">
        <v>89</v>
      </c>
      <c r="OX5" s="15" t="s">
        <v>89</v>
      </c>
      <c r="OY5" s="15" t="s">
        <v>89</v>
      </c>
      <c r="OZ5" s="15" t="s">
        <v>89</v>
      </c>
      <c r="PA5" s="15" t="s">
        <v>89</v>
      </c>
      <c r="PB5" s="15" t="s">
        <v>89</v>
      </c>
      <c r="PC5" s="15" t="s">
        <v>89</v>
      </c>
      <c r="PD5" s="15" t="s">
        <v>89</v>
      </c>
      <c r="PE5" s="15" t="s">
        <v>89</v>
      </c>
      <c r="PF5" s="15" t="s">
        <v>89</v>
      </c>
      <c r="PG5" s="15" t="s">
        <v>89</v>
      </c>
      <c r="PH5" s="15" t="s">
        <v>89</v>
      </c>
      <c r="PI5" s="15" t="s">
        <v>89</v>
      </c>
      <c r="PJ5" s="15" t="s">
        <v>89</v>
      </c>
      <c r="PK5" s="15" t="s">
        <v>89</v>
      </c>
      <c r="PL5" s="15" t="s">
        <v>89</v>
      </c>
      <c r="PM5" s="15" t="s">
        <v>89</v>
      </c>
      <c r="PN5" s="15" t="s">
        <v>89</v>
      </c>
      <c r="PO5" s="15" t="s">
        <v>89</v>
      </c>
      <c r="PP5" s="15" t="s">
        <v>89</v>
      </c>
      <c r="PQ5" s="15" t="s">
        <v>89</v>
      </c>
      <c r="PR5" s="15" t="s">
        <v>89</v>
      </c>
      <c r="PS5" s="15" t="s">
        <v>89</v>
      </c>
      <c r="PT5" s="15" t="s">
        <v>89</v>
      </c>
      <c r="PU5" s="15" t="s">
        <v>89</v>
      </c>
      <c r="PV5" s="15" t="s">
        <v>89</v>
      </c>
      <c r="PW5" s="15" t="s">
        <v>89</v>
      </c>
      <c r="PX5" s="15" t="s">
        <v>89</v>
      </c>
      <c r="PY5" s="15" t="s">
        <v>89</v>
      </c>
      <c r="PZ5" s="15" t="s">
        <v>89</v>
      </c>
      <c r="QA5" s="15" t="s">
        <v>89</v>
      </c>
      <c r="QB5" s="15" t="s">
        <v>89</v>
      </c>
      <c r="QC5" s="15" t="s">
        <v>89</v>
      </c>
      <c r="QD5" s="15" t="s">
        <v>89</v>
      </c>
      <c r="QE5" s="15" t="s">
        <v>89</v>
      </c>
      <c r="QF5" s="15" t="s">
        <v>89</v>
      </c>
      <c r="QG5" s="15" t="s">
        <v>89</v>
      </c>
      <c r="QH5" s="15" t="s">
        <v>89</v>
      </c>
      <c r="QI5" s="15" t="s">
        <v>89</v>
      </c>
      <c r="QJ5" s="15" t="s">
        <v>89</v>
      </c>
      <c r="QK5" s="15" t="s">
        <v>89</v>
      </c>
      <c r="QL5" s="15" t="s">
        <v>89</v>
      </c>
      <c r="QM5" s="15" t="s">
        <v>89</v>
      </c>
      <c r="QN5" s="15" t="s">
        <v>89</v>
      </c>
      <c r="QO5" s="15" t="s">
        <v>89</v>
      </c>
      <c r="QP5" s="15" t="s">
        <v>89</v>
      </c>
      <c r="QQ5" s="15" t="s">
        <v>89</v>
      </c>
      <c r="QR5" s="15" t="s">
        <v>89</v>
      </c>
      <c r="QS5" s="16"/>
      <c r="QT5" s="17"/>
      <c r="QV5" s="16"/>
      <c r="QW5" s="37"/>
      <c r="QX5" s="37"/>
      <c r="QY5" s="37"/>
      <c r="QZ5" s="37"/>
      <c r="RA5" s="37"/>
      <c r="RB5" s="37"/>
      <c r="RC5" s="37"/>
      <c r="RD5" s="37"/>
      <c r="RE5" s="37"/>
      <c r="RF5" s="37"/>
      <c r="RG5" s="37"/>
      <c r="RH5" s="38"/>
      <c r="RI5" s="38"/>
      <c r="RJ5" s="181"/>
      <c r="RK5" s="38"/>
      <c r="RL5" s="38"/>
      <c r="RM5" s="38"/>
      <c r="RN5" s="38"/>
      <c r="RO5" s="4"/>
      <c r="RP5" s="38"/>
      <c r="RQ5" s="181"/>
      <c r="RR5" s="38"/>
      <c r="RS5" s="298"/>
      <c r="RT5" s="298"/>
      <c r="RU5" s="312"/>
      <c r="RV5" s="313">
        <v>3.5</v>
      </c>
      <c r="RW5" s="196"/>
      <c r="RX5" s="16"/>
      <c r="RY5" s="17"/>
      <c r="RZ5" s="16"/>
      <c r="SA5" s="48"/>
      <c r="SB5" s="49"/>
      <c r="SC5" s="16"/>
      <c r="SE5" s="5"/>
      <c r="TF5" s="5"/>
      <c r="TK5" s="5"/>
      <c r="TP5" s="5"/>
      <c r="TT5" s="5"/>
      <c r="TX5" s="356"/>
      <c r="TY5" s="199"/>
      <c r="TZ5" s="199"/>
      <c r="UP5" s="5"/>
      <c r="UZ5" s="5"/>
      <c r="VG5" s="5"/>
    </row>
    <row r="6" spans="1:591" ht="29">
      <c r="A6" s="13"/>
      <c r="B6" s="18" t="s">
        <v>90</v>
      </c>
      <c r="C6" s="7" t="s">
        <v>91</v>
      </c>
      <c r="D6" s="7" t="s">
        <v>91</v>
      </c>
      <c r="E6" s="7" t="s">
        <v>91</v>
      </c>
      <c r="F6" s="7" t="s">
        <v>91</v>
      </c>
      <c r="G6" s="7" t="s">
        <v>91</v>
      </c>
      <c r="H6" s="7" t="s">
        <v>91</v>
      </c>
      <c r="I6" s="7" t="s">
        <v>91</v>
      </c>
      <c r="J6" s="7" t="s">
        <v>91</v>
      </c>
      <c r="K6" s="7" t="s">
        <v>91</v>
      </c>
      <c r="L6" s="7" t="s">
        <v>91</v>
      </c>
      <c r="M6" s="7" t="s">
        <v>91</v>
      </c>
      <c r="N6" s="7" t="s">
        <v>91</v>
      </c>
      <c r="O6" s="7" t="s">
        <v>91</v>
      </c>
      <c r="P6" s="7" t="s">
        <v>91</v>
      </c>
      <c r="Q6" s="7" t="s">
        <v>91</v>
      </c>
      <c r="R6" s="7" t="s">
        <v>91</v>
      </c>
      <c r="S6" s="7" t="s">
        <v>91</v>
      </c>
      <c r="T6" s="7" t="s">
        <v>91</v>
      </c>
      <c r="U6" s="7" t="s">
        <v>91</v>
      </c>
      <c r="V6" s="7" t="s">
        <v>91</v>
      </c>
      <c r="W6" s="7" t="s">
        <v>91</v>
      </c>
      <c r="X6" s="7" t="s">
        <v>91</v>
      </c>
      <c r="Y6" s="7" t="s">
        <v>91</v>
      </c>
      <c r="Z6" s="7" t="s">
        <v>91</v>
      </c>
      <c r="AA6" s="7" t="s">
        <v>91</v>
      </c>
      <c r="AB6" s="7" t="s">
        <v>91</v>
      </c>
      <c r="AC6" s="7" t="s">
        <v>91</v>
      </c>
      <c r="AD6" s="7" t="s">
        <v>91</v>
      </c>
      <c r="AE6" s="7" t="s">
        <v>91</v>
      </c>
      <c r="AF6" s="7" t="s">
        <v>91</v>
      </c>
      <c r="AG6" s="7" t="s">
        <v>91</v>
      </c>
      <c r="AH6" s="7" t="s">
        <v>91</v>
      </c>
      <c r="AI6" s="7" t="s">
        <v>91</v>
      </c>
      <c r="AJ6" s="7" t="s">
        <v>91</v>
      </c>
      <c r="AK6" s="7" t="s">
        <v>91</v>
      </c>
      <c r="AL6" s="7" t="s">
        <v>91</v>
      </c>
      <c r="AM6" s="7" t="s">
        <v>91</v>
      </c>
      <c r="AN6" s="7" t="s">
        <v>91</v>
      </c>
      <c r="AO6" s="7" t="s">
        <v>91</v>
      </c>
      <c r="AP6" s="7" t="s">
        <v>91</v>
      </c>
      <c r="AQ6" s="7" t="s">
        <v>91</v>
      </c>
      <c r="AR6" s="7" t="s">
        <v>91</v>
      </c>
      <c r="AS6" s="7" t="s">
        <v>91</v>
      </c>
      <c r="AT6" s="7" t="s">
        <v>91</v>
      </c>
      <c r="AU6" s="7" t="s">
        <v>91</v>
      </c>
      <c r="AV6" s="7" t="s">
        <v>91</v>
      </c>
      <c r="AW6" s="7" t="s">
        <v>91</v>
      </c>
      <c r="AX6" s="7" t="s">
        <v>91</v>
      </c>
      <c r="AY6" s="7" t="s">
        <v>91</v>
      </c>
      <c r="AZ6" s="7" t="s">
        <v>91</v>
      </c>
      <c r="BA6" s="7" t="s">
        <v>91</v>
      </c>
      <c r="BB6" s="7" t="s">
        <v>91</v>
      </c>
      <c r="BC6" s="7" t="s">
        <v>91</v>
      </c>
      <c r="BD6" s="7" t="s">
        <v>91</v>
      </c>
      <c r="BE6" s="7" t="s">
        <v>91</v>
      </c>
      <c r="BF6" s="7" t="s">
        <v>91</v>
      </c>
      <c r="BG6" s="7" t="s">
        <v>91</v>
      </c>
      <c r="BH6" s="7" t="s">
        <v>91</v>
      </c>
      <c r="BI6" s="7" t="s">
        <v>91</v>
      </c>
      <c r="BJ6" s="7" t="s">
        <v>91</v>
      </c>
      <c r="BK6" s="7" t="s">
        <v>91</v>
      </c>
      <c r="BL6" s="7" t="s">
        <v>91</v>
      </c>
      <c r="BM6" s="7" t="s">
        <v>91</v>
      </c>
      <c r="BN6" s="7" t="s">
        <v>91</v>
      </c>
      <c r="BO6" s="7" t="s">
        <v>91</v>
      </c>
      <c r="BP6" s="7" t="s">
        <v>91</v>
      </c>
      <c r="BQ6" s="7" t="s">
        <v>91</v>
      </c>
      <c r="BR6" s="7" t="s">
        <v>91</v>
      </c>
      <c r="BS6" s="7" t="s">
        <v>91</v>
      </c>
      <c r="BT6" s="7" t="s">
        <v>91</v>
      </c>
      <c r="BU6" s="7" t="s">
        <v>91</v>
      </c>
      <c r="BV6" s="7" t="s">
        <v>91</v>
      </c>
      <c r="BW6" s="7" t="s">
        <v>91</v>
      </c>
      <c r="BX6" s="7" t="s">
        <v>91</v>
      </c>
      <c r="BY6" s="7" t="s">
        <v>91</v>
      </c>
      <c r="BZ6" s="7" t="s">
        <v>91</v>
      </c>
      <c r="CA6" s="7" t="s">
        <v>91</v>
      </c>
      <c r="CB6" s="7" t="s">
        <v>91</v>
      </c>
      <c r="CC6" s="7" t="s">
        <v>91</v>
      </c>
      <c r="CD6" s="7" t="s">
        <v>91</v>
      </c>
      <c r="CE6" s="7" t="s">
        <v>91</v>
      </c>
      <c r="CF6" s="7" t="s">
        <v>91</v>
      </c>
      <c r="CG6" s="7" t="s">
        <v>91</v>
      </c>
      <c r="CH6" s="7" t="s">
        <v>91</v>
      </c>
      <c r="CI6" s="7" t="s">
        <v>91</v>
      </c>
      <c r="CJ6" s="7" t="s">
        <v>91</v>
      </c>
      <c r="CK6" s="7" t="s">
        <v>91</v>
      </c>
      <c r="CL6" s="7" t="s">
        <v>91</v>
      </c>
      <c r="CM6" s="7" t="s">
        <v>91</v>
      </c>
      <c r="CN6" s="7" t="s">
        <v>91</v>
      </c>
      <c r="CO6" s="7" t="s">
        <v>91</v>
      </c>
      <c r="CP6" s="7" t="s">
        <v>91</v>
      </c>
      <c r="CQ6" s="7" t="s">
        <v>91</v>
      </c>
      <c r="CR6" s="7" t="s">
        <v>91</v>
      </c>
      <c r="CS6" s="7" t="s">
        <v>91</v>
      </c>
      <c r="CT6" s="7" t="s">
        <v>91</v>
      </c>
      <c r="CU6" s="7" t="s">
        <v>91</v>
      </c>
      <c r="CV6" s="7" t="s">
        <v>91</v>
      </c>
      <c r="CW6" s="7" t="s">
        <v>91</v>
      </c>
      <c r="CX6" s="7" t="s">
        <v>91</v>
      </c>
      <c r="CY6" s="7" t="s">
        <v>91</v>
      </c>
      <c r="CZ6" s="7" t="s">
        <v>91</v>
      </c>
      <c r="DA6" s="7" t="s">
        <v>91</v>
      </c>
      <c r="DB6" s="7" t="s">
        <v>91</v>
      </c>
      <c r="DC6" s="7" t="s">
        <v>91</v>
      </c>
      <c r="DD6" s="7" t="s">
        <v>91</v>
      </c>
      <c r="DE6" s="7" t="s">
        <v>91</v>
      </c>
      <c r="DF6" s="7" t="s">
        <v>91</v>
      </c>
      <c r="DG6" s="7" t="s">
        <v>91</v>
      </c>
      <c r="DH6" s="7" t="s">
        <v>91</v>
      </c>
      <c r="DI6" s="7" t="s">
        <v>91</v>
      </c>
      <c r="DJ6" s="7" t="s">
        <v>91</v>
      </c>
      <c r="DK6" s="7" t="s">
        <v>91</v>
      </c>
      <c r="DL6" s="7" t="s">
        <v>91</v>
      </c>
      <c r="DM6" s="7" t="s">
        <v>91</v>
      </c>
      <c r="DN6" s="7" t="s">
        <v>91</v>
      </c>
      <c r="DO6" s="7" t="s">
        <v>91</v>
      </c>
      <c r="DP6" s="7" t="s">
        <v>91</v>
      </c>
      <c r="DQ6" s="7" t="s">
        <v>91</v>
      </c>
      <c r="DR6" s="7" t="s">
        <v>91</v>
      </c>
      <c r="DS6" s="7" t="s">
        <v>91</v>
      </c>
      <c r="DT6" s="7" t="s">
        <v>91</v>
      </c>
      <c r="DU6" s="7" t="s">
        <v>91</v>
      </c>
      <c r="DV6" s="7" t="s">
        <v>91</v>
      </c>
      <c r="DW6" s="7" t="s">
        <v>91</v>
      </c>
      <c r="DX6" s="7" t="s">
        <v>91</v>
      </c>
      <c r="DY6" s="7" t="s">
        <v>91</v>
      </c>
      <c r="DZ6" s="7" t="s">
        <v>91</v>
      </c>
      <c r="EA6" s="7" t="s">
        <v>91</v>
      </c>
      <c r="EB6" s="7" t="s">
        <v>91</v>
      </c>
      <c r="EC6" s="7" t="s">
        <v>91</v>
      </c>
      <c r="ED6" s="7" t="s">
        <v>91</v>
      </c>
      <c r="EE6" s="7" t="s">
        <v>91</v>
      </c>
      <c r="EF6" s="7" t="s">
        <v>91</v>
      </c>
      <c r="EG6" s="7" t="s">
        <v>91</v>
      </c>
      <c r="EH6" s="7" t="s">
        <v>91</v>
      </c>
      <c r="EI6" s="7" t="s">
        <v>91</v>
      </c>
      <c r="EJ6" s="7" t="s">
        <v>91</v>
      </c>
      <c r="EK6" s="7" t="s">
        <v>91</v>
      </c>
      <c r="EL6" s="7" t="s">
        <v>91</v>
      </c>
      <c r="EM6" s="7" t="s">
        <v>91</v>
      </c>
      <c r="EN6" s="7" t="s">
        <v>91</v>
      </c>
      <c r="EO6" s="7" t="s">
        <v>91</v>
      </c>
      <c r="EP6" s="7" t="s">
        <v>91</v>
      </c>
      <c r="EQ6" s="7" t="s">
        <v>91</v>
      </c>
      <c r="ER6" s="7" t="s">
        <v>91</v>
      </c>
      <c r="ES6" s="7" t="s">
        <v>91</v>
      </c>
      <c r="ET6" s="7" t="s">
        <v>91</v>
      </c>
      <c r="EU6" s="7" t="s">
        <v>91</v>
      </c>
      <c r="EV6" s="7" t="s">
        <v>91</v>
      </c>
      <c r="EW6" s="7" t="s">
        <v>91</v>
      </c>
      <c r="EX6" s="7" t="s">
        <v>91</v>
      </c>
      <c r="EY6" s="7" t="s">
        <v>91</v>
      </c>
      <c r="EZ6" s="7" t="s">
        <v>91</v>
      </c>
      <c r="FA6" s="7" t="s">
        <v>91</v>
      </c>
      <c r="FB6" s="7" t="s">
        <v>91</v>
      </c>
      <c r="FC6" s="7" t="s">
        <v>91</v>
      </c>
      <c r="FD6" s="7" t="s">
        <v>91</v>
      </c>
      <c r="FE6" s="7" t="s">
        <v>91</v>
      </c>
      <c r="FF6" s="7" t="s">
        <v>91</v>
      </c>
      <c r="FG6" s="7" t="s">
        <v>91</v>
      </c>
      <c r="FH6" s="7" t="s">
        <v>91</v>
      </c>
      <c r="FI6" s="7" t="s">
        <v>91</v>
      </c>
      <c r="FJ6" s="7" t="s">
        <v>91</v>
      </c>
      <c r="FK6" s="7" t="s">
        <v>91</v>
      </c>
      <c r="FL6" s="7" t="s">
        <v>91</v>
      </c>
      <c r="FM6" s="7" t="s">
        <v>91</v>
      </c>
      <c r="FN6" s="7" t="s">
        <v>91</v>
      </c>
      <c r="FO6" s="7" t="s">
        <v>91</v>
      </c>
      <c r="FP6" s="7" t="s">
        <v>91</v>
      </c>
      <c r="FQ6" s="7" t="s">
        <v>91</v>
      </c>
      <c r="FR6" s="7" t="s">
        <v>91</v>
      </c>
      <c r="FS6" s="7" t="s">
        <v>91</v>
      </c>
      <c r="FT6" s="7" t="s">
        <v>91</v>
      </c>
      <c r="FU6" s="7" t="s">
        <v>91</v>
      </c>
      <c r="FV6" s="7" t="s">
        <v>91</v>
      </c>
      <c r="FW6" s="7" t="s">
        <v>91</v>
      </c>
      <c r="FX6" s="7" t="s">
        <v>91</v>
      </c>
      <c r="FY6" s="7" t="s">
        <v>91</v>
      </c>
      <c r="FZ6" s="7" t="s">
        <v>91</v>
      </c>
      <c r="GA6" s="7" t="s">
        <v>91</v>
      </c>
      <c r="GB6" s="7" t="s">
        <v>91</v>
      </c>
      <c r="GC6" s="7" t="s">
        <v>91</v>
      </c>
      <c r="GD6" s="7" t="s">
        <v>91</v>
      </c>
      <c r="GE6" s="7" t="s">
        <v>91</v>
      </c>
      <c r="GF6" s="7" t="s">
        <v>91</v>
      </c>
      <c r="GG6" s="7" t="s">
        <v>91</v>
      </c>
      <c r="GH6" s="7" t="s">
        <v>91</v>
      </c>
      <c r="GI6" s="7" t="s">
        <v>91</v>
      </c>
      <c r="GJ6" s="7" t="s">
        <v>91</v>
      </c>
      <c r="GK6" s="7" t="s">
        <v>91</v>
      </c>
      <c r="GL6" s="7" t="s">
        <v>91</v>
      </c>
      <c r="GM6" s="7" t="s">
        <v>91</v>
      </c>
      <c r="GN6" s="7" t="s">
        <v>91</v>
      </c>
      <c r="GO6" s="7" t="s">
        <v>91</v>
      </c>
      <c r="GP6" s="7" t="s">
        <v>91</v>
      </c>
      <c r="GQ6" s="7" t="s">
        <v>91</v>
      </c>
      <c r="GR6" s="7" t="s">
        <v>91</v>
      </c>
      <c r="GS6" s="7" t="s">
        <v>91</v>
      </c>
      <c r="GT6" s="7" t="s">
        <v>91</v>
      </c>
      <c r="GU6" s="7" t="s">
        <v>91</v>
      </c>
      <c r="GV6" s="7" t="s">
        <v>91</v>
      </c>
      <c r="GW6" s="7" t="s">
        <v>91</v>
      </c>
      <c r="GX6" s="7" t="s">
        <v>91</v>
      </c>
      <c r="GY6" s="7" t="s">
        <v>92</v>
      </c>
      <c r="GZ6" s="7" t="s">
        <v>92</v>
      </c>
      <c r="HA6" s="7" t="s">
        <v>92</v>
      </c>
      <c r="HB6" s="7" t="s">
        <v>92</v>
      </c>
      <c r="HC6" s="7" t="s">
        <v>92</v>
      </c>
      <c r="HD6" s="7" t="s">
        <v>93</v>
      </c>
      <c r="HE6" s="7" t="s">
        <v>93</v>
      </c>
      <c r="HF6" s="7" t="s">
        <v>93</v>
      </c>
      <c r="HG6" s="7" t="s">
        <v>61</v>
      </c>
      <c r="HH6" s="7" t="s">
        <v>62</v>
      </c>
      <c r="HI6" s="7" t="s">
        <v>63</v>
      </c>
      <c r="HJ6" s="7" t="s">
        <v>94</v>
      </c>
      <c r="HK6" s="7" t="s">
        <v>65</v>
      </c>
      <c r="HL6" s="7" t="s">
        <v>65</v>
      </c>
      <c r="HM6" s="7" t="s">
        <v>65</v>
      </c>
      <c r="HN6" s="7" t="s">
        <v>65</v>
      </c>
      <c r="HO6" s="7" t="s">
        <v>65</v>
      </c>
      <c r="HP6" s="7" t="s">
        <v>65</v>
      </c>
      <c r="HQ6" s="7" t="s">
        <v>65</v>
      </c>
      <c r="HR6" s="7" t="s">
        <v>65</v>
      </c>
      <c r="HS6" s="7" t="s">
        <v>65</v>
      </c>
      <c r="HT6" s="7" t="s">
        <v>65</v>
      </c>
      <c r="HU6" s="7" t="s">
        <v>65</v>
      </c>
      <c r="HV6" s="7" t="s">
        <v>65</v>
      </c>
      <c r="HW6" s="7" t="s">
        <v>65</v>
      </c>
      <c r="HX6" s="7" t="s">
        <v>65</v>
      </c>
      <c r="HY6" s="7" t="s">
        <v>65</v>
      </c>
      <c r="HZ6" s="7" t="s">
        <v>65</v>
      </c>
      <c r="IA6" s="7" t="s">
        <v>65</v>
      </c>
      <c r="IB6" s="7" t="s">
        <v>65</v>
      </c>
      <c r="IC6" s="7" t="s">
        <v>65</v>
      </c>
      <c r="ID6" s="7" t="s">
        <v>65</v>
      </c>
      <c r="IE6" s="7" t="s">
        <v>65</v>
      </c>
      <c r="IF6" s="7" t="s">
        <v>65</v>
      </c>
      <c r="IG6" s="7" t="s">
        <v>65</v>
      </c>
      <c r="IH6" s="7" t="s">
        <v>65</v>
      </c>
      <c r="II6" s="7" t="s">
        <v>65</v>
      </c>
      <c r="IJ6" s="7" t="s">
        <v>66</v>
      </c>
      <c r="IK6" s="7" t="s">
        <v>66</v>
      </c>
      <c r="IL6" s="7" t="s">
        <v>66</v>
      </c>
      <c r="IM6" s="7" t="s">
        <v>67</v>
      </c>
      <c r="IN6" s="7" t="s">
        <v>67</v>
      </c>
      <c r="IO6" s="7" t="s">
        <v>67</v>
      </c>
      <c r="IP6" s="7" t="s">
        <v>67</v>
      </c>
      <c r="IQ6" s="7" t="s">
        <v>67</v>
      </c>
      <c r="IR6" s="7" t="s">
        <v>67</v>
      </c>
      <c r="IS6" s="7" t="s">
        <v>67</v>
      </c>
      <c r="IT6" s="7" t="s">
        <v>67</v>
      </c>
      <c r="IU6" s="7" t="s">
        <v>67</v>
      </c>
      <c r="IV6" s="7" t="s">
        <v>68</v>
      </c>
      <c r="IW6" s="7" t="s">
        <v>68</v>
      </c>
      <c r="IX6" s="7" t="s">
        <v>68</v>
      </c>
      <c r="IY6" s="7" t="s">
        <v>68</v>
      </c>
      <c r="IZ6" s="7" t="s">
        <v>68</v>
      </c>
      <c r="JA6" s="7" t="s">
        <v>68</v>
      </c>
      <c r="JB6" s="7" t="s">
        <v>69</v>
      </c>
      <c r="JC6" s="7" t="s">
        <v>69</v>
      </c>
      <c r="JD6" s="7" t="s">
        <v>69</v>
      </c>
      <c r="JE6" s="7" t="s">
        <v>70</v>
      </c>
      <c r="JF6" s="7" t="s">
        <v>70</v>
      </c>
      <c r="JG6" s="7" t="s">
        <v>70</v>
      </c>
      <c r="JH6" s="7" t="s">
        <v>70</v>
      </c>
      <c r="JI6" s="7" t="s">
        <v>70</v>
      </c>
      <c r="JJ6" s="7" t="s">
        <v>70</v>
      </c>
      <c r="JK6" s="7" t="s">
        <v>70</v>
      </c>
      <c r="JL6" s="7" t="s">
        <v>70</v>
      </c>
      <c r="JM6" s="7" t="s">
        <v>70</v>
      </c>
      <c r="JN6" s="7" t="s">
        <v>70</v>
      </c>
      <c r="JO6" s="7" t="s">
        <v>70</v>
      </c>
      <c r="JP6" s="7" t="s">
        <v>70</v>
      </c>
      <c r="JQ6" s="7" t="s">
        <v>70</v>
      </c>
      <c r="JR6" s="7" t="s">
        <v>70</v>
      </c>
      <c r="JS6" s="7" t="s">
        <v>70</v>
      </c>
      <c r="JT6" s="7" t="s">
        <v>70</v>
      </c>
      <c r="JU6" s="7" t="s">
        <v>70</v>
      </c>
      <c r="JV6" s="7" t="s">
        <v>70</v>
      </c>
      <c r="JW6" s="7" t="s">
        <v>70</v>
      </c>
      <c r="JX6" s="7" t="s">
        <v>70</v>
      </c>
      <c r="JY6" s="7" t="s">
        <v>70</v>
      </c>
      <c r="JZ6" s="7" t="s">
        <v>70</v>
      </c>
      <c r="KA6" s="7" t="s">
        <v>70</v>
      </c>
      <c r="KB6" s="7" t="s">
        <v>70</v>
      </c>
      <c r="KC6" s="7" t="s">
        <v>70</v>
      </c>
      <c r="KD6" s="7" t="s">
        <v>70</v>
      </c>
      <c r="KE6" s="7" t="s">
        <v>70</v>
      </c>
      <c r="KF6" s="7" t="s">
        <v>70</v>
      </c>
      <c r="KG6" s="7" t="s">
        <v>70</v>
      </c>
      <c r="KH6" s="7" t="s">
        <v>70</v>
      </c>
      <c r="KI6" s="7" t="s">
        <v>91</v>
      </c>
      <c r="KJ6" s="7" t="s">
        <v>91</v>
      </c>
      <c r="KK6" s="7" t="s">
        <v>91</v>
      </c>
      <c r="KL6" s="7" t="s">
        <v>91</v>
      </c>
      <c r="KM6" s="7" t="s">
        <v>91</v>
      </c>
      <c r="KN6" s="7" t="s">
        <v>91</v>
      </c>
      <c r="KO6" s="7" t="s">
        <v>91</v>
      </c>
      <c r="KP6" s="7" t="s">
        <v>91</v>
      </c>
      <c r="KQ6" s="7" t="s">
        <v>91</v>
      </c>
      <c r="KR6" s="7" t="s">
        <v>91</v>
      </c>
      <c r="KS6" s="7" t="s">
        <v>91</v>
      </c>
      <c r="KT6" s="7" t="s">
        <v>91</v>
      </c>
      <c r="KU6" s="7" t="s">
        <v>91</v>
      </c>
      <c r="KV6" s="7" t="s">
        <v>91</v>
      </c>
      <c r="KW6" s="7" t="s">
        <v>91</v>
      </c>
      <c r="KX6" s="7" t="s">
        <v>91</v>
      </c>
      <c r="KY6" s="7" t="s">
        <v>91</v>
      </c>
      <c r="KZ6" s="7" t="s">
        <v>91</v>
      </c>
      <c r="LA6" s="7" t="s">
        <v>91</v>
      </c>
      <c r="LB6" s="7" t="s">
        <v>91</v>
      </c>
      <c r="LC6" s="7" t="s">
        <v>91</v>
      </c>
      <c r="LD6" s="7" t="s">
        <v>91</v>
      </c>
      <c r="LE6" s="7" t="s">
        <v>91</v>
      </c>
      <c r="LF6" s="7" t="s">
        <v>91</v>
      </c>
      <c r="LG6" s="7" t="s">
        <v>91</v>
      </c>
      <c r="LH6" s="7" t="s">
        <v>91</v>
      </c>
      <c r="LI6" s="7" t="s">
        <v>91</v>
      </c>
      <c r="LJ6" s="7" t="s">
        <v>91</v>
      </c>
      <c r="LK6" s="7" t="s">
        <v>91</v>
      </c>
      <c r="LL6" s="7" t="s">
        <v>91</v>
      </c>
      <c r="LM6" s="7" t="s">
        <v>91</v>
      </c>
      <c r="LN6" s="7" t="s">
        <v>91</v>
      </c>
      <c r="LO6" s="7" t="s">
        <v>91</v>
      </c>
      <c r="LP6" s="7" t="s">
        <v>91</v>
      </c>
      <c r="LQ6" s="7" t="s">
        <v>91</v>
      </c>
      <c r="LR6" s="7" t="s">
        <v>91</v>
      </c>
      <c r="LS6" s="7" t="s">
        <v>91</v>
      </c>
      <c r="LT6" s="7" t="s">
        <v>91</v>
      </c>
      <c r="LU6" s="7" t="s">
        <v>91</v>
      </c>
      <c r="LV6" s="7" t="s">
        <v>91</v>
      </c>
      <c r="LW6" s="7" t="s">
        <v>91</v>
      </c>
      <c r="LX6" s="7" t="s">
        <v>91</v>
      </c>
      <c r="LY6" s="7" t="s">
        <v>91</v>
      </c>
      <c r="LZ6" s="7" t="s">
        <v>91</v>
      </c>
      <c r="MA6" s="7" t="s">
        <v>91</v>
      </c>
      <c r="MB6" s="7" t="s">
        <v>91</v>
      </c>
      <c r="MC6" s="7" t="s">
        <v>91</v>
      </c>
      <c r="MD6" s="7" t="s">
        <v>91</v>
      </c>
      <c r="ME6" s="7" t="s">
        <v>91</v>
      </c>
      <c r="MF6" s="7" t="s">
        <v>91</v>
      </c>
      <c r="MG6" s="7" t="s">
        <v>91</v>
      </c>
      <c r="MH6" s="7" t="s">
        <v>91</v>
      </c>
      <c r="MI6" s="7" t="s">
        <v>91</v>
      </c>
      <c r="MJ6" s="7" t="s">
        <v>91</v>
      </c>
      <c r="MK6" s="7" t="s">
        <v>91</v>
      </c>
      <c r="ML6" s="7" t="s">
        <v>91</v>
      </c>
      <c r="MM6" s="7" t="s">
        <v>91</v>
      </c>
      <c r="MN6" s="7" t="s">
        <v>91</v>
      </c>
      <c r="MO6" s="7" t="s">
        <v>91</v>
      </c>
      <c r="MP6" s="7" t="s">
        <v>91</v>
      </c>
      <c r="MQ6" s="7" t="s">
        <v>91</v>
      </c>
      <c r="MR6" s="7" t="s">
        <v>91</v>
      </c>
      <c r="MS6" s="7" t="s">
        <v>91</v>
      </c>
      <c r="MT6" s="7" t="s">
        <v>91</v>
      </c>
      <c r="MU6" s="7" t="s">
        <v>91</v>
      </c>
      <c r="MV6" s="7" t="s">
        <v>91</v>
      </c>
      <c r="MW6" s="7" t="s">
        <v>91</v>
      </c>
      <c r="MX6" s="7" t="s">
        <v>91</v>
      </c>
      <c r="MY6" s="7" t="s">
        <v>91</v>
      </c>
      <c r="MZ6" s="7" t="s">
        <v>91</v>
      </c>
      <c r="NA6" s="7" t="s">
        <v>91</v>
      </c>
      <c r="NB6" s="7" t="s">
        <v>91</v>
      </c>
      <c r="NC6" s="7" t="s">
        <v>91</v>
      </c>
      <c r="ND6" s="7" t="s">
        <v>91</v>
      </c>
      <c r="NE6" s="7" t="s">
        <v>91</v>
      </c>
      <c r="NF6" s="7" t="s">
        <v>91</v>
      </c>
      <c r="NG6" s="7" t="s">
        <v>91</v>
      </c>
      <c r="NH6" s="7" t="s">
        <v>91</v>
      </c>
      <c r="NI6" s="7" t="s">
        <v>91</v>
      </c>
      <c r="NJ6" s="7" t="s">
        <v>91</v>
      </c>
      <c r="NK6" s="7" t="s">
        <v>91</v>
      </c>
      <c r="NL6" s="7" t="s">
        <v>91</v>
      </c>
      <c r="NM6" s="7" t="s">
        <v>91</v>
      </c>
      <c r="NN6" s="7" t="s">
        <v>91</v>
      </c>
      <c r="NO6" s="7" t="s">
        <v>91</v>
      </c>
      <c r="NP6" s="7" t="s">
        <v>91</v>
      </c>
      <c r="NQ6" s="7" t="s">
        <v>91</v>
      </c>
      <c r="NR6" s="7" t="s">
        <v>91</v>
      </c>
      <c r="NS6" s="7" t="s">
        <v>91</v>
      </c>
      <c r="NT6" s="7" t="s">
        <v>91</v>
      </c>
      <c r="NU6" s="7" t="s">
        <v>91</v>
      </c>
      <c r="NV6" s="7" t="s">
        <v>91</v>
      </c>
      <c r="NW6" s="7" t="s">
        <v>91</v>
      </c>
      <c r="NX6" s="7" t="s">
        <v>91</v>
      </c>
      <c r="NY6" s="7" t="s">
        <v>91</v>
      </c>
      <c r="NZ6" s="7" t="s">
        <v>91</v>
      </c>
      <c r="OA6" s="7" t="s">
        <v>91</v>
      </c>
      <c r="OB6" s="7" t="s">
        <v>91</v>
      </c>
      <c r="OC6" s="7" t="s">
        <v>91</v>
      </c>
      <c r="OD6" s="7" t="s">
        <v>91</v>
      </c>
      <c r="OE6" s="7" t="s">
        <v>91</v>
      </c>
      <c r="OF6" s="7" t="s">
        <v>91</v>
      </c>
      <c r="OG6" s="7" t="s">
        <v>91</v>
      </c>
      <c r="OH6" s="7" t="s">
        <v>91</v>
      </c>
      <c r="OI6" s="7" t="s">
        <v>91</v>
      </c>
      <c r="OJ6" s="7" t="s">
        <v>91</v>
      </c>
      <c r="OK6" s="7" t="s">
        <v>91</v>
      </c>
      <c r="OL6" s="7" t="s">
        <v>91</v>
      </c>
      <c r="OM6" s="7" t="s">
        <v>91</v>
      </c>
      <c r="ON6" s="7" t="s">
        <v>91</v>
      </c>
      <c r="OO6" s="7" t="s">
        <v>91</v>
      </c>
      <c r="OP6" s="7" t="s">
        <v>91</v>
      </c>
      <c r="OQ6" s="7" t="s">
        <v>91</v>
      </c>
      <c r="OR6" s="7" t="s">
        <v>91</v>
      </c>
      <c r="OS6" s="7" t="s">
        <v>91</v>
      </c>
      <c r="OT6" s="7" t="s">
        <v>91</v>
      </c>
      <c r="OU6" s="7" t="s">
        <v>91</v>
      </c>
      <c r="OV6" s="7" t="s">
        <v>91</v>
      </c>
      <c r="OW6" s="7" t="s">
        <v>91</v>
      </c>
      <c r="OX6" s="7" t="s">
        <v>91</v>
      </c>
      <c r="OY6" s="7" t="s">
        <v>91</v>
      </c>
      <c r="OZ6" s="7" t="s">
        <v>91</v>
      </c>
      <c r="PA6" s="7" t="s">
        <v>91</v>
      </c>
      <c r="PB6" s="7" t="s">
        <v>91</v>
      </c>
      <c r="PC6" s="7" t="s">
        <v>91</v>
      </c>
      <c r="PD6" s="7" t="s">
        <v>91</v>
      </c>
      <c r="PE6" s="7" t="s">
        <v>91</v>
      </c>
      <c r="PF6" s="7" t="s">
        <v>91</v>
      </c>
      <c r="PG6" s="7" t="s">
        <v>91</v>
      </c>
      <c r="PH6" s="7" t="s">
        <v>91</v>
      </c>
      <c r="PI6" s="7" t="s">
        <v>91</v>
      </c>
      <c r="PJ6" s="7" t="s">
        <v>91</v>
      </c>
      <c r="PK6" s="7" t="s">
        <v>91</v>
      </c>
      <c r="PL6" s="7" t="s">
        <v>91</v>
      </c>
      <c r="PM6" s="7" t="s">
        <v>91</v>
      </c>
      <c r="PN6" s="7" t="s">
        <v>91</v>
      </c>
      <c r="PO6" s="7" t="s">
        <v>91</v>
      </c>
      <c r="PP6" s="7" t="s">
        <v>91</v>
      </c>
      <c r="PQ6" s="7" t="s">
        <v>91</v>
      </c>
      <c r="PR6" s="7" t="s">
        <v>91</v>
      </c>
      <c r="PS6" s="7" t="s">
        <v>91</v>
      </c>
      <c r="PT6" s="7" t="s">
        <v>91</v>
      </c>
      <c r="PU6" s="7" t="s">
        <v>91</v>
      </c>
      <c r="PV6" s="7" t="s">
        <v>91</v>
      </c>
      <c r="PW6" s="7" t="s">
        <v>91</v>
      </c>
      <c r="PX6" s="7" t="s">
        <v>91</v>
      </c>
      <c r="PY6" s="7" t="s">
        <v>91</v>
      </c>
      <c r="PZ6" s="7" t="s">
        <v>91</v>
      </c>
      <c r="QA6" s="7" t="s">
        <v>91</v>
      </c>
      <c r="QB6" s="7" t="s">
        <v>91</v>
      </c>
      <c r="QC6" s="7" t="s">
        <v>91</v>
      </c>
      <c r="QD6" s="7" t="s">
        <v>91</v>
      </c>
      <c r="QE6" s="7" t="s">
        <v>91</v>
      </c>
      <c r="QF6" s="7" t="s">
        <v>91</v>
      </c>
      <c r="QG6" s="7" t="s">
        <v>91</v>
      </c>
      <c r="QH6" s="7" t="s">
        <v>91</v>
      </c>
      <c r="QI6" s="7" t="s">
        <v>91</v>
      </c>
      <c r="QJ6" s="7" t="s">
        <v>91</v>
      </c>
      <c r="QK6" s="7" t="s">
        <v>91</v>
      </c>
      <c r="QL6" s="7" t="s">
        <v>91</v>
      </c>
      <c r="QM6" s="7" t="s">
        <v>91</v>
      </c>
      <c r="QN6" s="7" t="s">
        <v>91</v>
      </c>
      <c r="QO6" s="7" t="s">
        <v>91</v>
      </c>
      <c r="QP6" s="7" t="s">
        <v>91</v>
      </c>
      <c r="QQ6" s="7" t="s">
        <v>91</v>
      </c>
      <c r="QR6" s="7" t="s">
        <v>91</v>
      </c>
      <c r="QS6" s="16"/>
      <c r="QT6" s="17"/>
      <c r="QV6" s="16"/>
      <c r="QW6" s="37"/>
      <c r="QX6" s="16"/>
      <c r="QY6" s="16"/>
      <c r="QZ6" s="16"/>
      <c r="RA6" s="16"/>
      <c r="RB6" s="37"/>
      <c r="RC6" s="16"/>
      <c r="RD6" s="16"/>
      <c r="RE6" s="16"/>
      <c r="RF6" s="16"/>
      <c r="RG6" s="16"/>
      <c r="RH6" s="16"/>
      <c r="RI6" s="16"/>
      <c r="RJ6" s="17"/>
      <c r="RK6" s="16"/>
      <c r="RL6" s="300"/>
      <c r="RM6" s="300"/>
      <c r="RN6" s="300"/>
      <c r="RO6" s="300"/>
      <c r="RP6" s="16"/>
      <c r="RQ6" s="17"/>
      <c r="RR6" s="16"/>
      <c r="RS6" s="16"/>
      <c r="RT6" s="16"/>
      <c r="RU6" s="16"/>
      <c r="RV6" s="4"/>
      <c r="RW6" s="196"/>
      <c r="RX6" s="16"/>
      <c r="RY6" s="17"/>
      <c r="RZ6" s="16"/>
      <c r="SA6" s="16"/>
      <c r="SB6" s="16"/>
      <c r="SC6" s="16"/>
      <c r="SE6" s="5"/>
      <c r="SN6" s="293"/>
      <c r="SO6" s="293"/>
      <c r="SP6" s="293"/>
      <c r="SQ6" s="293"/>
      <c r="TF6" s="5"/>
      <c r="TK6" s="5"/>
      <c r="TP6" s="5"/>
      <c r="TT6" s="5"/>
      <c r="TY6" s="357"/>
      <c r="TZ6" s="199"/>
      <c r="UP6" s="5"/>
      <c r="UZ6" s="5"/>
      <c r="VG6" s="5"/>
    </row>
    <row r="7" spans="1:591">
      <c r="A7" s="19" t="s">
        <v>95</v>
      </c>
      <c r="B7" s="20" t="s">
        <v>96</v>
      </c>
      <c r="C7" s="21"/>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5"/>
      <c r="QV7" s="4"/>
      <c r="QW7" s="4"/>
      <c r="QX7" s="4"/>
      <c r="QY7" s="4"/>
      <c r="QZ7" s="4"/>
      <c r="RA7" s="4"/>
      <c r="RB7" s="4"/>
      <c r="RC7" s="4"/>
      <c r="RD7" s="4"/>
      <c r="RE7" s="4"/>
      <c r="RF7" s="4"/>
      <c r="RG7" s="4"/>
      <c r="RH7" s="4"/>
      <c r="RI7" s="4"/>
      <c r="RJ7" s="5"/>
      <c r="RK7" s="4"/>
      <c r="RL7" s="4"/>
      <c r="RM7" s="4"/>
      <c r="RN7" s="4"/>
      <c r="RO7" s="4"/>
      <c r="RP7" s="4"/>
      <c r="RQ7" s="5"/>
      <c r="RR7" s="4"/>
      <c r="RS7" s="4"/>
      <c r="RT7" s="4"/>
      <c r="RU7" s="4"/>
      <c r="RV7" s="4"/>
      <c r="RW7" s="4"/>
      <c r="RX7" s="4"/>
      <c r="RY7" s="5"/>
      <c r="RZ7" s="4"/>
      <c r="SA7" s="4"/>
      <c r="SB7" s="4"/>
      <c r="SC7" s="4"/>
      <c r="SE7" s="5"/>
      <c r="SL7" s="978" t="s">
        <v>1202</v>
      </c>
      <c r="SM7" s="978"/>
      <c r="SN7" s="143">
        <v>0.7</v>
      </c>
      <c r="SO7" s="143">
        <v>0.2</v>
      </c>
      <c r="SP7" s="143">
        <v>7.0000000000000007E-2</v>
      </c>
      <c r="SQ7" s="143">
        <v>0.03</v>
      </c>
      <c r="TF7" s="5"/>
      <c r="TK7" s="5"/>
      <c r="TP7" s="5"/>
      <c r="TT7" s="5"/>
      <c r="TY7" s="358"/>
      <c r="UP7" s="5"/>
      <c r="UZ7" s="5"/>
      <c r="VG7" s="5"/>
    </row>
    <row r="8" spans="1:591">
      <c r="A8" s="22"/>
      <c r="B8" s="23"/>
      <c r="C8" s="21"/>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t="s">
        <v>1367</v>
      </c>
      <c r="QT8" s="5"/>
      <c r="QV8" s="4"/>
      <c r="QW8" s="4"/>
      <c r="QX8" s="4"/>
      <c r="QY8" s="4"/>
      <c r="QZ8" s="4"/>
      <c r="RA8" s="4"/>
      <c r="RB8" s="4"/>
      <c r="RC8" s="4"/>
      <c r="RD8" s="4"/>
      <c r="RE8" s="4"/>
      <c r="RF8" s="4"/>
      <c r="RG8" s="4"/>
      <c r="RH8" s="4"/>
      <c r="RI8" s="4"/>
      <c r="RJ8" s="5"/>
      <c r="RK8" s="4"/>
      <c r="RL8" s="4"/>
      <c r="RM8" s="4"/>
      <c r="RN8" s="4"/>
      <c r="RO8" s="4"/>
      <c r="RP8" s="4"/>
      <c r="RQ8" s="5"/>
      <c r="RR8" s="4"/>
      <c r="RS8" s="4"/>
      <c r="RT8" s="4"/>
      <c r="RU8" s="4"/>
      <c r="RV8" s="4"/>
      <c r="RW8" s="4"/>
      <c r="RX8" s="4"/>
      <c r="RY8" s="5"/>
      <c r="RZ8" s="4"/>
      <c r="SA8" s="4"/>
      <c r="SB8" s="4"/>
      <c r="SC8" s="4"/>
      <c r="SE8" s="5"/>
      <c r="SZ8" s="146"/>
      <c r="TF8" s="5"/>
      <c r="TK8" s="5"/>
      <c r="TP8" s="5"/>
      <c r="TT8" s="5"/>
      <c r="UP8" s="5"/>
      <c r="UZ8" s="5"/>
      <c r="VG8" s="5"/>
    </row>
    <row r="9" spans="1:591">
      <c r="A9" s="3">
        <v>1</v>
      </c>
      <c r="B9" s="2" t="s">
        <v>97</v>
      </c>
      <c r="C9" s="24">
        <v>54971551</v>
      </c>
      <c r="D9" s="24">
        <v>0</v>
      </c>
      <c r="E9" s="24">
        <v>0</v>
      </c>
      <c r="F9" s="24">
        <v>0</v>
      </c>
      <c r="G9" s="24">
        <v>17208000</v>
      </c>
      <c r="H9" s="24">
        <v>0</v>
      </c>
      <c r="I9" s="24">
        <v>0</v>
      </c>
      <c r="J9" s="24">
        <v>174661</v>
      </c>
      <c r="K9" s="24">
        <v>0</v>
      </c>
      <c r="L9" s="24">
        <v>0</v>
      </c>
      <c r="M9" s="24">
        <v>0</v>
      </c>
      <c r="N9" s="24">
        <v>0</v>
      </c>
      <c r="O9" s="24">
        <v>0</v>
      </c>
      <c r="P9" s="24">
        <v>0</v>
      </c>
      <c r="Q9" s="24">
        <v>0</v>
      </c>
      <c r="R9" s="24">
        <v>0</v>
      </c>
      <c r="S9" s="24">
        <v>0</v>
      </c>
      <c r="T9" s="24">
        <v>0</v>
      </c>
      <c r="U9" s="24">
        <v>0</v>
      </c>
      <c r="V9" s="24">
        <v>11083988</v>
      </c>
      <c r="W9" s="24">
        <v>226765</v>
      </c>
      <c r="X9" s="24">
        <v>0</v>
      </c>
      <c r="Y9" s="24">
        <v>32009</v>
      </c>
      <c r="Z9" s="24">
        <v>0</v>
      </c>
      <c r="AA9" s="24">
        <v>0</v>
      </c>
      <c r="AB9" s="24">
        <v>0</v>
      </c>
      <c r="AC9" s="24">
        <v>589286</v>
      </c>
      <c r="AD9" s="24">
        <v>0</v>
      </c>
      <c r="AE9" s="24">
        <v>0</v>
      </c>
      <c r="AF9" s="24">
        <v>0</v>
      </c>
      <c r="AG9" s="24">
        <v>0</v>
      </c>
      <c r="AH9" s="24">
        <v>98062</v>
      </c>
      <c r="AI9" s="24">
        <v>0</v>
      </c>
      <c r="AJ9" s="24">
        <v>82704</v>
      </c>
      <c r="AK9" s="24">
        <v>0</v>
      </c>
      <c r="AL9" s="24">
        <v>684</v>
      </c>
      <c r="AM9" s="24">
        <v>0</v>
      </c>
      <c r="AN9" s="24">
        <v>0</v>
      </c>
      <c r="AO9" s="24">
        <v>0</v>
      </c>
      <c r="AP9" s="24">
        <v>0</v>
      </c>
      <c r="AQ9" s="24">
        <v>0</v>
      </c>
      <c r="AR9" s="24">
        <v>0</v>
      </c>
      <c r="AS9" s="24">
        <v>0</v>
      </c>
      <c r="AT9" s="24">
        <v>0</v>
      </c>
      <c r="AU9" s="24">
        <v>0</v>
      </c>
      <c r="AV9" s="24">
        <v>0</v>
      </c>
      <c r="AW9" s="24">
        <v>0</v>
      </c>
      <c r="AX9" s="24">
        <v>0</v>
      </c>
      <c r="AY9" s="24">
        <v>0</v>
      </c>
      <c r="AZ9" s="24">
        <v>0</v>
      </c>
      <c r="BA9" s="24">
        <v>4903</v>
      </c>
      <c r="BB9" s="24">
        <v>8797</v>
      </c>
      <c r="BC9" s="24">
        <v>0</v>
      </c>
      <c r="BD9" s="24">
        <v>0</v>
      </c>
      <c r="BE9" s="24">
        <v>0</v>
      </c>
      <c r="BF9" s="24">
        <v>0</v>
      </c>
      <c r="BG9" s="24">
        <v>0</v>
      </c>
      <c r="BH9" s="24">
        <v>0</v>
      </c>
      <c r="BI9" s="24">
        <v>0</v>
      </c>
      <c r="BJ9" s="24">
        <v>0</v>
      </c>
      <c r="BK9" s="24">
        <v>3311</v>
      </c>
      <c r="BL9" s="24">
        <v>0</v>
      </c>
      <c r="BM9" s="24">
        <v>0</v>
      </c>
      <c r="BN9" s="24">
        <v>0</v>
      </c>
      <c r="BO9" s="24">
        <v>0</v>
      </c>
      <c r="BP9" s="24">
        <v>0</v>
      </c>
      <c r="BQ9" s="24">
        <v>0</v>
      </c>
      <c r="BR9" s="24">
        <v>0</v>
      </c>
      <c r="BS9" s="24">
        <v>0</v>
      </c>
      <c r="BT9" s="24">
        <v>0</v>
      </c>
      <c r="BU9" s="24">
        <v>0</v>
      </c>
      <c r="BV9" s="24">
        <v>2047432</v>
      </c>
      <c r="BW9" s="24">
        <v>36971</v>
      </c>
      <c r="BX9" s="24">
        <v>0</v>
      </c>
      <c r="BY9" s="24">
        <v>0</v>
      </c>
      <c r="BZ9" s="24">
        <v>38112</v>
      </c>
      <c r="CA9" s="24">
        <v>0</v>
      </c>
      <c r="CB9" s="24">
        <v>0</v>
      </c>
      <c r="CC9" s="24">
        <v>0</v>
      </c>
      <c r="CD9" s="24">
        <v>0</v>
      </c>
      <c r="CE9" s="24">
        <v>0</v>
      </c>
      <c r="CF9" s="24">
        <v>0</v>
      </c>
      <c r="CG9" s="24">
        <v>0</v>
      </c>
      <c r="CH9" s="24">
        <v>0</v>
      </c>
      <c r="CI9" s="24">
        <v>0</v>
      </c>
      <c r="CJ9" s="24">
        <v>0</v>
      </c>
      <c r="CK9" s="24">
        <v>0</v>
      </c>
      <c r="CL9" s="24">
        <v>0</v>
      </c>
      <c r="CM9" s="24">
        <v>0</v>
      </c>
      <c r="CN9" s="24">
        <v>0</v>
      </c>
      <c r="CO9" s="24">
        <v>0</v>
      </c>
      <c r="CP9" s="24">
        <v>0</v>
      </c>
      <c r="CQ9" s="24">
        <v>0</v>
      </c>
      <c r="CR9" s="24">
        <v>0</v>
      </c>
      <c r="CS9" s="24">
        <v>0</v>
      </c>
      <c r="CT9" s="24">
        <v>0</v>
      </c>
      <c r="CU9" s="24">
        <v>0</v>
      </c>
      <c r="CV9" s="24">
        <v>0</v>
      </c>
      <c r="CW9" s="24">
        <v>0</v>
      </c>
      <c r="CX9" s="24">
        <v>0</v>
      </c>
      <c r="CY9" s="24">
        <v>0</v>
      </c>
      <c r="CZ9" s="24">
        <v>0</v>
      </c>
      <c r="DA9" s="24">
        <v>0</v>
      </c>
      <c r="DB9" s="24">
        <v>0</v>
      </c>
      <c r="DC9" s="24">
        <v>0</v>
      </c>
      <c r="DD9" s="24">
        <v>0</v>
      </c>
      <c r="DE9" s="24">
        <v>0</v>
      </c>
      <c r="DF9" s="24">
        <v>208300</v>
      </c>
      <c r="DG9" s="24">
        <v>2082981</v>
      </c>
      <c r="DH9" s="24">
        <v>0</v>
      </c>
      <c r="DI9" s="24">
        <v>0</v>
      </c>
      <c r="DJ9" s="24">
        <v>0</v>
      </c>
      <c r="DK9" s="24">
        <v>0</v>
      </c>
      <c r="DL9" s="24">
        <v>180478</v>
      </c>
      <c r="DM9" s="24">
        <v>0</v>
      </c>
      <c r="DN9" s="24">
        <v>0</v>
      </c>
      <c r="DO9" s="24">
        <v>0</v>
      </c>
      <c r="DP9" s="24">
        <v>0</v>
      </c>
      <c r="DQ9" s="24">
        <v>0</v>
      </c>
      <c r="DR9" s="24">
        <v>0</v>
      </c>
      <c r="DS9" s="24">
        <v>0</v>
      </c>
      <c r="DT9" s="24">
        <v>0</v>
      </c>
      <c r="DU9" s="24">
        <v>303200</v>
      </c>
      <c r="DV9" s="24">
        <v>0</v>
      </c>
      <c r="DW9" s="24">
        <v>267881</v>
      </c>
      <c r="DX9" s="24">
        <v>0</v>
      </c>
      <c r="DY9" s="24">
        <v>0</v>
      </c>
      <c r="DZ9" s="24">
        <v>0</v>
      </c>
      <c r="EA9" s="24">
        <v>0</v>
      </c>
      <c r="EB9" s="24">
        <v>0</v>
      </c>
      <c r="EC9" s="24">
        <v>0</v>
      </c>
      <c r="ED9" s="24">
        <v>0</v>
      </c>
      <c r="EE9" s="24">
        <v>0</v>
      </c>
      <c r="EF9" s="24">
        <v>0</v>
      </c>
      <c r="EG9" s="24">
        <v>0</v>
      </c>
      <c r="EH9" s="24">
        <v>0</v>
      </c>
      <c r="EI9" s="24">
        <v>0</v>
      </c>
      <c r="EJ9" s="24">
        <v>0</v>
      </c>
      <c r="EK9" s="24">
        <v>0</v>
      </c>
      <c r="EL9" s="24">
        <v>0</v>
      </c>
      <c r="EM9" s="24">
        <v>0</v>
      </c>
      <c r="EN9" s="24">
        <v>0</v>
      </c>
      <c r="EO9" s="24">
        <v>0</v>
      </c>
      <c r="EP9" s="24">
        <v>0</v>
      </c>
      <c r="EQ9" s="24">
        <v>2859</v>
      </c>
      <c r="ER9" s="24">
        <v>0</v>
      </c>
      <c r="ES9" s="24">
        <v>0</v>
      </c>
      <c r="ET9" s="24">
        <v>0</v>
      </c>
      <c r="EU9" s="24">
        <v>0</v>
      </c>
      <c r="EV9" s="24">
        <v>0</v>
      </c>
      <c r="EW9" s="24">
        <v>0</v>
      </c>
      <c r="EX9" s="24">
        <v>0</v>
      </c>
      <c r="EY9" s="24">
        <v>0</v>
      </c>
      <c r="EZ9" s="24">
        <v>0</v>
      </c>
      <c r="FA9" s="24">
        <v>0</v>
      </c>
      <c r="FB9" s="24">
        <v>0</v>
      </c>
      <c r="FC9" s="24">
        <v>0</v>
      </c>
      <c r="FD9" s="24">
        <v>0</v>
      </c>
      <c r="FE9" s="24">
        <v>0</v>
      </c>
      <c r="FF9" s="24">
        <v>0</v>
      </c>
      <c r="FG9" s="24">
        <v>0</v>
      </c>
      <c r="FH9" s="24">
        <v>0</v>
      </c>
      <c r="FI9" s="24">
        <v>0</v>
      </c>
      <c r="FJ9" s="24">
        <v>0</v>
      </c>
      <c r="FK9" s="24">
        <v>469939</v>
      </c>
      <c r="FL9" s="24">
        <v>0</v>
      </c>
      <c r="FM9" s="24">
        <v>49634</v>
      </c>
      <c r="FN9" s="24">
        <v>0</v>
      </c>
      <c r="FO9" s="24">
        <v>0</v>
      </c>
      <c r="FP9" s="24">
        <v>0</v>
      </c>
      <c r="FQ9" s="24">
        <v>0</v>
      </c>
      <c r="FR9" s="24">
        <v>0</v>
      </c>
      <c r="FS9" s="24">
        <v>0</v>
      </c>
      <c r="FT9" s="24">
        <v>0</v>
      </c>
      <c r="FU9" s="24">
        <v>0</v>
      </c>
      <c r="FV9" s="24">
        <v>0</v>
      </c>
      <c r="FW9" s="24">
        <v>146729</v>
      </c>
      <c r="FX9" s="24">
        <v>0</v>
      </c>
      <c r="FY9" s="24">
        <v>0</v>
      </c>
      <c r="FZ9" s="24">
        <v>0</v>
      </c>
      <c r="GA9" s="24">
        <v>0</v>
      </c>
      <c r="GB9" s="24">
        <v>0</v>
      </c>
      <c r="GC9" s="24">
        <v>0</v>
      </c>
      <c r="GD9" s="24">
        <v>0</v>
      </c>
      <c r="GE9" s="24">
        <v>0</v>
      </c>
      <c r="GF9" s="24">
        <v>0</v>
      </c>
      <c r="GG9" s="24">
        <v>0</v>
      </c>
      <c r="GH9" s="24">
        <v>0</v>
      </c>
      <c r="GI9" s="24">
        <v>0</v>
      </c>
      <c r="GJ9" s="24">
        <v>0</v>
      </c>
      <c r="GK9" s="24">
        <v>0</v>
      </c>
      <c r="GL9" s="24">
        <v>0</v>
      </c>
      <c r="GM9" s="24">
        <v>8378</v>
      </c>
      <c r="GN9" s="24">
        <v>0</v>
      </c>
      <c r="GO9" s="24">
        <v>86156</v>
      </c>
      <c r="GP9" s="24">
        <v>0</v>
      </c>
      <c r="GQ9" s="24">
        <v>0</v>
      </c>
      <c r="GR9" s="24">
        <v>0</v>
      </c>
      <c r="GS9" s="24">
        <v>0</v>
      </c>
      <c r="GT9" s="24">
        <v>0</v>
      </c>
      <c r="GU9" s="24">
        <v>1769271</v>
      </c>
      <c r="GV9" s="24">
        <v>0</v>
      </c>
      <c r="GW9" s="24">
        <v>0</v>
      </c>
      <c r="GX9" s="24">
        <v>20000</v>
      </c>
      <c r="GY9" s="24">
        <v>97100397</v>
      </c>
      <c r="GZ9" s="24">
        <v>0</v>
      </c>
      <c r="HA9" s="24">
        <v>0</v>
      </c>
      <c r="HB9" s="24">
        <v>0</v>
      </c>
      <c r="HC9" s="24">
        <v>0</v>
      </c>
      <c r="HD9" s="24">
        <v>5299957</v>
      </c>
      <c r="HE9" s="24">
        <v>0</v>
      </c>
      <c r="HF9" s="24">
        <v>0</v>
      </c>
      <c r="HG9" s="24">
        <v>0</v>
      </c>
      <c r="HH9" s="24">
        <v>0</v>
      </c>
      <c r="HI9" s="24">
        <v>0</v>
      </c>
      <c r="HJ9" s="24">
        <v>13143598</v>
      </c>
      <c r="HK9" s="24">
        <v>4411575</v>
      </c>
      <c r="HL9" s="24">
        <v>0</v>
      </c>
      <c r="HM9" s="24">
        <v>0</v>
      </c>
      <c r="HN9" s="24">
        <v>0</v>
      </c>
      <c r="HO9" s="24">
        <v>0</v>
      </c>
      <c r="HP9" s="24">
        <v>0</v>
      </c>
      <c r="HQ9" s="24">
        <v>357995</v>
      </c>
      <c r="HR9" s="24">
        <v>0</v>
      </c>
      <c r="HS9" s="24">
        <v>0</v>
      </c>
      <c r="HT9" s="24">
        <v>0</v>
      </c>
      <c r="HU9" s="24">
        <v>0</v>
      </c>
      <c r="HV9" s="24">
        <v>0</v>
      </c>
      <c r="HW9" s="24">
        <v>0</v>
      </c>
      <c r="HX9" s="24">
        <v>0</v>
      </c>
      <c r="HY9" s="24">
        <v>0</v>
      </c>
      <c r="HZ9" s="24">
        <v>0</v>
      </c>
      <c r="IA9" s="24">
        <v>0</v>
      </c>
      <c r="IB9" s="24">
        <v>0</v>
      </c>
      <c r="IC9" s="24">
        <v>0</v>
      </c>
      <c r="ID9" s="24">
        <v>0</v>
      </c>
      <c r="IE9" s="24">
        <v>0</v>
      </c>
      <c r="IF9" s="24">
        <v>0</v>
      </c>
      <c r="IG9" s="24">
        <v>0</v>
      </c>
      <c r="IH9" s="24">
        <v>0</v>
      </c>
      <c r="II9" s="24">
        <v>0</v>
      </c>
      <c r="IJ9" s="24">
        <v>0</v>
      </c>
      <c r="IK9" s="24">
        <v>78875</v>
      </c>
      <c r="IL9" s="24">
        <v>0</v>
      </c>
      <c r="IM9" s="24">
        <v>909276</v>
      </c>
      <c r="IN9" s="24">
        <v>0</v>
      </c>
      <c r="IO9" s="24">
        <v>0</v>
      </c>
      <c r="IP9" s="24">
        <v>0</v>
      </c>
      <c r="IQ9" s="24">
        <v>0</v>
      </c>
      <c r="IR9" s="24">
        <v>0</v>
      </c>
      <c r="IS9" s="24">
        <v>0</v>
      </c>
      <c r="IT9" s="24">
        <v>0</v>
      </c>
      <c r="IU9" s="24">
        <v>0</v>
      </c>
      <c r="IV9" s="24">
        <v>0</v>
      </c>
      <c r="IW9" s="24">
        <v>0</v>
      </c>
      <c r="IX9" s="24">
        <v>0</v>
      </c>
      <c r="IY9" s="24">
        <v>0</v>
      </c>
      <c r="IZ9" s="24">
        <v>0</v>
      </c>
      <c r="JA9" s="24">
        <v>0</v>
      </c>
      <c r="JB9" s="24">
        <v>722890</v>
      </c>
      <c r="JC9" s="24">
        <v>99849</v>
      </c>
      <c r="JD9" s="24">
        <v>0</v>
      </c>
      <c r="JE9" s="24">
        <v>0</v>
      </c>
      <c r="JF9" s="24">
        <v>0</v>
      </c>
      <c r="JG9" s="24">
        <v>12740</v>
      </c>
      <c r="JH9" s="24">
        <v>0</v>
      </c>
      <c r="JI9" s="24">
        <v>0</v>
      </c>
      <c r="JJ9" s="24">
        <v>0</v>
      </c>
      <c r="JK9" s="24">
        <v>0</v>
      </c>
      <c r="JL9" s="24">
        <v>0</v>
      </c>
      <c r="JM9" s="24">
        <v>0</v>
      </c>
      <c r="JN9" s="24">
        <v>654065</v>
      </c>
      <c r="JO9" s="24">
        <v>0</v>
      </c>
      <c r="JP9" s="24">
        <v>0</v>
      </c>
      <c r="JQ9" s="24">
        <v>0</v>
      </c>
      <c r="JR9" s="24">
        <v>0</v>
      </c>
      <c r="JS9" s="24">
        <v>667073</v>
      </c>
      <c r="JT9" s="24">
        <v>153216</v>
      </c>
      <c r="JU9" s="24">
        <v>0</v>
      </c>
      <c r="JV9" s="24">
        <v>0</v>
      </c>
      <c r="JW9" s="24">
        <v>0</v>
      </c>
      <c r="JX9" s="24">
        <v>0</v>
      </c>
      <c r="JY9" s="24">
        <v>0</v>
      </c>
      <c r="JZ9" s="24">
        <v>0</v>
      </c>
      <c r="KA9" s="24">
        <v>730</v>
      </c>
      <c r="KB9" s="24">
        <v>0</v>
      </c>
      <c r="KC9" s="24">
        <v>252851</v>
      </c>
      <c r="KD9" s="24">
        <v>0</v>
      </c>
      <c r="KE9" s="24">
        <v>1133373</v>
      </c>
      <c r="KF9" s="24">
        <v>0</v>
      </c>
      <c r="KG9" s="24">
        <v>0</v>
      </c>
      <c r="KH9" s="24">
        <v>0</v>
      </c>
      <c r="KI9" s="24">
        <v>0</v>
      </c>
      <c r="KJ9" s="24">
        <v>0</v>
      </c>
      <c r="KK9" s="24">
        <v>0</v>
      </c>
      <c r="KL9" s="24">
        <v>0</v>
      </c>
      <c r="KM9" s="24">
        <v>0</v>
      </c>
      <c r="KN9" s="24">
        <v>0</v>
      </c>
      <c r="KO9" s="24">
        <v>0</v>
      </c>
      <c r="KP9" s="24">
        <v>0</v>
      </c>
      <c r="KQ9" s="24">
        <v>0</v>
      </c>
      <c r="KR9" s="24">
        <v>0</v>
      </c>
      <c r="KS9" s="24">
        <v>0</v>
      </c>
      <c r="KT9" s="24">
        <v>68133</v>
      </c>
      <c r="KU9" s="24">
        <v>18163</v>
      </c>
      <c r="KV9" s="24">
        <v>0</v>
      </c>
      <c r="KW9" s="24">
        <v>0</v>
      </c>
      <c r="KX9" s="24">
        <v>0</v>
      </c>
      <c r="KY9" s="24">
        <v>0</v>
      </c>
      <c r="KZ9" s="24">
        <v>0</v>
      </c>
      <c r="LA9" s="24">
        <v>0</v>
      </c>
      <c r="LB9" s="24">
        <v>0</v>
      </c>
      <c r="LC9" s="24">
        <v>0</v>
      </c>
      <c r="LD9" s="24">
        <v>0</v>
      </c>
      <c r="LE9" s="24">
        <v>0</v>
      </c>
      <c r="LF9" s="24">
        <v>0</v>
      </c>
      <c r="LG9" s="24">
        <v>0</v>
      </c>
      <c r="LH9" s="24">
        <v>0</v>
      </c>
      <c r="LI9" s="24">
        <v>0</v>
      </c>
      <c r="LJ9" s="24">
        <v>0</v>
      </c>
      <c r="LK9" s="24">
        <v>0</v>
      </c>
      <c r="LL9" s="24">
        <v>0</v>
      </c>
      <c r="LM9" s="24">
        <v>0</v>
      </c>
      <c r="LN9" s="24">
        <v>0</v>
      </c>
      <c r="LO9" s="24">
        <v>0</v>
      </c>
      <c r="LP9" s="24">
        <v>4595010</v>
      </c>
      <c r="LQ9" s="24">
        <v>0</v>
      </c>
      <c r="LR9" s="24">
        <v>0</v>
      </c>
      <c r="LS9" s="24">
        <v>183339</v>
      </c>
      <c r="LT9" s="24">
        <v>0</v>
      </c>
      <c r="LU9" s="24">
        <v>0</v>
      </c>
      <c r="LV9" s="24">
        <v>0</v>
      </c>
      <c r="LW9" s="24">
        <v>0</v>
      </c>
      <c r="LX9" s="24">
        <v>0</v>
      </c>
      <c r="LY9" s="24">
        <v>0</v>
      </c>
      <c r="LZ9" s="24">
        <v>0</v>
      </c>
      <c r="MA9" s="24">
        <v>0</v>
      </c>
      <c r="MB9" s="24">
        <v>0</v>
      </c>
      <c r="MC9" s="24">
        <v>0</v>
      </c>
      <c r="MD9" s="24">
        <v>0</v>
      </c>
      <c r="ME9" s="24">
        <v>0</v>
      </c>
      <c r="MF9" s="24">
        <v>0</v>
      </c>
      <c r="MG9" s="24">
        <v>0</v>
      </c>
      <c r="MH9" s="24">
        <v>0</v>
      </c>
      <c r="MI9" s="24">
        <v>0</v>
      </c>
      <c r="MJ9" s="24">
        <v>268979</v>
      </c>
      <c r="MK9" s="24">
        <v>0</v>
      </c>
      <c r="ML9" s="24">
        <v>0</v>
      </c>
      <c r="MM9" s="24">
        <v>0</v>
      </c>
      <c r="MN9" s="24">
        <v>0</v>
      </c>
      <c r="MO9" s="24">
        <v>0</v>
      </c>
      <c r="MP9" s="24">
        <v>0</v>
      </c>
      <c r="MQ9" s="24">
        <v>6894841</v>
      </c>
      <c r="MR9" s="24">
        <v>0</v>
      </c>
      <c r="MS9" s="24">
        <v>0</v>
      </c>
      <c r="MT9" s="24">
        <v>4881704</v>
      </c>
      <c r="MU9" s="24">
        <v>237675</v>
      </c>
      <c r="MV9" s="24">
        <v>0</v>
      </c>
      <c r="MW9" s="24">
        <v>0</v>
      </c>
      <c r="MX9" s="24">
        <v>0</v>
      </c>
      <c r="MY9" s="24">
        <v>0</v>
      </c>
      <c r="MZ9" s="24">
        <v>0</v>
      </c>
      <c r="NA9" s="24">
        <v>0</v>
      </c>
      <c r="NB9" s="24">
        <v>0</v>
      </c>
      <c r="NC9" s="24">
        <v>0</v>
      </c>
      <c r="ND9" s="24">
        <v>0</v>
      </c>
      <c r="NE9" s="24">
        <v>0</v>
      </c>
      <c r="NF9" s="24">
        <v>0</v>
      </c>
      <c r="NG9" s="24">
        <v>0</v>
      </c>
      <c r="NH9" s="24">
        <v>0</v>
      </c>
      <c r="NI9" s="24">
        <v>0</v>
      </c>
      <c r="NJ9" s="24">
        <v>0</v>
      </c>
      <c r="NK9" s="24">
        <v>0</v>
      </c>
      <c r="NL9" s="24">
        <v>0</v>
      </c>
      <c r="NM9" s="24">
        <v>0</v>
      </c>
      <c r="NN9" s="24">
        <v>0</v>
      </c>
      <c r="NO9" s="24">
        <v>0</v>
      </c>
      <c r="NP9" s="24">
        <v>0</v>
      </c>
      <c r="NQ9" s="24">
        <v>174510</v>
      </c>
      <c r="NR9" s="24">
        <v>529178</v>
      </c>
      <c r="NS9" s="24">
        <v>0</v>
      </c>
      <c r="NT9" s="24">
        <v>0</v>
      </c>
      <c r="NU9" s="24">
        <v>0</v>
      </c>
      <c r="NV9" s="24">
        <v>0</v>
      </c>
      <c r="NW9" s="24">
        <v>0</v>
      </c>
      <c r="NX9" s="24">
        <v>0</v>
      </c>
      <c r="NY9" s="24">
        <v>0</v>
      </c>
      <c r="NZ9" s="24">
        <v>0</v>
      </c>
      <c r="OA9" s="24">
        <v>0</v>
      </c>
      <c r="OB9" s="24">
        <v>0</v>
      </c>
      <c r="OC9" s="24">
        <v>0</v>
      </c>
      <c r="OD9" s="24">
        <v>0</v>
      </c>
      <c r="OE9" s="24">
        <v>250806</v>
      </c>
      <c r="OF9" s="24">
        <v>886184</v>
      </c>
      <c r="OG9" s="24">
        <v>0</v>
      </c>
      <c r="OH9" s="24">
        <v>0</v>
      </c>
      <c r="OI9" s="24">
        <v>0</v>
      </c>
      <c r="OJ9" s="24">
        <v>0</v>
      </c>
      <c r="OK9" s="24">
        <v>0</v>
      </c>
      <c r="OL9" s="24">
        <v>13211104</v>
      </c>
      <c r="OM9" s="24">
        <v>0</v>
      </c>
      <c r="ON9" s="24">
        <v>0</v>
      </c>
      <c r="OO9" s="24">
        <v>0</v>
      </c>
      <c r="OP9" s="24">
        <v>0</v>
      </c>
      <c r="OQ9" s="24">
        <v>0</v>
      </c>
      <c r="OR9" s="24">
        <v>0</v>
      </c>
      <c r="OS9" s="24">
        <v>0</v>
      </c>
      <c r="OT9" s="24">
        <v>0</v>
      </c>
      <c r="OU9" s="24">
        <v>3599599</v>
      </c>
      <c r="OV9" s="24">
        <v>0</v>
      </c>
      <c r="OW9" s="24">
        <v>0</v>
      </c>
      <c r="OX9" s="24">
        <v>0</v>
      </c>
      <c r="OY9" s="24">
        <v>264275</v>
      </c>
      <c r="OZ9" s="24">
        <v>0</v>
      </c>
      <c r="PA9" s="24">
        <v>0</v>
      </c>
      <c r="PB9" s="24">
        <v>0</v>
      </c>
      <c r="PC9" s="24">
        <v>0</v>
      </c>
      <c r="PD9" s="24">
        <v>0</v>
      </c>
      <c r="PE9" s="24">
        <v>0</v>
      </c>
      <c r="PF9" s="24">
        <v>0</v>
      </c>
      <c r="PG9" s="24">
        <v>0</v>
      </c>
      <c r="PH9" s="24">
        <v>0</v>
      </c>
      <c r="PI9" s="24">
        <v>0</v>
      </c>
      <c r="PJ9" s="24">
        <v>0</v>
      </c>
      <c r="PK9" s="24">
        <v>0</v>
      </c>
      <c r="PL9" s="24">
        <v>0</v>
      </c>
      <c r="PM9" s="24">
        <v>0</v>
      </c>
      <c r="PN9" s="24">
        <v>0</v>
      </c>
      <c r="PO9" s="24">
        <v>0</v>
      </c>
      <c r="PP9" s="24">
        <v>0</v>
      </c>
      <c r="PQ9" s="24">
        <v>0</v>
      </c>
      <c r="PR9" s="24">
        <v>0</v>
      </c>
      <c r="PS9" s="24">
        <v>0</v>
      </c>
      <c r="PT9" s="24">
        <v>0</v>
      </c>
      <c r="PU9" s="24">
        <v>0</v>
      </c>
      <c r="PV9" s="24">
        <v>0</v>
      </c>
      <c r="PW9" s="24">
        <v>0</v>
      </c>
      <c r="PX9" s="24">
        <v>0</v>
      </c>
      <c r="PY9" s="24">
        <v>0</v>
      </c>
      <c r="PZ9" s="24">
        <v>0</v>
      </c>
      <c r="QA9" s="24">
        <v>0</v>
      </c>
      <c r="QB9" s="24">
        <v>0</v>
      </c>
      <c r="QC9" s="24">
        <v>0</v>
      </c>
      <c r="QD9" s="24">
        <v>0</v>
      </c>
      <c r="QE9" s="24">
        <v>0</v>
      </c>
      <c r="QF9" s="24">
        <v>0</v>
      </c>
      <c r="QG9" s="24">
        <v>0</v>
      </c>
      <c r="QH9" s="24">
        <v>0</v>
      </c>
      <c r="QI9" s="24">
        <v>0</v>
      </c>
      <c r="QJ9" s="24">
        <v>0</v>
      </c>
      <c r="QK9" s="24">
        <v>0</v>
      </c>
      <c r="QL9" s="24">
        <v>4419000</v>
      </c>
      <c r="QM9" s="24">
        <v>0</v>
      </c>
      <c r="QN9" s="24">
        <v>0</v>
      </c>
      <c r="QO9" s="24">
        <v>0</v>
      </c>
      <c r="QP9" s="24">
        <v>0</v>
      </c>
      <c r="QQ9" s="24">
        <v>0</v>
      </c>
      <c r="QR9" s="24">
        <v>0</v>
      </c>
      <c r="QS9" s="25"/>
      <c r="QT9" s="5"/>
      <c r="QV9" s="4"/>
      <c r="QW9" s="39">
        <v>97100397</v>
      </c>
      <c r="QX9" s="39">
        <v>5299957</v>
      </c>
      <c r="QY9" s="39">
        <v>0</v>
      </c>
      <c r="QZ9" s="39">
        <v>0</v>
      </c>
      <c r="RA9" s="39">
        <v>0</v>
      </c>
      <c r="RB9" s="39">
        <v>13143598</v>
      </c>
      <c r="RC9" s="39">
        <v>4769570</v>
      </c>
      <c r="RD9" s="39">
        <v>78875</v>
      </c>
      <c r="RE9" s="39">
        <v>909276</v>
      </c>
      <c r="RF9" s="39">
        <v>0</v>
      </c>
      <c r="RG9" s="39">
        <v>822739</v>
      </c>
      <c r="RH9" s="39">
        <v>2874048</v>
      </c>
      <c r="RI9" s="39"/>
      <c r="RJ9" s="182"/>
      <c r="RK9" s="39"/>
      <c r="RL9" s="39">
        <v>18988522</v>
      </c>
      <c r="RM9" s="39">
        <v>124998460</v>
      </c>
      <c r="RN9" s="39">
        <v>92183042</v>
      </c>
      <c r="RO9" s="39">
        <v>21493978</v>
      </c>
      <c r="RP9" s="39"/>
      <c r="RQ9" s="182"/>
      <c r="RR9" s="39"/>
      <c r="RS9" s="39">
        <v>15800150918</v>
      </c>
      <c r="RT9" s="39">
        <v>628524.01368418965</v>
      </c>
      <c r="RU9" s="187">
        <v>5.2329400000000001</v>
      </c>
      <c r="RV9" s="39">
        <v>55300528.213</v>
      </c>
      <c r="RW9" s="39">
        <v>36882513.787</v>
      </c>
      <c r="RX9" s="4"/>
      <c r="RY9" s="5"/>
      <c r="RZ9" s="4"/>
      <c r="SA9" s="39">
        <v>124998460</v>
      </c>
      <c r="SB9" s="39">
        <v>6201571</v>
      </c>
      <c r="SC9" s="50">
        <v>0.95038682076563186</v>
      </c>
      <c r="SE9" s="5"/>
      <c r="SG9" s="124">
        <v>25138.5</v>
      </c>
      <c r="SH9" s="124">
        <v>11076.329576175111</v>
      </c>
      <c r="SI9" s="131">
        <v>0.44061219150606085</v>
      </c>
      <c r="SJ9" s="124">
        <v>1735</v>
      </c>
      <c r="SK9" s="131">
        <v>6.9017642261869239E-2</v>
      </c>
      <c r="SL9" s="124">
        <v>2905</v>
      </c>
      <c r="SM9" s="131">
        <v>0.11555979871511825</v>
      </c>
      <c r="SN9" s="142">
        <v>2033.4999999999998</v>
      </c>
      <c r="SO9" s="142">
        <v>581</v>
      </c>
      <c r="SP9" s="142">
        <v>203.35000000000002</v>
      </c>
      <c r="SQ9" s="142">
        <v>87.149999999999991</v>
      </c>
      <c r="SR9" s="124">
        <v>224</v>
      </c>
      <c r="SS9" s="124">
        <v>912.5</v>
      </c>
      <c r="ST9" s="124">
        <v>6077</v>
      </c>
      <c r="SU9" s="124">
        <v>6091</v>
      </c>
      <c r="SV9" s="124">
        <v>4041</v>
      </c>
      <c r="SW9" s="124">
        <v>8017</v>
      </c>
      <c r="SX9" s="124">
        <v>16264</v>
      </c>
      <c r="SY9" s="131">
        <v>0.253</v>
      </c>
      <c r="SZ9" s="134">
        <v>6360.0405000000001</v>
      </c>
      <c r="TA9" s="131">
        <v>0.193</v>
      </c>
      <c r="TB9" s="134">
        <v>4851.7305000000006</v>
      </c>
      <c r="TC9" s="293">
        <v>626</v>
      </c>
      <c r="TD9" s="168">
        <v>1508.31</v>
      </c>
      <c r="TF9" s="5"/>
      <c r="TH9" s="168">
        <v>4851.7305000000006</v>
      </c>
      <c r="TI9" s="168">
        <v>6360.0405000000001</v>
      </c>
      <c r="TJ9" s="205">
        <v>6360.0405000000001</v>
      </c>
      <c r="TK9" s="144"/>
      <c r="TL9" s="293"/>
      <c r="TM9" s="293">
        <v>626</v>
      </c>
      <c r="TN9" s="169">
        <v>1508.31</v>
      </c>
      <c r="TO9" s="205">
        <v>1508.31</v>
      </c>
      <c r="TP9" s="5"/>
      <c r="TR9" s="293" t="s">
        <v>91</v>
      </c>
      <c r="TT9" s="5"/>
      <c r="TV9" s="199">
        <v>55300528.213</v>
      </c>
      <c r="TW9" s="200">
        <v>0</v>
      </c>
      <c r="TX9" s="200">
        <v>118796889</v>
      </c>
      <c r="TY9" s="200" t="s">
        <v>91</v>
      </c>
      <c r="TZ9" s="200">
        <v>135747900</v>
      </c>
      <c r="UA9" s="204">
        <v>11962435.942269119</v>
      </c>
      <c r="UB9" s="204">
        <v>936900</v>
      </c>
      <c r="UC9" s="200">
        <v>0</v>
      </c>
      <c r="UD9" s="200">
        <v>0</v>
      </c>
      <c r="UE9" s="200">
        <v>0</v>
      </c>
      <c r="UF9" s="200">
        <v>0</v>
      </c>
      <c r="UG9" s="200">
        <v>0</v>
      </c>
      <c r="UH9" s="200">
        <v>0</v>
      </c>
      <c r="UI9" s="200">
        <v>0</v>
      </c>
      <c r="UJ9" s="200">
        <v>0</v>
      </c>
      <c r="UK9" s="200">
        <v>0</v>
      </c>
      <c r="UL9" s="200">
        <v>0</v>
      </c>
      <c r="UM9" s="200">
        <v>0</v>
      </c>
      <c r="UN9" s="200">
        <v>148647235.94226912</v>
      </c>
      <c r="UO9" s="200"/>
      <c r="UP9" s="182"/>
      <c r="UQ9" s="200"/>
      <c r="UR9" s="199">
        <v>148647235.94226912</v>
      </c>
      <c r="US9" s="199">
        <v>5913.130693647955</v>
      </c>
      <c r="UT9" s="199">
        <v>174097417.213</v>
      </c>
      <c r="UU9" s="199">
        <v>6925.5292564393258</v>
      </c>
      <c r="UV9" s="199">
        <v>-25450181.270730883</v>
      </c>
      <c r="UW9" s="199">
        <v>-1012.3985627913708</v>
      </c>
      <c r="UX9" s="131">
        <v>-0.14618356594913626</v>
      </c>
      <c r="UY9" s="199"/>
      <c r="UZ9" s="221"/>
      <c r="VA9" s="199"/>
      <c r="VB9" s="199">
        <v>18988522</v>
      </c>
      <c r="VC9" s="200">
        <v>6201571</v>
      </c>
      <c r="VD9" s="199">
        <v>36882513.787</v>
      </c>
      <c r="VE9" s="199">
        <v>21493978</v>
      </c>
      <c r="VG9" s="5"/>
      <c r="VI9" s="354">
        <v>210719842.72926912</v>
      </c>
      <c r="VJ9" s="355">
        <v>8382.3554599227919</v>
      </c>
      <c r="VK9" s="354">
        <v>236170024</v>
      </c>
      <c r="VL9" s="355">
        <v>9394.7540227141635</v>
      </c>
      <c r="VM9" s="131">
        <v>-0.10776211493602125</v>
      </c>
      <c r="VN9" s="131"/>
      <c r="VO9" s="354"/>
      <c r="VP9" s="200"/>
      <c r="VQ9" s="200"/>
      <c r="VR9" s="200"/>
      <c r="VS9" s="199"/>
    </row>
    <row r="10" spans="1:591">
      <c r="A10" s="26">
        <v>1.1000000000000001</v>
      </c>
      <c r="B10" s="2" t="s">
        <v>98</v>
      </c>
      <c r="C10" s="24">
        <v>0</v>
      </c>
      <c r="D10" s="24">
        <v>0</v>
      </c>
      <c r="E10" s="24">
        <v>0</v>
      </c>
      <c r="F10" s="24">
        <v>0</v>
      </c>
      <c r="G10" s="24">
        <v>0</v>
      </c>
      <c r="H10" s="24">
        <v>0</v>
      </c>
      <c r="I10" s="24">
        <v>0</v>
      </c>
      <c r="J10" s="24">
        <v>0</v>
      </c>
      <c r="K10" s="24">
        <v>0</v>
      </c>
      <c r="L10" s="24">
        <v>0</v>
      </c>
      <c r="M10" s="24">
        <v>0</v>
      </c>
      <c r="N10" s="24">
        <v>0</v>
      </c>
      <c r="O10" s="24">
        <v>0</v>
      </c>
      <c r="P10" s="24">
        <v>0</v>
      </c>
      <c r="Q10" s="24">
        <v>0</v>
      </c>
      <c r="R10" s="24">
        <v>0</v>
      </c>
      <c r="S10" s="24">
        <v>0</v>
      </c>
      <c r="T10" s="24">
        <v>0</v>
      </c>
      <c r="U10" s="24">
        <v>0</v>
      </c>
      <c r="V10" s="24">
        <v>0</v>
      </c>
      <c r="W10" s="24">
        <v>0</v>
      </c>
      <c r="X10" s="24">
        <v>0</v>
      </c>
      <c r="Y10" s="24">
        <v>0</v>
      </c>
      <c r="Z10" s="24">
        <v>0</v>
      </c>
      <c r="AA10" s="24">
        <v>0</v>
      </c>
      <c r="AB10" s="24">
        <v>0</v>
      </c>
      <c r="AC10" s="24">
        <v>0</v>
      </c>
      <c r="AD10" s="24">
        <v>0</v>
      </c>
      <c r="AE10" s="24">
        <v>0</v>
      </c>
      <c r="AF10" s="24">
        <v>0</v>
      </c>
      <c r="AG10" s="24">
        <v>0</v>
      </c>
      <c r="AH10" s="24">
        <v>0</v>
      </c>
      <c r="AI10" s="24">
        <v>0</v>
      </c>
      <c r="AJ10" s="24">
        <v>1739</v>
      </c>
      <c r="AK10" s="24">
        <v>0</v>
      </c>
      <c r="AL10" s="24">
        <v>0</v>
      </c>
      <c r="AM10" s="24">
        <v>0</v>
      </c>
      <c r="AN10" s="24">
        <v>0</v>
      </c>
      <c r="AO10" s="24">
        <v>0</v>
      </c>
      <c r="AP10" s="24">
        <v>0</v>
      </c>
      <c r="AQ10" s="24">
        <v>0</v>
      </c>
      <c r="AR10" s="24">
        <v>0</v>
      </c>
      <c r="AS10" s="24">
        <v>0</v>
      </c>
      <c r="AT10" s="24">
        <v>0</v>
      </c>
      <c r="AU10" s="24">
        <v>0</v>
      </c>
      <c r="AV10" s="24">
        <v>0</v>
      </c>
      <c r="AW10" s="24">
        <v>0</v>
      </c>
      <c r="AX10" s="24">
        <v>0</v>
      </c>
      <c r="AY10" s="24">
        <v>0</v>
      </c>
      <c r="AZ10" s="24">
        <v>0</v>
      </c>
      <c r="BA10" s="24">
        <v>0</v>
      </c>
      <c r="BB10" s="24">
        <v>0</v>
      </c>
      <c r="BC10" s="24">
        <v>0</v>
      </c>
      <c r="BD10" s="24">
        <v>0</v>
      </c>
      <c r="BE10" s="24">
        <v>0</v>
      </c>
      <c r="BF10" s="24">
        <v>0</v>
      </c>
      <c r="BG10" s="24">
        <v>0</v>
      </c>
      <c r="BH10" s="24">
        <v>0</v>
      </c>
      <c r="BI10" s="24">
        <v>0</v>
      </c>
      <c r="BJ10" s="24">
        <v>0</v>
      </c>
      <c r="BK10" s="24">
        <v>0</v>
      </c>
      <c r="BL10" s="24">
        <v>0</v>
      </c>
      <c r="BM10" s="24">
        <v>0</v>
      </c>
      <c r="BN10" s="24">
        <v>0</v>
      </c>
      <c r="BO10" s="24">
        <v>0</v>
      </c>
      <c r="BP10" s="24">
        <v>0</v>
      </c>
      <c r="BQ10" s="24">
        <v>0</v>
      </c>
      <c r="BR10" s="24">
        <v>0</v>
      </c>
      <c r="BS10" s="24">
        <v>0</v>
      </c>
      <c r="BT10" s="24">
        <v>0</v>
      </c>
      <c r="BU10" s="24">
        <v>0</v>
      </c>
      <c r="BV10" s="24">
        <v>46670</v>
      </c>
      <c r="BW10" s="24">
        <v>4739</v>
      </c>
      <c r="BX10" s="24">
        <v>0</v>
      </c>
      <c r="BY10" s="24">
        <v>0</v>
      </c>
      <c r="BZ10" s="24">
        <v>0</v>
      </c>
      <c r="CA10" s="24">
        <v>0</v>
      </c>
      <c r="CB10" s="24">
        <v>0</v>
      </c>
      <c r="CC10" s="24">
        <v>0</v>
      </c>
      <c r="CD10" s="24">
        <v>0</v>
      </c>
      <c r="CE10" s="24">
        <v>0</v>
      </c>
      <c r="CF10" s="24">
        <v>0</v>
      </c>
      <c r="CG10" s="24">
        <v>0</v>
      </c>
      <c r="CH10" s="24">
        <v>0</v>
      </c>
      <c r="CI10" s="24">
        <v>0</v>
      </c>
      <c r="CJ10" s="24">
        <v>0</v>
      </c>
      <c r="CK10" s="24">
        <v>0</v>
      </c>
      <c r="CL10" s="24">
        <v>27087</v>
      </c>
      <c r="CM10" s="24">
        <v>0</v>
      </c>
      <c r="CN10" s="24">
        <v>0</v>
      </c>
      <c r="CO10" s="24">
        <v>0</v>
      </c>
      <c r="CP10" s="24">
        <v>0</v>
      </c>
      <c r="CQ10" s="24">
        <v>0</v>
      </c>
      <c r="CR10" s="24">
        <v>0</v>
      </c>
      <c r="CS10" s="24">
        <v>0</v>
      </c>
      <c r="CT10" s="24">
        <v>0</v>
      </c>
      <c r="CU10" s="24">
        <v>0</v>
      </c>
      <c r="CV10" s="24">
        <v>0</v>
      </c>
      <c r="CW10" s="24">
        <v>0</v>
      </c>
      <c r="CX10" s="24">
        <v>0</v>
      </c>
      <c r="CY10" s="24">
        <v>0</v>
      </c>
      <c r="CZ10" s="24">
        <v>0</v>
      </c>
      <c r="DA10" s="24">
        <v>0</v>
      </c>
      <c r="DB10" s="24">
        <v>0</v>
      </c>
      <c r="DC10" s="24">
        <v>0</v>
      </c>
      <c r="DD10" s="24">
        <v>0</v>
      </c>
      <c r="DE10" s="24">
        <v>0</v>
      </c>
      <c r="DF10" s="24">
        <v>0</v>
      </c>
      <c r="DG10" s="24">
        <v>0</v>
      </c>
      <c r="DH10" s="24">
        <v>0</v>
      </c>
      <c r="DI10" s="24">
        <v>0</v>
      </c>
      <c r="DJ10" s="24">
        <v>0</v>
      </c>
      <c r="DK10" s="24">
        <v>0</v>
      </c>
      <c r="DL10" s="24">
        <v>17337</v>
      </c>
      <c r="DM10" s="24">
        <v>0</v>
      </c>
      <c r="DN10" s="24">
        <v>0</v>
      </c>
      <c r="DO10" s="24">
        <v>0</v>
      </c>
      <c r="DP10" s="24">
        <v>0</v>
      </c>
      <c r="DQ10" s="24">
        <v>0</v>
      </c>
      <c r="DR10" s="24">
        <v>0</v>
      </c>
      <c r="DS10" s="24">
        <v>0</v>
      </c>
      <c r="DT10" s="24">
        <v>0</v>
      </c>
      <c r="DU10" s="24">
        <v>136741</v>
      </c>
      <c r="DV10" s="24">
        <v>0</v>
      </c>
      <c r="DW10" s="24">
        <v>0</v>
      </c>
      <c r="DX10" s="24">
        <v>0</v>
      </c>
      <c r="DY10" s="24">
        <v>0</v>
      </c>
      <c r="DZ10" s="24">
        <v>0</v>
      </c>
      <c r="EA10" s="24">
        <v>0</v>
      </c>
      <c r="EB10" s="24">
        <v>3910</v>
      </c>
      <c r="EC10" s="24">
        <v>4996</v>
      </c>
      <c r="ED10" s="24">
        <v>0</v>
      </c>
      <c r="EE10" s="24">
        <v>0</v>
      </c>
      <c r="EF10" s="24">
        <v>0</v>
      </c>
      <c r="EG10" s="24">
        <v>0</v>
      </c>
      <c r="EH10" s="24">
        <v>0</v>
      </c>
      <c r="EI10" s="24">
        <v>0</v>
      </c>
      <c r="EJ10" s="24">
        <v>0</v>
      </c>
      <c r="EK10" s="24">
        <v>0</v>
      </c>
      <c r="EL10" s="24">
        <v>0</v>
      </c>
      <c r="EM10" s="24">
        <v>0</v>
      </c>
      <c r="EN10" s="24">
        <v>0</v>
      </c>
      <c r="EO10" s="24">
        <v>0</v>
      </c>
      <c r="EP10" s="24">
        <v>0</v>
      </c>
      <c r="EQ10" s="24">
        <v>0</v>
      </c>
      <c r="ER10" s="24">
        <v>0</v>
      </c>
      <c r="ES10" s="24">
        <v>0</v>
      </c>
      <c r="ET10" s="24">
        <v>0</v>
      </c>
      <c r="EU10" s="24">
        <v>0</v>
      </c>
      <c r="EV10" s="24">
        <v>0</v>
      </c>
      <c r="EW10" s="24">
        <v>0</v>
      </c>
      <c r="EX10" s="24">
        <v>0</v>
      </c>
      <c r="EY10" s="24">
        <v>0</v>
      </c>
      <c r="EZ10" s="24">
        <v>0</v>
      </c>
      <c r="FA10" s="24">
        <v>0</v>
      </c>
      <c r="FB10" s="24">
        <v>0</v>
      </c>
      <c r="FC10" s="24">
        <v>0</v>
      </c>
      <c r="FD10" s="24">
        <v>0</v>
      </c>
      <c r="FE10" s="24">
        <v>0</v>
      </c>
      <c r="FF10" s="24">
        <v>0</v>
      </c>
      <c r="FG10" s="24">
        <v>0</v>
      </c>
      <c r="FH10" s="24">
        <v>0</v>
      </c>
      <c r="FI10" s="24">
        <v>0</v>
      </c>
      <c r="FJ10" s="24">
        <v>0</v>
      </c>
      <c r="FK10" s="24">
        <v>17547</v>
      </c>
      <c r="FL10" s="24">
        <v>0</v>
      </c>
      <c r="FM10" s="24">
        <v>0</v>
      </c>
      <c r="FN10" s="24">
        <v>0</v>
      </c>
      <c r="FO10" s="24">
        <v>0</v>
      </c>
      <c r="FP10" s="24">
        <v>0</v>
      </c>
      <c r="FQ10" s="24">
        <v>56865</v>
      </c>
      <c r="FR10" s="24">
        <v>0</v>
      </c>
      <c r="FS10" s="24">
        <v>0</v>
      </c>
      <c r="FT10" s="24">
        <v>0</v>
      </c>
      <c r="FU10" s="24">
        <v>0</v>
      </c>
      <c r="FV10" s="24">
        <v>0</v>
      </c>
      <c r="FW10" s="24">
        <v>0</v>
      </c>
      <c r="FX10" s="24">
        <v>0</v>
      </c>
      <c r="FY10" s="24">
        <v>0</v>
      </c>
      <c r="FZ10" s="24">
        <v>0</v>
      </c>
      <c r="GA10" s="24">
        <v>0</v>
      </c>
      <c r="GB10" s="24">
        <v>0</v>
      </c>
      <c r="GC10" s="24">
        <v>0</v>
      </c>
      <c r="GD10" s="24">
        <v>0</v>
      </c>
      <c r="GE10" s="24">
        <v>0</v>
      </c>
      <c r="GF10" s="24">
        <v>0</v>
      </c>
      <c r="GG10" s="24">
        <v>0</v>
      </c>
      <c r="GH10" s="24">
        <v>0</v>
      </c>
      <c r="GI10" s="24">
        <v>0</v>
      </c>
      <c r="GJ10" s="24">
        <v>0</v>
      </c>
      <c r="GK10" s="24">
        <v>0</v>
      </c>
      <c r="GL10" s="24">
        <v>0</v>
      </c>
      <c r="GM10" s="24">
        <v>0</v>
      </c>
      <c r="GN10" s="24">
        <v>0</v>
      </c>
      <c r="GO10" s="24">
        <v>0</v>
      </c>
      <c r="GP10" s="24">
        <v>0</v>
      </c>
      <c r="GQ10" s="24">
        <v>0</v>
      </c>
      <c r="GR10" s="24">
        <v>0</v>
      </c>
      <c r="GS10" s="24">
        <v>0</v>
      </c>
      <c r="GT10" s="24">
        <v>0</v>
      </c>
      <c r="GU10" s="24">
        <v>0</v>
      </c>
      <c r="GV10" s="24">
        <v>0</v>
      </c>
      <c r="GW10" s="24">
        <v>0</v>
      </c>
      <c r="GX10" s="24">
        <v>0</v>
      </c>
      <c r="GY10" s="24">
        <v>1487857</v>
      </c>
      <c r="GZ10" s="24">
        <v>0</v>
      </c>
      <c r="HA10" s="24">
        <v>0</v>
      </c>
      <c r="HB10" s="24">
        <v>0</v>
      </c>
      <c r="HC10" s="24">
        <v>0</v>
      </c>
      <c r="HD10" s="24">
        <v>0</v>
      </c>
      <c r="HE10" s="24">
        <v>0</v>
      </c>
      <c r="HF10" s="24">
        <v>0</v>
      </c>
      <c r="HG10" s="24">
        <v>0</v>
      </c>
      <c r="HH10" s="24">
        <v>0</v>
      </c>
      <c r="HI10" s="24">
        <v>0</v>
      </c>
      <c r="HJ10" s="24">
        <v>195703</v>
      </c>
      <c r="HK10" s="24">
        <v>130100</v>
      </c>
      <c r="HL10" s="24">
        <v>0</v>
      </c>
      <c r="HM10" s="24">
        <v>0</v>
      </c>
      <c r="HN10" s="24">
        <v>0</v>
      </c>
      <c r="HO10" s="24">
        <v>0</v>
      </c>
      <c r="HP10" s="24">
        <v>0</v>
      </c>
      <c r="HQ10" s="24">
        <v>0</v>
      </c>
      <c r="HR10" s="24">
        <v>0</v>
      </c>
      <c r="HS10" s="24">
        <v>0</v>
      </c>
      <c r="HT10" s="24">
        <v>0</v>
      </c>
      <c r="HU10" s="24">
        <v>0</v>
      </c>
      <c r="HV10" s="24">
        <v>17903</v>
      </c>
      <c r="HW10" s="24">
        <v>4387</v>
      </c>
      <c r="HX10" s="24">
        <v>0</v>
      </c>
      <c r="HY10" s="24">
        <v>0</v>
      </c>
      <c r="HZ10" s="24">
        <v>0</v>
      </c>
      <c r="IA10" s="24">
        <v>0</v>
      </c>
      <c r="IB10" s="24">
        <v>0</v>
      </c>
      <c r="IC10" s="24">
        <v>0</v>
      </c>
      <c r="ID10" s="24">
        <v>0</v>
      </c>
      <c r="IE10" s="24">
        <v>0</v>
      </c>
      <c r="IF10" s="24">
        <v>0</v>
      </c>
      <c r="IG10" s="24">
        <v>0</v>
      </c>
      <c r="IH10" s="24">
        <v>0</v>
      </c>
      <c r="II10" s="24">
        <v>0</v>
      </c>
      <c r="IJ10" s="24">
        <v>0</v>
      </c>
      <c r="IK10" s="24">
        <v>0</v>
      </c>
      <c r="IL10" s="24">
        <v>0</v>
      </c>
      <c r="IM10" s="24">
        <v>0</v>
      </c>
      <c r="IN10" s="24">
        <v>0</v>
      </c>
      <c r="IO10" s="24">
        <v>0</v>
      </c>
      <c r="IP10" s="24">
        <v>0</v>
      </c>
      <c r="IQ10" s="24">
        <v>0</v>
      </c>
      <c r="IR10" s="24">
        <v>0</v>
      </c>
      <c r="IS10" s="24">
        <v>0</v>
      </c>
      <c r="IT10" s="24">
        <v>0</v>
      </c>
      <c r="IU10" s="24">
        <v>0</v>
      </c>
      <c r="IV10" s="24">
        <v>16253</v>
      </c>
      <c r="IW10" s="24">
        <v>0</v>
      </c>
      <c r="IX10" s="24">
        <v>0</v>
      </c>
      <c r="IY10" s="24">
        <v>0</v>
      </c>
      <c r="IZ10" s="24">
        <v>0</v>
      </c>
      <c r="JA10" s="24">
        <v>0</v>
      </c>
      <c r="JB10" s="24">
        <v>0</v>
      </c>
      <c r="JC10" s="24">
        <v>0</v>
      </c>
      <c r="JD10" s="24">
        <v>0</v>
      </c>
      <c r="JE10" s="24">
        <v>0</v>
      </c>
      <c r="JF10" s="24">
        <v>0</v>
      </c>
      <c r="JG10" s="24">
        <v>0</v>
      </c>
      <c r="JH10" s="24">
        <v>0</v>
      </c>
      <c r="JI10" s="24">
        <v>0</v>
      </c>
      <c r="JJ10" s="24">
        <v>0</v>
      </c>
      <c r="JK10" s="24">
        <v>0</v>
      </c>
      <c r="JL10" s="24">
        <v>0</v>
      </c>
      <c r="JM10" s="24">
        <v>0</v>
      </c>
      <c r="JN10" s="24">
        <v>0</v>
      </c>
      <c r="JO10" s="24">
        <v>0</v>
      </c>
      <c r="JP10" s="24">
        <v>0</v>
      </c>
      <c r="JQ10" s="24">
        <v>0</v>
      </c>
      <c r="JR10" s="24">
        <v>0</v>
      </c>
      <c r="JS10" s="24">
        <v>0</v>
      </c>
      <c r="JT10" s="24">
        <v>0</v>
      </c>
      <c r="JU10" s="24">
        <v>0</v>
      </c>
      <c r="JV10" s="24">
        <v>0</v>
      </c>
      <c r="JW10" s="24">
        <v>0</v>
      </c>
      <c r="JX10" s="24">
        <v>0</v>
      </c>
      <c r="JY10" s="24">
        <v>0</v>
      </c>
      <c r="JZ10" s="24">
        <v>0</v>
      </c>
      <c r="KA10" s="24">
        <v>0</v>
      </c>
      <c r="KB10" s="24">
        <v>0</v>
      </c>
      <c r="KC10" s="24">
        <v>0</v>
      </c>
      <c r="KD10" s="24">
        <v>0</v>
      </c>
      <c r="KE10" s="24">
        <v>0</v>
      </c>
      <c r="KF10" s="24">
        <v>0</v>
      </c>
      <c r="KG10" s="24">
        <v>0</v>
      </c>
      <c r="KH10" s="24">
        <v>0</v>
      </c>
      <c r="KI10" s="24">
        <v>0</v>
      </c>
      <c r="KJ10" s="24">
        <v>0</v>
      </c>
      <c r="KK10" s="24">
        <v>0</v>
      </c>
      <c r="KL10" s="24">
        <v>0</v>
      </c>
      <c r="KM10" s="24">
        <v>0</v>
      </c>
      <c r="KN10" s="24">
        <v>0</v>
      </c>
      <c r="KO10" s="24">
        <v>0</v>
      </c>
      <c r="KP10" s="24">
        <v>0</v>
      </c>
      <c r="KQ10" s="24">
        <v>0</v>
      </c>
      <c r="KR10" s="24">
        <v>0</v>
      </c>
      <c r="KS10" s="24">
        <v>0</v>
      </c>
      <c r="KT10" s="24">
        <v>0</v>
      </c>
      <c r="KU10" s="24">
        <v>0</v>
      </c>
      <c r="KV10" s="24">
        <v>0</v>
      </c>
      <c r="KW10" s="24">
        <v>0</v>
      </c>
      <c r="KX10" s="24">
        <v>0</v>
      </c>
      <c r="KY10" s="24">
        <v>0</v>
      </c>
      <c r="KZ10" s="24">
        <v>0</v>
      </c>
      <c r="LA10" s="24">
        <v>0</v>
      </c>
      <c r="LB10" s="24">
        <v>0</v>
      </c>
      <c r="LC10" s="24">
        <v>0</v>
      </c>
      <c r="LD10" s="24">
        <v>0</v>
      </c>
      <c r="LE10" s="24">
        <v>1000</v>
      </c>
      <c r="LF10" s="24">
        <v>0</v>
      </c>
      <c r="LG10" s="24">
        <v>0</v>
      </c>
      <c r="LH10" s="24">
        <v>0</v>
      </c>
      <c r="LI10" s="24">
        <v>0</v>
      </c>
      <c r="LJ10" s="24">
        <v>0</v>
      </c>
      <c r="LK10" s="24">
        <v>0</v>
      </c>
      <c r="LL10" s="24">
        <v>0</v>
      </c>
      <c r="LM10" s="24">
        <v>0</v>
      </c>
      <c r="LN10" s="24">
        <v>0</v>
      </c>
      <c r="LO10" s="24">
        <v>0</v>
      </c>
      <c r="LP10" s="24">
        <v>0</v>
      </c>
      <c r="LQ10" s="24">
        <v>0</v>
      </c>
      <c r="LR10" s="24">
        <v>0</v>
      </c>
      <c r="LS10" s="24">
        <v>0</v>
      </c>
      <c r="LT10" s="24">
        <v>0</v>
      </c>
      <c r="LU10" s="24">
        <v>0</v>
      </c>
      <c r="LV10" s="24">
        <v>0</v>
      </c>
      <c r="LW10" s="24">
        <v>0</v>
      </c>
      <c r="LX10" s="24">
        <v>0</v>
      </c>
      <c r="LY10" s="24">
        <v>0</v>
      </c>
      <c r="LZ10" s="24">
        <v>0</v>
      </c>
      <c r="MA10" s="24">
        <v>0</v>
      </c>
      <c r="MB10" s="24">
        <v>0</v>
      </c>
      <c r="MC10" s="24">
        <v>0</v>
      </c>
      <c r="MD10" s="24">
        <v>0</v>
      </c>
      <c r="ME10" s="24">
        <v>0</v>
      </c>
      <c r="MF10" s="24">
        <v>0</v>
      </c>
      <c r="MG10" s="24">
        <v>0</v>
      </c>
      <c r="MH10" s="24">
        <v>0</v>
      </c>
      <c r="MI10" s="24">
        <v>0</v>
      </c>
      <c r="MJ10" s="24">
        <v>0</v>
      </c>
      <c r="MK10" s="24">
        <v>0</v>
      </c>
      <c r="ML10" s="24">
        <v>0</v>
      </c>
      <c r="MM10" s="24">
        <v>0</v>
      </c>
      <c r="MN10" s="24">
        <v>0</v>
      </c>
      <c r="MO10" s="24">
        <v>0</v>
      </c>
      <c r="MP10" s="24">
        <v>0</v>
      </c>
      <c r="MQ10" s="24">
        <v>19965</v>
      </c>
      <c r="MR10" s="24">
        <v>0</v>
      </c>
      <c r="MS10" s="24">
        <v>0</v>
      </c>
      <c r="MT10" s="24">
        <v>46926</v>
      </c>
      <c r="MU10" s="24">
        <v>0</v>
      </c>
      <c r="MV10" s="24">
        <v>0</v>
      </c>
      <c r="MW10" s="24">
        <v>0</v>
      </c>
      <c r="MX10" s="24">
        <v>0</v>
      </c>
      <c r="MY10" s="24">
        <v>0</v>
      </c>
      <c r="MZ10" s="24">
        <v>0</v>
      </c>
      <c r="NA10" s="24">
        <v>0</v>
      </c>
      <c r="NB10" s="24">
        <v>0</v>
      </c>
      <c r="NC10" s="24">
        <v>0</v>
      </c>
      <c r="ND10" s="24">
        <v>0</v>
      </c>
      <c r="NE10" s="24">
        <v>0</v>
      </c>
      <c r="NF10" s="24">
        <v>0</v>
      </c>
      <c r="NG10" s="24">
        <v>0</v>
      </c>
      <c r="NH10" s="24">
        <v>0</v>
      </c>
      <c r="NI10" s="24">
        <v>0</v>
      </c>
      <c r="NJ10" s="24">
        <v>0</v>
      </c>
      <c r="NK10" s="24">
        <v>0</v>
      </c>
      <c r="NL10" s="24">
        <v>0</v>
      </c>
      <c r="NM10" s="24">
        <v>0</v>
      </c>
      <c r="NN10" s="24">
        <v>0</v>
      </c>
      <c r="NO10" s="24">
        <v>0</v>
      </c>
      <c r="NP10" s="24">
        <v>0</v>
      </c>
      <c r="NQ10" s="24">
        <v>0</v>
      </c>
      <c r="NR10" s="24">
        <v>0</v>
      </c>
      <c r="NS10" s="24">
        <v>0</v>
      </c>
      <c r="NT10" s="24">
        <v>0</v>
      </c>
      <c r="NU10" s="24">
        <v>0</v>
      </c>
      <c r="NV10" s="24">
        <v>0</v>
      </c>
      <c r="NW10" s="24">
        <v>0</v>
      </c>
      <c r="NX10" s="24">
        <v>0</v>
      </c>
      <c r="NY10" s="24">
        <v>0</v>
      </c>
      <c r="NZ10" s="24">
        <v>0</v>
      </c>
      <c r="OA10" s="24">
        <v>0</v>
      </c>
      <c r="OB10" s="24">
        <v>0</v>
      </c>
      <c r="OC10" s="24">
        <v>0</v>
      </c>
      <c r="OD10" s="24">
        <v>0</v>
      </c>
      <c r="OE10" s="24">
        <v>0</v>
      </c>
      <c r="OF10" s="24">
        <v>3692</v>
      </c>
      <c r="OG10" s="24">
        <v>0</v>
      </c>
      <c r="OH10" s="24">
        <v>0</v>
      </c>
      <c r="OI10" s="24">
        <v>0</v>
      </c>
      <c r="OJ10" s="24">
        <v>0</v>
      </c>
      <c r="OK10" s="24">
        <v>0</v>
      </c>
      <c r="OL10" s="24">
        <v>0</v>
      </c>
      <c r="OM10" s="24">
        <v>0</v>
      </c>
      <c r="ON10" s="24">
        <v>0</v>
      </c>
      <c r="OO10" s="24">
        <v>0</v>
      </c>
      <c r="OP10" s="24">
        <v>0</v>
      </c>
      <c r="OQ10" s="24">
        <v>0</v>
      </c>
      <c r="OR10" s="24">
        <v>0</v>
      </c>
      <c r="OS10" s="24">
        <v>0</v>
      </c>
      <c r="OT10" s="24">
        <v>0</v>
      </c>
      <c r="OU10" s="24">
        <v>0</v>
      </c>
      <c r="OV10" s="24">
        <v>0</v>
      </c>
      <c r="OW10" s="24">
        <v>0</v>
      </c>
      <c r="OX10" s="24">
        <v>0</v>
      </c>
      <c r="OY10" s="24">
        <v>0</v>
      </c>
      <c r="OZ10" s="24">
        <v>0</v>
      </c>
      <c r="PA10" s="24">
        <v>0</v>
      </c>
      <c r="PB10" s="24">
        <v>0</v>
      </c>
      <c r="PC10" s="24">
        <v>0</v>
      </c>
      <c r="PD10" s="24">
        <v>0</v>
      </c>
      <c r="PE10" s="24">
        <v>0</v>
      </c>
      <c r="PF10" s="24">
        <v>0</v>
      </c>
      <c r="PG10" s="24">
        <v>0</v>
      </c>
      <c r="PH10" s="24">
        <v>0</v>
      </c>
      <c r="PI10" s="24">
        <v>0</v>
      </c>
      <c r="PJ10" s="24">
        <v>0</v>
      </c>
      <c r="PK10" s="24">
        <v>0</v>
      </c>
      <c r="PL10" s="24">
        <v>0</v>
      </c>
      <c r="PM10" s="24">
        <v>0</v>
      </c>
      <c r="PN10" s="24">
        <v>0</v>
      </c>
      <c r="PO10" s="24">
        <v>0</v>
      </c>
      <c r="PP10" s="24">
        <v>0</v>
      </c>
      <c r="PQ10" s="24">
        <v>0</v>
      </c>
      <c r="PR10" s="24">
        <v>0</v>
      </c>
      <c r="PS10" s="24">
        <v>0</v>
      </c>
      <c r="PT10" s="24">
        <v>0</v>
      </c>
      <c r="PU10" s="24">
        <v>0</v>
      </c>
      <c r="PV10" s="24">
        <v>0</v>
      </c>
      <c r="PW10" s="24">
        <v>0</v>
      </c>
      <c r="PX10" s="24">
        <v>0</v>
      </c>
      <c r="PY10" s="24">
        <v>0</v>
      </c>
      <c r="PZ10" s="24">
        <v>0</v>
      </c>
      <c r="QA10" s="24">
        <v>0</v>
      </c>
      <c r="QB10" s="24">
        <v>0</v>
      </c>
      <c r="QC10" s="24">
        <v>0</v>
      </c>
      <c r="QD10" s="24">
        <v>0</v>
      </c>
      <c r="QE10" s="24">
        <v>0</v>
      </c>
      <c r="QF10" s="24">
        <v>0</v>
      </c>
      <c r="QG10" s="24">
        <v>0</v>
      </c>
      <c r="QH10" s="24">
        <v>0</v>
      </c>
      <c r="QI10" s="24">
        <v>0</v>
      </c>
      <c r="QJ10" s="24">
        <v>0</v>
      </c>
      <c r="QK10" s="24">
        <v>0</v>
      </c>
      <c r="QL10" s="24">
        <v>0</v>
      </c>
      <c r="QM10" s="24">
        <v>0</v>
      </c>
      <c r="QN10" s="24">
        <v>0</v>
      </c>
      <c r="QO10" s="24">
        <v>0</v>
      </c>
      <c r="QP10" s="24">
        <v>0</v>
      </c>
      <c r="QQ10" s="24">
        <v>0</v>
      </c>
      <c r="QR10" s="24">
        <v>0</v>
      </c>
      <c r="QS10" s="4">
        <v>1</v>
      </c>
      <c r="QT10" s="5"/>
      <c r="QV10" s="4"/>
      <c r="QW10" s="39">
        <v>1487857</v>
      </c>
      <c r="QX10" s="39">
        <v>0</v>
      </c>
      <c r="QY10" s="39">
        <v>0</v>
      </c>
      <c r="QZ10" s="39">
        <v>0</v>
      </c>
      <c r="RA10" s="39">
        <v>0</v>
      </c>
      <c r="RB10" s="39">
        <v>195703</v>
      </c>
      <c r="RC10" s="39">
        <v>152390</v>
      </c>
      <c r="RD10" s="39">
        <v>0</v>
      </c>
      <c r="RE10" s="39">
        <v>0</v>
      </c>
      <c r="RF10" s="39">
        <v>16253</v>
      </c>
      <c r="RG10" s="39">
        <v>0</v>
      </c>
      <c r="RH10" s="39">
        <v>0</v>
      </c>
      <c r="RI10" s="39"/>
      <c r="RJ10" s="182"/>
      <c r="RK10" s="39"/>
      <c r="RL10" s="39">
        <v>71583</v>
      </c>
      <c r="RM10" s="39">
        <v>1852203</v>
      </c>
      <c r="RN10" s="39">
        <v>317631</v>
      </c>
      <c r="RO10" s="39">
        <v>0</v>
      </c>
      <c r="RP10" s="39"/>
      <c r="RQ10" s="182"/>
      <c r="RR10" s="39"/>
      <c r="RS10" s="39">
        <v>0</v>
      </c>
      <c r="RT10" s="39">
        <v>0</v>
      </c>
      <c r="RU10" s="187">
        <v>0</v>
      </c>
      <c r="RV10" s="39">
        <v>0</v>
      </c>
      <c r="RW10" s="39">
        <v>317631</v>
      </c>
      <c r="RX10" s="4"/>
      <c r="RY10" s="5"/>
      <c r="RZ10" s="4"/>
      <c r="SA10" s="39">
        <v>1852203</v>
      </c>
      <c r="SB10" s="39">
        <v>16253</v>
      </c>
      <c r="SC10" s="50">
        <v>0.99122504390717436</v>
      </c>
      <c r="SE10" s="5"/>
      <c r="SG10" s="124">
        <v>359</v>
      </c>
      <c r="SH10" s="124">
        <v>0</v>
      </c>
      <c r="SI10" s="131">
        <v>0</v>
      </c>
      <c r="SJ10">
        <v>0</v>
      </c>
      <c r="SK10" s="131">
        <v>0</v>
      </c>
      <c r="SL10" s="124">
        <v>0</v>
      </c>
      <c r="SM10" s="131">
        <v>0</v>
      </c>
      <c r="SN10" s="142">
        <v>0</v>
      </c>
      <c r="SO10" s="142">
        <v>0</v>
      </c>
      <c r="SP10" s="142">
        <v>0</v>
      </c>
      <c r="SQ10" s="142">
        <v>0</v>
      </c>
      <c r="SR10" s="124">
        <v>0</v>
      </c>
      <c r="SS10" s="124">
        <v>33</v>
      </c>
      <c r="ST10" s="124">
        <v>105</v>
      </c>
      <c r="SU10" s="124">
        <v>79</v>
      </c>
      <c r="SV10" s="124">
        <v>142</v>
      </c>
      <c r="SW10" s="124">
        <v>0</v>
      </c>
      <c r="SX10" s="124">
        <v>257</v>
      </c>
      <c r="SY10" s="131">
        <v>0.253</v>
      </c>
      <c r="SZ10" s="134">
        <v>90.826999999999998</v>
      </c>
      <c r="TA10" s="131">
        <v>0.193</v>
      </c>
      <c r="TB10" s="134">
        <v>69.287000000000006</v>
      </c>
      <c r="TC10" s="293">
        <v>0</v>
      </c>
      <c r="TD10" s="168">
        <v>21.54</v>
      </c>
      <c r="TF10" s="5"/>
      <c r="TH10" s="168">
        <v>69.287000000000006</v>
      </c>
      <c r="TI10" s="168">
        <v>90.826999999999998</v>
      </c>
      <c r="TJ10" s="205">
        <v>90.826999999999998</v>
      </c>
      <c r="TK10" s="144"/>
      <c r="TL10" s="293"/>
      <c r="TM10" s="293">
        <v>0</v>
      </c>
      <c r="TN10" s="169">
        <v>21.54</v>
      </c>
      <c r="TO10" s="205">
        <v>21.54</v>
      </c>
      <c r="TP10" s="5"/>
      <c r="TR10" s="293" t="s">
        <v>91</v>
      </c>
      <c r="TT10" s="5"/>
      <c r="TV10" s="199">
        <v>0</v>
      </c>
      <c r="TW10" s="200">
        <v>0</v>
      </c>
      <c r="TX10" s="200">
        <v>1835950</v>
      </c>
      <c r="TY10" s="200" t="s">
        <v>91</v>
      </c>
      <c r="TZ10" s="200">
        <v>1938600</v>
      </c>
      <c r="UA10" s="204">
        <v>0</v>
      </c>
      <c r="UB10" s="204">
        <v>0</v>
      </c>
      <c r="UC10" s="200">
        <v>0</v>
      </c>
      <c r="UD10" s="200">
        <v>0</v>
      </c>
      <c r="UE10" s="200">
        <v>0</v>
      </c>
      <c r="UF10" s="200">
        <v>0</v>
      </c>
      <c r="UG10" s="200">
        <v>0</v>
      </c>
      <c r="UH10" s="200">
        <v>0</v>
      </c>
      <c r="UI10" s="200">
        <v>0</v>
      </c>
      <c r="UJ10" s="200">
        <v>0</v>
      </c>
      <c r="UK10" s="200">
        <v>0</v>
      </c>
      <c r="UL10" s="200">
        <v>0</v>
      </c>
      <c r="UM10" s="200">
        <v>0</v>
      </c>
      <c r="UN10" s="200">
        <v>1938600</v>
      </c>
      <c r="UO10" s="200"/>
      <c r="UP10" s="182"/>
      <c r="UQ10" s="200"/>
      <c r="UR10" s="199">
        <v>1938600</v>
      </c>
      <c r="US10" s="199">
        <v>5400</v>
      </c>
      <c r="UT10" s="199">
        <v>1835950</v>
      </c>
      <c r="UU10" s="199">
        <v>5114.0668523676877</v>
      </c>
      <c r="UV10" s="199">
        <v>102650</v>
      </c>
      <c r="UW10" s="199">
        <v>285.93314763231228</v>
      </c>
      <c r="UX10" s="131">
        <v>5.5911108690323875E-2</v>
      </c>
      <c r="UY10" s="199"/>
      <c r="UZ10" s="221"/>
      <c r="VA10" s="199"/>
      <c r="VB10" s="199">
        <v>71583</v>
      </c>
      <c r="VC10" s="200">
        <v>16253</v>
      </c>
      <c r="VD10" s="199">
        <v>317631</v>
      </c>
      <c r="VE10" s="199">
        <v>0</v>
      </c>
      <c r="VG10" s="5"/>
      <c r="VI10" s="354">
        <v>2344067</v>
      </c>
      <c r="VJ10" s="355">
        <v>6529.4345403899724</v>
      </c>
      <c r="VK10" s="354">
        <v>2241417</v>
      </c>
      <c r="VL10" s="355">
        <v>6243.5013927576601</v>
      </c>
      <c r="VM10" s="131">
        <v>4.5796922214831115E-2</v>
      </c>
      <c r="VN10" s="131"/>
      <c r="VO10" s="354"/>
      <c r="VP10" s="200"/>
      <c r="VQ10" s="200"/>
      <c r="VR10" s="200"/>
      <c r="VS10" s="199"/>
    </row>
    <row r="11" spans="1:591">
      <c r="A11" s="3">
        <v>2</v>
      </c>
      <c r="B11" s="2" t="s">
        <v>99</v>
      </c>
      <c r="C11" s="24">
        <v>0</v>
      </c>
      <c r="D11" s="24">
        <v>0</v>
      </c>
      <c r="E11" s="24">
        <v>0</v>
      </c>
      <c r="F11" s="24">
        <v>0</v>
      </c>
      <c r="G11" s="24">
        <v>14233334</v>
      </c>
      <c r="H11" s="24">
        <v>0</v>
      </c>
      <c r="I11" s="24">
        <v>1138870</v>
      </c>
      <c r="J11" s="24">
        <v>270322</v>
      </c>
      <c r="K11" s="24">
        <v>0</v>
      </c>
      <c r="L11" s="24">
        <v>0</v>
      </c>
      <c r="M11" s="24">
        <v>0</v>
      </c>
      <c r="N11" s="24">
        <v>2739</v>
      </c>
      <c r="O11" s="24">
        <v>0</v>
      </c>
      <c r="P11" s="24">
        <v>0</v>
      </c>
      <c r="Q11" s="24">
        <v>0</v>
      </c>
      <c r="R11" s="24">
        <v>0</v>
      </c>
      <c r="S11" s="24">
        <v>20234129</v>
      </c>
      <c r="T11" s="24">
        <v>0</v>
      </c>
      <c r="U11" s="24">
        <v>0</v>
      </c>
      <c r="V11" s="24">
        <v>22352558</v>
      </c>
      <c r="W11" s="24">
        <v>39990</v>
      </c>
      <c r="X11" s="24">
        <v>0</v>
      </c>
      <c r="Y11" s="24">
        <v>60271</v>
      </c>
      <c r="Z11" s="24">
        <v>48583</v>
      </c>
      <c r="AA11" s="24">
        <v>0</v>
      </c>
      <c r="AB11" s="24">
        <v>0</v>
      </c>
      <c r="AC11" s="24">
        <v>2536096</v>
      </c>
      <c r="AD11" s="24">
        <v>0</v>
      </c>
      <c r="AE11" s="24">
        <v>0</v>
      </c>
      <c r="AF11" s="24">
        <v>0</v>
      </c>
      <c r="AG11" s="24">
        <v>0</v>
      </c>
      <c r="AH11" s="24">
        <v>0</v>
      </c>
      <c r="AI11" s="24">
        <v>0</v>
      </c>
      <c r="AJ11" s="24">
        <v>84799</v>
      </c>
      <c r="AK11" s="24">
        <v>0</v>
      </c>
      <c r="AL11" s="24">
        <v>0</v>
      </c>
      <c r="AM11" s="24">
        <v>0</v>
      </c>
      <c r="AN11" s="24">
        <v>0</v>
      </c>
      <c r="AO11" s="24">
        <v>0</v>
      </c>
      <c r="AP11" s="24">
        <v>0</v>
      </c>
      <c r="AQ11" s="24">
        <v>0</v>
      </c>
      <c r="AR11" s="24">
        <v>0</v>
      </c>
      <c r="AS11" s="24">
        <v>0</v>
      </c>
      <c r="AT11" s="24">
        <v>0</v>
      </c>
      <c r="AU11" s="24">
        <v>0</v>
      </c>
      <c r="AV11" s="24">
        <v>0</v>
      </c>
      <c r="AW11" s="24">
        <v>0</v>
      </c>
      <c r="AX11" s="24">
        <v>0</v>
      </c>
      <c r="AY11" s="24">
        <v>0</v>
      </c>
      <c r="AZ11" s="24">
        <v>0</v>
      </c>
      <c r="BA11" s="24">
        <v>4831</v>
      </c>
      <c r="BB11" s="24">
        <v>7710</v>
      </c>
      <c r="BC11" s="24">
        <v>155189</v>
      </c>
      <c r="BD11" s="24">
        <v>0</v>
      </c>
      <c r="BE11" s="24">
        <v>0</v>
      </c>
      <c r="BF11" s="24">
        <v>0</v>
      </c>
      <c r="BG11" s="24">
        <v>0</v>
      </c>
      <c r="BH11" s="24">
        <v>0</v>
      </c>
      <c r="BI11" s="24">
        <v>0</v>
      </c>
      <c r="BJ11" s="24">
        <v>0</v>
      </c>
      <c r="BK11" s="24">
        <v>0</v>
      </c>
      <c r="BL11" s="24">
        <v>0</v>
      </c>
      <c r="BM11" s="24">
        <v>0</v>
      </c>
      <c r="BN11" s="24">
        <v>0</v>
      </c>
      <c r="BO11" s="24">
        <v>0</v>
      </c>
      <c r="BP11" s="24">
        <v>0</v>
      </c>
      <c r="BQ11" s="24">
        <v>0</v>
      </c>
      <c r="BR11" s="24">
        <v>0</v>
      </c>
      <c r="BS11" s="24">
        <v>0</v>
      </c>
      <c r="BT11" s="24">
        <v>0</v>
      </c>
      <c r="BU11" s="24">
        <v>0</v>
      </c>
      <c r="BV11" s="24">
        <v>3710148</v>
      </c>
      <c r="BW11" s="24">
        <v>101260</v>
      </c>
      <c r="BX11" s="24">
        <v>0</v>
      </c>
      <c r="BY11" s="24">
        <v>0</v>
      </c>
      <c r="BZ11" s="24">
        <v>33072</v>
      </c>
      <c r="CA11" s="24">
        <v>0</v>
      </c>
      <c r="CB11" s="24">
        <v>0</v>
      </c>
      <c r="CC11" s="24">
        <v>0</v>
      </c>
      <c r="CD11" s="24">
        <v>0</v>
      </c>
      <c r="CE11" s="24">
        <v>0</v>
      </c>
      <c r="CF11" s="24">
        <v>0</v>
      </c>
      <c r="CG11" s="24">
        <v>0</v>
      </c>
      <c r="CH11" s="24">
        <v>0</v>
      </c>
      <c r="CI11" s="24">
        <v>0</v>
      </c>
      <c r="CJ11" s="24">
        <v>0</v>
      </c>
      <c r="CK11" s="24">
        <v>0</v>
      </c>
      <c r="CL11" s="24">
        <v>0</v>
      </c>
      <c r="CM11" s="24">
        <v>0</v>
      </c>
      <c r="CN11" s="24">
        <v>0</v>
      </c>
      <c r="CO11" s="24">
        <v>0</v>
      </c>
      <c r="CP11" s="24">
        <v>0</v>
      </c>
      <c r="CQ11" s="24">
        <v>0</v>
      </c>
      <c r="CR11" s="24">
        <v>0</v>
      </c>
      <c r="CS11" s="24">
        <v>0</v>
      </c>
      <c r="CT11" s="24">
        <v>0</v>
      </c>
      <c r="CU11" s="24">
        <v>0</v>
      </c>
      <c r="CV11" s="24">
        <v>0</v>
      </c>
      <c r="CW11" s="24">
        <v>0</v>
      </c>
      <c r="CX11" s="24">
        <v>0</v>
      </c>
      <c r="CY11" s="24">
        <v>0</v>
      </c>
      <c r="CZ11" s="24">
        <v>0</v>
      </c>
      <c r="DA11" s="24">
        <v>0</v>
      </c>
      <c r="DB11" s="24">
        <v>0</v>
      </c>
      <c r="DC11" s="24">
        <v>0</v>
      </c>
      <c r="DD11" s="24">
        <v>0</v>
      </c>
      <c r="DE11" s="24">
        <v>0</v>
      </c>
      <c r="DF11" s="24">
        <v>0</v>
      </c>
      <c r="DG11" s="24">
        <v>0</v>
      </c>
      <c r="DH11" s="24">
        <v>0</v>
      </c>
      <c r="DI11" s="24">
        <v>0</v>
      </c>
      <c r="DJ11" s="24">
        <v>0</v>
      </c>
      <c r="DK11" s="24">
        <v>0</v>
      </c>
      <c r="DL11" s="24">
        <v>503290</v>
      </c>
      <c r="DM11" s="24">
        <v>0</v>
      </c>
      <c r="DN11" s="24">
        <v>0</v>
      </c>
      <c r="DO11" s="24">
        <v>0</v>
      </c>
      <c r="DP11" s="24">
        <v>0</v>
      </c>
      <c r="DQ11" s="24">
        <v>0</v>
      </c>
      <c r="DR11" s="24">
        <v>0</v>
      </c>
      <c r="DS11" s="24">
        <v>0</v>
      </c>
      <c r="DT11" s="24">
        <v>0</v>
      </c>
      <c r="DU11" s="24">
        <v>0</v>
      </c>
      <c r="DV11" s="24">
        <v>0</v>
      </c>
      <c r="DW11" s="24">
        <v>0</v>
      </c>
      <c r="DX11" s="24">
        <v>0</v>
      </c>
      <c r="DY11" s="24">
        <v>0</v>
      </c>
      <c r="DZ11" s="24">
        <v>0</v>
      </c>
      <c r="EA11" s="24">
        <v>0</v>
      </c>
      <c r="EB11" s="24">
        <v>0</v>
      </c>
      <c r="EC11" s="24">
        <v>0</v>
      </c>
      <c r="ED11" s="24">
        <v>0</v>
      </c>
      <c r="EE11" s="24">
        <v>0</v>
      </c>
      <c r="EF11" s="24">
        <v>0</v>
      </c>
      <c r="EG11" s="24">
        <v>0</v>
      </c>
      <c r="EH11" s="24">
        <v>0</v>
      </c>
      <c r="EI11" s="24">
        <v>0</v>
      </c>
      <c r="EJ11" s="24">
        <v>0</v>
      </c>
      <c r="EK11" s="24">
        <v>0</v>
      </c>
      <c r="EL11" s="24">
        <v>0</v>
      </c>
      <c r="EM11" s="24">
        <v>0</v>
      </c>
      <c r="EN11" s="24">
        <v>0</v>
      </c>
      <c r="EO11" s="24">
        <v>0</v>
      </c>
      <c r="EP11" s="24">
        <v>0</v>
      </c>
      <c r="EQ11" s="24">
        <v>0</v>
      </c>
      <c r="ER11" s="24">
        <v>0</v>
      </c>
      <c r="ES11" s="24">
        <v>0</v>
      </c>
      <c r="ET11" s="24">
        <v>0</v>
      </c>
      <c r="EU11" s="24">
        <v>0</v>
      </c>
      <c r="EV11" s="24">
        <v>0</v>
      </c>
      <c r="EW11" s="24">
        <v>0</v>
      </c>
      <c r="EX11" s="24">
        <v>0</v>
      </c>
      <c r="EY11" s="24">
        <v>0</v>
      </c>
      <c r="EZ11" s="24">
        <v>0</v>
      </c>
      <c r="FA11" s="24">
        <v>0</v>
      </c>
      <c r="FB11" s="24">
        <v>0</v>
      </c>
      <c r="FC11" s="24">
        <v>18820</v>
      </c>
      <c r="FD11" s="24">
        <v>0</v>
      </c>
      <c r="FE11" s="24">
        <v>0</v>
      </c>
      <c r="FF11" s="24">
        <v>0</v>
      </c>
      <c r="FG11" s="24">
        <v>0</v>
      </c>
      <c r="FH11" s="24">
        <v>0</v>
      </c>
      <c r="FI11" s="24">
        <v>0</v>
      </c>
      <c r="FJ11" s="24">
        <v>0</v>
      </c>
      <c r="FK11" s="24">
        <v>2065887</v>
      </c>
      <c r="FL11" s="24">
        <v>628</v>
      </c>
      <c r="FM11" s="24">
        <v>0</v>
      </c>
      <c r="FN11" s="24">
        <v>0</v>
      </c>
      <c r="FO11" s="24">
        <v>0</v>
      </c>
      <c r="FP11" s="24">
        <v>0</v>
      </c>
      <c r="FQ11" s="24">
        <v>0</v>
      </c>
      <c r="FR11" s="24">
        <v>8000</v>
      </c>
      <c r="FS11" s="24">
        <v>0</v>
      </c>
      <c r="FT11" s="24">
        <v>0</v>
      </c>
      <c r="FU11" s="24">
        <v>0</v>
      </c>
      <c r="FV11" s="24">
        <v>0</v>
      </c>
      <c r="FW11" s="24">
        <v>192493</v>
      </c>
      <c r="FX11" s="24">
        <v>0</v>
      </c>
      <c r="FY11" s="24">
        <v>0</v>
      </c>
      <c r="FZ11" s="24">
        <v>0</v>
      </c>
      <c r="GA11" s="24">
        <v>6587</v>
      </c>
      <c r="GB11" s="24">
        <v>0</v>
      </c>
      <c r="GC11" s="24">
        <v>0</v>
      </c>
      <c r="GD11" s="24">
        <v>0</v>
      </c>
      <c r="GE11" s="24">
        <v>0</v>
      </c>
      <c r="GF11" s="24">
        <v>0</v>
      </c>
      <c r="GG11" s="24">
        <v>0</v>
      </c>
      <c r="GH11" s="24">
        <v>0</v>
      </c>
      <c r="GI11" s="24">
        <v>0</v>
      </c>
      <c r="GJ11" s="24">
        <v>0</v>
      </c>
      <c r="GK11" s="24">
        <v>0</v>
      </c>
      <c r="GL11" s="24">
        <v>0</v>
      </c>
      <c r="GM11" s="24">
        <v>0</v>
      </c>
      <c r="GN11" s="24">
        <v>0</v>
      </c>
      <c r="GO11" s="24">
        <v>78358</v>
      </c>
      <c r="GP11" s="24">
        <v>0</v>
      </c>
      <c r="GQ11" s="24">
        <v>0</v>
      </c>
      <c r="GR11" s="24">
        <v>0</v>
      </c>
      <c r="GS11" s="24">
        <v>0</v>
      </c>
      <c r="GT11" s="24">
        <v>0</v>
      </c>
      <c r="GU11" s="24">
        <v>0</v>
      </c>
      <c r="GV11" s="24">
        <v>0</v>
      </c>
      <c r="GW11" s="24">
        <v>0</v>
      </c>
      <c r="GX11" s="24">
        <v>0</v>
      </c>
      <c r="GY11" s="24">
        <v>136191522</v>
      </c>
      <c r="GZ11" s="24">
        <v>0</v>
      </c>
      <c r="HA11" s="24">
        <v>1972959</v>
      </c>
      <c r="HB11" s="24">
        <v>0</v>
      </c>
      <c r="HC11" s="24">
        <v>0</v>
      </c>
      <c r="HD11" s="24">
        <v>7817057</v>
      </c>
      <c r="HE11" s="24">
        <v>0</v>
      </c>
      <c r="HF11" s="24">
        <v>0</v>
      </c>
      <c r="HG11" s="24">
        <v>0</v>
      </c>
      <c r="HH11" s="24">
        <v>0</v>
      </c>
      <c r="HI11" s="24">
        <v>354882</v>
      </c>
      <c r="HJ11" s="24">
        <v>17925544</v>
      </c>
      <c r="HK11" s="24">
        <v>507987</v>
      </c>
      <c r="HL11" s="24">
        <v>0</v>
      </c>
      <c r="HM11" s="24">
        <v>0</v>
      </c>
      <c r="HN11" s="24">
        <v>0</v>
      </c>
      <c r="HO11" s="24">
        <v>0</v>
      </c>
      <c r="HP11" s="24">
        <v>0</v>
      </c>
      <c r="HQ11" s="24">
        <v>839909</v>
      </c>
      <c r="HR11" s="24">
        <v>0</v>
      </c>
      <c r="HS11" s="24">
        <v>0</v>
      </c>
      <c r="HT11" s="24">
        <v>0</v>
      </c>
      <c r="HU11" s="24">
        <v>0</v>
      </c>
      <c r="HV11" s="24">
        <v>0</v>
      </c>
      <c r="HW11" s="24">
        <v>235903</v>
      </c>
      <c r="HX11" s="24">
        <v>0</v>
      </c>
      <c r="HY11" s="24">
        <v>0</v>
      </c>
      <c r="HZ11" s="24">
        <v>0</v>
      </c>
      <c r="IA11" s="24">
        <v>0</v>
      </c>
      <c r="IB11" s="24">
        <v>0</v>
      </c>
      <c r="IC11" s="24">
        <v>0</v>
      </c>
      <c r="ID11" s="24">
        <v>0</v>
      </c>
      <c r="IE11" s="24">
        <v>0</v>
      </c>
      <c r="IF11" s="24">
        <v>447899</v>
      </c>
      <c r="IG11" s="24">
        <v>0</v>
      </c>
      <c r="IH11" s="24">
        <v>0</v>
      </c>
      <c r="II11" s="24">
        <v>0</v>
      </c>
      <c r="IJ11" s="24">
        <v>0</v>
      </c>
      <c r="IK11" s="24">
        <v>91643</v>
      </c>
      <c r="IL11" s="24">
        <v>0</v>
      </c>
      <c r="IM11" s="24">
        <v>4155598</v>
      </c>
      <c r="IN11" s="24">
        <v>607415</v>
      </c>
      <c r="IO11" s="24">
        <v>0</v>
      </c>
      <c r="IP11" s="24">
        <v>0</v>
      </c>
      <c r="IQ11" s="24">
        <v>0</v>
      </c>
      <c r="IR11" s="24">
        <v>212638</v>
      </c>
      <c r="IS11" s="24">
        <v>0</v>
      </c>
      <c r="IT11" s="24">
        <v>0</v>
      </c>
      <c r="IU11" s="24">
        <v>0</v>
      </c>
      <c r="IV11" s="24">
        <v>0</v>
      </c>
      <c r="IW11" s="24">
        <v>0</v>
      </c>
      <c r="IX11" s="24">
        <v>0</v>
      </c>
      <c r="IY11" s="24">
        <v>1591765</v>
      </c>
      <c r="IZ11" s="24">
        <v>0</v>
      </c>
      <c r="JA11" s="24">
        <v>0</v>
      </c>
      <c r="JB11" s="24">
        <v>349732</v>
      </c>
      <c r="JC11" s="24">
        <v>0</v>
      </c>
      <c r="JD11" s="24">
        <v>0</v>
      </c>
      <c r="JE11" s="24">
        <v>18013</v>
      </c>
      <c r="JF11" s="24">
        <v>0</v>
      </c>
      <c r="JG11" s="24">
        <v>0</v>
      </c>
      <c r="JH11" s="24">
        <v>0</v>
      </c>
      <c r="JI11" s="24">
        <v>0</v>
      </c>
      <c r="JJ11" s="24">
        <v>0</v>
      </c>
      <c r="JK11" s="24">
        <v>0</v>
      </c>
      <c r="JL11" s="24">
        <v>0</v>
      </c>
      <c r="JM11" s="24">
        <v>0</v>
      </c>
      <c r="JN11" s="24">
        <v>439367</v>
      </c>
      <c r="JO11" s="24">
        <v>0</v>
      </c>
      <c r="JP11" s="24">
        <v>0</v>
      </c>
      <c r="JQ11" s="24">
        <v>0</v>
      </c>
      <c r="JR11" s="24">
        <v>0</v>
      </c>
      <c r="JS11" s="24">
        <v>0</v>
      </c>
      <c r="JT11" s="24">
        <v>0</v>
      </c>
      <c r="JU11" s="24">
        <v>0</v>
      </c>
      <c r="JV11" s="24">
        <v>0</v>
      </c>
      <c r="JW11" s="24">
        <v>0</v>
      </c>
      <c r="JX11" s="24">
        <v>0</v>
      </c>
      <c r="JY11" s="24">
        <v>0</v>
      </c>
      <c r="JZ11" s="24">
        <v>0</v>
      </c>
      <c r="KA11" s="24">
        <v>0</v>
      </c>
      <c r="KB11" s="24">
        <v>0</v>
      </c>
      <c r="KC11" s="24">
        <v>0</v>
      </c>
      <c r="KD11" s="24">
        <v>0</v>
      </c>
      <c r="KE11" s="24">
        <v>0</v>
      </c>
      <c r="KF11" s="24">
        <v>0</v>
      </c>
      <c r="KG11" s="24">
        <v>0</v>
      </c>
      <c r="KH11" s="24">
        <v>0</v>
      </c>
      <c r="KI11" s="24">
        <v>0</v>
      </c>
      <c r="KJ11" s="24">
        <v>0</v>
      </c>
      <c r="KK11" s="24">
        <v>0</v>
      </c>
      <c r="KL11" s="24">
        <v>0</v>
      </c>
      <c r="KM11" s="24">
        <v>0</v>
      </c>
      <c r="KN11" s="24">
        <v>0</v>
      </c>
      <c r="KO11" s="24">
        <v>0</v>
      </c>
      <c r="KP11" s="24">
        <v>0</v>
      </c>
      <c r="KQ11" s="24">
        <v>0</v>
      </c>
      <c r="KR11" s="24">
        <v>0</v>
      </c>
      <c r="KS11" s="24">
        <v>0</v>
      </c>
      <c r="KT11" s="24">
        <v>0</v>
      </c>
      <c r="KU11" s="24">
        <v>0</v>
      </c>
      <c r="KV11" s="24">
        <v>0</v>
      </c>
      <c r="KW11" s="24">
        <v>0</v>
      </c>
      <c r="KX11" s="24">
        <v>0</v>
      </c>
      <c r="KY11" s="24">
        <v>0</v>
      </c>
      <c r="KZ11" s="24">
        <v>0</v>
      </c>
      <c r="LA11" s="24">
        <v>0</v>
      </c>
      <c r="LB11" s="24">
        <v>0</v>
      </c>
      <c r="LC11" s="24">
        <v>0</v>
      </c>
      <c r="LD11" s="24">
        <v>0</v>
      </c>
      <c r="LE11" s="24">
        <v>0</v>
      </c>
      <c r="LF11" s="24">
        <v>0</v>
      </c>
      <c r="LG11" s="24">
        <v>0</v>
      </c>
      <c r="LH11" s="24">
        <v>0</v>
      </c>
      <c r="LI11" s="24">
        <v>0</v>
      </c>
      <c r="LJ11" s="24">
        <v>0</v>
      </c>
      <c r="LK11" s="24">
        <v>0</v>
      </c>
      <c r="LL11" s="24">
        <v>0</v>
      </c>
      <c r="LM11" s="24">
        <v>0</v>
      </c>
      <c r="LN11" s="24">
        <v>0</v>
      </c>
      <c r="LO11" s="24">
        <v>0</v>
      </c>
      <c r="LP11" s="24">
        <v>3763441</v>
      </c>
      <c r="LQ11" s="24">
        <v>0</v>
      </c>
      <c r="LR11" s="24">
        <v>0</v>
      </c>
      <c r="LS11" s="24">
        <v>0</v>
      </c>
      <c r="LT11" s="24">
        <v>0</v>
      </c>
      <c r="LU11" s="24">
        <v>0</v>
      </c>
      <c r="LV11" s="24">
        <v>0</v>
      </c>
      <c r="LW11" s="24">
        <v>0</v>
      </c>
      <c r="LX11" s="24">
        <v>0</v>
      </c>
      <c r="LY11" s="24">
        <v>0</v>
      </c>
      <c r="LZ11" s="24">
        <v>0</v>
      </c>
      <c r="MA11" s="24">
        <v>0</v>
      </c>
      <c r="MB11" s="24">
        <v>0</v>
      </c>
      <c r="MC11" s="24">
        <v>0</v>
      </c>
      <c r="MD11" s="24">
        <v>0</v>
      </c>
      <c r="ME11" s="24">
        <v>0</v>
      </c>
      <c r="MF11" s="24">
        <v>0</v>
      </c>
      <c r="MG11" s="24">
        <v>0</v>
      </c>
      <c r="MH11" s="24">
        <v>0</v>
      </c>
      <c r="MI11" s="24">
        <v>0</v>
      </c>
      <c r="MJ11" s="24">
        <v>303753</v>
      </c>
      <c r="MK11" s="24">
        <v>0</v>
      </c>
      <c r="ML11" s="24">
        <v>0</v>
      </c>
      <c r="MM11" s="24">
        <v>0</v>
      </c>
      <c r="MN11" s="24">
        <v>0</v>
      </c>
      <c r="MO11" s="24">
        <v>0</v>
      </c>
      <c r="MP11" s="24">
        <v>0</v>
      </c>
      <c r="MQ11" s="24">
        <v>5602961</v>
      </c>
      <c r="MR11" s="24">
        <v>0</v>
      </c>
      <c r="MS11" s="24">
        <v>0</v>
      </c>
      <c r="MT11" s="24">
        <v>5406686</v>
      </c>
      <c r="MU11" s="24">
        <v>190732</v>
      </c>
      <c r="MV11" s="24">
        <v>0</v>
      </c>
      <c r="MW11" s="24">
        <v>0</v>
      </c>
      <c r="MX11" s="24">
        <v>2500</v>
      </c>
      <c r="MY11" s="24">
        <v>0</v>
      </c>
      <c r="MZ11" s="24">
        <v>0</v>
      </c>
      <c r="NA11" s="24">
        <v>0</v>
      </c>
      <c r="NB11" s="24">
        <v>0</v>
      </c>
      <c r="NC11" s="24">
        <v>0</v>
      </c>
      <c r="ND11" s="24">
        <v>128316</v>
      </c>
      <c r="NE11" s="24">
        <v>0</v>
      </c>
      <c r="NF11" s="24">
        <v>0</v>
      </c>
      <c r="NG11" s="24">
        <v>0</v>
      </c>
      <c r="NH11" s="24">
        <v>0</v>
      </c>
      <c r="NI11" s="24">
        <v>0</v>
      </c>
      <c r="NJ11" s="24">
        <v>0</v>
      </c>
      <c r="NK11" s="24">
        <v>0</v>
      </c>
      <c r="NL11" s="24">
        <v>0</v>
      </c>
      <c r="NM11" s="24">
        <v>0</v>
      </c>
      <c r="NN11" s="24">
        <v>0</v>
      </c>
      <c r="NO11" s="24">
        <v>0</v>
      </c>
      <c r="NP11" s="24">
        <v>0</v>
      </c>
      <c r="NQ11" s="24">
        <v>166198</v>
      </c>
      <c r="NR11" s="24">
        <v>559837</v>
      </c>
      <c r="NS11" s="24">
        <v>0</v>
      </c>
      <c r="NT11" s="24">
        <v>0</v>
      </c>
      <c r="NU11" s="24">
        <v>9294</v>
      </c>
      <c r="NV11" s="24">
        <v>31763</v>
      </c>
      <c r="NW11" s="24">
        <v>0</v>
      </c>
      <c r="NX11" s="24">
        <v>0</v>
      </c>
      <c r="NY11" s="24">
        <v>0</v>
      </c>
      <c r="NZ11" s="24">
        <v>0</v>
      </c>
      <c r="OA11" s="24">
        <v>0</v>
      </c>
      <c r="OB11" s="24">
        <v>0</v>
      </c>
      <c r="OC11" s="24">
        <v>0</v>
      </c>
      <c r="OD11" s="24">
        <v>0</v>
      </c>
      <c r="OE11" s="24">
        <v>0</v>
      </c>
      <c r="OF11" s="24">
        <v>0</v>
      </c>
      <c r="OG11" s="24">
        <v>0</v>
      </c>
      <c r="OH11" s="24">
        <v>0</v>
      </c>
      <c r="OI11" s="24">
        <v>0</v>
      </c>
      <c r="OJ11" s="24">
        <v>0</v>
      </c>
      <c r="OK11" s="24">
        <v>0</v>
      </c>
      <c r="OL11" s="24">
        <v>20610199</v>
      </c>
      <c r="OM11" s="24">
        <v>96585796</v>
      </c>
      <c r="ON11" s="24">
        <v>0</v>
      </c>
      <c r="OO11" s="24">
        <v>0</v>
      </c>
      <c r="OP11" s="24">
        <v>0</v>
      </c>
      <c r="OQ11" s="24">
        <v>0</v>
      </c>
      <c r="OR11" s="24">
        <v>0</v>
      </c>
      <c r="OS11" s="24">
        <v>0</v>
      </c>
      <c r="OT11" s="24">
        <v>0</v>
      </c>
      <c r="OU11" s="24">
        <v>0</v>
      </c>
      <c r="OV11" s="24">
        <v>0</v>
      </c>
      <c r="OW11" s="24">
        <v>0</v>
      </c>
      <c r="OX11" s="24">
        <v>0</v>
      </c>
      <c r="OY11" s="24">
        <v>554510</v>
      </c>
      <c r="OZ11" s="24">
        <v>0</v>
      </c>
      <c r="PA11" s="24">
        <v>0</v>
      </c>
      <c r="PB11" s="24">
        <v>0</v>
      </c>
      <c r="PC11" s="24">
        <v>0</v>
      </c>
      <c r="PD11" s="24">
        <v>0</v>
      </c>
      <c r="PE11" s="24">
        <v>0</v>
      </c>
      <c r="PF11" s="24">
        <v>65335</v>
      </c>
      <c r="PG11" s="24">
        <v>0</v>
      </c>
      <c r="PH11" s="24">
        <v>0</v>
      </c>
      <c r="PI11" s="24">
        <v>0</v>
      </c>
      <c r="PJ11" s="24">
        <v>0</v>
      </c>
      <c r="PK11" s="24">
        <v>0</v>
      </c>
      <c r="PL11" s="24">
        <v>0</v>
      </c>
      <c r="PM11" s="24">
        <v>24488</v>
      </c>
      <c r="PN11" s="24">
        <v>0</v>
      </c>
      <c r="PO11" s="24">
        <v>0</v>
      </c>
      <c r="PP11" s="24">
        <v>0</v>
      </c>
      <c r="PQ11" s="24">
        <v>0</v>
      </c>
      <c r="PR11" s="24">
        <v>0</v>
      </c>
      <c r="PS11" s="24">
        <v>0</v>
      </c>
      <c r="PT11" s="24">
        <v>0</v>
      </c>
      <c r="PU11" s="24">
        <v>0</v>
      </c>
      <c r="PV11" s="24">
        <v>0</v>
      </c>
      <c r="PW11" s="24">
        <v>0</v>
      </c>
      <c r="PX11" s="24">
        <v>0</v>
      </c>
      <c r="PY11" s="24">
        <v>0</v>
      </c>
      <c r="PZ11" s="24">
        <v>0</v>
      </c>
      <c r="QA11" s="24">
        <v>0</v>
      </c>
      <c r="QB11" s="24">
        <v>0</v>
      </c>
      <c r="QC11" s="24">
        <v>0</v>
      </c>
      <c r="QD11" s="24">
        <v>0</v>
      </c>
      <c r="QE11" s="24">
        <v>0</v>
      </c>
      <c r="QF11" s="24">
        <v>0</v>
      </c>
      <c r="QG11" s="24">
        <v>0</v>
      </c>
      <c r="QH11" s="24">
        <v>0</v>
      </c>
      <c r="QI11" s="24">
        <v>0</v>
      </c>
      <c r="QJ11" s="24">
        <v>0</v>
      </c>
      <c r="QK11" s="24">
        <v>0</v>
      </c>
      <c r="QL11" s="24">
        <v>0</v>
      </c>
      <c r="QM11" s="24">
        <v>0</v>
      </c>
      <c r="QN11" s="24">
        <v>0</v>
      </c>
      <c r="QO11" s="24">
        <v>0</v>
      </c>
      <c r="QP11" s="24">
        <v>0</v>
      </c>
      <c r="QQ11" s="24">
        <v>0</v>
      </c>
      <c r="QR11" s="24">
        <v>0</v>
      </c>
      <c r="QS11" s="4"/>
      <c r="QT11" s="5"/>
      <c r="QV11" s="4"/>
      <c r="QW11" s="39">
        <v>138164481</v>
      </c>
      <c r="QX11" s="39">
        <v>7817057</v>
      </c>
      <c r="QY11" s="39">
        <v>0</v>
      </c>
      <c r="QZ11" s="39">
        <v>0</v>
      </c>
      <c r="RA11" s="39">
        <v>354882</v>
      </c>
      <c r="RB11" s="39">
        <v>17925544</v>
      </c>
      <c r="RC11" s="39">
        <v>2031698</v>
      </c>
      <c r="RD11" s="39">
        <v>91643</v>
      </c>
      <c r="RE11" s="39">
        <v>4975651</v>
      </c>
      <c r="RF11" s="39">
        <v>1591765</v>
      </c>
      <c r="RG11" s="39">
        <v>349732</v>
      </c>
      <c r="RH11" s="39">
        <v>457380</v>
      </c>
      <c r="RI11" s="39"/>
      <c r="RJ11" s="182"/>
      <c r="RK11" s="39"/>
      <c r="RL11" s="39">
        <v>16165481</v>
      </c>
      <c r="RM11" s="39">
        <v>173759833</v>
      </c>
      <c r="RN11" s="39">
        <v>67887964</v>
      </c>
      <c r="RO11" s="39">
        <v>117840328</v>
      </c>
      <c r="RP11" s="39"/>
      <c r="RQ11" s="182"/>
      <c r="RR11" s="39"/>
      <c r="RS11" s="39">
        <v>14034977897</v>
      </c>
      <c r="RT11" s="39">
        <v>397557.65507180692</v>
      </c>
      <c r="RU11" s="187">
        <v>4.0874199999999998</v>
      </c>
      <c r="RV11" s="39">
        <v>49122422.6395</v>
      </c>
      <c r="RW11" s="39">
        <v>18765541.3605</v>
      </c>
      <c r="RX11" s="4"/>
      <c r="RY11" s="5"/>
      <c r="RZ11" s="4"/>
      <c r="SA11" s="39">
        <v>173759833</v>
      </c>
      <c r="SB11" s="39">
        <v>10205079</v>
      </c>
      <c r="SC11" s="50">
        <v>0.94126905612299938</v>
      </c>
      <c r="SE11" s="5"/>
      <c r="SG11" s="124">
        <v>35303</v>
      </c>
      <c r="SH11" s="124">
        <v>10622.974910394265</v>
      </c>
      <c r="SI11" s="131">
        <v>0.30090856047345171</v>
      </c>
      <c r="SJ11">
        <v>1006</v>
      </c>
      <c r="SK11" s="131">
        <v>2.8496161799280516E-2</v>
      </c>
      <c r="SL11" s="124">
        <v>3605</v>
      </c>
      <c r="SM11" s="131">
        <v>0.10211596748151715</v>
      </c>
      <c r="SN11" s="142">
        <v>2523.5</v>
      </c>
      <c r="SO11" s="142">
        <v>721</v>
      </c>
      <c r="SP11" s="142">
        <v>252.35000000000002</v>
      </c>
      <c r="SQ11" s="142">
        <v>108.14999999999999</v>
      </c>
      <c r="SR11" s="124">
        <v>248</v>
      </c>
      <c r="SS11" s="124">
        <v>1308</v>
      </c>
      <c r="ST11" s="124">
        <v>8581</v>
      </c>
      <c r="SU11" s="124">
        <v>8601</v>
      </c>
      <c r="SV11" s="124">
        <v>5667</v>
      </c>
      <c r="SW11" s="124">
        <v>11146</v>
      </c>
      <c r="SX11" s="124">
        <v>23173</v>
      </c>
      <c r="SY11" s="131">
        <v>0.2</v>
      </c>
      <c r="SZ11" s="134">
        <v>7060.6</v>
      </c>
      <c r="TA11" s="131">
        <v>0.156</v>
      </c>
      <c r="TB11" s="134">
        <v>5507.268</v>
      </c>
      <c r="TC11" s="293">
        <v>2103</v>
      </c>
      <c r="TD11" s="168">
        <v>2118.1799999999998</v>
      </c>
      <c r="TF11" s="5"/>
      <c r="TH11" s="168">
        <v>5507.268</v>
      </c>
      <c r="TI11" s="168">
        <v>7060.6</v>
      </c>
      <c r="TJ11" s="205">
        <v>7060.6</v>
      </c>
      <c r="TK11" s="144"/>
      <c r="TL11" s="293"/>
      <c r="TM11" s="293">
        <v>2103</v>
      </c>
      <c r="TN11" s="169">
        <v>2118.1799999999998</v>
      </c>
      <c r="TO11" s="205">
        <v>2118.1799999999998</v>
      </c>
      <c r="TP11" s="5"/>
      <c r="TR11" s="293" t="s">
        <v>91</v>
      </c>
      <c r="TT11" s="5"/>
      <c r="TV11" s="199">
        <v>49122422.6395</v>
      </c>
      <c r="TW11" s="200">
        <v>0</v>
      </c>
      <c r="TX11" s="200">
        <v>163554754</v>
      </c>
      <c r="TY11" s="200" t="s">
        <v>91</v>
      </c>
      <c r="TZ11" s="200">
        <v>190636200</v>
      </c>
      <c r="UA11" s="204">
        <v>11472812.903225806</v>
      </c>
      <c r="UB11" s="204">
        <v>543240</v>
      </c>
      <c r="UC11" s="200">
        <v>0</v>
      </c>
      <c r="UD11" s="200">
        <v>0</v>
      </c>
      <c r="UE11" s="200">
        <v>0</v>
      </c>
      <c r="UF11" s="200">
        <v>0</v>
      </c>
      <c r="UG11" s="200">
        <v>0</v>
      </c>
      <c r="UH11" s="200">
        <v>0</v>
      </c>
      <c r="UI11" s="200">
        <v>0</v>
      </c>
      <c r="UJ11" s="200">
        <v>0</v>
      </c>
      <c r="UK11" s="200">
        <v>0</v>
      </c>
      <c r="UL11" s="200">
        <v>0</v>
      </c>
      <c r="UM11" s="200">
        <v>0</v>
      </c>
      <c r="UN11" s="200">
        <v>202652252.90322581</v>
      </c>
      <c r="UO11" s="200"/>
      <c r="UP11" s="182"/>
      <c r="UQ11" s="200"/>
      <c r="UR11" s="199">
        <v>202652252.90322581</v>
      </c>
      <c r="US11" s="199">
        <v>5740.3691726829393</v>
      </c>
      <c r="UT11" s="199">
        <v>212677176.63949999</v>
      </c>
      <c r="UU11" s="199">
        <v>6024.3372132538307</v>
      </c>
      <c r="UV11" s="199">
        <v>-10024923.736274183</v>
      </c>
      <c r="UW11" s="199">
        <v>-283.96804057089139</v>
      </c>
      <c r="UX11" s="131">
        <v>-4.7136810327640374E-2</v>
      </c>
      <c r="UY11" s="199"/>
      <c r="UZ11" s="221"/>
      <c r="VA11" s="199"/>
      <c r="VB11" s="199">
        <v>16165481</v>
      </c>
      <c r="VC11" s="200">
        <v>10205079</v>
      </c>
      <c r="VD11" s="199">
        <v>18765541.3605</v>
      </c>
      <c r="VE11" s="199">
        <v>117840328</v>
      </c>
      <c r="VG11" s="5"/>
      <c r="VI11" s="354">
        <v>247788354.26372582</v>
      </c>
      <c r="VJ11" s="355">
        <v>7018.9036133961936</v>
      </c>
      <c r="VK11" s="354">
        <v>257813278</v>
      </c>
      <c r="VL11" s="355">
        <v>7302.871653967085</v>
      </c>
      <c r="VM11" s="131">
        <v>-3.8884435332590506E-2</v>
      </c>
      <c r="VN11" s="131"/>
      <c r="VO11" s="354"/>
      <c r="VP11" s="200"/>
      <c r="VQ11" s="200"/>
      <c r="VR11" s="200"/>
      <c r="VS11" s="199"/>
    </row>
    <row r="12" spans="1:591">
      <c r="A12" s="26">
        <v>2.1</v>
      </c>
      <c r="B12" s="2" t="s">
        <v>100</v>
      </c>
      <c r="C12" s="24">
        <v>0</v>
      </c>
      <c r="D12" s="24">
        <v>0</v>
      </c>
      <c r="E12" s="24">
        <v>0</v>
      </c>
      <c r="F12" s="24">
        <v>0</v>
      </c>
      <c r="G12" s="24">
        <v>0</v>
      </c>
      <c r="H12" s="24">
        <v>0</v>
      </c>
      <c r="I12" s="24">
        <v>0</v>
      </c>
      <c r="J12" s="24">
        <v>0</v>
      </c>
      <c r="K12" s="24">
        <v>0</v>
      </c>
      <c r="L12" s="24">
        <v>0</v>
      </c>
      <c r="M12" s="24">
        <v>0</v>
      </c>
      <c r="N12" s="24">
        <v>0</v>
      </c>
      <c r="O12" s="24">
        <v>0</v>
      </c>
      <c r="P12" s="24">
        <v>0</v>
      </c>
      <c r="Q12" s="24">
        <v>0</v>
      </c>
      <c r="R12" s="24">
        <v>0</v>
      </c>
      <c r="S12" s="24">
        <v>0</v>
      </c>
      <c r="T12" s="24">
        <v>0</v>
      </c>
      <c r="U12" s="24">
        <v>0</v>
      </c>
      <c r="V12" s="24">
        <v>0</v>
      </c>
      <c r="W12" s="24">
        <v>0</v>
      </c>
      <c r="X12" s="24">
        <v>0</v>
      </c>
      <c r="Y12" s="24">
        <v>0</v>
      </c>
      <c r="Z12" s="24">
        <v>0</v>
      </c>
      <c r="AA12" s="24">
        <v>0</v>
      </c>
      <c r="AB12" s="24">
        <v>0</v>
      </c>
      <c r="AC12" s="24">
        <v>0</v>
      </c>
      <c r="AD12" s="24">
        <v>0</v>
      </c>
      <c r="AE12" s="24">
        <v>0</v>
      </c>
      <c r="AF12" s="24">
        <v>0</v>
      </c>
      <c r="AG12" s="24">
        <v>0</v>
      </c>
      <c r="AH12" s="24">
        <v>0</v>
      </c>
      <c r="AI12" s="24">
        <v>0</v>
      </c>
      <c r="AJ12" s="24">
        <v>163</v>
      </c>
      <c r="AK12" s="24">
        <v>0</v>
      </c>
      <c r="AL12" s="24">
        <v>0</v>
      </c>
      <c r="AM12" s="24">
        <v>0</v>
      </c>
      <c r="AN12" s="24">
        <v>0</v>
      </c>
      <c r="AO12" s="24">
        <v>0</v>
      </c>
      <c r="AP12" s="24">
        <v>0</v>
      </c>
      <c r="AQ12" s="24">
        <v>0</v>
      </c>
      <c r="AR12" s="24">
        <v>0</v>
      </c>
      <c r="AS12" s="24">
        <v>0</v>
      </c>
      <c r="AT12" s="24">
        <v>0</v>
      </c>
      <c r="AU12" s="24">
        <v>0</v>
      </c>
      <c r="AV12" s="24">
        <v>0</v>
      </c>
      <c r="AW12" s="24">
        <v>0</v>
      </c>
      <c r="AX12" s="24">
        <v>0</v>
      </c>
      <c r="AY12" s="24">
        <v>0</v>
      </c>
      <c r="AZ12" s="24">
        <v>0</v>
      </c>
      <c r="BA12" s="24">
        <v>0</v>
      </c>
      <c r="BB12" s="24">
        <v>0</v>
      </c>
      <c r="BC12" s="24">
        <v>0</v>
      </c>
      <c r="BD12" s="24">
        <v>0</v>
      </c>
      <c r="BE12" s="24">
        <v>0</v>
      </c>
      <c r="BF12" s="24">
        <v>0</v>
      </c>
      <c r="BG12" s="24">
        <v>0</v>
      </c>
      <c r="BH12" s="24">
        <v>0</v>
      </c>
      <c r="BI12" s="24">
        <v>0</v>
      </c>
      <c r="BJ12" s="24">
        <v>0</v>
      </c>
      <c r="BK12" s="24">
        <v>0</v>
      </c>
      <c r="BL12" s="24">
        <v>0</v>
      </c>
      <c r="BM12" s="24">
        <v>0</v>
      </c>
      <c r="BN12" s="24">
        <v>0</v>
      </c>
      <c r="BO12" s="24">
        <v>0</v>
      </c>
      <c r="BP12" s="24">
        <v>0</v>
      </c>
      <c r="BQ12" s="24">
        <v>0</v>
      </c>
      <c r="BR12" s="24">
        <v>0</v>
      </c>
      <c r="BS12" s="24">
        <v>0</v>
      </c>
      <c r="BT12" s="24">
        <v>0</v>
      </c>
      <c r="BU12" s="24">
        <v>0</v>
      </c>
      <c r="BV12" s="24">
        <v>0</v>
      </c>
      <c r="BW12" s="24">
        <v>0</v>
      </c>
      <c r="BX12" s="24">
        <v>0</v>
      </c>
      <c r="BY12" s="24">
        <v>0</v>
      </c>
      <c r="BZ12" s="24">
        <v>0</v>
      </c>
      <c r="CA12" s="24">
        <v>0</v>
      </c>
      <c r="CB12" s="24">
        <v>0</v>
      </c>
      <c r="CC12" s="24">
        <v>0</v>
      </c>
      <c r="CD12" s="24">
        <v>0</v>
      </c>
      <c r="CE12" s="24">
        <v>0</v>
      </c>
      <c r="CF12" s="24">
        <v>0</v>
      </c>
      <c r="CG12" s="24">
        <v>0</v>
      </c>
      <c r="CH12" s="24">
        <v>0</v>
      </c>
      <c r="CI12" s="24">
        <v>0</v>
      </c>
      <c r="CJ12" s="24">
        <v>0</v>
      </c>
      <c r="CK12" s="24">
        <v>0</v>
      </c>
      <c r="CL12" s="24">
        <v>0</v>
      </c>
      <c r="CM12" s="24">
        <v>0</v>
      </c>
      <c r="CN12" s="24">
        <v>0</v>
      </c>
      <c r="CO12" s="24">
        <v>0</v>
      </c>
      <c r="CP12" s="24">
        <v>0</v>
      </c>
      <c r="CQ12" s="24">
        <v>0</v>
      </c>
      <c r="CR12" s="24">
        <v>0</v>
      </c>
      <c r="CS12" s="24">
        <v>0</v>
      </c>
      <c r="CT12" s="24">
        <v>0</v>
      </c>
      <c r="CU12" s="24">
        <v>0</v>
      </c>
      <c r="CV12" s="24">
        <v>0</v>
      </c>
      <c r="CW12" s="24">
        <v>0</v>
      </c>
      <c r="CX12" s="24">
        <v>0</v>
      </c>
      <c r="CY12" s="24">
        <v>0</v>
      </c>
      <c r="CZ12" s="24">
        <v>0</v>
      </c>
      <c r="DA12" s="24">
        <v>0</v>
      </c>
      <c r="DB12" s="24">
        <v>0</v>
      </c>
      <c r="DC12" s="24">
        <v>0</v>
      </c>
      <c r="DD12" s="24">
        <v>0</v>
      </c>
      <c r="DE12" s="24">
        <v>0</v>
      </c>
      <c r="DF12" s="24">
        <v>0</v>
      </c>
      <c r="DG12" s="24">
        <v>0</v>
      </c>
      <c r="DH12" s="24">
        <v>0</v>
      </c>
      <c r="DI12" s="24">
        <v>0</v>
      </c>
      <c r="DJ12" s="24">
        <v>0</v>
      </c>
      <c r="DK12" s="24">
        <v>0</v>
      </c>
      <c r="DL12" s="24">
        <v>0</v>
      </c>
      <c r="DM12" s="24">
        <v>0</v>
      </c>
      <c r="DN12" s="24">
        <v>0</v>
      </c>
      <c r="DO12" s="24">
        <v>0</v>
      </c>
      <c r="DP12" s="24">
        <v>0</v>
      </c>
      <c r="DQ12" s="24">
        <v>0</v>
      </c>
      <c r="DR12" s="24">
        <v>0</v>
      </c>
      <c r="DS12" s="24">
        <v>0</v>
      </c>
      <c r="DT12" s="24">
        <v>0</v>
      </c>
      <c r="DU12" s="24">
        <v>0</v>
      </c>
      <c r="DV12" s="24">
        <v>0</v>
      </c>
      <c r="DW12" s="24">
        <v>0</v>
      </c>
      <c r="DX12" s="24">
        <v>0</v>
      </c>
      <c r="DY12" s="24">
        <v>0</v>
      </c>
      <c r="DZ12" s="24">
        <v>0</v>
      </c>
      <c r="EA12" s="24">
        <v>0</v>
      </c>
      <c r="EB12" s="24">
        <v>0</v>
      </c>
      <c r="EC12" s="24">
        <v>0</v>
      </c>
      <c r="ED12" s="24">
        <v>0</v>
      </c>
      <c r="EE12" s="24">
        <v>0</v>
      </c>
      <c r="EF12" s="24">
        <v>0</v>
      </c>
      <c r="EG12" s="24">
        <v>0</v>
      </c>
      <c r="EH12" s="24">
        <v>0</v>
      </c>
      <c r="EI12" s="24">
        <v>0</v>
      </c>
      <c r="EJ12" s="24">
        <v>0</v>
      </c>
      <c r="EK12" s="24">
        <v>0</v>
      </c>
      <c r="EL12" s="24">
        <v>0</v>
      </c>
      <c r="EM12" s="24">
        <v>0</v>
      </c>
      <c r="EN12" s="24">
        <v>0</v>
      </c>
      <c r="EO12" s="24">
        <v>0</v>
      </c>
      <c r="EP12" s="24">
        <v>0</v>
      </c>
      <c r="EQ12" s="24">
        <v>0</v>
      </c>
      <c r="ER12" s="24">
        <v>0</v>
      </c>
      <c r="ES12" s="24">
        <v>0</v>
      </c>
      <c r="ET12" s="24">
        <v>0</v>
      </c>
      <c r="EU12" s="24">
        <v>0</v>
      </c>
      <c r="EV12" s="24">
        <v>0</v>
      </c>
      <c r="EW12" s="24">
        <v>0</v>
      </c>
      <c r="EX12" s="24">
        <v>0</v>
      </c>
      <c r="EY12" s="24">
        <v>0</v>
      </c>
      <c r="EZ12" s="24">
        <v>0</v>
      </c>
      <c r="FA12" s="24">
        <v>0</v>
      </c>
      <c r="FB12" s="24">
        <v>0</v>
      </c>
      <c r="FC12" s="24">
        <v>0</v>
      </c>
      <c r="FD12" s="24">
        <v>0</v>
      </c>
      <c r="FE12" s="24">
        <v>0</v>
      </c>
      <c r="FF12" s="24">
        <v>0</v>
      </c>
      <c r="FG12" s="24">
        <v>0</v>
      </c>
      <c r="FH12" s="24">
        <v>0</v>
      </c>
      <c r="FI12" s="24">
        <v>0</v>
      </c>
      <c r="FJ12" s="24">
        <v>0</v>
      </c>
      <c r="FK12" s="24">
        <v>5818</v>
      </c>
      <c r="FL12" s="24">
        <v>0</v>
      </c>
      <c r="FM12" s="24">
        <v>0</v>
      </c>
      <c r="FN12" s="24">
        <v>0</v>
      </c>
      <c r="FO12" s="24">
        <v>0</v>
      </c>
      <c r="FP12" s="24">
        <v>0</v>
      </c>
      <c r="FQ12" s="24">
        <v>0</v>
      </c>
      <c r="FR12" s="24">
        <v>0</v>
      </c>
      <c r="FS12" s="24">
        <v>0</v>
      </c>
      <c r="FT12" s="24">
        <v>0</v>
      </c>
      <c r="FU12" s="24">
        <v>0</v>
      </c>
      <c r="FV12" s="24">
        <v>0</v>
      </c>
      <c r="FW12" s="24">
        <v>0</v>
      </c>
      <c r="FX12" s="24">
        <v>0</v>
      </c>
      <c r="FY12" s="24">
        <v>0</v>
      </c>
      <c r="FZ12" s="24">
        <v>0</v>
      </c>
      <c r="GA12" s="24">
        <v>0</v>
      </c>
      <c r="GB12" s="24">
        <v>0</v>
      </c>
      <c r="GC12" s="24">
        <v>0</v>
      </c>
      <c r="GD12" s="24">
        <v>0</v>
      </c>
      <c r="GE12" s="24">
        <v>0</v>
      </c>
      <c r="GF12" s="24">
        <v>0</v>
      </c>
      <c r="GG12" s="24">
        <v>0</v>
      </c>
      <c r="GH12" s="24">
        <v>0</v>
      </c>
      <c r="GI12" s="24">
        <v>0</v>
      </c>
      <c r="GJ12" s="24">
        <v>0</v>
      </c>
      <c r="GK12" s="24">
        <v>0</v>
      </c>
      <c r="GL12" s="24">
        <v>0</v>
      </c>
      <c r="GM12" s="24">
        <v>0</v>
      </c>
      <c r="GN12" s="24">
        <v>0</v>
      </c>
      <c r="GO12" s="24">
        <v>0</v>
      </c>
      <c r="GP12" s="24">
        <v>0</v>
      </c>
      <c r="GQ12" s="24">
        <v>0</v>
      </c>
      <c r="GR12" s="24">
        <v>0</v>
      </c>
      <c r="GS12" s="24">
        <v>0</v>
      </c>
      <c r="GT12" s="24">
        <v>0</v>
      </c>
      <c r="GU12" s="24">
        <v>0</v>
      </c>
      <c r="GV12" s="24">
        <v>0</v>
      </c>
      <c r="GW12" s="24">
        <v>0</v>
      </c>
      <c r="GX12" s="24">
        <v>0</v>
      </c>
      <c r="GY12" s="24">
        <v>1472262</v>
      </c>
      <c r="GZ12" s="24">
        <v>0</v>
      </c>
      <c r="HA12" s="24">
        <v>0</v>
      </c>
      <c r="HB12" s="24">
        <v>0</v>
      </c>
      <c r="HC12" s="24">
        <v>0</v>
      </c>
      <c r="HD12" s="24">
        <v>0</v>
      </c>
      <c r="HE12" s="24">
        <v>0</v>
      </c>
      <c r="HF12" s="24">
        <v>0</v>
      </c>
      <c r="HG12" s="24">
        <v>0</v>
      </c>
      <c r="HH12" s="24">
        <v>0</v>
      </c>
      <c r="HI12" s="24">
        <v>0</v>
      </c>
      <c r="HJ12" s="24">
        <v>0</v>
      </c>
      <c r="HK12" s="24">
        <v>116678</v>
      </c>
      <c r="HL12" s="24">
        <v>0</v>
      </c>
      <c r="HM12" s="24">
        <v>0</v>
      </c>
      <c r="HN12" s="24">
        <v>0</v>
      </c>
      <c r="HO12" s="24">
        <v>0</v>
      </c>
      <c r="HP12" s="24">
        <v>0</v>
      </c>
      <c r="HQ12" s="24">
        <v>0</v>
      </c>
      <c r="HR12" s="24">
        <v>0</v>
      </c>
      <c r="HS12" s="24">
        <v>0</v>
      </c>
      <c r="HT12" s="24">
        <v>0</v>
      </c>
      <c r="HU12" s="24">
        <v>0</v>
      </c>
      <c r="HV12" s="24">
        <v>29834</v>
      </c>
      <c r="HW12" s="24">
        <v>0</v>
      </c>
      <c r="HX12" s="24">
        <v>0</v>
      </c>
      <c r="HY12" s="24">
        <v>0</v>
      </c>
      <c r="HZ12" s="24">
        <v>0</v>
      </c>
      <c r="IA12" s="24">
        <v>0</v>
      </c>
      <c r="IB12" s="24">
        <v>0</v>
      </c>
      <c r="IC12" s="24">
        <v>0</v>
      </c>
      <c r="ID12" s="24">
        <v>0</v>
      </c>
      <c r="IE12" s="24">
        <v>0</v>
      </c>
      <c r="IF12" s="24">
        <v>0</v>
      </c>
      <c r="IG12" s="24">
        <v>0</v>
      </c>
      <c r="IH12" s="24">
        <v>0</v>
      </c>
      <c r="II12" s="24">
        <v>0</v>
      </c>
      <c r="IJ12" s="24">
        <v>0</v>
      </c>
      <c r="IK12" s="24">
        <v>0</v>
      </c>
      <c r="IL12" s="24">
        <v>0</v>
      </c>
      <c r="IM12" s="24">
        <v>0</v>
      </c>
      <c r="IN12" s="24">
        <v>177554</v>
      </c>
      <c r="IO12" s="24">
        <v>0</v>
      </c>
      <c r="IP12" s="24">
        <v>0</v>
      </c>
      <c r="IQ12" s="24">
        <v>0</v>
      </c>
      <c r="IR12" s="24">
        <v>0</v>
      </c>
      <c r="IS12" s="24">
        <v>0</v>
      </c>
      <c r="IT12" s="24">
        <v>0</v>
      </c>
      <c r="IU12" s="24">
        <v>0</v>
      </c>
      <c r="IV12" s="24">
        <v>9047</v>
      </c>
      <c r="IW12" s="24">
        <v>0</v>
      </c>
      <c r="IX12" s="24">
        <v>0</v>
      </c>
      <c r="IY12" s="24">
        <v>0</v>
      </c>
      <c r="IZ12" s="24">
        <v>0</v>
      </c>
      <c r="JA12" s="24">
        <v>0</v>
      </c>
      <c r="JB12" s="24">
        <v>0</v>
      </c>
      <c r="JC12" s="24">
        <v>0</v>
      </c>
      <c r="JD12" s="24">
        <v>0</v>
      </c>
      <c r="JE12" s="24">
        <v>0</v>
      </c>
      <c r="JF12" s="24">
        <v>0</v>
      </c>
      <c r="JG12" s="24">
        <v>0</v>
      </c>
      <c r="JH12" s="24">
        <v>0</v>
      </c>
      <c r="JI12" s="24">
        <v>0</v>
      </c>
      <c r="JJ12" s="24">
        <v>0</v>
      </c>
      <c r="JK12" s="24">
        <v>0</v>
      </c>
      <c r="JL12" s="24">
        <v>0</v>
      </c>
      <c r="JM12" s="24">
        <v>0</v>
      </c>
      <c r="JN12" s="24">
        <v>0</v>
      </c>
      <c r="JO12" s="24">
        <v>0</v>
      </c>
      <c r="JP12" s="24">
        <v>0</v>
      </c>
      <c r="JQ12" s="24">
        <v>0</v>
      </c>
      <c r="JR12" s="24">
        <v>0</v>
      </c>
      <c r="JS12" s="24">
        <v>0</v>
      </c>
      <c r="JT12" s="24">
        <v>0</v>
      </c>
      <c r="JU12" s="24">
        <v>0</v>
      </c>
      <c r="JV12" s="24">
        <v>0</v>
      </c>
      <c r="JW12" s="24">
        <v>0</v>
      </c>
      <c r="JX12" s="24">
        <v>0</v>
      </c>
      <c r="JY12" s="24">
        <v>0</v>
      </c>
      <c r="JZ12" s="24">
        <v>0</v>
      </c>
      <c r="KA12" s="24">
        <v>0</v>
      </c>
      <c r="KB12" s="24">
        <v>0</v>
      </c>
      <c r="KC12" s="24">
        <v>0</v>
      </c>
      <c r="KD12" s="24">
        <v>0</v>
      </c>
      <c r="KE12" s="24">
        <v>0</v>
      </c>
      <c r="KF12" s="24">
        <v>0</v>
      </c>
      <c r="KG12" s="24">
        <v>0</v>
      </c>
      <c r="KH12" s="24">
        <v>0</v>
      </c>
      <c r="KI12" s="24">
        <v>0</v>
      </c>
      <c r="KJ12" s="24">
        <v>0</v>
      </c>
      <c r="KK12" s="24">
        <v>0</v>
      </c>
      <c r="KL12" s="24">
        <v>0</v>
      </c>
      <c r="KM12" s="24">
        <v>0</v>
      </c>
      <c r="KN12" s="24">
        <v>0</v>
      </c>
      <c r="KO12" s="24">
        <v>0</v>
      </c>
      <c r="KP12" s="24">
        <v>0</v>
      </c>
      <c r="KQ12" s="24">
        <v>0</v>
      </c>
      <c r="KR12" s="24">
        <v>0</v>
      </c>
      <c r="KS12" s="24">
        <v>0</v>
      </c>
      <c r="KT12" s="24">
        <v>0</v>
      </c>
      <c r="KU12" s="24">
        <v>0</v>
      </c>
      <c r="KV12" s="24">
        <v>0</v>
      </c>
      <c r="KW12" s="24">
        <v>0</v>
      </c>
      <c r="KX12" s="24">
        <v>0</v>
      </c>
      <c r="KY12" s="24">
        <v>0</v>
      </c>
      <c r="KZ12" s="24">
        <v>0</v>
      </c>
      <c r="LA12" s="24">
        <v>0</v>
      </c>
      <c r="LB12" s="24">
        <v>0</v>
      </c>
      <c r="LC12" s="24">
        <v>0</v>
      </c>
      <c r="LD12" s="24">
        <v>0</v>
      </c>
      <c r="LE12" s="24">
        <v>0</v>
      </c>
      <c r="LF12" s="24">
        <v>0</v>
      </c>
      <c r="LG12" s="24">
        <v>0</v>
      </c>
      <c r="LH12" s="24">
        <v>0</v>
      </c>
      <c r="LI12" s="24">
        <v>0</v>
      </c>
      <c r="LJ12" s="24">
        <v>0</v>
      </c>
      <c r="LK12" s="24">
        <v>0</v>
      </c>
      <c r="LL12" s="24">
        <v>0</v>
      </c>
      <c r="LM12" s="24">
        <v>0</v>
      </c>
      <c r="LN12" s="24">
        <v>0</v>
      </c>
      <c r="LO12" s="24">
        <v>0</v>
      </c>
      <c r="LP12" s="24">
        <v>0</v>
      </c>
      <c r="LQ12" s="24">
        <v>0</v>
      </c>
      <c r="LR12" s="24">
        <v>0</v>
      </c>
      <c r="LS12" s="24">
        <v>0</v>
      </c>
      <c r="LT12" s="24">
        <v>0</v>
      </c>
      <c r="LU12" s="24">
        <v>0</v>
      </c>
      <c r="LV12" s="24">
        <v>0</v>
      </c>
      <c r="LW12" s="24">
        <v>0</v>
      </c>
      <c r="LX12" s="24">
        <v>0</v>
      </c>
      <c r="LY12" s="24">
        <v>0</v>
      </c>
      <c r="LZ12" s="24">
        <v>0</v>
      </c>
      <c r="MA12" s="24">
        <v>0</v>
      </c>
      <c r="MB12" s="24">
        <v>0</v>
      </c>
      <c r="MC12" s="24">
        <v>0</v>
      </c>
      <c r="MD12" s="24">
        <v>0</v>
      </c>
      <c r="ME12" s="24">
        <v>0</v>
      </c>
      <c r="MF12" s="24">
        <v>0</v>
      </c>
      <c r="MG12" s="24">
        <v>0</v>
      </c>
      <c r="MH12" s="24">
        <v>0</v>
      </c>
      <c r="MI12" s="24">
        <v>0</v>
      </c>
      <c r="MJ12" s="24">
        <v>0</v>
      </c>
      <c r="MK12" s="24">
        <v>0</v>
      </c>
      <c r="ML12" s="24">
        <v>0</v>
      </c>
      <c r="MM12" s="24">
        <v>0</v>
      </c>
      <c r="MN12" s="24">
        <v>0</v>
      </c>
      <c r="MO12" s="24">
        <v>0</v>
      </c>
      <c r="MP12" s="24">
        <v>0</v>
      </c>
      <c r="MQ12" s="24">
        <v>0</v>
      </c>
      <c r="MR12" s="24">
        <v>15370</v>
      </c>
      <c r="MS12" s="24">
        <v>0</v>
      </c>
      <c r="MT12" s="24">
        <v>0</v>
      </c>
      <c r="MU12" s="24">
        <v>0</v>
      </c>
      <c r="MV12" s="24">
        <v>0</v>
      </c>
      <c r="MW12" s="24">
        <v>0</v>
      </c>
      <c r="MX12" s="24">
        <v>0</v>
      </c>
      <c r="MY12" s="24">
        <v>0</v>
      </c>
      <c r="MZ12" s="24">
        <v>0</v>
      </c>
      <c r="NA12" s="24">
        <v>0</v>
      </c>
      <c r="NB12" s="24">
        <v>0</v>
      </c>
      <c r="NC12" s="24">
        <v>0</v>
      </c>
      <c r="ND12" s="24">
        <v>0</v>
      </c>
      <c r="NE12" s="24">
        <v>0</v>
      </c>
      <c r="NF12" s="24">
        <v>0</v>
      </c>
      <c r="NG12" s="24">
        <v>0</v>
      </c>
      <c r="NH12" s="24">
        <v>0</v>
      </c>
      <c r="NI12" s="24">
        <v>0</v>
      </c>
      <c r="NJ12" s="24">
        <v>0</v>
      </c>
      <c r="NK12" s="24">
        <v>0</v>
      </c>
      <c r="NL12" s="24">
        <v>0</v>
      </c>
      <c r="NM12" s="24">
        <v>0</v>
      </c>
      <c r="NN12" s="24">
        <v>0</v>
      </c>
      <c r="NO12" s="24">
        <v>0</v>
      </c>
      <c r="NP12" s="24">
        <v>0</v>
      </c>
      <c r="NQ12" s="24">
        <v>0</v>
      </c>
      <c r="NR12" s="24">
        <v>0</v>
      </c>
      <c r="NS12" s="24">
        <v>0</v>
      </c>
      <c r="NT12" s="24">
        <v>0</v>
      </c>
      <c r="NU12" s="24">
        <v>0</v>
      </c>
      <c r="NV12" s="24">
        <v>0</v>
      </c>
      <c r="NW12" s="24">
        <v>0</v>
      </c>
      <c r="NX12" s="24">
        <v>0</v>
      </c>
      <c r="NY12" s="24">
        <v>0</v>
      </c>
      <c r="NZ12" s="24">
        <v>0</v>
      </c>
      <c r="OA12" s="24">
        <v>0</v>
      </c>
      <c r="OB12" s="24">
        <v>0</v>
      </c>
      <c r="OC12" s="24">
        <v>0</v>
      </c>
      <c r="OD12" s="24">
        <v>0</v>
      </c>
      <c r="OE12" s="24">
        <v>0</v>
      </c>
      <c r="OF12" s="24">
        <v>0</v>
      </c>
      <c r="OG12" s="24">
        <v>0</v>
      </c>
      <c r="OH12" s="24">
        <v>0</v>
      </c>
      <c r="OI12" s="24">
        <v>0</v>
      </c>
      <c r="OJ12" s="24">
        <v>0</v>
      </c>
      <c r="OK12" s="24">
        <v>0</v>
      </c>
      <c r="OL12" s="24">
        <v>0</v>
      </c>
      <c r="OM12" s="24">
        <v>0</v>
      </c>
      <c r="ON12" s="24">
        <v>0</v>
      </c>
      <c r="OO12" s="24">
        <v>0</v>
      </c>
      <c r="OP12" s="24">
        <v>0</v>
      </c>
      <c r="OQ12" s="24">
        <v>0</v>
      </c>
      <c r="OR12" s="24">
        <v>0</v>
      </c>
      <c r="OS12" s="24">
        <v>0</v>
      </c>
      <c r="OT12" s="24">
        <v>0</v>
      </c>
      <c r="OU12" s="24">
        <v>0</v>
      </c>
      <c r="OV12" s="24">
        <v>0</v>
      </c>
      <c r="OW12" s="24">
        <v>0</v>
      </c>
      <c r="OX12" s="24">
        <v>0</v>
      </c>
      <c r="OY12" s="24">
        <v>0</v>
      </c>
      <c r="OZ12" s="24">
        <v>0</v>
      </c>
      <c r="PA12" s="24">
        <v>0</v>
      </c>
      <c r="PB12" s="24">
        <v>0</v>
      </c>
      <c r="PC12" s="24">
        <v>0</v>
      </c>
      <c r="PD12" s="24">
        <v>0</v>
      </c>
      <c r="PE12" s="24">
        <v>0</v>
      </c>
      <c r="PF12" s="24">
        <v>0</v>
      </c>
      <c r="PG12" s="24">
        <v>0</v>
      </c>
      <c r="PH12" s="24">
        <v>0</v>
      </c>
      <c r="PI12" s="24">
        <v>0</v>
      </c>
      <c r="PJ12" s="24">
        <v>0</v>
      </c>
      <c r="PK12" s="24">
        <v>0</v>
      </c>
      <c r="PL12" s="24">
        <v>0</v>
      </c>
      <c r="PM12" s="24">
        <v>0</v>
      </c>
      <c r="PN12" s="24">
        <v>0</v>
      </c>
      <c r="PO12" s="24">
        <v>0</v>
      </c>
      <c r="PP12" s="24">
        <v>0</v>
      </c>
      <c r="PQ12" s="24">
        <v>0</v>
      </c>
      <c r="PR12" s="24">
        <v>0</v>
      </c>
      <c r="PS12" s="24">
        <v>0</v>
      </c>
      <c r="PT12" s="24">
        <v>0</v>
      </c>
      <c r="PU12" s="24">
        <v>0</v>
      </c>
      <c r="PV12" s="24">
        <v>0</v>
      </c>
      <c r="PW12" s="24">
        <v>0</v>
      </c>
      <c r="PX12" s="24">
        <v>0</v>
      </c>
      <c r="PY12" s="24">
        <v>0</v>
      </c>
      <c r="PZ12" s="24">
        <v>0</v>
      </c>
      <c r="QA12" s="24">
        <v>0</v>
      </c>
      <c r="QB12" s="24">
        <v>0</v>
      </c>
      <c r="QC12" s="24">
        <v>0</v>
      </c>
      <c r="QD12" s="24">
        <v>0</v>
      </c>
      <c r="QE12" s="24">
        <v>0</v>
      </c>
      <c r="QF12" s="24">
        <v>0</v>
      </c>
      <c r="QG12" s="24">
        <v>0</v>
      </c>
      <c r="QH12" s="24">
        <v>0</v>
      </c>
      <c r="QI12" s="24">
        <v>0</v>
      </c>
      <c r="QJ12" s="24">
        <v>0</v>
      </c>
      <c r="QK12" s="24">
        <v>0</v>
      </c>
      <c r="QL12" s="24">
        <v>0</v>
      </c>
      <c r="QM12" s="24">
        <v>0</v>
      </c>
      <c r="QN12" s="24">
        <v>0</v>
      </c>
      <c r="QO12" s="24">
        <v>0</v>
      </c>
      <c r="QP12" s="24">
        <v>0</v>
      </c>
      <c r="QQ12" s="24">
        <v>0</v>
      </c>
      <c r="QR12" s="24">
        <v>0</v>
      </c>
      <c r="QS12" s="4">
        <v>1</v>
      </c>
      <c r="QT12" s="5"/>
      <c r="QV12" s="4"/>
      <c r="QW12" s="39">
        <v>1472262</v>
      </c>
      <c r="QX12" s="39">
        <v>0</v>
      </c>
      <c r="QY12" s="39">
        <v>0</v>
      </c>
      <c r="QZ12" s="39">
        <v>0</v>
      </c>
      <c r="RA12" s="39">
        <v>0</v>
      </c>
      <c r="RB12" s="39">
        <v>0</v>
      </c>
      <c r="RC12" s="39">
        <v>146512</v>
      </c>
      <c r="RD12" s="39">
        <v>0</v>
      </c>
      <c r="RE12" s="39">
        <v>177554</v>
      </c>
      <c r="RF12" s="39">
        <v>9047</v>
      </c>
      <c r="RG12" s="39">
        <v>0</v>
      </c>
      <c r="RH12" s="39">
        <v>0</v>
      </c>
      <c r="RI12" s="39"/>
      <c r="RJ12" s="182"/>
      <c r="RK12" s="39"/>
      <c r="RL12" s="39">
        <v>15370</v>
      </c>
      <c r="RM12" s="39">
        <v>1805375</v>
      </c>
      <c r="RN12" s="39">
        <v>5981</v>
      </c>
      <c r="RO12" s="39">
        <v>0</v>
      </c>
      <c r="RP12" s="39"/>
      <c r="RQ12" s="182"/>
      <c r="RR12" s="39"/>
      <c r="RS12" s="39">
        <v>0</v>
      </c>
      <c r="RT12" s="39">
        <v>0</v>
      </c>
      <c r="RU12" s="187">
        <v>0</v>
      </c>
      <c r="RV12" s="39">
        <v>0</v>
      </c>
      <c r="RW12" s="39">
        <v>5981</v>
      </c>
      <c r="RX12" s="4"/>
      <c r="RY12" s="5"/>
      <c r="RZ12" s="4"/>
      <c r="SA12" s="39">
        <v>1805375</v>
      </c>
      <c r="SB12" s="39">
        <v>9047</v>
      </c>
      <c r="SC12" s="50">
        <v>0.99498885273142701</v>
      </c>
      <c r="SE12" s="5"/>
      <c r="SG12" s="124">
        <v>200</v>
      </c>
      <c r="SH12" s="124">
        <v>42.857142857142854</v>
      </c>
      <c r="SI12" s="131">
        <v>0.21428571428571427</v>
      </c>
      <c r="SJ12">
        <v>0</v>
      </c>
      <c r="SK12" s="131">
        <v>0</v>
      </c>
      <c r="SL12" s="124">
        <v>0</v>
      </c>
      <c r="SM12" s="131">
        <v>0</v>
      </c>
      <c r="SN12" s="142">
        <v>0</v>
      </c>
      <c r="SO12" s="142">
        <v>0</v>
      </c>
      <c r="SP12" s="142">
        <v>0</v>
      </c>
      <c r="SQ12" s="142">
        <v>0</v>
      </c>
      <c r="SR12" s="124">
        <v>0</v>
      </c>
      <c r="SS12" s="124">
        <v>0</v>
      </c>
      <c r="ST12" s="124">
        <v>0</v>
      </c>
      <c r="SU12" s="124">
        <v>0</v>
      </c>
      <c r="SV12" s="124">
        <v>0</v>
      </c>
      <c r="SW12" s="124">
        <v>200</v>
      </c>
      <c r="SX12" s="124">
        <v>110</v>
      </c>
      <c r="SY12" s="131">
        <v>4.5454545454545456E-2</v>
      </c>
      <c r="SZ12" s="134">
        <v>9.0909090909090917</v>
      </c>
      <c r="TA12" s="131">
        <v>4.5454545454545456E-2</v>
      </c>
      <c r="TB12" s="134">
        <v>9.0909090909090917</v>
      </c>
      <c r="TC12" s="293">
        <v>14</v>
      </c>
      <c r="TD12" s="168">
        <v>12</v>
      </c>
      <c r="TF12" s="5"/>
      <c r="TH12" s="168">
        <v>9.0909090909090917</v>
      </c>
      <c r="TI12" s="168">
        <v>9.0909090909090917</v>
      </c>
      <c r="TJ12" s="205">
        <v>9.0909090909090917</v>
      </c>
      <c r="TK12" s="144"/>
      <c r="TL12" s="293"/>
      <c r="TM12" s="293">
        <v>12</v>
      </c>
      <c r="TN12" s="169">
        <v>14</v>
      </c>
      <c r="TO12" s="205">
        <v>14</v>
      </c>
      <c r="TP12" s="5"/>
      <c r="TR12" s="293" t="s">
        <v>1432</v>
      </c>
      <c r="TT12" s="5"/>
      <c r="TV12" s="199">
        <v>0</v>
      </c>
      <c r="TW12" s="200">
        <v>0</v>
      </c>
      <c r="TX12" s="200">
        <v>1796328</v>
      </c>
      <c r="TY12" s="200">
        <v>679089.28571428568</v>
      </c>
      <c r="TZ12" s="200">
        <v>1080000</v>
      </c>
      <c r="UA12" s="204">
        <v>46285.714285714283</v>
      </c>
      <c r="UB12" s="204">
        <v>0</v>
      </c>
      <c r="UC12" s="200">
        <v>0</v>
      </c>
      <c r="UD12" s="200">
        <v>0</v>
      </c>
      <c r="UE12" s="200">
        <v>0</v>
      </c>
      <c r="UF12" s="200">
        <v>0</v>
      </c>
      <c r="UG12" s="200">
        <v>0</v>
      </c>
      <c r="UH12" s="200">
        <v>0</v>
      </c>
      <c r="UI12" s="200">
        <v>0</v>
      </c>
      <c r="UJ12" s="200">
        <v>0</v>
      </c>
      <c r="UK12" s="200">
        <v>0</v>
      </c>
      <c r="UL12" s="200">
        <v>0</v>
      </c>
      <c r="UM12" s="200">
        <v>0</v>
      </c>
      <c r="UN12" s="200">
        <v>1126285.7142857143</v>
      </c>
      <c r="UO12" s="200"/>
      <c r="UP12" s="182"/>
      <c r="UQ12" s="200"/>
      <c r="UR12" s="199">
        <v>1805375</v>
      </c>
      <c r="US12" s="199">
        <v>9026.875</v>
      </c>
      <c r="UT12" s="199">
        <v>1796328</v>
      </c>
      <c r="UU12" s="199">
        <v>8981.64</v>
      </c>
      <c r="UV12" s="199">
        <v>9047</v>
      </c>
      <c r="UW12" s="199">
        <v>45.235000000000582</v>
      </c>
      <c r="UX12" s="131">
        <v>5.0363853371990621E-3</v>
      </c>
      <c r="UY12" s="199"/>
      <c r="UZ12" s="221"/>
      <c r="VA12" s="199"/>
      <c r="VB12" s="199">
        <v>15370</v>
      </c>
      <c r="VC12" s="200">
        <v>9047</v>
      </c>
      <c r="VD12" s="199">
        <v>5981</v>
      </c>
      <c r="VE12" s="199">
        <v>0</v>
      </c>
      <c r="VG12" s="5"/>
      <c r="VI12" s="354">
        <v>1835773</v>
      </c>
      <c r="VJ12" s="355">
        <v>9178.8649999999998</v>
      </c>
      <c r="VK12" s="354">
        <v>1826726</v>
      </c>
      <c r="VL12" s="355">
        <v>9133.6299999999992</v>
      </c>
      <c r="VM12" s="131">
        <v>4.9525763579212848E-3</v>
      </c>
      <c r="VN12" s="131"/>
      <c r="VO12" s="354"/>
      <c r="VP12" s="200"/>
      <c r="VQ12" s="200"/>
      <c r="VR12" s="200"/>
      <c r="VS12" s="199"/>
    </row>
    <row r="13" spans="1:591">
      <c r="A13" s="26">
        <v>2.2999999999999998</v>
      </c>
      <c r="B13" s="2" t="s">
        <v>101</v>
      </c>
      <c r="C13" s="24">
        <v>0</v>
      </c>
      <c r="D13" s="24">
        <v>0</v>
      </c>
      <c r="E13" s="24">
        <v>0</v>
      </c>
      <c r="F13" s="24">
        <v>0</v>
      </c>
      <c r="G13" s="24">
        <v>0</v>
      </c>
      <c r="H13" s="24">
        <v>0</v>
      </c>
      <c r="I13" s="24">
        <v>0</v>
      </c>
      <c r="J13" s="24">
        <v>0</v>
      </c>
      <c r="K13" s="24">
        <v>0</v>
      </c>
      <c r="L13" s="24">
        <v>0</v>
      </c>
      <c r="M13" s="24">
        <v>0</v>
      </c>
      <c r="N13" s="24">
        <v>0</v>
      </c>
      <c r="O13" s="24">
        <v>0</v>
      </c>
      <c r="P13" s="24">
        <v>0</v>
      </c>
      <c r="Q13" s="24">
        <v>0</v>
      </c>
      <c r="R13" s="24">
        <v>0</v>
      </c>
      <c r="S13" s="24">
        <v>0</v>
      </c>
      <c r="T13" s="24">
        <v>0</v>
      </c>
      <c r="U13" s="24">
        <v>0</v>
      </c>
      <c r="V13" s="24">
        <v>0</v>
      </c>
      <c r="W13" s="24">
        <v>0</v>
      </c>
      <c r="X13" s="24">
        <v>0</v>
      </c>
      <c r="Y13" s="24">
        <v>0</v>
      </c>
      <c r="Z13" s="24">
        <v>0</v>
      </c>
      <c r="AA13" s="24">
        <v>0</v>
      </c>
      <c r="AB13" s="24">
        <v>0</v>
      </c>
      <c r="AC13" s="24">
        <v>0</v>
      </c>
      <c r="AD13" s="24">
        <v>0</v>
      </c>
      <c r="AE13" s="24">
        <v>0</v>
      </c>
      <c r="AF13" s="24">
        <v>0</v>
      </c>
      <c r="AG13" s="24">
        <v>0</v>
      </c>
      <c r="AH13" s="24">
        <v>0</v>
      </c>
      <c r="AI13" s="24">
        <v>0</v>
      </c>
      <c r="AJ13" s="24">
        <v>-450</v>
      </c>
      <c r="AK13" s="24">
        <v>0</v>
      </c>
      <c r="AL13" s="24">
        <v>0</v>
      </c>
      <c r="AM13" s="24">
        <v>0</v>
      </c>
      <c r="AN13" s="24">
        <v>0</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c r="BE13" s="24">
        <v>0</v>
      </c>
      <c r="BF13" s="24">
        <v>0</v>
      </c>
      <c r="BG13" s="24">
        <v>0</v>
      </c>
      <c r="BH13" s="24">
        <v>0</v>
      </c>
      <c r="BI13" s="24">
        <v>0</v>
      </c>
      <c r="BJ13" s="24">
        <v>0</v>
      </c>
      <c r="BK13" s="24">
        <v>0</v>
      </c>
      <c r="BL13" s="24">
        <v>0</v>
      </c>
      <c r="BM13" s="24">
        <v>0</v>
      </c>
      <c r="BN13" s="24">
        <v>0</v>
      </c>
      <c r="BO13" s="24">
        <v>0</v>
      </c>
      <c r="BP13" s="24">
        <v>0</v>
      </c>
      <c r="BQ13" s="24">
        <v>0</v>
      </c>
      <c r="BR13" s="24">
        <v>0</v>
      </c>
      <c r="BS13" s="24">
        <v>0</v>
      </c>
      <c r="BT13" s="24">
        <v>0</v>
      </c>
      <c r="BU13" s="24">
        <v>0</v>
      </c>
      <c r="BV13" s="24">
        <v>0</v>
      </c>
      <c r="BW13" s="24">
        <v>0</v>
      </c>
      <c r="BX13" s="24">
        <v>0</v>
      </c>
      <c r="BY13" s="24">
        <v>0</v>
      </c>
      <c r="BZ13" s="24">
        <v>0</v>
      </c>
      <c r="CA13" s="24">
        <v>0</v>
      </c>
      <c r="CB13" s="24">
        <v>0</v>
      </c>
      <c r="CC13" s="24">
        <v>0</v>
      </c>
      <c r="CD13" s="24">
        <v>0</v>
      </c>
      <c r="CE13" s="24">
        <v>0</v>
      </c>
      <c r="CF13" s="24">
        <v>0</v>
      </c>
      <c r="CG13" s="24">
        <v>0</v>
      </c>
      <c r="CH13" s="24">
        <v>0</v>
      </c>
      <c r="CI13" s="24">
        <v>0</v>
      </c>
      <c r="CJ13" s="24">
        <v>0</v>
      </c>
      <c r="CK13" s="24">
        <v>0</v>
      </c>
      <c r="CL13" s="24">
        <v>0</v>
      </c>
      <c r="CM13" s="24">
        <v>0</v>
      </c>
      <c r="CN13" s="24">
        <v>0</v>
      </c>
      <c r="CO13" s="24">
        <v>0</v>
      </c>
      <c r="CP13" s="24">
        <v>0</v>
      </c>
      <c r="CQ13" s="24">
        <v>0</v>
      </c>
      <c r="CR13" s="24">
        <v>0</v>
      </c>
      <c r="CS13" s="24">
        <v>0</v>
      </c>
      <c r="CT13" s="24">
        <v>0</v>
      </c>
      <c r="CU13" s="24">
        <v>0</v>
      </c>
      <c r="CV13" s="24">
        <v>0</v>
      </c>
      <c r="CW13" s="24">
        <v>0</v>
      </c>
      <c r="CX13" s="24">
        <v>0</v>
      </c>
      <c r="CY13" s="24">
        <v>0</v>
      </c>
      <c r="CZ13" s="24">
        <v>0</v>
      </c>
      <c r="DA13" s="24">
        <v>0</v>
      </c>
      <c r="DB13" s="24">
        <v>0</v>
      </c>
      <c r="DC13" s="24">
        <v>0</v>
      </c>
      <c r="DD13" s="24">
        <v>0</v>
      </c>
      <c r="DE13" s="24">
        <v>0</v>
      </c>
      <c r="DF13" s="24">
        <v>0</v>
      </c>
      <c r="DG13" s="24">
        <v>0</v>
      </c>
      <c r="DH13" s="24">
        <v>0</v>
      </c>
      <c r="DI13" s="24">
        <v>0</v>
      </c>
      <c r="DJ13" s="24">
        <v>0</v>
      </c>
      <c r="DK13" s="24">
        <v>0</v>
      </c>
      <c r="DL13" s="24">
        <v>0</v>
      </c>
      <c r="DM13" s="24">
        <v>0</v>
      </c>
      <c r="DN13" s="24">
        <v>0</v>
      </c>
      <c r="DO13" s="24">
        <v>0</v>
      </c>
      <c r="DP13" s="24">
        <v>0</v>
      </c>
      <c r="DQ13" s="24">
        <v>0</v>
      </c>
      <c r="DR13" s="24">
        <v>0</v>
      </c>
      <c r="DS13" s="24">
        <v>0</v>
      </c>
      <c r="DT13" s="24">
        <v>0</v>
      </c>
      <c r="DU13" s="24">
        <v>0</v>
      </c>
      <c r="DV13" s="24">
        <v>0</v>
      </c>
      <c r="DW13" s="24">
        <v>0</v>
      </c>
      <c r="DX13" s="24">
        <v>0</v>
      </c>
      <c r="DY13" s="24">
        <v>0</v>
      </c>
      <c r="DZ13" s="24">
        <v>0</v>
      </c>
      <c r="EA13" s="24">
        <v>0</v>
      </c>
      <c r="EB13" s="24">
        <v>0</v>
      </c>
      <c r="EC13" s="24">
        <v>0</v>
      </c>
      <c r="ED13" s="24">
        <v>0</v>
      </c>
      <c r="EE13" s="24">
        <v>0</v>
      </c>
      <c r="EF13" s="24">
        <v>0</v>
      </c>
      <c r="EG13" s="24">
        <v>0</v>
      </c>
      <c r="EH13" s="24">
        <v>0</v>
      </c>
      <c r="EI13" s="24">
        <v>0</v>
      </c>
      <c r="EJ13" s="24">
        <v>0</v>
      </c>
      <c r="EK13" s="24">
        <v>0</v>
      </c>
      <c r="EL13" s="24">
        <v>0</v>
      </c>
      <c r="EM13" s="24">
        <v>0</v>
      </c>
      <c r="EN13" s="24">
        <v>0</v>
      </c>
      <c r="EO13" s="24">
        <v>0</v>
      </c>
      <c r="EP13" s="24">
        <v>0</v>
      </c>
      <c r="EQ13" s="24">
        <v>0</v>
      </c>
      <c r="ER13" s="24">
        <v>0</v>
      </c>
      <c r="ES13" s="24">
        <v>0</v>
      </c>
      <c r="ET13" s="24">
        <v>0</v>
      </c>
      <c r="EU13" s="24">
        <v>0</v>
      </c>
      <c r="EV13" s="24">
        <v>0</v>
      </c>
      <c r="EW13" s="24">
        <v>0</v>
      </c>
      <c r="EX13" s="24">
        <v>0</v>
      </c>
      <c r="EY13" s="24">
        <v>0</v>
      </c>
      <c r="EZ13" s="24">
        <v>0</v>
      </c>
      <c r="FA13" s="24">
        <v>0</v>
      </c>
      <c r="FB13" s="24">
        <v>0</v>
      </c>
      <c r="FC13" s="24">
        <v>0</v>
      </c>
      <c r="FD13" s="24">
        <v>0</v>
      </c>
      <c r="FE13" s="24">
        <v>0</v>
      </c>
      <c r="FF13" s="24">
        <v>0</v>
      </c>
      <c r="FG13" s="24">
        <v>0</v>
      </c>
      <c r="FH13" s="24">
        <v>0</v>
      </c>
      <c r="FI13" s="24">
        <v>0</v>
      </c>
      <c r="FJ13" s="24">
        <v>0</v>
      </c>
      <c r="FK13" s="24">
        <v>14733</v>
      </c>
      <c r="FL13" s="24">
        <v>0</v>
      </c>
      <c r="FM13" s="24">
        <v>0</v>
      </c>
      <c r="FN13" s="24">
        <v>0</v>
      </c>
      <c r="FO13" s="24">
        <v>0</v>
      </c>
      <c r="FP13" s="24">
        <v>0</v>
      </c>
      <c r="FQ13" s="24">
        <v>0</v>
      </c>
      <c r="FR13" s="24">
        <v>0</v>
      </c>
      <c r="FS13" s="24">
        <v>0</v>
      </c>
      <c r="FT13" s="24">
        <v>0</v>
      </c>
      <c r="FU13" s="24">
        <v>0</v>
      </c>
      <c r="FV13" s="24">
        <v>0</v>
      </c>
      <c r="FW13" s="24">
        <v>0</v>
      </c>
      <c r="FX13" s="24">
        <v>0</v>
      </c>
      <c r="FY13" s="24">
        <v>0</v>
      </c>
      <c r="FZ13" s="24">
        <v>0</v>
      </c>
      <c r="GA13" s="24">
        <v>0</v>
      </c>
      <c r="GB13" s="24">
        <v>0</v>
      </c>
      <c r="GC13" s="24">
        <v>0</v>
      </c>
      <c r="GD13" s="24">
        <v>0</v>
      </c>
      <c r="GE13" s="24">
        <v>0</v>
      </c>
      <c r="GF13" s="24">
        <v>0</v>
      </c>
      <c r="GG13" s="24">
        <v>0</v>
      </c>
      <c r="GH13" s="24">
        <v>0</v>
      </c>
      <c r="GI13" s="24">
        <v>0</v>
      </c>
      <c r="GJ13" s="24">
        <v>0</v>
      </c>
      <c r="GK13" s="24">
        <v>0</v>
      </c>
      <c r="GL13" s="24">
        <v>0</v>
      </c>
      <c r="GM13" s="24">
        <v>0</v>
      </c>
      <c r="GN13" s="24">
        <v>0</v>
      </c>
      <c r="GO13" s="24">
        <v>0</v>
      </c>
      <c r="GP13" s="24">
        <v>0</v>
      </c>
      <c r="GQ13" s="24">
        <v>0</v>
      </c>
      <c r="GR13" s="24">
        <v>0</v>
      </c>
      <c r="GS13" s="24">
        <v>0</v>
      </c>
      <c r="GT13" s="24">
        <v>0</v>
      </c>
      <c r="GU13" s="24">
        <v>0</v>
      </c>
      <c r="GV13" s="24">
        <v>0</v>
      </c>
      <c r="GW13" s="24">
        <v>0</v>
      </c>
      <c r="GX13" s="24">
        <v>0</v>
      </c>
      <c r="GY13" s="24">
        <v>1384963</v>
      </c>
      <c r="GZ13" s="24">
        <v>0</v>
      </c>
      <c r="HA13" s="24">
        <v>0</v>
      </c>
      <c r="HB13" s="24">
        <v>0</v>
      </c>
      <c r="HC13" s="24">
        <v>0</v>
      </c>
      <c r="HD13" s="24">
        <v>0</v>
      </c>
      <c r="HE13" s="24">
        <v>0</v>
      </c>
      <c r="HF13" s="24">
        <v>0</v>
      </c>
      <c r="HG13" s="24">
        <v>0</v>
      </c>
      <c r="HH13" s="24">
        <v>0</v>
      </c>
      <c r="HI13" s="24">
        <v>0</v>
      </c>
      <c r="HJ13" s="24">
        <v>0</v>
      </c>
      <c r="HK13" s="24">
        <v>109809</v>
      </c>
      <c r="HL13" s="24">
        <v>0</v>
      </c>
      <c r="HM13" s="24">
        <v>0</v>
      </c>
      <c r="HN13" s="24">
        <v>0</v>
      </c>
      <c r="HO13" s="24">
        <v>0</v>
      </c>
      <c r="HP13" s="24">
        <v>0</v>
      </c>
      <c r="HQ13" s="24">
        <v>0</v>
      </c>
      <c r="HR13" s="24">
        <v>0</v>
      </c>
      <c r="HS13" s="24">
        <v>0</v>
      </c>
      <c r="HT13" s="24">
        <v>0</v>
      </c>
      <c r="HU13" s="24">
        <v>0</v>
      </c>
      <c r="HV13" s="24">
        <v>15334</v>
      </c>
      <c r="HW13" s="24">
        <v>0</v>
      </c>
      <c r="HX13" s="24">
        <v>0</v>
      </c>
      <c r="HY13" s="24">
        <v>0</v>
      </c>
      <c r="HZ13" s="24">
        <v>0</v>
      </c>
      <c r="IA13" s="24">
        <v>0</v>
      </c>
      <c r="IB13" s="24">
        <v>0</v>
      </c>
      <c r="IC13" s="24">
        <v>0</v>
      </c>
      <c r="ID13" s="24">
        <v>0</v>
      </c>
      <c r="IE13" s="24">
        <v>0</v>
      </c>
      <c r="IF13" s="24">
        <v>0</v>
      </c>
      <c r="IG13" s="24">
        <v>0</v>
      </c>
      <c r="IH13" s="24">
        <v>0</v>
      </c>
      <c r="II13" s="24">
        <v>0</v>
      </c>
      <c r="IJ13" s="24">
        <v>0</v>
      </c>
      <c r="IK13" s="24">
        <v>0</v>
      </c>
      <c r="IL13" s="24">
        <v>0</v>
      </c>
      <c r="IM13" s="24">
        <v>0</v>
      </c>
      <c r="IN13" s="24">
        <v>65623</v>
      </c>
      <c r="IO13" s="24">
        <v>0</v>
      </c>
      <c r="IP13" s="24">
        <v>0</v>
      </c>
      <c r="IQ13" s="24">
        <v>0</v>
      </c>
      <c r="IR13" s="24">
        <v>0</v>
      </c>
      <c r="IS13" s="24">
        <v>0</v>
      </c>
      <c r="IT13" s="24">
        <v>0</v>
      </c>
      <c r="IU13" s="24">
        <v>0</v>
      </c>
      <c r="IV13" s="24">
        <v>8721</v>
      </c>
      <c r="IW13" s="24">
        <v>0</v>
      </c>
      <c r="IX13" s="24">
        <v>0</v>
      </c>
      <c r="IY13" s="24">
        <v>0</v>
      </c>
      <c r="IZ13" s="24">
        <v>0</v>
      </c>
      <c r="JA13" s="24">
        <v>0</v>
      </c>
      <c r="JB13" s="24">
        <v>0</v>
      </c>
      <c r="JC13" s="24">
        <v>0</v>
      </c>
      <c r="JD13" s="24">
        <v>0</v>
      </c>
      <c r="JE13" s="24">
        <v>0</v>
      </c>
      <c r="JF13" s="24">
        <v>0</v>
      </c>
      <c r="JG13" s="24">
        <v>0</v>
      </c>
      <c r="JH13" s="24">
        <v>0</v>
      </c>
      <c r="JI13" s="24">
        <v>0</v>
      </c>
      <c r="JJ13" s="24">
        <v>0</v>
      </c>
      <c r="JK13" s="24">
        <v>0</v>
      </c>
      <c r="JL13" s="24">
        <v>0</v>
      </c>
      <c r="JM13" s="24">
        <v>0</v>
      </c>
      <c r="JN13" s="24">
        <v>0</v>
      </c>
      <c r="JO13" s="24">
        <v>0</v>
      </c>
      <c r="JP13" s="24">
        <v>0</v>
      </c>
      <c r="JQ13" s="24">
        <v>0</v>
      </c>
      <c r="JR13" s="24">
        <v>0</v>
      </c>
      <c r="JS13" s="24">
        <v>0</v>
      </c>
      <c r="JT13" s="24">
        <v>0</v>
      </c>
      <c r="JU13" s="24">
        <v>0</v>
      </c>
      <c r="JV13" s="24">
        <v>0</v>
      </c>
      <c r="JW13" s="24">
        <v>0</v>
      </c>
      <c r="JX13" s="24">
        <v>0</v>
      </c>
      <c r="JY13" s="24">
        <v>0</v>
      </c>
      <c r="JZ13" s="24">
        <v>0</v>
      </c>
      <c r="KA13" s="24">
        <v>0</v>
      </c>
      <c r="KB13" s="24">
        <v>0</v>
      </c>
      <c r="KC13" s="24">
        <v>0</v>
      </c>
      <c r="KD13" s="24">
        <v>0</v>
      </c>
      <c r="KE13" s="24">
        <v>0</v>
      </c>
      <c r="KF13" s="24">
        <v>0</v>
      </c>
      <c r="KG13" s="24">
        <v>0</v>
      </c>
      <c r="KH13" s="24">
        <v>0</v>
      </c>
      <c r="KI13" s="24">
        <v>0</v>
      </c>
      <c r="KJ13" s="24">
        <v>0</v>
      </c>
      <c r="KK13" s="24">
        <v>0</v>
      </c>
      <c r="KL13" s="24">
        <v>0</v>
      </c>
      <c r="KM13" s="24">
        <v>0</v>
      </c>
      <c r="KN13" s="24">
        <v>0</v>
      </c>
      <c r="KO13" s="24">
        <v>0</v>
      </c>
      <c r="KP13" s="24">
        <v>0</v>
      </c>
      <c r="KQ13" s="24">
        <v>0</v>
      </c>
      <c r="KR13" s="24">
        <v>0</v>
      </c>
      <c r="KS13" s="24">
        <v>0</v>
      </c>
      <c r="KT13" s="24">
        <v>0</v>
      </c>
      <c r="KU13" s="24">
        <v>0</v>
      </c>
      <c r="KV13" s="24">
        <v>0</v>
      </c>
      <c r="KW13" s="24">
        <v>0</v>
      </c>
      <c r="KX13" s="24">
        <v>0</v>
      </c>
      <c r="KY13" s="24">
        <v>0</v>
      </c>
      <c r="KZ13" s="24">
        <v>0</v>
      </c>
      <c r="LA13" s="24">
        <v>0</v>
      </c>
      <c r="LB13" s="24">
        <v>0</v>
      </c>
      <c r="LC13" s="24">
        <v>0</v>
      </c>
      <c r="LD13" s="24">
        <v>0</v>
      </c>
      <c r="LE13" s="24">
        <v>0</v>
      </c>
      <c r="LF13" s="24">
        <v>0</v>
      </c>
      <c r="LG13" s="24">
        <v>0</v>
      </c>
      <c r="LH13" s="24">
        <v>0</v>
      </c>
      <c r="LI13" s="24">
        <v>0</v>
      </c>
      <c r="LJ13" s="24">
        <v>0</v>
      </c>
      <c r="LK13" s="24">
        <v>0</v>
      </c>
      <c r="LL13" s="24">
        <v>0</v>
      </c>
      <c r="LM13" s="24">
        <v>0</v>
      </c>
      <c r="LN13" s="24">
        <v>0</v>
      </c>
      <c r="LO13" s="24">
        <v>0</v>
      </c>
      <c r="LP13" s="24">
        <v>0</v>
      </c>
      <c r="LQ13" s="24">
        <v>0</v>
      </c>
      <c r="LR13" s="24">
        <v>0</v>
      </c>
      <c r="LS13" s="24">
        <v>0</v>
      </c>
      <c r="LT13" s="24">
        <v>0</v>
      </c>
      <c r="LU13" s="24">
        <v>0</v>
      </c>
      <c r="LV13" s="24">
        <v>0</v>
      </c>
      <c r="LW13" s="24">
        <v>0</v>
      </c>
      <c r="LX13" s="24">
        <v>0</v>
      </c>
      <c r="LY13" s="24">
        <v>0</v>
      </c>
      <c r="LZ13" s="24">
        <v>0</v>
      </c>
      <c r="MA13" s="24">
        <v>0</v>
      </c>
      <c r="MB13" s="24">
        <v>0</v>
      </c>
      <c r="MC13" s="24">
        <v>0</v>
      </c>
      <c r="MD13" s="24">
        <v>0</v>
      </c>
      <c r="ME13" s="24">
        <v>0</v>
      </c>
      <c r="MF13" s="24">
        <v>0</v>
      </c>
      <c r="MG13" s="24">
        <v>0</v>
      </c>
      <c r="MH13" s="24">
        <v>0</v>
      </c>
      <c r="MI13" s="24">
        <v>0</v>
      </c>
      <c r="MJ13" s="24">
        <v>0</v>
      </c>
      <c r="MK13" s="24">
        <v>0</v>
      </c>
      <c r="ML13" s="24">
        <v>0</v>
      </c>
      <c r="MM13" s="24">
        <v>0</v>
      </c>
      <c r="MN13" s="24">
        <v>0</v>
      </c>
      <c r="MO13" s="24">
        <v>0</v>
      </c>
      <c r="MP13" s="24">
        <v>0</v>
      </c>
      <c r="MQ13" s="24">
        <v>0</v>
      </c>
      <c r="MR13" s="24">
        <v>0</v>
      </c>
      <c r="MS13" s="24">
        <v>0</v>
      </c>
      <c r="MT13" s="24">
        <v>0</v>
      </c>
      <c r="MU13" s="24">
        <v>0</v>
      </c>
      <c r="MV13" s="24">
        <v>0</v>
      </c>
      <c r="MW13" s="24">
        <v>0</v>
      </c>
      <c r="MX13" s="24">
        <v>0</v>
      </c>
      <c r="MY13" s="24">
        <v>0</v>
      </c>
      <c r="MZ13" s="24">
        <v>0</v>
      </c>
      <c r="NA13" s="24">
        <v>0</v>
      </c>
      <c r="NB13" s="24">
        <v>0</v>
      </c>
      <c r="NC13" s="24">
        <v>0</v>
      </c>
      <c r="ND13" s="24">
        <v>0</v>
      </c>
      <c r="NE13" s="24">
        <v>0</v>
      </c>
      <c r="NF13" s="24">
        <v>0</v>
      </c>
      <c r="NG13" s="24">
        <v>0</v>
      </c>
      <c r="NH13" s="24">
        <v>0</v>
      </c>
      <c r="NI13" s="24">
        <v>0</v>
      </c>
      <c r="NJ13" s="24">
        <v>0</v>
      </c>
      <c r="NK13" s="24">
        <v>0</v>
      </c>
      <c r="NL13" s="24">
        <v>0</v>
      </c>
      <c r="NM13" s="24">
        <v>0</v>
      </c>
      <c r="NN13" s="24">
        <v>0</v>
      </c>
      <c r="NO13" s="24">
        <v>0</v>
      </c>
      <c r="NP13" s="24">
        <v>0</v>
      </c>
      <c r="NQ13" s="24">
        <v>0</v>
      </c>
      <c r="NR13" s="24">
        <v>0</v>
      </c>
      <c r="NS13" s="24">
        <v>0</v>
      </c>
      <c r="NT13" s="24">
        <v>0</v>
      </c>
      <c r="NU13" s="24">
        <v>0</v>
      </c>
      <c r="NV13" s="24">
        <v>0</v>
      </c>
      <c r="NW13" s="24">
        <v>0</v>
      </c>
      <c r="NX13" s="24">
        <v>0</v>
      </c>
      <c r="NY13" s="24">
        <v>0</v>
      </c>
      <c r="NZ13" s="24">
        <v>0</v>
      </c>
      <c r="OA13" s="24">
        <v>0</v>
      </c>
      <c r="OB13" s="24">
        <v>0</v>
      </c>
      <c r="OC13" s="24">
        <v>0</v>
      </c>
      <c r="OD13" s="24">
        <v>0</v>
      </c>
      <c r="OE13" s="24">
        <v>0</v>
      </c>
      <c r="OF13" s="24">
        <v>0</v>
      </c>
      <c r="OG13" s="24">
        <v>0</v>
      </c>
      <c r="OH13" s="24">
        <v>0</v>
      </c>
      <c r="OI13" s="24">
        <v>0</v>
      </c>
      <c r="OJ13" s="24">
        <v>0</v>
      </c>
      <c r="OK13" s="24">
        <v>0</v>
      </c>
      <c r="OL13" s="24">
        <v>0</v>
      </c>
      <c r="OM13" s="24">
        <v>0</v>
      </c>
      <c r="ON13" s="24">
        <v>0</v>
      </c>
      <c r="OO13" s="24">
        <v>0</v>
      </c>
      <c r="OP13" s="24">
        <v>0</v>
      </c>
      <c r="OQ13" s="24">
        <v>0</v>
      </c>
      <c r="OR13" s="24">
        <v>0</v>
      </c>
      <c r="OS13" s="24">
        <v>0</v>
      </c>
      <c r="OT13" s="24">
        <v>0</v>
      </c>
      <c r="OU13" s="24">
        <v>0</v>
      </c>
      <c r="OV13" s="24">
        <v>0</v>
      </c>
      <c r="OW13" s="24">
        <v>0</v>
      </c>
      <c r="OX13" s="24">
        <v>0</v>
      </c>
      <c r="OY13" s="24">
        <v>0</v>
      </c>
      <c r="OZ13" s="24">
        <v>0</v>
      </c>
      <c r="PA13" s="24">
        <v>0</v>
      </c>
      <c r="PB13" s="24">
        <v>0</v>
      </c>
      <c r="PC13" s="24">
        <v>0</v>
      </c>
      <c r="PD13" s="24">
        <v>0</v>
      </c>
      <c r="PE13" s="24">
        <v>0</v>
      </c>
      <c r="PF13" s="24">
        <v>0</v>
      </c>
      <c r="PG13" s="24">
        <v>0</v>
      </c>
      <c r="PH13" s="24">
        <v>0</v>
      </c>
      <c r="PI13" s="24">
        <v>0</v>
      </c>
      <c r="PJ13" s="24">
        <v>0</v>
      </c>
      <c r="PK13" s="24">
        <v>0</v>
      </c>
      <c r="PL13" s="24">
        <v>0</v>
      </c>
      <c r="PM13" s="24">
        <v>0</v>
      </c>
      <c r="PN13" s="24">
        <v>0</v>
      </c>
      <c r="PO13" s="24">
        <v>0</v>
      </c>
      <c r="PP13" s="24">
        <v>0</v>
      </c>
      <c r="PQ13" s="24">
        <v>0</v>
      </c>
      <c r="PR13" s="24">
        <v>0</v>
      </c>
      <c r="PS13" s="24">
        <v>0</v>
      </c>
      <c r="PT13" s="24">
        <v>0</v>
      </c>
      <c r="PU13" s="24">
        <v>0</v>
      </c>
      <c r="PV13" s="24">
        <v>0</v>
      </c>
      <c r="PW13" s="24">
        <v>0</v>
      </c>
      <c r="PX13" s="24">
        <v>0</v>
      </c>
      <c r="PY13" s="24">
        <v>0</v>
      </c>
      <c r="PZ13" s="24">
        <v>0</v>
      </c>
      <c r="QA13" s="24">
        <v>0</v>
      </c>
      <c r="QB13" s="24">
        <v>0</v>
      </c>
      <c r="QC13" s="24">
        <v>0</v>
      </c>
      <c r="QD13" s="24">
        <v>0</v>
      </c>
      <c r="QE13" s="24">
        <v>0</v>
      </c>
      <c r="QF13" s="24">
        <v>0</v>
      </c>
      <c r="QG13" s="24">
        <v>0</v>
      </c>
      <c r="QH13" s="24">
        <v>0</v>
      </c>
      <c r="QI13" s="24">
        <v>0</v>
      </c>
      <c r="QJ13" s="24">
        <v>0</v>
      </c>
      <c r="QK13" s="24">
        <v>0</v>
      </c>
      <c r="QL13" s="24">
        <v>0</v>
      </c>
      <c r="QM13" s="24">
        <v>0</v>
      </c>
      <c r="QN13" s="24">
        <v>0</v>
      </c>
      <c r="QO13" s="24">
        <v>0</v>
      </c>
      <c r="QP13" s="24">
        <v>0</v>
      </c>
      <c r="QQ13" s="24">
        <v>0</v>
      </c>
      <c r="QR13" s="24">
        <v>0</v>
      </c>
      <c r="QS13" s="4">
        <v>1</v>
      </c>
      <c r="QT13" s="5"/>
      <c r="QV13" s="4"/>
      <c r="QW13" s="39">
        <v>1384963</v>
      </c>
      <c r="QX13" s="39">
        <v>0</v>
      </c>
      <c r="QY13" s="39">
        <v>0</v>
      </c>
      <c r="QZ13" s="39">
        <v>0</v>
      </c>
      <c r="RA13" s="39">
        <v>0</v>
      </c>
      <c r="RB13" s="39">
        <v>0</v>
      </c>
      <c r="RC13" s="39">
        <v>125143</v>
      </c>
      <c r="RD13" s="39">
        <v>0</v>
      </c>
      <c r="RE13" s="39">
        <v>65623</v>
      </c>
      <c r="RF13" s="39">
        <v>8721</v>
      </c>
      <c r="RG13" s="39">
        <v>0</v>
      </c>
      <c r="RH13" s="39">
        <v>0</v>
      </c>
      <c r="RI13" s="39"/>
      <c r="RJ13" s="182"/>
      <c r="RK13" s="39"/>
      <c r="RL13" s="39">
        <v>0</v>
      </c>
      <c r="RM13" s="39">
        <v>1584450</v>
      </c>
      <c r="RN13" s="39">
        <v>14283</v>
      </c>
      <c r="RO13" s="39">
        <v>0</v>
      </c>
      <c r="RP13" s="39"/>
      <c r="RQ13" s="182"/>
      <c r="RR13" s="39"/>
      <c r="RS13" s="39">
        <v>0</v>
      </c>
      <c r="RT13" s="39">
        <v>0</v>
      </c>
      <c r="RU13" s="187">
        <v>0</v>
      </c>
      <c r="RV13" s="39">
        <v>0</v>
      </c>
      <c r="RW13" s="39">
        <v>14283</v>
      </c>
      <c r="RX13" s="4"/>
      <c r="RY13" s="5"/>
      <c r="RZ13" s="4"/>
      <c r="SA13" s="39">
        <v>1584450</v>
      </c>
      <c r="SB13" s="39">
        <v>8721</v>
      </c>
      <c r="SC13" s="50">
        <v>0.99449588185174664</v>
      </c>
      <c r="SE13" s="5"/>
      <c r="SG13" s="124">
        <v>188</v>
      </c>
      <c r="SH13" s="124">
        <v>48.74074074074074</v>
      </c>
      <c r="SI13" s="131">
        <v>0.25925925925925924</v>
      </c>
      <c r="SJ13">
        <v>0</v>
      </c>
      <c r="SK13" s="131">
        <v>0</v>
      </c>
      <c r="SL13" s="124">
        <v>0</v>
      </c>
      <c r="SM13" s="131">
        <v>0</v>
      </c>
      <c r="SN13" s="142">
        <v>0</v>
      </c>
      <c r="SO13" s="142">
        <v>0</v>
      </c>
      <c r="SP13" s="142">
        <v>0</v>
      </c>
      <c r="SQ13" s="142">
        <v>0</v>
      </c>
      <c r="SR13" s="124">
        <v>0</v>
      </c>
      <c r="SS13" s="124">
        <v>0</v>
      </c>
      <c r="ST13" s="124">
        <v>0</v>
      </c>
      <c r="SU13" s="124">
        <v>0</v>
      </c>
      <c r="SV13" s="124">
        <v>0</v>
      </c>
      <c r="SW13" s="124">
        <v>188</v>
      </c>
      <c r="SX13" s="124">
        <v>114</v>
      </c>
      <c r="SY13" s="131">
        <v>4.3859649122807015E-2</v>
      </c>
      <c r="SZ13" s="134">
        <v>8.2456140350877192</v>
      </c>
      <c r="TA13" s="131">
        <v>4.3859649122807015E-2</v>
      </c>
      <c r="TB13" s="134">
        <v>8.2456140350877192</v>
      </c>
      <c r="TC13" s="293">
        <v>0</v>
      </c>
      <c r="TD13" s="168">
        <v>11.28</v>
      </c>
      <c r="TF13" s="5"/>
      <c r="TH13" s="168">
        <v>8.2456140350877192</v>
      </c>
      <c r="TI13" s="168">
        <v>8.2456140350877192</v>
      </c>
      <c r="TJ13" s="205">
        <v>8.2456140350877192</v>
      </c>
      <c r="TK13" s="144"/>
      <c r="TL13" s="293"/>
      <c r="TM13" s="293">
        <v>0</v>
      </c>
      <c r="TN13" s="169">
        <v>11.28</v>
      </c>
      <c r="TO13" s="205">
        <v>11.28</v>
      </c>
      <c r="TP13" s="5"/>
      <c r="TR13" s="293" t="s">
        <v>1432</v>
      </c>
      <c r="TT13" s="5"/>
      <c r="TV13" s="199">
        <v>0</v>
      </c>
      <c r="TW13" s="200">
        <v>0</v>
      </c>
      <c r="TX13" s="200">
        <v>1575729</v>
      </c>
      <c r="TY13" s="200">
        <v>516610</v>
      </c>
      <c r="TZ13" s="200">
        <v>1015200</v>
      </c>
      <c r="UA13" s="204">
        <v>52640</v>
      </c>
      <c r="UB13" s="204">
        <v>0</v>
      </c>
      <c r="UC13" s="200">
        <v>0</v>
      </c>
      <c r="UD13" s="200">
        <v>0</v>
      </c>
      <c r="UE13" s="200">
        <v>0</v>
      </c>
      <c r="UF13" s="200">
        <v>0</v>
      </c>
      <c r="UG13" s="200">
        <v>0</v>
      </c>
      <c r="UH13" s="200">
        <v>0</v>
      </c>
      <c r="UI13" s="200">
        <v>0</v>
      </c>
      <c r="UJ13" s="200">
        <v>0</v>
      </c>
      <c r="UK13" s="200">
        <v>0</v>
      </c>
      <c r="UL13" s="200">
        <v>0</v>
      </c>
      <c r="UM13" s="200">
        <v>0</v>
      </c>
      <c r="UN13" s="200">
        <v>1067840</v>
      </c>
      <c r="UO13" s="200"/>
      <c r="UP13" s="182"/>
      <c r="UQ13" s="200"/>
      <c r="UR13" s="199">
        <v>1584450</v>
      </c>
      <c r="US13" s="199">
        <v>8427.9255319148942</v>
      </c>
      <c r="UT13" s="199">
        <v>1575729</v>
      </c>
      <c r="UU13" s="199">
        <v>8381.5372340425529</v>
      </c>
      <c r="UV13" s="199">
        <v>8721</v>
      </c>
      <c r="UW13" s="199">
        <v>46.388297872341354</v>
      </c>
      <c r="UX13" s="131">
        <v>5.5345811367311102E-3</v>
      </c>
      <c r="UY13" s="199"/>
      <c r="UZ13" s="221"/>
      <c r="VA13" s="199"/>
      <c r="VB13" s="199">
        <v>0</v>
      </c>
      <c r="VC13" s="200">
        <v>8721</v>
      </c>
      <c r="VD13" s="199">
        <v>14283</v>
      </c>
      <c r="VE13" s="199">
        <v>0</v>
      </c>
      <c r="VG13" s="5"/>
      <c r="VI13" s="354">
        <v>1607454</v>
      </c>
      <c r="VJ13" s="355">
        <v>8550.2872340425529</v>
      </c>
      <c r="VK13" s="354">
        <v>1598733</v>
      </c>
      <c r="VL13" s="355">
        <v>8503.8989361702133</v>
      </c>
      <c r="VM13" s="131">
        <v>5.4549446342821674E-3</v>
      </c>
      <c r="VN13" s="131"/>
      <c r="VO13" s="354"/>
      <c r="VP13" s="200"/>
      <c r="VQ13" s="200"/>
      <c r="VR13" s="200"/>
      <c r="VS13" s="199"/>
    </row>
    <row r="14" spans="1:591">
      <c r="A14" s="3">
        <v>25</v>
      </c>
      <c r="B14" s="2" t="s">
        <v>106</v>
      </c>
      <c r="C14" s="24">
        <v>0</v>
      </c>
      <c r="D14" s="24">
        <v>0</v>
      </c>
      <c r="E14" s="24">
        <v>0</v>
      </c>
      <c r="F14" s="24">
        <v>0</v>
      </c>
      <c r="G14" s="24">
        <v>8529389</v>
      </c>
      <c r="H14" s="24">
        <v>0</v>
      </c>
      <c r="I14" s="24">
        <v>17333</v>
      </c>
      <c r="J14" s="24">
        <v>10876</v>
      </c>
      <c r="K14" s="24">
        <v>0</v>
      </c>
      <c r="L14" s="24">
        <v>0</v>
      </c>
      <c r="M14" s="24">
        <v>0</v>
      </c>
      <c r="N14" s="24">
        <v>2471</v>
      </c>
      <c r="O14" s="24">
        <v>0</v>
      </c>
      <c r="P14" s="24">
        <v>0</v>
      </c>
      <c r="Q14" s="24">
        <v>0</v>
      </c>
      <c r="R14" s="24">
        <v>0</v>
      </c>
      <c r="S14" s="24">
        <v>4587636</v>
      </c>
      <c r="T14" s="24">
        <v>0</v>
      </c>
      <c r="U14" s="24">
        <v>0</v>
      </c>
      <c r="V14" s="24">
        <v>1912144</v>
      </c>
      <c r="W14" s="24">
        <v>118304</v>
      </c>
      <c r="X14" s="24">
        <v>0</v>
      </c>
      <c r="Y14" s="24">
        <v>0</v>
      </c>
      <c r="Z14" s="24">
        <v>0</v>
      </c>
      <c r="AA14" s="24">
        <v>0</v>
      </c>
      <c r="AB14" s="24">
        <v>0</v>
      </c>
      <c r="AC14" s="24">
        <v>41685</v>
      </c>
      <c r="AD14" s="24">
        <v>0</v>
      </c>
      <c r="AE14" s="24">
        <v>0</v>
      </c>
      <c r="AF14" s="24">
        <v>0</v>
      </c>
      <c r="AG14" s="24">
        <v>0</v>
      </c>
      <c r="AH14" s="24">
        <v>0</v>
      </c>
      <c r="AI14" s="24">
        <v>0</v>
      </c>
      <c r="AJ14" s="24">
        <v>19501</v>
      </c>
      <c r="AK14" s="24">
        <v>0</v>
      </c>
      <c r="AL14" s="24">
        <v>0</v>
      </c>
      <c r="AM14" s="24">
        <v>0</v>
      </c>
      <c r="AN14" s="24">
        <v>0</v>
      </c>
      <c r="AO14" s="24">
        <v>0</v>
      </c>
      <c r="AP14" s="24">
        <v>0</v>
      </c>
      <c r="AQ14" s="24">
        <v>0</v>
      </c>
      <c r="AR14" s="24">
        <v>0</v>
      </c>
      <c r="AS14" s="24">
        <v>0</v>
      </c>
      <c r="AT14" s="24">
        <v>0</v>
      </c>
      <c r="AU14" s="24">
        <v>0</v>
      </c>
      <c r="AV14" s="24">
        <v>0</v>
      </c>
      <c r="AW14" s="24">
        <v>0</v>
      </c>
      <c r="AX14" s="24">
        <v>0</v>
      </c>
      <c r="AY14" s="24">
        <v>0</v>
      </c>
      <c r="AZ14" s="24">
        <v>0</v>
      </c>
      <c r="BA14" s="24">
        <v>1833</v>
      </c>
      <c r="BB14" s="24">
        <v>2510</v>
      </c>
      <c r="BC14" s="24">
        <v>0</v>
      </c>
      <c r="BD14" s="24">
        <v>22</v>
      </c>
      <c r="BE14" s="24">
        <v>0</v>
      </c>
      <c r="BF14" s="24">
        <v>0</v>
      </c>
      <c r="BG14" s="24">
        <v>0</v>
      </c>
      <c r="BH14" s="24">
        <v>0</v>
      </c>
      <c r="BI14" s="24">
        <v>0</v>
      </c>
      <c r="BJ14" s="24">
        <v>0</v>
      </c>
      <c r="BK14" s="24">
        <v>642</v>
      </c>
      <c r="BL14" s="24">
        <v>0</v>
      </c>
      <c r="BM14" s="24">
        <v>0</v>
      </c>
      <c r="BN14" s="24">
        <v>0</v>
      </c>
      <c r="BO14" s="24">
        <v>0</v>
      </c>
      <c r="BP14" s="24">
        <v>0</v>
      </c>
      <c r="BQ14" s="24">
        <v>663</v>
      </c>
      <c r="BR14" s="24">
        <v>0</v>
      </c>
      <c r="BS14" s="24">
        <v>0</v>
      </c>
      <c r="BT14" s="24">
        <v>0</v>
      </c>
      <c r="BU14" s="24">
        <v>0</v>
      </c>
      <c r="BV14" s="24">
        <v>824935</v>
      </c>
      <c r="BW14" s="24">
        <v>229537</v>
      </c>
      <c r="BX14" s="24">
        <v>0</v>
      </c>
      <c r="BY14" s="24">
        <v>0</v>
      </c>
      <c r="BZ14" s="24">
        <v>8068</v>
      </c>
      <c r="CA14" s="24">
        <v>0</v>
      </c>
      <c r="CB14" s="24">
        <v>0</v>
      </c>
      <c r="CC14" s="24">
        <v>0</v>
      </c>
      <c r="CD14" s="24">
        <v>0</v>
      </c>
      <c r="CE14" s="24">
        <v>0</v>
      </c>
      <c r="CF14" s="24">
        <v>0</v>
      </c>
      <c r="CG14" s="24">
        <v>0</v>
      </c>
      <c r="CH14" s="24">
        <v>0</v>
      </c>
      <c r="CI14" s="24">
        <v>0</v>
      </c>
      <c r="CJ14" s="24">
        <v>0</v>
      </c>
      <c r="CK14" s="24">
        <v>0</v>
      </c>
      <c r="CL14" s="24">
        <v>15255</v>
      </c>
      <c r="CM14" s="24">
        <v>0</v>
      </c>
      <c r="CN14" s="24">
        <v>0</v>
      </c>
      <c r="CO14" s="24">
        <v>0</v>
      </c>
      <c r="CP14" s="24">
        <v>0</v>
      </c>
      <c r="CQ14" s="24">
        <v>0</v>
      </c>
      <c r="CR14" s="24">
        <v>0</v>
      </c>
      <c r="CS14" s="24">
        <v>0</v>
      </c>
      <c r="CT14" s="24">
        <v>0</v>
      </c>
      <c r="CU14" s="24">
        <v>0</v>
      </c>
      <c r="CV14" s="24">
        <v>0</v>
      </c>
      <c r="CW14" s="24">
        <v>0</v>
      </c>
      <c r="CX14" s="24">
        <v>291663</v>
      </c>
      <c r="CY14" s="24">
        <v>0</v>
      </c>
      <c r="CZ14" s="24">
        <v>0</v>
      </c>
      <c r="DA14" s="24">
        <v>0</v>
      </c>
      <c r="DB14" s="24">
        <v>0</v>
      </c>
      <c r="DC14" s="24">
        <v>0</v>
      </c>
      <c r="DD14" s="24">
        <v>0</v>
      </c>
      <c r="DE14" s="24">
        <v>0</v>
      </c>
      <c r="DF14" s="24">
        <v>0</v>
      </c>
      <c r="DG14" s="24">
        <v>0</v>
      </c>
      <c r="DH14" s="24">
        <v>0</v>
      </c>
      <c r="DI14" s="24">
        <v>0</v>
      </c>
      <c r="DJ14" s="24">
        <v>0</v>
      </c>
      <c r="DK14" s="24">
        <v>0</v>
      </c>
      <c r="DL14" s="24">
        <v>16420</v>
      </c>
      <c r="DM14" s="24">
        <v>0</v>
      </c>
      <c r="DN14" s="24">
        <v>0</v>
      </c>
      <c r="DO14" s="24">
        <v>0</v>
      </c>
      <c r="DP14" s="24">
        <v>0</v>
      </c>
      <c r="DQ14" s="24">
        <v>0</v>
      </c>
      <c r="DR14" s="24">
        <v>0</v>
      </c>
      <c r="DS14" s="24">
        <v>0</v>
      </c>
      <c r="DT14" s="24">
        <v>0</v>
      </c>
      <c r="DU14" s="24">
        <v>0</v>
      </c>
      <c r="DV14" s="24">
        <v>0</v>
      </c>
      <c r="DW14" s="24">
        <v>0</v>
      </c>
      <c r="DX14" s="24">
        <v>0</v>
      </c>
      <c r="DY14" s="24">
        <v>0</v>
      </c>
      <c r="DZ14" s="24">
        <v>0</v>
      </c>
      <c r="EA14" s="24">
        <v>0</v>
      </c>
      <c r="EB14" s="24">
        <v>0</v>
      </c>
      <c r="EC14" s="24">
        <v>0</v>
      </c>
      <c r="ED14" s="24">
        <v>0</v>
      </c>
      <c r="EE14" s="24">
        <v>0</v>
      </c>
      <c r="EF14" s="24">
        <v>0</v>
      </c>
      <c r="EG14" s="24">
        <v>0</v>
      </c>
      <c r="EH14" s="24">
        <v>379</v>
      </c>
      <c r="EI14" s="24">
        <v>0</v>
      </c>
      <c r="EJ14" s="24">
        <v>0</v>
      </c>
      <c r="EK14" s="24">
        <v>0</v>
      </c>
      <c r="EL14" s="24">
        <v>0</v>
      </c>
      <c r="EM14" s="24">
        <v>0</v>
      </c>
      <c r="EN14" s="24">
        <v>0</v>
      </c>
      <c r="EO14" s="24">
        <v>0</v>
      </c>
      <c r="EP14" s="24">
        <v>0</v>
      </c>
      <c r="EQ14" s="24">
        <v>0</v>
      </c>
      <c r="ER14" s="24">
        <v>0</v>
      </c>
      <c r="ES14" s="24">
        <v>0</v>
      </c>
      <c r="ET14" s="24">
        <v>0</v>
      </c>
      <c r="EU14" s="24">
        <v>0</v>
      </c>
      <c r="EV14" s="24">
        <v>0</v>
      </c>
      <c r="EW14" s="24">
        <v>0</v>
      </c>
      <c r="EX14" s="24">
        <v>0</v>
      </c>
      <c r="EY14" s="24">
        <v>0</v>
      </c>
      <c r="EZ14" s="24">
        <v>0</v>
      </c>
      <c r="FA14" s="24">
        <v>270287</v>
      </c>
      <c r="FB14" s="24">
        <v>0</v>
      </c>
      <c r="FC14" s="24">
        <v>205677</v>
      </c>
      <c r="FD14" s="24">
        <v>0</v>
      </c>
      <c r="FE14" s="24">
        <v>0</v>
      </c>
      <c r="FF14" s="24">
        <v>0</v>
      </c>
      <c r="FG14" s="24">
        <v>0</v>
      </c>
      <c r="FH14" s="24">
        <v>32939</v>
      </c>
      <c r="FI14" s="24">
        <v>0</v>
      </c>
      <c r="FJ14" s="24">
        <v>0</v>
      </c>
      <c r="FK14" s="24">
        <v>257405</v>
      </c>
      <c r="FL14" s="24">
        <v>0</v>
      </c>
      <c r="FM14" s="24">
        <v>0</v>
      </c>
      <c r="FN14" s="24">
        <v>0</v>
      </c>
      <c r="FO14" s="24">
        <v>0</v>
      </c>
      <c r="FP14" s="24">
        <v>0</v>
      </c>
      <c r="FQ14" s="24">
        <v>0</v>
      </c>
      <c r="FR14" s="24">
        <v>0</v>
      </c>
      <c r="FS14" s="24">
        <v>0</v>
      </c>
      <c r="FT14" s="24">
        <v>0</v>
      </c>
      <c r="FU14" s="24">
        <v>0</v>
      </c>
      <c r="FV14" s="24">
        <v>0</v>
      </c>
      <c r="FW14" s="24">
        <v>0</v>
      </c>
      <c r="FX14" s="24">
        <v>1324</v>
      </c>
      <c r="FY14" s="24">
        <v>0</v>
      </c>
      <c r="FZ14" s="24">
        <v>0</v>
      </c>
      <c r="GA14" s="24">
        <v>0</v>
      </c>
      <c r="GB14" s="24">
        <v>0</v>
      </c>
      <c r="GC14" s="24">
        <v>0</v>
      </c>
      <c r="GD14" s="24">
        <v>0</v>
      </c>
      <c r="GE14" s="24">
        <v>0</v>
      </c>
      <c r="GF14" s="24">
        <v>0</v>
      </c>
      <c r="GG14" s="24">
        <v>0</v>
      </c>
      <c r="GH14" s="24">
        <v>0</v>
      </c>
      <c r="GI14" s="24">
        <v>0</v>
      </c>
      <c r="GJ14" s="24">
        <v>0</v>
      </c>
      <c r="GK14" s="24">
        <v>0</v>
      </c>
      <c r="GL14" s="24">
        <v>0</v>
      </c>
      <c r="GM14" s="24">
        <v>0</v>
      </c>
      <c r="GN14" s="24">
        <v>0</v>
      </c>
      <c r="GO14" s="24">
        <v>0</v>
      </c>
      <c r="GP14" s="24">
        <v>0</v>
      </c>
      <c r="GQ14" s="24">
        <v>0</v>
      </c>
      <c r="GR14" s="24">
        <v>0</v>
      </c>
      <c r="GS14" s="24">
        <v>0</v>
      </c>
      <c r="GT14" s="24">
        <v>131246</v>
      </c>
      <c r="GU14" s="24">
        <v>0</v>
      </c>
      <c r="GV14" s="24">
        <v>0</v>
      </c>
      <c r="GW14" s="24">
        <v>0</v>
      </c>
      <c r="GX14" s="24">
        <v>0</v>
      </c>
      <c r="GY14" s="24">
        <v>45059100</v>
      </c>
      <c r="GZ14" s="24">
        <v>0</v>
      </c>
      <c r="HA14" s="24">
        <v>0</v>
      </c>
      <c r="HB14" s="24">
        <v>0</v>
      </c>
      <c r="HC14" s="24">
        <v>0</v>
      </c>
      <c r="HD14" s="24">
        <v>1754312</v>
      </c>
      <c r="HE14" s="24">
        <v>263097</v>
      </c>
      <c r="HF14" s="24">
        <v>0</v>
      </c>
      <c r="HG14" s="24">
        <v>67304</v>
      </c>
      <c r="HH14" s="24">
        <v>0</v>
      </c>
      <c r="HI14" s="24">
        <v>0</v>
      </c>
      <c r="HJ14" s="24">
        <v>6055468</v>
      </c>
      <c r="HK14" s="24">
        <v>1834738</v>
      </c>
      <c r="HL14" s="24">
        <v>0</v>
      </c>
      <c r="HM14" s="24">
        <v>0</v>
      </c>
      <c r="HN14" s="24">
        <v>0</v>
      </c>
      <c r="HO14" s="24">
        <v>0</v>
      </c>
      <c r="HP14" s="24">
        <v>0</v>
      </c>
      <c r="HQ14" s="24">
        <v>0</v>
      </c>
      <c r="HR14" s="24">
        <v>0</v>
      </c>
      <c r="HS14" s="24">
        <v>51053</v>
      </c>
      <c r="HT14" s="24">
        <v>0</v>
      </c>
      <c r="HU14" s="24">
        <v>0</v>
      </c>
      <c r="HV14" s="24">
        <v>493156</v>
      </c>
      <c r="HW14" s="24">
        <v>0</v>
      </c>
      <c r="HX14" s="24">
        <v>0</v>
      </c>
      <c r="HY14" s="24">
        <v>0</v>
      </c>
      <c r="HZ14" s="24">
        <v>0</v>
      </c>
      <c r="IA14" s="24">
        <v>0</v>
      </c>
      <c r="IB14" s="24">
        <v>0</v>
      </c>
      <c r="IC14" s="24">
        <v>0</v>
      </c>
      <c r="ID14" s="24">
        <v>0</v>
      </c>
      <c r="IE14" s="24">
        <v>0</v>
      </c>
      <c r="IF14" s="24">
        <v>0</v>
      </c>
      <c r="IG14" s="24">
        <v>0</v>
      </c>
      <c r="IH14" s="24">
        <v>0</v>
      </c>
      <c r="II14" s="24">
        <v>0</v>
      </c>
      <c r="IJ14" s="24">
        <v>0</v>
      </c>
      <c r="IK14" s="24">
        <v>25938</v>
      </c>
      <c r="IL14" s="24">
        <v>0</v>
      </c>
      <c r="IM14" s="24">
        <v>0</v>
      </c>
      <c r="IN14" s="24">
        <v>342463</v>
      </c>
      <c r="IO14" s="24">
        <v>0</v>
      </c>
      <c r="IP14" s="24">
        <v>0</v>
      </c>
      <c r="IQ14" s="24">
        <v>0</v>
      </c>
      <c r="IR14" s="24">
        <v>0</v>
      </c>
      <c r="IS14" s="24">
        <v>0</v>
      </c>
      <c r="IT14" s="24">
        <v>0</v>
      </c>
      <c r="IU14" s="24">
        <v>0</v>
      </c>
      <c r="IV14" s="24">
        <v>0</v>
      </c>
      <c r="IW14" s="24">
        <v>0</v>
      </c>
      <c r="IX14" s="24">
        <v>0</v>
      </c>
      <c r="IY14" s="24">
        <v>541929</v>
      </c>
      <c r="IZ14" s="24">
        <v>0</v>
      </c>
      <c r="JA14" s="24">
        <v>0</v>
      </c>
      <c r="JB14" s="24">
        <v>8653</v>
      </c>
      <c r="JC14" s="24">
        <v>0</v>
      </c>
      <c r="JD14" s="24">
        <v>0</v>
      </c>
      <c r="JE14" s="24">
        <v>149526</v>
      </c>
      <c r="JF14" s="24">
        <v>0</v>
      </c>
      <c r="JG14" s="24">
        <v>0</v>
      </c>
      <c r="JH14" s="24">
        <v>0</v>
      </c>
      <c r="JI14" s="24">
        <v>0</v>
      </c>
      <c r="JJ14" s="24">
        <v>0</v>
      </c>
      <c r="JK14" s="24">
        <v>0</v>
      </c>
      <c r="JL14" s="24">
        <v>0</v>
      </c>
      <c r="JM14" s="24">
        <v>0</v>
      </c>
      <c r="JN14" s="24">
        <v>0</v>
      </c>
      <c r="JO14" s="24">
        <v>0</v>
      </c>
      <c r="JP14" s="24">
        <v>0</v>
      </c>
      <c r="JQ14" s="24">
        <v>0</v>
      </c>
      <c r="JR14" s="24">
        <v>0</v>
      </c>
      <c r="JS14" s="24">
        <v>0</v>
      </c>
      <c r="JT14" s="24">
        <v>54678</v>
      </c>
      <c r="JU14" s="24">
        <v>0</v>
      </c>
      <c r="JV14" s="24">
        <v>0</v>
      </c>
      <c r="JW14" s="24">
        <v>0</v>
      </c>
      <c r="JX14" s="24">
        <v>0</v>
      </c>
      <c r="JY14" s="24">
        <v>0</v>
      </c>
      <c r="JZ14" s="24">
        <v>0</v>
      </c>
      <c r="KA14" s="24">
        <v>0</v>
      </c>
      <c r="KB14" s="24">
        <v>0</v>
      </c>
      <c r="KC14" s="24">
        <v>0</v>
      </c>
      <c r="KD14" s="24">
        <v>0</v>
      </c>
      <c r="KE14" s="24">
        <v>0</v>
      </c>
      <c r="KF14" s="24">
        <v>0</v>
      </c>
      <c r="KG14" s="24">
        <v>0</v>
      </c>
      <c r="KH14" s="24">
        <v>0</v>
      </c>
      <c r="KI14" s="24">
        <v>159209</v>
      </c>
      <c r="KJ14" s="24">
        <v>0</v>
      </c>
      <c r="KK14" s="24">
        <v>0</v>
      </c>
      <c r="KL14" s="24">
        <v>0</v>
      </c>
      <c r="KM14" s="24">
        <v>0</v>
      </c>
      <c r="KN14" s="24">
        <v>0</v>
      </c>
      <c r="KO14" s="24">
        <v>0</v>
      </c>
      <c r="KP14" s="24">
        <v>0</v>
      </c>
      <c r="KQ14" s="24">
        <v>0</v>
      </c>
      <c r="KR14" s="24">
        <v>0</v>
      </c>
      <c r="KS14" s="24">
        <v>0</v>
      </c>
      <c r="KT14" s="24">
        <v>0</v>
      </c>
      <c r="KU14" s="24">
        <v>0</v>
      </c>
      <c r="KV14" s="24">
        <v>0</v>
      </c>
      <c r="KW14" s="24">
        <v>0</v>
      </c>
      <c r="KX14" s="24">
        <v>0</v>
      </c>
      <c r="KY14" s="24">
        <v>0</v>
      </c>
      <c r="KZ14" s="24">
        <v>0</v>
      </c>
      <c r="LA14" s="24">
        <v>0</v>
      </c>
      <c r="LB14" s="24">
        <v>0</v>
      </c>
      <c r="LC14" s="24">
        <v>0</v>
      </c>
      <c r="LD14" s="24">
        <v>0</v>
      </c>
      <c r="LE14" s="24">
        <v>1363479</v>
      </c>
      <c r="LF14" s="24">
        <v>0</v>
      </c>
      <c r="LG14" s="24">
        <v>0</v>
      </c>
      <c r="LH14" s="24">
        <v>0</v>
      </c>
      <c r="LI14" s="24">
        <v>0</v>
      </c>
      <c r="LJ14" s="24">
        <v>0</v>
      </c>
      <c r="LK14" s="24">
        <v>0</v>
      </c>
      <c r="LL14" s="24">
        <v>0</v>
      </c>
      <c r="LM14" s="24">
        <v>0</v>
      </c>
      <c r="LN14" s="24">
        <v>0</v>
      </c>
      <c r="LO14" s="24">
        <v>0</v>
      </c>
      <c r="LP14" s="24">
        <v>2669063</v>
      </c>
      <c r="LQ14" s="24">
        <v>0</v>
      </c>
      <c r="LR14" s="24">
        <v>0</v>
      </c>
      <c r="LS14" s="24">
        <v>0</v>
      </c>
      <c r="LT14" s="24">
        <v>0</v>
      </c>
      <c r="LU14" s="24">
        <v>0</v>
      </c>
      <c r="LV14" s="24">
        <v>0</v>
      </c>
      <c r="LW14" s="24">
        <v>0</v>
      </c>
      <c r="LX14" s="24">
        <v>0</v>
      </c>
      <c r="LY14" s="24">
        <v>0</v>
      </c>
      <c r="LZ14" s="24">
        <v>0</v>
      </c>
      <c r="MA14" s="24">
        <v>0</v>
      </c>
      <c r="MB14" s="24">
        <v>0</v>
      </c>
      <c r="MC14" s="24">
        <v>0</v>
      </c>
      <c r="MD14" s="24">
        <v>0</v>
      </c>
      <c r="ME14" s="24">
        <v>0</v>
      </c>
      <c r="MF14" s="24">
        <v>0</v>
      </c>
      <c r="MG14" s="24">
        <v>0</v>
      </c>
      <c r="MH14" s="24">
        <v>0</v>
      </c>
      <c r="MI14" s="24">
        <v>0</v>
      </c>
      <c r="MJ14" s="24">
        <v>152038</v>
      </c>
      <c r="MK14" s="24">
        <v>0</v>
      </c>
      <c r="ML14" s="24">
        <v>0</v>
      </c>
      <c r="MM14" s="24">
        <v>0</v>
      </c>
      <c r="MN14" s="24">
        <v>0</v>
      </c>
      <c r="MO14" s="24">
        <v>0</v>
      </c>
      <c r="MP14" s="24">
        <v>0</v>
      </c>
      <c r="MQ14" s="24">
        <v>3380019</v>
      </c>
      <c r="MR14" s="24">
        <v>0</v>
      </c>
      <c r="MS14" s="24">
        <v>0</v>
      </c>
      <c r="MT14" s="24">
        <v>2547409</v>
      </c>
      <c r="MU14" s="24">
        <v>79050</v>
      </c>
      <c r="MV14" s="24">
        <v>0</v>
      </c>
      <c r="MW14" s="24">
        <v>0</v>
      </c>
      <c r="MX14" s="24">
        <v>566224</v>
      </c>
      <c r="MY14" s="24">
        <v>33305</v>
      </c>
      <c r="MZ14" s="24">
        <v>0</v>
      </c>
      <c r="NA14" s="24">
        <v>0</v>
      </c>
      <c r="NB14" s="24">
        <v>0</v>
      </c>
      <c r="NC14" s="24">
        <v>0</v>
      </c>
      <c r="ND14" s="24">
        <v>0</v>
      </c>
      <c r="NE14" s="24">
        <v>0</v>
      </c>
      <c r="NF14" s="24">
        <v>0</v>
      </c>
      <c r="NG14" s="24">
        <v>0</v>
      </c>
      <c r="NH14" s="24">
        <v>0</v>
      </c>
      <c r="NI14" s="24">
        <v>0</v>
      </c>
      <c r="NJ14" s="24">
        <v>0</v>
      </c>
      <c r="NK14" s="24">
        <v>0</v>
      </c>
      <c r="NL14" s="24">
        <v>0</v>
      </c>
      <c r="NM14" s="24">
        <v>0</v>
      </c>
      <c r="NN14" s="24">
        <v>0</v>
      </c>
      <c r="NO14" s="24">
        <v>0</v>
      </c>
      <c r="NP14" s="24">
        <v>0</v>
      </c>
      <c r="NQ14" s="24">
        <v>0</v>
      </c>
      <c r="NR14" s="24">
        <v>527334</v>
      </c>
      <c r="NS14" s="24">
        <v>0</v>
      </c>
      <c r="NT14" s="24">
        <v>277555</v>
      </c>
      <c r="NU14" s="24">
        <v>0</v>
      </c>
      <c r="NV14" s="24">
        <v>0</v>
      </c>
      <c r="NW14" s="24">
        <v>0</v>
      </c>
      <c r="NX14" s="24">
        <v>0</v>
      </c>
      <c r="NY14" s="24">
        <v>0</v>
      </c>
      <c r="NZ14" s="24">
        <v>0</v>
      </c>
      <c r="OA14" s="24">
        <v>0</v>
      </c>
      <c r="OB14" s="24">
        <v>0</v>
      </c>
      <c r="OC14" s="24">
        <v>0</v>
      </c>
      <c r="OD14" s="24">
        <v>0</v>
      </c>
      <c r="OE14" s="24">
        <v>0</v>
      </c>
      <c r="OF14" s="24">
        <v>247965</v>
      </c>
      <c r="OG14" s="24">
        <v>0</v>
      </c>
      <c r="OH14" s="24">
        <v>0</v>
      </c>
      <c r="OI14" s="24">
        <v>0</v>
      </c>
      <c r="OJ14" s="24">
        <v>0</v>
      </c>
      <c r="OK14" s="24">
        <v>0</v>
      </c>
      <c r="OL14" s="24">
        <v>0</v>
      </c>
      <c r="OM14" s="24">
        <v>0</v>
      </c>
      <c r="ON14" s="24">
        <v>0</v>
      </c>
      <c r="OO14" s="24">
        <v>0</v>
      </c>
      <c r="OP14" s="24">
        <v>0</v>
      </c>
      <c r="OQ14" s="24">
        <v>0</v>
      </c>
      <c r="OR14" s="24">
        <v>0</v>
      </c>
      <c r="OS14" s="24">
        <v>0</v>
      </c>
      <c r="OT14" s="24">
        <v>0</v>
      </c>
      <c r="OU14" s="24">
        <v>5809</v>
      </c>
      <c r="OV14" s="24">
        <v>0</v>
      </c>
      <c r="OW14" s="24">
        <v>0</v>
      </c>
      <c r="OX14" s="24">
        <v>0</v>
      </c>
      <c r="OY14" s="24">
        <v>0</v>
      </c>
      <c r="OZ14" s="24">
        <v>0</v>
      </c>
      <c r="PA14" s="24">
        <v>0</v>
      </c>
      <c r="PB14" s="24">
        <v>0</v>
      </c>
      <c r="PC14" s="24">
        <v>0</v>
      </c>
      <c r="PD14" s="24">
        <v>0</v>
      </c>
      <c r="PE14" s="24">
        <v>0</v>
      </c>
      <c r="PF14" s="24">
        <v>0</v>
      </c>
      <c r="PG14" s="24">
        <v>0</v>
      </c>
      <c r="PH14" s="24">
        <v>0</v>
      </c>
      <c r="PI14" s="24">
        <v>0</v>
      </c>
      <c r="PJ14" s="24">
        <v>0</v>
      </c>
      <c r="PK14" s="24">
        <v>0</v>
      </c>
      <c r="PL14" s="24">
        <v>0</v>
      </c>
      <c r="PM14" s="24">
        <v>0</v>
      </c>
      <c r="PN14" s="24">
        <v>0</v>
      </c>
      <c r="PO14" s="24">
        <v>0</v>
      </c>
      <c r="PP14" s="24">
        <v>0</v>
      </c>
      <c r="PQ14" s="24">
        <v>0</v>
      </c>
      <c r="PR14" s="24">
        <v>0</v>
      </c>
      <c r="PS14" s="24">
        <v>0</v>
      </c>
      <c r="PT14" s="24">
        <v>0</v>
      </c>
      <c r="PU14" s="24">
        <v>0</v>
      </c>
      <c r="PV14" s="24">
        <v>0</v>
      </c>
      <c r="PW14" s="24">
        <v>0</v>
      </c>
      <c r="PX14" s="24">
        <v>5500</v>
      </c>
      <c r="PY14" s="24">
        <v>0</v>
      </c>
      <c r="PZ14" s="24">
        <v>0</v>
      </c>
      <c r="QA14" s="24">
        <v>0</v>
      </c>
      <c r="QB14" s="24">
        <v>0</v>
      </c>
      <c r="QC14" s="24">
        <v>0</v>
      </c>
      <c r="QD14" s="24">
        <v>203</v>
      </c>
      <c r="QE14" s="24">
        <v>0</v>
      </c>
      <c r="QF14" s="24">
        <v>0</v>
      </c>
      <c r="QG14" s="24">
        <v>0</v>
      </c>
      <c r="QH14" s="24">
        <v>0</v>
      </c>
      <c r="QI14" s="24">
        <v>115573</v>
      </c>
      <c r="QJ14" s="24">
        <v>0</v>
      </c>
      <c r="QK14" s="24">
        <v>0</v>
      </c>
      <c r="QL14" s="24">
        <v>0</v>
      </c>
      <c r="QM14" s="24">
        <v>0</v>
      </c>
      <c r="QN14" s="24">
        <v>0</v>
      </c>
      <c r="QO14" s="24">
        <v>0</v>
      </c>
      <c r="QP14" s="24">
        <v>0</v>
      </c>
      <c r="QQ14" s="24">
        <v>0</v>
      </c>
      <c r="QR14" s="24">
        <v>0</v>
      </c>
      <c r="QS14" s="4"/>
      <c r="QT14" s="5"/>
      <c r="QV14" s="4"/>
      <c r="QW14" s="39">
        <v>45059100</v>
      </c>
      <c r="QX14" s="39">
        <v>2017409</v>
      </c>
      <c r="QY14" s="39">
        <v>67304</v>
      </c>
      <c r="QZ14" s="39">
        <v>0</v>
      </c>
      <c r="RA14" s="39">
        <v>0</v>
      </c>
      <c r="RB14" s="39">
        <v>6055468</v>
      </c>
      <c r="RC14" s="39">
        <v>2378947</v>
      </c>
      <c r="RD14" s="39">
        <v>25938</v>
      </c>
      <c r="RE14" s="39">
        <v>342463</v>
      </c>
      <c r="RF14" s="39">
        <v>541929</v>
      </c>
      <c r="RG14" s="39">
        <v>8653</v>
      </c>
      <c r="RH14" s="39">
        <v>204204</v>
      </c>
      <c r="RI14" s="39"/>
      <c r="RJ14" s="182"/>
      <c r="RK14" s="39"/>
      <c r="RL14" s="39">
        <v>12002650</v>
      </c>
      <c r="RM14" s="39">
        <v>56701415</v>
      </c>
      <c r="RN14" s="39">
        <v>17530144</v>
      </c>
      <c r="RO14" s="39">
        <v>127085</v>
      </c>
      <c r="RP14" s="39"/>
      <c r="RQ14" s="182"/>
      <c r="RR14" s="39"/>
      <c r="RS14" s="39">
        <v>3377354573</v>
      </c>
      <c r="RT14" s="39">
        <v>276277.5224344554</v>
      </c>
      <c r="RU14" s="187">
        <v>4.1462269999999997</v>
      </c>
      <c r="RV14" s="39">
        <v>11820741.0055</v>
      </c>
      <c r="RW14" s="39">
        <v>5709402.9945</v>
      </c>
      <c r="RX14" s="4"/>
      <c r="RY14" s="5"/>
      <c r="RZ14" s="4"/>
      <c r="SA14" s="39">
        <v>56701415</v>
      </c>
      <c r="SB14" s="39">
        <v>2661233</v>
      </c>
      <c r="SC14" s="50">
        <v>0.95306584500580804</v>
      </c>
      <c r="SE14" s="5"/>
      <c r="SG14" s="124">
        <v>12224.5</v>
      </c>
      <c r="SH14" s="124">
        <v>6379.6670821939842</v>
      </c>
      <c r="SI14" s="131">
        <v>0.52187550265401317</v>
      </c>
      <c r="SJ14">
        <v>71</v>
      </c>
      <c r="SK14" s="131">
        <v>5.8080085075054196E-3</v>
      </c>
      <c r="SL14" s="124">
        <v>1330</v>
      </c>
      <c r="SM14" s="131">
        <v>0.10879790584481983</v>
      </c>
      <c r="SN14" s="142">
        <v>930.99999999999989</v>
      </c>
      <c r="SO14" s="142">
        <v>266</v>
      </c>
      <c r="SP14" s="142">
        <v>93.100000000000009</v>
      </c>
      <c r="SQ14" s="142">
        <v>39.9</v>
      </c>
      <c r="SR14" s="124">
        <v>124</v>
      </c>
      <c r="SS14" s="124">
        <v>485.5</v>
      </c>
      <c r="ST14" s="124">
        <v>3087</v>
      </c>
      <c r="SU14" s="124">
        <v>2970</v>
      </c>
      <c r="SV14" s="124">
        <v>1885</v>
      </c>
      <c r="SW14" s="124">
        <v>3797</v>
      </c>
      <c r="SX14" s="124">
        <v>7813</v>
      </c>
      <c r="SY14" s="131">
        <v>0.26400000000000001</v>
      </c>
      <c r="SZ14" s="134">
        <v>3227.268</v>
      </c>
      <c r="TA14" s="131">
        <v>0.19399999999999998</v>
      </c>
      <c r="TB14" s="134">
        <v>2371.5529999999999</v>
      </c>
      <c r="TC14" s="293">
        <v>0</v>
      </c>
      <c r="TD14" s="168">
        <v>733.47</v>
      </c>
      <c r="TF14" s="5"/>
      <c r="TH14" s="168">
        <v>2371.5529999999999</v>
      </c>
      <c r="TI14" s="168">
        <v>3227.268</v>
      </c>
      <c r="TJ14" s="205">
        <v>3227.268</v>
      </c>
      <c r="TK14" s="144"/>
      <c r="TL14" s="293"/>
      <c r="TM14" s="293">
        <v>0</v>
      </c>
      <c r="TN14" s="169">
        <v>733.47</v>
      </c>
      <c r="TO14" s="205">
        <v>733.47</v>
      </c>
      <c r="TP14" s="5"/>
      <c r="TR14" s="293" t="s">
        <v>91</v>
      </c>
      <c r="TT14" s="5"/>
      <c r="TV14" s="199">
        <v>11820741.0055</v>
      </c>
      <c r="TW14" s="200">
        <v>0</v>
      </c>
      <c r="TX14" s="200">
        <v>54040182</v>
      </c>
      <c r="TY14" s="200" t="s">
        <v>91</v>
      </c>
      <c r="TZ14" s="200">
        <v>66012300</v>
      </c>
      <c r="UA14" s="204">
        <v>6890040.4487695033</v>
      </c>
      <c r="UB14" s="204">
        <v>38340</v>
      </c>
      <c r="UC14" s="200">
        <v>0</v>
      </c>
      <c r="UD14" s="200">
        <v>0</v>
      </c>
      <c r="UE14" s="200">
        <v>0</v>
      </c>
      <c r="UF14" s="200">
        <v>0</v>
      </c>
      <c r="UG14" s="200">
        <v>0</v>
      </c>
      <c r="UH14" s="200">
        <v>0</v>
      </c>
      <c r="UI14" s="200">
        <v>0</v>
      </c>
      <c r="UJ14" s="200">
        <v>0</v>
      </c>
      <c r="UK14" s="200">
        <v>0</v>
      </c>
      <c r="UL14" s="200">
        <v>0</v>
      </c>
      <c r="UM14" s="200">
        <v>0</v>
      </c>
      <c r="UN14" s="200">
        <v>72940680.44876951</v>
      </c>
      <c r="UO14" s="200"/>
      <c r="UP14" s="182"/>
      <c r="UQ14" s="200"/>
      <c r="UR14" s="199">
        <v>72940680.44876951</v>
      </c>
      <c r="US14" s="199">
        <v>5966.7618674603873</v>
      </c>
      <c r="UT14" s="199">
        <v>65860923.005500004</v>
      </c>
      <c r="UU14" s="199">
        <v>5387.6169172972313</v>
      </c>
      <c r="UV14" s="199">
        <v>7079757.4432695061</v>
      </c>
      <c r="UW14" s="199">
        <v>579.14495016315595</v>
      </c>
      <c r="UX14" s="131">
        <v>0.10749556975808362</v>
      </c>
      <c r="UY14" s="199"/>
      <c r="UZ14" s="221"/>
      <c r="VA14" s="199"/>
      <c r="VB14" s="199">
        <v>12002650</v>
      </c>
      <c r="VC14" s="200">
        <v>2661233</v>
      </c>
      <c r="VD14" s="199">
        <v>5709402.9945</v>
      </c>
      <c r="VE14" s="199">
        <v>127085</v>
      </c>
      <c r="VG14" s="5"/>
      <c r="VI14" s="354">
        <v>93313966.443269506</v>
      </c>
      <c r="VJ14" s="355">
        <v>7633.3564925575283</v>
      </c>
      <c r="VK14" s="354">
        <v>86234209</v>
      </c>
      <c r="VL14" s="355">
        <v>7054.2115423943724</v>
      </c>
      <c r="VM14" s="131">
        <v>8.2099175319964954E-2</v>
      </c>
      <c r="VN14" s="131"/>
      <c r="VO14" s="354"/>
      <c r="VP14" s="200"/>
      <c r="VQ14" s="200"/>
      <c r="VR14" s="200"/>
      <c r="VS14" s="199"/>
    </row>
    <row r="15" spans="1:591">
      <c r="A15" s="26">
        <v>25.1</v>
      </c>
      <c r="B15" s="2" t="s">
        <v>107</v>
      </c>
      <c r="C15" s="24">
        <v>0</v>
      </c>
      <c r="D15" s="24">
        <v>0</v>
      </c>
      <c r="E15" s="24">
        <v>0</v>
      </c>
      <c r="F15" s="24">
        <v>0</v>
      </c>
      <c r="G15" s="24">
        <v>0</v>
      </c>
      <c r="H15" s="24">
        <v>0</v>
      </c>
      <c r="I15" s="24">
        <v>0</v>
      </c>
      <c r="J15" s="24">
        <v>0</v>
      </c>
      <c r="K15" s="24">
        <v>0</v>
      </c>
      <c r="L15" s="24">
        <v>0</v>
      </c>
      <c r="M15" s="24">
        <v>0</v>
      </c>
      <c r="N15" s="24">
        <v>0</v>
      </c>
      <c r="O15" s="24">
        <v>0</v>
      </c>
      <c r="P15" s="24">
        <v>0</v>
      </c>
      <c r="Q15" s="24">
        <v>0</v>
      </c>
      <c r="R15" s="24">
        <v>0</v>
      </c>
      <c r="S15" s="24">
        <v>0</v>
      </c>
      <c r="T15" s="24">
        <v>0</v>
      </c>
      <c r="U15" s="24">
        <v>0</v>
      </c>
      <c r="V15" s="24">
        <v>0</v>
      </c>
      <c r="W15" s="24">
        <v>0</v>
      </c>
      <c r="X15" s="24">
        <v>0</v>
      </c>
      <c r="Y15" s="24">
        <v>0</v>
      </c>
      <c r="Z15" s="24">
        <v>0</v>
      </c>
      <c r="AA15" s="24">
        <v>0</v>
      </c>
      <c r="AB15" s="24">
        <v>0</v>
      </c>
      <c r="AC15" s="24">
        <v>0</v>
      </c>
      <c r="AD15" s="24">
        <v>0</v>
      </c>
      <c r="AE15" s="24">
        <v>0</v>
      </c>
      <c r="AF15" s="24">
        <v>0</v>
      </c>
      <c r="AG15" s="24">
        <v>0</v>
      </c>
      <c r="AH15" s="24">
        <v>0</v>
      </c>
      <c r="AI15" s="24">
        <v>0</v>
      </c>
      <c r="AJ15" s="24">
        <v>0</v>
      </c>
      <c r="AK15" s="24">
        <v>0</v>
      </c>
      <c r="AL15" s="24">
        <v>0</v>
      </c>
      <c r="AM15" s="24">
        <v>0</v>
      </c>
      <c r="AN15" s="24">
        <v>0</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c r="BE15" s="24">
        <v>0</v>
      </c>
      <c r="BF15" s="24">
        <v>0</v>
      </c>
      <c r="BG15" s="24">
        <v>0</v>
      </c>
      <c r="BH15" s="24">
        <v>0</v>
      </c>
      <c r="BI15" s="24">
        <v>0</v>
      </c>
      <c r="BJ15" s="24">
        <v>0</v>
      </c>
      <c r="BK15" s="24">
        <v>0</v>
      </c>
      <c r="BL15" s="24">
        <v>0</v>
      </c>
      <c r="BM15" s="24">
        <v>0</v>
      </c>
      <c r="BN15" s="24">
        <v>0</v>
      </c>
      <c r="BO15" s="24">
        <v>0</v>
      </c>
      <c r="BP15" s="24">
        <v>0</v>
      </c>
      <c r="BQ15" s="24">
        <v>0</v>
      </c>
      <c r="BR15" s="24">
        <v>0</v>
      </c>
      <c r="BS15" s="24">
        <v>0</v>
      </c>
      <c r="BT15" s="24">
        <v>0</v>
      </c>
      <c r="BU15" s="24">
        <v>0</v>
      </c>
      <c r="BV15" s="24">
        <v>24814</v>
      </c>
      <c r="BW15" s="24">
        <v>0</v>
      </c>
      <c r="BX15" s="24">
        <v>0</v>
      </c>
      <c r="BY15" s="24">
        <v>0</v>
      </c>
      <c r="BZ15" s="24">
        <v>0</v>
      </c>
      <c r="CA15" s="24">
        <v>0</v>
      </c>
      <c r="CB15" s="24">
        <v>0</v>
      </c>
      <c r="CC15" s="24">
        <v>0</v>
      </c>
      <c r="CD15" s="24">
        <v>0</v>
      </c>
      <c r="CE15" s="24">
        <v>0</v>
      </c>
      <c r="CF15" s="24">
        <v>0</v>
      </c>
      <c r="CG15" s="24">
        <v>0</v>
      </c>
      <c r="CH15" s="24">
        <v>0</v>
      </c>
      <c r="CI15" s="24">
        <v>7409</v>
      </c>
      <c r="CJ15" s="24">
        <v>0</v>
      </c>
      <c r="CK15" s="24">
        <v>0</v>
      </c>
      <c r="CL15" s="24">
        <v>0</v>
      </c>
      <c r="CM15" s="24">
        <v>0</v>
      </c>
      <c r="CN15" s="24">
        <v>0</v>
      </c>
      <c r="CO15" s="24">
        <v>0</v>
      </c>
      <c r="CP15" s="24">
        <v>0</v>
      </c>
      <c r="CQ15" s="24">
        <v>0</v>
      </c>
      <c r="CR15" s="24">
        <v>0</v>
      </c>
      <c r="CS15" s="24">
        <v>0</v>
      </c>
      <c r="CT15" s="24">
        <v>0</v>
      </c>
      <c r="CU15" s="24">
        <v>0</v>
      </c>
      <c r="CV15" s="24">
        <v>0</v>
      </c>
      <c r="CW15" s="24">
        <v>0</v>
      </c>
      <c r="CX15" s="24">
        <v>0</v>
      </c>
      <c r="CY15" s="24">
        <v>0</v>
      </c>
      <c r="CZ15" s="24">
        <v>0</v>
      </c>
      <c r="DA15" s="24">
        <v>0</v>
      </c>
      <c r="DB15" s="24">
        <v>0</v>
      </c>
      <c r="DC15" s="24">
        <v>0</v>
      </c>
      <c r="DD15" s="24">
        <v>0</v>
      </c>
      <c r="DE15" s="24">
        <v>0</v>
      </c>
      <c r="DF15" s="24">
        <v>0</v>
      </c>
      <c r="DG15" s="24">
        <v>0</v>
      </c>
      <c r="DH15" s="24">
        <v>0</v>
      </c>
      <c r="DI15" s="24">
        <v>0</v>
      </c>
      <c r="DJ15" s="24">
        <v>0</v>
      </c>
      <c r="DK15" s="24">
        <v>0</v>
      </c>
      <c r="DL15" s="24">
        <v>0</v>
      </c>
      <c r="DM15" s="24">
        <v>0</v>
      </c>
      <c r="DN15" s="24">
        <v>0</v>
      </c>
      <c r="DO15" s="24">
        <v>0</v>
      </c>
      <c r="DP15" s="24">
        <v>0</v>
      </c>
      <c r="DQ15" s="24">
        <v>0</v>
      </c>
      <c r="DR15" s="24">
        <v>0</v>
      </c>
      <c r="DS15" s="24">
        <v>0</v>
      </c>
      <c r="DT15" s="24">
        <v>0</v>
      </c>
      <c r="DU15" s="24">
        <v>1939</v>
      </c>
      <c r="DV15" s="24">
        <v>0</v>
      </c>
      <c r="DW15" s="24">
        <v>0</v>
      </c>
      <c r="DX15" s="24">
        <v>0</v>
      </c>
      <c r="DY15" s="24">
        <v>0</v>
      </c>
      <c r="DZ15" s="24">
        <v>0</v>
      </c>
      <c r="EA15" s="24">
        <v>0</v>
      </c>
      <c r="EB15" s="24">
        <v>0</v>
      </c>
      <c r="EC15" s="24">
        <v>0</v>
      </c>
      <c r="ED15" s="24">
        <v>0</v>
      </c>
      <c r="EE15" s="24">
        <v>0</v>
      </c>
      <c r="EF15" s="24">
        <v>0</v>
      </c>
      <c r="EG15" s="24">
        <v>0</v>
      </c>
      <c r="EH15" s="24">
        <v>0</v>
      </c>
      <c r="EI15" s="24">
        <v>0</v>
      </c>
      <c r="EJ15" s="24">
        <v>0</v>
      </c>
      <c r="EK15" s="24">
        <v>0</v>
      </c>
      <c r="EL15" s="24">
        <v>0</v>
      </c>
      <c r="EM15" s="24">
        <v>0</v>
      </c>
      <c r="EN15" s="24">
        <v>0</v>
      </c>
      <c r="EO15" s="24">
        <v>0</v>
      </c>
      <c r="EP15" s="24">
        <v>0</v>
      </c>
      <c r="EQ15" s="24">
        <v>0</v>
      </c>
      <c r="ER15" s="24">
        <v>0</v>
      </c>
      <c r="ES15" s="24">
        <v>0</v>
      </c>
      <c r="ET15" s="24">
        <v>0</v>
      </c>
      <c r="EU15" s="24">
        <v>0</v>
      </c>
      <c r="EV15" s="24">
        <v>0</v>
      </c>
      <c r="EW15" s="24">
        <v>0</v>
      </c>
      <c r="EX15" s="24">
        <v>0</v>
      </c>
      <c r="EY15" s="24">
        <v>0</v>
      </c>
      <c r="EZ15" s="24">
        <v>0</v>
      </c>
      <c r="FA15" s="24">
        <v>0</v>
      </c>
      <c r="FB15" s="24">
        <v>0</v>
      </c>
      <c r="FC15" s="24">
        <v>0</v>
      </c>
      <c r="FD15" s="24">
        <v>0</v>
      </c>
      <c r="FE15" s="24">
        <v>0</v>
      </c>
      <c r="FF15" s="24">
        <v>0</v>
      </c>
      <c r="FG15" s="24">
        <v>0</v>
      </c>
      <c r="FH15" s="24">
        <v>0</v>
      </c>
      <c r="FI15" s="24">
        <v>0</v>
      </c>
      <c r="FJ15" s="24">
        <v>0</v>
      </c>
      <c r="FK15" s="24">
        <v>0</v>
      </c>
      <c r="FL15" s="24">
        <v>0</v>
      </c>
      <c r="FM15" s="24">
        <v>0</v>
      </c>
      <c r="FN15" s="24">
        <v>0</v>
      </c>
      <c r="FO15" s="24">
        <v>0</v>
      </c>
      <c r="FP15" s="24">
        <v>0</v>
      </c>
      <c r="FQ15" s="24">
        <v>0</v>
      </c>
      <c r="FR15" s="24">
        <v>0</v>
      </c>
      <c r="FS15" s="24">
        <v>0</v>
      </c>
      <c r="FT15" s="24">
        <v>0</v>
      </c>
      <c r="FU15" s="24">
        <v>0</v>
      </c>
      <c r="FV15" s="24">
        <v>0</v>
      </c>
      <c r="FW15" s="24">
        <v>0</v>
      </c>
      <c r="FX15" s="24">
        <v>0</v>
      </c>
      <c r="FY15" s="24">
        <v>0</v>
      </c>
      <c r="FZ15" s="24">
        <v>0</v>
      </c>
      <c r="GA15" s="24">
        <v>0</v>
      </c>
      <c r="GB15" s="24">
        <v>0</v>
      </c>
      <c r="GC15" s="24">
        <v>0</v>
      </c>
      <c r="GD15" s="24">
        <v>0</v>
      </c>
      <c r="GE15" s="24">
        <v>0</v>
      </c>
      <c r="GF15" s="24">
        <v>0</v>
      </c>
      <c r="GG15" s="24">
        <v>0</v>
      </c>
      <c r="GH15" s="24">
        <v>0</v>
      </c>
      <c r="GI15" s="24">
        <v>0</v>
      </c>
      <c r="GJ15" s="24">
        <v>0</v>
      </c>
      <c r="GK15" s="24">
        <v>0</v>
      </c>
      <c r="GL15" s="24">
        <v>0</v>
      </c>
      <c r="GM15" s="24">
        <v>0</v>
      </c>
      <c r="GN15" s="24">
        <v>0</v>
      </c>
      <c r="GO15" s="24">
        <v>0</v>
      </c>
      <c r="GP15" s="24">
        <v>0</v>
      </c>
      <c r="GQ15" s="24">
        <v>0</v>
      </c>
      <c r="GR15" s="24">
        <v>0</v>
      </c>
      <c r="GS15" s="24">
        <v>0</v>
      </c>
      <c r="GT15" s="24">
        <v>0</v>
      </c>
      <c r="GU15" s="24">
        <v>0</v>
      </c>
      <c r="GV15" s="24">
        <v>0</v>
      </c>
      <c r="GW15" s="24">
        <v>0</v>
      </c>
      <c r="GX15" s="24">
        <v>0</v>
      </c>
      <c r="GY15" s="24">
        <v>1405770</v>
      </c>
      <c r="GZ15" s="24">
        <v>0</v>
      </c>
      <c r="HA15" s="24">
        <v>0</v>
      </c>
      <c r="HB15" s="24">
        <v>0</v>
      </c>
      <c r="HC15" s="24">
        <v>0</v>
      </c>
      <c r="HD15" s="24">
        <v>0</v>
      </c>
      <c r="HE15" s="24">
        <v>0</v>
      </c>
      <c r="HF15" s="24">
        <v>0</v>
      </c>
      <c r="HG15" s="24">
        <v>0</v>
      </c>
      <c r="HH15" s="24">
        <v>0</v>
      </c>
      <c r="HI15" s="24">
        <v>0</v>
      </c>
      <c r="HJ15" s="24">
        <v>169188</v>
      </c>
      <c r="HK15" s="24">
        <v>0</v>
      </c>
      <c r="HL15" s="24">
        <v>0</v>
      </c>
      <c r="HM15" s="24">
        <v>0</v>
      </c>
      <c r="HN15" s="24">
        <v>0</v>
      </c>
      <c r="HO15" s="24">
        <v>0</v>
      </c>
      <c r="HP15" s="24">
        <v>0</v>
      </c>
      <c r="HQ15" s="24">
        <v>0</v>
      </c>
      <c r="HR15" s="24">
        <v>0</v>
      </c>
      <c r="HS15" s="24">
        <v>0</v>
      </c>
      <c r="HT15" s="24">
        <v>0</v>
      </c>
      <c r="HU15" s="24">
        <v>0</v>
      </c>
      <c r="HV15" s="24">
        <v>0</v>
      </c>
      <c r="HW15" s="24">
        <v>0</v>
      </c>
      <c r="HX15" s="24">
        <v>0</v>
      </c>
      <c r="HY15" s="24">
        <v>0</v>
      </c>
      <c r="HZ15" s="24">
        <v>0</v>
      </c>
      <c r="IA15" s="24">
        <v>0</v>
      </c>
      <c r="IB15" s="24">
        <v>0</v>
      </c>
      <c r="IC15" s="24">
        <v>0</v>
      </c>
      <c r="ID15" s="24">
        <v>0</v>
      </c>
      <c r="IE15" s="24">
        <v>0</v>
      </c>
      <c r="IF15" s="24">
        <v>0</v>
      </c>
      <c r="IG15" s="24">
        <v>0</v>
      </c>
      <c r="IH15" s="24">
        <v>0</v>
      </c>
      <c r="II15" s="24">
        <v>0</v>
      </c>
      <c r="IJ15" s="24">
        <v>0</v>
      </c>
      <c r="IK15" s="24">
        <v>0</v>
      </c>
      <c r="IL15" s="24">
        <v>0</v>
      </c>
      <c r="IM15" s="24">
        <v>0</v>
      </c>
      <c r="IN15" s="24">
        <v>0</v>
      </c>
      <c r="IO15" s="24">
        <v>0</v>
      </c>
      <c r="IP15" s="24">
        <v>0</v>
      </c>
      <c r="IQ15" s="24">
        <v>0</v>
      </c>
      <c r="IR15" s="24">
        <v>0</v>
      </c>
      <c r="IS15" s="24">
        <v>0</v>
      </c>
      <c r="IT15" s="24">
        <v>0</v>
      </c>
      <c r="IU15" s="24">
        <v>0</v>
      </c>
      <c r="IV15" s="24">
        <v>0</v>
      </c>
      <c r="IW15" s="24">
        <v>0</v>
      </c>
      <c r="IX15" s="24">
        <v>0</v>
      </c>
      <c r="IY15" s="24">
        <v>0</v>
      </c>
      <c r="IZ15" s="24">
        <v>0</v>
      </c>
      <c r="JA15" s="24">
        <v>0</v>
      </c>
      <c r="JB15" s="24">
        <v>0</v>
      </c>
      <c r="JC15" s="24">
        <v>0</v>
      </c>
      <c r="JD15" s="24">
        <v>0</v>
      </c>
      <c r="JE15" s="24">
        <v>155060</v>
      </c>
      <c r="JF15" s="24">
        <v>0</v>
      </c>
      <c r="JG15" s="24">
        <v>0</v>
      </c>
      <c r="JH15" s="24">
        <v>0</v>
      </c>
      <c r="JI15" s="24">
        <v>0</v>
      </c>
      <c r="JJ15" s="24">
        <v>0</v>
      </c>
      <c r="JK15" s="24">
        <v>0</v>
      </c>
      <c r="JL15" s="24">
        <v>0</v>
      </c>
      <c r="JM15" s="24">
        <v>0</v>
      </c>
      <c r="JN15" s="24">
        <v>0</v>
      </c>
      <c r="JO15" s="24">
        <v>0</v>
      </c>
      <c r="JP15" s="24">
        <v>0</v>
      </c>
      <c r="JQ15" s="24">
        <v>0</v>
      </c>
      <c r="JR15" s="24">
        <v>0</v>
      </c>
      <c r="JS15" s="24">
        <v>0</v>
      </c>
      <c r="JT15" s="24">
        <v>4339</v>
      </c>
      <c r="JU15" s="24">
        <v>0</v>
      </c>
      <c r="JV15" s="24">
        <v>0</v>
      </c>
      <c r="JW15" s="24">
        <v>0</v>
      </c>
      <c r="JX15" s="24">
        <v>0</v>
      </c>
      <c r="JY15" s="24">
        <v>0</v>
      </c>
      <c r="JZ15" s="24">
        <v>0</v>
      </c>
      <c r="KA15" s="24">
        <v>0</v>
      </c>
      <c r="KB15" s="24">
        <v>0</v>
      </c>
      <c r="KC15" s="24">
        <v>0</v>
      </c>
      <c r="KD15" s="24">
        <v>0</v>
      </c>
      <c r="KE15" s="24">
        <v>0</v>
      </c>
      <c r="KF15" s="24">
        <v>0</v>
      </c>
      <c r="KG15" s="24">
        <v>0</v>
      </c>
      <c r="KH15" s="24">
        <v>0</v>
      </c>
      <c r="KI15" s="24">
        <v>0</v>
      </c>
      <c r="KJ15" s="24">
        <v>0</v>
      </c>
      <c r="KK15" s="24">
        <v>0</v>
      </c>
      <c r="KL15" s="24">
        <v>0</v>
      </c>
      <c r="KM15" s="24">
        <v>0</v>
      </c>
      <c r="KN15" s="24">
        <v>0</v>
      </c>
      <c r="KO15" s="24">
        <v>0</v>
      </c>
      <c r="KP15" s="24">
        <v>0</v>
      </c>
      <c r="KQ15" s="24">
        <v>0</v>
      </c>
      <c r="KR15" s="24">
        <v>0</v>
      </c>
      <c r="KS15" s="24">
        <v>0</v>
      </c>
      <c r="KT15" s="24">
        <v>0</v>
      </c>
      <c r="KU15" s="24">
        <v>0</v>
      </c>
      <c r="KV15" s="24">
        <v>0</v>
      </c>
      <c r="KW15" s="24">
        <v>0</v>
      </c>
      <c r="KX15" s="24">
        <v>0</v>
      </c>
      <c r="KY15" s="24">
        <v>0</v>
      </c>
      <c r="KZ15" s="24">
        <v>0</v>
      </c>
      <c r="LA15" s="24">
        <v>0</v>
      </c>
      <c r="LB15" s="24">
        <v>0</v>
      </c>
      <c r="LC15" s="24">
        <v>0</v>
      </c>
      <c r="LD15" s="24">
        <v>0</v>
      </c>
      <c r="LE15" s="24">
        <v>0</v>
      </c>
      <c r="LF15" s="24">
        <v>0</v>
      </c>
      <c r="LG15" s="24">
        <v>0</v>
      </c>
      <c r="LH15" s="24">
        <v>0</v>
      </c>
      <c r="LI15" s="24">
        <v>0</v>
      </c>
      <c r="LJ15" s="24">
        <v>0</v>
      </c>
      <c r="LK15" s="24">
        <v>0</v>
      </c>
      <c r="LL15" s="24">
        <v>0</v>
      </c>
      <c r="LM15" s="24">
        <v>0</v>
      </c>
      <c r="LN15" s="24">
        <v>0</v>
      </c>
      <c r="LO15" s="24">
        <v>0</v>
      </c>
      <c r="LP15" s="24">
        <v>0</v>
      </c>
      <c r="LQ15" s="24">
        <v>0</v>
      </c>
      <c r="LR15" s="24">
        <v>0</v>
      </c>
      <c r="LS15" s="24">
        <v>0</v>
      </c>
      <c r="LT15" s="24">
        <v>0</v>
      </c>
      <c r="LU15" s="24">
        <v>0</v>
      </c>
      <c r="LV15" s="24">
        <v>0</v>
      </c>
      <c r="LW15" s="24">
        <v>0</v>
      </c>
      <c r="LX15" s="24">
        <v>0</v>
      </c>
      <c r="LY15" s="24">
        <v>0</v>
      </c>
      <c r="LZ15" s="24">
        <v>0</v>
      </c>
      <c r="MA15" s="24">
        <v>0</v>
      </c>
      <c r="MB15" s="24">
        <v>0</v>
      </c>
      <c r="MC15" s="24">
        <v>0</v>
      </c>
      <c r="MD15" s="24">
        <v>0</v>
      </c>
      <c r="ME15" s="24">
        <v>0</v>
      </c>
      <c r="MF15" s="24">
        <v>0</v>
      </c>
      <c r="MG15" s="24">
        <v>0</v>
      </c>
      <c r="MH15" s="24">
        <v>0</v>
      </c>
      <c r="MI15" s="24">
        <v>0</v>
      </c>
      <c r="MJ15" s="24">
        <v>0</v>
      </c>
      <c r="MK15" s="24">
        <v>0</v>
      </c>
      <c r="ML15" s="24">
        <v>0</v>
      </c>
      <c r="MM15" s="24">
        <v>0</v>
      </c>
      <c r="MN15" s="24">
        <v>0</v>
      </c>
      <c r="MO15" s="24">
        <v>0</v>
      </c>
      <c r="MP15" s="24">
        <v>0</v>
      </c>
      <c r="MQ15" s="24">
        <v>0</v>
      </c>
      <c r="MR15" s="24">
        <v>0</v>
      </c>
      <c r="MS15" s="24">
        <v>36967</v>
      </c>
      <c r="MT15" s="24">
        <v>65585</v>
      </c>
      <c r="MU15" s="24">
        <v>0</v>
      </c>
      <c r="MV15" s="24">
        <v>0</v>
      </c>
      <c r="MW15" s="24">
        <v>0</v>
      </c>
      <c r="MX15" s="24">
        <v>0</v>
      </c>
      <c r="MY15" s="24">
        <v>0</v>
      </c>
      <c r="MZ15" s="24">
        <v>0</v>
      </c>
      <c r="NA15" s="24">
        <v>0</v>
      </c>
      <c r="NB15" s="24">
        <v>0</v>
      </c>
      <c r="NC15" s="24">
        <v>0</v>
      </c>
      <c r="ND15" s="24">
        <v>0</v>
      </c>
      <c r="NE15" s="24">
        <v>0</v>
      </c>
      <c r="NF15" s="24">
        <v>0</v>
      </c>
      <c r="NG15" s="24">
        <v>0</v>
      </c>
      <c r="NH15" s="24">
        <v>0</v>
      </c>
      <c r="NI15" s="24">
        <v>0</v>
      </c>
      <c r="NJ15" s="24">
        <v>0</v>
      </c>
      <c r="NK15" s="24">
        <v>0</v>
      </c>
      <c r="NL15" s="24">
        <v>0</v>
      </c>
      <c r="NM15" s="24">
        <v>0</v>
      </c>
      <c r="NN15" s="24">
        <v>0</v>
      </c>
      <c r="NO15" s="24">
        <v>0</v>
      </c>
      <c r="NP15" s="24">
        <v>0</v>
      </c>
      <c r="NQ15" s="24">
        <v>0</v>
      </c>
      <c r="NR15" s="24">
        <v>0</v>
      </c>
      <c r="NS15" s="24">
        <v>0</v>
      </c>
      <c r="NT15" s="24">
        <v>0</v>
      </c>
      <c r="NU15" s="24">
        <v>0</v>
      </c>
      <c r="NV15" s="24">
        <v>0</v>
      </c>
      <c r="NW15" s="24">
        <v>0</v>
      </c>
      <c r="NX15" s="24">
        <v>0</v>
      </c>
      <c r="NY15" s="24">
        <v>0</v>
      </c>
      <c r="NZ15" s="24">
        <v>0</v>
      </c>
      <c r="OA15" s="24">
        <v>0</v>
      </c>
      <c r="OB15" s="24">
        <v>0</v>
      </c>
      <c r="OC15" s="24">
        <v>0</v>
      </c>
      <c r="OD15" s="24">
        <v>0</v>
      </c>
      <c r="OE15" s="24">
        <v>0</v>
      </c>
      <c r="OF15" s="24">
        <v>0</v>
      </c>
      <c r="OG15" s="24">
        <v>0</v>
      </c>
      <c r="OH15" s="24">
        <v>0</v>
      </c>
      <c r="OI15" s="24">
        <v>0</v>
      </c>
      <c r="OJ15" s="24">
        <v>2378685</v>
      </c>
      <c r="OK15" s="24">
        <v>0</v>
      </c>
      <c r="OL15" s="24">
        <v>0</v>
      </c>
      <c r="OM15" s="24">
        <v>0</v>
      </c>
      <c r="ON15" s="24">
        <v>0</v>
      </c>
      <c r="OO15" s="24">
        <v>0</v>
      </c>
      <c r="OP15" s="24">
        <v>0</v>
      </c>
      <c r="OQ15" s="24">
        <v>0</v>
      </c>
      <c r="OR15" s="24">
        <v>0</v>
      </c>
      <c r="OS15" s="24">
        <v>0</v>
      </c>
      <c r="OT15" s="24">
        <v>0</v>
      </c>
      <c r="OU15" s="24">
        <v>0</v>
      </c>
      <c r="OV15" s="24">
        <v>0</v>
      </c>
      <c r="OW15" s="24">
        <v>0</v>
      </c>
      <c r="OX15" s="24">
        <v>0</v>
      </c>
      <c r="OY15" s="24">
        <v>0</v>
      </c>
      <c r="OZ15" s="24">
        <v>0</v>
      </c>
      <c r="PA15" s="24">
        <v>0</v>
      </c>
      <c r="PB15" s="24">
        <v>0</v>
      </c>
      <c r="PC15" s="24">
        <v>0</v>
      </c>
      <c r="PD15" s="24">
        <v>0</v>
      </c>
      <c r="PE15" s="24">
        <v>0</v>
      </c>
      <c r="PF15" s="24">
        <v>0</v>
      </c>
      <c r="PG15" s="24">
        <v>0</v>
      </c>
      <c r="PH15" s="24">
        <v>0</v>
      </c>
      <c r="PI15" s="24">
        <v>0</v>
      </c>
      <c r="PJ15" s="24">
        <v>0</v>
      </c>
      <c r="PK15" s="24">
        <v>0</v>
      </c>
      <c r="PL15" s="24">
        <v>0</v>
      </c>
      <c r="PM15" s="24">
        <v>0</v>
      </c>
      <c r="PN15" s="24">
        <v>0</v>
      </c>
      <c r="PO15" s="24">
        <v>0</v>
      </c>
      <c r="PP15" s="24">
        <v>0</v>
      </c>
      <c r="PQ15" s="24">
        <v>0</v>
      </c>
      <c r="PR15" s="24">
        <v>0</v>
      </c>
      <c r="PS15" s="24">
        <v>0</v>
      </c>
      <c r="PT15" s="24">
        <v>0</v>
      </c>
      <c r="PU15" s="24">
        <v>0</v>
      </c>
      <c r="PV15" s="24">
        <v>0</v>
      </c>
      <c r="PW15" s="24">
        <v>0</v>
      </c>
      <c r="PX15" s="24">
        <v>0</v>
      </c>
      <c r="PY15" s="24">
        <v>0</v>
      </c>
      <c r="PZ15" s="24">
        <v>0</v>
      </c>
      <c r="QA15" s="24">
        <v>0</v>
      </c>
      <c r="QB15" s="24">
        <v>0</v>
      </c>
      <c r="QC15" s="24">
        <v>0</v>
      </c>
      <c r="QD15" s="24">
        <v>0</v>
      </c>
      <c r="QE15" s="24">
        <v>0</v>
      </c>
      <c r="QF15" s="24">
        <v>0</v>
      </c>
      <c r="QG15" s="24">
        <v>0</v>
      </c>
      <c r="QH15" s="24">
        <v>0</v>
      </c>
      <c r="QI15" s="24">
        <v>5916</v>
      </c>
      <c r="QJ15" s="24">
        <v>0</v>
      </c>
      <c r="QK15" s="24">
        <v>0</v>
      </c>
      <c r="QL15" s="24">
        <v>0</v>
      </c>
      <c r="QM15" s="24">
        <v>0</v>
      </c>
      <c r="QN15" s="24">
        <v>0</v>
      </c>
      <c r="QO15" s="24">
        <v>0</v>
      </c>
      <c r="QP15" s="24">
        <v>0</v>
      </c>
      <c r="QQ15" s="24">
        <v>0</v>
      </c>
      <c r="QR15" s="24">
        <v>0</v>
      </c>
      <c r="QS15" s="4">
        <v>1</v>
      </c>
      <c r="QT15" s="5"/>
      <c r="QV15" s="4"/>
      <c r="QW15" s="39">
        <v>1405770</v>
      </c>
      <c r="QX15" s="39">
        <v>0</v>
      </c>
      <c r="QY15" s="39">
        <v>0</v>
      </c>
      <c r="QZ15" s="39">
        <v>0</v>
      </c>
      <c r="RA15" s="39">
        <v>0</v>
      </c>
      <c r="RB15" s="39">
        <v>169188</v>
      </c>
      <c r="RC15" s="39">
        <v>0</v>
      </c>
      <c r="RD15" s="39">
        <v>0</v>
      </c>
      <c r="RE15" s="39">
        <v>0</v>
      </c>
      <c r="RF15" s="39">
        <v>0</v>
      </c>
      <c r="RG15" s="39">
        <v>0</v>
      </c>
      <c r="RH15" s="39">
        <v>159399</v>
      </c>
      <c r="RI15" s="39"/>
      <c r="RJ15" s="182"/>
      <c r="RK15" s="39"/>
      <c r="RL15" s="39">
        <v>102552</v>
      </c>
      <c r="RM15" s="39">
        <v>1734357</v>
      </c>
      <c r="RN15" s="39">
        <v>34162</v>
      </c>
      <c r="RO15" s="39">
        <v>2384601</v>
      </c>
      <c r="RP15" s="39"/>
      <c r="RQ15" s="182"/>
      <c r="RR15" s="39"/>
      <c r="RS15" s="39">
        <v>0</v>
      </c>
      <c r="RT15" s="39">
        <v>0</v>
      </c>
      <c r="RU15" s="187">
        <v>0</v>
      </c>
      <c r="RV15" s="39">
        <v>0</v>
      </c>
      <c r="RW15" s="39">
        <v>34162</v>
      </c>
      <c r="RX15" s="4"/>
      <c r="RY15" s="5"/>
      <c r="RZ15" s="4"/>
      <c r="SA15" s="39">
        <v>1734357</v>
      </c>
      <c r="SB15" s="39">
        <v>0</v>
      </c>
      <c r="SC15" s="50">
        <v>1</v>
      </c>
      <c r="SE15" s="5"/>
      <c r="SG15" s="124">
        <v>343</v>
      </c>
      <c r="SH15" s="124">
        <v>121.85526315789474</v>
      </c>
      <c r="SI15" s="131">
        <v>0.35526315789473684</v>
      </c>
      <c r="SJ15">
        <v>0</v>
      </c>
      <c r="SK15" s="131">
        <v>0</v>
      </c>
      <c r="SL15" s="124">
        <v>0</v>
      </c>
      <c r="SM15" s="131">
        <v>0</v>
      </c>
      <c r="SN15" s="142">
        <v>0</v>
      </c>
      <c r="SO15" s="142">
        <v>0</v>
      </c>
      <c r="SP15" s="142">
        <v>0</v>
      </c>
      <c r="SQ15" s="142">
        <v>0</v>
      </c>
      <c r="SR15" s="124">
        <v>0</v>
      </c>
      <c r="SS15" s="124">
        <v>35</v>
      </c>
      <c r="ST15" s="124">
        <v>112</v>
      </c>
      <c r="SU15" s="124">
        <v>76</v>
      </c>
      <c r="SV15" s="124">
        <v>120</v>
      </c>
      <c r="SW15" s="124">
        <v>0</v>
      </c>
      <c r="SX15" s="124">
        <v>236</v>
      </c>
      <c r="SY15" s="131">
        <v>0.26400000000000001</v>
      </c>
      <c r="SZ15" s="134">
        <v>90.552000000000007</v>
      </c>
      <c r="TA15" s="131">
        <v>0.19399999999999998</v>
      </c>
      <c r="TB15" s="134">
        <v>66.541999999999987</v>
      </c>
      <c r="TC15" s="293">
        <v>5</v>
      </c>
      <c r="TD15" s="168">
        <v>20.58</v>
      </c>
      <c r="TF15" s="5"/>
      <c r="TH15" s="168">
        <v>66.541999999999987</v>
      </c>
      <c r="TI15" s="168">
        <v>90.552000000000007</v>
      </c>
      <c r="TJ15" s="205">
        <v>90.552000000000007</v>
      </c>
      <c r="TK15" s="144"/>
      <c r="TL15" s="293"/>
      <c r="TM15" s="293">
        <v>5</v>
      </c>
      <c r="TN15" s="169">
        <v>20.58</v>
      </c>
      <c r="TO15" s="205">
        <v>20.58</v>
      </c>
      <c r="TP15" s="5"/>
      <c r="TR15" s="293" t="s">
        <v>91</v>
      </c>
      <c r="TT15" s="5"/>
      <c r="TV15" s="199">
        <v>0</v>
      </c>
      <c r="TW15" s="200">
        <v>0</v>
      </c>
      <c r="TX15" s="200">
        <v>1734357</v>
      </c>
      <c r="TY15" s="200" t="s">
        <v>91</v>
      </c>
      <c r="TZ15" s="200">
        <v>1852200</v>
      </c>
      <c r="UA15" s="204">
        <v>131603.68421052632</v>
      </c>
      <c r="UB15" s="204">
        <v>0</v>
      </c>
      <c r="UC15" s="200">
        <v>0</v>
      </c>
      <c r="UD15" s="200">
        <v>0</v>
      </c>
      <c r="UE15" s="200">
        <v>0</v>
      </c>
      <c r="UF15" s="200">
        <v>0</v>
      </c>
      <c r="UG15" s="200">
        <v>0</v>
      </c>
      <c r="UH15" s="200">
        <v>0</v>
      </c>
      <c r="UI15" s="200">
        <v>0</v>
      </c>
      <c r="UJ15" s="200">
        <v>0</v>
      </c>
      <c r="UK15" s="200">
        <v>0</v>
      </c>
      <c r="UL15" s="200">
        <v>0</v>
      </c>
      <c r="UM15" s="200">
        <v>0</v>
      </c>
      <c r="UN15" s="200">
        <v>1983803.6842105263</v>
      </c>
      <c r="UO15" s="200"/>
      <c r="UP15" s="182"/>
      <c r="UQ15" s="200"/>
      <c r="UR15" s="199">
        <v>1983803.6842105263</v>
      </c>
      <c r="US15" s="199">
        <v>5783.6842105263158</v>
      </c>
      <c r="UT15" s="199">
        <v>1734357</v>
      </c>
      <c r="UU15" s="199">
        <v>5056.434402332362</v>
      </c>
      <c r="UV15" s="199">
        <v>249446.68421052629</v>
      </c>
      <c r="UW15" s="199">
        <v>727.24980819395387</v>
      </c>
      <c r="UX15" s="131">
        <v>0.14382660790744128</v>
      </c>
      <c r="UY15" s="199"/>
      <c r="UZ15" s="221"/>
      <c r="VA15" s="199"/>
      <c r="VB15" s="199">
        <v>102552</v>
      </c>
      <c r="VC15" s="200">
        <v>0</v>
      </c>
      <c r="VD15" s="199">
        <v>34162</v>
      </c>
      <c r="VE15" s="199">
        <v>2384601</v>
      </c>
      <c r="VG15" s="5"/>
      <c r="VI15" s="354">
        <v>2120517.6842105263</v>
      </c>
      <c r="VJ15" s="355">
        <v>6182.2673009053242</v>
      </c>
      <c r="VK15" s="354">
        <v>1871071</v>
      </c>
      <c r="VL15" s="355">
        <v>5455.0174927113703</v>
      </c>
      <c r="VM15" s="131">
        <v>0.1333175941535763</v>
      </c>
      <c r="VN15" s="131"/>
      <c r="VO15" s="354"/>
      <c r="VP15" s="200"/>
      <c r="VQ15" s="200"/>
      <c r="VR15" s="200"/>
      <c r="VS15" s="199"/>
    </row>
    <row r="16" spans="1:591">
      <c r="A16" s="3">
        <v>131</v>
      </c>
      <c r="B16" s="2" t="s">
        <v>128</v>
      </c>
      <c r="C16" s="24">
        <v>0</v>
      </c>
      <c r="D16" s="24">
        <v>0</v>
      </c>
      <c r="E16" s="24">
        <v>0</v>
      </c>
      <c r="F16" s="24">
        <v>0</v>
      </c>
      <c r="G16" s="24">
        <v>3478294</v>
      </c>
      <c r="H16" s="24">
        <v>0</v>
      </c>
      <c r="I16" s="24">
        <v>41939</v>
      </c>
      <c r="J16" s="24">
        <v>223567</v>
      </c>
      <c r="K16" s="24">
        <v>0</v>
      </c>
      <c r="L16" s="24">
        <v>0</v>
      </c>
      <c r="M16" s="24">
        <v>0</v>
      </c>
      <c r="N16" s="24">
        <v>0</v>
      </c>
      <c r="O16" s="24">
        <v>0</v>
      </c>
      <c r="P16" s="24">
        <v>0</v>
      </c>
      <c r="Q16" s="24">
        <v>0</v>
      </c>
      <c r="R16" s="24">
        <v>0</v>
      </c>
      <c r="S16" s="24">
        <v>0</v>
      </c>
      <c r="T16" s="24">
        <v>0</v>
      </c>
      <c r="U16" s="24">
        <v>0</v>
      </c>
      <c r="V16" s="24">
        <v>12116772</v>
      </c>
      <c r="W16" s="24">
        <v>29192</v>
      </c>
      <c r="X16" s="24">
        <v>0</v>
      </c>
      <c r="Y16" s="24">
        <v>69613</v>
      </c>
      <c r="Z16" s="24">
        <v>0</v>
      </c>
      <c r="AA16" s="24">
        <v>0</v>
      </c>
      <c r="AB16" s="24">
        <v>0</v>
      </c>
      <c r="AC16" s="24">
        <v>53546</v>
      </c>
      <c r="AD16" s="24">
        <v>0</v>
      </c>
      <c r="AE16" s="24">
        <v>0</v>
      </c>
      <c r="AF16" s="24">
        <v>0</v>
      </c>
      <c r="AG16" s="24">
        <v>0</v>
      </c>
      <c r="AH16" s="24">
        <v>0</v>
      </c>
      <c r="AI16" s="24">
        <v>0</v>
      </c>
      <c r="AJ16" s="24">
        <v>22944</v>
      </c>
      <c r="AK16" s="24">
        <v>0</v>
      </c>
      <c r="AL16" s="24">
        <v>0</v>
      </c>
      <c r="AM16" s="24">
        <v>0</v>
      </c>
      <c r="AN16" s="24">
        <v>0</v>
      </c>
      <c r="AO16" s="24">
        <v>0</v>
      </c>
      <c r="AP16" s="24">
        <v>0</v>
      </c>
      <c r="AQ16" s="24">
        <v>0</v>
      </c>
      <c r="AR16" s="24">
        <v>0</v>
      </c>
      <c r="AS16" s="24">
        <v>0</v>
      </c>
      <c r="AT16" s="24">
        <v>0</v>
      </c>
      <c r="AU16" s="24">
        <v>0</v>
      </c>
      <c r="AV16" s="24">
        <v>0</v>
      </c>
      <c r="AW16" s="24">
        <v>0</v>
      </c>
      <c r="AX16" s="24">
        <v>0</v>
      </c>
      <c r="AY16" s="24">
        <v>0</v>
      </c>
      <c r="AZ16" s="24">
        <v>0</v>
      </c>
      <c r="BA16" s="24">
        <v>396</v>
      </c>
      <c r="BB16" s="24">
        <v>5895</v>
      </c>
      <c r="BC16" s="24">
        <v>0</v>
      </c>
      <c r="BD16" s="24">
        <v>0</v>
      </c>
      <c r="BE16" s="24">
        <v>0</v>
      </c>
      <c r="BF16" s="24">
        <v>0</v>
      </c>
      <c r="BG16" s="24">
        <v>0</v>
      </c>
      <c r="BH16" s="24">
        <v>0</v>
      </c>
      <c r="BI16" s="24">
        <v>0</v>
      </c>
      <c r="BJ16" s="24">
        <v>0</v>
      </c>
      <c r="BK16" s="24">
        <v>0</v>
      </c>
      <c r="BL16" s="24">
        <v>0</v>
      </c>
      <c r="BM16" s="24">
        <v>9284</v>
      </c>
      <c r="BN16" s="24">
        <v>582</v>
      </c>
      <c r="BO16" s="24">
        <v>464</v>
      </c>
      <c r="BP16" s="24">
        <v>0</v>
      </c>
      <c r="BQ16" s="24">
        <v>0</v>
      </c>
      <c r="BR16" s="24">
        <v>0</v>
      </c>
      <c r="BS16" s="24">
        <v>0</v>
      </c>
      <c r="BT16" s="24">
        <v>0</v>
      </c>
      <c r="BU16" s="24">
        <v>0</v>
      </c>
      <c r="BV16" s="24">
        <v>782466</v>
      </c>
      <c r="BW16" s="24">
        <v>58964</v>
      </c>
      <c r="BX16" s="24">
        <v>0</v>
      </c>
      <c r="BY16" s="24">
        <v>0</v>
      </c>
      <c r="BZ16" s="24">
        <v>39618</v>
      </c>
      <c r="CA16" s="24">
        <v>0</v>
      </c>
      <c r="CB16" s="24">
        <v>0</v>
      </c>
      <c r="CC16" s="24">
        <v>0</v>
      </c>
      <c r="CD16" s="24">
        <v>0</v>
      </c>
      <c r="CE16" s="24">
        <v>0</v>
      </c>
      <c r="CF16" s="24">
        <v>0</v>
      </c>
      <c r="CG16" s="24">
        <v>0</v>
      </c>
      <c r="CH16" s="24">
        <v>0</v>
      </c>
      <c r="CI16" s="24">
        <v>0</v>
      </c>
      <c r="CJ16" s="24">
        <v>0</v>
      </c>
      <c r="CK16" s="24">
        <v>0</v>
      </c>
      <c r="CL16" s="24">
        <v>0</v>
      </c>
      <c r="CM16" s="24">
        <v>0</v>
      </c>
      <c r="CN16" s="24">
        <v>0</v>
      </c>
      <c r="CO16" s="24">
        <v>0</v>
      </c>
      <c r="CP16" s="24">
        <v>0</v>
      </c>
      <c r="CQ16" s="24">
        <v>0</v>
      </c>
      <c r="CR16" s="24">
        <v>0</v>
      </c>
      <c r="CS16" s="24">
        <v>0</v>
      </c>
      <c r="CT16" s="24">
        <v>0</v>
      </c>
      <c r="CU16" s="24">
        <v>0</v>
      </c>
      <c r="CV16" s="24">
        <v>0</v>
      </c>
      <c r="CW16" s="24">
        <v>0</v>
      </c>
      <c r="CX16" s="24">
        <v>0</v>
      </c>
      <c r="CY16" s="24">
        <v>0</v>
      </c>
      <c r="CZ16" s="24">
        <v>0</v>
      </c>
      <c r="DA16" s="24">
        <v>0</v>
      </c>
      <c r="DB16" s="24">
        <v>0</v>
      </c>
      <c r="DC16" s="24">
        <v>0</v>
      </c>
      <c r="DD16" s="24">
        <v>0</v>
      </c>
      <c r="DE16" s="24">
        <v>0</v>
      </c>
      <c r="DF16" s="24">
        <v>0</v>
      </c>
      <c r="DG16" s="24">
        <v>0</v>
      </c>
      <c r="DH16" s="24">
        <v>0</v>
      </c>
      <c r="DI16" s="24">
        <v>0</v>
      </c>
      <c r="DJ16" s="24">
        <v>0</v>
      </c>
      <c r="DK16" s="24">
        <v>0</v>
      </c>
      <c r="DL16" s="24">
        <v>46743</v>
      </c>
      <c r="DM16" s="24">
        <v>0</v>
      </c>
      <c r="DN16" s="24">
        <v>0</v>
      </c>
      <c r="DO16" s="24">
        <v>0</v>
      </c>
      <c r="DP16" s="24">
        <v>0</v>
      </c>
      <c r="DQ16" s="24">
        <v>0</v>
      </c>
      <c r="DR16" s="24">
        <v>0</v>
      </c>
      <c r="DS16" s="24">
        <v>0</v>
      </c>
      <c r="DT16" s="24">
        <v>0</v>
      </c>
      <c r="DU16" s="24">
        <v>420</v>
      </c>
      <c r="DV16" s="24">
        <v>0</v>
      </c>
      <c r="DW16" s="24">
        <v>0</v>
      </c>
      <c r="DX16" s="24">
        <v>8370</v>
      </c>
      <c r="DY16" s="24">
        <v>0</v>
      </c>
      <c r="DZ16" s="24">
        <v>0</v>
      </c>
      <c r="EA16" s="24">
        <v>0</v>
      </c>
      <c r="EB16" s="24">
        <v>0</v>
      </c>
      <c r="EC16" s="24">
        <v>0</v>
      </c>
      <c r="ED16" s="24">
        <v>0</v>
      </c>
      <c r="EE16" s="24">
        <v>0</v>
      </c>
      <c r="EF16" s="24">
        <v>0</v>
      </c>
      <c r="EG16" s="24">
        <v>0</v>
      </c>
      <c r="EH16" s="24">
        <v>0</v>
      </c>
      <c r="EI16" s="24">
        <v>0</v>
      </c>
      <c r="EJ16" s="24">
        <v>0</v>
      </c>
      <c r="EK16" s="24">
        <v>0</v>
      </c>
      <c r="EL16" s="24">
        <v>0</v>
      </c>
      <c r="EM16" s="24">
        <v>0</v>
      </c>
      <c r="EN16" s="24">
        <v>0</v>
      </c>
      <c r="EO16" s="24">
        <v>0</v>
      </c>
      <c r="EP16" s="24">
        <v>0</v>
      </c>
      <c r="EQ16" s="24">
        <v>0</v>
      </c>
      <c r="ER16" s="24">
        <v>0</v>
      </c>
      <c r="ES16" s="24">
        <v>0</v>
      </c>
      <c r="ET16" s="24">
        <v>0</v>
      </c>
      <c r="EU16" s="24">
        <v>0</v>
      </c>
      <c r="EV16" s="24">
        <v>0</v>
      </c>
      <c r="EW16" s="24">
        <v>0</v>
      </c>
      <c r="EX16" s="24">
        <v>0</v>
      </c>
      <c r="EY16" s="24">
        <v>0</v>
      </c>
      <c r="EZ16" s="24">
        <v>0</v>
      </c>
      <c r="FA16" s="24">
        <v>0</v>
      </c>
      <c r="FB16" s="24">
        <v>0</v>
      </c>
      <c r="FC16" s="24">
        <v>0</v>
      </c>
      <c r="FD16" s="24">
        <v>0</v>
      </c>
      <c r="FE16" s="24">
        <v>0</v>
      </c>
      <c r="FF16" s="24">
        <v>0</v>
      </c>
      <c r="FG16" s="24">
        <v>0</v>
      </c>
      <c r="FH16" s="24">
        <v>0</v>
      </c>
      <c r="FI16" s="24">
        <v>0</v>
      </c>
      <c r="FJ16" s="24">
        <v>0</v>
      </c>
      <c r="FK16" s="24">
        <v>1911106</v>
      </c>
      <c r="FL16" s="24">
        <v>0</v>
      </c>
      <c r="FM16" s="24">
        <v>0</v>
      </c>
      <c r="FN16" s="24">
        <v>132102</v>
      </c>
      <c r="FO16" s="24">
        <v>0</v>
      </c>
      <c r="FP16" s="24">
        <v>223754</v>
      </c>
      <c r="FQ16" s="24">
        <v>0</v>
      </c>
      <c r="FR16" s="24">
        <v>0</v>
      </c>
      <c r="FS16" s="24">
        <v>0</v>
      </c>
      <c r="FT16" s="24">
        <v>0</v>
      </c>
      <c r="FU16" s="24">
        <v>0</v>
      </c>
      <c r="FV16" s="24">
        <v>0</v>
      </c>
      <c r="FW16" s="24">
        <v>0</v>
      </c>
      <c r="FX16" s="24">
        <v>0</v>
      </c>
      <c r="FY16" s="24">
        <v>0</v>
      </c>
      <c r="FZ16" s="24">
        <v>0</v>
      </c>
      <c r="GA16" s="24">
        <v>0</v>
      </c>
      <c r="GB16" s="24">
        <v>0</v>
      </c>
      <c r="GC16" s="24">
        <v>0</v>
      </c>
      <c r="GD16" s="24">
        <v>0</v>
      </c>
      <c r="GE16" s="24">
        <v>0</v>
      </c>
      <c r="GF16" s="24">
        <v>0</v>
      </c>
      <c r="GG16" s="24">
        <v>0</v>
      </c>
      <c r="GH16" s="24">
        <v>0</v>
      </c>
      <c r="GI16" s="24">
        <v>0</v>
      </c>
      <c r="GJ16" s="24">
        <v>0</v>
      </c>
      <c r="GK16" s="24">
        <v>0</v>
      </c>
      <c r="GL16" s="24">
        <v>0</v>
      </c>
      <c r="GM16" s="24">
        <v>0</v>
      </c>
      <c r="GN16" s="24">
        <v>0</v>
      </c>
      <c r="GO16" s="24">
        <v>0</v>
      </c>
      <c r="GP16" s="24">
        <v>0</v>
      </c>
      <c r="GQ16" s="24">
        <v>0</v>
      </c>
      <c r="GR16" s="24">
        <v>0</v>
      </c>
      <c r="GS16" s="24">
        <v>0</v>
      </c>
      <c r="GT16" s="24">
        <v>0</v>
      </c>
      <c r="GU16" s="24">
        <v>0</v>
      </c>
      <c r="GV16" s="24">
        <v>100</v>
      </c>
      <c r="GW16" s="24">
        <v>0</v>
      </c>
      <c r="GX16" s="24">
        <v>0</v>
      </c>
      <c r="GY16" s="24">
        <v>53193684</v>
      </c>
      <c r="GZ16" s="24">
        <v>0</v>
      </c>
      <c r="HA16" s="24">
        <v>0</v>
      </c>
      <c r="HB16" s="24">
        <v>0</v>
      </c>
      <c r="HC16" s="24">
        <v>0</v>
      </c>
      <c r="HD16" s="24">
        <v>3829643</v>
      </c>
      <c r="HE16" s="24">
        <v>0</v>
      </c>
      <c r="HF16" s="24">
        <v>0</v>
      </c>
      <c r="HG16" s="24">
        <v>448347</v>
      </c>
      <c r="HH16" s="24">
        <v>0</v>
      </c>
      <c r="HI16" s="24">
        <v>0</v>
      </c>
      <c r="HJ16" s="24">
        <v>7092970</v>
      </c>
      <c r="HK16" s="24">
        <v>1998291</v>
      </c>
      <c r="HL16" s="24">
        <v>0</v>
      </c>
      <c r="HM16" s="24">
        <v>0</v>
      </c>
      <c r="HN16" s="24">
        <v>0</v>
      </c>
      <c r="HO16" s="24">
        <v>0</v>
      </c>
      <c r="HP16" s="24">
        <v>0</v>
      </c>
      <c r="HQ16" s="24">
        <v>0</v>
      </c>
      <c r="HR16" s="24">
        <v>0</v>
      </c>
      <c r="HS16" s="24">
        <v>0</v>
      </c>
      <c r="HT16" s="24">
        <v>0</v>
      </c>
      <c r="HU16" s="24">
        <v>0</v>
      </c>
      <c r="HV16" s="24">
        <v>571209</v>
      </c>
      <c r="HW16" s="24">
        <v>95292</v>
      </c>
      <c r="HX16" s="24">
        <v>0</v>
      </c>
      <c r="HY16" s="24">
        <v>0</v>
      </c>
      <c r="HZ16" s="24">
        <v>0</v>
      </c>
      <c r="IA16" s="24">
        <v>0</v>
      </c>
      <c r="IB16" s="24">
        <v>0</v>
      </c>
      <c r="IC16" s="24">
        <v>0</v>
      </c>
      <c r="ID16" s="24">
        <v>0</v>
      </c>
      <c r="IE16" s="24">
        <v>0</v>
      </c>
      <c r="IF16" s="24">
        <v>0</v>
      </c>
      <c r="IG16" s="24">
        <v>0</v>
      </c>
      <c r="IH16" s="24">
        <v>0</v>
      </c>
      <c r="II16" s="24">
        <v>0</v>
      </c>
      <c r="IJ16" s="24">
        <v>0</v>
      </c>
      <c r="IK16" s="24">
        <v>64063</v>
      </c>
      <c r="IL16" s="24">
        <v>0</v>
      </c>
      <c r="IM16" s="24">
        <v>0</v>
      </c>
      <c r="IN16" s="24">
        <v>335286</v>
      </c>
      <c r="IO16" s="24">
        <v>0</v>
      </c>
      <c r="IP16" s="24">
        <v>0</v>
      </c>
      <c r="IQ16" s="24">
        <v>0</v>
      </c>
      <c r="IR16" s="24">
        <v>0</v>
      </c>
      <c r="IS16" s="24">
        <v>0</v>
      </c>
      <c r="IT16" s="24">
        <v>0</v>
      </c>
      <c r="IU16" s="24">
        <v>0</v>
      </c>
      <c r="IV16" s="24">
        <v>0</v>
      </c>
      <c r="IW16" s="24">
        <v>0</v>
      </c>
      <c r="IX16" s="24">
        <v>0</v>
      </c>
      <c r="IY16" s="24">
        <v>0</v>
      </c>
      <c r="IZ16" s="24">
        <v>896507</v>
      </c>
      <c r="JA16" s="24">
        <v>0</v>
      </c>
      <c r="JB16" s="24">
        <v>213627</v>
      </c>
      <c r="JC16" s="24">
        <v>0</v>
      </c>
      <c r="JD16" s="24">
        <v>0</v>
      </c>
      <c r="JE16" s="24">
        <v>1358665</v>
      </c>
      <c r="JF16" s="24">
        <v>0</v>
      </c>
      <c r="JG16" s="24">
        <v>0</v>
      </c>
      <c r="JH16" s="24">
        <v>0</v>
      </c>
      <c r="JI16" s="24">
        <v>0</v>
      </c>
      <c r="JJ16" s="24">
        <v>0</v>
      </c>
      <c r="JK16" s="24">
        <v>0</v>
      </c>
      <c r="JL16" s="24">
        <v>0</v>
      </c>
      <c r="JM16" s="24">
        <v>0</v>
      </c>
      <c r="JN16" s="24">
        <v>0</v>
      </c>
      <c r="JO16" s="24">
        <v>0</v>
      </c>
      <c r="JP16" s="24">
        <v>390022</v>
      </c>
      <c r="JQ16" s="24">
        <v>0</v>
      </c>
      <c r="JR16" s="24">
        <v>0</v>
      </c>
      <c r="JS16" s="24">
        <v>0</v>
      </c>
      <c r="JT16" s="24">
        <v>0</v>
      </c>
      <c r="JU16" s="24">
        <v>0</v>
      </c>
      <c r="JV16" s="24">
        <v>0</v>
      </c>
      <c r="JW16" s="24">
        <v>0</v>
      </c>
      <c r="JX16" s="24">
        <v>0</v>
      </c>
      <c r="JY16" s="24">
        <v>0</v>
      </c>
      <c r="JZ16" s="24">
        <v>0</v>
      </c>
      <c r="KA16" s="24">
        <v>0</v>
      </c>
      <c r="KB16" s="24">
        <v>0</v>
      </c>
      <c r="KC16" s="24">
        <v>3025407</v>
      </c>
      <c r="KD16" s="24">
        <v>0</v>
      </c>
      <c r="KE16" s="24">
        <v>0</v>
      </c>
      <c r="KF16" s="24">
        <v>0</v>
      </c>
      <c r="KG16" s="24">
        <v>0</v>
      </c>
      <c r="KH16" s="24">
        <v>0</v>
      </c>
      <c r="KI16" s="24">
        <v>0</v>
      </c>
      <c r="KJ16" s="24">
        <v>0</v>
      </c>
      <c r="KK16" s="24">
        <v>0</v>
      </c>
      <c r="KL16" s="24">
        <v>0</v>
      </c>
      <c r="KM16" s="24">
        <v>0</v>
      </c>
      <c r="KN16" s="24">
        <v>0</v>
      </c>
      <c r="KO16" s="24">
        <v>0</v>
      </c>
      <c r="KP16" s="24">
        <v>0</v>
      </c>
      <c r="KQ16" s="24">
        <v>0</v>
      </c>
      <c r="KR16" s="24">
        <v>0</v>
      </c>
      <c r="KS16" s="24">
        <v>0</v>
      </c>
      <c r="KT16" s="24">
        <v>0</v>
      </c>
      <c r="KU16" s="24">
        <v>0</v>
      </c>
      <c r="KV16" s="24">
        <v>0</v>
      </c>
      <c r="KW16" s="24">
        <v>0</v>
      </c>
      <c r="KX16" s="24">
        <v>0</v>
      </c>
      <c r="KY16" s="24">
        <v>0</v>
      </c>
      <c r="KZ16" s="24">
        <v>0</v>
      </c>
      <c r="LA16" s="24">
        <v>115409</v>
      </c>
      <c r="LB16" s="24">
        <v>0</v>
      </c>
      <c r="LC16" s="24">
        <v>0</v>
      </c>
      <c r="LD16" s="24">
        <v>0</v>
      </c>
      <c r="LE16" s="24">
        <v>0</v>
      </c>
      <c r="LF16" s="24">
        <v>89300</v>
      </c>
      <c r="LG16" s="24">
        <v>0</v>
      </c>
      <c r="LH16" s="24">
        <v>0</v>
      </c>
      <c r="LI16" s="24">
        <v>0</v>
      </c>
      <c r="LJ16" s="24">
        <v>0</v>
      </c>
      <c r="LK16" s="24">
        <v>0</v>
      </c>
      <c r="LL16" s="24">
        <v>0</v>
      </c>
      <c r="LM16" s="24">
        <v>0</v>
      </c>
      <c r="LN16" s="24">
        <v>0</v>
      </c>
      <c r="LO16" s="24">
        <v>0</v>
      </c>
      <c r="LP16" s="24">
        <v>5561403</v>
      </c>
      <c r="LQ16" s="24">
        <v>188759</v>
      </c>
      <c r="LR16" s="24">
        <v>0</v>
      </c>
      <c r="LS16" s="24">
        <v>100110</v>
      </c>
      <c r="LT16" s="24">
        <v>0</v>
      </c>
      <c r="LU16" s="24">
        <v>0</v>
      </c>
      <c r="LV16" s="24">
        <v>0</v>
      </c>
      <c r="LW16" s="24">
        <v>0</v>
      </c>
      <c r="LX16" s="24">
        <v>0</v>
      </c>
      <c r="LY16" s="24">
        <v>0</v>
      </c>
      <c r="LZ16" s="24">
        <v>0</v>
      </c>
      <c r="MA16" s="24">
        <v>0</v>
      </c>
      <c r="MB16" s="24">
        <v>0</v>
      </c>
      <c r="MC16" s="24">
        <v>0</v>
      </c>
      <c r="MD16" s="24">
        <v>522651</v>
      </c>
      <c r="ME16" s="24">
        <v>0</v>
      </c>
      <c r="MF16" s="24">
        <v>0</v>
      </c>
      <c r="MG16" s="24">
        <v>0</v>
      </c>
      <c r="MH16" s="24">
        <v>0</v>
      </c>
      <c r="MI16" s="24">
        <v>0</v>
      </c>
      <c r="MJ16" s="24">
        <v>264909</v>
      </c>
      <c r="MK16" s="24">
        <v>0</v>
      </c>
      <c r="ML16" s="24">
        <v>0</v>
      </c>
      <c r="MM16" s="24">
        <v>0</v>
      </c>
      <c r="MN16" s="24">
        <v>0</v>
      </c>
      <c r="MO16" s="24">
        <v>0</v>
      </c>
      <c r="MP16" s="24">
        <v>0</v>
      </c>
      <c r="MQ16" s="24">
        <v>5748325</v>
      </c>
      <c r="MR16" s="24">
        <v>0</v>
      </c>
      <c r="MS16" s="24">
        <v>0</v>
      </c>
      <c r="MT16" s="24">
        <v>2565698</v>
      </c>
      <c r="MU16" s="24">
        <v>59856</v>
      </c>
      <c r="MV16" s="24">
        <v>0</v>
      </c>
      <c r="MW16" s="24">
        <v>0</v>
      </c>
      <c r="MX16" s="24">
        <v>0</v>
      </c>
      <c r="MY16" s="24">
        <v>0</v>
      </c>
      <c r="MZ16" s="24">
        <v>0</v>
      </c>
      <c r="NA16" s="24">
        <v>0</v>
      </c>
      <c r="NB16" s="24">
        <v>0</v>
      </c>
      <c r="NC16" s="24">
        <v>0</v>
      </c>
      <c r="ND16" s="24">
        <v>0</v>
      </c>
      <c r="NE16" s="24">
        <v>0</v>
      </c>
      <c r="NF16" s="24">
        <v>0</v>
      </c>
      <c r="NG16" s="24">
        <v>0</v>
      </c>
      <c r="NH16" s="24">
        <v>0</v>
      </c>
      <c r="NI16" s="24">
        <v>0</v>
      </c>
      <c r="NJ16" s="24">
        <v>0</v>
      </c>
      <c r="NK16" s="24">
        <v>0</v>
      </c>
      <c r="NL16" s="24">
        <v>0</v>
      </c>
      <c r="NM16" s="24">
        <v>0</v>
      </c>
      <c r="NN16" s="24">
        <v>0</v>
      </c>
      <c r="NO16" s="24">
        <v>0</v>
      </c>
      <c r="NP16" s="24">
        <v>0</v>
      </c>
      <c r="NQ16" s="24">
        <v>0</v>
      </c>
      <c r="NR16" s="24">
        <v>0</v>
      </c>
      <c r="NS16" s="24">
        <v>0</v>
      </c>
      <c r="NT16" s="24">
        <v>0</v>
      </c>
      <c r="NU16" s="24">
        <v>0</v>
      </c>
      <c r="NV16" s="24">
        <v>0</v>
      </c>
      <c r="NW16" s="24">
        <v>0</v>
      </c>
      <c r="NX16" s="24">
        <v>0</v>
      </c>
      <c r="NY16" s="24">
        <v>0</v>
      </c>
      <c r="NZ16" s="24">
        <v>0</v>
      </c>
      <c r="OA16" s="24">
        <v>0</v>
      </c>
      <c r="OB16" s="24">
        <v>0</v>
      </c>
      <c r="OC16" s="24">
        <v>0</v>
      </c>
      <c r="OD16" s="24">
        <v>0</v>
      </c>
      <c r="OE16" s="24">
        <v>0</v>
      </c>
      <c r="OF16" s="24">
        <v>0</v>
      </c>
      <c r="OG16" s="24">
        <v>0</v>
      </c>
      <c r="OH16" s="24">
        <v>0</v>
      </c>
      <c r="OI16" s="24">
        <v>0</v>
      </c>
      <c r="OJ16" s="24">
        <v>0</v>
      </c>
      <c r="OK16" s="24">
        <v>0</v>
      </c>
      <c r="OL16" s="24">
        <v>0</v>
      </c>
      <c r="OM16" s="24">
        <v>0</v>
      </c>
      <c r="ON16" s="24">
        <v>0</v>
      </c>
      <c r="OO16" s="24">
        <v>0</v>
      </c>
      <c r="OP16" s="24">
        <v>0</v>
      </c>
      <c r="OQ16" s="24">
        <v>0</v>
      </c>
      <c r="OR16" s="24">
        <v>0</v>
      </c>
      <c r="OS16" s="24">
        <v>0</v>
      </c>
      <c r="OT16" s="24">
        <v>0</v>
      </c>
      <c r="OU16" s="24">
        <v>0</v>
      </c>
      <c r="OV16" s="24">
        <v>0</v>
      </c>
      <c r="OW16" s="24">
        <v>0</v>
      </c>
      <c r="OX16" s="24">
        <v>0</v>
      </c>
      <c r="OY16" s="24">
        <v>293157</v>
      </c>
      <c r="OZ16" s="24">
        <v>0</v>
      </c>
      <c r="PA16" s="24">
        <v>0</v>
      </c>
      <c r="PB16" s="24">
        <v>0</v>
      </c>
      <c r="PC16" s="24">
        <v>0</v>
      </c>
      <c r="PD16" s="24">
        <v>0</v>
      </c>
      <c r="PE16" s="24">
        <v>0</v>
      </c>
      <c r="PF16" s="24">
        <v>0</v>
      </c>
      <c r="PG16" s="24">
        <v>0</v>
      </c>
      <c r="PH16" s="24">
        <v>0</v>
      </c>
      <c r="PI16" s="24">
        <v>0</v>
      </c>
      <c r="PJ16" s="24">
        <v>0</v>
      </c>
      <c r="PK16" s="24">
        <v>0</v>
      </c>
      <c r="PL16" s="24">
        <v>0</v>
      </c>
      <c r="PM16" s="24">
        <v>0</v>
      </c>
      <c r="PN16" s="24">
        <v>0</v>
      </c>
      <c r="PO16" s="24">
        <v>0</v>
      </c>
      <c r="PP16" s="24">
        <v>0</v>
      </c>
      <c r="PQ16" s="24">
        <v>0</v>
      </c>
      <c r="PR16" s="24">
        <v>0</v>
      </c>
      <c r="PS16" s="24">
        <v>0</v>
      </c>
      <c r="PT16" s="24">
        <v>0</v>
      </c>
      <c r="PU16" s="24">
        <v>0</v>
      </c>
      <c r="PV16" s="24">
        <v>0</v>
      </c>
      <c r="PW16" s="24">
        <v>0</v>
      </c>
      <c r="PX16" s="24">
        <v>0</v>
      </c>
      <c r="PY16" s="24">
        <v>0</v>
      </c>
      <c r="PZ16" s="24">
        <v>0</v>
      </c>
      <c r="QA16" s="24">
        <v>0</v>
      </c>
      <c r="QB16" s="24">
        <v>0</v>
      </c>
      <c r="QC16" s="24">
        <v>0</v>
      </c>
      <c r="QD16" s="24">
        <v>0</v>
      </c>
      <c r="QE16" s="24">
        <v>0</v>
      </c>
      <c r="QF16" s="24">
        <v>0</v>
      </c>
      <c r="QG16" s="24">
        <v>0</v>
      </c>
      <c r="QH16" s="24">
        <v>0</v>
      </c>
      <c r="QI16" s="24">
        <v>112228</v>
      </c>
      <c r="QJ16" s="24">
        <v>0</v>
      </c>
      <c r="QK16" s="24">
        <v>0</v>
      </c>
      <c r="QL16" s="24">
        <v>0</v>
      </c>
      <c r="QM16" s="24">
        <v>0</v>
      </c>
      <c r="QN16" s="24">
        <v>0</v>
      </c>
      <c r="QO16" s="24">
        <v>0</v>
      </c>
      <c r="QP16" s="24">
        <v>0</v>
      </c>
      <c r="QQ16" s="24">
        <v>0</v>
      </c>
      <c r="QR16" s="24">
        <v>0</v>
      </c>
      <c r="QS16" s="4"/>
      <c r="QT16" s="5"/>
      <c r="QV16" s="4"/>
      <c r="QW16" s="39">
        <v>53193684</v>
      </c>
      <c r="QX16" s="39">
        <v>3829643</v>
      </c>
      <c r="QY16" s="39">
        <v>448347</v>
      </c>
      <c r="QZ16" s="39">
        <v>0</v>
      </c>
      <c r="RA16" s="39">
        <v>0</v>
      </c>
      <c r="RB16" s="39">
        <v>7092970</v>
      </c>
      <c r="RC16" s="39">
        <v>2664792</v>
      </c>
      <c r="RD16" s="39">
        <v>64063</v>
      </c>
      <c r="RE16" s="39">
        <v>335286</v>
      </c>
      <c r="RF16" s="39">
        <v>896507</v>
      </c>
      <c r="RG16" s="39">
        <v>213627</v>
      </c>
      <c r="RH16" s="39">
        <v>4774094</v>
      </c>
      <c r="RI16" s="39"/>
      <c r="RJ16" s="182"/>
      <c r="RK16" s="39"/>
      <c r="RL16" s="39">
        <v>15216420</v>
      </c>
      <c r="RM16" s="39">
        <v>73513013</v>
      </c>
      <c r="RN16" s="39">
        <v>19256131</v>
      </c>
      <c r="RO16" s="39">
        <v>405385</v>
      </c>
      <c r="RP16" s="39"/>
      <c r="RQ16" s="182"/>
      <c r="RR16" s="39"/>
      <c r="RS16" s="39">
        <v>3708500737</v>
      </c>
      <c r="RT16" s="39">
        <v>247745.38960518406</v>
      </c>
      <c r="RU16" s="187">
        <v>4.2278960000000003</v>
      </c>
      <c r="RV16" s="39">
        <v>12979752.579500001</v>
      </c>
      <c r="RW16" s="39">
        <v>6276378.4204999991</v>
      </c>
      <c r="RX16" s="4"/>
      <c r="RY16" s="5"/>
      <c r="RZ16" s="4"/>
      <c r="SA16" s="39">
        <v>73513013</v>
      </c>
      <c r="SB16" s="39">
        <v>5452187</v>
      </c>
      <c r="SC16" s="50">
        <v>0.92583371599800979</v>
      </c>
      <c r="SE16" s="5"/>
      <c r="SG16" s="124">
        <v>14969</v>
      </c>
      <c r="SH16" s="124">
        <v>9847.5717195030884</v>
      </c>
      <c r="SI16" s="131">
        <v>0.65786436766003664</v>
      </c>
      <c r="SJ16">
        <v>980</v>
      </c>
      <c r="SK16" s="131">
        <v>6.5468635179370696E-2</v>
      </c>
      <c r="SL16" s="124">
        <v>1495</v>
      </c>
      <c r="SM16" s="131">
        <v>9.9873071013427753E-2</v>
      </c>
      <c r="SN16" s="142">
        <v>1046.5</v>
      </c>
      <c r="SO16" s="142">
        <v>299</v>
      </c>
      <c r="SP16" s="142">
        <v>104.65</v>
      </c>
      <c r="SQ16" s="142">
        <v>44.85</v>
      </c>
      <c r="SR16" s="124">
        <v>113</v>
      </c>
      <c r="SS16" s="124">
        <v>598</v>
      </c>
      <c r="ST16" s="124">
        <v>3751</v>
      </c>
      <c r="SU16" s="124">
        <v>3706</v>
      </c>
      <c r="SV16" s="124">
        <v>2361</v>
      </c>
      <c r="SW16" s="124">
        <v>4553</v>
      </c>
      <c r="SX16" s="124">
        <v>9757</v>
      </c>
      <c r="SY16" s="131">
        <v>0.376</v>
      </c>
      <c r="SZ16" s="134">
        <v>5628.3440000000001</v>
      </c>
      <c r="TA16" s="131">
        <v>0.29399999999999998</v>
      </c>
      <c r="TB16" s="134">
        <v>4400.8859999999995</v>
      </c>
      <c r="TC16" s="293">
        <v>0</v>
      </c>
      <c r="TD16" s="168">
        <v>898.14</v>
      </c>
      <c r="TF16" s="5"/>
      <c r="TH16" s="168">
        <v>4400.8859999999995</v>
      </c>
      <c r="TI16" s="168">
        <v>5628.3440000000001</v>
      </c>
      <c r="TJ16" s="205">
        <v>5628.3440000000001</v>
      </c>
      <c r="TK16" s="144"/>
      <c r="TL16" s="293"/>
      <c r="TM16" s="293">
        <v>0</v>
      </c>
      <c r="TN16" s="169">
        <v>898.14</v>
      </c>
      <c r="TO16" s="205">
        <v>898.14</v>
      </c>
      <c r="TP16" s="5"/>
      <c r="TR16" s="293" t="s">
        <v>91</v>
      </c>
      <c r="TT16" s="5"/>
      <c r="TV16" s="199">
        <v>12979752.579500001</v>
      </c>
      <c r="TW16" s="200">
        <v>0</v>
      </c>
      <c r="TX16" s="200">
        <v>68060826</v>
      </c>
      <c r="TY16" s="200" t="s">
        <v>91</v>
      </c>
      <c r="TZ16" s="200">
        <v>80832600</v>
      </c>
      <c r="UA16" s="204">
        <v>10635377.457063336</v>
      </c>
      <c r="UB16" s="204">
        <v>529200</v>
      </c>
      <c r="UC16" s="200">
        <v>0</v>
      </c>
      <c r="UD16" s="200">
        <v>0</v>
      </c>
      <c r="UE16" s="200">
        <v>0</v>
      </c>
      <c r="UF16" s="200">
        <v>0</v>
      </c>
      <c r="UG16" s="200">
        <v>0</v>
      </c>
      <c r="UH16" s="200">
        <v>0</v>
      </c>
      <c r="UI16" s="200">
        <v>0</v>
      </c>
      <c r="UJ16" s="200">
        <v>0</v>
      </c>
      <c r="UK16" s="200">
        <v>0</v>
      </c>
      <c r="UL16" s="200">
        <v>0</v>
      </c>
      <c r="UM16" s="200">
        <v>0</v>
      </c>
      <c r="UN16" s="200">
        <v>91997177.457063332</v>
      </c>
      <c r="UO16" s="200"/>
      <c r="UP16" s="182"/>
      <c r="UQ16" s="200"/>
      <c r="UR16" s="199">
        <v>91997177.457063332</v>
      </c>
      <c r="US16" s="199">
        <v>6145.8465800696995</v>
      </c>
      <c r="UT16" s="199">
        <v>81040578.579500005</v>
      </c>
      <c r="UU16" s="199">
        <v>5413.8939528024584</v>
      </c>
      <c r="UV16" s="199">
        <v>10956598.877563328</v>
      </c>
      <c r="UW16" s="199">
        <v>731.95262726724104</v>
      </c>
      <c r="UX16" s="131">
        <v>0.1351989221895179</v>
      </c>
      <c r="UY16" s="199"/>
      <c r="UZ16" s="221"/>
      <c r="VA16" s="199"/>
      <c r="VB16" s="199">
        <v>15216420</v>
      </c>
      <c r="VC16" s="200">
        <v>5452187</v>
      </c>
      <c r="VD16" s="199">
        <v>6276378.4204999991</v>
      </c>
      <c r="VE16" s="199">
        <v>405385</v>
      </c>
      <c r="VG16" s="5"/>
      <c r="VI16" s="354">
        <v>118942162.87756333</v>
      </c>
      <c r="VJ16" s="355">
        <v>7945.8990498739613</v>
      </c>
      <c r="VK16" s="354">
        <v>107985564</v>
      </c>
      <c r="VL16" s="355">
        <v>7213.9464226067203</v>
      </c>
      <c r="VM16" s="131">
        <v>0.10146355190183877</v>
      </c>
      <c r="VN16" s="131"/>
      <c r="VO16" s="354"/>
      <c r="VP16" s="200"/>
      <c r="VQ16" s="200"/>
      <c r="VR16" s="200"/>
      <c r="VS16" s="199"/>
    </row>
    <row r="17" spans="1:591">
      <c r="A17" s="26">
        <v>131.1</v>
      </c>
      <c r="B17" s="2" t="s">
        <v>129</v>
      </c>
      <c r="C17" s="24">
        <v>0</v>
      </c>
      <c r="D17" s="24">
        <v>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24">
        <v>0</v>
      </c>
      <c r="X17" s="24">
        <v>0</v>
      </c>
      <c r="Y17" s="24">
        <v>0</v>
      </c>
      <c r="Z17" s="24">
        <v>0</v>
      </c>
      <c r="AA17" s="24">
        <v>0</v>
      </c>
      <c r="AB17" s="24">
        <v>0</v>
      </c>
      <c r="AC17" s="24">
        <v>0</v>
      </c>
      <c r="AD17" s="24">
        <v>0</v>
      </c>
      <c r="AE17" s="24">
        <v>0</v>
      </c>
      <c r="AF17" s="24">
        <v>0</v>
      </c>
      <c r="AG17" s="24">
        <v>0</v>
      </c>
      <c r="AH17" s="24">
        <v>0</v>
      </c>
      <c r="AI17" s="24">
        <v>0</v>
      </c>
      <c r="AJ17" s="24">
        <v>3765</v>
      </c>
      <c r="AK17" s="24">
        <v>0</v>
      </c>
      <c r="AL17" s="24">
        <v>0</v>
      </c>
      <c r="AM17" s="24">
        <v>0</v>
      </c>
      <c r="AN17" s="24">
        <v>0</v>
      </c>
      <c r="AO17" s="24">
        <v>0</v>
      </c>
      <c r="AP17" s="24">
        <v>0</v>
      </c>
      <c r="AQ17" s="24">
        <v>0</v>
      </c>
      <c r="AR17" s="24">
        <v>0</v>
      </c>
      <c r="AS17" s="24">
        <v>0</v>
      </c>
      <c r="AT17" s="24">
        <v>0</v>
      </c>
      <c r="AU17" s="24">
        <v>0</v>
      </c>
      <c r="AV17" s="24">
        <v>0</v>
      </c>
      <c r="AW17" s="24">
        <v>0</v>
      </c>
      <c r="AX17" s="24">
        <v>0</v>
      </c>
      <c r="AY17" s="24">
        <v>0</v>
      </c>
      <c r="AZ17" s="24">
        <v>0</v>
      </c>
      <c r="BA17" s="24">
        <v>0</v>
      </c>
      <c r="BB17" s="24">
        <v>99</v>
      </c>
      <c r="BC17" s="24">
        <v>0</v>
      </c>
      <c r="BD17" s="24">
        <v>0</v>
      </c>
      <c r="BE17" s="24">
        <v>0</v>
      </c>
      <c r="BF17" s="24">
        <v>0</v>
      </c>
      <c r="BG17" s="24">
        <v>0</v>
      </c>
      <c r="BH17" s="24">
        <v>0</v>
      </c>
      <c r="BI17" s="24">
        <v>0</v>
      </c>
      <c r="BJ17" s="24">
        <v>0</v>
      </c>
      <c r="BK17" s="24">
        <v>0</v>
      </c>
      <c r="BL17" s="24">
        <v>0</v>
      </c>
      <c r="BM17" s="24">
        <v>0</v>
      </c>
      <c r="BN17" s="24">
        <v>0</v>
      </c>
      <c r="BO17" s="24">
        <v>0</v>
      </c>
      <c r="BP17" s="24">
        <v>0</v>
      </c>
      <c r="BQ17" s="24">
        <v>0</v>
      </c>
      <c r="BR17" s="24">
        <v>0</v>
      </c>
      <c r="BS17" s="24">
        <v>0</v>
      </c>
      <c r="BT17" s="24">
        <v>0</v>
      </c>
      <c r="BU17" s="24">
        <v>0</v>
      </c>
      <c r="BV17" s="24">
        <v>61262</v>
      </c>
      <c r="BW17" s="24">
        <v>0</v>
      </c>
      <c r="BX17" s="24">
        <v>0</v>
      </c>
      <c r="BY17" s="24">
        <v>0</v>
      </c>
      <c r="BZ17" s="24">
        <v>296</v>
      </c>
      <c r="CA17" s="24">
        <v>0</v>
      </c>
      <c r="CB17" s="24">
        <v>0</v>
      </c>
      <c r="CC17" s="24">
        <v>0</v>
      </c>
      <c r="CD17" s="24">
        <v>0</v>
      </c>
      <c r="CE17" s="24">
        <v>0</v>
      </c>
      <c r="CF17" s="24">
        <v>0</v>
      </c>
      <c r="CG17" s="24">
        <v>0</v>
      </c>
      <c r="CH17" s="24">
        <v>0</v>
      </c>
      <c r="CI17" s="24">
        <v>0</v>
      </c>
      <c r="CJ17" s="24">
        <v>0</v>
      </c>
      <c r="CK17" s="24">
        <v>0</v>
      </c>
      <c r="CL17" s="24">
        <v>0</v>
      </c>
      <c r="CM17" s="24">
        <v>0</v>
      </c>
      <c r="CN17" s="24">
        <v>0</v>
      </c>
      <c r="CO17" s="24">
        <v>0</v>
      </c>
      <c r="CP17" s="24">
        <v>0</v>
      </c>
      <c r="CQ17" s="24">
        <v>0</v>
      </c>
      <c r="CR17" s="24">
        <v>0</v>
      </c>
      <c r="CS17" s="24">
        <v>0</v>
      </c>
      <c r="CT17" s="24">
        <v>0</v>
      </c>
      <c r="CU17" s="24">
        <v>0</v>
      </c>
      <c r="CV17" s="24">
        <v>0</v>
      </c>
      <c r="CW17" s="24">
        <v>0</v>
      </c>
      <c r="CX17" s="24">
        <v>0</v>
      </c>
      <c r="CY17" s="24">
        <v>0</v>
      </c>
      <c r="CZ17" s="24">
        <v>0</v>
      </c>
      <c r="DA17" s="24">
        <v>0</v>
      </c>
      <c r="DB17" s="24">
        <v>0</v>
      </c>
      <c r="DC17" s="24">
        <v>0</v>
      </c>
      <c r="DD17" s="24">
        <v>0</v>
      </c>
      <c r="DE17" s="24">
        <v>0</v>
      </c>
      <c r="DF17" s="24">
        <v>0</v>
      </c>
      <c r="DG17" s="24">
        <v>0</v>
      </c>
      <c r="DH17" s="24">
        <v>0</v>
      </c>
      <c r="DI17" s="24">
        <v>0</v>
      </c>
      <c r="DJ17" s="24">
        <v>0</v>
      </c>
      <c r="DK17" s="24">
        <v>0</v>
      </c>
      <c r="DL17" s="24">
        <v>0</v>
      </c>
      <c r="DM17" s="24">
        <v>0</v>
      </c>
      <c r="DN17" s="24">
        <v>0</v>
      </c>
      <c r="DO17" s="24">
        <v>0</v>
      </c>
      <c r="DP17" s="24">
        <v>0</v>
      </c>
      <c r="DQ17" s="24">
        <v>0</v>
      </c>
      <c r="DR17" s="24">
        <v>0</v>
      </c>
      <c r="DS17" s="24">
        <v>0</v>
      </c>
      <c r="DT17" s="24">
        <v>0</v>
      </c>
      <c r="DU17" s="24">
        <v>0</v>
      </c>
      <c r="DV17" s="24">
        <v>0</v>
      </c>
      <c r="DW17" s="24">
        <v>0</v>
      </c>
      <c r="DX17" s="24">
        <v>0</v>
      </c>
      <c r="DY17" s="24">
        <v>0</v>
      </c>
      <c r="DZ17" s="24">
        <v>0</v>
      </c>
      <c r="EA17" s="24">
        <v>0</v>
      </c>
      <c r="EB17" s="24">
        <v>0</v>
      </c>
      <c r="EC17" s="24">
        <v>0</v>
      </c>
      <c r="ED17" s="24">
        <v>0</v>
      </c>
      <c r="EE17" s="24">
        <v>0</v>
      </c>
      <c r="EF17" s="24">
        <v>0</v>
      </c>
      <c r="EG17" s="24">
        <v>0</v>
      </c>
      <c r="EH17" s="24">
        <v>0</v>
      </c>
      <c r="EI17" s="24">
        <v>0</v>
      </c>
      <c r="EJ17" s="24">
        <v>0</v>
      </c>
      <c r="EK17" s="24">
        <v>0</v>
      </c>
      <c r="EL17" s="24">
        <v>0</v>
      </c>
      <c r="EM17" s="24">
        <v>0</v>
      </c>
      <c r="EN17" s="24">
        <v>0</v>
      </c>
      <c r="EO17" s="24">
        <v>0</v>
      </c>
      <c r="EP17" s="24">
        <v>0</v>
      </c>
      <c r="EQ17" s="24">
        <v>0</v>
      </c>
      <c r="ER17" s="24">
        <v>0</v>
      </c>
      <c r="ES17" s="24">
        <v>0</v>
      </c>
      <c r="ET17" s="24">
        <v>0</v>
      </c>
      <c r="EU17" s="24">
        <v>0</v>
      </c>
      <c r="EV17" s="24">
        <v>0</v>
      </c>
      <c r="EW17" s="24">
        <v>0</v>
      </c>
      <c r="EX17" s="24">
        <v>0</v>
      </c>
      <c r="EY17" s="24">
        <v>0</v>
      </c>
      <c r="EZ17" s="24">
        <v>0</v>
      </c>
      <c r="FA17" s="24">
        <v>0</v>
      </c>
      <c r="FB17" s="24">
        <v>0</v>
      </c>
      <c r="FC17" s="24">
        <v>0</v>
      </c>
      <c r="FD17" s="24">
        <v>0</v>
      </c>
      <c r="FE17" s="24">
        <v>0</v>
      </c>
      <c r="FF17" s="24">
        <v>0</v>
      </c>
      <c r="FG17" s="24">
        <v>0</v>
      </c>
      <c r="FH17" s="24">
        <v>0</v>
      </c>
      <c r="FI17" s="24">
        <v>0</v>
      </c>
      <c r="FJ17" s="24">
        <v>0</v>
      </c>
      <c r="FK17" s="24">
        <v>28132</v>
      </c>
      <c r="FL17" s="24">
        <v>0</v>
      </c>
      <c r="FM17" s="24">
        <v>0</v>
      </c>
      <c r="FN17" s="24">
        <v>0</v>
      </c>
      <c r="FO17" s="24">
        <v>0</v>
      </c>
      <c r="FP17" s="24">
        <v>0</v>
      </c>
      <c r="FQ17" s="24">
        <v>0</v>
      </c>
      <c r="FR17" s="24">
        <v>0</v>
      </c>
      <c r="FS17" s="24">
        <v>0</v>
      </c>
      <c r="FT17" s="24">
        <v>0</v>
      </c>
      <c r="FU17" s="24">
        <v>0</v>
      </c>
      <c r="FV17" s="24">
        <v>0</v>
      </c>
      <c r="FW17" s="24">
        <v>0</v>
      </c>
      <c r="FX17" s="24">
        <v>0</v>
      </c>
      <c r="FY17" s="24">
        <v>0</v>
      </c>
      <c r="FZ17" s="24">
        <v>0</v>
      </c>
      <c r="GA17" s="24">
        <v>0</v>
      </c>
      <c r="GB17" s="24">
        <v>0</v>
      </c>
      <c r="GC17" s="24">
        <v>0</v>
      </c>
      <c r="GD17" s="24">
        <v>0</v>
      </c>
      <c r="GE17" s="24">
        <v>0</v>
      </c>
      <c r="GF17" s="24">
        <v>0</v>
      </c>
      <c r="GG17" s="24">
        <v>0</v>
      </c>
      <c r="GH17" s="24">
        <v>0</v>
      </c>
      <c r="GI17" s="24">
        <v>0</v>
      </c>
      <c r="GJ17" s="24">
        <v>0</v>
      </c>
      <c r="GK17" s="24">
        <v>0</v>
      </c>
      <c r="GL17" s="24">
        <v>0</v>
      </c>
      <c r="GM17" s="24">
        <v>0</v>
      </c>
      <c r="GN17" s="24">
        <v>0</v>
      </c>
      <c r="GO17" s="24">
        <v>0</v>
      </c>
      <c r="GP17" s="24">
        <v>0</v>
      </c>
      <c r="GQ17" s="24">
        <v>0</v>
      </c>
      <c r="GR17" s="24">
        <v>0</v>
      </c>
      <c r="GS17" s="24">
        <v>0</v>
      </c>
      <c r="GT17" s="24">
        <v>0</v>
      </c>
      <c r="GU17" s="24">
        <v>0</v>
      </c>
      <c r="GV17" s="24">
        <v>0</v>
      </c>
      <c r="GW17" s="24">
        <v>0</v>
      </c>
      <c r="GX17" s="24">
        <v>0</v>
      </c>
      <c r="GY17" s="24">
        <v>3220010</v>
      </c>
      <c r="GZ17" s="24">
        <v>0</v>
      </c>
      <c r="HA17" s="24">
        <v>0</v>
      </c>
      <c r="HB17" s="24">
        <v>0</v>
      </c>
      <c r="HC17" s="24">
        <v>0</v>
      </c>
      <c r="HD17" s="24">
        <v>203256</v>
      </c>
      <c r="HE17" s="24">
        <v>0</v>
      </c>
      <c r="HF17" s="24">
        <v>0</v>
      </c>
      <c r="HG17" s="24">
        <v>0</v>
      </c>
      <c r="HH17" s="24">
        <v>0</v>
      </c>
      <c r="HI17" s="24">
        <v>0</v>
      </c>
      <c r="HJ17" s="24">
        <v>388554</v>
      </c>
      <c r="HK17" s="24">
        <v>328762</v>
      </c>
      <c r="HL17" s="24">
        <v>0</v>
      </c>
      <c r="HM17" s="24">
        <v>0</v>
      </c>
      <c r="HN17" s="24">
        <v>0</v>
      </c>
      <c r="HO17" s="24">
        <v>0</v>
      </c>
      <c r="HP17" s="24">
        <v>0</v>
      </c>
      <c r="HQ17" s="24">
        <v>0</v>
      </c>
      <c r="HR17" s="24">
        <v>0</v>
      </c>
      <c r="HS17" s="24">
        <v>0</v>
      </c>
      <c r="HT17" s="24">
        <v>0</v>
      </c>
      <c r="HU17" s="24">
        <v>0</v>
      </c>
      <c r="HV17" s="24">
        <v>0</v>
      </c>
      <c r="HW17" s="24">
        <v>0</v>
      </c>
      <c r="HX17" s="24">
        <v>0</v>
      </c>
      <c r="HY17" s="24">
        <v>0</v>
      </c>
      <c r="HZ17" s="24">
        <v>0</v>
      </c>
      <c r="IA17" s="24">
        <v>0</v>
      </c>
      <c r="IB17" s="24">
        <v>0</v>
      </c>
      <c r="IC17" s="24">
        <v>0</v>
      </c>
      <c r="ID17" s="24">
        <v>0</v>
      </c>
      <c r="IE17" s="24">
        <v>0</v>
      </c>
      <c r="IF17" s="24">
        <v>0</v>
      </c>
      <c r="IG17" s="24">
        <v>0</v>
      </c>
      <c r="IH17" s="24">
        <v>0</v>
      </c>
      <c r="II17" s="24">
        <v>0</v>
      </c>
      <c r="IJ17" s="24">
        <v>0</v>
      </c>
      <c r="IK17" s="24">
        <v>0</v>
      </c>
      <c r="IL17" s="24">
        <v>0</v>
      </c>
      <c r="IM17" s="24">
        <v>0</v>
      </c>
      <c r="IN17" s="24">
        <v>0</v>
      </c>
      <c r="IO17" s="24">
        <v>0</v>
      </c>
      <c r="IP17" s="24">
        <v>0</v>
      </c>
      <c r="IQ17" s="24">
        <v>0</v>
      </c>
      <c r="IR17" s="24">
        <v>0</v>
      </c>
      <c r="IS17" s="24">
        <v>0</v>
      </c>
      <c r="IT17" s="24">
        <v>0</v>
      </c>
      <c r="IU17" s="24">
        <v>0</v>
      </c>
      <c r="IV17" s="24">
        <v>0</v>
      </c>
      <c r="IW17" s="24">
        <v>0</v>
      </c>
      <c r="IX17" s="24">
        <v>0</v>
      </c>
      <c r="IY17" s="24">
        <v>0</v>
      </c>
      <c r="IZ17" s="24">
        <v>0</v>
      </c>
      <c r="JA17" s="24">
        <v>0</v>
      </c>
      <c r="JB17" s="24">
        <v>0</v>
      </c>
      <c r="JC17" s="24">
        <v>0</v>
      </c>
      <c r="JD17" s="24">
        <v>0</v>
      </c>
      <c r="JE17" s="24">
        <v>0</v>
      </c>
      <c r="JF17" s="24">
        <v>0</v>
      </c>
      <c r="JG17" s="24">
        <v>0</v>
      </c>
      <c r="JH17" s="24">
        <v>0</v>
      </c>
      <c r="JI17" s="24">
        <v>30000</v>
      </c>
      <c r="JJ17" s="24">
        <v>120500</v>
      </c>
      <c r="JK17" s="24">
        <v>0</v>
      </c>
      <c r="JL17" s="24">
        <v>0</v>
      </c>
      <c r="JM17" s="24">
        <v>0</v>
      </c>
      <c r="JN17" s="24">
        <v>0</v>
      </c>
      <c r="JO17" s="24">
        <v>0</v>
      </c>
      <c r="JP17" s="24">
        <v>0</v>
      </c>
      <c r="JQ17" s="24">
        <v>0</v>
      </c>
      <c r="JR17" s="24">
        <v>0</v>
      </c>
      <c r="JS17" s="24">
        <v>227555</v>
      </c>
      <c r="JT17" s="24">
        <v>6998</v>
      </c>
      <c r="JU17" s="24">
        <v>0</v>
      </c>
      <c r="JV17" s="24">
        <v>0</v>
      </c>
      <c r="JW17" s="24">
        <v>0</v>
      </c>
      <c r="JX17" s="24">
        <v>0</v>
      </c>
      <c r="JY17" s="24">
        <v>0</v>
      </c>
      <c r="JZ17" s="24">
        <v>0</v>
      </c>
      <c r="KA17" s="24">
        <v>0</v>
      </c>
      <c r="KB17" s="24">
        <v>0</v>
      </c>
      <c r="KC17" s="24">
        <v>0</v>
      </c>
      <c r="KD17" s="24">
        <v>0</v>
      </c>
      <c r="KE17" s="24">
        <v>0</v>
      </c>
      <c r="KF17" s="24">
        <v>0</v>
      </c>
      <c r="KG17" s="24">
        <v>0</v>
      </c>
      <c r="KH17" s="24">
        <v>0</v>
      </c>
      <c r="KI17" s="24">
        <v>0</v>
      </c>
      <c r="KJ17" s="24">
        <v>0</v>
      </c>
      <c r="KK17" s="24">
        <v>0</v>
      </c>
      <c r="KL17" s="24">
        <v>0</v>
      </c>
      <c r="KM17" s="24">
        <v>0</v>
      </c>
      <c r="KN17" s="24">
        <v>0</v>
      </c>
      <c r="KO17" s="24">
        <v>0</v>
      </c>
      <c r="KP17" s="24">
        <v>0</v>
      </c>
      <c r="KQ17" s="24">
        <v>0</v>
      </c>
      <c r="KR17" s="24">
        <v>0</v>
      </c>
      <c r="KS17" s="24">
        <v>0</v>
      </c>
      <c r="KT17" s="24">
        <v>0</v>
      </c>
      <c r="KU17" s="24">
        <v>0</v>
      </c>
      <c r="KV17" s="24">
        <v>0</v>
      </c>
      <c r="KW17" s="24">
        <v>0</v>
      </c>
      <c r="KX17" s="24">
        <v>0</v>
      </c>
      <c r="KY17" s="24">
        <v>0</v>
      </c>
      <c r="KZ17" s="24">
        <v>0</v>
      </c>
      <c r="LA17" s="24">
        <v>0</v>
      </c>
      <c r="LB17" s="24">
        <v>0</v>
      </c>
      <c r="LC17" s="24">
        <v>0</v>
      </c>
      <c r="LD17" s="24">
        <v>0</v>
      </c>
      <c r="LE17" s="24">
        <v>0</v>
      </c>
      <c r="LF17" s="24">
        <v>0</v>
      </c>
      <c r="LG17" s="24">
        <v>0</v>
      </c>
      <c r="LH17" s="24">
        <v>0</v>
      </c>
      <c r="LI17" s="24">
        <v>0</v>
      </c>
      <c r="LJ17" s="24">
        <v>0</v>
      </c>
      <c r="LK17" s="24">
        <v>0</v>
      </c>
      <c r="LL17" s="24">
        <v>0</v>
      </c>
      <c r="LM17" s="24">
        <v>0</v>
      </c>
      <c r="LN17" s="24">
        <v>0</v>
      </c>
      <c r="LO17" s="24">
        <v>0</v>
      </c>
      <c r="LP17" s="24">
        <v>125103</v>
      </c>
      <c r="LQ17" s="24">
        <v>0</v>
      </c>
      <c r="LR17" s="24">
        <v>0</v>
      </c>
      <c r="LS17" s="24">
        <v>0</v>
      </c>
      <c r="LT17" s="24">
        <v>0</v>
      </c>
      <c r="LU17" s="24">
        <v>0</v>
      </c>
      <c r="LV17" s="24">
        <v>0</v>
      </c>
      <c r="LW17" s="24">
        <v>0</v>
      </c>
      <c r="LX17" s="24">
        <v>0</v>
      </c>
      <c r="LY17" s="24">
        <v>0</v>
      </c>
      <c r="LZ17" s="24">
        <v>0</v>
      </c>
      <c r="MA17" s="24">
        <v>0</v>
      </c>
      <c r="MB17" s="24">
        <v>0</v>
      </c>
      <c r="MC17" s="24">
        <v>0</v>
      </c>
      <c r="MD17" s="24">
        <v>0</v>
      </c>
      <c r="ME17" s="24">
        <v>0</v>
      </c>
      <c r="MF17" s="24">
        <v>0</v>
      </c>
      <c r="MG17" s="24">
        <v>0</v>
      </c>
      <c r="MH17" s="24">
        <v>0</v>
      </c>
      <c r="MI17" s="24">
        <v>0</v>
      </c>
      <c r="MJ17" s="24">
        <v>0</v>
      </c>
      <c r="MK17" s="24">
        <v>0</v>
      </c>
      <c r="ML17" s="24">
        <v>0</v>
      </c>
      <c r="MM17" s="24">
        <v>0</v>
      </c>
      <c r="MN17" s="24">
        <v>0</v>
      </c>
      <c r="MO17" s="24">
        <v>0</v>
      </c>
      <c r="MP17" s="24">
        <v>0</v>
      </c>
      <c r="MQ17" s="24">
        <v>231592</v>
      </c>
      <c r="MR17" s="24">
        <v>0</v>
      </c>
      <c r="MS17" s="24">
        <v>0</v>
      </c>
      <c r="MT17" s="24">
        <v>48000</v>
      </c>
      <c r="MU17" s="24">
        <v>0</v>
      </c>
      <c r="MV17" s="24">
        <v>0</v>
      </c>
      <c r="MW17" s="24">
        <v>0</v>
      </c>
      <c r="MX17" s="24">
        <v>0</v>
      </c>
      <c r="MY17" s="24">
        <v>0</v>
      </c>
      <c r="MZ17" s="24">
        <v>0</v>
      </c>
      <c r="NA17" s="24">
        <v>0</v>
      </c>
      <c r="NB17" s="24">
        <v>0</v>
      </c>
      <c r="NC17" s="24">
        <v>0</v>
      </c>
      <c r="ND17" s="24">
        <v>0</v>
      </c>
      <c r="NE17" s="24">
        <v>0</v>
      </c>
      <c r="NF17" s="24">
        <v>0</v>
      </c>
      <c r="NG17" s="24">
        <v>0</v>
      </c>
      <c r="NH17" s="24">
        <v>0</v>
      </c>
      <c r="NI17" s="24">
        <v>0</v>
      </c>
      <c r="NJ17" s="24">
        <v>0</v>
      </c>
      <c r="NK17" s="24">
        <v>0</v>
      </c>
      <c r="NL17" s="24">
        <v>0</v>
      </c>
      <c r="NM17" s="24">
        <v>0</v>
      </c>
      <c r="NN17" s="24">
        <v>0</v>
      </c>
      <c r="NO17" s="24">
        <v>0</v>
      </c>
      <c r="NP17" s="24">
        <v>0</v>
      </c>
      <c r="NQ17" s="24">
        <v>0</v>
      </c>
      <c r="NR17" s="24">
        <v>15587</v>
      </c>
      <c r="NS17" s="24">
        <v>0</v>
      </c>
      <c r="NT17" s="24">
        <v>0</v>
      </c>
      <c r="NU17" s="24">
        <v>0</v>
      </c>
      <c r="NV17" s="24">
        <v>0</v>
      </c>
      <c r="NW17" s="24">
        <v>0</v>
      </c>
      <c r="NX17" s="24">
        <v>0</v>
      </c>
      <c r="NY17" s="24">
        <v>0</v>
      </c>
      <c r="NZ17" s="24">
        <v>0</v>
      </c>
      <c r="OA17" s="24">
        <v>0</v>
      </c>
      <c r="OB17" s="24">
        <v>0</v>
      </c>
      <c r="OC17" s="24">
        <v>0</v>
      </c>
      <c r="OD17" s="24">
        <v>0</v>
      </c>
      <c r="OE17" s="24">
        <v>0</v>
      </c>
      <c r="OF17" s="24">
        <v>15923</v>
      </c>
      <c r="OG17" s="24">
        <v>0</v>
      </c>
      <c r="OH17" s="24">
        <v>0</v>
      </c>
      <c r="OI17" s="24">
        <v>0</v>
      </c>
      <c r="OJ17" s="24">
        <v>0</v>
      </c>
      <c r="OK17" s="24">
        <v>0</v>
      </c>
      <c r="OL17" s="24">
        <v>0</v>
      </c>
      <c r="OM17" s="24">
        <v>0</v>
      </c>
      <c r="ON17" s="24">
        <v>0</v>
      </c>
      <c r="OO17" s="24">
        <v>0</v>
      </c>
      <c r="OP17" s="24">
        <v>0</v>
      </c>
      <c r="OQ17" s="24">
        <v>0</v>
      </c>
      <c r="OR17" s="24">
        <v>0</v>
      </c>
      <c r="OS17" s="24">
        <v>0</v>
      </c>
      <c r="OT17" s="24">
        <v>0</v>
      </c>
      <c r="OU17" s="24">
        <v>0</v>
      </c>
      <c r="OV17" s="24">
        <v>0</v>
      </c>
      <c r="OW17" s="24">
        <v>0</v>
      </c>
      <c r="OX17" s="24">
        <v>0</v>
      </c>
      <c r="OY17" s="24">
        <v>15000</v>
      </c>
      <c r="OZ17" s="24">
        <v>0</v>
      </c>
      <c r="PA17" s="24">
        <v>0</v>
      </c>
      <c r="PB17" s="24">
        <v>0</v>
      </c>
      <c r="PC17" s="24">
        <v>0</v>
      </c>
      <c r="PD17" s="24">
        <v>0</v>
      </c>
      <c r="PE17" s="24">
        <v>0</v>
      </c>
      <c r="PF17" s="24">
        <v>0</v>
      </c>
      <c r="PG17" s="24">
        <v>0</v>
      </c>
      <c r="PH17" s="24">
        <v>0</v>
      </c>
      <c r="PI17" s="24">
        <v>0</v>
      </c>
      <c r="PJ17" s="24">
        <v>0</v>
      </c>
      <c r="PK17" s="24">
        <v>0</v>
      </c>
      <c r="PL17" s="24">
        <v>0</v>
      </c>
      <c r="PM17" s="24">
        <v>0</v>
      </c>
      <c r="PN17" s="24">
        <v>0</v>
      </c>
      <c r="PO17" s="24">
        <v>0</v>
      </c>
      <c r="PP17" s="24">
        <v>0</v>
      </c>
      <c r="PQ17" s="24">
        <v>0</v>
      </c>
      <c r="PR17" s="24">
        <v>0</v>
      </c>
      <c r="PS17" s="24">
        <v>0</v>
      </c>
      <c r="PT17" s="24">
        <v>0</v>
      </c>
      <c r="PU17" s="24">
        <v>0</v>
      </c>
      <c r="PV17" s="24">
        <v>0</v>
      </c>
      <c r="PW17" s="24">
        <v>0</v>
      </c>
      <c r="PX17" s="24">
        <v>0</v>
      </c>
      <c r="PY17" s="24">
        <v>0</v>
      </c>
      <c r="PZ17" s="24">
        <v>0</v>
      </c>
      <c r="QA17" s="24">
        <v>0</v>
      </c>
      <c r="QB17" s="24">
        <v>0</v>
      </c>
      <c r="QC17" s="24">
        <v>0</v>
      </c>
      <c r="QD17" s="24">
        <v>0</v>
      </c>
      <c r="QE17" s="24">
        <v>0</v>
      </c>
      <c r="QF17" s="24">
        <v>0</v>
      </c>
      <c r="QG17" s="24">
        <v>0</v>
      </c>
      <c r="QH17" s="24">
        <v>0</v>
      </c>
      <c r="QI17" s="24">
        <v>0</v>
      </c>
      <c r="QJ17" s="24">
        <v>736311</v>
      </c>
      <c r="QK17" s="24">
        <v>0</v>
      </c>
      <c r="QL17" s="24">
        <v>0</v>
      </c>
      <c r="QM17" s="24">
        <v>0</v>
      </c>
      <c r="QN17" s="24">
        <v>0</v>
      </c>
      <c r="QO17" s="24">
        <v>0</v>
      </c>
      <c r="QP17" s="24">
        <v>0</v>
      </c>
      <c r="QQ17" s="24">
        <v>0</v>
      </c>
      <c r="QR17" s="24">
        <v>0</v>
      </c>
      <c r="QS17" s="4">
        <v>1</v>
      </c>
      <c r="QT17" s="5"/>
      <c r="QV17" s="4"/>
      <c r="QW17" s="39">
        <v>3220010</v>
      </c>
      <c r="QX17" s="39">
        <v>203256</v>
      </c>
      <c r="QY17" s="39">
        <v>0</v>
      </c>
      <c r="QZ17" s="39">
        <v>0</v>
      </c>
      <c r="RA17" s="39">
        <v>0</v>
      </c>
      <c r="RB17" s="39">
        <v>388554</v>
      </c>
      <c r="RC17" s="39">
        <v>328762</v>
      </c>
      <c r="RD17" s="39">
        <v>0</v>
      </c>
      <c r="RE17" s="39">
        <v>0</v>
      </c>
      <c r="RF17" s="39">
        <v>0</v>
      </c>
      <c r="RG17" s="39">
        <v>0</v>
      </c>
      <c r="RH17" s="39">
        <v>385053</v>
      </c>
      <c r="RI17" s="39"/>
      <c r="RJ17" s="182"/>
      <c r="RK17" s="39"/>
      <c r="RL17" s="39">
        <v>436205</v>
      </c>
      <c r="RM17" s="39">
        <v>4525635</v>
      </c>
      <c r="RN17" s="39">
        <v>93554</v>
      </c>
      <c r="RO17" s="39">
        <v>751311</v>
      </c>
      <c r="RP17" s="39"/>
      <c r="RQ17" s="182"/>
      <c r="RR17" s="39"/>
      <c r="RS17" s="39">
        <v>0</v>
      </c>
      <c r="RT17" s="39">
        <v>0</v>
      </c>
      <c r="RU17" s="187">
        <v>0</v>
      </c>
      <c r="RV17" s="39">
        <v>0</v>
      </c>
      <c r="RW17" s="39">
        <v>93554</v>
      </c>
      <c r="RX17" s="4"/>
      <c r="RY17" s="5"/>
      <c r="RZ17" s="4"/>
      <c r="SA17" s="39">
        <v>4525635</v>
      </c>
      <c r="SB17" s="39">
        <v>203256</v>
      </c>
      <c r="SC17" s="50">
        <v>0.95508784955039461</v>
      </c>
      <c r="SE17" s="5"/>
      <c r="SG17" s="124">
        <v>779</v>
      </c>
      <c r="SH17" s="124">
        <v>355.86629526462394</v>
      </c>
      <c r="SI17" s="131">
        <v>0.45682451253481893</v>
      </c>
      <c r="SJ17">
        <v>0</v>
      </c>
      <c r="SK17" s="131">
        <v>0</v>
      </c>
      <c r="SL17" s="124">
        <v>0</v>
      </c>
      <c r="SM17" s="131">
        <v>0</v>
      </c>
      <c r="SN17" s="142">
        <v>0</v>
      </c>
      <c r="SO17" s="142">
        <v>0</v>
      </c>
      <c r="SP17" s="142">
        <v>0</v>
      </c>
      <c r="SQ17" s="142">
        <v>0</v>
      </c>
      <c r="SR17" s="124">
        <v>0</v>
      </c>
      <c r="SS17" s="124">
        <v>61</v>
      </c>
      <c r="ST17" s="124">
        <v>178</v>
      </c>
      <c r="SU17" s="124">
        <v>123</v>
      </c>
      <c r="SV17" s="124">
        <v>182</v>
      </c>
      <c r="SW17" s="124">
        <v>235</v>
      </c>
      <c r="SX17" s="124">
        <v>489</v>
      </c>
      <c r="SY17" s="131">
        <v>0.251</v>
      </c>
      <c r="SZ17" s="134">
        <v>195.529</v>
      </c>
      <c r="TA17" s="131">
        <v>0.187</v>
      </c>
      <c r="TB17" s="134">
        <v>145.673</v>
      </c>
      <c r="TC17" s="293">
        <v>0</v>
      </c>
      <c r="TD17" s="168">
        <v>46.739999999999995</v>
      </c>
      <c r="TF17" s="5"/>
      <c r="TH17" s="168">
        <v>145.673</v>
      </c>
      <c r="TI17" s="168">
        <v>195.529</v>
      </c>
      <c r="TJ17" s="205">
        <v>195.529</v>
      </c>
      <c r="TK17" s="144"/>
      <c r="TL17" s="293"/>
      <c r="TM17" s="293">
        <v>0</v>
      </c>
      <c r="TN17" s="169">
        <v>46.739999999999995</v>
      </c>
      <c r="TO17" s="205">
        <v>46.739999999999995</v>
      </c>
      <c r="TP17" s="5"/>
      <c r="TR17" s="293" t="s">
        <v>91</v>
      </c>
      <c r="TT17" s="5"/>
      <c r="TV17" s="199">
        <v>0</v>
      </c>
      <c r="TW17" s="200">
        <v>0</v>
      </c>
      <c r="TX17" s="200">
        <v>4322379</v>
      </c>
      <c r="TY17" s="200" t="s">
        <v>91</v>
      </c>
      <c r="TZ17" s="200">
        <v>4206600</v>
      </c>
      <c r="UA17" s="204">
        <v>384335.59888579388</v>
      </c>
      <c r="UB17" s="204">
        <v>0</v>
      </c>
      <c r="UC17" s="200">
        <v>0</v>
      </c>
      <c r="UD17" s="200">
        <v>0</v>
      </c>
      <c r="UE17" s="200">
        <v>0</v>
      </c>
      <c r="UF17" s="200">
        <v>0</v>
      </c>
      <c r="UG17" s="200">
        <v>0</v>
      </c>
      <c r="UH17" s="200">
        <v>0</v>
      </c>
      <c r="UI17" s="200">
        <v>0</v>
      </c>
      <c r="UJ17" s="200">
        <v>0</v>
      </c>
      <c r="UK17" s="200">
        <v>0</v>
      </c>
      <c r="UL17" s="200">
        <v>0</v>
      </c>
      <c r="UM17" s="200">
        <v>0</v>
      </c>
      <c r="UN17" s="200">
        <v>4590935.5988857942</v>
      </c>
      <c r="UO17" s="200"/>
      <c r="UP17" s="182"/>
      <c r="UQ17" s="200"/>
      <c r="UR17" s="199">
        <v>4590935.5988857942</v>
      </c>
      <c r="US17" s="199">
        <v>5893.370473537605</v>
      </c>
      <c r="UT17" s="199">
        <v>4322379</v>
      </c>
      <c r="UU17" s="199">
        <v>5548.6251604621311</v>
      </c>
      <c r="UV17" s="199">
        <v>268556.59888579417</v>
      </c>
      <c r="UW17" s="199">
        <v>344.74531307547386</v>
      </c>
      <c r="UX17" s="131">
        <v>6.2131663809627549E-2</v>
      </c>
      <c r="UY17" s="199"/>
      <c r="UZ17" s="221"/>
      <c r="VA17" s="199"/>
      <c r="VB17" s="199">
        <v>436205</v>
      </c>
      <c r="VC17" s="200">
        <v>203256</v>
      </c>
      <c r="VD17" s="199">
        <v>93554</v>
      </c>
      <c r="VE17" s="199">
        <v>751311</v>
      </c>
      <c r="VG17" s="5"/>
      <c r="VI17" s="354">
        <v>5323950.5988857942</v>
      </c>
      <c r="VJ17" s="355">
        <v>6834.3396648084645</v>
      </c>
      <c r="VK17" s="354">
        <v>5055394</v>
      </c>
      <c r="VL17" s="355">
        <v>6489.5943517329906</v>
      </c>
      <c r="VM17" s="131">
        <v>5.3122783087884776E-2</v>
      </c>
      <c r="VN17" s="131"/>
      <c r="VO17" s="354"/>
      <c r="VP17" s="200"/>
      <c r="VQ17" s="200"/>
      <c r="VR17" s="200"/>
      <c r="VS17" s="199"/>
    </row>
    <row r="18" spans="1:591">
      <c r="A18" s="3">
        <v>139</v>
      </c>
      <c r="B18" s="2" t="s">
        <v>136</v>
      </c>
      <c r="C18" s="24">
        <v>0</v>
      </c>
      <c r="D18" s="24">
        <v>0</v>
      </c>
      <c r="E18" s="24">
        <v>0</v>
      </c>
      <c r="F18" s="24">
        <v>0</v>
      </c>
      <c r="G18" s="24">
        <v>4566636</v>
      </c>
      <c r="H18" s="24">
        <v>0</v>
      </c>
      <c r="I18" s="24">
        <v>192</v>
      </c>
      <c r="J18" s="24">
        <v>1253</v>
      </c>
      <c r="K18" s="24">
        <v>0</v>
      </c>
      <c r="L18" s="24">
        <v>0</v>
      </c>
      <c r="M18" s="24">
        <v>0</v>
      </c>
      <c r="N18" s="24">
        <v>0</v>
      </c>
      <c r="O18" s="24">
        <v>0</v>
      </c>
      <c r="P18" s="24">
        <v>0</v>
      </c>
      <c r="Q18" s="24">
        <v>0</v>
      </c>
      <c r="R18" s="24">
        <v>0</v>
      </c>
      <c r="S18" s="24">
        <v>1015365</v>
      </c>
      <c r="T18" s="24">
        <v>0</v>
      </c>
      <c r="U18" s="24">
        <v>0</v>
      </c>
      <c r="V18" s="24">
        <v>5904243</v>
      </c>
      <c r="W18" s="24">
        <v>22829</v>
      </c>
      <c r="X18" s="24">
        <v>0</v>
      </c>
      <c r="Y18" s="24">
        <v>26201</v>
      </c>
      <c r="Z18" s="24">
        <v>5048</v>
      </c>
      <c r="AA18" s="24">
        <v>0</v>
      </c>
      <c r="AB18" s="24">
        <v>0</v>
      </c>
      <c r="AC18" s="24">
        <v>28141</v>
      </c>
      <c r="AD18" s="24">
        <v>0</v>
      </c>
      <c r="AE18" s="24">
        <v>0</v>
      </c>
      <c r="AF18" s="24">
        <v>0</v>
      </c>
      <c r="AG18" s="24">
        <v>0</v>
      </c>
      <c r="AH18" s="24">
        <v>0</v>
      </c>
      <c r="AI18" s="24">
        <v>0</v>
      </c>
      <c r="AJ18" s="24">
        <v>19170</v>
      </c>
      <c r="AK18" s="24">
        <v>0</v>
      </c>
      <c r="AL18" s="24">
        <v>0</v>
      </c>
      <c r="AM18" s="24">
        <v>0</v>
      </c>
      <c r="AN18" s="24">
        <v>0</v>
      </c>
      <c r="AO18" s="24">
        <v>0</v>
      </c>
      <c r="AP18" s="24">
        <v>0</v>
      </c>
      <c r="AQ18" s="24">
        <v>0</v>
      </c>
      <c r="AR18" s="24">
        <v>0</v>
      </c>
      <c r="AS18" s="24">
        <v>0</v>
      </c>
      <c r="AT18" s="24">
        <v>0</v>
      </c>
      <c r="AU18" s="24">
        <v>0</v>
      </c>
      <c r="AV18" s="24">
        <v>0</v>
      </c>
      <c r="AW18" s="24">
        <v>0</v>
      </c>
      <c r="AX18" s="24">
        <v>0</v>
      </c>
      <c r="AY18" s="24">
        <v>0</v>
      </c>
      <c r="AZ18" s="24">
        <v>0</v>
      </c>
      <c r="BA18" s="24">
        <v>0</v>
      </c>
      <c r="BB18" s="24">
        <v>3983</v>
      </c>
      <c r="BC18" s="24">
        <v>109396</v>
      </c>
      <c r="BD18" s="24">
        <v>638</v>
      </c>
      <c r="BE18" s="24">
        <v>0</v>
      </c>
      <c r="BF18" s="24">
        <v>0</v>
      </c>
      <c r="BG18" s="24">
        <v>0</v>
      </c>
      <c r="BH18" s="24">
        <v>0</v>
      </c>
      <c r="BI18" s="24">
        <v>0</v>
      </c>
      <c r="BJ18" s="24">
        <v>0</v>
      </c>
      <c r="BK18" s="24">
        <v>0</v>
      </c>
      <c r="BL18" s="24">
        <v>0</v>
      </c>
      <c r="BM18" s="24">
        <v>0</v>
      </c>
      <c r="BN18" s="24">
        <v>0</v>
      </c>
      <c r="BO18" s="24">
        <v>0</v>
      </c>
      <c r="BP18" s="24">
        <v>0</v>
      </c>
      <c r="BQ18" s="24">
        <v>0</v>
      </c>
      <c r="BR18" s="24">
        <v>0</v>
      </c>
      <c r="BS18" s="24">
        <v>0</v>
      </c>
      <c r="BT18" s="24">
        <v>0</v>
      </c>
      <c r="BU18" s="24">
        <v>0</v>
      </c>
      <c r="BV18" s="24">
        <v>499790</v>
      </c>
      <c r="BW18" s="24">
        <v>35628</v>
      </c>
      <c r="BX18" s="24">
        <v>0</v>
      </c>
      <c r="BY18" s="24">
        <v>0</v>
      </c>
      <c r="BZ18" s="24">
        <v>113865</v>
      </c>
      <c r="CA18" s="24">
        <v>0</v>
      </c>
      <c r="CB18" s="24">
        <v>0</v>
      </c>
      <c r="CC18" s="24">
        <v>0</v>
      </c>
      <c r="CD18" s="24">
        <v>0</v>
      </c>
      <c r="CE18" s="24">
        <v>0</v>
      </c>
      <c r="CF18" s="24">
        <v>0</v>
      </c>
      <c r="CG18" s="24">
        <v>0</v>
      </c>
      <c r="CH18" s="24">
        <v>0</v>
      </c>
      <c r="CI18" s="24">
        <v>0</v>
      </c>
      <c r="CJ18" s="24">
        <v>0</v>
      </c>
      <c r="CK18" s="24">
        <v>0</v>
      </c>
      <c r="CL18" s="24">
        <v>0</v>
      </c>
      <c r="CM18" s="24">
        <v>0</v>
      </c>
      <c r="CN18" s="24">
        <v>0</v>
      </c>
      <c r="CO18" s="24">
        <v>0</v>
      </c>
      <c r="CP18" s="24">
        <v>0</v>
      </c>
      <c r="CQ18" s="24">
        <v>0</v>
      </c>
      <c r="CR18" s="24">
        <v>0</v>
      </c>
      <c r="CS18" s="24">
        <v>0</v>
      </c>
      <c r="CT18" s="24">
        <v>0</v>
      </c>
      <c r="CU18" s="24">
        <v>0</v>
      </c>
      <c r="CV18" s="24">
        <v>0</v>
      </c>
      <c r="CW18" s="24">
        <v>0</v>
      </c>
      <c r="CX18" s="24">
        <v>0</v>
      </c>
      <c r="CY18" s="24">
        <v>0</v>
      </c>
      <c r="CZ18" s="24">
        <v>0</v>
      </c>
      <c r="DA18" s="24">
        <v>0</v>
      </c>
      <c r="DB18" s="24">
        <v>0</v>
      </c>
      <c r="DC18" s="24">
        <v>0</v>
      </c>
      <c r="DD18" s="24">
        <v>0</v>
      </c>
      <c r="DE18" s="24">
        <v>0</v>
      </c>
      <c r="DF18" s="24">
        <v>0</v>
      </c>
      <c r="DG18" s="24">
        <v>0</v>
      </c>
      <c r="DH18" s="24">
        <v>0</v>
      </c>
      <c r="DI18" s="24">
        <v>0</v>
      </c>
      <c r="DJ18" s="24">
        <v>0</v>
      </c>
      <c r="DK18" s="24">
        <v>0</v>
      </c>
      <c r="DL18" s="24">
        <v>5124</v>
      </c>
      <c r="DM18" s="24">
        <v>0</v>
      </c>
      <c r="DN18" s="24">
        <v>0</v>
      </c>
      <c r="DO18" s="24">
        <v>0</v>
      </c>
      <c r="DP18" s="24">
        <v>0</v>
      </c>
      <c r="DQ18" s="24">
        <v>0</v>
      </c>
      <c r="DR18" s="24">
        <v>0</v>
      </c>
      <c r="DS18" s="24">
        <v>0</v>
      </c>
      <c r="DT18" s="24">
        <v>0</v>
      </c>
      <c r="DU18" s="24">
        <v>0</v>
      </c>
      <c r="DV18" s="24">
        <v>0</v>
      </c>
      <c r="DW18" s="24">
        <v>0</v>
      </c>
      <c r="DX18" s="24">
        <v>0</v>
      </c>
      <c r="DY18" s="24">
        <v>0</v>
      </c>
      <c r="DZ18" s="24">
        <v>0</v>
      </c>
      <c r="EA18" s="24">
        <v>0</v>
      </c>
      <c r="EB18" s="24">
        <v>0</v>
      </c>
      <c r="EC18" s="24">
        <v>0</v>
      </c>
      <c r="ED18" s="24">
        <v>0</v>
      </c>
      <c r="EE18" s="24">
        <v>0</v>
      </c>
      <c r="EF18" s="24">
        <v>0</v>
      </c>
      <c r="EG18" s="24">
        <v>0</v>
      </c>
      <c r="EH18" s="24">
        <v>0</v>
      </c>
      <c r="EI18" s="24">
        <v>0</v>
      </c>
      <c r="EJ18" s="24">
        <v>0</v>
      </c>
      <c r="EK18" s="24">
        <v>0</v>
      </c>
      <c r="EL18" s="24">
        <v>0</v>
      </c>
      <c r="EM18" s="24">
        <v>0</v>
      </c>
      <c r="EN18" s="24">
        <v>0</v>
      </c>
      <c r="EO18" s="24">
        <v>0</v>
      </c>
      <c r="EP18" s="24">
        <v>0</v>
      </c>
      <c r="EQ18" s="24">
        <v>0</v>
      </c>
      <c r="ER18" s="24">
        <v>0</v>
      </c>
      <c r="ES18" s="24">
        <v>0</v>
      </c>
      <c r="ET18" s="24">
        <v>0</v>
      </c>
      <c r="EU18" s="24">
        <v>0</v>
      </c>
      <c r="EV18" s="24">
        <v>0</v>
      </c>
      <c r="EW18" s="24">
        <v>0</v>
      </c>
      <c r="EX18" s="24">
        <v>0</v>
      </c>
      <c r="EY18" s="24">
        <v>0</v>
      </c>
      <c r="EZ18" s="24">
        <v>0</v>
      </c>
      <c r="FA18" s="24">
        <v>0</v>
      </c>
      <c r="FB18" s="24">
        <v>0</v>
      </c>
      <c r="FC18" s="24">
        <v>0</v>
      </c>
      <c r="FD18" s="24">
        <v>0</v>
      </c>
      <c r="FE18" s="24">
        <v>0</v>
      </c>
      <c r="FF18" s="24">
        <v>0</v>
      </c>
      <c r="FG18" s="24">
        <v>0</v>
      </c>
      <c r="FH18" s="24">
        <v>0</v>
      </c>
      <c r="FI18" s="24">
        <v>0</v>
      </c>
      <c r="FJ18" s="24">
        <v>0</v>
      </c>
      <c r="FK18" s="24">
        <v>174327</v>
      </c>
      <c r="FL18" s="24">
        <v>0</v>
      </c>
      <c r="FM18" s="24">
        <v>0</v>
      </c>
      <c r="FN18" s="24">
        <v>0</v>
      </c>
      <c r="FO18" s="24">
        <v>0</v>
      </c>
      <c r="FP18" s="24">
        <v>0</v>
      </c>
      <c r="FQ18" s="24">
        <v>0</v>
      </c>
      <c r="FR18" s="24">
        <v>0</v>
      </c>
      <c r="FS18" s="24">
        <v>0</v>
      </c>
      <c r="FT18" s="24">
        <v>0</v>
      </c>
      <c r="FU18" s="24">
        <v>0</v>
      </c>
      <c r="FV18" s="24">
        <v>0</v>
      </c>
      <c r="FW18" s="24">
        <v>0</v>
      </c>
      <c r="FX18" s="24">
        <v>0</v>
      </c>
      <c r="FY18" s="24">
        <v>0</v>
      </c>
      <c r="FZ18" s="24">
        <v>67527</v>
      </c>
      <c r="GA18" s="24">
        <v>0</v>
      </c>
      <c r="GB18" s="24">
        <v>0</v>
      </c>
      <c r="GC18" s="24">
        <v>0</v>
      </c>
      <c r="GD18" s="24">
        <v>0</v>
      </c>
      <c r="GE18" s="24">
        <v>16756</v>
      </c>
      <c r="GF18" s="24">
        <v>0</v>
      </c>
      <c r="GG18" s="24">
        <v>0</v>
      </c>
      <c r="GH18" s="24">
        <v>0</v>
      </c>
      <c r="GI18" s="24">
        <v>0</v>
      </c>
      <c r="GJ18" s="24">
        <v>10012</v>
      </c>
      <c r="GK18" s="24">
        <v>0</v>
      </c>
      <c r="GL18" s="24">
        <v>0</v>
      </c>
      <c r="GM18" s="24">
        <v>0</v>
      </c>
      <c r="GN18" s="24">
        <v>178095</v>
      </c>
      <c r="GO18" s="24">
        <v>0</v>
      </c>
      <c r="GP18" s="24">
        <v>0</v>
      </c>
      <c r="GQ18" s="24">
        <v>0</v>
      </c>
      <c r="GR18" s="24">
        <v>0</v>
      </c>
      <c r="GS18" s="24">
        <v>0</v>
      </c>
      <c r="GT18" s="24">
        <v>0</v>
      </c>
      <c r="GU18" s="24">
        <v>0</v>
      </c>
      <c r="GV18" s="24">
        <v>0</v>
      </c>
      <c r="GW18" s="24">
        <v>0</v>
      </c>
      <c r="GX18" s="24">
        <v>0</v>
      </c>
      <c r="GY18" s="24">
        <v>28289135</v>
      </c>
      <c r="GZ18" s="24">
        <v>0</v>
      </c>
      <c r="HA18" s="24">
        <v>0</v>
      </c>
      <c r="HB18" s="24">
        <v>0</v>
      </c>
      <c r="HC18" s="24">
        <v>0</v>
      </c>
      <c r="HD18" s="24">
        <v>2513425</v>
      </c>
      <c r="HE18" s="24">
        <v>0</v>
      </c>
      <c r="HF18" s="24">
        <v>0</v>
      </c>
      <c r="HG18" s="24">
        <v>0</v>
      </c>
      <c r="HH18" s="24">
        <v>0</v>
      </c>
      <c r="HI18" s="24">
        <v>83932</v>
      </c>
      <c r="HJ18" s="24">
        <v>3771879</v>
      </c>
      <c r="HK18" s="24">
        <v>1253326</v>
      </c>
      <c r="HL18" s="24">
        <v>0</v>
      </c>
      <c r="HM18" s="24">
        <v>0</v>
      </c>
      <c r="HN18" s="24">
        <v>0</v>
      </c>
      <c r="HO18" s="24">
        <v>0</v>
      </c>
      <c r="HP18" s="24">
        <v>0</v>
      </c>
      <c r="HQ18" s="24">
        <v>0</v>
      </c>
      <c r="HR18" s="24">
        <v>0</v>
      </c>
      <c r="HS18" s="24">
        <v>0</v>
      </c>
      <c r="HT18" s="24">
        <v>0</v>
      </c>
      <c r="HU18" s="24">
        <v>0</v>
      </c>
      <c r="HV18" s="24">
        <v>607680</v>
      </c>
      <c r="HW18" s="24">
        <v>50527</v>
      </c>
      <c r="HX18" s="24">
        <v>0</v>
      </c>
      <c r="HY18" s="24">
        <v>0</v>
      </c>
      <c r="HZ18" s="24">
        <v>0</v>
      </c>
      <c r="IA18" s="24">
        <v>0</v>
      </c>
      <c r="IB18" s="24">
        <v>0</v>
      </c>
      <c r="IC18" s="24">
        <v>0</v>
      </c>
      <c r="ID18" s="24">
        <v>0</v>
      </c>
      <c r="IE18" s="24">
        <v>0</v>
      </c>
      <c r="IF18" s="24">
        <v>0</v>
      </c>
      <c r="IG18" s="24">
        <v>0</v>
      </c>
      <c r="IH18" s="24">
        <v>0</v>
      </c>
      <c r="II18" s="24">
        <v>0</v>
      </c>
      <c r="IJ18" s="24">
        <v>56513</v>
      </c>
      <c r="IK18" s="24">
        <v>0</v>
      </c>
      <c r="IL18" s="24">
        <v>0</v>
      </c>
      <c r="IM18" s="24">
        <v>0</v>
      </c>
      <c r="IN18" s="24">
        <v>107472</v>
      </c>
      <c r="IO18" s="24">
        <v>0</v>
      </c>
      <c r="IP18" s="24">
        <v>0</v>
      </c>
      <c r="IQ18" s="24">
        <v>0</v>
      </c>
      <c r="IR18" s="24">
        <v>0</v>
      </c>
      <c r="IS18" s="24">
        <v>0</v>
      </c>
      <c r="IT18" s="24">
        <v>0</v>
      </c>
      <c r="IU18" s="24">
        <v>0</v>
      </c>
      <c r="IV18" s="24">
        <v>0</v>
      </c>
      <c r="IW18" s="24">
        <v>0</v>
      </c>
      <c r="IX18" s="24">
        <v>0</v>
      </c>
      <c r="IY18" s="24">
        <v>413070</v>
      </c>
      <c r="IZ18" s="24">
        <v>0</v>
      </c>
      <c r="JA18" s="24">
        <v>0</v>
      </c>
      <c r="JB18" s="24">
        <v>249333</v>
      </c>
      <c r="JC18" s="24">
        <v>29566</v>
      </c>
      <c r="JD18" s="24">
        <v>6586</v>
      </c>
      <c r="JE18" s="24">
        <v>548104</v>
      </c>
      <c r="JF18" s="24">
        <v>0</v>
      </c>
      <c r="JG18" s="24">
        <v>0</v>
      </c>
      <c r="JH18" s="24">
        <v>0</v>
      </c>
      <c r="JI18" s="24">
        <v>0</v>
      </c>
      <c r="JJ18" s="24">
        <v>0</v>
      </c>
      <c r="JK18" s="24">
        <v>0</v>
      </c>
      <c r="JL18" s="24">
        <v>0</v>
      </c>
      <c r="JM18" s="24">
        <v>0</v>
      </c>
      <c r="JN18" s="24">
        <v>0</v>
      </c>
      <c r="JO18" s="24">
        <v>0</v>
      </c>
      <c r="JP18" s="24">
        <v>0</v>
      </c>
      <c r="JQ18" s="24">
        <v>0</v>
      </c>
      <c r="JR18" s="24">
        <v>0</v>
      </c>
      <c r="JS18" s="24">
        <v>0</v>
      </c>
      <c r="JT18" s="24">
        <v>0</v>
      </c>
      <c r="JU18" s="24">
        <v>0</v>
      </c>
      <c r="JV18" s="24">
        <v>0</v>
      </c>
      <c r="JW18" s="24">
        <v>0</v>
      </c>
      <c r="JX18" s="24">
        <v>0</v>
      </c>
      <c r="JY18" s="24">
        <v>0</v>
      </c>
      <c r="JZ18" s="24">
        <v>0</v>
      </c>
      <c r="KA18" s="24">
        <v>1175</v>
      </c>
      <c r="KB18" s="24">
        <v>0</v>
      </c>
      <c r="KC18" s="24">
        <v>0</v>
      </c>
      <c r="KD18" s="24">
        <v>0</v>
      </c>
      <c r="KE18" s="24">
        <v>0</v>
      </c>
      <c r="KF18" s="24">
        <v>0</v>
      </c>
      <c r="KG18" s="24">
        <v>0</v>
      </c>
      <c r="KH18" s="24">
        <v>0</v>
      </c>
      <c r="KI18" s="24">
        <v>0</v>
      </c>
      <c r="KJ18" s="24">
        <v>0</v>
      </c>
      <c r="KK18" s="24">
        <v>0</v>
      </c>
      <c r="KL18" s="24">
        <v>0</v>
      </c>
      <c r="KM18" s="24">
        <v>0</v>
      </c>
      <c r="KN18" s="24">
        <v>0</v>
      </c>
      <c r="KO18" s="24">
        <v>0</v>
      </c>
      <c r="KP18" s="24">
        <v>0</v>
      </c>
      <c r="KQ18" s="24">
        <v>0</v>
      </c>
      <c r="KR18" s="24">
        <v>0</v>
      </c>
      <c r="KS18" s="24">
        <v>0</v>
      </c>
      <c r="KT18" s="24">
        <v>0</v>
      </c>
      <c r="KU18" s="24">
        <v>0</v>
      </c>
      <c r="KV18" s="24">
        <v>0</v>
      </c>
      <c r="KW18" s="24">
        <v>0</v>
      </c>
      <c r="KX18" s="24">
        <v>0</v>
      </c>
      <c r="KY18" s="24">
        <v>0</v>
      </c>
      <c r="KZ18" s="24">
        <v>0</v>
      </c>
      <c r="LA18" s="24">
        <v>94534</v>
      </c>
      <c r="LB18" s="24">
        <v>0</v>
      </c>
      <c r="LC18" s="24">
        <v>0</v>
      </c>
      <c r="LD18" s="24">
        <v>0</v>
      </c>
      <c r="LE18" s="24">
        <v>0</v>
      </c>
      <c r="LF18" s="24">
        <v>0</v>
      </c>
      <c r="LG18" s="24">
        <v>0</v>
      </c>
      <c r="LH18" s="24">
        <v>0</v>
      </c>
      <c r="LI18" s="24">
        <v>0</v>
      </c>
      <c r="LJ18" s="24">
        <v>0</v>
      </c>
      <c r="LK18" s="24">
        <v>0</v>
      </c>
      <c r="LL18" s="24">
        <v>0</v>
      </c>
      <c r="LM18" s="24">
        <v>0</v>
      </c>
      <c r="LN18" s="24">
        <v>0</v>
      </c>
      <c r="LO18" s="24">
        <v>0</v>
      </c>
      <c r="LP18" s="24">
        <v>1460345</v>
      </c>
      <c r="LQ18" s="24">
        <v>407739</v>
      </c>
      <c r="LR18" s="24">
        <v>0</v>
      </c>
      <c r="LS18" s="24">
        <v>0</v>
      </c>
      <c r="LT18" s="24">
        <v>0</v>
      </c>
      <c r="LU18" s="24">
        <v>0</v>
      </c>
      <c r="LV18" s="24">
        <v>0</v>
      </c>
      <c r="LW18" s="24">
        <v>0</v>
      </c>
      <c r="LX18" s="24">
        <v>0</v>
      </c>
      <c r="LY18" s="24">
        <v>0</v>
      </c>
      <c r="LZ18" s="24">
        <v>0</v>
      </c>
      <c r="MA18" s="24">
        <v>0</v>
      </c>
      <c r="MB18" s="24">
        <v>0</v>
      </c>
      <c r="MC18" s="24">
        <v>0</v>
      </c>
      <c r="MD18" s="24">
        <v>0</v>
      </c>
      <c r="ME18" s="24">
        <v>0</v>
      </c>
      <c r="MF18" s="24">
        <v>0</v>
      </c>
      <c r="MG18" s="24">
        <v>0</v>
      </c>
      <c r="MH18" s="24">
        <v>0</v>
      </c>
      <c r="MI18" s="24">
        <v>0</v>
      </c>
      <c r="MJ18" s="24">
        <v>95565</v>
      </c>
      <c r="MK18" s="24">
        <v>0</v>
      </c>
      <c r="ML18" s="24">
        <v>0</v>
      </c>
      <c r="MM18" s="24">
        <v>0</v>
      </c>
      <c r="MN18" s="24">
        <v>0</v>
      </c>
      <c r="MO18" s="24">
        <v>0</v>
      </c>
      <c r="MP18" s="24">
        <v>0</v>
      </c>
      <c r="MQ18" s="24">
        <v>2943116</v>
      </c>
      <c r="MR18" s="24">
        <v>0</v>
      </c>
      <c r="MS18" s="24">
        <v>0</v>
      </c>
      <c r="MT18" s="24">
        <v>1362219</v>
      </c>
      <c r="MU18" s="24">
        <v>51905</v>
      </c>
      <c r="MV18" s="24">
        <v>0</v>
      </c>
      <c r="MW18" s="24">
        <v>0</v>
      </c>
      <c r="MX18" s="24">
        <v>0</v>
      </c>
      <c r="MY18" s="24">
        <v>0</v>
      </c>
      <c r="MZ18" s="24">
        <v>0</v>
      </c>
      <c r="NA18" s="24">
        <v>0</v>
      </c>
      <c r="NB18" s="24">
        <v>0</v>
      </c>
      <c r="NC18" s="24">
        <v>0</v>
      </c>
      <c r="ND18" s="24">
        <v>0</v>
      </c>
      <c r="NE18" s="24">
        <v>0</v>
      </c>
      <c r="NF18" s="24">
        <v>0</v>
      </c>
      <c r="NG18" s="24">
        <v>0</v>
      </c>
      <c r="NH18" s="24">
        <v>0</v>
      </c>
      <c r="NI18" s="24">
        <v>0</v>
      </c>
      <c r="NJ18" s="24">
        <v>0</v>
      </c>
      <c r="NK18" s="24">
        <v>0</v>
      </c>
      <c r="NL18" s="24">
        <v>0</v>
      </c>
      <c r="NM18" s="24">
        <v>0</v>
      </c>
      <c r="NN18" s="24">
        <v>0</v>
      </c>
      <c r="NO18" s="24">
        <v>0</v>
      </c>
      <c r="NP18" s="24">
        <v>0</v>
      </c>
      <c r="NQ18" s="24">
        <v>0</v>
      </c>
      <c r="NR18" s="24">
        <v>141794</v>
      </c>
      <c r="NS18" s="24">
        <v>0</v>
      </c>
      <c r="NT18" s="24">
        <v>141693</v>
      </c>
      <c r="NU18" s="24">
        <v>0</v>
      </c>
      <c r="NV18" s="24">
        <v>0</v>
      </c>
      <c r="NW18" s="24">
        <v>0</v>
      </c>
      <c r="NX18" s="24">
        <v>0</v>
      </c>
      <c r="NY18" s="24">
        <v>0</v>
      </c>
      <c r="NZ18" s="24">
        <v>0</v>
      </c>
      <c r="OA18" s="24">
        <v>0</v>
      </c>
      <c r="OB18" s="24">
        <v>0</v>
      </c>
      <c r="OC18" s="24">
        <v>0</v>
      </c>
      <c r="OD18" s="24">
        <v>0</v>
      </c>
      <c r="OE18" s="24">
        <v>0</v>
      </c>
      <c r="OF18" s="24">
        <v>199772</v>
      </c>
      <c r="OG18" s="24">
        <v>0</v>
      </c>
      <c r="OH18" s="24">
        <v>0</v>
      </c>
      <c r="OI18" s="24">
        <v>0</v>
      </c>
      <c r="OJ18" s="24">
        <v>0</v>
      </c>
      <c r="OK18" s="24">
        <v>0</v>
      </c>
      <c r="OL18" s="24">
        <v>4647474</v>
      </c>
      <c r="OM18" s="24">
        <v>0</v>
      </c>
      <c r="ON18" s="24">
        <v>0</v>
      </c>
      <c r="OO18" s="24">
        <v>0</v>
      </c>
      <c r="OP18" s="24">
        <v>0</v>
      </c>
      <c r="OQ18" s="24">
        <v>0</v>
      </c>
      <c r="OR18" s="24">
        <v>0</v>
      </c>
      <c r="OS18" s="24">
        <v>0</v>
      </c>
      <c r="OT18" s="24">
        <v>0</v>
      </c>
      <c r="OU18" s="24">
        <v>0</v>
      </c>
      <c r="OV18" s="24">
        <v>0</v>
      </c>
      <c r="OW18" s="24">
        <v>0</v>
      </c>
      <c r="OX18" s="24">
        <v>0</v>
      </c>
      <c r="OY18" s="24">
        <v>0</v>
      </c>
      <c r="OZ18" s="24">
        <v>0</v>
      </c>
      <c r="PA18" s="24">
        <v>0</v>
      </c>
      <c r="PB18" s="24">
        <v>0</v>
      </c>
      <c r="PC18" s="24">
        <v>0</v>
      </c>
      <c r="PD18" s="24">
        <v>0</v>
      </c>
      <c r="PE18" s="24">
        <v>0</v>
      </c>
      <c r="PF18" s="24">
        <v>0</v>
      </c>
      <c r="PG18" s="24">
        <v>0</v>
      </c>
      <c r="PH18" s="24">
        <v>0</v>
      </c>
      <c r="PI18" s="24">
        <v>0</v>
      </c>
      <c r="PJ18" s="24">
        <v>0</v>
      </c>
      <c r="PK18" s="24">
        <v>0</v>
      </c>
      <c r="PL18" s="24">
        <v>0</v>
      </c>
      <c r="PM18" s="24">
        <v>0</v>
      </c>
      <c r="PN18" s="24">
        <v>0</v>
      </c>
      <c r="PO18" s="24">
        <v>0</v>
      </c>
      <c r="PP18" s="24">
        <v>0</v>
      </c>
      <c r="PQ18" s="24">
        <v>0</v>
      </c>
      <c r="PR18" s="24">
        <v>0</v>
      </c>
      <c r="PS18" s="24">
        <v>0</v>
      </c>
      <c r="PT18" s="24">
        <v>0</v>
      </c>
      <c r="PU18" s="24">
        <v>0</v>
      </c>
      <c r="PV18" s="24">
        <v>0</v>
      </c>
      <c r="PW18" s="24">
        <v>0</v>
      </c>
      <c r="PX18" s="24">
        <v>0</v>
      </c>
      <c r="PY18" s="24">
        <v>0</v>
      </c>
      <c r="PZ18" s="24">
        <v>0</v>
      </c>
      <c r="QA18" s="24">
        <v>0</v>
      </c>
      <c r="QB18" s="24">
        <v>0</v>
      </c>
      <c r="QC18" s="24">
        <v>0</v>
      </c>
      <c r="QD18" s="24">
        <v>0</v>
      </c>
      <c r="QE18" s="24">
        <v>0</v>
      </c>
      <c r="QF18" s="24">
        <v>0</v>
      </c>
      <c r="QG18" s="24">
        <v>0</v>
      </c>
      <c r="QH18" s="24">
        <v>0</v>
      </c>
      <c r="QI18" s="24">
        <v>0</v>
      </c>
      <c r="QJ18" s="24">
        <v>0</v>
      </c>
      <c r="QK18" s="24">
        <v>0</v>
      </c>
      <c r="QL18" s="24">
        <v>0</v>
      </c>
      <c r="QM18" s="24">
        <v>0</v>
      </c>
      <c r="QN18" s="24">
        <v>0</v>
      </c>
      <c r="QO18" s="24">
        <v>0</v>
      </c>
      <c r="QP18" s="24">
        <v>0</v>
      </c>
      <c r="QQ18" s="24">
        <v>0</v>
      </c>
      <c r="QR18" s="24">
        <v>0</v>
      </c>
      <c r="QS18" s="4"/>
      <c r="QT18" s="5"/>
      <c r="QV18" s="4"/>
      <c r="QW18" s="39">
        <v>28289135</v>
      </c>
      <c r="QX18" s="39">
        <v>2513425</v>
      </c>
      <c r="QY18" s="39">
        <v>0</v>
      </c>
      <c r="QZ18" s="39">
        <v>0</v>
      </c>
      <c r="RA18" s="39">
        <v>83932</v>
      </c>
      <c r="RB18" s="39">
        <v>3771879</v>
      </c>
      <c r="RC18" s="39">
        <v>1911533</v>
      </c>
      <c r="RD18" s="39">
        <v>56513</v>
      </c>
      <c r="RE18" s="39">
        <v>107472</v>
      </c>
      <c r="RF18" s="39">
        <v>413070</v>
      </c>
      <c r="RG18" s="39">
        <v>285485</v>
      </c>
      <c r="RH18" s="39">
        <v>549279</v>
      </c>
      <c r="RI18" s="39"/>
      <c r="RJ18" s="182"/>
      <c r="RK18" s="39"/>
      <c r="RL18" s="39">
        <v>6898682</v>
      </c>
      <c r="RM18" s="39">
        <v>37981723</v>
      </c>
      <c r="RN18" s="39">
        <v>12804219</v>
      </c>
      <c r="RO18" s="39">
        <v>4647474</v>
      </c>
      <c r="RP18" s="39"/>
      <c r="RQ18" s="182"/>
      <c r="RR18" s="39"/>
      <c r="RS18" s="39">
        <v>1797109921</v>
      </c>
      <c r="RT18" s="39">
        <v>229004.1313794202</v>
      </c>
      <c r="RU18" s="187">
        <v>5.8199999999999994</v>
      </c>
      <c r="RV18" s="39">
        <v>6289884.7235000003</v>
      </c>
      <c r="RW18" s="39">
        <v>6514334.2764999997</v>
      </c>
      <c r="RX18" s="4"/>
      <c r="RY18" s="5"/>
      <c r="RZ18" s="4"/>
      <c r="SA18" s="39">
        <v>37981723</v>
      </c>
      <c r="SB18" s="39">
        <v>3352425</v>
      </c>
      <c r="SC18" s="50">
        <v>0.91173583673389436</v>
      </c>
      <c r="SE18" s="5"/>
      <c r="SG18" s="124">
        <v>7847.5</v>
      </c>
      <c r="SH18" s="124">
        <v>5209.72000266347</v>
      </c>
      <c r="SI18" s="131">
        <v>0.66387002263949924</v>
      </c>
      <c r="SJ18">
        <v>613</v>
      </c>
      <c r="SK18" s="131">
        <v>7.8114049060210258E-2</v>
      </c>
      <c r="SL18" s="124">
        <v>770</v>
      </c>
      <c r="SM18" s="131">
        <v>9.8120420516087922E-2</v>
      </c>
      <c r="SN18" s="142">
        <v>539</v>
      </c>
      <c r="SO18" s="142">
        <v>154</v>
      </c>
      <c r="SP18" s="142">
        <v>53.900000000000006</v>
      </c>
      <c r="SQ18" s="142">
        <v>23.099999999999998</v>
      </c>
      <c r="SR18" s="124">
        <v>71</v>
      </c>
      <c r="SS18" s="124">
        <v>322.5</v>
      </c>
      <c r="ST18" s="124">
        <v>2182</v>
      </c>
      <c r="SU18" s="124">
        <v>1938</v>
      </c>
      <c r="SV18" s="124">
        <v>1209</v>
      </c>
      <c r="SW18" s="124">
        <v>2196</v>
      </c>
      <c r="SX18" s="124">
        <v>4995</v>
      </c>
      <c r="SY18" s="131">
        <v>0.30199999999999999</v>
      </c>
      <c r="SZ18" s="134">
        <v>2369.9449999999997</v>
      </c>
      <c r="TA18" s="131">
        <v>0.22</v>
      </c>
      <c r="TB18" s="134">
        <v>1726.45</v>
      </c>
      <c r="TC18" s="293">
        <v>53</v>
      </c>
      <c r="TD18" s="168">
        <v>470.84999999999997</v>
      </c>
      <c r="TF18" s="5"/>
      <c r="TH18" s="168">
        <v>1726.45</v>
      </c>
      <c r="TI18" s="168">
        <v>2369.9449999999997</v>
      </c>
      <c r="TJ18" s="205">
        <v>2369.9449999999997</v>
      </c>
      <c r="TK18" s="144"/>
      <c r="TL18" s="293"/>
      <c r="TM18" s="293">
        <v>53</v>
      </c>
      <c r="TN18" s="169">
        <v>470.84999999999997</v>
      </c>
      <c r="TO18" s="205">
        <v>470.84999999999997</v>
      </c>
      <c r="TP18" s="5"/>
      <c r="TR18" s="293" t="s">
        <v>91</v>
      </c>
      <c r="TT18" s="5"/>
      <c r="TV18" s="199">
        <v>6289884.7235000003</v>
      </c>
      <c r="TW18" s="200">
        <v>0</v>
      </c>
      <c r="TX18" s="200">
        <v>34629298</v>
      </c>
      <c r="TY18" s="200" t="s">
        <v>91</v>
      </c>
      <c r="TZ18" s="200">
        <v>42376500</v>
      </c>
      <c r="UA18" s="204">
        <v>5626497.6028765477</v>
      </c>
      <c r="UB18" s="204">
        <v>331020</v>
      </c>
      <c r="UC18" s="200">
        <v>0</v>
      </c>
      <c r="UD18" s="200">
        <v>0</v>
      </c>
      <c r="UE18" s="200">
        <v>0</v>
      </c>
      <c r="UF18" s="200">
        <v>0</v>
      </c>
      <c r="UG18" s="200">
        <v>0</v>
      </c>
      <c r="UH18" s="200">
        <v>0</v>
      </c>
      <c r="UI18" s="200">
        <v>0</v>
      </c>
      <c r="UJ18" s="200">
        <v>0</v>
      </c>
      <c r="UK18" s="200">
        <v>0</v>
      </c>
      <c r="UL18" s="200">
        <v>0</v>
      </c>
      <c r="UM18" s="200">
        <v>0</v>
      </c>
      <c r="UN18" s="200">
        <v>48334017.602876544</v>
      </c>
      <c r="UO18" s="200"/>
      <c r="UP18" s="182"/>
      <c r="UQ18" s="200"/>
      <c r="UR18" s="199">
        <v>48334017.602876544</v>
      </c>
      <c r="US18" s="199">
        <v>6159.1612109431726</v>
      </c>
      <c r="UT18" s="199">
        <v>40919182.723499998</v>
      </c>
      <c r="UU18" s="199">
        <v>5214.2953454603376</v>
      </c>
      <c r="UV18" s="199">
        <v>7414834.8793765455</v>
      </c>
      <c r="UW18" s="199">
        <v>944.86586548283503</v>
      </c>
      <c r="UX18" s="131">
        <v>0.18120681758187188</v>
      </c>
      <c r="UY18" s="199"/>
      <c r="UZ18" s="221"/>
      <c r="VA18" s="199"/>
      <c r="VB18" s="199">
        <v>6898682</v>
      </c>
      <c r="VC18" s="200">
        <v>3352425</v>
      </c>
      <c r="VD18" s="199">
        <v>6514334.2764999997</v>
      </c>
      <c r="VE18" s="199">
        <v>4647474</v>
      </c>
      <c r="VG18" s="5"/>
      <c r="VI18" s="354">
        <v>65099458.879376546</v>
      </c>
      <c r="VJ18" s="355">
        <v>8295.5665982002611</v>
      </c>
      <c r="VK18" s="354">
        <v>57684624</v>
      </c>
      <c r="VL18" s="355">
        <v>7350.700732717426</v>
      </c>
      <c r="VM18" s="131">
        <v>0.12854092417030485</v>
      </c>
      <c r="VN18" s="131"/>
      <c r="VO18" s="354"/>
      <c r="VP18" s="200"/>
      <c r="VQ18" s="200"/>
      <c r="VR18" s="200"/>
      <c r="VS18" s="199"/>
    </row>
    <row r="19" spans="1:591">
      <c r="A19" s="26">
        <v>139.1</v>
      </c>
      <c r="B19" s="2" t="s">
        <v>137</v>
      </c>
      <c r="C19" s="24">
        <v>0</v>
      </c>
      <c r="D19" s="24">
        <v>0</v>
      </c>
      <c r="E19" s="24">
        <v>0</v>
      </c>
      <c r="F19" s="24">
        <v>0</v>
      </c>
      <c r="G19" s="24">
        <v>0</v>
      </c>
      <c r="H19" s="24">
        <v>0</v>
      </c>
      <c r="I19" s="24">
        <v>0</v>
      </c>
      <c r="J19" s="24">
        <v>0</v>
      </c>
      <c r="K19" s="24">
        <v>0</v>
      </c>
      <c r="L19" s="24">
        <v>0</v>
      </c>
      <c r="M19" s="24">
        <v>0</v>
      </c>
      <c r="N19" s="24">
        <v>0</v>
      </c>
      <c r="O19" s="24">
        <v>0</v>
      </c>
      <c r="P19" s="24">
        <v>0</v>
      </c>
      <c r="Q19" s="24">
        <v>0</v>
      </c>
      <c r="R19" s="24">
        <v>0</v>
      </c>
      <c r="S19" s="24">
        <v>0</v>
      </c>
      <c r="T19" s="24">
        <v>0</v>
      </c>
      <c r="U19" s="24">
        <v>0</v>
      </c>
      <c r="V19" s="24">
        <v>0</v>
      </c>
      <c r="W19" s="24">
        <v>0</v>
      </c>
      <c r="X19" s="24">
        <v>0</v>
      </c>
      <c r="Y19" s="24">
        <v>0</v>
      </c>
      <c r="Z19" s="24">
        <v>0</v>
      </c>
      <c r="AA19" s="24">
        <v>0</v>
      </c>
      <c r="AB19" s="24">
        <v>0</v>
      </c>
      <c r="AC19" s="24">
        <v>0</v>
      </c>
      <c r="AD19" s="24">
        <v>0</v>
      </c>
      <c r="AE19" s="24">
        <v>0</v>
      </c>
      <c r="AF19" s="24">
        <v>0</v>
      </c>
      <c r="AG19" s="24">
        <v>0</v>
      </c>
      <c r="AH19" s="24">
        <v>0</v>
      </c>
      <c r="AI19" s="24">
        <v>0</v>
      </c>
      <c r="AJ19" s="24">
        <v>1648</v>
      </c>
      <c r="AK19" s="24">
        <v>0</v>
      </c>
      <c r="AL19" s="24">
        <v>3</v>
      </c>
      <c r="AM19" s="24">
        <v>0</v>
      </c>
      <c r="AN19" s="24">
        <v>0</v>
      </c>
      <c r="AO19" s="24">
        <v>0</v>
      </c>
      <c r="AP19" s="24">
        <v>0</v>
      </c>
      <c r="AQ19" s="24">
        <v>0</v>
      </c>
      <c r="AR19" s="24">
        <v>0</v>
      </c>
      <c r="AS19" s="24">
        <v>0</v>
      </c>
      <c r="AT19" s="24">
        <v>0</v>
      </c>
      <c r="AU19" s="24">
        <v>0</v>
      </c>
      <c r="AV19" s="24">
        <v>0</v>
      </c>
      <c r="AW19" s="24">
        <v>0</v>
      </c>
      <c r="AX19" s="24">
        <v>0</v>
      </c>
      <c r="AY19" s="24">
        <v>0</v>
      </c>
      <c r="AZ19" s="24">
        <v>0</v>
      </c>
      <c r="BA19" s="24">
        <v>1</v>
      </c>
      <c r="BB19" s="24">
        <v>0</v>
      </c>
      <c r="BC19" s="24">
        <v>0</v>
      </c>
      <c r="BD19" s="24">
        <v>0</v>
      </c>
      <c r="BE19" s="24">
        <v>0</v>
      </c>
      <c r="BF19" s="24">
        <v>0</v>
      </c>
      <c r="BG19" s="24">
        <v>0</v>
      </c>
      <c r="BH19" s="24">
        <v>0</v>
      </c>
      <c r="BI19" s="24">
        <v>0</v>
      </c>
      <c r="BJ19" s="24">
        <v>0</v>
      </c>
      <c r="BK19" s="24">
        <v>6</v>
      </c>
      <c r="BL19" s="24">
        <v>0</v>
      </c>
      <c r="BM19" s="24">
        <v>0</v>
      </c>
      <c r="BN19" s="24">
        <v>0</v>
      </c>
      <c r="BO19" s="24">
        <v>0</v>
      </c>
      <c r="BP19" s="24">
        <v>0</v>
      </c>
      <c r="BQ19" s="24">
        <v>0</v>
      </c>
      <c r="BR19" s="24">
        <v>0</v>
      </c>
      <c r="BS19" s="24">
        <v>0</v>
      </c>
      <c r="BT19" s="24">
        <v>0</v>
      </c>
      <c r="BU19" s="24">
        <v>0</v>
      </c>
      <c r="BV19" s="24">
        <v>44325</v>
      </c>
      <c r="BW19" s="24">
        <v>1351</v>
      </c>
      <c r="BX19" s="24">
        <v>0</v>
      </c>
      <c r="BY19" s="24">
        <v>0</v>
      </c>
      <c r="BZ19" s="24">
        <v>5622</v>
      </c>
      <c r="CA19" s="24">
        <v>0</v>
      </c>
      <c r="CB19" s="24">
        <v>0</v>
      </c>
      <c r="CC19" s="24">
        <v>0</v>
      </c>
      <c r="CD19" s="24">
        <v>0</v>
      </c>
      <c r="CE19" s="24">
        <v>0</v>
      </c>
      <c r="CF19" s="24">
        <v>0</v>
      </c>
      <c r="CG19" s="24">
        <v>0</v>
      </c>
      <c r="CH19" s="24">
        <v>0</v>
      </c>
      <c r="CI19" s="24">
        <v>0</v>
      </c>
      <c r="CJ19" s="24">
        <v>0</v>
      </c>
      <c r="CK19" s="24">
        <v>0</v>
      </c>
      <c r="CL19" s="24">
        <v>0</v>
      </c>
      <c r="CM19" s="24">
        <v>0</v>
      </c>
      <c r="CN19" s="24">
        <v>0</v>
      </c>
      <c r="CO19" s="24">
        <v>0</v>
      </c>
      <c r="CP19" s="24">
        <v>0</v>
      </c>
      <c r="CQ19" s="24">
        <v>0</v>
      </c>
      <c r="CR19" s="24">
        <v>0</v>
      </c>
      <c r="CS19" s="24">
        <v>0</v>
      </c>
      <c r="CT19" s="24">
        <v>0</v>
      </c>
      <c r="CU19" s="24">
        <v>0</v>
      </c>
      <c r="CV19" s="24">
        <v>0</v>
      </c>
      <c r="CW19" s="24">
        <v>0</v>
      </c>
      <c r="CX19" s="24">
        <v>0</v>
      </c>
      <c r="CY19" s="24">
        <v>0</v>
      </c>
      <c r="CZ19" s="24">
        <v>0</v>
      </c>
      <c r="DA19" s="24">
        <v>0</v>
      </c>
      <c r="DB19" s="24">
        <v>0</v>
      </c>
      <c r="DC19" s="24">
        <v>0</v>
      </c>
      <c r="DD19" s="24">
        <v>0</v>
      </c>
      <c r="DE19" s="24">
        <v>0</v>
      </c>
      <c r="DF19" s="24">
        <v>0</v>
      </c>
      <c r="DG19" s="24">
        <v>0</v>
      </c>
      <c r="DH19" s="24">
        <v>0</v>
      </c>
      <c r="DI19" s="24">
        <v>0</v>
      </c>
      <c r="DJ19" s="24">
        <v>0</v>
      </c>
      <c r="DK19" s="24">
        <v>0</v>
      </c>
      <c r="DL19" s="24">
        <v>12000</v>
      </c>
      <c r="DM19" s="24">
        <v>0</v>
      </c>
      <c r="DN19" s="24">
        <v>0</v>
      </c>
      <c r="DO19" s="24">
        <v>0</v>
      </c>
      <c r="DP19" s="24">
        <v>0</v>
      </c>
      <c r="DQ19" s="24">
        <v>0</v>
      </c>
      <c r="DR19" s="24">
        <v>0</v>
      </c>
      <c r="DS19" s="24">
        <v>0</v>
      </c>
      <c r="DT19" s="24">
        <v>0</v>
      </c>
      <c r="DU19" s="24">
        <v>49</v>
      </c>
      <c r="DV19" s="24">
        <v>0</v>
      </c>
      <c r="DW19" s="24">
        <v>0</v>
      </c>
      <c r="DX19" s="24">
        <v>0</v>
      </c>
      <c r="DY19" s="24">
        <v>0</v>
      </c>
      <c r="DZ19" s="24">
        <v>0</v>
      </c>
      <c r="EA19" s="24">
        <v>0</v>
      </c>
      <c r="EB19" s="24">
        <v>0</v>
      </c>
      <c r="EC19" s="24">
        <v>0</v>
      </c>
      <c r="ED19" s="24">
        <v>0</v>
      </c>
      <c r="EE19" s="24">
        <v>0</v>
      </c>
      <c r="EF19" s="24">
        <v>0</v>
      </c>
      <c r="EG19" s="24">
        <v>0</v>
      </c>
      <c r="EH19" s="24">
        <v>0</v>
      </c>
      <c r="EI19" s="24">
        <v>0</v>
      </c>
      <c r="EJ19" s="24">
        <v>0</v>
      </c>
      <c r="EK19" s="24">
        <v>0</v>
      </c>
      <c r="EL19" s="24">
        <v>0</v>
      </c>
      <c r="EM19" s="24">
        <v>0</v>
      </c>
      <c r="EN19" s="24">
        <v>0</v>
      </c>
      <c r="EO19" s="24">
        <v>0</v>
      </c>
      <c r="EP19" s="24">
        <v>0</v>
      </c>
      <c r="EQ19" s="24">
        <v>0</v>
      </c>
      <c r="ER19" s="24">
        <v>0</v>
      </c>
      <c r="ES19" s="24">
        <v>0</v>
      </c>
      <c r="ET19" s="24">
        <v>0</v>
      </c>
      <c r="EU19" s="24">
        <v>0</v>
      </c>
      <c r="EV19" s="24">
        <v>0</v>
      </c>
      <c r="EW19" s="24">
        <v>0</v>
      </c>
      <c r="EX19" s="24">
        <v>0</v>
      </c>
      <c r="EY19" s="24">
        <v>0</v>
      </c>
      <c r="EZ19" s="24">
        <v>0</v>
      </c>
      <c r="FA19" s="24">
        <v>0</v>
      </c>
      <c r="FB19" s="24">
        <v>0</v>
      </c>
      <c r="FC19" s="24">
        <v>0</v>
      </c>
      <c r="FD19" s="24">
        <v>0</v>
      </c>
      <c r="FE19" s="24">
        <v>0</v>
      </c>
      <c r="FF19" s="24">
        <v>0</v>
      </c>
      <c r="FG19" s="24">
        <v>0</v>
      </c>
      <c r="FH19" s="24">
        <v>0</v>
      </c>
      <c r="FI19" s="24">
        <v>0</v>
      </c>
      <c r="FJ19" s="24">
        <v>0</v>
      </c>
      <c r="FK19" s="24">
        <v>2396</v>
      </c>
      <c r="FL19" s="24">
        <v>0</v>
      </c>
      <c r="FM19" s="24">
        <v>0</v>
      </c>
      <c r="FN19" s="24">
        <v>0</v>
      </c>
      <c r="FO19" s="24">
        <v>0</v>
      </c>
      <c r="FP19" s="24">
        <v>0</v>
      </c>
      <c r="FQ19" s="24">
        <v>0</v>
      </c>
      <c r="FR19" s="24">
        <v>0</v>
      </c>
      <c r="FS19" s="24">
        <v>0</v>
      </c>
      <c r="FT19" s="24">
        <v>0</v>
      </c>
      <c r="FU19" s="24">
        <v>0</v>
      </c>
      <c r="FV19" s="24">
        <v>0</v>
      </c>
      <c r="FW19" s="24">
        <v>0</v>
      </c>
      <c r="FX19" s="24">
        <v>0</v>
      </c>
      <c r="FY19" s="24">
        <v>0</v>
      </c>
      <c r="FZ19" s="24">
        <v>0</v>
      </c>
      <c r="GA19" s="24">
        <v>0</v>
      </c>
      <c r="GB19" s="24">
        <v>0</v>
      </c>
      <c r="GC19" s="24">
        <v>0</v>
      </c>
      <c r="GD19" s="24">
        <v>0</v>
      </c>
      <c r="GE19" s="24">
        <v>0</v>
      </c>
      <c r="GF19" s="24">
        <v>0</v>
      </c>
      <c r="GG19" s="24">
        <v>0</v>
      </c>
      <c r="GH19" s="24">
        <v>0</v>
      </c>
      <c r="GI19" s="24">
        <v>0</v>
      </c>
      <c r="GJ19" s="24">
        <v>0</v>
      </c>
      <c r="GK19" s="24">
        <v>0</v>
      </c>
      <c r="GL19" s="24">
        <v>0</v>
      </c>
      <c r="GM19" s="24">
        <v>0</v>
      </c>
      <c r="GN19" s="24">
        <v>0</v>
      </c>
      <c r="GO19" s="24">
        <v>0</v>
      </c>
      <c r="GP19" s="24">
        <v>0</v>
      </c>
      <c r="GQ19" s="24">
        <v>0</v>
      </c>
      <c r="GR19" s="24">
        <v>0</v>
      </c>
      <c r="GS19" s="24">
        <v>0</v>
      </c>
      <c r="GT19" s="24">
        <v>0</v>
      </c>
      <c r="GU19" s="24">
        <v>0</v>
      </c>
      <c r="GV19" s="24">
        <v>0</v>
      </c>
      <c r="GW19" s="24">
        <v>0</v>
      </c>
      <c r="GX19" s="24">
        <v>0</v>
      </c>
      <c r="GY19" s="24">
        <v>2051355</v>
      </c>
      <c r="GZ19" s="24">
        <v>0</v>
      </c>
      <c r="HA19" s="24">
        <v>0</v>
      </c>
      <c r="HB19" s="24">
        <v>0</v>
      </c>
      <c r="HC19" s="24">
        <v>0</v>
      </c>
      <c r="HD19" s="24">
        <v>146055</v>
      </c>
      <c r="HE19" s="24">
        <v>0</v>
      </c>
      <c r="HF19" s="24">
        <v>0</v>
      </c>
      <c r="HG19" s="24">
        <v>0</v>
      </c>
      <c r="HH19" s="24">
        <v>0</v>
      </c>
      <c r="HI19" s="24">
        <v>0</v>
      </c>
      <c r="HJ19" s="24">
        <v>275763</v>
      </c>
      <c r="HK19" s="24">
        <v>146232</v>
      </c>
      <c r="HL19" s="24">
        <v>0</v>
      </c>
      <c r="HM19" s="24">
        <v>0</v>
      </c>
      <c r="HN19" s="24">
        <v>0</v>
      </c>
      <c r="HO19" s="24">
        <v>0</v>
      </c>
      <c r="HP19" s="24">
        <v>0</v>
      </c>
      <c r="HQ19" s="24">
        <v>0</v>
      </c>
      <c r="HR19" s="24">
        <v>0</v>
      </c>
      <c r="HS19" s="24">
        <v>0</v>
      </c>
      <c r="HT19" s="24">
        <v>0</v>
      </c>
      <c r="HU19" s="24">
        <v>0</v>
      </c>
      <c r="HV19" s="24">
        <v>24908</v>
      </c>
      <c r="HW19" s="24">
        <v>0</v>
      </c>
      <c r="HX19" s="24">
        <v>0</v>
      </c>
      <c r="HY19" s="24">
        <v>0</v>
      </c>
      <c r="HZ19" s="24">
        <v>0</v>
      </c>
      <c r="IA19" s="24">
        <v>0</v>
      </c>
      <c r="IB19" s="24">
        <v>0</v>
      </c>
      <c r="IC19" s="24">
        <v>0</v>
      </c>
      <c r="ID19" s="24">
        <v>0</v>
      </c>
      <c r="IE19" s="24">
        <v>0</v>
      </c>
      <c r="IF19" s="24">
        <v>0</v>
      </c>
      <c r="IG19" s="24">
        <v>0</v>
      </c>
      <c r="IH19" s="24">
        <v>0</v>
      </c>
      <c r="II19" s="24">
        <v>0</v>
      </c>
      <c r="IJ19" s="24">
        <v>1625</v>
      </c>
      <c r="IK19" s="24">
        <v>0</v>
      </c>
      <c r="IL19" s="24">
        <v>0</v>
      </c>
      <c r="IM19" s="24">
        <v>0</v>
      </c>
      <c r="IN19" s="24">
        <v>0</v>
      </c>
      <c r="IO19" s="24">
        <v>0</v>
      </c>
      <c r="IP19" s="24">
        <v>0</v>
      </c>
      <c r="IQ19" s="24">
        <v>0</v>
      </c>
      <c r="IR19" s="24">
        <v>0</v>
      </c>
      <c r="IS19" s="24">
        <v>0</v>
      </c>
      <c r="IT19" s="24">
        <v>0</v>
      </c>
      <c r="IU19" s="24">
        <v>0</v>
      </c>
      <c r="IV19" s="24">
        <v>0</v>
      </c>
      <c r="IW19" s="24">
        <v>18290</v>
      </c>
      <c r="IX19" s="24">
        <v>0</v>
      </c>
      <c r="IY19" s="24">
        <v>0</v>
      </c>
      <c r="IZ19" s="24">
        <v>0</v>
      </c>
      <c r="JA19" s="24">
        <v>0</v>
      </c>
      <c r="JB19" s="24">
        <v>0</v>
      </c>
      <c r="JC19" s="24">
        <v>0</v>
      </c>
      <c r="JD19" s="24">
        <v>0</v>
      </c>
      <c r="JE19" s="24">
        <v>0</v>
      </c>
      <c r="JF19" s="24">
        <v>0</v>
      </c>
      <c r="JG19" s="24">
        <v>0</v>
      </c>
      <c r="JH19" s="24">
        <v>0</v>
      </c>
      <c r="JI19" s="24">
        <v>0</v>
      </c>
      <c r="JJ19" s="24">
        <v>0</v>
      </c>
      <c r="JK19" s="24">
        <v>0</v>
      </c>
      <c r="JL19" s="24">
        <v>0</v>
      </c>
      <c r="JM19" s="24">
        <v>0</v>
      </c>
      <c r="JN19" s="24">
        <v>0</v>
      </c>
      <c r="JO19" s="24">
        <v>0</v>
      </c>
      <c r="JP19" s="24">
        <v>0</v>
      </c>
      <c r="JQ19" s="24">
        <v>0</v>
      </c>
      <c r="JR19" s="24">
        <v>0</v>
      </c>
      <c r="JS19" s="24">
        <v>0</v>
      </c>
      <c r="JT19" s="24">
        <v>4687</v>
      </c>
      <c r="JU19" s="24">
        <v>0</v>
      </c>
      <c r="JV19" s="24">
        <v>0</v>
      </c>
      <c r="JW19" s="24">
        <v>0</v>
      </c>
      <c r="JX19" s="24">
        <v>0</v>
      </c>
      <c r="JY19" s="24">
        <v>0</v>
      </c>
      <c r="JZ19" s="24">
        <v>0</v>
      </c>
      <c r="KA19" s="24">
        <v>0</v>
      </c>
      <c r="KB19" s="24">
        <v>0</v>
      </c>
      <c r="KC19" s="24">
        <v>0</v>
      </c>
      <c r="KD19" s="24">
        <v>0</v>
      </c>
      <c r="KE19" s="24">
        <v>0</v>
      </c>
      <c r="KF19" s="24">
        <v>0</v>
      </c>
      <c r="KG19" s="24">
        <v>0</v>
      </c>
      <c r="KH19" s="24">
        <v>0</v>
      </c>
      <c r="KI19" s="24">
        <v>0</v>
      </c>
      <c r="KJ19" s="24">
        <v>0</v>
      </c>
      <c r="KK19" s="24">
        <v>0</v>
      </c>
      <c r="KL19" s="24">
        <v>0</v>
      </c>
      <c r="KM19" s="24">
        <v>0</v>
      </c>
      <c r="KN19" s="24">
        <v>0</v>
      </c>
      <c r="KO19" s="24">
        <v>0</v>
      </c>
      <c r="KP19" s="24">
        <v>0</v>
      </c>
      <c r="KQ19" s="24">
        <v>0</v>
      </c>
      <c r="KR19" s="24">
        <v>0</v>
      </c>
      <c r="KS19" s="24">
        <v>0</v>
      </c>
      <c r="KT19" s="24">
        <v>0</v>
      </c>
      <c r="KU19" s="24">
        <v>0</v>
      </c>
      <c r="KV19" s="24">
        <v>0</v>
      </c>
      <c r="KW19" s="24">
        <v>0</v>
      </c>
      <c r="KX19" s="24">
        <v>0</v>
      </c>
      <c r="KY19" s="24">
        <v>0</v>
      </c>
      <c r="KZ19" s="24">
        <v>0</v>
      </c>
      <c r="LA19" s="24">
        <v>0</v>
      </c>
      <c r="LB19" s="24">
        <v>0</v>
      </c>
      <c r="LC19" s="24">
        <v>0</v>
      </c>
      <c r="LD19" s="24">
        <v>0</v>
      </c>
      <c r="LE19" s="24">
        <v>0</v>
      </c>
      <c r="LF19" s="24">
        <v>0</v>
      </c>
      <c r="LG19" s="24">
        <v>0</v>
      </c>
      <c r="LH19" s="24">
        <v>0</v>
      </c>
      <c r="LI19" s="24">
        <v>0</v>
      </c>
      <c r="LJ19" s="24">
        <v>0</v>
      </c>
      <c r="LK19" s="24">
        <v>0</v>
      </c>
      <c r="LL19" s="24">
        <v>0</v>
      </c>
      <c r="LM19" s="24">
        <v>0</v>
      </c>
      <c r="LN19" s="24">
        <v>0</v>
      </c>
      <c r="LO19" s="24">
        <v>0</v>
      </c>
      <c r="LP19" s="24">
        <v>33750</v>
      </c>
      <c r="LQ19" s="24">
        <v>0</v>
      </c>
      <c r="LR19" s="24">
        <v>0</v>
      </c>
      <c r="LS19" s="24">
        <v>0</v>
      </c>
      <c r="LT19" s="24">
        <v>0</v>
      </c>
      <c r="LU19" s="24">
        <v>0</v>
      </c>
      <c r="LV19" s="24">
        <v>0</v>
      </c>
      <c r="LW19" s="24">
        <v>0</v>
      </c>
      <c r="LX19" s="24">
        <v>0</v>
      </c>
      <c r="LY19" s="24">
        <v>0</v>
      </c>
      <c r="LZ19" s="24">
        <v>0</v>
      </c>
      <c r="MA19" s="24">
        <v>0</v>
      </c>
      <c r="MB19" s="24">
        <v>0</v>
      </c>
      <c r="MC19" s="24">
        <v>0</v>
      </c>
      <c r="MD19" s="24">
        <v>0</v>
      </c>
      <c r="ME19" s="24">
        <v>0</v>
      </c>
      <c r="MF19" s="24">
        <v>0</v>
      </c>
      <c r="MG19" s="24">
        <v>0</v>
      </c>
      <c r="MH19" s="24">
        <v>0</v>
      </c>
      <c r="MI19" s="24">
        <v>0</v>
      </c>
      <c r="MJ19" s="24">
        <v>0</v>
      </c>
      <c r="MK19" s="24">
        <v>0</v>
      </c>
      <c r="ML19" s="24">
        <v>0</v>
      </c>
      <c r="MM19" s="24">
        <v>0</v>
      </c>
      <c r="MN19" s="24">
        <v>0</v>
      </c>
      <c r="MO19" s="24">
        <v>0</v>
      </c>
      <c r="MP19" s="24">
        <v>0</v>
      </c>
      <c r="MQ19" s="24">
        <v>75942</v>
      </c>
      <c r="MR19" s="24">
        <v>0</v>
      </c>
      <c r="MS19" s="24">
        <v>0</v>
      </c>
      <c r="MT19" s="24">
        <v>55215</v>
      </c>
      <c r="MU19" s="24">
        <v>0</v>
      </c>
      <c r="MV19" s="24">
        <v>0</v>
      </c>
      <c r="MW19" s="24">
        <v>0</v>
      </c>
      <c r="MX19" s="24">
        <v>0</v>
      </c>
      <c r="MY19" s="24">
        <v>0</v>
      </c>
      <c r="MZ19" s="24">
        <v>0</v>
      </c>
      <c r="NA19" s="24">
        <v>0</v>
      </c>
      <c r="NB19" s="24">
        <v>0</v>
      </c>
      <c r="NC19" s="24">
        <v>0</v>
      </c>
      <c r="ND19" s="24">
        <v>0</v>
      </c>
      <c r="NE19" s="24">
        <v>0</v>
      </c>
      <c r="NF19" s="24">
        <v>0</v>
      </c>
      <c r="NG19" s="24">
        <v>0</v>
      </c>
      <c r="NH19" s="24">
        <v>0</v>
      </c>
      <c r="NI19" s="24">
        <v>0</v>
      </c>
      <c r="NJ19" s="24">
        <v>0</v>
      </c>
      <c r="NK19" s="24">
        <v>43061</v>
      </c>
      <c r="NL19" s="24">
        <v>0</v>
      </c>
      <c r="NM19" s="24">
        <v>0</v>
      </c>
      <c r="NN19" s="24">
        <v>0</v>
      </c>
      <c r="NO19" s="24">
        <v>0</v>
      </c>
      <c r="NP19" s="24">
        <v>0</v>
      </c>
      <c r="NQ19" s="24">
        <v>0</v>
      </c>
      <c r="NR19" s="24">
        <v>0</v>
      </c>
      <c r="NS19" s="24">
        <v>0</v>
      </c>
      <c r="NT19" s="24">
        <v>0</v>
      </c>
      <c r="NU19" s="24">
        <v>0</v>
      </c>
      <c r="NV19" s="24">
        <v>0</v>
      </c>
      <c r="NW19" s="24">
        <v>0</v>
      </c>
      <c r="NX19" s="24">
        <v>0</v>
      </c>
      <c r="NY19" s="24">
        <v>0</v>
      </c>
      <c r="NZ19" s="24">
        <v>0</v>
      </c>
      <c r="OA19" s="24">
        <v>0</v>
      </c>
      <c r="OB19" s="24">
        <v>0</v>
      </c>
      <c r="OC19" s="24">
        <v>0</v>
      </c>
      <c r="OD19" s="24">
        <v>0</v>
      </c>
      <c r="OE19" s="24">
        <v>0</v>
      </c>
      <c r="OF19" s="24">
        <v>0</v>
      </c>
      <c r="OG19" s="24">
        <v>0</v>
      </c>
      <c r="OH19" s="24">
        <v>0</v>
      </c>
      <c r="OI19" s="24">
        <v>0</v>
      </c>
      <c r="OJ19" s="24">
        <v>0</v>
      </c>
      <c r="OK19" s="24">
        <v>0</v>
      </c>
      <c r="OL19" s="24">
        <v>0</v>
      </c>
      <c r="OM19" s="24">
        <v>0</v>
      </c>
      <c r="ON19" s="24">
        <v>0</v>
      </c>
      <c r="OO19" s="24">
        <v>0</v>
      </c>
      <c r="OP19" s="24">
        <v>0</v>
      </c>
      <c r="OQ19" s="24">
        <v>0</v>
      </c>
      <c r="OR19" s="24">
        <v>0</v>
      </c>
      <c r="OS19" s="24">
        <v>0</v>
      </c>
      <c r="OT19" s="24">
        <v>0</v>
      </c>
      <c r="OU19" s="24">
        <v>0</v>
      </c>
      <c r="OV19" s="24">
        <v>0</v>
      </c>
      <c r="OW19" s="24">
        <v>0</v>
      </c>
      <c r="OX19" s="24">
        <v>0</v>
      </c>
      <c r="OY19" s="24">
        <v>20868</v>
      </c>
      <c r="OZ19" s="24">
        <v>0</v>
      </c>
      <c r="PA19" s="24">
        <v>0</v>
      </c>
      <c r="PB19" s="24">
        <v>0</v>
      </c>
      <c r="PC19" s="24">
        <v>0</v>
      </c>
      <c r="PD19" s="24">
        <v>0</v>
      </c>
      <c r="PE19" s="24">
        <v>0</v>
      </c>
      <c r="PF19" s="24">
        <v>0</v>
      </c>
      <c r="PG19" s="24">
        <v>0</v>
      </c>
      <c r="PH19" s="24">
        <v>0</v>
      </c>
      <c r="PI19" s="24">
        <v>0</v>
      </c>
      <c r="PJ19" s="24">
        <v>0</v>
      </c>
      <c r="PK19" s="24">
        <v>31766</v>
      </c>
      <c r="PL19" s="24">
        <v>0</v>
      </c>
      <c r="PM19" s="24">
        <v>0</v>
      </c>
      <c r="PN19" s="24">
        <v>0</v>
      </c>
      <c r="PO19" s="24">
        <v>0</v>
      </c>
      <c r="PP19" s="24">
        <v>0</v>
      </c>
      <c r="PQ19" s="24">
        <v>0</v>
      </c>
      <c r="PR19" s="24">
        <v>0</v>
      </c>
      <c r="PS19" s="24">
        <v>0</v>
      </c>
      <c r="PT19" s="24">
        <v>0</v>
      </c>
      <c r="PU19" s="24">
        <v>0</v>
      </c>
      <c r="PV19" s="24">
        <v>0</v>
      </c>
      <c r="PW19" s="24">
        <v>0</v>
      </c>
      <c r="PX19" s="24">
        <v>0</v>
      </c>
      <c r="PY19" s="24">
        <v>0</v>
      </c>
      <c r="PZ19" s="24">
        <v>0</v>
      </c>
      <c r="QA19" s="24">
        <v>0</v>
      </c>
      <c r="QB19" s="24">
        <v>0</v>
      </c>
      <c r="QC19" s="24">
        <v>0</v>
      </c>
      <c r="QD19" s="24">
        <v>0</v>
      </c>
      <c r="QE19" s="24">
        <v>0</v>
      </c>
      <c r="QF19" s="24">
        <v>0</v>
      </c>
      <c r="QG19" s="24">
        <v>0</v>
      </c>
      <c r="QH19" s="24">
        <v>0</v>
      </c>
      <c r="QI19" s="24">
        <v>22249</v>
      </c>
      <c r="QJ19" s="24">
        <v>0</v>
      </c>
      <c r="QK19" s="24">
        <v>0</v>
      </c>
      <c r="QL19" s="24">
        <v>0</v>
      </c>
      <c r="QM19" s="24">
        <v>0</v>
      </c>
      <c r="QN19" s="24">
        <v>0</v>
      </c>
      <c r="QO19" s="24">
        <v>0</v>
      </c>
      <c r="QP19" s="24">
        <v>0</v>
      </c>
      <c r="QQ19" s="24">
        <v>0</v>
      </c>
      <c r="QR19" s="24">
        <v>0</v>
      </c>
      <c r="QS19" s="4">
        <v>1</v>
      </c>
      <c r="QT19" s="5"/>
      <c r="QV19" s="4"/>
      <c r="QW19" s="39">
        <v>2051355</v>
      </c>
      <c r="QX19" s="39">
        <v>146055</v>
      </c>
      <c r="QY19" s="39">
        <v>0</v>
      </c>
      <c r="QZ19" s="39">
        <v>0</v>
      </c>
      <c r="RA19" s="39">
        <v>0</v>
      </c>
      <c r="RB19" s="39">
        <v>275763</v>
      </c>
      <c r="RC19" s="39">
        <v>171140</v>
      </c>
      <c r="RD19" s="39">
        <v>1625</v>
      </c>
      <c r="RE19" s="39">
        <v>0</v>
      </c>
      <c r="RF19" s="39">
        <v>18290</v>
      </c>
      <c r="RG19" s="39">
        <v>0</v>
      </c>
      <c r="RH19" s="39">
        <v>4687</v>
      </c>
      <c r="RI19" s="39"/>
      <c r="RJ19" s="182"/>
      <c r="RK19" s="39"/>
      <c r="RL19" s="39">
        <v>207968</v>
      </c>
      <c r="RM19" s="39">
        <v>2668915</v>
      </c>
      <c r="RN19" s="39">
        <v>67401</v>
      </c>
      <c r="RO19" s="39">
        <v>74883</v>
      </c>
      <c r="RP19" s="39"/>
      <c r="RQ19" s="182"/>
      <c r="RR19" s="39"/>
      <c r="RS19" s="39">
        <v>0</v>
      </c>
      <c r="RT19" s="39">
        <v>0</v>
      </c>
      <c r="RU19" s="187">
        <v>0</v>
      </c>
      <c r="RV19" s="39">
        <v>0</v>
      </c>
      <c r="RW19" s="39">
        <v>67401</v>
      </c>
      <c r="RX19" s="4"/>
      <c r="RY19" s="5"/>
      <c r="RZ19" s="4"/>
      <c r="SA19" s="39">
        <v>2668915</v>
      </c>
      <c r="SB19" s="39">
        <v>165970</v>
      </c>
      <c r="SC19" s="50">
        <v>0.93781368084034145</v>
      </c>
      <c r="SE19" s="5"/>
      <c r="SG19" s="124">
        <v>396</v>
      </c>
      <c r="SH19" s="124">
        <v>148.5</v>
      </c>
      <c r="SI19" s="131">
        <v>0.375</v>
      </c>
      <c r="SJ19">
        <v>0</v>
      </c>
      <c r="SK19" s="131">
        <v>0</v>
      </c>
      <c r="SL19" s="124">
        <v>0</v>
      </c>
      <c r="SM19" s="131">
        <v>0</v>
      </c>
      <c r="SN19" s="142">
        <v>0</v>
      </c>
      <c r="SO19" s="142">
        <v>0</v>
      </c>
      <c r="SP19" s="142">
        <v>0</v>
      </c>
      <c r="SQ19" s="142">
        <v>0</v>
      </c>
      <c r="SR19" s="124">
        <v>0</v>
      </c>
      <c r="SS19" s="124">
        <v>26</v>
      </c>
      <c r="ST19" s="124">
        <v>82</v>
      </c>
      <c r="SU19" s="124">
        <v>64</v>
      </c>
      <c r="SV19" s="124">
        <v>97</v>
      </c>
      <c r="SW19" s="124">
        <v>127</v>
      </c>
      <c r="SX19" s="124">
        <v>248</v>
      </c>
      <c r="SY19" s="131">
        <v>0.10199999999999999</v>
      </c>
      <c r="SZ19" s="134">
        <v>40.391999999999996</v>
      </c>
      <c r="TA19" s="131">
        <v>6.5000000000000002E-2</v>
      </c>
      <c r="TB19" s="134">
        <v>25.740000000000002</v>
      </c>
      <c r="TC19" s="293">
        <v>0</v>
      </c>
      <c r="TD19" s="168">
        <v>23.759999999999998</v>
      </c>
      <c r="TF19" s="5"/>
      <c r="TH19" s="168">
        <v>25.740000000000002</v>
      </c>
      <c r="TI19" s="168">
        <v>40.391999999999996</v>
      </c>
      <c r="TJ19" s="205">
        <v>40.391999999999996</v>
      </c>
      <c r="TK19" s="144"/>
      <c r="TL19" s="293"/>
      <c r="TM19" s="293">
        <v>0</v>
      </c>
      <c r="TN19" s="169">
        <v>23.759999999999998</v>
      </c>
      <c r="TO19" s="205">
        <v>23.759999999999998</v>
      </c>
      <c r="TP19" s="5"/>
      <c r="TR19" s="293" t="s">
        <v>91</v>
      </c>
      <c r="TT19" s="5"/>
      <c r="TV19" s="199">
        <v>0</v>
      </c>
      <c r="TW19" s="200">
        <v>0</v>
      </c>
      <c r="TX19" s="200">
        <v>2502945</v>
      </c>
      <c r="TY19" s="200" t="s">
        <v>91</v>
      </c>
      <c r="TZ19" s="200">
        <v>2138400</v>
      </c>
      <c r="UA19" s="204">
        <v>160380</v>
      </c>
      <c r="UB19" s="204">
        <v>0</v>
      </c>
      <c r="UC19" s="200">
        <v>0</v>
      </c>
      <c r="UD19" s="200">
        <v>0</v>
      </c>
      <c r="UE19" s="200">
        <v>0</v>
      </c>
      <c r="UF19" s="200">
        <v>0</v>
      </c>
      <c r="UG19" s="200">
        <v>0</v>
      </c>
      <c r="UH19" s="200">
        <v>0</v>
      </c>
      <c r="UI19" s="200">
        <v>0</v>
      </c>
      <c r="UJ19" s="200">
        <v>0</v>
      </c>
      <c r="UK19" s="200">
        <v>0</v>
      </c>
      <c r="UL19" s="200">
        <v>0</v>
      </c>
      <c r="UM19" s="200">
        <v>0</v>
      </c>
      <c r="UN19" s="200">
        <v>2298780</v>
      </c>
      <c r="UO19" s="200"/>
      <c r="UP19" s="182"/>
      <c r="UQ19" s="200"/>
      <c r="UR19" s="199">
        <v>2298780</v>
      </c>
      <c r="US19" s="199">
        <v>5805</v>
      </c>
      <c r="UT19" s="199">
        <v>2502945</v>
      </c>
      <c r="UU19" s="199">
        <v>6320.568181818182</v>
      </c>
      <c r="UV19" s="199">
        <v>-204165</v>
      </c>
      <c r="UW19" s="199">
        <v>-515.56818181818198</v>
      </c>
      <c r="UX19" s="131">
        <v>-8.156991064525991E-2</v>
      </c>
      <c r="UY19" s="199"/>
      <c r="UZ19" s="221"/>
      <c r="VA19" s="199"/>
      <c r="VB19" s="199">
        <v>207968</v>
      </c>
      <c r="VC19" s="200">
        <v>165970</v>
      </c>
      <c r="VD19" s="199">
        <v>67401</v>
      </c>
      <c r="VE19" s="199">
        <v>74883</v>
      </c>
      <c r="VG19" s="5"/>
      <c r="VI19" s="354">
        <v>2740119</v>
      </c>
      <c r="VJ19" s="355">
        <v>6919.492424242424</v>
      </c>
      <c r="VK19" s="354">
        <v>2944284</v>
      </c>
      <c r="VL19" s="355">
        <v>7435.060606060606</v>
      </c>
      <c r="VM19" s="131">
        <v>-6.9342835134110728E-2</v>
      </c>
      <c r="VN19" s="131"/>
      <c r="VO19" s="354"/>
      <c r="VP19" s="200"/>
      <c r="VQ19" s="200"/>
      <c r="VR19" s="200"/>
      <c r="VS19" s="199"/>
    </row>
    <row r="20" spans="1:591">
      <c r="A20" s="3">
        <v>201</v>
      </c>
      <c r="B20" s="2" t="s">
        <v>149</v>
      </c>
      <c r="C20" s="24">
        <v>0</v>
      </c>
      <c r="D20" s="24">
        <v>0</v>
      </c>
      <c r="E20" s="24">
        <v>0</v>
      </c>
      <c r="F20" s="24">
        <v>0</v>
      </c>
      <c r="G20" s="24">
        <v>82</v>
      </c>
      <c r="H20" s="24">
        <v>0</v>
      </c>
      <c r="I20" s="24">
        <v>0</v>
      </c>
      <c r="J20" s="24">
        <v>32813</v>
      </c>
      <c r="K20" s="24">
        <v>0</v>
      </c>
      <c r="L20" s="24">
        <v>0</v>
      </c>
      <c r="M20" s="24">
        <v>0</v>
      </c>
      <c r="N20" s="24">
        <v>4035</v>
      </c>
      <c r="O20" s="24">
        <v>0</v>
      </c>
      <c r="P20" s="24">
        <v>0</v>
      </c>
      <c r="Q20" s="24">
        <v>0</v>
      </c>
      <c r="R20" s="24">
        <v>0</v>
      </c>
      <c r="S20" s="24">
        <v>566229</v>
      </c>
      <c r="T20" s="24">
        <v>0</v>
      </c>
      <c r="U20" s="24">
        <v>0</v>
      </c>
      <c r="V20" s="24">
        <v>72971</v>
      </c>
      <c r="W20" s="24">
        <v>10444</v>
      </c>
      <c r="X20" s="24">
        <v>0</v>
      </c>
      <c r="Y20" s="24">
        <v>0</v>
      </c>
      <c r="Z20" s="24">
        <v>0</v>
      </c>
      <c r="AA20" s="24">
        <v>0</v>
      </c>
      <c r="AB20" s="24">
        <v>0</v>
      </c>
      <c r="AC20" s="24">
        <v>0</v>
      </c>
      <c r="AD20" s="24">
        <v>0</v>
      </c>
      <c r="AE20" s="24">
        <v>0</v>
      </c>
      <c r="AF20" s="24">
        <v>0</v>
      </c>
      <c r="AG20" s="24">
        <v>23460</v>
      </c>
      <c r="AH20" s="24">
        <v>0</v>
      </c>
      <c r="AI20" s="24">
        <v>0</v>
      </c>
      <c r="AJ20" s="24">
        <v>9170</v>
      </c>
      <c r="AK20" s="24">
        <v>0</v>
      </c>
      <c r="AL20" s="24">
        <v>0</v>
      </c>
      <c r="AM20" s="24">
        <v>0</v>
      </c>
      <c r="AN20" s="24">
        <v>0</v>
      </c>
      <c r="AO20" s="24">
        <v>0</v>
      </c>
      <c r="AP20" s="24">
        <v>0</v>
      </c>
      <c r="AQ20" s="24">
        <v>0</v>
      </c>
      <c r="AR20" s="24">
        <v>0</v>
      </c>
      <c r="AS20" s="24">
        <v>0</v>
      </c>
      <c r="AT20" s="24">
        <v>0</v>
      </c>
      <c r="AU20" s="24">
        <v>0</v>
      </c>
      <c r="AV20" s="24">
        <v>0</v>
      </c>
      <c r="AW20" s="24">
        <v>0</v>
      </c>
      <c r="AX20" s="24">
        <v>0</v>
      </c>
      <c r="AY20" s="24">
        <v>0</v>
      </c>
      <c r="AZ20" s="24">
        <v>0</v>
      </c>
      <c r="BA20" s="24">
        <v>1309</v>
      </c>
      <c r="BB20" s="24">
        <v>0</v>
      </c>
      <c r="BC20" s="24">
        <v>0</v>
      </c>
      <c r="BD20" s="24">
        <v>0</v>
      </c>
      <c r="BE20" s="24">
        <v>0</v>
      </c>
      <c r="BF20" s="24">
        <v>0</v>
      </c>
      <c r="BG20" s="24">
        <v>0</v>
      </c>
      <c r="BH20" s="24">
        <v>0</v>
      </c>
      <c r="BI20" s="24">
        <v>0</v>
      </c>
      <c r="BJ20" s="24">
        <v>0</v>
      </c>
      <c r="BK20" s="24">
        <v>0</v>
      </c>
      <c r="BL20" s="24">
        <v>0</v>
      </c>
      <c r="BM20" s="24">
        <v>0</v>
      </c>
      <c r="BN20" s="24">
        <v>0</v>
      </c>
      <c r="BO20" s="24">
        <v>0</v>
      </c>
      <c r="BP20" s="24">
        <v>0</v>
      </c>
      <c r="BQ20" s="24">
        <v>957</v>
      </c>
      <c r="BR20" s="24">
        <v>0</v>
      </c>
      <c r="BS20" s="24">
        <v>0</v>
      </c>
      <c r="BT20" s="24">
        <v>0</v>
      </c>
      <c r="BU20" s="24">
        <v>0</v>
      </c>
      <c r="BV20" s="24">
        <v>189631</v>
      </c>
      <c r="BW20" s="24">
        <v>7746</v>
      </c>
      <c r="BX20" s="24">
        <v>0</v>
      </c>
      <c r="BY20" s="24">
        <v>0</v>
      </c>
      <c r="BZ20" s="24">
        <v>0</v>
      </c>
      <c r="CA20" s="24">
        <v>0</v>
      </c>
      <c r="CB20" s="24">
        <v>0</v>
      </c>
      <c r="CC20" s="24">
        <v>0</v>
      </c>
      <c r="CD20" s="24">
        <v>0</v>
      </c>
      <c r="CE20" s="24">
        <v>0</v>
      </c>
      <c r="CF20" s="24">
        <v>0</v>
      </c>
      <c r="CG20" s="24">
        <v>0</v>
      </c>
      <c r="CH20" s="24">
        <v>0</v>
      </c>
      <c r="CI20" s="24">
        <v>0</v>
      </c>
      <c r="CJ20" s="24">
        <v>0</v>
      </c>
      <c r="CK20" s="24">
        <v>0</v>
      </c>
      <c r="CL20" s="24">
        <v>0</v>
      </c>
      <c r="CM20" s="24">
        <v>0</v>
      </c>
      <c r="CN20" s="24">
        <v>0</v>
      </c>
      <c r="CO20" s="24">
        <v>0</v>
      </c>
      <c r="CP20" s="24">
        <v>0</v>
      </c>
      <c r="CQ20" s="24">
        <v>0</v>
      </c>
      <c r="CR20" s="24">
        <v>0</v>
      </c>
      <c r="CS20" s="24">
        <v>0</v>
      </c>
      <c r="CT20" s="24">
        <v>0</v>
      </c>
      <c r="CU20" s="24">
        <v>0</v>
      </c>
      <c r="CV20" s="24">
        <v>0</v>
      </c>
      <c r="CW20" s="24">
        <v>0</v>
      </c>
      <c r="CX20" s="24">
        <v>0</v>
      </c>
      <c r="CY20" s="24">
        <v>0</v>
      </c>
      <c r="CZ20" s="24">
        <v>0</v>
      </c>
      <c r="DA20" s="24">
        <v>0</v>
      </c>
      <c r="DB20" s="24">
        <v>0</v>
      </c>
      <c r="DC20" s="24">
        <v>0</v>
      </c>
      <c r="DD20" s="24">
        <v>0</v>
      </c>
      <c r="DE20" s="24">
        <v>0</v>
      </c>
      <c r="DF20" s="24">
        <v>0</v>
      </c>
      <c r="DG20" s="24">
        <v>0</v>
      </c>
      <c r="DH20" s="24">
        <v>0</v>
      </c>
      <c r="DI20" s="24">
        <v>0</v>
      </c>
      <c r="DJ20" s="24">
        <v>0</v>
      </c>
      <c r="DK20" s="24">
        <v>0</v>
      </c>
      <c r="DL20" s="24">
        <v>598</v>
      </c>
      <c r="DM20" s="24">
        <v>0</v>
      </c>
      <c r="DN20" s="24">
        <v>0</v>
      </c>
      <c r="DO20" s="24">
        <v>0</v>
      </c>
      <c r="DP20" s="24">
        <v>0</v>
      </c>
      <c r="DQ20" s="24">
        <v>0</v>
      </c>
      <c r="DR20" s="24">
        <v>0</v>
      </c>
      <c r="DS20" s="24">
        <v>0</v>
      </c>
      <c r="DT20" s="24">
        <v>0</v>
      </c>
      <c r="DU20" s="24">
        <v>3874</v>
      </c>
      <c r="DV20" s="24">
        <v>0</v>
      </c>
      <c r="DW20" s="24">
        <v>0</v>
      </c>
      <c r="DX20" s="24">
        <v>0</v>
      </c>
      <c r="DY20" s="24">
        <v>0</v>
      </c>
      <c r="DZ20" s="24">
        <v>0</v>
      </c>
      <c r="EA20" s="24">
        <v>0</v>
      </c>
      <c r="EB20" s="24">
        <v>0</v>
      </c>
      <c r="EC20" s="24">
        <v>0</v>
      </c>
      <c r="ED20" s="24">
        <v>0</v>
      </c>
      <c r="EE20" s="24">
        <v>0</v>
      </c>
      <c r="EF20" s="24">
        <v>0</v>
      </c>
      <c r="EG20" s="24">
        <v>0</v>
      </c>
      <c r="EH20" s="24">
        <v>0</v>
      </c>
      <c r="EI20" s="24">
        <v>0</v>
      </c>
      <c r="EJ20" s="24">
        <v>0</v>
      </c>
      <c r="EK20" s="24">
        <v>0</v>
      </c>
      <c r="EL20" s="24">
        <v>0</v>
      </c>
      <c r="EM20" s="24">
        <v>0</v>
      </c>
      <c r="EN20" s="24">
        <v>0</v>
      </c>
      <c r="EO20" s="24">
        <v>0</v>
      </c>
      <c r="EP20" s="24">
        <v>0</v>
      </c>
      <c r="EQ20" s="24">
        <v>0</v>
      </c>
      <c r="ER20" s="24">
        <v>0</v>
      </c>
      <c r="ES20" s="24">
        <v>0</v>
      </c>
      <c r="ET20" s="24">
        <v>0</v>
      </c>
      <c r="EU20" s="24">
        <v>0</v>
      </c>
      <c r="EV20" s="24">
        <v>0</v>
      </c>
      <c r="EW20" s="24">
        <v>0</v>
      </c>
      <c r="EX20" s="24">
        <v>0</v>
      </c>
      <c r="EY20" s="24">
        <v>0</v>
      </c>
      <c r="EZ20" s="24">
        <v>0</v>
      </c>
      <c r="FA20" s="24">
        <v>6107</v>
      </c>
      <c r="FB20" s="24">
        <v>0</v>
      </c>
      <c r="FC20" s="24">
        <v>0</v>
      </c>
      <c r="FD20" s="24">
        <v>0</v>
      </c>
      <c r="FE20" s="24">
        <v>0</v>
      </c>
      <c r="FF20" s="24">
        <v>0</v>
      </c>
      <c r="FG20" s="24">
        <v>0</v>
      </c>
      <c r="FH20" s="24">
        <v>0</v>
      </c>
      <c r="FI20" s="24">
        <v>0</v>
      </c>
      <c r="FJ20" s="24">
        <v>0</v>
      </c>
      <c r="FK20" s="24">
        <v>168856</v>
      </c>
      <c r="FL20" s="24">
        <v>0</v>
      </c>
      <c r="FM20" s="24">
        <v>0</v>
      </c>
      <c r="FN20" s="24">
        <v>0</v>
      </c>
      <c r="FO20" s="24">
        <v>0</v>
      </c>
      <c r="FP20" s="24">
        <v>0</v>
      </c>
      <c r="FQ20" s="24">
        <v>0</v>
      </c>
      <c r="FR20" s="24">
        <v>0</v>
      </c>
      <c r="FS20" s="24">
        <v>0</v>
      </c>
      <c r="FT20" s="24">
        <v>0</v>
      </c>
      <c r="FU20" s="24">
        <v>0</v>
      </c>
      <c r="FV20" s="24">
        <v>0</v>
      </c>
      <c r="FW20" s="24">
        <v>0</v>
      </c>
      <c r="FX20" s="24">
        <v>0</v>
      </c>
      <c r="FY20" s="24">
        <v>0</v>
      </c>
      <c r="FZ20" s="24">
        <v>0</v>
      </c>
      <c r="GA20" s="24">
        <v>0</v>
      </c>
      <c r="GB20" s="24">
        <v>0</v>
      </c>
      <c r="GC20" s="24">
        <v>0</v>
      </c>
      <c r="GD20" s="24">
        <v>0</v>
      </c>
      <c r="GE20" s="24">
        <v>0</v>
      </c>
      <c r="GF20" s="24">
        <v>0</v>
      </c>
      <c r="GG20" s="24">
        <v>0</v>
      </c>
      <c r="GH20" s="24">
        <v>0</v>
      </c>
      <c r="GI20" s="24">
        <v>0</v>
      </c>
      <c r="GJ20" s="24">
        <v>0</v>
      </c>
      <c r="GK20" s="24">
        <v>0</v>
      </c>
      <c r="GL20" s="24">
        <v>0</v>
      </c>
      <c r="GM20" s="24">
        <v>0</v>
      </c>
      <c r="GN20" s="24">
        <v>0</v>
      </c>
      <c r="GO20" s="24">
        <v>0</v>
      </c>
      <c r="GP20" s="24">
        <v>0</v>
      </c>
      <c r="GQ20" s="24">
        <v>0</v>
      </c>
      <c r="GR20" s="24">
        <v>0</v>
      </c>
      <c r="GS20" s="24">
        <v>0</v>
      </c>
      <c r="GT20" s="24">
        <v>0</v>
      </c>
      <c r="GU20" s="24">
        <v>0</v>
      </c>
      <c r="GV20" s="24">
        <v>0</v>
      </c>
      <c r="GW20" s="24">
        <v>0</v>
      </c>
      <c r="GX20" s="24">
        <v>0</v>
      </c>
      <c r="GY20" s="24">
        <v>8961996</v>
      </c>
      <c r="GZ20" s="24">
        <v>0</v>
      </c>
      <c r="HA20" s="24">
        <v>0</v>
      </c>
      <c r="HB20" s="24">
        <v>0</v>
      </c>
      <c r="HC20" s="24">
        <v>0</v>
      </c>
      <c r="HD20" s="24">
        <v>403994</v>
      </c>
      <c r="HE20" s="24">
        <v>0</v>
      </c>
      <c r="HF20" s="24">
        <v>0</v>
      </c>
      <c r="HG20" s="24">
        <v>0</v>
      </c>
      <c r="HH20" s="24">
        <v>0</v>
      </c>
      <c r="HI20" s="24">
        <v>0</v>
      </c>
      <c r="HJ20" s="24">
        <v>1197418</v>
      </c>
      <c r="HK20" s="24">
        <v>415517</v>
      </c>
      <c r="HL20" s="24">
        <v>0</v>
      </c>
      <c r="HM20" s="24">
        <v>0</v>
      </c>
      <c r="HN20" s="24">
        <v>0</v>
      </c>
      <c r="HO20" s="24">
        <v>0</v>
      </c>
      <c r="HP20" s="24">
        <v>0</v>
      </c>
      <c r="HQ20" s="24">
        <v>0</v>
      </c>
      <c r="HR20" s="24">
        <v>0</v>
      </c>
      <c r="HS20" s="24">
        <v>0</v>
      </c>
      <c r="HT20" s="24">
        <v>0</v>
      </c>
      <c r="HU20" s="24">
        <v>0</v>
      </c>
      <c r="HV20" s="24">
        <v>67138</v>
      </c>
      <c r="HW20" s="24">
        <v>17521</v>
      </c>
      <c r="HX20" s="24">
        <v>0</v>
      </c>
      <c r="HY20" s="24">
        <v>0</v>
      </c>
      <c r="HZ20" s="24">
        <v>0</v>
      </c>
      <c r="IA20" s="24">
        <v>0</v>
      </c>
      <c r="IB20" s="24">
        <v>0</v>
      </c>
      <c r="IC20" s="24">
        <v>0</v>
      </c>
      <c r="ID20" s="24">
        <v>0</v>
      </c>
      <c r="IE20" s="24">
        <v>0</v>
      </c>
      <c r="IF20" s="24">
        <v>0</v>
      </c>
      <c r="IG20" s="24">
        <v>0</v>
      </c>
      <c r="IH20" s="24">
        <v>0</v>
      </c>
      <c r="II20" s="24">
        <v>0</v>
      </c>
      <c r="IJ20" s="24">
        <v>0</v>
      </c>
      <c r="IK20" s="24">
        <v>10375</v>
      </c>
      <c r="IL20" s="24">
        <v>0</v>
      </c>
      <c r="IM20" s="24">
        <v>0</v>
      </c>
      <c r="IN20" s="24">
        <v>86186</v>
      </c>
      <c r="IO20" s="24">
        <v>0</v>
      </c>
      <c r="IP20" s="24">
        <v>0</v>
      </c>
      <c r="IQ20" s="24">
        <v>0</v>
      </c>
      <c r="IR20" s="24">
        <v>0</v>
      </c>
      <c r="IS20" s="24">
        <v>0</v>
      </c>
      <c r="IT20" s="24">
        <v>0</v>
      </c>
      <c r="IU20" s="24">
        <v>0</v>
      </c>
      <c r="IV20" s="24">
        <v>106739</v>
      </c>
      <c r="IW20" s="24">
        <v>0</v>
      </c>
      <c r="IX20" s="24">
        <v>0</v>
      </c>
      <c r="IY20" s="24">
        <v>0</v>
      </c>
      <c r="IZ20" s="24">
        <v>0</v>
      </c>
      <c r="JA20" s="24">
        <v>0</v>
      </c>
      <c r="JB20" s="24">
        <v>19630</v>
      </c>
      <c r="JC20" s="24">
        <v>0</v>
      </c>
      <c r="JD20" s="24">
        <v>0</v>
      </c>
      <c r="JE20" s="24">
        <v>0</v>
      </c>
      <c r="JF20" s="24">
        <v>0</v>
      </c>
      <c r="JG20" s="24">
        <v>0</v>
      </c>
      <c r="JH20" s="24">
        <v>0</v>
      </c>
      <c r="JI20" s="24">
        <v>0</v>
      </c>
      <c r="JJ20" s="24">
        <v>0</v>
      </c>
      <c r="JK20" s="24">
        <v>0</v>
      </c>
      <c r="JL20" s="24">
        <v>0</v>
      </c>
      <c r="JM20" s="24">
        <v>0</v>
      </c>
      <c r="JN20" s="24">
        <v>0</v>
      </c>
      <c r="JO20" s="24">
        <v>0</v>
      </c>
      <c r="JP20" s="24">
        <v>0</v>
      </c>
      <c r="JQ20" s="24">
        <v>0</v>
      </c>
      <c r="JR20" s="24">
        <v>0</v>
      </c>
      <c r="JS20" s="24">
        <v>0</v>
      </c>
      <c r="JT20" s="24">
        <v>0</v>
      </c>
      <c r="JU20" s="24">
        <v>0</v>
      </c>
      <c r="JV20" s="24">
        <v>0</v>
      </c>
      <c r="JW20" s="24">
        <v>0</v>
      </c>
      <c r="JX20" s="24">
        <v>0</v>
      </c>
      <c r="JY20" s="24">
        <v>0</v>
      </c>
      <c r="JZ20" s="24">
        <v>0</v>
      </c>
      <c r="KA20" s="24">
        <v>0</v>
      </c>
      <c r="KB20" s="24">
        <v>0</v>
      </c>
      <c r="KC20" s="24">
        <v>62859</v>
      </c>
      <c r="KD20" s="24">
        <v>0</v>
      </c>
      <c r="KE20" s="24">
        <v>0</v>
      </c>
      <c r="KF20" s="24">
        <v>0</v>
      </c>
      <c r="KG20" s="24">
        <v>0</v>
      </c>
      <c r="KH20" s="24">
        <v>0</v>
      </c>
      <c r="KI20" s="24">
        <v>0</v>
      </c>
      <c r="KJ20" s="24">
        <v>30685</v>
      </c>
      <c r="KK20" s="24">
        <v>0</v>
      </c>
      <c r="KL20" s="24">
        <v>0</v>
      </c>
      <c r="KM20" s="24">
        <v>0</v>
      </c>
      <c r="KN20" s="24">
        <v>0</v>
      </c>
      <c r="KO20" s="24">
        <v>0</v>
      </c>
      <c r="KP20" s="24">
        <v>0</v>
      </c>
      <c r="KQ20" s="24">
        <v>0</v>
      </c>
      <c r="KR20" s="24">
        <v>0</v>
      </c>
      <c r="KS20" s="24">
        <v>0</v>
      </c>
      <c r="KT20" s="24">
        <v>0</v>
      </c>
      <c r="KU20" s="24">
        <v>0</v>
      </c>
      <c r="KV20" s="24">
        <v>0</v>
      </c>
      <c r="KW20" s="24">
        <v>0</v>
      </c>
      <c r="KX20" s="24">
        <v>0</v>
      </c>
      <c r="KY20" s="24">
        <v>0</v>
      </c>
      <c r="KZ20" s="24">
        <v>0</v>
      </c>
      <c r="LA20" s="24">
        <v>0</v>
      </c>
      <c r="LB20" s="24">
        <v>83635</v>
      </c>
      <c r="LC20" s="24">
        <v>0</v>
      </c>
      <c r="LD20" s="24">
        <v>0</v>
      </c>
      <c r="LE20" s="24">
        <v>0</v>
      </c>
      <c r="LF20" s="24">
        <v>0</v>
      </c>
      <c r="LG20" s="24">
        <v>0</v>
      </c>
      <c r="LH20" s="24">
        <v>0</v>
      </c>
      <c r="LI20" s="24">
        <v>0</v>
      </c>
      <c r="LJ20" s="24">
        <v>0</v>
      </c>
      <c r="LK20" s="24">
        <v>0</v>
      </c>
      <c r="LL20" s="24">
        <v>0</v>
      </c>
      <c r="LM20" s="24">
        <v>84097</v>
      </c>
      <c r="LN20" s="24">
        <v>0</v>
      </c>
      <c r="LO20" s="24">
        <v>0</v>
      </c>
      <c r="LP20" s="24">
        <v>295570</v>
      </c>
      <c r="LQ20" s="24">
        <v>0</v>
      </c>
      <c r="LR20" s="24">
        <v>0</v>
      </c>
      <c r="LS20" s="24">
        <v>0</v>
      </c>
      <c r="LT20" s="24">
        <v>0</v>
      </c>
      <c r="LU20" s="24">
        <v>0</v>
      </c>
      <c r="LV20" s="24">
        <v>0</v>
      </c>
      <c r="LW20" s="24">
        <v>0</v>
      </c>
      <c r="LX20" s="24">
        <v>0</v>
      </c>
      <c r="LY20" s="24">
        <v>0</v>
      </c>
      <c r="LZ20" s="24">
        <v>0</v>
      </c>
      <c r="MA20" s="24">
        <v>0</v>
      </c>
      <c r="MB20" s="24">
        <v>0</v>
      </c>
      <c r="MC20" s="24">
        <v>0</v>
      </c>
      <c r="MD20" s="24">
        <v>0</v>
      </c>
      <c r="ME20" s="24">
        <v>0</v>
      </c>
      <c r="MF20" s="24">
        <v>0</v>
      </c>
      <c r="MG20" s="24">
        <v>0</v>
      </c>
      <c r="MH20" s="24">
        <v>0</v>
      </c>
      <c r="MI20" s="24">
        <v>0</v>
      </c>
      <c r="MJ20" s="24">
        <v>23633</v>
      </c>
      <c r="MK20" s="24">
        <v>0</v>
      </c>
      <c r="ML20" s="24">
        <v>0</v>
      </c>
      <c r="MM20" s="24">
        <v>0</v>
      </c>
      <c r="MN20" s="24">
        <v>0</v>
      </c>
      <c r="MO20" s="24">
        <v>0</v>
      </c>
      <c r="MP20" s="24">
        <v>0</v>
      </c>
      <c r="MQ20" s="24">
        <v>751734</v>
      </c>
      <c r="MR20" s="24">
        <v>0</v>
      </c>
      <c r="MS20" s="24">
        <v>0</v>
      </c>
      <c r="MT20" s="24">
        <v>407563</v>
      </c>
      <c r="MU20" s="24">
        <v>12922</v>
      </c>
      <c r="MV20" s="24">
        <v>0</v>
      </c>
      <c r="MW20" s="24">
        <v>0</v>
      </c>
      <c r="MX20" s="24">
        <v>0</v>
      </c>
      <c r="MY20" s="24">
        <v>0</v>
      </c>
      <c r="MZ20" s="24">
        <v>0</v>
      </c>
      <c r="NA20" s="24">
        <v>0</v>
      </c>
      <c r="NB20" s="24">
        <v>0</v>
      </c>
      <c r="NC20" s="24">
        <v>0</v>
      </c>
      <c r="ND20" s="24">
        <v>0</v>
      </c>
      <c r="NE20" s="24">
        <v>0</v>
      </c>
      <c r="NF20" s="24">
        <v>0</v>
      </c>
      <c r="NG20" s="24">
        <v>0</v>
      </c>
      <c r="NH20" s="24">
        <v>0</v>
      </c>
      <c r="NI20" s="24">
        <v>0</v>
      </c>
      <c r="NJ20" s="24">
        <v>0</v>
      </c>
      <c r="NK20" s="24">
        <v>0</v>
      </c>
      <c r="NL20" s="24">
        <v>0</v>
      </c>
      <c r="NM20" s="24">
        <v>0</v>
      </c>
      <c r="NN20" s="24">
        <v>0</v>
      </c>
      <c r="NO20" s="24">
        <v>0</v>
      </c>
      <c r="NP20" s="24">
        <v>0</v>
      </c>
      <c r="NQ20" s="24">
        <v>0</v>
      </c>
      <c r="NR20" s="24">
        <v>0</v>
      </c>
      <c r="NS20" s="24">
        <v>0</v>
      </c>
      <c r="NT20" s="24">
        <v>84371</v>
      </c>
      <c r="NU20" s="24">
        <v>0</v>
      </c>
      <c r="NV20" s="24">
        <v>0</v>
      </c>
      <c r="NW20" s="24">
        <v>0</v>
      </c>
      <c r="NX20" s="24">
        <v>0</v>
      </c>
      <c r="NY20" s="24">
        <v>0</v>
      </c>
      <c r="NZ20" s="24">
        <v>0</v>
      </c>
      <c r="OA20" s="24">
        <v>0</v>
      </c>
      <c r="OB20" s="24">
        <v>0</v>
      </c>
      <c r="OC20" s="24">
        <v>0</v>
      </c>
      <c r="OD20" s="24">
        <v>0</v>
      </c>
      <c r="OE20" s="24">
        <v>0</v>
      </c>
      <c r="OF20" s="24">
        <v>130</v>
      </c>
      <c r="OG20" s="24">
        <v>0</v>
      </c>
      <c r="OH20" s="24">
        <v>0</v>
      </c>
      <c r="OI20" s="24">
        <v>0</v>
      </c>
      <c r="OJ20" s="24">
        <v>0</v>
      </c>
      <c r="OK20" s="24">
        <v>0</v>
      </c>
      <c r="OL20" s="24">
        <v>0</v>
      </c>
      <c r="OM20" s="24">
        <v>0</v>
      </c>
      <c r="ON20" s="24">
        <v>0</v>
      </c>
      <c r="OO20" s="24">
        <v>0</v>
      </c>
      <c r="OP20" s="24">
        <v>0</v>
      </c>
      <c r="OQ20" s="24">
        <v>0</v>
      </c>
      <c r="OR20" s="24">
        <v>0</v>
      </c>
      <c r="OS20" s="24">
        <v>0</v>
      </c>
      <c r="OT20" s="24">
        <v>0</v>
      </c>
      <c r="OU20" s="24">
        <v>0</v>
      </c>
      <c r="OV20" s="24">
        <v>6000</v>
      </c>
      <c r="OW20" s="24">
        <v>0</v>
      </c>
      <c r="OX20" s="24">
        <v>0</v>
      </c>
      <c r="OY20" s="24">
        <v>0</v>
      </c>
      <c r="OZ20" s="24">
        <v>0</v>
      </c>
      <c r="PA20" s="24">
        <v>0</v>
      </c>
      <c r="PB20" s="24">
        <v>0</v>
      </c>
      <c r="PC20" s="24">
        <v>0</v>
      </c>
      <c r="PD20" s="24">
        <v>0</v>
      </c>
      <c r="PE20" s="24">
        <v>0</v>
      </c>
      <c r="PF20" s="24">
        <v>0</v>
      </c>
      <c r="PG20" s="24">
        <v>0</v>
      </c>
      <c r="PH20" s="24">
        <v>0</v>
      </c>
      <c r="PI20" s="24">
        <v>0</v>
      </c>
      <c r="PJ20" s="24">
        <v>0</v>
      </c>
      <c r="PK20" s="24">
        <v>0</v>
      </c>
      <c r="PL20" s="24">
        <v>0</v>
      </c>
      <c r="PM20" s="24">
        <v>0</v>
      </c>
      <c r="PN20" s="24">
        <v>0</v>
      </c>
      <c r="PO20" s="24">
        <v>0</v>
      </c>
      <c r="PP20" s="24">
        <v>0</v>
      </c>
      <c r="PQ20" s="24">
        <v>0</v>
      </c>
      <c r="PR20" s="24">
        <v>0</v>
      </c>
      <c r="PS20" s="24">
        <v>0</v>
      </c>
      <c r="PT20" s="24">
        <v>0</v>
      </c>
      <c r="PU20" s="24">
        <v>0</v>
      </c>
      <c r="PV20" s="24">
        <v>0</v>
      </c>
      <c r="PW20" s="24">
        <v>0</v>
      </c>
      <c r="PX20" s="24">
        <v>0</v>
      </c>
      <c r="PY20" s="24">
        <v>0</v>
      </c>
      <c r="PZ20" s="24">
        <v>0</v>
      </c>
      <c r="QA20" s="24">
        <v>0</v>
      </c>
      <c r="QB20" s="24">
        <v>0</v>
      </c>
      <c r="QC20" s="24">
        <v>0</v>
      </c>
      <c r="QD20" s="24">
        <v>0</v>
      </c>
      <c r="QE20" s="24">
        <v>0</v>
      </c>
      <c r="QF20" s="24">
        <v>0</v>
      </c>
      <c r="QG20" s="24">
        <v>0</v>
      </c>
      <c r="QH20" s="24">
        <v>0</v>
      </c>
      <c r="QI20" s="24">
        <v>88308</v>
      </c>
      <c r="QJ20" s="24">
        <v>0</v>
      </c>
      <c r="QK20" s="24">
        <v>416871</v>
      </c>
      <c r="QL20" s="24">
        <v>47830</v>
      </c>
      <c r="QM20" s="24">
        <v>180000</v>
      </c>
      <c r="QN20" s="24">
        <v>0</v>
      </c>
      <c r="QO20" s="24">
        <v>0</v>
      </c>
      <c r="QP20" s="24">
        <v>0</v>
      </c>
      <c r="QQ20" s="24">
        <v>0</v>
      </c>
      <c r="QR20" s="24">
        <v>0</v>
      </c>
      <c r="QS20" s="4"/>
      <c r="QT20" s="5"/>
      <c r="QV20" s="4"/>
      <c r="QW20" s="39">
        <v>8961996</v>
      </c>
      <c r="QX20" s="39">
        <v>403994</v>
      </c>
      <c r="QY20" s="39">
        <v>0</v>
      </c>
      <c r="QZ20" s="39">
        <v>0</v>
      </c>
      <c r="RA20" s="39">
        <v>0</v>
      </c>
      <c r="RB20" s="39">
        <v>1197418</v>
      </c>
      <c r="RC20" s="39">
        <v>500176</v>
      </c>
      <c r="RD20" s="39">
        <v>10375</v>
      </c>
      <c r="RE20" s="39">
        <v>86186</v>
      </c>
      <c r="RF20" s="39">
        <v>106739</v>
      </c>
      <c r="RG20" s="39">
        <v>19630</v>
      </c>
      <c r="RH20" s="39">
        <v>62859</v>
      </c>
      <c r="RI20" s="39"/>
      <c r="RJ20" s="182"/>
      <c r="RK20" s="39"/>
      <c r="RL20" s="39">
        <v>1774340</v>
      </c>
      <c r="RM20" s="39">
        <v>11349373</v>
      </c>
      <c r="RN20" s="39">
        <v>1098282</v>
      </c>
      <c r="RO20" s="39">
        <v>739009</v>
      </c>
      <c r="RP20" s="39"/>
      <c r="RQ20" s="182"/>
      <c r="RR20" s="39"/>
      <c r="RS20" s="39">
        <v>458430947</v>
      </c>
      <c r="RT20" s="39">
        <v>181126.41129988147</v>
      </c>
      <c r="RU20" s="187">
        <v>1.420121</v>
      </c>
      <c r="RV20" s="39">
        <v>1604508.3145000001</v>
      </c>
      <c r="RW20" s="39">
        <v>-506226.31450000009</v>
      </c>
      <c r="RX20" s="4"/>
      <c r="RY20" s="5"/>
      <c r="RZ20" s="4"/>
      <c r="SA20" s="39">
        <v>11349373</v>
      </c>
      <c r="SB20" s="39">
        <v>540738</v>
      </c>
      <c r="SC20" s="50">
        <v>0.95235525345761396</v>
      </c>
      <c r="SE20" s="5"/>
      <c r="SG20" s="124">
        <v>2531</v>
      </c>
      <c r="SH20" s="124">
        <v>1217.876532769556</v>
      </c>
      <c r="SI20" s="131">
        <v>0.48118393234672302</v>
      </c>
      <c r="SJ20">
        <v>57</v>
      </c>
      <c r="SK20" s="131">
        <v>2.25207427894113E-2</v>
      </c>
      <c r="SL20" s="124">
        <v>254</v>
      </c>
      <c r="SM20" s="131">
        <v>0.10035559067562229</v>
      </c>
      <c r="SN20" s="142">
        <v>177.79999999999998</v>
      </c>
      <c r="SO20" s="142">
        <v>50.800000000000004</v>
      </c>
      <c r="SP20" s="142">
        <v>17.78</v>
      </c>
      <c r="SQ20" s="142">
        <v>7.62</v>
      </c>
      <c r="SR20" s="124">
        <v>18</v>
      </c>
      <c r="SS20" s="124">
        <v>86</v>
      </c>
      <c r="ST20" s="124">
        <v>560</v>
      </c>
      <c r="SU20" s="124">
        <v>564</v>
      </c>
      <c r="SV20" s="124">
        <v>396</v>
      </c>
      <c r="SW20" s="124">
        <v>925</v>
      </c>
      <c r="SX20" s="124">
        <v>1609</v>
      </c>
      <c r="SY20" s="131">
        <v>0.307</v>
      </c>
      <c r="SZ20" s="134">
        <v>777.01699999999994</v>
      </c>
      <c r="TA20" s="131">
        <v>0.23499999999999999</v>
      </c>
      <c r="TB20" s="134">
        <v>594.78499999999997</v>
      </c>
      <c r="TC20" s="293">
        <v>0</v>
      </c>
      <c r="TD20" s="168">
        <v>151.85999999999999</v>
      </c>
      <c r="TF20" s="5"/>
      <c r="TH20" s="168">
        <v>594.78499999999997</v>
      </c>
      <c r="TI20" s="168">
        <v>777.01699999999994</v>
      </c>
      <c r="TJ20" s="205">
        <v>777.01699999999994</v>
      </c>
      <c r="TK20" s="144"/>
      <c r="TL20" s="293"/>
      <c r="TM20" s="293">
        <v>0</v>
      </c>
      <c r="TN20" s="169">
        <v>151.85999999999999</v>
      </c>
      <c r="TO20" s="205">
        <v>151.85999999999999</v>
      </c>
      <c r="TP20" s="5"/>
      <c r="TR20" s="293" t="s">
        <v>91</v>
      </c>
      <c r="TT20" s="5"/>
      <c r="TV20" s="199">
        <v>1604508.3145000001</v>
      </c>
      <c r="TW20" s="200">
        <v>0</v>
      </c>
      <c r="TX20" s="200">
        <v>10808635</v>
      </c>
      <c r="TY20" s="200" t="s">
        <v>91</v>
      </c>
      <c r="TZ20" s="200">
        <v>13667400</v>
      </c>
      <c r="UA20" s="204">
        <v>1315306.6553911204</v>
      </c>
      <c r="UB20" s="204">
        <v>30780</v>
      </c>
      <c r="UC20" s="200">
        <v>0</v>
      </c>
      <c r="UD20" s="200">
        <v>0</v>
      </c>
      <c r="UE20" s="200">
        <v>0</v>
      </c>
      <c r="UF20" s="200">
        <v>0</v>
      </c>
      <c r="UG20" s="200">
        <v>0</v>
      </c>
      <c r="UH20" s="200">
        <v>0</v>
      </c>
      <c r="UI20" s="200">
        <v>0</v>
      </c>
      <c r="UJ20" s="200">
        <v>0</v>
      </c>
      <c r="UK20" s="200">
        <v>0</v>
      </c>
      <c r="UL20" s="200">
        <v>0</v>
      </c>
      <c r="UM20" s="200">
        <v>0</v>
      </c>
      <c r="UN20" s="200">
        <v>15013486.655391119</v>
      </c>
      <c r="UO20" s="200"/>
      <c r="UP20" s="182"/>
      <c r="UQ20" s="200"/>
      <c r="UR20" s="199">
        <v>15013486.655391119</v>
      </c>
      <c r="US20" s="199">
        <v>5931.8398480407423</v>
      </c>
      <c r="UT20" s="199">
        <v>12413143.3145</v>
      </c>
      <c r="UU20" s="199">
        <v>4904.4422419992097</v>
      </c>
      <c r="UV20" s="199">
        <v>2600343.3408911191</v>
      </c>
      <c r="UW20" s="199">
        <v>1027.3976060415325</v>
      </c>
      <c r="UX20" s="131">
        <v>0.2094830676653523</v>
      </c>
      <c r="UY20" s="199"/>
      <c r="UZ20" s="221"/>
      <c r="VA20" s="199"/>
      <c r="VB20" s="199">
        <v>1774340</v>
      </c>
      <c r="VC20" s="200">
        <v>540738</v>
      </c>
      <c r="VD20" s="199">
        <v>-506226.31450000009</v>
      </c>
      <c r="VE20" s="199">
        <v>739009</v>
      </c>
      <c r="VG20" s="5"/>
      <c r="VI20" s="354">
        <v>16822338.340891119</v>
      </c>
      <c r="VJ20" s="355">
        <v>6646.5185068712444</v>
      </c>
      <c r="VK20" s="354">
        <v>14221995</v>
      </c>
      <c r="VL20" s="355">
        <v>5619.1209008297119</v>
      </c>
      <c r="VM20" s="131">
        <v>0.18283956230410139</v>
      </c>
      <c r="VN20" s="131"/>
      <c r="VO20" s="354"/>
      <c r="VP20" s="200"/>
      <c r="VQ20" s="200"/>
      <c r="VR20" s="200"/>
      <c r="VS20" s="199"/>
    </row>
    <row r="21" spans="1:591">
      <c r="A21" s="26">
        <v>201.1</v>
      </c>
      <c r="B21" s="2" t="s">
        <v>150</v>
      </c>
      <c r="C21" s="24">
        <v>0</v>
      </c>
      <c r="D21" s="24">
        <v>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24">
        <v>0</v>
      </c>
      <c r="AX21" s="24">
        <v>0</v>
      </c>
      <c r="AY21" s="24">
        <v>0</v>
      </c>
      <c r="AZ21" s="24">
        <v>0</v>
      </c>
      <c r="BA21" s="24">
        <v>0</v>
      </c>
      <c r="BB21" s="24">
        <v>0</v>
      </c>
      <c r="BC21" s="24">
        <v>0</v>
      </c>
      <c r="BD21" s="24">
        <v>0</v>
      </c>
      <c r="BE21" s="24">
        <v>0</v>
      </c>
      <c r="BF21" s="24">
        <v>0</v>
      </c>
      <c r="BG21" s="24">
        <v>0</v>
      </c>
      <c r="BH21" s="24">
        <v>0</v>
      </c>
      <c r="BI21" s="24">
        <v>0</v>
      </c>
      <c r="BJ21" s="24">
        <v>0</v>
      </c>
      <c r="BK21" s="24">
        <v>0</v>
      </c>
      <c r="BL21" s="24">
        <v>0</v>
      </c>
      <c r="BM21" s="24">
        <v>0</v>
      </c>
      <c r="BN21" s="24">
        <v>0</v>
      </c>
      <c r="BO21" s="24">
        <v>0</v>
      </c>
      <c r="BP21" s="24">
        <v>0</v>
      </c>
      <c r="BQ21" s="24">
        <v>0</v>
      </c>
      <c r="BR21" s="24">
        <v>0</v>
      </c>
      <c r="BS21" s="24">
        <v>0</v>
      </c>
      <c r="BT21" s="24">
        <v>0</v>
      </c>
      <c r="BU21" s="24">
        <v>0</v>
      </c>
      <c r="BV21" s="24">
        <v>0</v>
      </c>
      <c r="BW21" s="24">
        <v>0</v>
      </c>
      <c r="BX21" s="24">
        <v>0</v>
      </c>
      <c r="BY21" s="24">
        <v>0</v>
      </c>
      <c r="BZ21" s="24">
        <v>0</v>
      </c>
      <c r="CA21" s="24">
        <v>0</v>
      </c>
      <c r="CB21" s="24">
        <v>0</v>
      </c>
      <c r="CC21" s="24">
        <v>0</v>
      </c>
      <c r="CD21" s="24">
        <v>0</v>
      </c>
      <c r="CE21" s="24">
        <v>0</v>
      </c>
      <c r="CF21" s="24">
        <v>0</v>
      </c>
      <c r="CG21" s="24">
        <v>0</v>
      </c>
      <c r="CH21" s="24">
        <v>0</v>
      </c>
      <c r="CI21" s="24">
        <v>0</v>
      </c>
      <c r="CJ21" s="24">
        <v>0</v>
      </c>
      <c r="CK21" s="24">
        <v>0</v>
      </c>
      <c r="CL21" s="24">
        <v>0</v>
      </c>
      <c r="CM21" s="24">
        <v>0</v>
      </c>
      <c r="CN21" s="24">
        <v>0</v>
      </c>
      <c r="CO21" s="24">
        <v>0</v>
      </c>
      <c r="CP21" s="24">
        <v>0</v>
      </c>
      <c r="CQ21" s="24">
        <v>0</v>
      </c>
      <c r="CR21" s="24">
        <v>0</v>
      </c>
      <c r="CS21" s="24">
        <v>0</v>
      </c>
      <c r="CT21" s="24">
        <v>0</v>
      </c>
      <c r="CU21" s="24">
        <v>0</v>
      </c>
      <c r="CV21" s="24">
        <v>0</v>
      </c>
      <c r="CW21" s="24">
        <v>0</v>
      </c>
      <c r="CX21" s="24">
        <v>0</v>
      </c>
      <c r="CY21" s="24">
        <v>0</v>
      </c>
      <c r="CZ21" s="24">
        <v>0</v>
      </c>
      <c r="DA21" s="24">
        <v>0</v>
      </c>
      <c r="DB21" s="24">
        <v>0</v>
      </c>
      <c r="DC21" s="24">
        <v>0</v>
      </c>
      <c r="DD21" s="24">
        <v>0</v>
      </c>
      <c r="DE21" s="24">
        <v>0</v>
      </c>
      <c r="DF21" s="24">
        <v>0</v>
      </c>
      <c r="DG21" s="24">
        <v>0</v>
      </c>
      <c r="DH21" s="24">
        <v>0</v>
      </c>
      <c r="DI21" s="24">
        <v>0</v>
      </c>
      <c r="DJ21" s="24">
        <v>0</v>
      </c>
      <c r="DK21" s="24">
        <v>0</v>
      </c>
      <c r="DL21" s="24">
        <v>0</v>
      </c>
      <c r="DM21" s="24">
        <v>0</v>
      </c>
      <c r="DN21" s="24">
        <v>0</v>
      </c>
      <c r="DO21" s="24">
        <v>0</v>
      </c>
      <c r="DP21" s="24">
        <v>0</v>
      </c>
      <c r="DQ21" s="24">
        <v>0</v>
      </c>
      <c r="DR21" s="24">
        <v>0</v>
      </c>
      <c r="DS21" s="24">
        <v>0</v>
      </c>
      <c r="DT21" s="24">
        <v>0</v>
      </c>
      <c r="DU21" s="24">
        <v>4500</v>
      </c>
      <c r="DV21" s="24">
        <v>0</v>
      </c>
      <c r="DW21" s="24">
        <v>0</v>
      </c>
      <c r="DX21" s="24">
        <v>0</v>
      </c>
      <c r="DY21" s="24">
        <v>0</v>
      </c>
      <c r="DZ21" s="24">
        <v>0</v>
      </c>
      <c r="EA21" s="24">
        <v>0</v>
      </c>
      <c r="EB21" s="24">
        <v>0</v>
      </c>
      <c r="EC21" s="24">
        <v>0</v>
      </c>
      <c r="ED21" s="24">
        <v>0</v>
      </c>
      <c r="EE21" s="24">
        <v>0</v>
      </c>
      <c r="EF21" s="24">
        <v>0</v>
      </c>
      <c r="EG21" s="24">
        <v>0</v>
      </c>
      <c r="EH21" s="24">
        <v>0</v>
      </c>
      <c r="EI21" s="24">
        <v>0</v>
      </c>
      <c r="EJ21" s="24">
        <v>0</v>
      </c>
      <c r="EK21" s="24">
        <v>0</v>
      </c>
      <c r="EL21" s="24">
        <v>0</v>
      </c>
      <c r="EM21" s="24">
        <v>0</v>
      </c>
      <c r="EN21" s="24">
        <v>0</v>
      </c>
      <c r="EO21" s="24">
        <v>0</v>
      </c>
      <c r="EP21" s="24">
        <v>0</v>
      </c>
      <c r="EQ21" s="24">
        <v>0</v>
      </c>
      <c r="ER21" s="24">
        <v>0</v>
      </c>
      <c r="ES21" s="24">
        <v>0</v>
      </c>
      <c r="ET21" s="24">
        <v>0</v>
      </c>
      <c r="EU21" s="24">
        <v>0</v>
      </c>
      <c r="EV21" s="24">
        <v>0</v>
      </c>
      <c r="EW21" s="24">
        <v>0</v>
      </c>
      <c r="EX21" s="24">
        <v>0</v>
      </c>
      <c r="EY21" s="24">
        <v>0</v>
      </c>
      <c r="EZ21" s="24">
        <v>0</v>
      </c>
      <c r="FA21" s="24">
        <v>0</v>
      </c>
      <c r="FB21" s="24">
        <v>0</v>
      </c>
      <c r="FC21" s="24">
        <v>0</v>
      </c>
      <c r="FD21" s="24">
        <v>0</v>
      </c>
      <c r="FE21" s="24">
        <v>0</v>
      </c>
      <c r="FF21" s="24">
        <v>0</v>
      </c>
      <c r="FG21" s="24">
        <v>0</v>
      </c>
      <c r="FH21" s="24">
        <v>0</v>
      </c>
      <c r="FI21" s="24">
        <v>0</v>
      </c>
      <c r="FJ21" s="24">
        <v>0</v>
      </c>
      <c r="FK21" s="24">
        <v>0</v>
      </c>
      <c r="FL21" s="24">
        <v>0</v>
      </c>
      <c r="FM21" s="24">
        <v>0</v>
      </c>
      <c r="FN21" s="24">
        <v>0</v>
      </c>
      <c r="FO21" s="24">
        <v>0</v>
      </c>
      <c r="FP21" s="24">
        <v>0</v>
      </c>
      <c r="FQ21" s="24">
        <v>0</v>
      </c>
      <c r="FR21" s="24">
        <v>0</v>
      </c>
      <c r="FS21" s="24">
        <v>0</v>
      </c>
      <c r="FT21" s="24">
        <v>0</v>
      </c>
      <c r="FU21" s="24">
        <v>0</v>
      </c>
      <c r="FV21" s="24">
        <v>0</v>
      </c>
      <c r="FW21" s="24">
        <v>0</v>
      </c>
      <c r="FX21" s="24">
        <v>0</v>
      </c>
      <c r="FY21" s="24">
        <v>0</v>
      </c>
      <c r="FZ21" s="24">
        <v>0</v>
      </c>
      <c r="GA21" s="24">
        <v>0</v>
      </c>
      <c r="GB21" s="24">
        <v>0</v>
      </c>
      <c r="GC21" s="24">
        <v>0</v>
      </c>
      <c r="GD21" s="24">
        <v>0</v>
      </c>
      <c r="GE21" s="24">
        <v>0</v>
      </c>
      <c r="GF21" s="24">
        <v>0</v>
      </c>
      <c r="GG21" s="24">
        <v>0</v>
      </c>
      <c r="GH21" s="24">
        <v>0</v>
      </c>
      <c r="GI21" s="24">
        <v>0</v>
      </c>
      <c r="GJ21" s="24">
        <v>0</v>
      </c>
      <c r="GK21" s="24">
        <v>0</v>
      </c>
      <c r="GL21" s="24">
        <v>0</v>
      </c>
      <c r="GM21" s="24">
        <v>0</v>
      </c>
      <c r="GN21" s="24">
        <v>0</v>
      </c>
      <c r="GO21" s="24">
        <v>0</v>
      </c>
      <c r="GP21" s="24">
        <v>0</v>
      </c>
      <c r="GQ21" s="24">
        <v>0</v>
      </c>
      <c r="GR21" s="24">
        <v>0</v>
      </c>
      <c r="GS21" s="24">
        <v>0</v>
      </c>
      <c r="GT21" s="24">
        <v>0</v>
      </c>
      <c r="GU21" s="24">
        <v>0</v>
      </c>
      <c r="GV21" s="24">
        <v>0</v>
      </c>
      <c r="GW21" s="24">
        <v>0</v>
      </c>
      <c r="GX21" s="24">
        <v>0</v>
      </c>
      <c r="GY21" s="24">
        <v>1205940</v>
      </c>
      <c r="GZ21" s="24">
        <v>0</v>
      </c>
      <c r="HA21" s="24">
        <v>0</v>
      </c>
      <c r="HB21" s="24">
        <v>0</v>
      </c>
      <c r="HC21" s="24">
        <v>0</v>
      </c>
      <c r="HD21" s="24">
        <v>0</v>
      </c>
      <c r="HE21" s="24">
        <v>0</v>
      </c>
      <c r="HF21" s="24">
        <v>0</v>
      </c>
      <c r="HG21" s="24">
        <v>0</v>
      </c>
      <c r="HH21" s="24">
        <v>0</v>
      </c>
      <c r="HI21" s="24">
        <v>0</v>
      </c>
      <c r="HJ21" s="24">
        <v>126894</v>
      </c>
      <c r="HK21" s="24">
        <v>98486</v>
      </c>
      <c r="HL21" s="24">
        <v>0</v>
      </c>
      <c r="HM21" s="24">
        <v>0</v>
      </c>
      <c r="HN21" s="24">
        <v>0</v>
      </c>
      <c r="HO21" s="24">
        <v>0</v>
      </c>
      <c r="HP21" s="24">
        <v>0</v>
      </c>
      <c r="HQ21" s="24">
        <v>0</v>
      </c>
      <c r="HR21" s="24">
        <v>0</v>
      </c>
      <c r="HS21" s="24">
        <v>0</v>
      </c>
      <c r="HT21" s="24">
        <v>0</v>
      </c>
      <c r="HU21" s="24">
        <v>0</v>
      </c>
      <c r="HV21" s="24">
        <v>0</v>
      </c>
      <c r="HW21" s="24">
        <v>0</v>
      </c>
      <c r="HX21" s="24">
        <v>0</v>
      </c>
      <c r="HY21" s="24">
        <v>0</v>
      </c>
      <c r="HZ21" s="24">
        <v>0</v>
      </c>
      <c r="IA21" s="24">
        <v>0</v>
      </c>
      <c r="IB21" s="24">
        <v>0</v>
      </c>
      <c r="IC21" s="24">
        <v>0</v>
      </c>
      <c r="ID21" s="24">
        <v>0</v>
      </c>
      <c r="IE21" s="24">
        <v>0</v>
      </c>
      <c r="IF21" s="24">
        <v>0</v>
      </c>
      <c r="IG21" s="24">
        <v>0</v>
      </c>
      <c r="IH21" s="24">
        <v>0</v>
      </c>
      <c r="II21" s="24">
        <v>0</v>
      </c>
      <c r="IJ21" s="24">
        <v>0</v>
      </c>
      <c r="IK21" s="24">
        <v>0</v>
      </c>
      <c r="IL21" s="24">
        <v>0</v>
      </c>
      <c r="IM21" s="24">
        <v>0</v>
      </c>
      <c r="IN21" s="24">
        <v>16613</v>
      </c>
      <c r="IO21" s="24">
        <v>0</v>
      </c>
      <c r="IP21" s="24">
        <v>0</v>
      </c>
      <c r="IQ21" s="24">
        <v>0</v>
      </c>
      <c r="IR21" s="24">
        <v>0</v>
      </c>
      <c r="IS21" s="24">
        <v>0</v>
      </c>
      <c r="IT21" s="24">
        <v>0</v>
      </c>
      <c r="IU21" s="24">
        <v>0</v>
      </c>
      <c r="IV21" s="24">
        <v>8917</v>
      </c>
      <c r="IW21" s="24">
        <v>0</v>
      </c>
      <c r="IX21" s="24">
        <v>0</v>
      </c>
      <c r="IY21" s="24">
        <v>0</v>
      </c>
      <c r="IZ21" s="24">
        <v>0</v>
      </c>
      <c r="JA21" s="24">
        <v>0</v>
      </c>
      <c r="JB21" s="24">
        <v>0</v>
      </c>
      <c r="JC21" s="24">
        <v>0</v>
      </c>
      <c r="JD21" s="24">
        <v>0</v>
      </c>
      <c r="JE21" s="24">
        <v>0</v>
      </c>
      <c r="JF21" s="24">
        <v>0</v>
      </c>
      <c r="JG21" s="24">
        <v>0</v>
      </c>
      <c r="JH21" s="24">
        <v>0</v>
      </c>
      <c r="JI21" s="24">
        <v>0</v>
      </c>
      <c r="JJ21" s="24">
        <v>0</v>
      </c>
      <c r="JK21" s="24">
        <v>0</v>
      </c>
      <c r="JL21" s="24">
        <v>0</v>
      </c>
      <c r="JM21" s="24">
        <v>0</v>
      </c>
      <c r="JN21" s="24">
        <v>0</v>
      </c>
      <c r="JO21" s="24">
        <v>0</v>
      </c>
      <c r="JP21" s="24">
        <v>0</v>
      </c>
      <c r="JQ21" s="24">
        <v>0</v>
      </c>
      <c r="JR21" s="24">
        <v>0</v>
      </c>
      <c r="JS21" s="24">
        <v>0</v>
      </c>
      <c r="JT21" s="24">
        <v>0</v>
      </c>
      <c r="JU21" s="24">
        <v>0</v>
      </c>
      <c r="JV21" s="24">
        <v>0</v>
      </c>
      <c r="JW21" s="24">
        <v>0</v>
      </c>
      <c r="JX21" s="24">
        <v>0</v>
      </c>
      <c r="JY21" s="24">
        <v>0</v>
      </c>
      <c r="JZ21" s="24">
        <v>0</v>
      </c>
      <c r="KA21" s="24">
        <v>0</v>
      </c>
      <c r="KB21" s="24">
        <v>0</v>
      </c>
      <c r="KC21" s="24">
        <v>0</v>
      </c>
      <c r="KD21" s="24">
        <v>0</v>
      </c>
      <c r="KE21" s="24">
        <v>0</v>
      </c>
      <c r="KF21" s="24">
        <v>0</v>
      </c>
      <c r="KG21" s="24">
        <v>0</v>
      </c>
      <c r="KH21" s="24">
        <v>0</v>
      </c>
      <c r="KI21" s="24">
        <v>0</v>
      </c>
      <c r="KJ21" s="24">
        <v>0</v>
      </c>
      <c r="KK21" s="24">
        <v>0</v>
      </c>
      <c r="KL21" s="24">
        <v>0</v>
      </c>
      <c r="KM21" s="24">
        <v>0</v>
      </c>
      <c r="KN21" s="24">
        <v>0</v>
      </c>
      <c r="KO21" s="24">
        <v>0</v>
      </c>
      <c r="KP21" s="24">
        <v>0</v>
      </c>
      <c r="KQ21" s="24">
        <v>0</v>
      </c>
      <c r="KR21" s="24">
        <v>0</v>
      </c>
      <c r="KS21" s="24">
        <v>0</v>
      </c>
      <c r="KT21" s="24">
        <v>0</v>
      </c>
      <c r="KU21" s="24">
        <v>0</v>
      </c>
      <c r="KV21" s="24">
        <v>0</v>
      </c>
      <c r="KW21" s="24">
        <v>0</v>
      </c>
      <c r="KX21" s="24">
        <v>0</v>
      </c>
      <c r="KY21" s="24">
        <v>0</v>
      </c>
      <c r="KZ21" s="24">
        <v>0</v>
      </c>
      <c r="LA21" s="24">
        <v>0</v>
      </c>
      <c r="LB21" s="24">
        <v>0</v>
      </c>
      <c r="LC21" s="24">
        <v>0</v>
      </c>
      <c r="LD21" s="24">
        <v>0</v>
      </c>
      <c r="LE21" s="24">
        <v>0</v>
      </c>
      <c r="LF21" s="24">
        <v>0</v>
      </c>
      <c r="LG21" s="24">
        <v>0</v>
      </c>
      <c r="LH21" s="24">
        <v>0</v>
      </c>
      <c r="LI21" s="24">
        <v>0</v>
      </c>
      <c r="LJ21" s="24">
        <v>0</v>
      </c>
      <c r="LK21" s="24">
        <v>0</v>
      </c>
      <c r="LL21" s="24">
        <v>0</v>
      </c>
      <c r="LM21" s="24">
        <v>0</v>
      </c>
      <c r="LN21" s="24">
        <v>0</v>
      </c>
      <c r="LO21" s="24">
        <v>0</v>
      </c>
      <c r="LP21" s="24">
        <v>0</v>
      </c>
      <c r="LQ21" s="24">
        <v>0</v>
      </c>
      <c r="LR21" s="24">
        <v>0</v>
      </c>
      <c r="LS21" s="24">
        <v>0</v>
      </c>
      <c r="LT21" s="24">
        <v>0</v>
      </c>
      <c r="LU21" s="24">
        <v>0</v>
      </c>
      <c r="LV21" s="24">
        <v>0</v>
      </c>
      <c r="LW21" s="24">
        <v>0</v>
      </c>
      <c r="LX21" s="24">
        <v>0</v>
      </c>
      <c r="LY21" s="24">
        <v>0</v>
      </c>
      <c r="LZ21" s="24">
        <v>0</v>
      </c>
      <c r="MA21" s="24">
        <v>0</v>
      </c>
      <c r="MB21" s="24">
        <v>0</v>
      </c>
      <c r="MC21" s="24">
        <v>0</v>
      </c>
      <c r="MD21" s="24">
        <v>0</v>
      </c>
      <c r="ME21" s="24">
        <v>0</v>
      </c>
      <c r="MF21" s="24">
        <v>0</v>
      </c>
      <c r="MG21" s="24">
        <v>0</v>
      </c>
      <c r="MH21" s="24">
        <v>0</v>
      </c>
      <c r="MI21" s="24">
        <v>0</v>
      </c>
      <c r="MJ21" s="24">
        <v>0</v>
      </c>
      <c r="MK21" s="24">
        <v>0</v>
      </c>
      <c r="ML21" s="24">
        <v>0</v>
      </c>
      <c r="MM21" s="24">
        <v>0</v>
      </c>
      <c r="MN21" s="24">
        <v>0</v>
      </c>
      <c r="MO21" s="24">
        <v>0</v>
      </c>
      <c r="MP21" s="24">
        <v>0</v>
      </c>
      <c r="MQ21" s="24">
        <v>0</v>
      </c>
      <c r="MR21" s="24">
        <v>0</v>
      </c>
      <c r="MS21" s="24">
        <v>0</v>
      </c>
      <c r="MT21" s="24">
        <v>0</v>
      </c>
      <c r="MU21" s="24">
        <v>0</v>
      </c>
      <c r="MV21" s="24">
        <v>0</v>
      </c>
      <c r="MW21" s="24">
        <v>0</v>
      </c>
      <c r="MX21" s="24">
        <v>0</v>
      </c>
      <c r="MY21" s="24">
        <v>0</v>
      </c>
      <c r="MZ21" s="24">
        <v>0</v>
      </c>
      <c r="NA21" s="24">
        <v>0</v>
      </c>
      <c r="NB21" s="24">
        <v>0</v>
      </c>
      <c r="NC21" s="24">
        <v>0</v>
      </c>
      <c r="ND21" s="24">
        <v>0</v>
      </c>
      <c r="NE21" s="24">
        <v>0</v>
      </c>
      <c r="NF21" s="24">
        <v>0</v>
      </c>
      <c r="NG21" s="24">
        <v>0</v>
      </c>
      <c r="NH21" s="24">
        <v>0</v>
      </c>
      <c r="NI21" s="24">
        <v>0</v>
      </c>
      <c r="NJ21" s="24">
        <v>0</v>
      </c>
      <c r="NK21" s="24">
        <v>0</v>
      </c>
      <c r="NL21" s="24">
        <v>0</v>
      </c>
      <c r="NM21" s="24">
        <v>0</v>
      </c>
      <c r="NN21" s="24">
        <v>0</v>
      </c>
      <c r="NO21" s="24">
        <v>0</v>
      </c>
      <c r="NP21" s="24">
        <v>0</v>
      </c>
      <c r="NQ21" s="24">
        <v>0</v>
      </c>
      <c r="NR21" s="24">
        <v>0</v>
      </c>
      <c r="NS21" s="24">
        <v>0</v>
      </c>
      <c r="NT21" s="24">
        <v>0</v>
      </c>
      <c r="NU21" s="24">
        <v>0</v>
      </c>
      <c r="NV21" s="24">
        <v>0</v>
      </c>
      <c r="NW21" s="24">
        <v>0</v>
      </c>
      <c r="NX21" s="24">
        <v>0</v>
      </c>
      <c r="NY21" s="24">
        <v>0</v>
      </c>
      <c r="NZ21" s="24">
        <v>0</v>
      </c>
      <c r="OA21" s="24">
        <v>0</v>
      </c>
      <c r="OB21" s="24">
        <v>0</v>
      </c>
      <c r="OC21" s="24">
        <v>0</v>
      </c>
      <c r="OD21" s="24">
        <v>0</v>
      </c>
      <c r="OE21" s="24">
        <v>0</v>
      </c>
      <c r="OF21" s="24">
        <v>0</v>
      </c>
      <c r="OG21" s="24">
        <v>0</v>
      </c>
      <c r="OH21" s="24">
        <v>0</v>
      </c>
      <c r="OI21" s="24">
        <v>0</v>
      </c>
      <c r="OJ21" s="24">
        <v>0</v>
      </c>
      <c r="OK21" s="24">
        <v>0</v>
      </c>
      <c r="OL21" s="24">
        <v>0</v>
      </c>
      <c r="OM21" s="24">
        <v>0</v>
      </c>
      <c r="ON21" s="24">
        <v>0</v>
      </c>
      <c r="OO21" s="24">
        <v>0</v>
      </c>
      <c r="OP21" s="24">
        <v>0</v>
      </c>
      <c r="OQ21" s="24">
        <v>0</v>
      </c>
      <c r="OR21" s="24">
        <v>0</v>
      </c>
      <c r="OS21" s="24">
        <v>0</v>
      </c>
      <c r="OT21" s="24">
        <v>0</v>
      </c>
      <c r="OU21" s="24">
        <v>0</v>
      </c>
      <c r="OV21" s="24">
        <v>0</v>
      </c>
      <c r="OW21" s="24">
        <v>0</v>
      </c>
      <c r="OX21" s="24">
        <v>0</v>
      </c>
      <c r="OY21" s="24">
        <v>0</v>
      </c>
      <c r="OZ21" s="24">
        <v>0</v>
      </c>
      <c r="PA21" s="24">
        <v>0</v>
      </c>
      <c r="PB21" s="24">
        <v>0</v>
      </c>
      <c r="PC21" s="24">
        <v>0</v>
      </c>
      <c r="PD21" s="24">
        <v>0</v>
      </c>
      <c r="PE21" s="24">
        <v>0</v>
      </c>
      <c r="PF21" s="24">
        <v>0</v>
      </c>
      <c r="PG21" s="24">
        <v>0</v>
      </c>
      <c r="PH21" s="24">
        <v>0</v>
      </c>
      <c r="PI21" s="24">
        <v>0</v>
      </c>
      <c r="PJ21" s="24">
        <v>0</v>
      </c>
      <c r="PK21" s="24">
        <v>0</v>
      </c>
      <c r="PL21" s="24">
        <v>0</v>
      </c>
      <c r="PM21" s="24">
        <v>0</v>
      </c>
      <c r="PN21" s="24">
        <v>0</v>
      </c>
      <c r="PO21" s="24">
        <v>0</v>
      </c>
      <c r="PP21" s="24">
        <v>0</v>
      </c>
      <c r="PQ21" s="24">
        <v>0</v>
      </c>
      <c r="PR21" s="24">
        <v>0</v>
      </c>
      <c r="PS21" s="24">
        <v>0</v>
      </c>
      <c r="PT21" s="24">
        <v>0</v>
      </c>
      <c r="PU21" s="24">
        <v>0</v>
      </c>
      <c r="PV21" s="24">
        <v>0</v>
      </c>
      <c r="PW21" s="24">
        <v>0</v>
      </c>
      <c r="PX21" s="24">
        <v>0</v>
      </c>
      <c r="PY21" s="24">
        <v>0</v>
      </c>
      <c r="PZ21" s="24">
        <v>0</v>
      </c>
      <c r="QA21" s="24">
        <v>0</v>
      </c>
      <c r="QB21" s="24">
        <v>0</v>
      </c>
      <c r="QC21" s="24">
        <v>0</v>
      </c>
      <c r="QD21" s="24">
        <v>0</v>
      </c>
      <c r="QE21" s="24">
        <v>0</v>
      </c>
      <c r="QF21" s="24">
        <v>0</v>
      </c>
      <c r="QG21" s="24">
        <v>0</v>
      </c>
      <c r="QH21" s="24">
        <v>0</v>
      </c>
      <c r="QI21" s="24">
        <v>0</v>
      </c>
      <c r="QJ21" s="24">
        <v>0</v>
      </c>
      <c r="QK21" s="24">
        <v>0</v>
      </c>
      <c r="QL21" s="24">
        <v>0</v>
      </c>
      <c r="QM21" s="24">
        <v>0</v>
      </c>
      <c r="QN21" s="24">
        <v>0</v>
      </c>
      <c r="QO21" s="24">
        <v>0</v>
      </c>
      <c r="QP21" s="24">
        <v>0</v>
      </c>
      <c r="QQ21" s="24">
        <v>0</v>
      </c>
      <c r="QR21" s="24">
        <v>0</v>
      </c>
      <c r="QS21" s="4">
        <v>1</v>
      </c>
      <c r="QT21" s="5"/>
      <c r="QV21" s="4"/>
      <c r="QW21" s="39">
        <v>1205940</v>
      </c>
      <c r="QX21" s="39">
        <v>0</v>
      </c>
      <c r="QY21" s="39">
        <v>0</v>
      </c>
      <c r="QZ21" s="39">
        <v>0</v>
      </c>
      <c r="RA21" s="39">
        <v>0</v>
      </c>
      <c r="RB21" s="39">
        <v>126894</v>
      </c>
      <c r="RC21" s="39">
        <v>98486</v>
      </c>
      <c r="RD21" s="39">
        <v>0</v>
      </c>
      <c r="RE21" s="39">
        <v>16613</v>
      </c>
      <c r="RF21" s="39">
        <v>8917</v>
      </c>
      <c r="RG21" s="39">
        <v>0</v>
      </c>
      <c r="RH21" s="39">
        <v>0</v>
      </c>
      <c r="RI21" s="39"/>
      <c r="RJ21" s="182"/>
      <c r="RK21" s="39"/>
      <c r="RL21" s="39">
        <v>0</v>
      </c>
      <c r="RM21" s="39">
        <v>1456850</v>
      </c>
      <c r="RN21" s="39">
        <v>4500</v>
      </c>
      <c r="RO21" s="39">
        <v>0</v>
      </c>
      <c r="RP21" s="39"/>
      <c r="RQ21" s="182"/>
      <c r="RR21" s="39"/>
      <c r="RS21" s="39">
        <v>0</v>
      </c>
      <c r="RT21" s="39">
        <v>0</v>
      </c>
      <c r="RU21" s="187">
        <v>0</v>
      </c>
      <c r="RV21" s="39">
        <v>0</v>
      </c>
      <c r="RW21" s="39">
        <v>4500</v>
      </c>
      <c r="RX21" s="4"/>
      <c r="RY21" s="5"/>
      <c r="RZ21" s="4"/>
      <c r="SA21" s="39">
        <v>1456850</v>
      </c>
      <c r="SB21" s="39">
        <v>8917</v>
      </c>
      <c r="SC21" s="50">
        <v>0.99387926004736249</v>
      </c>
      <c r="SE21" s="5"/>
      <c r="SG21" s="124">
        <v>213</v>
      </c>
      <c r="SH21" s="124">
        <v>0</v>
      </c>
      <c r="SI21" s="131">
        <v>0</v>
      </c>
      <c r="SJ21">
        <v>0</v>
      </c>
      <c r="SK21" s="131">
        <v>0</v>
      </c>
      <c r="SL21" s="124">
        <v>0</v>
      </c>
      <c r="SM21" s="131">
        <v>0</v>
      </c>
      <c r="SN21" s="142">
        <v>0</v>
      </c>
      <c r="SO21" s="142">
        <v>0</v>
      </c>
      <c r="SP21" s="142">
        <v>0</v>
      </c>
      <c r="SQ21" s="142">
        <v>0</v>
      </c>
      <c r="SR21" s="124">
        <v>0</v>
      </c>
      <c r="SS21" s="124">
        <v>0</v>
      </c>
      <c r="ST21" s="124">
        <v>0</v>
      </c>
      <c r="SU21" s="124">
        <v>0</v>
      </c>
      <c r="SV21" s="124">
        <v>0</v>
      </c>
      <c r="SW21" s="124">
        <v>213</v>
      </c>
      <c r="SX21" s="124">
        <v>76.5</v>
      </c>
      <c r="SY21" s="131">
        <v>0.307</v>
      </c>
      <c r="SZ21" s="134">
        <v>65.391000000000005</v>
      </c>
      <c r="TA21" s="131">
        <v>0.23499999999999999</v>
      </c>
      <c r="TB21" s="134">
        <v>50.055</v>
      </c>
      <c r="TC21" s="293">
        <v>0</v>
      </c>
      <c r="TD21" s="168">
        <v>12.78</v>
      </c>
      <c r="TF21" s="5"/>
      <c r="TH21" s="168">
        <v>50.055</v>
      </c>
      <c r="TI21" s="168">
        <v>65.391000000000005</v>
      </c>
      <c r="TJ21" s="205">
        <v>65.391000000000005</v>
      </c>
      <c r="TK21" s="144"/>
      <c r="TL21" s="293"/>
      <c r="TM21" s="293">
        <v>0</v>
      </c>
      <c r="TN21" s="169">
        <v>12.78</v>
      </c>
      <c r="TO21" s="205">
        <v>12.78</v>
      </c>
      <c r="TP21" s="5"/>
      <c r="TR21" s="293" t="s">
        <v>1432</v>
      </c>
      <c r="TT21" s="5"/>
      <c r="TV21" s="199">
        <v>0</v>
      </c>
      <c r="TW21" s="200">
        <v>0</v>
      </c>
      <c r="TX21" s="200">
        <v>1447933</v>
      </c>
      <c r="TY21" s="200">
        <v>306650</v>
      </c>
      <c r="TZ21" s="200">
        <v>1150200</v>
      </c>
      <c r="UA21" s="204">
        <v>0</v>
      </c>
      <c r="UB21" s="204">
        <v>0</v>
      </c>
      <c r="UC21" s="200">
        <v>0</v>
      </c>
      <c r="UD21" s="200">
        <v>0</v>
      </c>
      <c r="UE21" s="200">
        <v>0</v>
      </c>
      <c r="UF21" s="200">
        <v>0</v>
      </c>
      <c r="UG21" s="200">
        <v>0</v>
      </c>
      <c r="UH21" s="200">
        <v>0</v>
      </c>
      <c r="UI21" s="200">
        <v>0</v>
      </c>
      <c r="UJ21" s="200">
        <v>0</v>
      </c>
      <c r="UK21" s="200">
        <v>0</v>
      </c>
      <c r="UL21" s="200">
        <v>0</v>
      </c>
      <c r="UM21" s="200">
        <v>0</v>
      </c>
      <c r="UN21" s="200">
        <v>1150200</v>
      </c>
      <c r="UO21" s="200"/>
      <c r="UP21" s="182"/>
      <c r="UQ21" s="200"/>
      <c r="UR21" s="199">
        <v>1456850</v>
      </c>
      <c r="US21" s="199">
        <v>6839.6713615023473</v>
      </c>
      <c r="UT21" s="199">
        <v>1447933</v>
      </c>
      <c r="UU21" s="199">
        <v>6797.807511737089</v>
      </c>
      <c r="UV21" s="199">
        <v>8917</v>
      </c>
      <c r="UW21" s="199">
        <v>41.863849765258237</v>
      </c>
      <c r="UX21" s="131">
        <v>6.1584341264409367E-3</v>
      </c>
      <c r="UY21" s="199"/>
      <c r="UZ21" s="221"/>
      <c r="VA21" s="199"/>
      <c r="VB21" s="199">
        <v>0</v>
      </c>
      <c r="VC21" s="200">
        <v>8917</v>
      </c>
      <c r="VD21" s="199">
        <v>4500</v>
      </c>
      <c r="VE21" s="199">
        <v>0</v>
      </c>
      <c r="VG21" s="5"/>
      <c r="VI21" s="354">
        <v>1470267</v>
      </c>
      <c r="VJ21" s="355">
        <v>6902.6619718309857</v>
      </c>
      <c r="VK21" s="354">
        <v>1461350</v>
      </c>
      <c r="VL21" s="355">
        <v>6860.7981220657275</v>
      </c>
      <c r="VM21" s="131">
        <v>6.101892086084788E-3</v>
      </c>
      <c r="VN21" s="131"/>
      <c r="VO21" s="354"/>
      <c r="VP21" s="200"/>
      <c r="VQ21" s="200"/>
      <c r="VR21" s="200"/>
      <c r="VS21" s="199"/>
    </row>
    <row r="22" spans="1:591">
      <c r="A22" s="3">
        <v>221</v>
      </c>
      <c r="B22" s="2" t="s">
        <v>153</v>
      </c>
      <c r="C22" s="24">
        <v>207</v>
      </c>
      <c r="D22" s="24">
        <v>0</v>
      </c>
      <c r="E22" s="24">
        <v>0</v>
      </c>
      <c r="F22" s="24">
        <v>0</v>
      </c>
      <c r="G22" s="24">
        <v>1405645</v>
      </c>
      <c r="H22" s="24">
        <v>0</v>
      </c>
      <c r="I22" s="24">
        <v>1237</v>
      </c>
      <c r="J22" s="24">
        <v>27741</v>
      </c>
      <c r="K22" s="24">
        <v>0</v>
      </c>
      <c r="L22" s="24">
        <v>520</v>
      </c>
      <c r="M22" s="24">
        <v>0</v>
      </c>
      <c r="N22" s="24">
        <v>0</v>
      </c>
      <c r="O22" s="24">
        <v>0</v>
      </c>
      <c r="P22" s="24">
        <v>0</v>
      </c>
      <c r="Q22" s="24">
        <v>0</v>
      </c>
      <c r="R22" s="24">
        <v>0</v>
      </c>
      <c r="S22" s="24">
        <v>0</v>
      </c>
      <c r="T22" s="24">
        <v>0</v>
      </c>
      <c r="U22" s="24">
        <v>0</v>
      </c>
      <c r="V22" s="24">
        <v>964728</v>
      </c>
      <c r="W22" s="24">
        <v>0</v>
      </c>
      <c r="X22" s="24">
        <v>0</v>
      </c>
      <c r="Y22" s="24">
        <v>0</v>
      </c>
      <c r="Z22" s="24">
        <v>0</v>
      </c>
      <c r="AA22" s="24">
        <v>0</v>
      </c>
      <c r="AB22" s="24">
        <v>0</v>
      </c>
      <c r="AC22" s="24">
        <v>0</v>
      </c>
      <c r="AD22" s="24">
        <v>0</v>
      </c>
      <c r="AE22" s="24">
        <v>0</v>
      </c>
      <c r="AF22" s="24">
        <v>0</v>
      </c>
      <c r="AG22" s="24">
        <v>0</v>
      </c>
      <c r="AH22" s="24">
        <v>0</v>
      </c>
      <c r="AI22" s="24">
        <v>0</v>
      </c>
      <c r="AJ22" s="24">
        <v>712</v>
      </c>
      <c r="AK22" s="24">
        <v>0</v>
      </c>
      <c r="AL22" s="24">
        <v>0</v>
      </c>
      <c r="AM22" s="24">
        <v>0</v>
      </c>
      <c r="AN22" s="24">
        <v>0</v>
      </c>
      <c r="AO22" s="24">
        <v>0</v>
      </c>
      <c r="AP22" s="24">
        <v>0</v>
      </c>
      <c r="AQ22" s="24">
        <v>0</v>
      </c>
      <c r="AR22" s="24">
        <v>0</v>
      </c>
      <c r="AS22" s="24">
        <v>0</v>
      </c>
      <c r="AT22" s="24">
        <v>0</v>
      </c>
      <c r="AU22" s="24">
        <v>0</v>
      </c>
      <c r="AV22" s="24">
        <v>0</v>
      </c>
      <c r="AW22" s="24">
        <v>0</v>
      </c>
      <c r="AX22" s="24">
        <v>0</v>
      </c>
      <c r="AY22" s="24">
        <v>0</v>
      </c>
      <c r="AZ22" s="24">
        <v>0</v>
      </c>
      <c r="BA22" s="24">
        <v>0</v>
      </c>
      <c r="BB22" s="24">
        <v>453</v>
      </c>
      <c r="BC22" s="24">
        <v>0</v>
      </c>
      <c r="BD22" s="24">
        <v>0</v>
      </c>
      <c r="BE22" s="24">
        <v>0</v>
      </c>
      <c r="BF22" s="24">
        <v>0</v>
      </c>
      <c r="BG22" s="24">
        <v>0</v>
      </c>
      <c r="BH22" s="24">
        <v>0</v>
      </c>
      <c r="BI22" s="24">
        <v>0</v>
      </c>
      <c r="BJ22" s="24">
        <v>0</v>
      </c>
      <c r="BK22" s="24">
        <v>23</v>
      </c>
      <c r="BL22" s="24">
        <v>0</v>
      </c>
      <c r="BM22" s="24">
        <v>0</v>
      </c>
      <c r="BN22" s="24">
        <v>0</v>
      </c>
      <c r="BO22" s="24">
        <v>0</v>
      </c>
      <c r="BP22" s="24">
        <v>0</v>
      </c>
      <c r="BQ22" s="24">
        <v>0</v>
      </c>
      <c r="BR22" s="24">
        <v>0</v>
      </c>
      <c r="BS22" s="24">
        <v>0</v>
      </c>
      <c r="BT22" s="24">
        <v>0</v>
      </c>
      <c r="BU22" s="24">
        <v>0</v>
      </c>
      <c r="BV22" s="24">
        <v>149211</v>
      </c>
      <c r="BW22" s="24">
        <v>9209</v>
      </c>
      <c r="BX22" s="24">
        <v>0</v>
      </c>
      <c r="BY22" s="24">
        <v>0</v>
      </c>
      <c r="BZ22" s="24">
        <v>46618</v>
      </c>
      <c r="CA22" s="24">
        <v>0</v>
      </c>
      <c r="CB22" s="24">
        <v>0</v>
      </c>
      <c r="CC22" s="24">
        <v>0</v>
      </c>
      <c r="CD22" s="24">
        <v>0</v>
      </c>
      <c r="CE22" s="24">
        <v>0</v>
      </c>
      <c r="CF22" s="24">
        <v>0</v>
      </c>
      <c r="CG22" s="24">
        <v>0</v>
      </c>
      <c r="CH22" s="24">
        <v>0</v>
      </c>
      <c r="CI22" s="24">
        <v>0</v>
      </c>
      <c r="CJ22" s="24">
        <v>0</v>
      </c>
      <c r="CK22" s="24">
        <v>0</v>
      </c>
      <c r="CL22" s="24">
        <v>0</v>
      </c>
      <c r="CM22" s="24">
        <v>0</v>
      </c>
      <c r="CN22" s="24">
        <v>0</v>
      </c>
      <c r="CO22" s="24">
        <v>0</v>
      </c>
      <c r="CP22" s="24">
        <v>0</v>
      </c>
      <c r="CQ22" s="24">
        <v>0</v>
      </c>
      <c r="CR22" s="24">
        <v>0</v>
      </c>
      <c r="CS22" s="24">
        <v>0</v>
      </c>
      <c r="CT22" s="24">
        <v>0</v>
      </c>
      <c r="CU22" s="24">
        <v>0</v>
      </c>
      <c r="CV22" s="24">
        <v>0</v>
      </c>
      <c r="CW22" s="24">
        <v>0</v>
      </c>
      <c r="CX22" s="24">
        <v>0</v>
      </c>
      <c r="CY22" s="24">
        <v>0</v>
      </c>
      <c r="CZ22" s="24">
        <v>0</v>
      </c>
      <c r="DA22" s="24">
        <v>0</v>
      </c>
      <c r="DB22" s="24">
        <v>0</v>
      </c>
      <c r="DC22" s="24">
        <v>0</v>
      </c>
      <c r="DD22" s="24">
        <v>0</v>
      </c>
      <c r="DE22" s="24">
        <v>0</v>
      </c>
      <c r="DF22" s="24">
        <v>0</v>
      </c>
      <c r="DG22" s="24">
        <v>0</v>
      </c>
      <c r="DH22" s="24">
        <v>0</v>
      </c>
      <c r="DI22" s="24">
        <v>0</v>
      </c>
      <c r="DJ22" s="24">
        <v>0</v>
      </c>
      <c r="DK22" s="24">
        <v>0</v>
      </c>
      <c r="DL22" s="24">
        <v>0</v>
      </c>
      <c r="DM22" s="24">
        <v>0</v>
      </c>
      <c r="DN22" s="24">
        <v>0</v>
      </c>
      <c r="DO22" s="24">
        <v>0</v>
      </c>
      <c r="DP22" s="24">
        <v>0</v>
      </c>
      <c r="DQ22" s="24">
        <v>0</v>
      </c>
      <c r="DR22" s="24">
        <v>0</v>
      </c>
      <c r="DS22" s="24">
        <v>0</v>
      </c>
      <c r="DT22" s="24">
        <v>0</v>
      </c>
      <c r="DU22" s="24">
        <v>0</v>
      </c>
      <c r="DV22" s="24">
        <v>0</v>
      </c>
      <c r="DW22" s="24">
        <v>0</v>
      </c>
      <c r="DX22" s="24">
        <v>0</v>
      </c>
      <c r="DY22" s="24">
        <v>0</v>
      </c>
      <c r="DZ22" s="24">
        <v>0</v>
      </c>
      <c r="EA22" s="24">
        <v>0</v>
      </c>
      <c r="EB22" s="24">
        <v>0</v>
      </c>
      <c r="EC22" s="24">
        <v>0</v>
      </c>
      <c r="ED22" s="24">
        <v>0</v>
      </c>
      <c r="EE22" s="24">
        <v>0</v>
      </c>
      <c r="EF22" s="24">
        <v>0</v>
      </c>
      <c r="EG22" s="24">
        <v>0</v>
      </c>
      <c r="EH22" s="24">
        <v>0</v>
      </c>
      <c r="EI22" s="24">
        <v>0</v>
      </c>
      <c r="EJ22" s="24">
        <v>0</v>
      </c>
      <c r="EK22" s="24">
        <v>0</v>
      </c>
      <c r="EL22" s="24">
        <v>0</v>
      </c>
      <c r="EM22" s="24">
        <v>0</v>
      </c>
      <c r="EN22" s="24">
        <v>0</v>
      </c>
      <c r="EO22" s="24">
        <v>0</v>
      </c>
      <c r="EP22" s="24">
        <v>0</v>
      </c>
      <c r="EQ22" s="24">
        <v>0</v>
      </c>
      <c r="ER22" s="24">
        <v>0</v>
      </c>
      <c r="ES22" s="24">
        <v>0</v>
      </c>
      <c r="ET22" s="24">
        <v>0</v>
      </c>
      <c r="EU22" s="24">
        <v>0</v>
      </c>
      <c r="EV22" s="24">
        <v>0</v>
      </c>
      <c r="EW22" s="24">
        <v>0</v>
      </c>
      <c r="EX22" s="24">
        <v>0</v>
      </c>
      <c r="EY22" s="24">
        <v>0</v>
      </c>
      <c r="EZ22" s="24">
        <v>0</v>
      </c>
      <c r="FA22" s="24">
        <v>0</v>
      </c>
      <c r="FB22" s="24">
        <v>0</v>
      </c>
      <c r="FC22" s="24">
        <v>0</v>
      </c>
      <c r="FD22" s="24">
        <v>0</v>
      </c>
      <c r="FE22" s="24">
        <v>0</v>
      </c>
      <c r="FF22" s="24">
        <v>0</v>
      </c>
      <c r="FG22" s="24">
        <v>0</v>
      </c>
      <c r="FH22" s="24">
        <v>0</v>
      </c>
      <c r="FI22" s="24">
        <v>0</v>
      </c>
      <c r="FJ22" s="24">
        <v>25454</v>
      </c>
      <c r="FK22" s="24">
        <v>1283907</v>
      </c>
      <c r="FL22" s="24">
        <v>0</v>
      </c>
      <c r="FM22" s="24">
        <v>1500</v>
      </c>
      <c r="FN22" s="24">
        <v>0</v>
      </c>
      <c r="FO22" s="24">
        <v>50000</v>
      </c>
      <c r="FP22" s="24">
        <v>94250</v>
      </c>
      <c r="FQ22" s="24">
        <v>0</v>
      </c>
      <c r="FR22" s="24">
        <v>0</v>
      </c>
      <c r="FS22" s="24">
        <v>6228</v>
      </c>
      <c r="FT22" s="24">
        <v>0</v>
      </c>
      <c r="FU22" s="24">
        <v>0</v>
      </c>
      <c r="FV22" s="24">
        <v>0</v>
      </c>
      <c r="FW22" s="24">
        <v>0</v>
      </c>
      <c r="FX22" s="24">
        <v>0</v>
      </c>
      <c r="FY22" s="24">
        <v>0</v>
      </c>
      <c r="FZ22" s="24">
        <v>0</v>
      </c>
      <c r="GA22" s="24">
        <v>0</v>
      </c>
      <c r="GB22" s="24">
        <v>0</v>
      </c>
      <c r="GC22" s="24">
        <v>0</v>
      </c>
      <c r="GD22" s="24">
        <v>0</v>
      </c>
      <c r="GE22" s="24">
        <v>0</v>
      </c>
      <c r="GF22" s="24">
        <v>0</v>
      </c>
      <c r="GG22" s="24">
        <v>0</v>
      </c>
      <c r="GH22" s="24">
        <v>0</v>
      </c>
      <c r="GI22" s="24">
        <v>0</v>
      </c>
      <c r="GJ22" s="24">
        <v>0</v>
      </c>
      <c r="GK22" s="24">
        <v>0</v>
      </c>
      <c r="GL22" s="24">
        <v>0</v>
      </c>
      <c r="GM22" s="24">
        <v>0</v>
      </c>
      <c r="GN22" s="24">
        <v>0</v>
      </c>
      <c r="GO22" s="24">
        <v>0</v>
      </c>
      <c r="GP22" s="24">
        <v>0</v>
      </c>
      <c r="GQ22" s="24">
        <v>6708</v>
      </c>
      <c r="GR22" s="24">
        <v>0</v>
      </c>
      <c r="GS22" s="24">
        <v>0</v>
      </c>
      <c r="GT22" s="24">
        <v>0</v>
      </c>
      <c r="GU22" s="24">
        <v>0</v>
      </c>
      <c r="GV22" s="24">
        <v>0</v>
      </c>
      <c r="GW22" s="24">
        <v>0</v>
      </c>
      <c r="GX22" s="24">
        <v>0</v>
      </c>
      <c r="GY22" s="24">
        <v>8956009</v>
      </c>
      <c r="GZ22" s="24">
        <v>0</v>
      </c>
      <c r="HA22" s="24">
        <v>0</v>
      </c>
      <c r="HB22" s="24">
        <v>0</v>
      </c>
      <c r="HC22" s="24">
        <v>0</v>
      </c>
      <c r="HD22" s="24">
        <v>871655</v>
      </c>
      <c r="HE22" s="24">
        <v>0</v>
      </c>
      <c r="HF22" s="24">
        <v>0</v>
      </c>
      <c r="HG22" s="24">
        <v>93866</v>
      </c>
      <c r="HH22" s="24">
        <v>0</v>
      </c>
      <c r="HI22" s="24">
        <v>206704</v>
      </c>
      <c r="HJ22" s="24">
        <v>1255935</v>
      </c>
      <c r="HK22" s="24">
        <v>443154</v>
      </c>
      <c r="HL22" s="24">
        <v>0</v>
      </c>
      <c r="HM22" s="24">
        <v>0</v>
      </c>
      <c r="HN22" s="24">
        <v>0</v>
      </c>
      <c r="HO22" s="24">
        <v>0</v>
      </c>
      <c r="HP22" s="24">
        <v>0</v>
      </c>
      <c r="HQ22" s="24">
        <v>0</v>
      </c>
      <c r="HR22" s="24">
        <v>0</v>
      </c>
      <c r="HS22" s="24">
        <v>0</v>
      </c>
      <c r="HT22" s="24">
        <v>0</v>
      </c>
      <c r="HU22" s="24">
        <v>25000</v>
      </c>
      <c r="HV22" s="24">
        <v>96489</v>
      </c>
      <c r="HW22" s="24">
        <v>17243</v>
      </c>
      <c r="HX22" s="24">
        <v>0</v>
      </c>
      <c r="HY22" s="24">
        <v>0</v>
      </c>
      <c r="HZ22" s="24">
        <v>0</v>
      </c>
      <c r="IA22" s="24">
        <v>0</v>
      </c>
      <c r="IB22" s="24">
        <v>0</v>
      </c>
      <c r="IC22" s="24">
        <v>0</v>
      </c>
      <c r="ID22" s="24">
        <v>0</v>
      </c>
      <c r="IE22" s="24">
        <v>0</v>
      </c>
      <c r="IF22" s="24">
        <v>0</v>
      </c>
      <c r="IG22" s="24">
        <v>0</v>
      </c>
      <c r="IH22" s="24">
        <v>0</v>
      </c>
      <c r="II22" s="24">
        <v>0</v>
      </c>
      <c r="IJ22" s="24">
        <v>0</v>
      </c>
      <c r="IK22" s="24">
        <v>37854</v>
      </c>
      <c r="IL22" s="24">
        <v>0</v>
      </c>
      <c r="IM22" s="24">
        <v>0</v>
      </c>
      <c r="IN22" s="24">
        <v>0</v>
      </c>
      <c r="IO22" s="24">
        <v>0</v>
      </c>
      <c r="IP22" s="24">
        <v>0</v>
      </c>
      <c r="IQ22" s="24">
        <v>0</v>
      </c>
      <c r="IR22" s="24">
        <v>0</v>
      </c>
      <c r="IS22" s="24">
        <v>0</v>
      </c>
      <c r="IT22" s="24">
        <v>0</v>
      </c>
      <c r="IU22" s="24">
        <v>0</v>
      </c>
      <c r="IV22" s="24">
        <v>136412</v>
      </c>
      <c r="IW22" s="24">
        <v>0</v>
      </c>
      <c r="IX22" s="24">
        <v>0</v>
      </c>
      <c r="IY22" s="24">
        <v>0</v>
      </c>
      <c r="IZ22" s="24">
        <v>0</v>
      </c>
      <c r="JA22" s="24">
        <v>0</v>
      </c>
      <c r="JB22" s="24">
        <v>59565</v>
      </c>
      <c r="JC22" s="24">
        <v>0</v>
      </c>
      <c r="JD22" s="24">
        <v>0</v>
      </c>
      <c r="JE22" s="24">
        <v>494618</v>
      </c>
      <c r="JF22" s="24">
        <v>0</v>
      </c>
      <c r="JG22" s="24">
        <v>0</v>
      </c>
      <c r="JH22" s="24">
        <v>0</v>
      </c>
      <c r="JI22" s="24">
        <v>0</v>
      </c>
      <c r="JJ22" s="24">
        <v>0</v>
      </c>
      <c r="JK22" s="24">
        <v>0</v>
      </c>
      <c r="JL22" s="24">
        <v>0</v>
      </c>
      <c r="JM22" s="24">
        <v>0</v>
      </c>
      <c r="JN22" s="24">
        <v>0</v>
      </c>
      <c r="JO22" s="24">
        <v>0</v>
      </c>
      <c r="JP22" s="24">
        <v>0</v>
      </c>
      <c r="JQ22" s="24">
        <v>0</v>
      </c>
      <c r="JR22" s="24">
        <v>0</v>
      </c>
      <c r="JS22" s="24">
        <v>0</v>
      </c>
      <c r="JT22" s="24">
        <v>0</v>
      </c>
      <c r="JU22" s="24">
        <v>0</v>
      </c>
      <c r="JV22" s="24">
        <v>0</v>
      </c>
      <c r="JW22" s="24">
        <v>0</v>
      </c>
      <c r="JX22" s="24">
        <v>0</v>
      </c>
      <c r="JY22" s="24">
        <v>0</v>
      </c>
      <c r="JZ22" s="24">
        <v>0</v>
      </c>
      <c r="KA22" s="24">
        <v>0</v>
      </c>
      <c r="KB22" s="24">
        <v>0</v>
      </c>
      <c r="KC22" s="24">
        <v>0</v>
      </c>
      <c r="KD22" s="24">
        <v>0</v>
      </c>
      <c r="KE22" s="24">
        <v>0</v>
      </c>
      <c r="KF22" s="24">
        <v>0</v>
      </c>
      <c r="KG22" s="24">
        <v>0</v>
      </c>
      <c r="KH22" s="24">
        <v>0</v>
      </c>
      <c r="KI22" s="24">
        <v>0</v>
      </c>
      <c r="KJ22" s="24">
        <v>0</v>
      </c>
      <c r="KK22" s="24">
        <v>0</v>
      </c>
      <c r="KL22" s="24">
        <v>0</v>
      </c>
      <c r="KM22" s="24">
        <v>0</v>
      </c>
      <c r="KN22" s="24">
        <v>0</v>
      </c>
      <c r="KO22" s="24">
        <v>0</v>
      </c>
      <c r="KP22" s="24">
        <v>0</v>
      </c>
      <c r="KQ22" s="24">
        <v>0</v>
      </c>
      <c r="KR22" s="24">
        <v>0</v>
      </c>
      <c r="KS22" s="24">
        <v>0</v>
      </c>
      <c r="KT22" s="24">
        <v>0</v>
      </c>
      <c r="KU22" s="24">
        <v>0</v>
      </c>
      <c r="KV22" s="24">
        <v>0</v>
      </c>
      <c r="KW22" s="24">
        <v>0</v>
      </c>
      <c r="KX22" s="24">
        <v>245189</v>
      </c>
      <c r="KY22" s="24">
        <v>0</v>
      </c>
      <c r="KZ22" s="24">
        <v>0</v>
      </c>
      <c r="LA22" s="24">
        <v>0</v>
      </c>
      <c r="LB22" s="24">
        <v>0</v>
      </c>
      <c r="LC22" s="24">
        <v>0</v>
      </c>
      <c r="LD22" s="24">
        <v>0</v>
      </c>
      <c r="LE22" s="24">
        <v>0</v>
      </c>
      <c r="LF22" s="24">
        <v>0</v>
      </c>
      <c r="LG22" s="24">
        <v>0</v>
      </c>
      <c r="LH22" s="24">
        <v>0</v>
      </c>
      <c r="LI22" s="24">
        <v>0</v>
      </c>
      <c r="LJ22" s="24">
        <v>0</v>
      </c>
      <c r="LK22" s="24">
        <v>0</v>
      </c>
      <c r="LL22" s="24">
        <v>0</v>
      </c>
      <c r="LM22" s="24">
        <v>0</v>
      </c>
      <c r="LN22" s="24">
        <v>0</v>
      </c>
      <c r="LO22" s="24">
        <v>0</v>
      </c>
      <c r="LP22" s="24">
        <v>618793</v>
      </c>
      <c r="LQ22" s="24">
        <v>23418</v>
      </c>
      <c r="LR22" s="24">
        <v>0</v>
      </c>
      <c r="LS22" s="24">
        <v>32571</v>
      </c>
      <c r="LT22" s="24">
        <v>0</v>
      </c>
      <c r="LU22" s="24">
        <v>0</v>
      </c>
      <c r="LV22" s="24">
        <v>130203</v>
      </c>
      <c r="LW22" s="24">
        <v>0</v>
      </c>
      <c r="LX22" s="24">
        <v>135000</v>
      </c>
      <c r="LY22" s="24">
        <v>0</v>
      </c>
      <c r="LZ22" s="24">
        <v>0</v>
      </c>
      <c r="MA22" s="24">
        <v>0</v>
      </c>
      <c r="MB22" s="24">
        <v>0</v>
      </c>
      <c r="MC22" s="24">
        <v>0</v>
      </c>
      <c r="MD22" s="24">
        <v>0</v>
      </c>
      <c r="ME22" s="24">
        <v>0</v>
      </c>
      <c r="MF22" s="24">
        <v>0</v>
      </c>
      <c r="MG22" s="24">
        <v>0</v>
      </c>
      <c r="MH22" s="24">
        <v>0</v>
      </c>
      <c r="MI22" s="24">
        <v>0</v>
      </c>
      <c r="MJ22" s="24">
        <v>0</v>
      </c>
      <c r="MK22" s="24">
        <v>0</v>
      </c>
      <c r="ML22" s="24">
        <v>0</v>
      </c>
      <c r="MM22" s="24">
        <v>0</v>
      </c>
      <c r="MN22" s="24">
        <v>0</v>
      </c>
      <c r="MO22" s="24">
        <v>0</v>
      </c>
      <c r="MP22" s="24">
        <v>0</v>
      </c>
      <c r="MQ22" s="24">
        <v>708074</v>
      </c>
      <c r="MR22" s="24">
        <v>0</v>
      </c>
      <c r="MS22" s="24">
        <v>0</v>
      </c>
      <c r="MT22" s="24">
        <v>498285</v>
      </c>
      <c r="MU22" s="24">
        <v>18285</v>
      </c>
      <c r="MV22" s="24">
        <v>0</v>
      </c>
      <c r="MW22" s="24">
        <v>0</v>
      </c>
      <c r="MX22" s="24">
        <v>0</v>
      </c>
      <c r="MY22" s="24">
        <v>28010</v>
      </c>
      <c r="MZ22" s="24">
        <v>0</v>
      </c>
      <c r="NA22" s="24">
        <v>0</v>
      </c>
      <c r="NB22" s="24">
        <v>0</v>
      </c>
      <c r="NC22" s="24">
        <v>0</v>
      </c>
      <c r="ND22" s="24">
        <v>0</v>
      </c>
      <c r="NE22" s="24">
        <v>0</v>
      </c>
      <c r="NF22" s="24">
        <v>0</v>
      </c>
      <c r="NG22" s="24">
        <v>0</v>
      </c>
      <c r="NH22" s="24">
        <v>0</v>
      </c>
      <c r="NI22" s="24">
        <v>0</v>
      </c>
      <c r="NJ22" s="24">
        <v>0</v>
      </c>
      <c r="NK22" s="24">
        <v>0</v>
      </c>
      <c r="NL22" s="24">
        <v>0</v>
      </c>
      <c r="NM22" s="24">
        <v>0</v>
      </c>
      <c r="NN22" s="24">
        <v>0</v>
      </c>
      <c r="NO22" s="24">
        <v>0</v>
      </c>
      <c r="NP22" s="24">
        <v>0</v>
      </c>
      <c r="NQ22" s="24">
        <v>0</v>
      </c>
      <c r="NR22" s="24">
        <v>0</v>
      </c>
      <c r="NS22" s="24">
        <v>0</v>
      </c>
      <c r="NT22" s="24">
        <v>0</v>
      </c>
      <c r="NU22" s="24">
        <v>0</v>
      </c>
      <c r="NV22" s="24">
        <v>0</v>
      </c>
      <c r="NW22" s="24">
        <v>0</v>
      </c>
      <c r="NX22" s="24">
        <v>0</v>
      </c>
      <c r="NY22" s="24">
        <v>0</v>
      </c>
      <c r="NZ22" s="24">
        <v>0</v>
      </c>
      <c r="OA22" s="24">
        <v>68399</v>
      </c>
      <c r="OB22" s="24">
        <v>0</v>
      </c>
      <c r="OC22" s="24">
        <v>0</v>
      </c>
      <c r="OD22" s="24">
        <v>0</v>
      </c>
      <c r="OE22" s="24">
        <v>0</v>
      </c>
      <c r="OF22" s="24">
        <v>0</v>
      </c>
      <c r="OG22" s="24">
        <v>0</v>
      </c>
      <c r="OH22" s="24">
        <v>0</v>
      </c>
      <c r="OI22" s="24">
        <v>0</v>
      </c>
      <c r="OJ22" s="24">
        <v>0</v>
      </c>
      <c r="OK22" s="24">
        <v>0</v>
      </c>
      <c r="OL22" s="24">
        <v>0</v>
      </c>
      <c r="OM22" s="24">
        <v>0</v>
      </c>
      <c r="ON22" s="24">
        <v>0</v>
      </c>
      <c r="OO22" s="24">
        <v>0</v>
      </c>
      <c r="OP22" s="24">
        <v>0</v>
      </c>
      <c r="OQ22" s="24">
        <v>0</v>
      </c>
      <c r="OR22" s="24">
        <v>0</v>
      </c>
      <c r="OS22" s="24">
        <v>0</v>
      </c>
      <c r="OT22" s="24">
        <v>0</v>
      </c>
      <c r="OU22" s="24">
        <v>0</v>
      </c>
      <c r="OV22" s="24">
        <v>0</v>
      </c>
      <c r="OW22" s="24">
        <v>0</v>
      </c>
      <c r="OX22" s="24">
        <v>0</v>
      </c>
      <c r="OY22" s="24">
        <v>83870</v>
      </c>
      <c r="OZ22" s="24">
        <v>0</v>
      </c>
      <c r="PA22" s="24">
        <v>0</v>
      </c>
      <c r="PB22" s="24">
        <v>0</v>
      </c>
      <c r="PC22" s="24">
        <v>0</v>
      </c>
      <c r="PD22" s="24">
        <v>0</v>
      </c>
      <c r="PE22" s="24">
        <v>0</v>
      </c>
      <c r="PF22" s="24">
        <v>0</v>
      </c>
      <c r="PG22" s="24">
        <v>0</v>
      </c>
      <c r="PH22" s="24">
        <v>0</v>
      </c>
      <c r="PI22" s="24">
        <v>0</v>
      </c>
      <c r="PJ22" s="24">
        <v>0</v>
      </c>
      <c r="PK22" s="24">
        <v>0</v>
      </c>
      <c r="PL22" s="24">
        <v>0</v>
      </c>
      <c r="PM22" s="24">
        <v>0</v>
      </c>
      <c r="PN22" s="24">
        <v>0</v>
      </c>
      <c r="PO22" s="24">
        <v>0</v>
      </c>
      <c r="PP22" s="24">
        <v>0</v>
      </c>
      <c r="PQ22" s="24">
        <v>0</v>
      </c>
      <c r="PR22" s="24">
        <v>0</v>
      </c>
      <c r="PS22" s="24">
        <v>0</v>
      </c>
      <c r="PT22" s="24">
        <v>0</v>
      </c>
      <c r="PU22" s="24">
        <v>0</v>
      </c>
      <c r="PV22" s="24">
        <v>0</v>
      </c>
      <c r="PW22" s="24">
        <v>0</v>
      </c>
      <c r="PX22" s="24">
        <v>0</v>
      </c>
      <c r="PY22" s="24">
        <v>0</v>
      </c>
      <c r="PZ22" s="24">
        <v>0</v>
      </c>
      <c r="QA22" s="24">
        <v>0</v>
      </c>
      <c r="QB22" s="24">
        <v>0</v>
      </c>
      <c r="QC22" s="24">
        <v>0</v>
      </c>
      <c r="QD22" s="24">
        <v>0</v>
      </c>
      <c r="QE22" s="24">
        <v>0</v>
      </c>
      <c r="QF22" s="24">
        <v>0</v>
      </c>
      <c r="QG22" s="24">
        <v>0</v>
      </c>
      <c r="QH22" s="24">
        <v>0</v>
      </c>
      <c r="QI22" s="24">
        <v>0</v>
      </c>
      <c r="QJ22" s="24">
        <v>0</v>
      </c>
      <c r="QK22" s="24">
        <v>0</v>
      </c>
      <c r="QL22" s="24">
        <v>0</v>
      </c>
      <c r="QM22" s="24">
        <v>67757</v>
      </c>
      <c r="QN22" s="24">
        <v>0</v>
      </c>
      <c r="QO22" s="24">
        <v>0</v>
      </c>
      <c r="QP22" s="24">
        <v>0</v>
      </c>
      <c r="QQ22" s="24">
        <v>0</v>
      </c>
      <c r="QR22" s="24">
        <v>0</v>
      </c>
      <c r="QS22" s="4"/>
      <c r="QT22" s="5"/>
      <c r="QV22" s="4"/>
      <c r="QW22" s="39">
        <v>8956009</v>
      </c>
      <c r="QX22" s="39">
        <v>871655</v>
      </c>
      <c r="QY22" s="39">
        <v>93866</v>
      </c>
      <c r="QZ22" s="39">
        <v>0</v>
      </c>
      <c r="RA22" s="39">
        <v>206704</v>
      </c>
      <c r="RB22" s="39">
        <v>1255935</v>
      </c>
      <c r="RC22" s="39">
        <v>581886</v>
      </c>
      <c r="RD22" s="39">
        <v>37854</v>
      </c>
      <c r="RE22" s="39">
        <v>0</v>
      </c>
      <c r="RF22" s="39">
        <v>136412</v>
      </c>
      <c r="RG22" s="39">
        <v>59565</v>
      </c>
      <c r="RH22" s="39">
        <v>494618</v>
      </c>
      <c r="RI22" s="39"/>
      <c r="RJ22" s="182"/>
      <c r="RK22" s="39"/>
      <c r="RL22" s="39">
        <v>2506227</v>
      </c>
      <c r="RM22" s="39">
        <v>12694504</v>
      </c>
      <c r="RN22" s="39">
        <v>4074351</v>
      </c>
      <c r="RO22" s="39">
        <v>151627</v>
      </c>
      <c r="RP22" s="39"/>
      <c r="RQ22" s="182"/>
      <c r="RR22" s="39"/>
      <c r="RS22" s="39">
        <v>748005397</v>
      </c>
      <c r="RT22" s="39">
        <v>307189.07474332646</v>
      </c>
      <c r="RU22" s="187">
        <v>3.161378</v>
      </c>
      <c r="RV22" s="39">
        <v>2618018.8895</v>
      </c>
      <c r="RW22" s="39">
        <v>1456332.1105</v>
      </c>
      <c r="RX22" s="4"/>
      <c r="RY22" s="5"/>
      <c r="RZ22" s="4"/>
      <c r="SA22" s="39">
        <v>12694504</v>
      </c>
      <c r="SB22" s="39">
        <v>1406056</v>
      </c>
      <c r="SC22" s="50">
        <v>0.8892389966555605</v>
      </c>
      <c r="SE22" s="5"/>
      <c r="SG22" s="124">
        <v>2435</v>
      </c>
      <c r="SH22" s="124">
        <v>1464.2327215931275</v>
      </c>
      <c r="SI22" s="131">
        <v>0.60132760640374849</v>
      </c>
      <c r="SJ22">
        <v>59</v>
      </c>
      <c r="SK22" s="131">
        <v>2.4229979466119097E-2</v>
      </c>
      <c r="SL22" s="124">
        <v>320</v>
      </c>
      <c r="SM22" s="131">
        <v>0.13141683778234087</v>
      </c>
      <c r="SN22" s="142">
        <v>224</v>
      </c>
      <c r="SO22" s="142">
        <v>64</v>
      </c>
      <c r="SP22" s="142">
        <v>22.400000000000002</v>
      </c>
      <c r="SQ22" s="142">
        <v>9.6</v>
      </c>
      <c r="SR22" s="124">
        <v>21</v>
      </c>
      <c r="SS22" s="124">
        <v>89</v>
      </c>
      <c r="ST22" s="124">
        <v>593</v>
      </c>
      <c r="SU22" s="124">
        <v>590</v>
      </c>
      <c r="SV22" s="124">
        <v>361</v>
      </c>
      <c r="SW22" s="124">
        <v>802</v>
      </c>
      <c r="SX22" s="124">
        <v>1570</v>
      </c>
      <c r="SY22" s="131">
        <v>0.315</v>
      </c>
      <c r="SZ22" s="134">
        <v>767.02499999999998</v>
      </c>
      <c r="TA22" s="131">
        <v>0.28000000000000003</v>
      </c>
      <c r="TB22" s="134">
        <v>681.80000000000007</v>
      </c>
      <c r="TC22" s="293">
        <v>39</v>
      </c>
      <c r="TD22" s="168">
        <v>146.1</v>
      </c>
      <c r="TF22" s="5"/>
      <c r="TH22" s="168">
        <v>681.80000000000007</v>
      </c>
      <c r="TI22" s="168">
        <v>767.02499999999998</v>
      </c>
      <c r="TJ22" s="205">
        <v>767.02499999999998</v>
      </c>
      <c r="TK22" s="144"/>
      <c r="TL22" s="293"/>
      <c r="TM22" s="293">
        <v>39</v>
      </c>
      <c r="TN22" s="169">
        <v>146.1</v>
      </c>
      <c r="TO22" s="205">
        <v>146.1</v>
      </c>
      <c r="TP22" s="5"/>
      <c r="TR22" s="293" t="s">
        <v>91</v>
      </c>
      <c r="TT22" s="5"/>
      <c r="TV22" s="199">
        <v>2618018.8895</v>
      </c>
      <c r="TW22" s="200">
        <v>0</v>
      </c>
      <c r="TX22" s="200">
        <v>11288448</v>
      </c>
      <c r="TY22" s="200" t="s">
        <v>91</v>
      </c>
      <c r="TZ22" s="200">
        <v>13149000</v>
      </c>
      <c r="UA22" s="204">
        <v>1581371.3393205777</v>
      </c>
      <c r="UB22" s="204">
        <v>31860</v>
      </c>
      <c r="UC22" s="200">
        <v>0</v>
      </c>
      <c r="UD22" s="200">
        <v>0</v>
      </c>
      <c r="UE22" s="200">
        <v>0</v>
      </c>
      <c r="UF22" s="200">
        <v>0</v>
      </c>
      <c r="UG22" s="200">
        <v>0</v>
      </c>
      <c r="UH22" s="200">
        <v>0</v>
      </c>
      <c r="UI22" s="200">
        <v>0</v>
      </c>
      <c r="UJ22" s="200">
        <v>0</v>
      </c>
      <c r="UK22" s="200">
        <v>0</v>
      </c>
      <c r="UL22" s="200">
        <v>0</v>
      </c>
      <c r="UM22" s="200">
        <v>0</v>
      </c>
      <c r="UN22" s="200">
        <v>14762231.339320578</v>
      </c>
      <c r="UO22" s="200"/>
      <c r="UP22" s="182"/>
      <c r="UQ22" s="200"/>
      <c r="UR22" s="199">
        <v>14762231.339320578</v>
      </c>
      <c r="US22" s="199">
        <v>6062.5180038277531</v>
      </c>
      <c r="UT22" s="199">
        <v>13906466.8895</v>
      </c>
      <c r="UU22" s="199">
        <v>5711.0746979466121</v>
      </c>
      <c r="UV22" s="199">
        <v>855764.4498205781</v>
      </c>
      <c r="UW22" s="199">
        <v>351.44330588114099</v>
      </c>
      <c r="UX22" s="131">
        <v>6.153715797264929E-2</v>
      </c>
      <c r="UY22" s="199"/>
      <c r="UZ22" s="221"/>
      <c r="VA22" s="199"/>
      <c r="VB22" s="199">
        <v>2506227</v>
      </c>
      <c r="VC22" s="200">
        <v>1406056</v>
      </c>
      <c r="VD22" s="199">
        <v>1456332.1105</v>
      </c>
      <c r="VE22" s="199">
        <v>151627</v>
      </c>
      <c r="VG22" s="5"/>
      <c r="VI22" s="354">
        <v>20130846.449820578</v>
      </c>
      <c r="VJ22" s="355">
        <v>8267.2880697415112</v>
      </c>
      <c r="VK22" s="354">
        <v>19275082</v>
      </c>
      <c r="VL22" s="355">
        <v>7915.8447638603693</v>
      </c>
      <c r="VM22" s="131">
        <v>4.4397447949667893E-2</v>
      </c>
      <c r="VN22" s="131"/>
      <c r="VO22" s="354"/>
      <c r="VP22" s="200"/>
      <c r="VQ22" s="200"/>
      <c r="VR22" s="200"/>
      <c r="VS22" s="199"/>
    </row>
    <row r="23" spans="1:591">
      <c r="A23" s="26">
        <v>221.1</v>
      </c>
      <c r="B23" s="2" t="s">
        <v>154</v>
      </c>
      <c r="C23" s="24">
        <v>0</v>
      </c>
      <c r="D23" s="24">
        <v>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v>0</v>
      </c>
      <c r="AS23" s="24">
        <v>0</v>
      </c>
      <c r="AT23" s="24">
        <v>0</v>
      </c>
      <c r="AU23" s="24">
        <v>0</v>
      </c>
      <c r="AV23" s="24">
        <v>0</v>
      </c>
      <c r="AW23" s="24">
        <v>0</v>
      </c>
      <c r="AX23" s="24">
        <v>0</v>
      </c>
      <c r="AY23" s="24">
        <v>0</v>
      </c>
      <c r="AZ23" s="24">
        <v>0</v>
      </c>
      <c r="BA23" s="24">
        <v>0</v>
      </c>
      <c r="BB23" s="24">
        <v>0</v>
      </c>
      <c r="BC23" s="24">
        <v>0</v>
      </c>
      <c r="BD23" s="24">
        <v>0</v>
      </c>
      <c r="BE23" s="24">
        <v>0</v>
      </c>
      <c r="BF23" s="24">
        <v>0</v>
      </c>
      <c r="BG23" s="24">
        <v>0</v>
      </c>
      <c r="BH23" s="24">
        <v>0</v>
      </c>
      <c r="BI23" s="24">
        <v>0</v>
      </c>
      <c r="BJ23" s="24">
        <v>0</v>
      </c>
      <c r="BK23" s="24">
        <v>0</v>
      </c>
      <c r="BL23" s="24">
        <v>0</v>
      </c>
      <c r="BM23" s="24">
        <v>0</v>
      </c>
      <c r="BN23" s="24">
        <v>0</v>
      </c>
      <c r="BO23" s="24">
        <v>0</v>
      </c>
      <c r="BP23" s="24">
        <v>0</v>
      </c>
      <c r="BQ23" s="24">
        <v>0</v>
      </c>
      <c r="BR23" s="24">
        <v>0</v>
      </c>
      <c r="BS23" s="24">
        <v>0</v>
      </c>
      <c r="BT23" s="24">
        <v>0</v>
      </c>
      <c r="BU23" s="24">
        <v>0</v>
      </c>
      <c r="BV23" s="24">
        <v>0</v>
      </c>
      <c r="BW23" s="24">
        <v>0</v>
      </c>
      <c r="BX23" s="24">
        <v>0</v>
      </c>
      <c r="BY23" s="24">
        <v>0</v>
      </c>
      <c r="BZ23" s="24">
        <v>0</v>
      </c>
      <c r="CA23" s="24">
        <v>0</v>
      </c>
      <c r="CB23" s="24">
        <v>0</v>
      </c>
      <c r="CC23" s="24">
        <v>0</v>
      </c>
      <c r="CD23" s="24">
        <v>0</v>
      </c>
      <c r="CE23" s="24">
        <v>0</v>
      </c>
      <c r="CF23" s="24">
        <v>0</v>
      </c>
      <c r="CG23" s="24">
        <v>0</v>
      </c>
      <c r="CH23" s="24">
        <v>0</v>
      </c>
      <c r="CI23" s="24">
        <v>0</v>
      </c>
      <c r="CJ23" s="24">
        <v>0</v>
      </c>
      <c r="CK23" s="24">
        <v>0</v>
      </c>
      <c r="CL23" s="24">
        <v>0</v>
      </c>
      <c r="CM23" s="24">
        <v>0</v>
      </c>
      <c r="CN23" s="24">
        <v>0</v>
      </c>
      <c r="CO23" s="24">
        <v>0</v>
      </c>
      <c r="CP23" s="24">
        <v>0</v>
      </c>
      <c r="CQ23" s="24">
        <v>0</v>
      </c>
      <c r="CR23" s="24">
        <v>0</v>
      </c>
      <c r="CS23" s="24">
        <v>0</v>
      </c>
      <c r="CT23" s="24">
        <v>0</v>
      </c>
      <c r="CU23" s="24">
        <v>0</v>
      </c>
      <c r="CV23" s="24">
        <v>0</v>
      </c>
      <c r="CW23" s="24">
        <v>0</v>
      </c>
      <c r="CX23" s="24">
        <v>0</v>
      </c>
      <c r="CY23" s="24">
        <v>0</v>
      </c>
      <c r="CZ23" s="24">
        <v>0</v>
      </c>
      <c r="DA23" s="24">
        <v>0</v>
      </c>
      <c r="DB23" s="24">
        <v>0</v>
      </c>
      <c r="DC23" s="24">
        <v>0</v>
      </c>
      <c r="DD23" s="24">
        <v>0</v>
      </c>
      <c r="DE23" s="24">
        <v>0</v>
      </c>
      <c r="DF23" s="24">
        <v>0</v>
      </c>
      <c r="DG23" s="24">
        <v>0</v>
      </c>
      <c r="DH23" s="24">
        <v>0</v>
      </c>
      <c r="DI23" s="24">
        <v>0</v>
      </c>
      <c r="DJ23" s="24">
        <v>0</v>
      </c>
      <c r="DK23" s="24">
        <v>0</v>
      </c>
      <c r="DL23" s="24">
        <v>0</v>
      </c>
      <c r="DM23" s="24">
        <v>0</v>
      </c>
      <c r="DN23" s="24">
        <v>0</v>
      </c>
      <c r="DO23" s="24">
        <v>0</v>
      </c>
      <c r="DP23" s="24">
        <v>0</v>
      </c>
      <c r="DQ23" s="24">
        <v>0</v>
      </c>
      <c r="DR23" s="24">
        <v>0</v>
      </c>
      <c r="DS23" s="24">
        <v>0</v>
      </c>
      <c r="DT23" s="24">
        <v>0</v>
      </c>
      <c r="DU23" s="24">
        <v>0</v>
      </c>
      <c r="DV23" s="24">
        <v>0</v>
      </c>
      <c r="DW23" s="24">
        <v>0</v>
      </c>
      <c r="DX23" s="24">
        <v>0</v>
      </c>
      <c r="DY23" s="24">
        <v>0</v>
      </c>
      <c r="DZ23" s="24">
        <v>0</v>
      </c>
      <c r="EA23" s="24">
        <v>0</v>
      </c>
      <c r="EB23" s="24">
        <v>0</v>
      </c>
      <c r="EC23" s="24">
        <v>0</v>
      </c>
      <c r="ED23" s="24">
        <v>0</v>
      </c>
      <c r="EE23" s="24">
        <v>0</v>
      </c>
      <c r="EF23" s="24">
        <v>0</v>
      </c>
      <c r="EG23" s="24">
        <v>0</v>
      </c>
      <c r="EH23" s="24">
        <v>0</v>
      </c>
      <c r="EI23" s="24">
        <v>0</v>
      </c>
      <c r="EJ23" s="24">
        <v>0</v>
      </c>
      <c r="EK23" s="24">
        <v>0</v>
      </c>
      <c r="EL23" s="24">
        <v>0</v>
      </c>
      <c r="EM23" s="24">
        <v>0</v>
      </c>
      <c r="EN23" s="24">
        <v>0</v>
      </c>
      <c r="EO23" s="24">
        <v>0</v>
      </c>
      <c r="EP23" s="24">
        <v>0</v>
      </c>
      <c r="EQ23" s="24">
        <v>0</v>
      </c>
      <c r="ER23" s="24">
        <v>0</v>
      </c>
      <c r="ES23" s="24">
        <v>0</v>
      </c>
      <c r="ET23" s="24">
        <v>0</v>
      </c>
      <c r="EU23" s="24">
        <v>0</v>
      </c>
      <c r="EV23" s="24">
        <v>0</v>
      </c>
      <c r="EW23" s="24">
        <v>0</v>
      </c>
      <c r="EX23" s="24">
        <v>0</v>
      </c>
      <c r="EY23" s="24">
        <v>0</v>
      </c>
      <c r="EZ23" s="24">
        <v>0</v>
      </c>
      <c r="FA23" s="24">
        <v>0</v>
      </c>
      <c r="FB23" s="24">
        <v>0</v>
      </c>
      <c r="FC23" s="24">
        <v>0</v>
      </c>
      <c r="FD23" s="24">
        <v>0</v>
      </c>
      <c r="FE23" s="24">
        <v>0</v>
      </c>
      <c r="FF23" s="24">
        <v>0</v>
      </c>
      <c r="FG23" s="24">
        <v>0</v>
      </c>
      <c r="FH23" s="24">
        <v>0</v>
      </c>
      <c r="FI23" s="24">
        <v>0</v>
      </c>
      <c r="FJ23" s="24">
        <v>0</v>
      </c>
      <c r="FK23" s="24">
        <v>0</v>
      </c>
      <c r="FL23" s="24">
        <v>0</v>
      </c>
      <c r="FM23" s="24">
        <v>0</v>
      </c>
      <c r="FN23" s="24">
        <v>0</v>
      </c>
      <c r="FO23" s="24">
        <v>0</v>
      </c>
      <c r="FP23" s="24">
        <v>0</v>
      </c>
      <c r="FQ23" s="24">
        <v>0</v>
      </c>
      <c r="FR23" s="24">
        <v>0</v>
      </c>
      <c r="FS23" s="24">
        <v>0</v>
      </c>
      <c r="FT23" s="24">
        <v>0</v>
      </c>
      <c r="FU23" s="24">
        <v>0</v>
      </c>
      <c r="FV23" s="24">
        <v>0</v>
      </c>
      <c r="FW23" s="24">
        <v>0</v>
      </c>
      <c r="FX23" s="24">
        <v>0</v>
      </c>
      <c r="FY23" s="24">
        <v>0</v>
      </c>
      <c r="FZ23" s="24">
        <v>0</v>
      </c>
      <c r="GA23" s="24">
        <v>0</v>
      </c>
      <c r="GB23" s="24">
        <v>0</v>
      </c>
      <c r="GC23" s="24">
        <v>0</v>
      </c>
      <c r="GD23" s="24">
        <v>0</v>
      </c>
      <c r="GE23" s="24">
        <v>0</v>
      </c>
      <c r="GF23" s="24">
        <v>0</v>
      </c>
      <c r="GG23" s="24">
        <v>0</v>
      </c>
      <c r="GH23" s="24">
        <v>0</v>
      </c>
      <c r="GI23" s="24">
        <v>0</v>
      </c>
      <c r="GJ23" s="24">
        <v>0</v>
      </c>
      <c r="GK23" s="24">
        <v>0</v>
      </c>
      <c r="GL23" s="24">
        <v>0</v>
      </c>
      <c r="GM23" s="24">
        <v>0</v>
      </c>
      <c r="GN23" s="24">
        <v>0</v>
      </c>
      <c r="GO23" s="24">
        <v>0</v>
      </c>
      <c r="GP23" s="24">
        <v>0</v>
      </c>
      <c r="GQ23" s="24">
        <v>0</v>
      </c>
      <c r="GR23" s="24">
        <v>0</v>
      </c>
      <c r="GS23" s="24">
        <v>0</v>
      </c>
      <c r="GT23" s="24">
        <v>0</v>
      </c>
      <c r="GU23" s="24">
        <v>0</v>
      </c>
      <c r="GV23" s="24">
        <v>0</v>
      </c>
      <c r="GW23" s="24">
        <v>0</v>
      </c>
      <c r="GX23" s="24">
        <v>0</v>
      </c>
      <c r="GY23" s="24">
        <v>1327504</v>
      </c>
      <c r="GZ23" s="24">
        <v>0</v>
      </c>
      <c r="HA23" s="24">
        <v>0</v>
      </c>
      <c r="HB23" s="24">
        <v>0</v>
      </c>
      <c r="HC23" s="24">
        <v>0</v>
      </c>
      <c r="HD23" s="24">
        <v>0</v>
      </c>
      <c r="HE23" s="24">
        <v>0</v>
      </c>
      <c r="HF23" s="24">
        <v>0</v>
      </c>
      <c r="HG23" s="24">
        <v>0</v>
      </c>
      <c r="HH23" s="24">
        <v>0</v>
      </c>
      <c r="HI23" s="24">
        <v>0</v>
      </c>
      <c r="HJ23" s="24">
        <v>0</v>
      </c>
      <c r="HK23" s="24">
        <v>86912</v>
      </c>
      <c r="HL23" s="24">
        <v>0</v>
      </c>
      <c r="HM23" s="24">
        <v>0</v>
      </c>
      <c r="HN23" s="24">
        <v>0</v>
      </c>
      <c r="HO23" s="24">
        <v>0</v>
      </c>
      <c r="HP23" s="24">
        <v>0</v>
      </c>
      <c r="HQ23" s="24">
        <v>0</v>
      </c>
      <c r="HR23" s="24">
        <v>0</v>
      </c>
      <c r="HS23" s="24">
        <v>0</v>
      </c>
      <c r="HT23" s="24">
        <v>0</v>
      </c>
      <c r="HU23" s="24">
        <v>0</v>
      </c>
      <c r="HV23" s="24">
        <v>0</v>
      </c>
      <c r="HW23" s="24">
        <v>0</v>
      </c>
      <c r="HX23" s="24">
        <v>0</v>
      </c>
      <c r="HY23" s="24">
        <v>0</v>
      </c>
      <c r="HZ23" s="24">
        <v>0</v>
      </c>
      <c r="IA23" s="24">
        <v>0</v>
      </c>
      <c r="IB23" s="24">
        <v>0</v>
      </c>
      <c r="IC23" s="24">
        <v>0</v>
      </c>
      <c r="ID23" s="24">
        <v>0</v>
      </c>
      <c r="IE23" s="24">
        <v>0</v>
      </c>
      <c r="IF23" s="24">
        <v>0</v>
      </c>
      <c r="IG23" s="24">
        <v>0</v>
      </c>
      <c r="IH23" s="24">
        <v>0</v>
      </c>
      <c r="II23" s="24">
        <v>0</v>
      </c>
      <c r="IJ23" s="24">
        <v>0</v>
      </c>
      <c r="IK23" s="24">
        <v>0</v>
      </c>
      <c r="IL23" s="24">
        <v>0</v>
      </c>
      <c r="IM23" s="24">
        <v>0</v>
      </c>
      <c r="IN23" s="24">
        <v>83542</v>
      </c>
      <c r="IO23" s="24">
        <v>0</v>
      </c>
      <c r="IP23" s="24">
        <v>0</v>
      </c>
      <c r="IQ23" s="24">
        <v>0</v>
      </c>
      <c r="IR23" s="24">
        <v>0</v>
      </c>
      <c r="IS23" s="24">
        <v>0</v>
      </c>
      <c r="IT23" s="24">
        <v>0</v>
      </c>
      <c r="IU23" s="24">
        <v>0</v>
      </c>
      <c r="IV23" s="24">
        <v>12728</v>
      </c>
      <c r="IW23" s="24">
        <v>0</v>
      </c>
      <c r="IX23" s="24">
        <v>0</v>
      </c>
      <c r="IY23" s="24">
        <v>0</v>
      </c>
      <c r="IZ23" s="24">
        <v>0</v>
      </c>
      <c r="JA23" s="24">
        <v>0</v>
      </c>
      <c r="JB23" s="24">
        <v>0</v>
      </c>
      <c r="JC23" s="24">
        <v>0</v>
      </c>
      <c r="JD23" s="24">
        <v>0</v>
      </c>
      <c r="JE23" s="24">
        <v>0</v>
      </c>
      <c r="JF23" s="24">
        <v>0</v>
      </c>
      <c r="JG23" s="24">
        <v>0</v>
      </c>
      <c r="JH23" s="24">
        <v>0</v>
      </c>
      <c r="JI23" s="24">
        <v>0</v>
      </c>
      <c r="JJ23" s="24">
        <v>0</v>
      </c>
      <c r="JK23" s="24">
        <v>0</v>
      </c>
      <c r="JL23" s="24">
        <v>0</v>
      </c>
      <c r="JM23" s="24">
        <v>0</v>
      </c>
      <c r="JN23" s="24">
        <v>0</v>
      </c>
      <c r="JO23" s="24">
        <v>0</v>
      </c>
      <c r="JP23" s="24">
        <v>0</v>
      </c>
      <c r="JQ23" s="24">
        <v>48713</v>
      </c>
      <c r="JR23" s="24">
        <v>0</v>
      </c>
      <c r="JS23" s="24">
        <v>0</v>
      </c>
      <c r="JT23" s="24">
        <v>0</v>
      </c>
      <c r="JU23" s="24">
        <v>0</v>
      </c>
      <c r="JV23" s="24">
        <v>0</v>
      </c>
      <c r="JW23" s="24">
        <v>0</v>
      </c>
      <c r="JX23" s="24">
        <v>0</v>
      </c>
      <c r="JY23" s="24">
        <v>0</v>
      </c>
      <c r="JZ23" s="24">
        <v>0</v>
      </c>
      <c r="KA23" s="24">
        <v>0</v>
      </c>
      <c r="KB23" s="24">
        <v>0</v>
      </c>
      <c r="KC23" s="24">
        <v>0</v>
      </c>
      <c r="KD23" s="24">
        <v>0</v>
      </c>
      <c r="KE23" s="24">
        <v>0</v>
      </c>
      <c r="KF23" s="24">
        <v>0</v>
      </c>
      <c r="KG23" s="24">
        <v>0</v>
      </c>
      <c r="KH23" s="24">
        <v>0</v>
      </c>
      <c r="KI23" s="24">
        <v>0</v>
      </c>
      <c r="KJ23" s="24">
        <v>0</v>
      </c>
      <c r="KK23" s="24">
        <v>0</v>
      </c>
      <c r="KL23" s="24">
        <v>0</v>
      </c>
      <c r="KM23" s="24">
        <v>0</v>
      </c>
      <c r="KN23" s="24">
        <v>0</v>
      </c>
      <c r="KO23" s="24">
        <v>0</v>
      </c>
      <c r="KP23" s="24">
        <v>0</v>
      </c>
      <c r="KQ23" s="24">
        <v>0</v>
      </c>
      <c r="KR23" s="24">
        <v>0</v>
      </c>
      <c r="KS23" s="24">
        <v>0</v>
      </c>
      <c r="KT23" s="24">
        <v>0</v>
      </c>
      <c r="KU23" s="24">
        <v>0</v>
      </c>
      <c r="KV23" s="24">
        <v>0</v>
      </c>
      <c r="KW23" s="24">
        <v>0</v>
      </c>
      <c r="KX23" s="24">
        <v>0</v>
      </c>
      <c r="KY23" s="24">
        <v>0</v>
      </c>
      <c r="KZ23" s="24">
        <v>0</v>
      </c>
      <c r="LA23" s="24">
        <v>0</v>
      </c>
      <c r="LB23" s="24">
        <v>0</v>
      </c>
      <c r="LC23" s="24">
        <v>0</v>
      </c>
      <c r="LD23" s="24">
        <v>0</v>
      </c>
      <c r="LE23" s="24">
        <v>0</v>
      </c>
      <c r="LF23" s="24">
        <v>0</v>
      </c>
      <c r="LG23" s="24">
        <v>0</v>
      </c>
      <c r="LH23" s="24">
        <v>0</v>
      </c>
      <c r="LI23" s="24">
        <v>0</v>
      </c>
      <c r="LJ23" s="24">
        <v>0</v>
      </c>
      <c r="LK23" s="24">
        <v>0</v>
      </c>
      <c r="LL23" s="24">
        <v>0</v>
      </c>
      <c r="LM23" s="24">
        <v>0</v>
      </c>
      <c r="LN23" s="24">
        <v>0</v>
      </c>
      <c r="LO23" s="24">
        <v>0</v>
      </c>
      <c r="LP23" s="24">
        <v>0</v>
      </c>
      <c r="LQ23" s="24">
        <v>0</v>
      </c>
      <c r="LR23" s="24">
        <v>0</v>
      </c>
      <c r="LS23" s="24">
        <v>0</v>
      </c>
      <c r="LT23" s="24">
        <v>0</v>
      </c>
      <c r="LU23" s="24">
        <v>0</v>
      </c>
      <c r="LV23" s="24">
        <v>0</v>
      </c>
      <c r="LW23" s="24">
        <v>0</v>
      </c>
      <c r="LX23" s="24">
        <v>0</v>
      </c>
      <c r="LY23" s="24">
        <v>0</v>
      </c>
      <c r="LZ23" s="24">
        <v>0</v>
      </c>
      <c r="MA23" s="24">
        <v>0</v>
      </c>
      <c r="MB23" s="24">
        <v>0</v>
      </c>
      <c r="MC23" s="24">
        <v>0</v>
      </c>
      <c r="MD23" s="24">
        <v>0</v>
      </c>
      <c r="ME23" s="24">
        <v>0</v>
      </c>
      <c r="MF23" s="24">
        <v>0</v>
      </c>
      <c r="MG23" s="24">
        <v>0</v>
      </c>
      <c r="MH23" s="24">
        <v>0</v>
      </c>
      <c r="MI23" s="24">
        <v>0</v>
      </c>
      <c r="MJ23" s="24">
        <v>36303</v>
      </c>
      <c r="MK23" s="24">
        <v>0</v>
      </c>
      <c r="ML23" s="24">
        <v>0</v>
      </c>
      <c r="MM23" s="24">
        <v>0</v>
      </c>
      <c r="MN23" s="24">
        <v>0</v>
      </c>
      <c r="MO23" s="24">
        <v>0</v>
      </c>
      <c r="MP23" s="24">
        <v>0</v>
      </c>
      <c r="MQ23" s="24">
        <v>0</v>
      </c>
      <c r="MR23" s="24">
        <v>0</v>
      </c>
      <c r="MS23" s="24">
        <v>0</v>
      </c>
      <c r="MT23" s="24">
        <v>0</v>
      </c>
      <c r="MU23" s="24">
        <v>0</v>
      </c>
      <c r="MV23" s="24">
        <v>0</v>
      </c>
      <c r="MW23" s="24">
        <v>0</v>
      </c>
      <c r="MX23" s="24">
        <v>0</v>
      </c>
      <c r="MY23" s="24">
        <v>0</v>
      </c>
      <c r="MZ23" s="24">
        <v>0</v>
      </c>
      <c r="NA23" s="24">
        <v>0</v>
      </c>
      <c r="NB23" s="24">
        <v>0</v>
      </c>
      <c r="NC23" s="24">
        <v>0</v>
      </c>
      <c r="ND23" s="24">
        <v>0</v>
      </c>
      <c r="NE23" s="24">
        <v>0</v>
      </c>
      <c r="NF23" s="24">
        <v>0</v>
      </c>
      <c r="NG23" s="24">
        <v>0</v>
      </c>
      <c r="NH23" s="24">
        <v>0</v>
      </c>
      <c r="NI23" s="24">
        <v>0</v>
      </c>
      <c r="NJ23" s="24">
        <v>0</v>
      </c>
      <c r="NK23" s="24">
        <v>0</v>
      </c>
      <c r="NL23" s="24">
        <v>0</v>
      </c>
      <c r="NM23" s="24">
        <v>0</v>
      </c>
      <c r="NN23" s="24">
        <v>0</v>
      </c>
      <c r="NO23" s="24">
        <v>0</v>
      </c>
      <c r="NP23" s="24">
        <v>0</v>
      </c>
      <c r="NQ23" s="24">
        <v>0</v>
      </c>
      <c r="NR23" s="24">
        <v>0</v>
      </c>
      <c r="NS23" s="24">
        <v>0</v>
      </c>
      <c r="NT23" s="24">
        <v>0</v>
      </c>
      <c r="NU23" s="24">
        <v>0</v>
      </c>
      <c r="NV23" s="24">
        <v>0</v>
      </c>
      <c r="NW23" s="24">
        <v>0</v>
      </c>
      <c r="NX23" s="24">
        <v>0</v>
      </c>
      <c r="NY23" s="24">
        <v>0</v>
      </c>
      <c r="NZ23" s="24">
        <v>0</v>
      </c>
      <c r="OA23" s="24">
        <v>0</v>
      </c>
      <c r="OB23" s="24">
        <v>0</v>
      </c>
      <c r="OC23" s="24">
        <v>0</v>
      </c>
      <c r="OD23" s="24">
        <v>0</v>
      </c>
      <c r="OE23" s="24">
        <v>0</v>
      </c>
      <c r="OF23" s="24">
        <v>0</v>
      </c>
      <c r="OG23" s="24">
        <v>0</v>
      </c>
      <c r="OH23" s="24">
        <v>0</v>
      </c>
      <c r="OI23" s="24">
        <v>0</v>
      </c>
      <c r="OJ23" s="24">
        <v>0</v>
      </c>
      <c r="OK23" s="24">
        <v>0</v>
      </c>
      <c r="OL23" s="24">
        <v>0</v>
      </c>
      <c r="OM23" s="24">
        <v>0</v>
      </c>
      <c r="ON23" s="24">
        <v>0</v>
      </c>
      <c r="OO23" s="24">
        <v>0</v>
      </c>
      <c r="OP23" s="24">
        <v>0</v>
      </c>
      <c r="OQ23" s="24">
        <v>0</v>
      </c>
      <c r="OR23" s="24">
        <v>0</v>
      </c>
      <c r="OS23" s="24">
        <v>0</v>
      </c>
      <c r="OT23" s="24">
        <v>0</v>
      </c>
      <c r="OU23" s="24">
        <v>0</v>
      </c>
      <c r="OV23" s="24">
        <v>0</v>
      </c>
      <c r="OW23" s="24">
        <v>0</v>
      </c>
      <c r="OX23" s="24">
        <v>0</v>
      </c>
      <c r="OY23" s="24">
        <v>0</v>
      </c>
      <c r="OZ23" s="24">
        <v>0</v>
      </c>
      <c r="PA23" s="24">
        <v>0</v>
      </c>
      <c r="PB23" s="24">
        <v>0</v>
      </c>
      <c r="PC23" s="24">
        <v>0</v>
      </c>
      <c r="PD23" s="24">
        <v>0</v>
      </c>
      <c r="PE23" s="24">
        <v>0</v>
      </c>
      <c r="PF23" s="24">
        <v>0</v>
      </c>
      <c r="PG23" s="24">
        <v>0</v>
      </c>
      <c r="PH23" s="24">
        <v>0</v>
      </c>
      <c r="PI23" s="24">
        <v>0</v>
      </c>
      <c r="PJ23" s="24">
        <v>0</v>
      </c>
      <c r="PK23" s="24">
        <v>0</v>
      </c>
      <c r="PL23" s="24">
        <v>0</v>
      </c>
      <c r="PM23" s="24">
        <v>0</v>
      </c>
      <c r="PN23" s="24">
        <v>0</v>
      </c>
      <c r="PO23" s="24">
        <v>0</v>
      </c>
      <c r="PP23" s="24">
        <v>0</v>
      </c>
      <c r="PQ23" s="24">
        <v>0</v>
      </c>
      <c r="PR23" s="24">
        <v>0</v>
      </c>
      <c r="PS23" s="24">
        <v>0</v>
      </c>
      <c r="PT23" s="24">
        <v>0</v>
      </c>
      <c r="PU23" s="24">
        <v>0</v>
      </c>
      <c r="PV23" s="24">
        <v>0</v>
      </c>
      <c r="PW23" s="24">
        <v>0</v>
      </c>
      <c r="PX23" s="24">
        <v>0</v>
      </c>
      <c r="PY23" s="24">
        <v>0</v>
      </c>
      <c r="PZ23" s="24">
        <v>0</v>
      </c>
      <c r="QA23" s="24">
        <v>0</v>
      </c>
      <c r="QB23" s="24">
        <v>0</v>
      </c>
      <c r="QC23" s="24">
        <v>0</v>
      </c>
      <c r="QD23" s="24">
        <v>0</v>
      </c>
      <c r="QE23" s="24">
        <v>0</v>
      </c>
      <c r="QF23" s="24">
        <v>0</v>
      </c>
      <c r="QG23" s="24">
        <v>0</v>
      </c>
      <c r="QH23" s="24">
        <v>0</v>
      </c>
      <c r="QI23" s="24">
        <v>0</v>
      </c>
      <c r="QJ23" s="24">
        <v>0</v>
      </c>
      <c r="QK23" s="24">
        <v>0</v>
      </c>
      <c r="QL23" s="24">
        <v>0</v>
      </c>
      <c r="QM23" s="24">
        <v>0</v>
      </c>
      <c r="QN23" s="24">
        <v>0</v>
      </c>
      <c r="QO23" s="24">
        <v>0</v>
      </c>
      <c r="QP23" s="24">
        <v>0</v>
      </c>
      <c r="QQ23" s="24">
        <v>0</v>
      </c>
      <c r="QR23" s="24">
        <v>0</v>
      </c>
      <c r="QS23" s="4">
        <v>1</v>
      </c>
      <c r="QT23" s="5"/>
      <c r="QV23" s="4"/>
      <c r="QW23" s="39">
        <v>1327504</v>
      </c>
      <c r="QX23" s="39">
        <v>0</v>
      </c>
      <c r="QY23" s="39">
        <v>0</v>
      </c>
      <c r="QZ23" s="39">
        <v>0</v>
      </c>
      <c r="RA23" s="39">
        <v>0</v>
      </c>
      <c r="RB23" s="39">
        <v>0</v>
      </c>
      <c r="RC23" s="39">
        <v>86912</v>
      </c>
      <c r="RD23" s="39">
        <v>0</v>
      </c>
      <c r="RE23" s="39">
        <v>83542</v>
      </c>
      <c r="RF23" s="39">
        <v>12728</v>
      </c>
      <c r="RG23" s="39">
        <v>0</v>
      </c>
      <c r="RH23" s="39">
        <v>48713</v>
      </c>
      <c r="RI23" s="39"/>
      <c r="RJ23" s="182"/>
      <c r="RK23" s="39"/>
      <c r="RL23" s="39">
        <v>36303</v>
      </c>
      <c r="RM23" s="39">
        <v>1559399</v>
      </c>
      <c r="RN23" s="39">
        <v>0</v>
      </c>
      <c r="RO23" s="39">
        <v>0</v>
      </c>
      <c r="RP23" s="39"/>
      <c r="RQ23" s="182"/>
      <c r="RR23" s="39"/>
      <c r="RS23" s="39">
        <v>0</v>
      </c>
      <c r="RT23" s="39">
        <v>0</v>
      </c>
      <c r="RU23" s="187">
        <v>0</v>
      </c>
      <c r="RV23" s="39">
        <v>0</v>
      </c>
      <c r="RW23" s="39">
        <v>0</v>
      </c>
      <c r="RX23" s="4"/>
      <c r="RY23" s="5"/>
      <c r="RZ23" s="4"/>
      <c r="SA23" s="39">
        <v>1559399</v>
      </c>
      <c r="SB23" s="39">
        <v>12728</v>
      </c>
      <c r="SC23" s="50">
        <v>0.99183788113241067</v>
      </c>
      <c r="SE23" s="5"/>
      <c r="SG23" s="124">
        <v>171.38</v>
      </c>
      <c r="SH23" s="124">
        <v>0</v>
      </c>
      <c r="SI23" s="131">
        <v>0</v>
      </c>
      <c r="SJ23">
        <v>0</v>
      </c>
      <c r="SK23" s="131">
        <v>0</v>
      </c>
      <c r="SL23" s="124">
        <v>0</v>
      </c>
      <c r="SM23" s="131">
        <v>0</v>
      </c>
      <c r="SN23" s="142">
        <v>0</v>
      </c>
      <c r="SO23" s="142">
        <v>0</v>
      </c>
      <c r="SP23" s="142">
        <v>0</v>
      </c>
      <c r="SQ23" s="142">
        <v>0</v>
      </c>
      <c r="SR23" s="124">
        <v>0</v>
      </c>
      <c r="SS23" s="124">
        <v>0</v>
      </c>
      <c r="ST23" s="124">
        <v>0</v>
      </c>
      <c r="SU23" s="124">
        <v>0</v>
      </c>
      <c r="SV23" s="124">
        <v>0</v>
      </c>
      <c r="SW23" s="124">
        <v>171.38</v>
      </c>
      <c r="SX23" s="124">
        <v>105.86</v>
      </c>
      <c r="SY23" s="131">
        <v>0.315</v>
      </c>
      <c r="SZ23" s="134">
        <v>53.984699999999997</v>
      </c>
      <c r="TA23" s="131">
        <v>0.28000000000000003</v>
      </c>
      <c r="TB23" s="134">
        <v>47.986400000000003</v>
      </c>
      <c r="TC23" s="293">
        <v>17</v>
      </c>
      <c r="TD23" s="168">
        <v>10.2828</v>
      </c>
      <c r="TF23" s="5"/>
      <c r="TH23" s="168">
        <v>47.986400000000003</v>
      </c>
      <c r="TI23" s="168">
        <v>53.984699999999997</v>
      </c>
      <c r="TJ23" s="205">
        <v>53.984699999999997</v>
      </c>
      <c r="TK23" s="144"/>
      <c r="TL23" s="293"/>
      <c r="TM23" s="293">
        <v>10.2828</v>
      </c>
      <c r="TN23" s="169">
        <v>17</v>
      </c>
      <c r="TO23" s="205">
        <v>17</v>
      </c>
      <c r="TP23" s="5"/>
      <c r="TR23" s="293" t="s">
        <v>1432</v>
      </c>
      <c r="TT23" s="5"/>
      <c r="TV23" s="199">
        <v>0</v>
      </c>
      <c r="TW23" s="200">
        <v>0</v>
      </c>
      <c r="TX23" s="200">
        <v>1546671</v>
      </c>
      <c r="TY23" s="200">
        <v>633947</v>
      </c>
      <c r="TZ23" s="200">
        <v>925452</v>
      </c>
      <c r="UA23" s="204">
        <v>0</v>
      </c>
      <c r="UB23" s="204">
        <v>0</v>
      </c>
      <c r="UC23" s="200">
        <v>0</v>
      </c>
      <c r="UD23" s="200">
        <v>0</v>
      </c>
      <c r="UE23" s="200">
        <v>0</v>
      </c>
      <c r="UF23" s="200">
        <v>0</v>
      </c>
      <c r="UG23" s="200">
        <v>0</v>
      </c>
      <c r="UH23" s="200">
        <v>0</v>
      </c>
      <c r="UI23" s="200">
        <v>0</v>
      </c>
      <c r="UJ23" s="200">
        <v>0</v>
      </c>
      <c r="UK23" s="200">
        <v>0</v>
      </c>
      <c r="UL23" s="200">
        <v>0</v>
      </c>
      <c r="UM23" s="200">
        <v>0</v>
      </c>
      <c r="UN23" s="200">
        <v>925452</v>
      </c>
      <c r="UO23" s="200"/>
      <c r="UP23" s="182"/>
      <c r="UQ23" s="200"/>
      <c r="UR23" s="199">
        <v>1559399</v>
      </c>
      <c r="US23" s="199">
        <v>9099.0722371338543</v>
      </c>
      <c r="UT23" s="199">
        <v>1546671</v>
      </c>
      <c r="UU23" s="199">
        <v>9024.8045279495855</v>
      </c>
      <c r="UV23" s="199">
        <v>12728</v>
      </c>
      <c r="UW23" s="199">
        <v>74.267709184268824</v>
      </c>
      <c r="UX23" s="131">
        <v>8.2292872886347464E-3</v>
      </c>
      <c r="UY23" s="199"/>
      <c r="UZ23" s="221"/>
      <c r="VA23" s="199"/>
      <c r="VB23" s="199">
        <v>36303</v>
      </c>
      <c r="VC23" s="200">
        <v>12728</v>
      </c>
      <c r="VD23" s="199">
        <v>0</v>
      </c>
      <c r="VE23" s="199">
        <v>0</v>
      </c>
      <c r="VG23" s="5"/>
      <c r="VI23" s="354">
        <v>1608430</v>
      </c>
      <c r="VJ23" s="355">
        <v>9385.1674641148329</v>
      </c>
      <c r="VK23" s="354">
        <v>1595702</v>
      </c>
      <c r="VL23" s="355">
        <v>9310.8997549305641</v>
      </c>
      <c r="VM23" s="131">
        <v>7.9764266761588251E-3</v>
      </c>
      <c r="VN23" s="131"/>
      <c r="VO23" s="354"/>
      <c r="VP23" s="200"/>
      <c r="VQ23" s="200"/>
      <c r="VR23" s="200"/>
      <c r="VS23" s="199"/>
    </row>
    <row r="24" spans="1:591">
      <c r="A24" s="3">
        <v>281</v>
      </c>
      <c r="B24" s="2" t="s">
        <v>171</v>
      </c>
      <c r="C24" s="24">
        <v>0</v>
      </c>
      <c r="D24" s="24">
        <v>0</v>
      </c>
      <c r="E24" s="24">
        <v>0</v>
      </c>
      <c r="F24" s="24">
        <v>0</v>
      </c>
      <c r="G24" s="24">
        <v>9222792</v>
      </c>
      <c r="H24" s="24">
        <v>0</v>
      </c>
      <c r="I24" s="24">
        <v>0</v>
      </c>
      <c r="J24" s="24">
        <v>38649</v>
      </c>
      <c r="K24" s="24">
        <v>0</v>
      </c>
      <c r="L24" s="24">
        <v>0</v>
      </c>
      <c r="M24" s="24">
        <v>0</v>
      </c>
      <c r="N24" s="24">
        <v>11372</v>
      </c>
      <c r="O24" s="24">
        <v>0</v>
      </c>
      <c r="P24" s="24">
        <v>141</v>
      </c>
      <c r="Q24" s="24">
        <v>0</v>
      </c>
      <c r="R24" s="24">
        <v>0</v>
      </c>
      <c r="S24" s="24">
        <v>0</v>
      </c>
      <c r="T24" s="24">
        <v>0</v>
      </c>
      <c r="U24" s="24">
        <v>0</v>
      </c>
      <c r="V24" s="24">
        <v>730115</v>
      </c>
      <c r="W24" s="24">
        <v>286022</v>
      </c>
      <c r="X24" s="24">
        <v>0</v>
      </c>
      <c r="Y24" s="24">
        <v>11763</v>
      </c>
      <c r="Z24" s="24">
        <v>0</v>
      </c>
      <c r="AA24" s="24">
        <v>0</v>
      </c>
      <c r="AB24" s="24">
        <v>0</v>
      </c>
      <c r="AC24" s="24">
        <v>0</v>
      </c>
      <c r="AD24" s="24">
        <v>0</v>
      </c>
      <c r="AE24" s="24">
        <v>0</v>
      </c>
      <c r="AF24" s="24">
        <v>0</v>
      </c>
      <c r="AG24" s="24">
        <v>0</v>
      </c>
      <c r="AH24" s="24">
        <v>0</v>
      </c>
      <c r="AI24" s="24">
        <v>0</v>
      </c>
      <c r="AJ24" s="24">
        <v>10686</v>
      </c>
      <c r="AK24" s="24">
        <v>0</v>
      </c>
      <c r="AL24" s="24">
        <v>0</v>
      </c>
      <c r="AM24" s="24">
        <v>0</v>
      </c>
      <c r="AN24" s="24">
        <v>0</v>
      </c>
      <c r="AO24" s="24">
        <v>0</v>
      </c>
      <c r="AP24" s="24">
        <v>0</v>
      </c>
      <c r="AQ24" s="24">
        <v>0</v>
      </c>
      <c r="AR24" s="24">
        <v>0</v>
      </c>
      <c r="AS24" s="24">
        <v>0</v>
      </c>
      <c r="AT24" s="24">
        <v>0</v>
      </c>
      <c r="AU24" s="24">
        <v>0</v>
      </c>
      <c r="AV24" s="24">
        <v>0</v>
      </c>
      <c r="AW24" s="24">
        <v>0</v>
      </c>
      <c r="AX24" s="24">
        <v>0</v>
      </c>
      <c r="AY24" s="24">
        <v>0</v>
      </c>
      <c r="AZ24" s="24">
        <v>0</v>
      </c>
      <c r="BA24" s="24">
        <v>0</v>
      </c>
      <c r="BB24" s="24">
        <v>363</v>
      </c>
      <c r="BC24" s="24">
        <v>4578</v>
      </c>
      <c r="BD24" s="24">
        <v>0</v>
      </c>
      <c r="BE24" s="24">
        <v>0</v>
      </c>
      <c r="BF24" s="24">
        <v>0</v>
      </c>
      <c r="BG24" s="24">
        <v>0</v>
      </c>
      <c r="BH24" s="24">
        <v>0</v>
      </c>
      <c r="BI24" s="24">
        <v>0</v>
      </c>
      <c r="BJ24" s="24">
        <v>0</v>
      </c>
      <c r="BK24" s="24">
        <v>0</v>
      </c>
      <c r="BL24" s="24">
        <v>0</v>
      </c>
      <c r="BM24" s="24">
        <v>0</v>
      </c>
      <c r="BN24" s="24">
        <v>0</v>
      </c>
      <c r="BO24" s="24">
        <v>0</v>
      </c>
      <c r="BP24" s="24">
        <v>0</v>
      </c>
      <c r="BQ24" s="24">
        <v>0</v>
      </c>
      <c r="BR24" s="24">
        <v>0</v>
      </c>
      <c r="BS24" s="24">
        <v>0</v>
      </c>
      <c r="BT24" s="24">
        <v>0</v>
      </c>
      <c r="BU24" s="24">
        <v>0</v>
      </c>
      <c r="BV24" s="24">
        <v>180122</v>
      </c>
      <c r="BW24" s="24">
        <v>8672</v>
      </c>
      <c r="BX24" s="24">
        <v>0</v>
      </c>
      <c r="BY24" s="24">
        <v>0</v>
      </c>
      <c r="BZ24" s="24">
        <v>0</v>
      </c>
      <c r="CA24" s="24">
        <v>0</v>
      </c>
      <c r="CB24" s="24">
        <v>0</v>
      </c>
      <c r="CC24" s="24">
        <v>0</v>
      </c>
      <c r="CD24" s="24">
        <v>29267</v>
      </c>
      <c r="CE24" s="24">
        <v>0</v>
      </c>
      <c r="CF24" s="24">
        <v>0</v>
      </c>
      <c r="CG24" s="24">
        <v>0</v>
      </c>
      <c r="CH24" s="24">
        <v>0</v>
      </c>
      <c r="CI24" s="24">
        <v>0</v>
      </c>
      <c r="CJ24" s="24">
        <v>0</v>
      </c>
      <c r="CK24" s="24">
        <v>10392</v>
      </c>
      <c r="CL24" s="24">
        <v>0</v>
      </c>
      <c r="CM24" s="24">
        <v>0</v>
      </c>
      <c r="CN24" s="24">
        <v>0</v>
      </c>
      <c r="CO24" s="24">
        <v>0</v>
      </c>
      <c r="CP24" s="24">
        <v>0</v>
      </c>
      <c r="CQ24" s="24">
        <v>0</v>
      </c>
      <c r="CR24" s="24">
        <v>0</v>
      </c>
      <c r="CS24" s="24">
        <v>0</v>
      </c>
      <c r="CT24" s="24">
        <v>0</v>
      </c>
      <c r="CU24" s="24">
        <v>0</v>
      </c>
      <c r="CV24" s="24">
        <v>0</v>
      </c>
      <c r="CW24" s="24">
        <v>0</v>
      </c>
      <c r="CX24" s="24">
        <v>0</v>
      </c>
      <c r="CY24" s="24">
        <v>0</v>
      </c>
      <c r="CZ24" s="24">
        <v>0</v>
      </c>
      <c r="DA24" s="24">
        <v>0</v>
      </c>
      <c r="DB24" s="24">
        <v>0</v>
      </c>
      <c r="DC24" s="24">
        <v>0</v>
      </c>
      <c r="DD24" s="24">
        <v>0</v>
      </c>
      <c r="DE24" s="24">
        <v>0</v>
      </c>
      <c r="DF24" s="24">
        <v>0</v>
      </c>
      <c r="DG24" s="24">
        <v>0</v>
      </c>
      <c r="DH24" s="24">
        <v>0</v>
      </c>
      <c r="DI24" s="24">
        <v>0</v>
      </c>
      <c r="DJ24" s="24">
        <v>0</v>
      </c>
      <c r="DK24" s="24">
        <v>0</v>
      </c>
      <c r="DL24" s="24">
        <v>0</v>
      </c>
      <c r="DM24" s="24">
        <v>0</v>
      </c>
      <c r="DN24" s="24">
        <v>0</v>
      </c>
      <c r="DO24" s="24">
        <v>43027</v>
      </c>
      <c r="DP24" s="24">
        <v>0</v>
      </c>
      <c r="DQ24" s="24">
        <v>0</v>
      </c>
      <c r="DR24" s="24">
        <v>0</v>
      </c>
      <c r="DS24" s="24">
        <v>0</v>
      </c>
      <c r="DT24" s="24">
        <v>0</v>
      </c>
      <c r="DU24" s="24">
        <v>0</v>
      </c>
      <c r="DV24" s="24">
        <v>0</v>
      </c>
      <c r="DW24" s="24">
        <v>0</v>
      </c>
      <c r="DX24" s="24">
        <v>0</v>
      </c>
      <c r="DY24" s="24">
        <v>0</v>
      </c>
      <c r="DZ24" s="24">
        <v>0</v>
      </c>
      <c r="EA24" s="24">
        <v>0</v>
      </c>
      <c r="EB24" s="24">
        <v>0</v>
      </c>
      <c r="EC24" s="24">
        <v>0</v>
      </c>
      <c r="ED24" s="24">
        <v>0</v>
      </c>
      <c r="EE24" s="24">
        <v>0</v>
      </c>
      <c r="EF24" s="24">
        <v>0</v>
      </c>
      <c r="EG24" s="24">
        <v>0</v>
      </c>
      <c r="EH24" s="24">
        <v>0</v>
      </c>
      <c r="EI24" s="24">
        <v>0</v>
      </c>
      <c r="EJ24" s="24">
        <v>0</v>
      </c>
      <c r="EK24" s="24">
        <v>0</v>
      </c>
      <c r="EL24" s="24">
        <v>0</v>
      </c>
      <c r="EM24" s="24">
        <v>0</v>
      </c>
      <c r="EN24" s="24">
        <v>0</v>
      </c>
      <c r="EO24" s="24">
        <v>0</v>
      </c>
      <c r="EP24" s="24">
        <v>0</v>
      </c>
      <c r="EQ24" s="24">
        <v>0</v>
      </c>
      <c r="ER24" s="24">
        <v>0</v>
      </c>
      <c r="ES24" s="24">
        <v>0</v>
      </c>
      <c r="ET24" s="24">
        <v>0</v>
      </c>
      <c r="EU24" s="24">
        <v>0</v>
      </c>
      <c r="EV24" s="24">
        <v>0</v>
      </c>
      <c r="EW24" s="24">
        <v>0</v>
      </c>
      <c r="EX24" s="24">
        <v>0</v>
      </c>
      <c r="EY24" s="24">
        <v>0</v>
      </c>
      <c r="EZ24" s="24">
        <v>0</v>
      </c>
      <c r="FA24" s="24">
        <v>0</v>
      </c>
      <c r="FB24" s="24">
        <v>0</v>
      </c>
      <c r="FC24" s="24">
        <v>29067</v>
      </c>
      <c r="FD24" s="24">
        <v>0</v>
      </c>
      <c r="FE24" s="24">
        <v>0</v>
      </c>
      <c r="FF24" s="24">
        <v>0</v>
      </c>
      <c r="FG24" s="24">
        <v>0</v>
      </c>
      <c r="FH24" s="24">
        <v>0</v>
      </c>
      <c r="FI24" s="24">
        <v>43571</v>
      </c>
      <c r="FJ24" s="24">
        <v>0</v>
      </c>
      <c r="FK24" s="24">
        <v>61166</v>
      </c>
      <c r="FL24" s="24">
        <v>0</v>
      </c>
      <c r="FM24" s="24">
        <v>17985</v>
      </c>
      <c r="FN24" s="24">
        <v>0</v>
      </c>
      <c r="FO24" s="24">
        <v>346140</v>
      </c>
      <c r="FP24" s="24">
        <v>0</v>
      </c>
      <c r="FQ24" s="24">
        <v>0</v>
      </c>
      <c r="FR24" s="24">
        <v>0</v>
      </c>
      <c r="FS24" s="24">
        <v>0</v>
      </c>
      <c r="FT24" s="24">
        <v>0</v>
      </c>
      <c r="FU24" s="24">
        <v>0</v>
      </c>
      <c r="FV24" s="24">
        <v>0</v>
      </c>
      <c r="FW24" s="24">
        <v>14580</v>
      </c>
      <c r="FX24" s="24">
        <v>0</v>
      </c>
      <c r="FY24" s="24">
        <v>0</v>
      </c>
      <c r="FZ24" s="24">
        <v>0</v>
      </c>
      <c r="GA24" s="24">
        <v>0</v>
      </c>
      <c r="GB24" s="24">
        <v>0</v>
      </c>
      <c r="GC24" s="24">
        <v>0</v>
      </c>
      <c r="GD24" s="24">
        <v>0</v>
      </c>
      <c r="GE24" s="24">
        <v>0</v>
      </c>
      <c r="GF24" s="24">
        <v>0</v>
      </c>
      <c r="GG24" s="24">
        <v>0</v>
      </c>
      <c r="GH24" s="24">
        <v>0</v>
      </c>
      <c r="GI24" s="24">
        <v>0</v>
      </c>
      <c r="GJ24" s="24">
        <v>0</v>
      </c>
      <c r="GK24" s="24">
        <v>0</v>
      </c>
      <c r="GL24" s="24">
        <v>0</v>
      </c>
      <c r="GM24" s="24">
        <v>93229</v>
      </c>
      <c r="GN24" s="24">
        <v>1410344</v>
      </c>
      <c r="GO24" s="24">
        <v>0</v>
      </c>
      <c r="GP24" s="24">
        <v>0</v>
      </c>
      <c r="GQ24" s="24">
        <v>0</v>
      </c>
      <c r="GR24" s="24">
        <v>0</v>
      </c>
      <c r="GS24" s="24">
        <v>0</v>
      </c>
      <c r="GT24" s="24">
        <v>0</v>
      </c>
      <c r="GU24" s="24">
        <v>0</v>
      </c>
      <c r="GV24" s="24">
        <v>0</v>
      </c>
      <c r="GW24" s="24">
        <v>0</v>
      </c>
      <c r="GX24" s="24">
        <v>0</v>
      </c>
      <c r="GY24" s="24">
        <v>8384577</v>
      </c>
      <c r="GZ24" s="24">
        <v>0</v>
      </c>
      <c r="HA24" s="24">
        <v>0</v>
      </c>
      <c r="HB24" s="24">
        <v>0</v>
      </c>
      <c r="HC24" s="24">
        <v>0</v>
      </c>
      <c r="HD24" s="24">
        <v>506265</v>
      </c>
      <c r="HE24" s="24">
        <v>0</v>
      </c>
      <c r="HF24" s="24">
        <v>0</v>
      </c>
      <c r="HG24" s="24">
        <v>0</v>
      </c>
      <c r="HH24" s="24">
        <v>0</v>
      </c>
      <c r="HI24" s="24">
        <v>27894</v>
      </c>
      <c r="HJ24" s="24">
        <v>1131704</v>
      </c>
      <c r="HK24" s="24">
        <v>521679</v>
      </c>
      <c r="HL24" s="24">
        <v>0</v>
      </c>
      <c r="HM24" s="24">
        <v>0</v>
      </c>
      <c r="HN24" s="24">
        <v>0</v>
      </c>
      <c r="HO24" s="24">
        <v>0</v>
      </c>
      <c r="HP24" s="24">
        <v>0</v>
      </c>
      <c r="HQ24" s="24">
        <v>0</v>
      </c>
      <c r="HR24" s="24">
        <v>0</v>
      </c>
      <c r="HS24" s="24">
        <v>0</v>
      </c>
      <c r="HT24" s="24">
        <v>0</v>
      </c>
      <c r="HU24" s="24">
        <v>0</v>
      </c>
      <c r="HV24" s="24">
        <v>14815</v>
      </c>
      <c r="HW24" s="24">
        <v>0</v>
      </c>
      <c r="HX24" s="24">
        <v>0</v>
      </c>
      <c r="HY24" s="24">
        <v>0</v>
      </c>
      <c r="HZ24" s="24">
        <v>0</v>
      </c>
      <c r="IA24" s="24">
        <v>0</v>
      </c>
      <c r="IB24" s="24">
        <v>0</v>
      </c>
      <c r="IC24" s="24">
        <v>0</v>
      </c>
      <c r="ID24" s="24">
        <v>0</v>
      </c>
      <c r="IE24" s="24">
        <v>0</v>
      </c>
      <c r="IF24" s="24">
        <v>45382</v>
      </c>
      <c r="IG24" s="24">
        <v>0</v>
      </c>
      <c r="IH24" s="24">
        <v>0</v>
      </c>
      <c r="II24" s="24">
        <v>0</v>
      </c>
      <c r="IJ24" s="24">
        <v>0</v>
      </c>
      <c r="IK24" s="24">
        <v>13250</v>
      </c>
      <c r="IL24" s="24">
        <v>0</v>
      </c>
      <c r="IM24" s="24">
        <v>0</v>
      </c>
      <c r="IN24" s="24">
        <v>20858</v>
      </c>
      <c r="IO24" s="24">
        <v>0</v>
      </c>
      <c r="IP24" s="24">
        <v>0</v>
      </c>
      <c r="IQ24" s="24">
        <v>0</v>
      </c>
      <c r="IR24" s="24">
        <v>0</v>
      </c>
      <c r="IS24" s="24">
        <v>0</v>
      </c>
      <c r="IT24" s="24">
        <v>0</v>
      </c>
      <c r="IU24" s="24">
        <v>0</v>
      </c>
      <c r="IV24" s="24">
        <v>99823</v>
      </c>
      <c r="IW24" s="24">
        <v>0</v>
      </c>
      <c r="IX24" s="24">
        <v>0</v>
      </c>
      <c r="IY24" s="24">
        <v>0</v>
      </c>
      <c r="IZ24" s="24">
        <v>0</v>
      </c>
      <c r="JA24" s="24">
        <v>0</v>
      </c>
      <c r="JB24" s="24">
        <v>187454</v>
      </c>
      <c r="JC24" s="24">
        <v>0</v>
      </c>
      <c r="JD24" s="24">
        <v>0</v>
      </c>
      <c r="JE24" s="24">
        <v>0</v>
      </c>
      <c r="JF24" s="24">
        <v>0</v>
      </c>
      <c r="JG24" s="24">
        <v>0</v>
      </c>
      <c r="JH24" s="24">
        <v>0</v>
      </c>
      <c r="JI24" s="24">
        <v>0</v>
      </c>
      <c r="JJ24" s="24">
        <v>0</v>
      </c>
      <c r="JK24" s="24">
        <v>0</v>
      </c>
      <c r="JL24" s="24">
        <v>0</v>
      </c>
      <c r="JM24" s="24">
        <v>0</v>
      </c>
      <c r="JN24" s="24">
        <v>0</v>
      </c>
      <c r="JO24" s="24">
        <v>0</v>
      </c>
      <c r="JP24" s="24">
        <v>0</v>
      </c>
      <c r="JQ24" s="24">
        <v>0</v>
      </c>
      <c r="JR24" s="24">
        <v>0</v>
      </c>
      <c r="JS24" s="24">
        <v>0</v>
      </c>
      <c r="JT24" s="24">
        <v>0</v>
      </c>
      <c r="JU24" s="24">
        <v>0</v>
      </c>
      <c r="JV24" s="24">
        <v>0</v>
      </c>
      <c r="JW24" s="24">
        <v>0</v>
      </c>
      <c r="JX24" s="24">
        <v>0</v>
      </c>
      <c r="JY24" s="24">
        <v>0</v>
      </c>
      <c r="JZ24" s="24">
        <v>0</v>
      </c>
      <c r="KA24" s="24">
        <v>0</v>
      </c>
      <c r="KB24" s="24">
        <v>0</v>
      </c>
      <c r="KC24" s="24">
        <v>0</v>
      </c>
      <c r="KD24" s="24">
        <v>0</v>
      </c>
      <c r="KE24" s="24">
        <v>0</v>
      </c>
      <c r="KF24" s="24">
        <v>0</v>
      </c>
      <c r="KG24" s="24">
        <v>0</v>
      </c>
      <c r="KH24" s="24">
        <v>0</v>
      </c>
      <c r="KI24" s="24">
        <v>0</v>
      </c>
      <c r="KJ24" s="24">
        <v>33510</v>
      </c>
      <c r="KK24" s="24">
        <v>0</v>
      </c>
      <c r="KL24" s="24">
        <v>0</v>
      </c>
      <c r="KM24" s="24">
        <v>0</v>
      </c>
      <c r="KN24" s="24">
        <v>0</v>
      </c>
      <c r="KO24" s="24">
        <v>0</v>
      </c>
      <c r="KP24" s="24">
        <v>0</v>
      </c>
      <c r="KQ24" s="24">
        <v>0</v>
      </c>
      <c r="KR24" s="24">
        <v>0</v>
      </c>
      <c r="KS24" s="24">
        <v>0</v>
      </c>
      <c r="KT24" s="24">
        <v>0</v>
      </c>
      <c r="KU24" s="24">
        <v>0</v>
      </c>
      <c r="KV24" s="24">
        <v>0</v>
      </c>
      <c r="KW24" s="24">
        <v>0</v>
      </c>
      <c r="KX24" s="24">
        <v>0</v>
      </c>
      <c r="KY24" s="24">
        <v>0</v>
      </c>
      <c r="KZ24" s="24">
        <v>0</v>
      </c>
      <c r="LA24" s="24">
        <v>0</v>
      </c>
      <c r="LB24" s="24">
        <v>0</v>
      </c>
      <c r="LC24" s="24">
        <v>0</v>
      </c>
      <c r="LD24" s="24">
        <v>0</v>
      </c>
      <c r="LE24" s="24">
        <v>0</v>
      </c>
      <c r="LF24" s="24">
        <v>0</v>
      </c>
      <c r="LG24" s="24">
        <v>0</v>
      </c>
      <c r="LH24" s="24">
        <v>321623</v>
      </c>
      <c r="LI24" s="24">
        <v>0</v>
      </c>
      <c r="LJ24" s="24">
        <v>0</v>
      </c>
      <c r="LK24" s="24">
        <v>0</v>
      </c>
      <c r="LL24" s="24">
        <v>0</v>
      </c>
      <c r="LM24" s="24">
        <v>0</v>
      </c>
      <c r="LN24" s="24">
        <v>0</v>
      </c>
      <c r="LO24" s="24">
        <v>0</v>
      </c>
      <c r="LP24" s="24">
        <v>307520</v>
      </c>
      <c r="LQ24" s="24">
        <v>0</v>
      </c>
      <c r="LR24" s="24">
        <v>0</v>
      </c>
      <c r="LS24" s="24">
        <v>0</v>
      </c>
      <c r="LT24" s="24">
        <v>0</v>
      </c>
      <c r="LU24" s="24">
        <v>0</v>
      </c>
      <c r="LV24" s="24">
        <v>0</v>
      </c>
      <c r="LW24" s="24">
        <v>0</v>
      </c>
      <c r="LX24" s="24">
        <v>0</v>
      </c>
      <c r="LY24" s="24">
        <v>0</v>
      </c>
      <c r="LZ24" s="24">
        <v>0</v>
      </c>
      <c r="MA24" s="24">
        <v>0</v>
      </c>
      <c r="MB24" s="24">
        <v>0</v>
      </c>
      <c r="MC24" s="24">
        <v>0</v>
      </c>
      <c r="MD24" s="24">
        <v>0</v>
      </c>
      <c r="ME24" s="24">
        <v>0</v>
      </c>
      <c r="MF24" s="24">
        <v>0</v>
      </c>
      <c r="MG24" s="24">
        <v>0</v>
      </c>
      <c r="MH24" s="24">
        <v>0</v>
      </c>
      <c r="MI24" s="24">
        <v>0</v>
      </c>
      <c r="MJ24" s="24">
        <v>28098</v>
      </c>
      <c r="MK24" s="24">
        <v>0</v>
      </c>
      <c r="ML24" s="24">
        <v>0</v>
      </c>
      <c r="MM24" s="24">
        <v>0</v>
      </c>
      <c r="MN24" s="24">
        <v>0</v>
      </c>
      <c r="MO24" s="24">
        <v>0</v>
      </c>
      <c r="MP24" s="24">
        <v>0</v>
      </c>
      <c r="MQ24" s="24">
        <v>462132</v>
      </c>
      <c r="MR24" s="24">
        <v>0</v>
      </c>
      <c r="MS24" s="24">
        <v>0</v>
      </c>
      <c r="MT24" s="24">
        <v>498297</v>
      </c>
      <c r="MU24" s="24">
        <v>22714</v>
      </c>
      <c r="MV24" s="24">
        <v>0</v>
      </c>
      <c r="MW24" s="24">
        <v>0</v>
      </c>
      <c r="MX24" s="24">
        <v>183797</v>
      </c>
      <c r="MY24" s="24">
        <v>0</v>
      </c>
      <c r="MZ24" s="24">
        <v>0</v>
      </c>
      <c r="NA24" s="24">
        <v>0</v>
      </c>
      <c r="NB24" s="24">
        <v>0</v>
      </c>
      <c r="NC24" s="24">
        <v>0</v>
      </c>
      <c r="ND24" s="24">
        <v>0</v>
      </c>
      <c r="NE24" s="24">
        <v>0</v>
      </c>
      <c r="NF24" s="24">
        <v>0</v>
      </c>
      <c r="NG24" s="24">
        <v>0</v>
      </c>
      <c r="NH24" s="24">
        <v>0</v>
      </c>
      <c r="NI24" s="24">
        <v>0</v>
      </c>
      <c r="NJ24" s="24">
        <v>0</v>
      </c>
      <c r="NK24" s="24">
        <v>0</v>
      </c>
      <c r="NL24" s="24">
        <v>0</v>
      </c>
      <c r="NM24" s="24">
        <v>0</v>
      </c>
      <c r="NN24" s="24">
        <v>0</v>
      </c>
      <c r="NO24" s="24">
        <v>0</v>
      </c>
      <c r="NP24" s="24">
        <v>0</v>
      </c>
      <c r="NQ24" s="24">
        <v>0</v>
      </c>
      <c r="NR24" s="24">
        <v>80659</v>
      </c>
      <c r="NS24" s="24">
        <v>0</v>
      </c>
      <c r="NT24" s="24">
        <v>0</v>
      </c>
      <c r="NU24" s="24">
        <v>0</v>
      </c>
      <c r="NV24" s="24">
        <v>0</v>
      </c>
      <c r="NW24" s="24">
        <v>0</v>
      </c>
      <c r="NX24" s="24">
        <v>0</v>
      </c>
      <c r="NY24" s="24">
        <v>0</v>
      </c>
      <c r="NZ24" s="24">
        <v>0</v>
      </c>
      <c r="OA24" s="24">
        <v>0</v>
      </c>
      <c r="OB24" s="24">
        <v>0</v>
      </c>
      <c r="OC24" s="24">
        <v>0</v>
      </c>
      <c r="OD24" s="24">
        <v>0</v>
      </c>
      <c r="OE24" s="24">
        <v>0</v>
      </c>
      <c r="OF24" s="24">
        <v>0</v>
      </c>
      <c r="OG24" s="24">
        <v>0</v>
      </c>
      <c r="OH24" s="24">
        <v>0</v>
      </c>
      <c r="OI24" s="24">
        <v>0</v>
      </c>
      <c r="OJ24" s="24">
        <v>0</v>
      </c>
      <c r="OK24" s="24">
        <v>0</v>
      </c>
      <c r="OL24" s="24">
        <v>0</v>
      </c>
      <c r="OM24" s="24">
        <v>0</v>
      </c>
      <c r="ON24" s="24">
        <v>0</v>
      </c>
      <c r="OO24" s="24">
        <v>0</v>
      </c>
      <c r="OP24" s="24">
        <v>0</v>
      </c>
      <c r="OQ24" s="24">
        <v>0</v>
      </c>
      <c r="OR24" s="24">
        <v>0</v>
      </c>
      <c r="OS24" s="24">
        <v>0</v>
      </c>
      <c r="OT24" s="24">
        <v>0</v>
      </c>
      <c r="OU24" s="24">
        <v>0</v>
      </c>
      <c r="OV24" s="24">
        <v>0</v>
      </c>
      <c r="OW24" s="24">
        <v>0</v>
      </c>
      <c r="OX24" s="24">
        <v>0</v>
      </c>
      <c r="OY24" s="24">
        <v>29847</v>
      </c>
      <c r="OZ24" s="24">
        <v>0</v>
      </c>
      <c r="PA24" s="24">
        <v>0</v>
      </c>
      <c r="PB24" s="24">
        <v>0</v>
      </c>
      <c r="PC24" s="24">
        <v>0</v>
      </c>
      <c r="PD24" s="24">
        <v>0</v>
      </c>
      <c r="PE24" s="24">
        <v>0</v>
      </c>
      <c r="PF24" s="24">
        <v>3000</v>
      </c>
      <c r="PG24" s="24">
        <v>0</v>
      </c>
      <c r="PH24" s="24">
        <v>0</v>
      </c>
      <c r="PI24" s="24">
        <v>0</v>
      </c>
      <c r="PJ24" s="24">
        <v>0</v>
      </c>
      <c r="PK24" s="24">
        <v>0</v>
      </c>
      <c r="PL24" s="24">
        <v>0</v>
      </c>
      <c r="PM24" s="24">
        <v>0</v>
      </c>
      <c r="PN24" s="24">
        <v>0</v>
      </c>
      <c r="PO24" s="24">
        <v>0</v>
      </c>
      <c r="PP24" s="24">
        <v>0</v>
      </c>
      <c r="PQ24" s="24">
        <v>0</v>
      </c>
      <c r="PR24" s="24">
        <v>0</v>
      </c>
      <c r="PS24" s="24">
        <v>0</v>
      </c>
      <c r="PT24" s="24">
        <v>0</v>
      </c>
      <c r="PU24" s="24">
        <v>0</v>
      </c>
      <c r="PV24" s="24">
        <v>0</v>
      </c>
      <c r="PW24" s="24">
        <v>0</v>
      </c>
      <c r="PX24" s="24">
        <v>0</v>
      </c>
      <c r="PY24" s="24">
        <v>0</v>
      </c>
      <c r="PZ24" s="24">
        <v>0</v>
      </c>
      <c r="QA24" s="24">
        <v>0</v>
      </c>
      <c r="QB24" s="24">
        <v>0</v>
      </c>
      <c r="QC24" s="24">
        <v>0</v>
      </c>
      <c r="QD24" s="24">
        <v>0</v>
      </c>
      <c r="QE24" s="24">
        <v>0</v>
      </c>
      <c r="QF24" s="24">
        <v>0</v>
      </c>
      <c r="QG24" s="24">
        <v>0</v>
      </c>
      <c r="QH24" s="24">
        <v>0</v>
      </c>
      <c r="QI24" s="24">
        <v>23000</v>
      </c>
      <c r="QJ24" s="24">
        <v>0</v>
      </c>
      <c r="QK24" s="24">
        <v>0</v>
      </c>
      <c r="QL24" s="24">
        <v>601000</v>
      </c>
      <c r="QM24" s="24">
        <v>0</v>
      </c>
      <c r="QN24" s="24">
        <v>0</v>
      </c>
      <c r="QO24" s="24">
        <v>0</v>
      </c>
      <c r="QP24" s="24">
        <v>0</v>
      </c>
      <c r="QQ24" s="24">
        <v>0</v>
      </c>
      <c r="QR24" s="24">
        <v>0</v>
      </c>
      <c r="QS24" s="4"/>
      <c r="QT24" s="5"/>
      <c r="QV24" s="4"/>
      <c r="QW24" s="39">
        <v>8384577</v>
      </c>
      <c r="QX24" s="39">
        <v>506265</v>
      </c>
      <c r="QY24" s="39">
        <v>0</v>
      </c>
      <c r="QZ24" s="39">
        <v>0</v>
      </c>
      <c r="RA24" s="39">
        <v>27894</v>
      </c>
      <c r="RB24" s="39">
        <v>1131704</v>
      </c>
      <c r="RC24" s="39">
        <v>581876</v>
      </c>
      <c r="RD24" s="39">
        <v>13250</v>
      </c>
      <c r="RE24" s="39">
        <v>20858</v>
      </c>
      <c r="RF24" s="39">
        <v>99823</v>
      </c>
      <c r="RG24" s="39">
        <v>187454</v>
      </c>
      <c r="RH24" s="39">
        <v>0</v>
      </c>
      <c r="RI24" s="39"/>
      <c r="RJ24" s="182"/>
      <c r="RK24" s="39"/>
      <c r="RL24" s="39">
        <v>1938350</v>
      </c>
      <c r="RM24" s="39">
        <v>10953701</v>
      </c>
      <c r="RN24" s="39">
        <v>12604043</v>
      </c>
      <c r="RO24" s="39">
        <v>656847</v>
      </c>
      <c r="RP24" s="39"/>
      <c r="RQ24" s="182"/>
      <c r="RR24" s="39"/>
      <c r="RS24" s="39">
        <v>1333376092</v>
      </c>
      <c r="RT24" s="39">
        <v>563319.00802703842</v>
      </c>
      <c r="RU24" s="187">
        <v>7.6207869999999991</v>
      </c>
      <c r="RV24" s="39">
        <v>4666816.3219999997</v>
      </c>
      <c r="RW24" s="39">
        <v>7937226.6780000003</v>
      </c>
      <c r="RX24" s="4"/>
      <c r="RY24" s="5"/>
      <c r="RZ24" s="4"/>
      <c r="SA24" s="39">
        <v>10953701</v>
      </c>
      <c r="SB24" s="39">
        <v>834686</v>
      </c>
      <c r="SC24" s="50">
        <v>0.92379872337212787</v>
      </c>
      <c r="SE24" s="5"/>
      <c r="SG24" s="124">
        <v>2367</v>
      </c>
      <c r="SH24" s="124">
        <v>735.25652173913045</v>
      </c>
      <c r="SI24" s="131">
        <v>0.31062801932367151</v>
      </c>
      <c r="SJ24">
        <v>41</v>
      </c>
      <c r="SK24" s="131">
        <v>1.7321504013519222E-2</v>
      </c>
      <c r="SL24" s="124">
        <v>235</v>
      </c>
      <c r="SM24" s="131">
        <v>9.9281791297000418E-2</v>
      </c>
      <c r="SN24" s="142">
        <v>164.5</v>
      </c>
      <c r="SO24" s="142">
        <v>47</v>
      </c>
      <c r="SP24" s="142">
        <v>16.450000000000003</v>
      </c>
      <c r="SQ24" s="142">
        <v>7.05</v>
      </c>
      <c r="SR24" s="124">
        <v>27</v>
      </c>
      <c r="SS24" s="124">
        <v>102</v>
      </c>
      <c r="ST24" s="124">
        <v>602</v>
      </c>
      <c r="SU24" s="124">
        <v>503</v>
      </c>
      <c r="SV24" s="124">
        <v>397</v>
      </c>
      <c r="SW24" s="124">
        <v>763</v>
      </c>
      <c r="SX24" s="124">
        <v>1520</v>
      </c>
      <c r="SY24" s="131">
        <v>0.20800000000000002</v>
      </c>
      <c r="SZ24" s="134">
        <v>492.33600000000007</v>
      </c>
      <c r="TA24" s="131">
        <v>0.14599999999999999</v>
      </c>
      <c r="TB24" s="134">
        <v>345.58199999999999</v>
      </c>
      <c r="TC24" s="293">
        <v>205</v>
      </c>
      <c r="TD24" s="168">
        <v>142.01999999999998</v>
      </c>
      <c r="TF24" s="5"/>
      <c r="TH24" s="168">
        <v>345.58199999999999</v>
      </c>
      <c r="TI24" s="168">
        <v>492.33600000000007</v>
      </c>
      <c r="TJ24" s="205">
        <v>492.33600000000007</v>
      </c>
      <c r="TK24" s="144"/>
      <c r="TL24" s="293"/>
      <c r="TM24" s="293">
        <v>142.01999999999998</v>
      </c>
      <c r="TN24" s="169">
        <v>205</v>
      </c>
      <c r="TO24" s="205">
        <v>205</v>
      </c>
      <c r="TP24" s="5"/>
      <c r="TR24" s="293" t="s">
        <v>91</v>
      </c>
      <c r="TT24" s="5"/>
      <c r="TV24" s="199">
        <v>4666816.3219999997</v>
      </c>
      <c r="TW24" s="200">
        <v>0</v>
      </c>
      <c r="TX24" s="200">
        <v>10119015</v>
      </c>
      <c r="TY24" s="200" t="s">
        <v>91</v>
      </c>
      <c r="TZ24" s="200">
        <v>12781800</v>
      </c>
      <c r="UA24" s="204">
        <v>794077.04347826086</v>
      </c>
      <c r="UB24" s="204">
        <v>22140</v>
      </c>
      <c r="UC24" s="200">
        <v>0</v>
      </c>
      <c r="UD24" s="200">
        <v>0</v>
      </c>
      <c r="UE24" s="200">
        <v>0</v>
      </c>
      <c r="UF24" s="200">
        <v>0</v>
      </c>
      <c r="UG24" s="200">
        <v>0</v>
      </c>
      <c r="UH24" s="200">
        <v>0</v>
      </c>
      <c r="UI24" s="200">
        <v>0</v>
      </c>
      <c r="UJ24" s="200">
        <v>0</v>
      </c>
      <c r="UK24" s="200">
        <v>0</v>
      </c>
      <c r="UL24" s="200">
        <v>0</v>
      </c>
      <c r="UM24" s="200">
        <v>0</v>
      </c>
      <c r="UN24" s="200">
        <v>13598017.043478262</v>
      </c>
      <c r="UO24" s="200"/>
      <c r="UP24" s="182"/>
      <c r="UQ24" s="200"/>
      <c r="UR24" s="199">
        <v>13598017.043478262</v>
      </c>
      <c r="US24" s="199">
        <v>5744.8318730368655</v>
      </c>
      <c r="UT24" s="199">
        <v>14785831.322000001</v>
      </c>
      <c r="UU24" s="199">
        <v>6246.6545509083235</v>
      </c>
      <c r="UV24" s="199">
        <v>-1187814.2785217389</v>
      </c>
      <c r="UW24" s="199">
        <v>-501.82267787145793</v>
      </c>
      <c r="UX24" s="131">
        <v>-8.0334629325466395E-2</v>
      </c>
      <c r="UY24" s="199"/>
      <c r="UZ24" s="221"/>
      <c r="VA24" s="199"/>
      <c r="VB24" s="199">
        <v>1938350</v>
      </c>
      <c r="VC24" s="200">
        <v>834686</v>
      </c>
      <c r="VD24" s="199">
        <v>7937226.6780000003</v>
      </c>
      <c r="VE24" s="199">
        <v>656847</v>
      </c>
      <c r="VG24" s="5"/>
      <c r="VI24" s="354">
        <v>24308279.721478261</v>
      </c>
      <c r="VJ24" s="355">
        <v>10269.657677008137</v>
      </c>
      <c r="VK24" s="354">
        <v>25496094</v>
      </c>
      <c r="VL24" s="355">
        <v>10771.480354879595</v>
      </c>
      <c r="VM24" s="131">
        <v>-4.6588088297828713E-2</v>
      </c>
      <c r="VN24" s="131"/>
      <c r="VO24" s="354"/>
      <c r="VP24" s="200"/>
      <c r="VQ24" s="200"/>
      <c r="VR24" s="200"/>
      <c r="VS24" s="199"/>
    </row>
    <row r="25" spans="1:591">
      <c r="A25" s="26">
        <v>281.10000000000002</v>
      </c>
      <c r="B25" s="2" t="s">
        <v>172</v>
      </c>
      <c r="C25" s="24">
        <v>0</v>
      </c>
      <c r="D25" s="24">
        <v>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663</v>
      </c>
      <c r="AK25" s="24">
        <v>0</v>
      </c>
      <c r="AL25" s="24">
        <v>0</v>
      </c>
      <c r="AM25" s="24">
        <v>0</v>
      </c>
      <c r="AN25" s="24">
        <v>0</v>
      </c>
      <c r="AO25" s="24">
        <v>0</v>
      </c>
      <c r="AP25" s="24">
        <v>0</v>
      </c>
      <c r="AQ25" s="24">
        <v>0</v>
      </c>
      <c r="AR25" s="24">
        <v>0</v>
      </c>
      <c r="AS25" s="24">
        <v>0</v>
      </c>
      <c r="AT25" s="24">
        <v>0</v>
      </c>
      <c r="AU25" s="24">
        <v>0</v>
      </c>
      <c r="AV25" s="24">
        <v>0</v>
      </c>
      <c r="AW25" s="24">
        <v>0</v>
      </c>
      <c r="AX25" s="24">
        <v>0</v>
      </c>
      <c r="AY25" s="24">
        <v>0</v>
      </c>
      <c r="AZ25" s="24">
        <v>0</v>
      </c>
      <c r="BA25" s="24">
        <v>0</v>
      </c>
      <c r="BB25" s="24">
        <v>0</v>
      </c>
      <c r="BC25" s="24">
        <v>0</v>
      </c>
      <c r="BD25" s="24">
        <v>0</v>
      </c>
      <c r="BE25" s="24">
        <v>0</v>
      </c>
      <c r="BF25" s="24">
        <v>0</v>
      </c>
      <c r="BG25" s="24">
        <v>0</v>
      </c>
      <c r="BH25" s="24">
        <v>0</v>
      </c>
      <c r="BI25" s="24">
        <v>0</v>
      </c>
      <c r="BJ25" s="24">
        <v>0</v>
      </c>
      <c r="BK25" s="24">
        <v>0</v>
      </c>
      <c r="BL25" s="24">
        <v>0</v>
      </c>
      <c r="BM25" s="24">
        <v>0</v>
      </c>
      <c r="BN25" s="24">
        <v>0</v>
      </c>
      <c r="BO25" s="24">
        <v>0</v>
      </c>
      <c r="BP25" s="24">
        <v>0</v>
      </c>
      <c r="BQ25" s="24">
        <v>0</v>
      </c>
      <c r="BR25" s="24">
        <v>0</v>
      </c>
      <c r="BS25" s="24">
        <v>0</v>
      </c>
      <c r="BT25" s="24">
        <v>0</v>
      </c>
      <c r="BU25" s="24">
        <v>0</v>
      </c>
      <c r="BV25" s="24">
        <v>10730</v>
      </c>
      <c r="BW25" s="24">
        <v>0</v>
      </c>
      <c r="BX25" s="24">
        <v>0</v>
      </c>
      <c r="BY25" s="24">
        <v>0</v>
      </c>
      <c r="BZ25" s="24">
        <v>0</v>
      </c>
      <c r="CA25" s="24">
        <v>0</v>
      </c>
      <c r="CB25" s="24">
        <v>0</v>
      </c>
      <c r="CC25" s="24">
        <v>0</v>
      </c>
      <c r="CD25" s="24">
        <v>0</v>
      </c>
      <c r="CE25" s="24">
        <v>0</v>
      </c>
      <c r="CF25" s="24">
        <v>0</v>
      </c>
      <c r="CG25" s="24">
        <v>0</v>
      </c>
      <c r="CH25" s="24">
        <v>0</v>
      </c>
      <c r="CI25" s="24">
        <v>0</v>
      </c>
      <c r="CJ25" s="24">
        <v>0</v>
      </c>
      <c r="CK25" s="24">
        <v>0</v>
      </c>
      <c r="CL25" s="24">
        <v>0</v>
      </c>
      <c r="CM25" s="24">
        <v>0</v>
      </c>
      <c r="CN25" s="24">
        <v>0</v>
      </c>
      <c r="CO25" s="24">
        <v>0</v>
      </c>
      <c r="CP25" s="24">
        <v>0</v>
      </c>
      <c r="CQ25" s="24">
        <v>0</v>
      </c>
      <c r="CR25" s="24">
        <v>0</v>
      </c>
      <c r="CS25" s="24">
        <v>0</v>
      </c>
      <c r="CT25" s="24">
        <v>0</v>
      </c>
      <c r="CU25" s="24">
        <v>0</v>
      </c>
      <c r="CV25" s="24">
        <v>0</v>
      </c>
      <c r="CW25" s="24">
        <v>0</v>
      </c>
      <c r="CX25" s="24">
        <v>0</v>
      </c>
      <c r="CY25" s="24">
        <v>0</v>
      </c>
      <c r="CZ25" s="24">
        <v>0</v>
      </c>
      <c r="DA25" s="24">
        <v>0</v>
      </c>
      <c r="DB25" s="24">
        <v>0</v>
      </c>
      <c r="DC25" s="24">
        <v>0</v>
      </c>
      <c r="DD25" s="24">
        <v>0</v>
      </c>
      <c r="DE25" s="24">
        <v>0</v>
      </c>
      <c r="DF25" s="24">
        <v>0</v>
      </c>
      <c r="DG25" s="24">
        <v>0</v>
      </c>
      <c r="DH25" s="24">
        <v>0</v>
      </c>
      <c r="DI25" s="24">
        <v>0</v>
      </c>
      <c r="DJ25" s="24">
        <v>0</v>
      </c>
      <c r="DK25" s="24">
        <v>0</v>
      </c>
      <c r="DL25" s="24">
        <v>0</v>
      </c>
      <c r="DM25" s="24">
        <v>0</v>
      </c>
      <c r="DN25" s="24">
        <v>0</v>
      </c>
      <c r="DO25" s="24">
        <v>0</v>
      </c>
      <c r="DP25" s="24">
        <v>0</v>
      </c>
      <c r="DQ25" s="24">
        <v>0</v>
      </c>
      <c r="DR25" s="24">
        <v>0</v>
      </c>
      <c r="DS25" s="24">
        <v>0</v>
      </c>
      <c r="DT25" s="24">
        <v>0</v>
      </c>
      <c r="DU25" s="24">
        <v>25025</v>
      </c>
      <c r="DV25" s="24">
        <v>0</v>
      </c>
      <c r="DW25" s="24">
        <v>0</v>
      </c>
      <c r="DX25" s="24">
        <v>0</v>
      </c>
      <c r="DY25" s="24">
        <v>0</v>
      </c>
      <c r="DZ25" s="24">
        <v>0</v>
      </c>
      <c r="EA25" s="24">
        <v>0</v>
      </c>
      <c r="EB25" s="24">
        <v>0</v>
      </c>
      <c r="EC25" s="24">
        <v>0</v>
      </c>
      <c r="ED25" s="24">
        <v>0</v>
      </c>
      <c r="EE25" s="24">
        <v>0</v>
      </c>
      <c r="EF25" s="24">
        <v>0</v>
      </c>
      <c r="EG25" s="24">
        <v>0</v>
      </c>
      <c r="EH25" s="24">
        <v>0</v>
      </c>
      <c r="EI25" s="24">
        <v>0</v>
      </c>
      <c r="EJ25" s="24">
        <v>0</v>
      </c>
      <c r="EK25" s="24">
        <v>0</v>
      </c>
      <c r="EL25" s="24">
        <v>0</v>
      </c>
      <c r="EM25" s="24">
        <v>0</v>
      </c>
      <c r="EN25" s="24">
        <v>0</v>
      </c>
      <c r="EO25" s="24">
        <v>0</v>
      </c>
      <c r="EP25" s="24">
        <v>0</v>
      </c>
      <c r="EQ25" s="24">
        <v>0</v>
      </c>
      <c r="ER25" s="24">
        <v>0</v>
      </c>
      <c r="ES25" s="24">
        <v>0</v>
      </c>
      <c r="ET25" s="24">
        <v>0</v>
      </c>
      <c r="EU25" s="24">
        <v>0</v>
      </c>
      <c r="EV25" s="24">
        <v>0</v>
      </c>
      <c r="EW25" s="24">
        <v>0</v>
      </c>
      <c r="EX25" s="24">
        <v>0</v>
      </c>
      <c r="EY25" s="24">
        <v>0</v>
      </c>
      <c r="EZ25" s="24">
        <v>0</v>
      </c>
      <c r="FA25" s="24">
        <v>0</v>
      </c>
      <c r="FB25" s="24">
        <v>0</v>
      </c>
      <c r="FC25" s="24">
        <v>0</v>
      </c>
      <c r="FD25" s="24">
        <v>0</v>
      </c>
      <c r="FE25" s="24">
        <v>0</v>
      </c>
      <c r="FF25" s="24">
        <v>0</v>
      </c>
      <c r="FG25" s="24">
        <v>0</v>
      </c>
      <c r="FH25" s="24">
        <v>0</v>
      </c>
      <c r="FI25" s="24">
        <v>0</v>
      </c>
      <c r="FJ25" s="24">
        <v>0</v>
      </c>
      <c r="FK25" s="24">
        <v>51362</v>
      </c>
      <c r="FL25" s="24">
        <v>0</v>
      </c>
      <c r="FM25" s="24">
        <v>0</v>
      </c>
      <c r="FN25" s="24">
        <v>0</v>
      </c>
      <c r="FO25" s="24">
        <v>0</v>
      </c>
      <c r="FP25" s="24">
        <v>0</v>
      </c>
      <c r="FQ25" s="24">
        <v>0</v>
      </c>
      <c r="FR25" s="24">
        <v>0</v>
      </c>
      <c r="FS25" s="24">
        <v>0</v>
      </c>
      <c r="FT25" s="24">
        <v>0</v>
      </c>
      <c r="FU25" s="24">
        <v>0</v>
      </c>
      <c r="FV25" s="24">
        <v>0</v>
      </c>
      <c r="FW25" s="24">
        <v>0</v>
      </c>
      <c r="FX25" s="24">
        <v>0</v>
      </c>
      <c r="FY25" s="24">
        <v>0</v>
      </c>
      <c r="FZ25" s="24">
        <v>0</v>
      </c>
      <c r="GA25" s="24">
        <v>0</v>
      </c>
      <c r="GB25" s="24">
        <v>0</v>
      </c>
      <c r="GC25" s="24">
        <v>0</v>
      </c>
      <c r="GD25" s="24">
        <v>0</v>
      </c>
      <c r="GE25" s="24">
        <v>0</v>
      </c>
      <c r="GF25" s="24">
        <v>0</v>
      </c>
      <c r="GG25" s="24">
        <v>0</v>
      </c>
      <c r="GH25" s="24">
        <v>0</v>
      </c>
      <c r="GI25" s="24">
        <v>0</v>
      </c>
      <c r="GJ25" s="24">
        <v>0</v>
      </c>
      <c r="GK25" s="24">
        <v>0</v>
      </c>
      <c r="GL25" s="24">
        <v>0</v>
      </c>
      <c r="GM25" s="24">
        <v>0</v>
      </c>
      <c r="GN25" s="24">
        <v>0</v>
      </c>
      <c r="GO25" s="24">
        <v>0</v>
      </c>
      <c r="GP25" s="24">
        <v>0</v>
      </c>
      <c r="GQ25" s="24">
        <v>0</v>
      </c>
      <c r="GR25" s="24">
        <v>0</v>
      </c>
      <c r="GS25" s="24">
        <v>0</v>
      </c>
      <c r="GT25" s="24">
        <v>0</v>
      </c>
      <c r="GU25" s="24">
        <v>0</v>
      </c>
      <c r="GV25" s="24">
        <v>0</v>
      </c>
      <c r="GW25" s="24">
        <v>0</v>
      </c>
      <c r="GX25" s="24">
        <v>0</v>
      </c>
      <c r="GY25" s="24">
        <v>752560</v>
      </c>
      <c r="GZ25" s="24">
        <v>0</v>
      </c>
      <c r="HA25" s="24">
        <v>0</v>
      </c>
      <c r="HB25" s="24">
        <v>0</v>
      </c>
      <c r="HC25" s="24">
        <v>0</v>
      </c>
      <c r="HD25" s="24">
        <v>0</v>
      </c>
      <c r="HE25" s="24">
        <v>0</v>
      </c>
      <c r="HF25" s="24">
        <v>0</v>
      </c>
      <c r="HG25" s="24">
        <v>0</v>
      </c>
      <c r="HH25" s="24">
        <v>0</v>
      </c>
      <c r="HI25" s="24">
        <v>0</v>
      </c>
      <c r="HJ25" s="24">
        <v>90840</v>
      </c>
      <c r="HK25" s="24">
        <v>71220</v>
      </c>
      <c r="HL25" s="24">
        <v>0</v>
      </c>
      <c r="HM25" s="24">
        <v>0</v>
      </c>
      <c r="HN25" s="24">
        <v>0</v>
      </c>
      <c r="HO25" s="24">
        <v>0</v>
      </c>
      <c r="HP25" s="24">
        <v>0</v>
      </c>
      <c r="HQ25" s="24">
        <v>0</v>
      </c>
      <c r="HR25" s="24">
        <v>0</v>
      </c>
      <c r="HS25" s="24">
        <v>0</v>
      </c>
      <c r="HT25" s="24">
        <v>0</v>
      </c>
      <c r="HU25" s="24">
        <v>0</v>
      </c>
      <c r="HV25" s="24">
        <v>11298</v>
      </c>
      <c r="HW25" s="24">
        <v>2932</v>
      </c>
      <c r="HX25" s="24">
        <v>0</v>
      </c>
      <c r="HY25" s="24">
        <v>0</v>
      </c>
      <c r="HZ25" s="24">
        <v>0</v>
      </c>
      <c r="IA25" s="24">
        <v>0</v>
      </c>
      <c r="IB25" s="24">
        <v>0</v>
      </c>
      <c r="IC25" s="24">
        <v>0</v>
      </c>
      <c r="ID25" s="24">
        <v>0</v>
      </c>
      <c r="IE25" s="24">
        <v>0</v>
      </c>
      <c r="IF25" s="24">
        <v>0</v>
      </c>
      <c r="IG25" s="24">
        <v>0</v>
      </c>
      <c r="IH25" s="24">
        <v>0</v>
      </c>
      <c r="II25" s="24">
        <v>0</v>
      </c>
      <c r="IJ25" s="24">
        <v>0</v>
      </c>
      <c r="IK25" s="24">
        <v>0</v>
      </c>
      <c r="IL25" s="24">
        <v>0</v>
      </c>
      <c r="IM25" s="24">
        <v>0</v>
      </c>
      <c r="IN25" s="24">
        <v>0</v>
      </c>
      <c r="IO25" s="24">
        <v>0</v>
      </c>
      <c r="IP25" s="24">
        <v>0</v>
      </c>
      <c r="IQ25" s="24">
        <v>0</v>
      </c>
      <c r="IR25" s="24">
        <v>0</v>
      </c>
      <c r="IS25" s="24">
        <v>0</v>
      </c>
      <c r="IT25" s="24">
        <v>0</v>
      </c>
      <c r="IU25" s="24">
        <v>0</v>
      </c>
      <c r="IV25" s="24">
        <v>6400</v>
      </c>
      <c r="IW25" s="24">
        <v>0</v>
      </c>
      <c r="IX25" s="24">
        <v>0</v>
      </c>
      <c r="IY25" s="24">
        <v>0</v>
      </c>
      <c r="IZ25" s="24">
        <v>0</v>
      </c>
      <c r="JA25" s="24">
        <v>0</v>
      </c>
      <c r="JB25" s="24">
        <v>0</v>
      </c>
      <c r="JC25" s="24">
        <v>0</v>
      </c>
      <c r="JD25" s="24">
        <v>0</v>
      </c>
      <c r="JE25" s="24">
        <v>0</v>
      </c>
      <c r="JF25" s="24">
        <v>0</v>
      </c>
      <c r="JG25" s="24">
        <v>0</v>
      </c>
      <c r="JH25" s="24">
        <v>0</v>
      </c>
      <c r="JI25" s="24">
        <v>0</v>
      </c>
      <c r="JJ25" s="24">
        <v>0</v>
      </c>
      <c r="JK25" s="24">
        <v>0</v>
      </c>
      <c r="JL25" s="24">
        <v>0</v>
      </c>
      <c r="JM25" s="24">
        <v>0</v>
      </c>
      <c r="JN25" s="24">
        <v>0</v>
      </c>
      <c r="JO25" s="24">
        <v>0</v>
      </c>
      <c r="JP25" s="24">
        <v>0</v>
      </c>
      <c r="JQ25" s="24">
        <v>0</v>
      </c>
      <c r="JR25" s="24">
        <v>0</v>
      </c>
      <c r="JS25" s="24">
        <v>0</v>
      </c>
      <c r="JT25" s="24">
        <v>0</v>
      </c>
      <c r="JU25" s="24">
        <v>0</v>
      </c>
      <c r="JV25" s="24">
        <v>0</v>
      </c>
      <c r="JW25" s="24">
        <v>0</v>
      </c>
      <c r="JX25" s="24">
        <v>0</v>
      </c>
      <c r="JY25" s="24">
        <v>0</v>
      </c>
      <c r="JZ25" s="24">
        <v>0</v>
      </c>
      <c r="KA25" s="24">
        <v>0</v>
      </c>
      <c r="KB25" s="24">
        <v>0</v>
      </c>
      <c r="KC25" s="24">
        <v>0</v>
      </c>
      <c r="KD25" s="24">
        <v>0</v>
      </c>
      <c r="KE25" s="24">
        <v>0</v>
      </c>
      <c r="KF25" s="24">
        <v>0</v>
      </c>
      <c r="KG25" s="24">
        <v>0</v>
      </c>
      <c r="KH25" s="24">
        <v>0</v>
      </c>
      <c r="KI25" s="24">
        <v>0</v>
      </c>
      <c r="KJ25" s="24">
        <v>0</v>
      </c>
      <c r="KK25" s="24">
        <v>0</v>
      </c>
      <c r="KL25" s="24">
        <v>0</v>
      </c>
      <c r="KM25" s="24">
        <v>0</v>
      </c>
      <c r="KN25" s="24">
        <v>0</v>
      </c>
      <c r="KO25" s="24">
        <v>0</v>
      </c>
      <c r="KP25" s="24">
        <v>0</v>
      </c>
      <c r="KQ25" s="24">
        <v>0</v>
      </c>
      <c r="KR25" s="24">
        <v>0</v>
      </c>
      <c r="KS25" s="24">
        <v>0</v>
      </c>
      <c r="KT25" s="24">
        <v>0</v>
      </c>
      <c r="KU25" s="24">
        <v>0</v>
      </c>
      <c r="KV25" s="24">
        <v>0</v>
      </c>
      <c r="KW25" s="24">
        <v>0</v>
      </c>
      <c r="KX25" s="24">
        <v>0</v>
      </c>
      <c r="KY25" s="24">
        <v>0</v>
      </c>
      <c r="KZ25" s="24">
        <v>0</v>
      </c>
      <c r="LA25" s="24">
        <v>0</v>
      </c>
      <c r="LB25" s="24">
        <v>0</v>
      </c>
      <c r="LC25" s="24">
        <v>0</v>
      </c>
      <c r="LD25" s="24">
        <v>0</v>
      </c>
      <c r="LE25" s="24">
        <v>0</v>
      </c>
      <c r="LF25" s="24">
        <v>0</v>
      </c>
      <c r="LG25" s="24">
        <v>0</v>
      </c>
      <c r="LH25" s="24">
        <v>0</v>
      </c>
      <c r="LI25" s="24">
        <v>0</v>
      </c>
      <c r="LJ25" s="24">
        <v>0</v>
      </c>
      <c r="LK25" s="24">
        <v>0</v>
      </c>
      <c r="LL25" s="24">
        <v>0</v>
      </c>
      <c r="LM25" s="24">
        <v>0</v>
      </c>
      <c r="LN25" s="24">
        <v>0</v>
      </c>
      <c r="LO25" s="24">
        <v>0</v>
      </c>
      <c r="LP25" s="24">
        <v>0</v>
      </c>
      <c r="LQ25" s="24">
        <v>0</v>
      </c>
      <c r="LR25" s="24">
        <v>0</v>
      </c>
      <c r="LS25" s="24">
        <v>0</v>
      </c>
      <c r="LT25" s="24">
        <v>0</v>
      </c>
      <c r="LU25" s="24">
        <v>0</v>
      </c>
      <c r="LV25" s="24">
        <v>0</v>
      </c>
      <c r="LW25" s="24">
        <v>0</v>
      </c>
      <c r="LX25" s="24">
        <v>0</v>
      </c>
      <c r="LY25" s="24">
        <v>0</v>
      </c>
      <c r="LZ25" s="24">
        <v>0</v>
      </c>
      <c r="MA25" s="24">
        <v>0</v>
      </c>
      <c r="MB25" s="24">
        <v>0</v>
      </c>
      <c r="MC25" s="24">
        <v>0</v>
      </c>
      <c r="MD25" s="24">
        <v>0</v>
      </c>
      <c r="ME25" s="24">
        <v>0</v>
      </c>
      <c r="MF25" s="24">
        <v>0</v>
      </c>
      <c r="MG25" s="24">
        <v>0</v>
      </c>
      <c r="MH25" s="24">
        <v>0</v>
      </c>
      <c r="MI25" s="24">
        <v>0</v>
      </c>
      <c r="MJ25" s="24">
        <v>0</v>
      </c>
      <c r="MK25" s="24">
        <v>0</v>
      </c>
      <c r="ML25" s="24">
        <v>0</v>
      </c>
      <c r="MM25" s="24">
        <v>0</v>
      </c>
      <c r="MN25" s="24">
        <v>0</v>
      </c>
      <c r="MO25" s="24">
        <v>0</v>
      </c>
      <c r="MP25" s="24">
        <v>0</v>
      </c>
      <c r="MQ25" s="24">
        <v>20398</v>
      </c>
      <c r="MR25" s="24">
        <v>0</v>
      </c>
      <c r="MS25" s="24">
        <v>0</v>
      </c>
      <c r="MT25" s="24">
        <v>23762</v>
      </c>
      <c r="MU25" s="24">
        <v>0</v>
      </c>
      <c r="MV25" s="24">
        <v>0</v>
      </c>
      <c r="MW25" s="24">
        <v>0</v>
      </c>
      <c r="MX25" s="24">
        <v>0</v>
      </c>
      <c r="MY25" s="24">
        <v>0</v>
      </c>
      <c r="MZ25" s="24">
        <v>0</v>
      </c>
      <c r="NA25" s="24">
        <v>0</v>
      </c>
      <c r="NB25" s="24">
        <v>0</v>
      </c>
      <c r="NC25" s="24">
        <v>0</v>
      </c>
      <c r="ND25" s="24">
        <v>0</v>
      </c>
      <c r="NE25" s="24">
        <v>0</v>
      </c>
      <c r="NF25" s="24">
        <v>0</v>
      </c>
      <c r="NG25" s="24">
        <v>0</v>
      </c>
      <c r="NH25" s="24">
        <v>0</v>
      </c>
      <c r="NI25" s="24">
        <v>0</v>
      </c>
      <c r="NJ25" s="24">
        <v>0</v>
      </c>
      <c r="NK25" s="24">
        <v>0</v>
      </c>
      <c r="NL25" s="24">
        <v>0</v>
      </c>
      <c r="NM25" s="24">
        <v>0</v>
      </c>
      <c r="NN25" s="24">
        <v>0</v>
      </c>
      <c r="NO25" s="24">
        <v>0</v>
      </c>
      <c r="NP25" s="24">
        <v>0</v>
      </c>
      <c r="NQ25" s="24">
        <v>0</v>
      </c>
      <c r="NR25" s="24">
        <v>0</v>
      </c>
      <c r="NS25" s="24">
        <v>0</v>
      </c>
      <c r="NT25" s="24">
        <v>0</v>
      </c>
      <c r="NU25" s="24">
        <v>0</v>
      </c>
      <c r="NV25" s="24">
        <v>0</v>
      </c>
      <c r="NW25" s="24">
        <v>0</v>
      </c>
      <c r="NX25" s="24">
        <v>0</v>
      </c>
      <c r="NY25" s="24">
        <v>0</v>
      </c>
      <c r="NZ25" s="24">
        <v>0</v>
      </c>
      <c r="OA25" s="24">
        <v>0</v>
      </c>
      <c r="OB25" s="24">
        <v>0</v>
      </c>
      <c r="OC25" s="24">
        <v>0</v>
      </c>
      <c r="OD25" s="24">
        <v>0</v>
      </c>
      <c r="OE25" s="24">
        <v>0</v>
      </c>
      <c r="OF25" s="24">
        <v>0</v>
      </c>
      <c r="OG25" s="24">
        <v>0</v>
      </c>
      <c r="OH25" s="24">
        <v>0</v>
      </c>
      <c r="OI25" s="24">
        <v>0</v>
      </c>
      <c r="OJ25" s="24">
        <v>0</v>
      </c>
      <c r="OK25" s="24">
        <v>0</v>
      </c>
      <c r="OL25" s="24">
        <v>0</v>
      </c>
      <c r="OM25" s="24">
        <v>0</v>
      </c>
      <c r="ON25" s="24">
        <v>0</v>
      </c>
      <c r="OO25" s="24">
        <v>0</v>
      </c>
      <c r="OP25" s="24">
        <v>0</v>
      </c>
      <c r="OQ25" s="24">
        <v>0</v>
      </c>
      <c r="OR25" s="24">
        <v>0</v>
      </c>
      <c r="OS25" s="24">
        <v>0</v>
      </c>
      <c r="OT25" s="24">
        <v>0</v>
      </c>
      <c r="OU25" s="24">
        <v>0</v>
      </c>
      <c r="OV25" s="24">
        <v>0</v>
      </c>
      <c r="OW25" s="24">
        <v>0</v>
      </c>
      <c r="OX25" s="24">
        <v>0</v>
      </c>
      <c r="OY25" s="24">
        <v>0</v>
      </c>
      <c r="OZ25" s="24">
        <v>0</v>
      </c>
      <c r="PA25" s="24">
        <v>0</v>
      </c>
      <c r="PB25" s="24">
        <v>0</v>
      </c>
      <c r="PC25" s="24">
        <v>0</v>
      </c>
      <c r="PD25" s="24">
        <v>0</v>
      </c>
      <c r="PE25" s="24">
        <v>0</v>
      </c>
      <c r="PF25" s="24">
        <v>0</v>
      </c>
      <c r="PG25" s="24">
        <v>0</v>
      </c>
      <c r="PH25" s="24">
        <v>0</v>
      </c>
      <c r="PI25" s="24">
        <v>0</v>
      </c>
      <c r="PJ25" s="24">
        <v>0</v>
      </c>
      <c r="PK25" s="24">
        <v>0</v>
      </c>
      <c r="PL25" s="24">
        <v>0</v>
      </c>
      <c r="PM25" s="24">
        <v>0</v>
      </c>
      <c r="PN25" s="24">
        <v>0</v>
      </c>
      <c r="PO25" s="24">
        <v>0</v>
      </c>
      <c r="PP25" s="24">
        <v>0</v>
      </c>
      <c r="PQ25" s="24">
        <v>0</v>
      </c>
      <c r="PR25" s="24">
        <v>0</v>
      </c>
      <c r="PS25" s="24">
        <v>0</v>
      </c>
      <c r="PT25" s="24">
        <v>0</v>
      </c>
      <c r="PU25" s="24">
        <v>0</v>
      </c>
      <c r="PV25" s="24">
        <v>0</v>
      </c>
      <c r="PW25" s="24">
        <v>0</v>
      </c>
      <c r="PX25" s="24">
        <v>0</v>
      </c>
      <c r="PY25" s="24">
        <v>0</v>
      </c>
      <c r="PZ25" s="24">
        <v>0</v>
      </c>
      <c r="QA25" s="24">
        <v>0</v>
      </c>
      <c r="QB25" s="24">
        <v>0</v>
      </c>
      <c r="QC25" s="24">
        <v>0</v>
      </c>
      <c r="QD25" s="24">
        <v>0</v>
      </c>
      <c r="QE25" s="24">
        <v>0</v>
      </c>
      <c r="QF25" s="24">
        <v>0</v>
      </c>
      <c r="QG25" s="24">
        <v>0</v>
      </c>
      <c r="QH25" s="24">
        <v>0</v>
      </c>
      <c r="QI25" s="24">
        <v>0</v>
      </c>
      <c r="QJ25" s="24">
        <v>0</v>
      </c>
      <c r="QK25" s="24">
        <v>0</v>
      </c>
      <c r="QL25" s="24">
        <v>95342</v>
      </c>
      <c r="QM25" s="24">
        <v>0</v>
      </c>
      <c r="QN25" s="24">
        <v>0</v>
      </c>
      <c r="QO25" s="24">
        <v>0</v>
      </c>
      <c r="QP25" s="24">
        <v>0</v>
      </c>
      <c r="QQ25" s="24">
        <v>0</v>
      </c>
      <c r="QR25" s="24">
        <v>0</v>
      </c>
      <c r="QS25" s="4">
        <v>1</v>
      </c>
      <c r="QT25" s="5"/>
      <c r="QV25" s="4"/>
      <c r="QW25" s="39">
        <v>752560</v>
      </c>
      <c r="QX25" s="39">
        <v>0</v>
      </c>
      <c r="QY25" s="39">
        <v>0</v>
      </c>
      <c r="QZ25" s="39">
        <v>0</v>
      </c>
      <c r="RA25" s="39">
        <v>0</v>
      </c>
      <c r="RB25" s="39">
        <v>90840</v>
      </c>
      <c r="RC25" s="39">
        <v>85450</v>
      </c>
      <c r="RD25" s="39">
        <v>0</v>
      </c>
      <c r="RE25" s="39">
        <v>0</v>
      </c>
      <c r="RF25" s="39">
        <v>6400</v>
      </c>
      <c r="RG25" s="39">
        <v>0</v>
      </c>
      <c r="RH25" s="39">
        <v>0</v>
      </c>
      <c r="RI25" s="39"/>
      <c r="RJ25" s="182"/>
      <c r="RK25" s="39"/>
      <c r="RL25" s="39">
        <v>44160</v>
      </c>
      <c r="RM25" s="39">
        <v>935250</v>
      </c>
      <c r="RN25" s="39">
        <v>87780</v>
      </c>
      <c r="RO25" s="39">
        <v>95342</v>
      </c>
      <c r="RP25" s="39"/>
      <c r="RQ25" s="182"/>
      <c r="RR25" s="39"/>
      <c r="RS25" s="39">
        <v>0</v>
      </c>
      <c r="RT25" s="39">
        <v>0</v>
      </c>
      <c r="RU25" s="187">
        <v>0</v>
      </c>
      <c r="RV25" s="39">
        <v>0</v>
      </c>
      <c r="RW25" s="39">
        <v>87780</v>
      </c>
      <c r="RX25" s="4"/>
      <c r="RY25" s="5"/>
      <c r="RZ25" s="4"/>
      <c r="SA25" s="39">
        <v>935250</v>
      </c>
      <c r="SB25" s="39">
        <v>6400</v>
      </c>
      <c r="SC25" s="50">
        <v>0.99315690991713446</v>
      </c>
      <c r="SE25" s="5"/>
      <c r="SG25" s="124">
        <v>176</v>
      </c>
      <c r="SH25" s="124">
        <v>83.63120567375887</v>
      </c>
      <c r="SI25" s="131">
        <v>0.47517730496453903</v>
      </c>
      <c r="SJ25">
        <v>0</v>
      </c>
      <c r="SK25" s="131">
        <v>0</v>
      </c>
      <c r="SL25" s="124">
        <v>0</v>
      </c>
      <c r="SM25" s="131">
        <v>0</v>
      </c>
      <c r="SN25" s="142">
        <v>0</v>
      </c>
      <c r="SO25" s="142">
        <v>0</v>
      </c>
      <c r="SP25" s="142">
        <v>0</v>
      </c>
      <c r="SQ25" s="142">
        <v>0</v>
      </c>
      <c r="SR25" s="124">
        <v>0</v>
      </c>
      <c r="SS25" s="124">
        <v>22</v>
      </c>
      <c r="ST25" s="124">
        <v>66</v>
      </c>
      <c r="SU25" s="124">
        <v>43</v>
      </c>
      <c r="SV25" s="124">
        <v>45</v>
      </c>
      <c r="SW25" s="124">
        <v>0</v>
      </c>
      <c r="SX25" s="124">
        <v>110</v>
      </c>
      <c r="SY25" s="131">
        <v>0.20499999999999999</v>
      </c>
      <c r="SZ25" s="134">
        <v>36.08</v>
      </c>
      <c r="TA25" s="131">
        <v>0.17</v>
      </c>
      <c r="TB25" s="134">
        <v>29.92</v>
      </c>
      <c r="TC25" s="293">
        <v>5</v>
      </c>
      <c r="TD25" s="168">
        <v>10.559999999999999</v>
      </c>
      <c r="TF25" s="5"/>
      <c r="TH25" s="168">
        <v>29.92</v>
      </c>
      <c r="TI25" s="168">
        <v>36.08</v>
      </c>
      <c r="TJ25" s="205">
        <v>36.08</v>
      </c>
      <c r="TK25" s="144"/>
      <c r="TL25" s="293"/>
      <c r="TM25" s="293">
        <v>5</v>
      </c>
      <c r="TN25" s="169">
        <v>10.559999999999999</v>
      </c>
      <c r="TO25" s="205">
        <v>10.559999999999999</v>
      </c>
      <c r="TP25" s="5"/>
      <c r="TR25" s="293" t="s">
        <v>1432</v>
      </c>
      <c r="TT25" s="5"/>
      <c r="TV25" s="199">
        <v>0</v>
      </c>
      <c r="TW25" s="200">
        <v>0</v>
      </c>
      <c r="TX25" s="200">
        <v>928850</v>
      </c>
      <c r="TY25" s="200">
        <v>0</v>
      </c>
      <c r="TZ25" s="200">
        <v>950400</v>
      </c>
      <c r="UA25" s="204">
        <v>90321.702127659577</v>
      </c>
      <c r="UB25" s="204">
        <v>0</v>
      </c>
      <c r="UC25" s="200">
        <v>0</v>
      </c>
      <c r="UD25" s="200">
        <v>0</v>
      </c>
      <c r="UE25" s="200">
        <v>0</v>
      </c>
      <c r="UF25" s="200">
        <v>0</v>
      </c>
      <c r="UG25" s="200">
        <v>0</v>
      </c>
      <c r="UH25" s="200">
        <v>0</v>
      </c>
      <c r="UI25" s="200">
        <v>0</v>
      </c>
      <c r="UJ25" s="200">
        <v>0</v>
      </c>
      <c r="UK25" s="200">
        <v>0</v>
      </c>
      <c r="UL25" s="200">
        <v>0</v>
      </c>
      <c r="UM25" s="200">
        <v>0</v>
      </c>
      <c r="UN25" s="200">
        <v>1040721.7021276596</v>
      </c>
      <c r="UO25" s="200"/>
      <c r="UP25" s="182"/>
      <c r="UQ25" s="200"/>
      <c r="UR25" s="199">
        <v>1040721.7021276596</v>
      </c>
      <c r="US25" s="199">
        <v>5913.1914893617022</v>
      </c>
      <c r="UT25" s="199">
        <v>928850</v>
      </c>
      <c r="UU25" s="199">
        <v>5277.556818181818</v>
      </c>
      <c r="UV25" s="199">
        <v>111871.70212765958</v>
      </c>
      <c r="UW25" s="199">
        <v>635.63467117988421</v>
      </c>
      <c r="UX25" s="131">
        <v>0.12044108535033603</v>
      </c>
      <c r="UY25" s="199"/>
      <c r="UZ25" s="221"/>
      <c r="VA25" s="199"/>
      <c r="VB25" s="199">
        <v>44160</v>
      </c>
      <c r="VC25" s="200">
        <v>6400</v>
      </c>
      <c r="VD25" s="199">
        <v>87780</v>
      </c>
      <c r="VE25" s="199">
        <v>95342</v>
      </c>
      <c r="VG25" s="5"/>
      <c r="VI25" s="354">
        <v>1179061.7021276597</v>
      </c>
      <c r="VJ25" s="355">
        <v>6699.2142166344302</v>
      </c>
      <c r="VK25" s="354">
        <v>1067190</v>
      </c>
      <c r="VL25" s="355">
        <v>6063.579545454545</v>
      </c>
      <c r="VM25" s="131">
        <v>0.10482828936521124</v>
      </c>
      <c r="VN25" s="131"/>
      <c r="VO25" s="354"/>
      <c r="VP25" s="200"/>
      <c r="VQ25" s="200"/>
      <c r="VR25" s="200"/>
      <c r="VS25" s="199"/>
    </row>
    <row r="26" spans="1:591">
      <c r="A26" s="3">
        <v>331</v>
      </c>
      <c r="B26" s="2" t="s">
        <v>188</v>
      </c>
      <c r="C26" s="24">
        <v>0</v>
      </c>
      <c r="D26" s="24">
        <v>0</v>
      </c>
      <c r="E26" s="24">
        <v>0</v>
      </c>
      <c r="F26" s="24">
        <v>0</v>
      </c>
      <c r="G26" s="24">
        <v>1929649</v>
      </c>
      <c r="H26" s="24">
        <v>0</v>
      </c>
      <c r="I26" s="24">
        <v>0</v>
      </c>
      <c r="J26" s="24">
        <v>13342</v>
      </c>
      <c r="K26" s="24">
        <v>0</v>
      </c>
      <c r="L26" s="24">
        <v>0</v>
      </c>
      <c r="M26" s="24">
        <v>0</v>
      </c>
      <c r="N26" s="24">
        <v>1631</v>
      </c>
      <c r="O26" s="24">
        <v>0</v>
      </c>
      <c r="P26" s="24">
        <v>0</v>
      </c>
      <c r="Q26" s="24">
        <v>0</v>
      </c>
      <c r="R26" s="24">
        <v>0</v>
      </c>
      <c r="S26" s="24">
        <v>0</v>
      </c>
      <c r="T26" s="24">
        <v>0</v>
      </c>
      <c r="U26" s="24">
        <v>0</v>
      </c>
      <c r="V26" s="24">
        <v>1802064</v>
      </c>
      <c r="W26" s="24">
        <v>8591</v>
      </c>
      <c r="X26" s="24">
        <v>0</v>
      </c>
      <c r="Y26" s="24">
        <v>11953</v>
      </c>
      <c r="Z26" s="24">
        <v>0</v>
      </c>
      <c r="AA26" s="24">
        <v>0</v>
      </c>
      <c r="AB26" s="24">
        <v>0</v>
      </c>
      <c r="AC26" s="24">
        <v>39403</v>
      </c>
      <c r="AD26" s="24">
        <v>0</v>
      </c>
      <c r="AE26" s="24">
        <v>0</v>
      </c>
      <c r="AF26" s="24">
        <v>0</v>
      </c>
      <c r="AG26" s="24">
        <v>0</v>
      </c>
      <c r="AH26" s="24">
        <v>4675</v>
      </c>
      <c r="AI26" s="24">
        <v>0</v>
      </c>
      <c r="AJ26" s="24">
        <v>7995</v>
      </c>
      <c r="AK26" s="24">
        <v>0</v>
      </c>
      <c r="AL26" s="24">
        <v>0</v>
      </c>
      <c r="AM26" s="24">
        <v>0</v>
      </c>
      <c r="AN26" s="24">
        <v>0</v>
      </c>
      <c r="AO26" s="24">
        <v>0</v>
      </c>
      <c r="AP26" s="24">
        <v>0</v>
      </c>
      <c r="AQ26" s="24">
        <v>0</v>
      </c>
      <c r="AR26" s="24">
        <v>0</v>
      </c>
      <c r="AS26" s="24">
        <v>0</v>
      </c>
      <c r="AT26" s="24">
        <v>0</v>
      </c>
      <c r="AU26" s="24">
        <v>0</v>
      </c>
      <c r="AV26" s="24">
        <v>0</v>
      </c>
      <c r="AW26" s="24">
        <v>0</v>
      </c>
      <c r="AX26" s="24">
        <v>0</v>
      </c>
      <c r="AY26" s="24">
        <v>0</v>
      </c>
      <c r="AZ26" s="24">
        <v>0</v>
      </c>
      <c r="BA26" s="24">
        <v>1080</v>
      </c>
      <c r="BB26" s="24">
        <v>979</v>
      </c>
      <c r="BC26" s="24">
        <v>0</v>
      </c>
      <c r="BD26" s="24">
        <v>0</v>
      </c>
      <c r="BE26" s="24">
        <v>0</v>
      </c>
      <c r="BF26" s="24">
        <v>0</v>
      </c>
      <c r="BG26" s="24">
        <v>0</v>
      </c>
      <c r="BH26" s="24">
        <v>0</v>
      </c>
      <c r="BI26" s="24">
        <v>0</v>
      </c>
      <c r="BJ26" s="24">
        <v>0</v>
      </c>
      <c r="BK26" s="24">
        <v>0</v>
      </c>
      <c r="BL26" s="24">
        <v>0</v>
      </c>
      <c r="BM26" s="24">
        <v>0</v>
      </c>
      <c r="BN26" s="24">
        <v>0</v>
      </c>
      <c r="BO26" s="24">
        <v>0</v>
      </c>
      <c r="BP26" s="24">
        <v>0</v>
      </c>
      <c r="BQ26" s="24">
        <v>0</v>
      </c>
      <c r="BR26" s="24">
        <v>0</v>
      </c>
      <c r="BS26" s="24">
        <v>0</v>
      </c>
      <c r="BT26" s="24">
        <v>0</v>
      </c>
      <c r="BU26" s="24">
        <v>0</v>
      </c>
      <c r="BV26" s="24">
        <v>212224</v>
      </c>
      <c r="BW26" s="24">
        <v>19179</v>
      </c>
      <c r="BX26" s="24">
        <v>0</v>
      </c>
      <c r="BY26" s="24">
        <v>0</v>
      </c>
      <c r="BZ26" s="24">
        <v>0</v>
      </c>
      <c r="CA26" s="24">
        <v>0</v>
      </c>
      <c r="CB26" s="24">
        <v>0</v>
      </c>
      <c r="CC26" s="24">
        <v>0</v>
      </c>
      <c r="CD26" s="24">
        <v>0</v>
      </c>
      <c r="CE26" s="24">
        <v>0</v>
      </c>
      <c r="CF26" s="24">
        <v>0</v>
      </c>
      <c r="CG26" s="24">
        <v>0</v>
      </c>
      <c r="CH26" s="24">
        <v>0</v>
      </c>
      <c r="CI26" s="24">
        <v>0</v>
      </c>
      <c r="CJ26" s="24">
        <v>0</v>
      </c>
      <c r="CK26" s="24">
        <v>0</v>
      </c>
      <c r="CL26" s="24">
        <v>0</v>
      </c>
      <c r="CM26" s="24">
        <v>0</v>
      </c>
      <c r="CN26" s="24">
        <v>0</v>
      </c>
      <c r="CO26" s="24">
        <v>0</v>
      </c>
      <c r="CP26" s="24">
        <v>0</v>
      </c>
      <c r="CQ26" s="24">
        <v>0</v>
      </c>
      <c r="CR26" s="24">
        <v>0</v>
      </c>
      <c r="CS26" s="24">
        <v>0</v>
      </c>
      <c r="CT26" s="24">
        <v>0</v>
      </c>
      <c r="CU26" s="24">
        <v>7854</v>
      </c>
      <c r="CV26" s="24">
        <v>0</v>
      </c>
      <c r="CW26" s="24">
        <v>0</v>
      </c>
      <c r="CX26" s="24">
        <v>0</v>
      </c>
      <c r="CY26" s="24">
        <v>0</v>
      </c>
      <c r="CZ26" s="24">
        <v>0</v>
      </c>
      <c r="DA26" s="24">
        <v>0</v>
      </c>
      <c r="DB26" s="24">
        <v>0</v>
      </c>
      <c r="DC26" s="24">
        <v>0</v>
      </c>
      <c r="DD26" s="24">
        <v>0</v>
      </c>
      <c r="DE26" s="24">
        <v>0</v>
      </c>
      <c r="DF26" s="24">
        <v>0</v>
      </c>
      <c r="DG26" s="24">
        <v>0</v>
      </c>
      <c r="DH26" s="24">
        <v>0</v>
      </c>
      <c r="DI26" s="24">
        <v>0</v>
      </c>
      <c r="DJ26" s="24">
        <v>0</v>
      </c>
      <c r="DK26" s="24">
        <v>0</v>
      </c>
      <c r="DL26" s="24">
        <v>21960</v>
      </c>
      <c r="DM26" s="24">
        <v>0</v>
      </c>
      <c r="DN26" s="24">
        <v>0</v>
      </c>
      <c r="DO26" s="24">
        <v>0</v>
      </c>
      <c r="DP26" s="24">
        <v>0</v>
      </c>
      <c r="DQ26" s="24">
        <v>0</v>
      </c>
      <c r="DR26" s="24">
        <v>0</v>
      </c>
      <c r="DS26" s="24">
        <v>0</v>
      </c>
      <c r="DT26" s="24">
        <v>0</v>
      </c>
      <c r="DU26" s="24">
        <v>0</v>
      </c>
      <c r="DV26" s="24">
        <v>0</v>
      </c>
      <c r="DW26" s="24">
        <v>0</v>
      </c>
      <c r="DX26" s="24">
        <v>0</v>
      </c>
      <c r="DY26" s="24">
        <v>0</v>
      </c>
      <c r="DZ26" s="24">
        <v>0</v>
      </c>
      <c r="EA26" s="24">
        <v>0</v>
      </c>
      <c r="EB26" s="24">
        <v>0</v>
      </c>
      <c r="EC26" s="24">
        <v>0</v>
      </c>
      <c r="ED26" s="24">
        <v>0</v>
      </c>
      <c r="EE26" s="24">
        <v>0</v>
      </c>
      <c r="EF26" s="24">
        <v>0</v>
      </c>
      <c r="EG26" s="24">
        <v>0</v>
      </c>
      <c r="EH26" s="24">
        <v>0</v>
      </c>
      <c r="EI26" s="24">
        <v>0</v>
      </c>
      <c r="EJ26" s="24">
        <v>0</v>
      </c>
      <c r="EK26" s="24">
        <v>0</v>
      </c>
      <c r="EL26" s="24">
        <v>0</v>
      </c>
      <c r="EM26" s="24">
        <v>0</v>
      </c>
      <c r="EN26" s="24">
        <v>0</v>
      </c>
      <c r="EO26" s="24">
        <v>0</v>
      </c>
      <c r="EP26" s="24">
        <v>0</v>
      </c>
      <c r="EQ26" s="24">
        <v>0</v>
      </c>
      <c r="ER26" s="24">
        <v>0</v>
      </c>
      <c r="ES26" s="24">
        <v>0</v>
      </c>
      <c r="ET26" s="24">
        <v>0</v>
      </c>
      <c r="EU26" s="24">
        <v>0</v>
      </c>
      <c r="EV26" s="24">
        <v>0</v>
      </c>
      <c r="EW26" s="24">
        <v>33381</v>
      </c>
      <c r="EX26" s="24">
        <v>0</v>
      </c>
      <c r="EY26" s="24">
        <v>0</v>
      </c>
      <c r="EZ26" s="24">
        <v>0</v>
      </c>
      <c r="FA26" s="24">
        <v>0</v>
      </c>
      <c r="FB26" s="24">
        <v>0</v>
      </c>
      <c r="FC26" s="24">
        <v>5604</v>
      </c>
      <c r="FD26" s="24">
        <v>0</v>
      </c>
      <c r="FE26" s="24">
        <v>0</v>
      </c>
      <c r="FF26" s="24">
        <v>0</v>
      </c>
      <c r="FG26" s="24">
        <v>0</v>
      </c>
      <c r="FH26" s="24">
        <v>0</v>
      </c>
      <c r="FI26" s="24">
        <v>0</v>
      </c>
      <c r="FJ26" s="24">
        <v>0</v>
      </c>
      <c r="FK26" s="24">
        <v>782493</v>
      </c>
      <c r="FL26" s="24">
        <v>0</v>
      </c>
      <c r="FM26" s="24">
        <v>0</v>
      </c>
      <c r="FN26" s="24">
        <v>0</v>
      </c>
      <c r="FO26" s="24">
        <v>0</v>
      </c>
      <c r="FP26" s="24">
        <v>0</v>
      </c>
      <c r="FQ26" s="24">
        <v>0</v>
      </c>
      <c r="FR26" s="24">
        <v>0</v>
      </c>
      <c r="FS26" s="24">
        <v>0</v>
      </c>
      <c r="FT26" s="24">
        <v>0</v>
      </c>
      <c r="FU26" s="24">
        <v>0</v>
      </c>
      <c r="FV26" s="24">
        <v>0</v>
      </c>
      <c r="FW26" s="24">
        <v>0</v>
      </c>
      <c r="FX26" s="24">
        <v>0</v>
      </c>
      <c r="FY26" s="24">
        <v>0</v>
      </c>
      <c r="FZ26" s="24">
        <v>0</v>
      </c>
      <c r="GA26" s="24">
        <v>0</v>
      </c>
      <c r="GB26" s="24">
        <v>0</v>
      </c>
      <c r="GC26" s="24">
        <v>0</v>
      </c>
      <c r="GD26" s="24">
        <v>0</v>
      </c>
      <c r="GE26" s="24">
        <v>0</v>
      </c>
      <c r="GF26" s="24">
        <v>0</v>
      </c>
      <c r="GG26" s="24">
        <v>0</v>
      </c>
      <c r="GH26" s="24">
        <v>0</v>
      </c>
      <c r="GI26" s="24">
        <v>0</v>
      </c>
      <c r="GJ26" s="24">
        <v>0</v>
      </c>
      <c r="GK26" s="24">
        <v>0</v>
      </c>
      <c r="GL26" s="24">
        <v>0</v>
      </c>
      <c r="GM26" s="24">
        <v>1655</v>
      </c>
      <c r="GN26" s="24">
        <v>0</v>
      </c>
      <c r="GO26" s="24">
        <v>0</v>
      </c>
      <c r="GP26" s="24">
        <v>0</v>
      </c>
      <c r="GQ26" s="24">
        <v>0</v>
      </c>
      <c r="GR26" s="24">
        <v>0</v>
      </c>
      <c r="GS26" s="24">
        <v>0</v>
      </c>
      <c r="GT26" s="24">
        <v>0</v>
      </c>
      <c r="GU26" s="24">
        <v>0</v>
      </c>
      <c r="GV26" s="24">
        <v>0</v>
      </c>
      <c r="GW26" s="24">
        <v>0</v>
      </c>
      <c r="GX26" s="24">
        <v>160</v>
      </c>
      <c r="GY26" s="24">
        <v>15620475</v>
      </c>
      <c r="GZ26" s="24">
        <v>0</v>
      </c>
      <c r="HA26" s="24">
        <v>0</v>
      </c>
      <c r="HB26" s="24">
        <v>0</v>
      </c>
      <c r="HC26" s="24">
        <v>0</v>
      </c>
      <c r="HD26" s="24">
        <v>1089411</v>
      </c>
      <c r="HE26" s="24">
        <v>0</v>
      </c>
      <c r="HF26" s="24">
        <v>0</v>
      </c>
      <c r="HG26" s="24">
        <v>0</v>
      </c>
      <c r="HH26" s="24">
        <v>0</v>
      </c>
      <c r="HI26" s="24">
        <v>153963</v>
      </c>
      <c r="HJ26" s="24">
        <v>2097591</v>
      </c>
      <c r="HK26" s="24">
        <v>453288</v>
      </c>
      <c r="HL26" s="24">
        <v>0</v>
      </c>
      <c r="HM26" s="24">
        <v>0</v>
      </c>
      <c r="HN26" s="24">
        <v>0</v>
      </c>
      <c r="HO26" s="24">
        <v>0</v>
      </c>
      <c r="HP26" s="24">
        <v>0</v>
      </c>
      <c r="HQ26" s="24">
        <v>0</v>
      </c>
      <c r="HR26" s="24">
        <v>0</v>
      </c>
      <c r="HS26" s="24">
        <v>0</v>
      </c>
      <c r="HT26" s="24">
        <v>0</v>
      </c>
      <c r="HU26" s="24">
        <v>0</v>
      </c>
      <c r="HV26" s="24">
        <v>0</v>
      </c>
      <c r="HW26" s="24">
        <v>0</v>
      </c>
      <c r="HX26" s="24">
        <v>0</v>
      </c>
      <c r="HY26" s="24">
        <v>0</v>
      </c>
      <c r="HZ26" s="24">
        <v>0</v>
      </c>
      <c r="IA26" s="24">
        <v>0</v>
      </c>
      <c r="IB26" s="24">
        <v>0</v>
      </c>
      <c r="IC26" s="24">
        <v>0</v>
      </c>
      <c r="ID26" s="24">
        <v>0</v>
      </c>
      <c r="IE26" s="24">
        <v>0</v>
      </c>
      <c r="IF26" s="24">
        <v>237167</v>
      </c>
      <c r="IG26" s="24">
        <v>0</v>
      </c>
      <c r="IH26" s="24">
        <v>0</v>
      </c>
      <c r="II26" s="24">
        <v>0</v>
      </c>
      <c r="IJ26" s="24">
        <v>0</v>
      </c>
      <c r="IK26" s="24">
        <v>3012</v>
      </c>
      <c r="IL26" s="24">
        <v>0</v>
      </c>
      <c r="IM26" s="24">
        <v>0</v>
      </c>
      <c r="IN26" s="24">
        <v>106956</v>
      </c>
      <c r="IO26" s="24">
        <v>0</v>
      </c>
      <c r="IP26" s="24">
        <v>0</v>
      </c>
      <c r="IQ26" s="24">
        <v>0</v>
      </c>
      <c r="IR26" s="24">
        <v>0</v>
      </c>
      <c r="IS26" s="24">
        <v>0</v>
      </c>
      <c r="IT26" s="24">
        <v>0</v>
      </c>
      <c r="IU26" s="24">
        <v>0</v>
      </c>
      <c r="IV26" s="24">
        <v>202483</v>
      </c>
      <c r="IW26" s="24">
        <v>0</v>
      </c>
      <c r="IX26" s="24">
        <v>0</v>
      </c>
      <c r="IY26" s="24">
        <v>0</v>
      </c>
      <c r="IZ26" s="24">
        <v>0</v>
      </c>
      <c r="JA26" s="24">
        <v>0</v>
      </c>
      <c r="JB26" s="24">
        <v>119038</v>
      </c>
      <c r="JC26" s="24">
        <v>0</v>
      </c>
      <c r="JD26" s="24">
        <v>0</v>
      </c>
      <c r="JE26" s="24">
        <v>1035729</v>
      </c>
      <c r="JF26" s="24">
        <v>0</v>
      </c>
      <c r="JG26" s="24">
        <v>0</v>
      </c>
      <c r="JH26" s="24">
        <v>0</v>
      </c>
      <c r="JI26" s="24">
        <v>0</v>
      </c>
      <c r="JJ26" s="24">
        <v>0</v>
      </c>
      <c r="JK26" s="24">
        <v>0</v>
      </c>
      <c r="JL26" s="24">
        <v>0</v>
      </c>
      <c r="JM26" s="24">
        <v>0</v>
      </c>
      <c r="JN26" s="24">
        <v>0</v>
      </c>
      <c r="JO26" s="24">
        <v>0</v>
      </c>
      <c r="JP26" s="24">
        <v>0</v>
      </c>
      <c r="JQ26" s="24">
        <v>0</v>
      </c>
      <c r="JR26" s="24">
        <v>0</v>
      </c>
      <c r="JS26" s="24">
        <v>102185</v>
      </c>
      <c r="JT26" s="24">
        <v>26156</v>
      </c>
      <c r="JU26" s="24">
        <v>0</v>
      </c>
      <c r="JV26" s="24">
        <v>0</v>
      </c>
      <c r="JW26" s="24">
        <v>0</v>
      </c>
      <c r="JX26" s="24">
        <v>0</v>
      </c>
      <c r="JY26" s="24">
        <v>0</v>
      </c>
      <c r="JZ26" s="24">
        <v>0</v>
      </c>
      <c r="KA26" s="24">
        <v>0</v>
      </c>
      <c r="KB26" s="24">
        <v>0</v>
      </c>
      <c r="KC26" s="24">
        <v>0</v>
      </c>
      <c r="KD26" s="24">
        <v>0</v>
      </c>
      <c r="KE26" s="24">
        <v>0</v>
      </c>
      <c r="KF26" s="24">
        <v>0</v>
      </c>
      <c r="KG26" s="24">
        <v>0</v>
      </c>
      <c r="KH26" s="24">
        <v>0</v>
      </c>
      <c r="KI26" s="24">
        <v>0</v>
      </c>
      <c r="KJ26" s="24">
        <v>0</v>
      </c>
      <c r="KK26" s="24">
        <v>0</v>
      </c>
      <c r="KL26" s="24">
        <v>0</v>
      </c>
      <c r="KM26" s="24">
        <v>0</v>
      </c>
      <c r="KN26" s="24">
        <v>0</v>
      </c>
      <c r="KO26" s="24">
        <v>0</v>
      </c>
      <c r="KP26" s="24">
        <v>0</v>
      </c>
      <c r="KQ26" s="24">
        <v>0</v>
      </c>
      <c r="KR26" s="24">
        <v>0</v>
      </c>
      <c r="KS26" s="24">
        <v>0</v>
      </c>
      <c r="KT26" s="24">
        <v>0</v>
      </c>
      <c r="KU26" s="24">
        <v>3908</v>
      </c>
      <c r="KV26" s="24">
        <v>0</v>
      </c>
      <c r="KW26" s="24">
        <v>0</v>
      </c>
      <c r="KX26" s="24">
        <v>0</v>
      </c>
      <c r="KY26" s="24">
        <v>0</v>
      </c>
      <c r="KZ26" s="24">
        <v>0</v>
      </c>
      <c r="LA26" s="24">
        <v>0</v>
      </c>
      <c r="LB26" s="24">
        <v>0</v>
      </c>
      <c r="LC26" s="24">
        <v>0</v>
      </c>
      <c r="LD26" s="24">
        <v>0</v>
      </c>
      <c r="LE26" s="24">
        <v>0</v>
      </c>
      <c r="LF26" s="24">
        <v>0</v>
      </c>
      <c r="LG26" s="24">
        <v>0</v>
      </c>
      <c r="LH26" s="24">
        <v>0</v>
      </c>
      <c r="LI26" s="24">
        <v>0</v>
      </c>
      <c r="LJ26" s="24">
        <v>0</v>
      </c>
      <c r="LK26" s="24">
        <v>0</v>
      </c>
      <c r="LL26" s="24">
        <v>0</v>
      </c>
      <c r="LM26" s="24">
        <v>0</v>
      </c>
      <c r="LN26" s="24">
        <v>0</v>
      </c>
      <c r="LO26" s="24">
        <v>0</v>
      </c>
      <c r="LP26" s="24">
        <v>773061</v>
      </c>
      <c r="LQ26" s="24">
        <v>185220</v>
      </c>
      <c r="LR26" s="24">
        <v>0</v>
      </c>
      <c r="LS26" s="24">
        <v>11155</v>
      </c>
      <c r="LT26" s="24">
        <v>0</v>
      </c>
      <c r="LU26" s="24">
        <v>38291</v>
      </c>
      <c r="LV26" s="24">
        <v>0</v>
      </c>
      <c r="LW26" s="24">
        <v>0</v>
      </c>
      <c r="LX26" s="24">
        <v>0</v>
      </c>
      <c r="LY26" s="24">
        <v>0</v>
      </c>
      <c r="LZ26" s="24">
        <v>0</v>
      </c>
      <c r="MA26" s="24">
        <v>0</v>
      </c>
      <c r="MB26" s="24">
        <v>0</v>
      </c>
      <c r="MC26" s="24">
        <v>0</v>
      </c>
      <c r="MD26" s="24">
        <v>0</v>
      </c>
      <c r="ME26" s="24">
        <v>0</v>
      </c>
      <c r="MF26" s="24">
        <v>0</v>
      </c>
      <c r="MG26" s="24">
        <v>0</v>
      </c>
      <c r="MH26" s="24">
        <v>0</v>
      </c>
      <c r="MI26" s="24">
        <v>0</v>
      </c>
      <c r="MJ26" s="24">
        <v>48944</v>
      </c>
      <c r="MK26" s="24">
        <v>195898</v>
      </c>
      <c r="ML26" s="24">
        <v>71577</v>
      </c>
      <c r="MM26" s="24">
        <v>0</v>
      </c>
      <c r="MN26" s="24">
        <v>0</v>
      </c>
      <c r="MO26" s="24">
        <v>0</v>
      </c>
      <c r="MP26" s="24">
        <v>0</v>
      </c>
      <c r="MQ26" s="24">
        <v>1580396</v>
      </c>
      <c r="MR26" s="24">
        <v>0</v>
      </c>
      <c r="MS26" s="24">
        <v>0</v>
      </c>
      <c r="MT26" s="24">
        <v>852268</v>
      </c>
      <c r="MU26" s="24">
        <v>48900</v>
      </c>
      <c r="MV26" s="24">
        <v>0</v>
      </c>
      <c r="MW26" s="24">
        <v>0</v>
      </c>
      <c r="MX26" s="24">
        <v>0</v>
      </c>
      <c r="MY26" s="24">
        <v>0</v>
      </c>
      <c r="MZ26" s="24">
        <v>0</v>
      </c>
      <c r="NA26" s="24">
        <v>0</v>
      </c>
      <c r="NB26" s="24">
        <v>0</v>
      </c>
      <c r="NC26" s="24">
        <v>0</v>
      </c>
      <c r="ND26" s="24">
        <v>0</v>
      </c>
      <c r="NE26" s="24">
        <v>0</v>
      </c>
      <c r="NF26" s="24">
        <v>0</v>
      </c>
      <c r="NG26" s="24">
        <v>0</v>
      </c>
      <c r="NH26" s="24">
        <v>0</v>
      </c>
      <c r="NI26" s="24">
        <v>0</v>
      </c>
      <c r="NJ26" s="24">
        <v>0</v>
      </c>
      <c r="NK26" s="24">
        <v>0</v>
      </c>
      <c r="NL26" s="24">
        <v>0</v>
      </c>
      <c r="NM26" s="24">
        <v>0</v>
      </c>
      <c r="NN26" s="24">
        <v>0</v>
      </c>
      <c r="NO26" s="24">
        <v>0</v>
      </c>
      <c r="NP26" s="24">
        <v>0</v>
      </c>
      <c r="NQ26" s="24">
        <v>0</v>
      </c>
      <c r="NR26" s="24">
        <v>219679</v>
      </c>
      <c r="NS26" s="24">
        <v>0</v>
      </c>
      <c r="NT26" s="24">
        <v>0</v>
      </c>
      <c r="NU26" s="24">
        <v>0</v>
      </c>
      <c r="NV26" s="24">
        <v>0</v>
      </c>
      <c r="NW26" s="24">
        <v>0</v>
      </c>
      <c r="NX26" s="24">
        <v>0</v>
      </c>
      <c r="NY26" s="24">
        <v>0</v>
      </c>
      <c r="NZ26" s="24">
        <v>0</v>
      </c>
      <c r="OA26" s="24">
        <v>71366</v>
      </c>
      <c r="OB26" s="24">
        <v>0</v>
      </c>
      <c r="OC26" s="24">
        <v>0</v>
      </c>
      <c r="OD26" s="24">
        <v>0</v>
      </c>
      <c r="OE26" s="24">
        <v>0</v>
      </c>
      <c r="OF26" s="24">
        <v>108564</v>
      </c>
      <c r="OG26" s="24">
        <v>0</v>
      </c>
      <c r="OH26" s="24">
        <v>0</v>
      </c>
      <c r="OI26" s="24">
        <v>0</v>
      </c>
      <c r="OJ26" s="24">
        <v>0</v>
      </c>
      <c r="OK26" s="24">
        <v>0</v>
      </c>
      <c r="OL26" s="24">
        <v>0</v>
      </c>
      <c r="OM26" s="24">
        <v>0</v>
      </c>
      <c r="ON26" s="24">
        <v>0</v>
      </c>
      <c r="OO26" s="24">
        <v>0</v>
      </c>
      <c r="OP26" s="24">
        <v>0</v>
      </c>
      <c r="OQ26" s="24">
        <v>0</v>
      </c>
      <c r="OR26" s="24">
        <v>0</v>
      </c>
      <c r="OS26" s="24">
        <v>0</v>
      </c>
      <c r="OT26" s="24">
        <v>0</v>
      </c>
      <c r="OU26" s="24">
        <v>0</v>
      </c>
      <c r="OV26" s="24">
        <v>0</v>
      </c>
      <c r="OW26" s="24">
        <v>0</v>
      </c>
      <c r="OX26" s="24">
        <v>0</v>
      </c>
      <c r="OY26" s="24">
        <v>72357</v>
      </c>
      <c r="OZ26" s="24">
        <v>0</v>
      </c>
      <c r="PA26" s="24">
        <v>0</v>
      </c>
      <c r="PB26" s="24">
        <v>0</v>
      </c>
      <c r="PC26" s="24">
        <v>0</v>
      </c>
      <c r="PD26" s="24">
        <v>0</v>
      </c>
      <c r="PE26" s="24">
        <v>0</v>
      </c>
      <c r="PF26" s="24">
        <v>0</v>
      </c>
      <c r="PG26" s="24">
        <v>0</v>
      </c>
      <c r="PH26" s="24">
        <v>0</v>
      </c>
      <c r="PI26" s="24">
        <v>0</v>
      </c>
      <c r="PJ26" s="24">
        <v>0</v>
      </c>
      <c r="PK26" s="24">
        <v>0</v>
      </c>
      <c r="PL26" s="24">
        <v>0</v>
      </c>
      <c r="PM26" s="24">
        <v>0</v>
      </c>
      <c r="PN26" s="24">
        <v>0</v>
      </c>
      <c r="PO26" s="24">
        <v>0</v>
      </c>
      <c r="PP26" s="24">
        <v>0</v>
      </c>
      <c r="PQ26" s="24">
        <v>0</v>
      </c>
      <c r="PR26" s="24">
        <v>0</v>
      </c>
      <c r="PS26" s="24">
        <v>0</v>
      </c>
      <c r="PT26" s="24">
        <v>0</v>
      </c>
      <c r="PU26" s="24">
        <v>0</v>
      </c>
      <c r="PV26" s="24">
        <v>0</v>
      </c>
      <c r="PW26" s="24">
        <v>0</v>
      </c>
      <c r="PX26" s="24">
        <v>0</v>
      </c>
      <c r="PY26" s="24">
        <v>0</v>
      </c>
      <c r="PZ26" s="24">
        <v>0</v>
      </c>
      <c r="QA26" s="24">
        <v>0</v>
      </c>
      <c r="QB26" s="24">
        <v>0</v>
      </c>
      <c r="QC26" s="24">
        <v>0</v>
      </c>
      <c r="QD26" s="24">
        <v>0</v>
      </c>
      <c r="QE26" s="24">
        <v>0</v>
      </c>
      <c r="QF26" s="24">
        <v>0</v>
      </c>
      <c r="QG26" s="24">
        <v>0</v>
      </c>
      <c r="QH26" s="24">
        <v>0</v>
      </c>
      <c r="QI26" s="24">
        <v>39800</v>
      </c>
      <c r="QJ26" s="24">
        <v>102750</v>
      </c>
      <c r="QK26" s="24">
        <v>0</v>
      </c>
      <c r="QL26" s="24">
        <v>896250</v>
      </c>
      <c r="QM26" s="24">
        <v>0</v>
      </c>
      <c r="QN26" s="24">
        <v>0</v>
      </c>
      <c r="QO26" s="24">
        <v>0</v>
      </c>
      <c r="QP26" s="24">
        <v>0</v>
      </c>
      <c r="QQ26" s="24">
        <v>0</v>
      </c>
      <c r="QR26" s="24">
        <v>0</v>
      </c>
      <c r="QS26" s="4"/>
      <c r="QT26" s="5"/>
      <c r="QV26" s="4"/>
      <c r="QW26" s="39">
        <v>15620475</v>
      </c>
      <c r="QX26" s="39">
        <v>1089411</v>
      </c>
      <c r="QY26" s="39">
        <v>0</v>
      </c>
      <c r="QZ26" s="39">
        <v>0</v>
      </c>
      <c r="RA26" s="39">
        <v>153963</v>
      </c>
      <c r="RB26" s="39">
        <v>2097591</v>
      </c>
      <c r="RC26" s="39">
        <v>690455</v>
      </c>
      <c r="RD26" s="39">
        <v>3012</v>
      </c>
      <c r="RE26" s="39">
        <v>106956</v>
      </c>
      <c r="RF26" s="39">
        <v>202483</v>
      </c>
      <c r="RG26" s="39">
        <v>119038</v>
      </c>
      <c r="RH26" s="39">
        <v>1164070</v>
      </c>
      <c r="RI26" s="39"/>
      <c r="RJ26" s="182"/>
      <c r="RK26" s="39"/>
      <c r="RL26" s="39">
        <v>4209227</v>
      </c>
      <c r="RM26" s="39">
        <v>21247454</v>
      </c>
      <c r="RN26" s="39">
        <v>4905712</v>
      </c>
      <c r="RO26" s="39">
        <v>1111157</v>
      </c>
      <c r="RP26" s="39"/>
      <c r="RQ26" s="182"/>
      <c r="RR26" s="39"/>
      <c r="RS26" s="39">
        <v>1231906698</v>
      </c>
      <c r="RT26" s="39">
        <v>296988.11427193828</v>
      </c>
      <c r="RU26" s="187">
        <v>2.9972949999999998</v>
      </c>
      <c r="RV26" s="39">
        <v>4311673.443</v>
      </c>
      <c r="RW26" s="39">
        <v>594038.55700000003</v>
      </c>
      <c r="RX26" s="4"/>
      <c r="RY26" s="5"/>
      <c r="RZ26" s="4"/>
      <c r="SA26" s="39">
        <v>21247454</v>
      </c>
      <c r="SB26" s="39">
        <v>1567907</v>
      </c>
      <c r="SC26" s="50">
        <v>0.92620729994285433</v>
      </c>
      <c r="SE26" s="5"/>
      <c r="SG26" s="124">
        <v>4148</v>
      </c>
      <c r="SH26" s="124">
        <v>2677.4300673148841</v>
      </c>
      <c r="SI26" s="131">
        <v>0.6454749439042633</v>
      </c>
      <c r="SJ26">
        <v>314</v>
      </c>
      <c r="SK26" s="131">
        <v>7.5699132111861134E-2</v>
      </c>
      <c r="SL26" s="124">
        <v>508</v>
      </c>
      <c r="SM26" s="131">
        <v>0.12246865959498554</v>
      </c>
      <c r="SN26" s="142">
        <v>355.59999999999997</v>
      </c>
      <c r="SO26" s="142">
        <v>101.60000000000001</v>
      </c>
      <c r="SP26" s="142">
        <v>35.56</v>
      </c>
      <c r="SQ26" s="142">
        <v>15.24</v>
      </c>
      <c r="SR26" s="124">
        <v>66</v>
      </c>
      <c r="SS26" s="124">
        <v>179</v>
      </c>
      <c r="ST26" s="124">
        <v>1048</v>
      </c>
      <c r="SU26" s="124">
        <v>931</v>
      </c>
      <c r="SV26" s="124">
        <v>596</v>
      </c>
      <c r="SW26" s="124">
        <v>1394</v>
      </c>
      <c r="SX26" s="124">
        <v>2505</v>
      </c>
      <c r="SY26" s="131">
        <v>0.34700000000000003</v>
      </c>
      <c r="SZ26" s="134">
        <v>1439.3560000000002</v>
      </c>
      <c r="TA26" s="131">
        <v>0.28999999999999998</v>
      </c>
      <c r="TB26" s="134">
        <v>1202.9199999999998</v>
      </c>
      <c r="TC26" s="293">
        <v>0</v>
      </c>
      <c r="TD26" s="168">
        <v>248.88</v>
      </c>
      <c r="TF26" s="5"/>
      <c r="TH26" s="168">
        <v>1202.9199999999998</v>
      </c>
      <c r="TI26" s="168">
        <v>1439.3560000000002</v>
      </c>
      <c r="TJ26" s="205">
        <v>1439.3560000000002</v>
      </c>
      <c r="TK26" s="144"/>
      <c r="TL26" s="293"/>
      <c r="TM26" s="293">
        <v>0</v>
      </c>
      <c r="TN26" s="169">
        <v>248.88</v>
      </c>
      <c r="TO26" s="205">
        <v>248.88</v>
      </c>
      <c r="TP26" s="5"/>
      <c r="TR26" s="293" t="s">
        <v>91</v>
      </c>
      <c r="TT26" s="5"/>
      <c r="TV26" s="199">
        <v>4311673.443</v>
      </c>
      <c r="TW26" s="200">
        <v>0</v>
      </c>
      <c r="TX26" s="200">
        <v>19679547</v>
      </c>
      <c r="TY26" s="200" t="s">
        <v>91</v>
      </c>
      <c r="TZ26" s="200">
        <v>22399200</v>
      </c>
      <c r="UA26" s="204">
        <v>2891624.4727000748</v>
      </c>
      <c r="UB26" s="204">
        <v>169560</v>
      </c>
      <c r="UC26" s="200">
        <v>0</v>
      </c>
      <c r="UD26" s="200">
        <v>0</v>
      </c>
      <c r="UE26" s="200">
        <v>0</v>
      </c>
      <c r="UF26" s="200">
        <v>0</v>
      </c>
      <c r="UG26" s="200">
        <v>0</v>
      </c>
      <c r="UH26" s="200">
        <v>0</v>
      </c>
      <c r="UI26" s="200">
        <v>0</v>
      </c>
      <c r="UJ26" s="200">
        <v>0</v>
      </c>
      <c r="UK26" s="200">
        <v>0</v>
      </c>
      <c r="UL26" s="200">
        <v>0</v>
      </c>
      <c r="UM26" s="200">
        <v>0</v>
      </c>
      <c r="UN26" s="200">
        <v>25460384.472700074</v>
      </c>
      <c r="UO26" s="200"/>
      <c r="UP26" s="182"/>
      <c r="UQ26" s="200"/>
      <c r="UR26" s="199">
        <v>25460384.472700074</v>
      </c>
      <c r="US26" s="199">
        <v>6137.9904707570095</v>
      </c>
      <c r="UT26" s="199">
        <v>23991220.443</v>
      </c>
      <c r="UU26" s="199">
        <v>5783.8043498071356</v>
      </c>
      <c r="UV26" s="199">
        <v>1469164.0297000743</v>
      </c>
      <c r="UW26" s="199">
        <v>354.18612094987384</v>
      </c>
      <c r="UX26" s="131">
        <v>6.1237569518008399E-2</v>
      </c>
      <c r="UY26" s="199"/>
      <c r="UZ26" s="221"/>
      <c r="VA26" s="199"/>
      <c r="VB26" s="199">
        <v>4209227</v>
      </c>
      <c r="VC26" s="200">
        <v>1567907</v>
      </c>
      <c r="VD26" s="199">
        <v>594038.55700000003</v>
      </c>
      <c r="VE26" s="199">
        <v>1111157</v>
      </c>
      <c r="VG26" s="5"/>
      <c r="VI26" s="354">
        <v>31831557.029700074</v>
      </c>
      <c r="VJ26" s="355">
        <v>7673.9529965525735</v>
      </c>
      <c r="VK26" s="354">
        <v>30362393</v>
      </c>
      <c r="VL26" s="355">
        <v>7319.7668756026997</v>
      </c>
      <c r="VM26" s="131">
        <v>4.8387623126414203E-2</v>
      </c>
      <c r="VN26" s="131"/>
      <c r="VO26" s="354"/>
      <c r="VP26" s="200"/>
      <c r="VQ26" s="200"/>
      <c r="VR26" s="200"/>
      <c r="VS26" s="199"/>
    </row>
    <row r="27" spans="1:591">
      <c r="A27" s="26">
        <v>331.1</v>
      </c>
      <c r="B27" s="2" t="s">
        <v>189</v>
      </c>
      <c r="C27" s="24">
        <v>0</v>
      </c>
      <c r="D27" s="24">
        <v>0</v>
      </c>
      <c r="E27" s="24">
        <v>0</v>
      </c>
      <c r="F27" s="24">
        <v>0</v>
      </c>
      <c r="G27" s="24">
        <v>0</v>
      </c>
      <c r="H27" s="24">
        <v>0</v>
      </c>
      <c r="I27" s="24">
        <v>0</v>
      </c>
      <c r="J27" s="24">
        <v>0</v>
      </c>
      <c r="K27" s="24">
        <v>0</v>
      </c>
      <c r="L27" s="24">
        <v>0</v>
      </c>
      <c r="M27" s="24">
        <v>0</v>
      </c>
      <c r="N27" s="24">
        <v>0</v>
      </c>
      <c r="O27" s="24">
        <v>0</v>
      </c>
      <c r="P27" s="24">
        <v>0</v>
      </c>
      <c r="Q27" s="24">
        <v>0</v>
      </c>
      <c r="R27" s="24">
        <v>0</v>
      </c>
      <c r="S27" s="24">
        <v>0</v>
      </c>
      <c r="T27" s="24">
        <v>0</v>
      </c>
      <c r="U27" s="24">
        <v>0</v>
      </c>
      <c r="V27" s="24">
        <v>0</v>
      </c>
      <c r="W27" s="24">
        <v>0</v>
      </c>
      <c r="X27" s="24">
        <v>0</v>
      </c>
      <c r="Y27" s="24">
        <v>0</v>
      </c>
      <c r="Z27" s="24">
        <v>0</v>
      </c>
      <c r="AA27" s="24">
        <v>0</v>
      </c>
      <c r="AB27" s="24">
        <v>0</v>
      </c>
      <c r="AC27" s="24">
        <v>0</v>
      </c>
      <c r="AD27" s="24">
        <v>0</v>
      </c>
      <c r="AE27" s="24">
        <v>0</v>
      </c>
      <c r="AF27" s="24">
        <v>0</v>
      </c>
      <c r="AG27" s="24">
        <v>0</v>
      </c>
      <c r="AH27" s="24">
        <v>0</v>
      </c>
      <c r="AI27" s="24">
        <v>0</v>
      </c>
      <c r="AJ27" s="24">
        <v>615</v>
      </c>
      <c r="AK27" s="24">
        <v>0</v>
      </c>
      <c r="AL27" s="24">
        <v>0</v>
      </c>
      <c r="AM27" s="24">
        <v>0</v>
      </c>
      <c r="AN27" s="24">
        <v>0</v>
      </c>
      <c r="AO27" s="24">
        <v>0</v>
      </c>
      <c r="AP27" s="24">
        <v>0</v>
      </c>
      <c r="AQ27" s="24">
        <v>0</v>
      </c>
      <c r="AR27" s="24">
        <v>0</v>
      </c>
      <c r="AS27" s="24">
        <v>0</v>
      </c>
      <c r="AT27" s="24">
        <v>0</v>
      </c>
      <c r="AU27" s="24">
        <v>0</v>
      </c>
      <c r="AV27" s="24">
        <v>0</v>
      </c>
      <c r="AW27" s="24">
        <v>0</v>
      </c>
      <c r="AX27" s="24">
        <v>0</v>
      </c>
      <c r="AY27" s="24">
        <v>0</v>
      </c>
      <c r="AZ27" s="24">
        <v>0</v>
      </c>
      <c r="BA27" s="24">
        <v>0</v>
      </c>
      <c r="BB27" s="24">
        <v>0</v>
      </c>
      <c r="BC27" s="24">
        <v>0</v>
      </c>
      <c r="BD27" s="24">
        <v>0</v>
      </c>
      <c r="BE27" s="24">
        <v>0</v>
      </c>
      <c r="BF27" s="24">
        <v>0</v>
      </c>
      <c r="BG27" s="24">
        <v>0</v>
      </c>
      <c r="BH27" s="24">
        <v>0</v>
      </c>
      <c r="BI27" s="24">
        <v>0</v>
      </c>
      <c r="BJ27" s="24">
        <v>0</v>
      </c>
      <c r="BK27" s="24">
        <v>0</v>
      </c>
      <c r="BL27" s="24">
        <v>0</v>
      </c>
      <c r="BM27" s="24">
        <v>0</v>
      </c>
      <c r="BN27" s="24">
        <v>0</v>
      </c>
      <c r="BO27" s="24">
        <v>0</v>
      </c>
      <c r="BP27" s="24">
        <v>0</v>
      </c>
      <c r="BQ27" s="24">
        <v>0</v>
      </c>
      <c r="BR27" s="24">
        <v>0</v>
      </c>
      <c r="BS27" s="24">
        <v>0</v>
      </c>
      <c r="BT27" s="24">
        <v>0</v>
      </c>
      <c r="BU27" s="24">
        <v>0</v>
      </c>
      <c r="BV27" s="24">
        <v>0</v>
      </c>
      <c r="BW27" s="24">
        <v>0</v>
      </c>
      <c r="BX27" s="24">
        <v>0</v>
      </c>
      <c r="BY27" s="24">
        <v>0</v>
      </c>
      <c r="BZ27" s="24">
        <v>0</v>
      </c>
      <c r="CA27" s="24">
        <v>0</v>
      </c>
      <c r="CB27" s="24">
        <v>0</v>
      </c>
      <c r="CC27" s="24">
        <v>0</v>
      </c>
      <c r="CD27" s="24">
        <v>0</v>
      </c>
      <c r="CE27" s="24">
        <v>0</v>
      </c>
      <c r="CF27" s="24">
        <v>0</v>
      </c>
      <c r="CG27" s="24">
        <v>0</v>
      </c>
      <c r="CH27" s="24">
        <v>0</v>
      </c>
      <c r="CI27" s="24">
        <v>0</v>
      </c>
      <c r="CJ27" s="24">
        <v>0</v>
      </c>
      <c r="CK27" s="24">
        <v>0</v>
      </c>
      <c r="CL27" s="24">
        <v>0</v>
      </c>
      <c r="CM27" s="24">
        <v>0</v>
      </c>
      <c r="CN27" s="24">
        <v>0</v>
      </c>
      <c r="CO27" s="24">
        <v>0</v>
      </c>
      <c r="CP27" s="24">
        <v>0</v>
      </c>
      <c r="CQ27" s="24">
        <v>0</v>
      </c>
      <c r="CR27" s="24">
        <v>0</v>
      </c>
      <c r="CS27" s="24">
        <v>0</v>
      </c>
      <c r="CT27" s="24">
        <v>0</v>
      </c>
      <c r="CU27" s="24">
        <v>0</v>
      </c>
      <c r="CV27" s="24">
        <v>0</v>
      </c>
      <c r="CW27" s="24">
        <v>0</v>
      </c>
      <c r="CX27" s="24">
        <v>0</v>
      </c>
      <c r="CY27" s="24">
        <v>0</v>
      </c>
      <c r="CZ27" s="24">
        <v>0</v>
      </c>
      <c r="DA27" s="24">
        <v>0</v>
      </c>
      <c r="DB27" s="24">
        <v>0</v>
      </c>
      <c r="DC27" s="24">
        <v>0</v>
      </c>
      <c r="DD27" s="24">
        <v>0</v>
      </c>
      <c r="DE27" s="24">
        <v>0</v>
      </c>
      <c r="DF27" s="24">
        <v>0</v>
      </c>
      <c r="DG27" s="24">
        <v>0</v>
      </c>
      <c r="DH27" s="24">
        <v>0</v>
      </c>
      <c r="DI27" s="24">
        <v>0</v>
      </c>
      <c r="DJ27" s="24">
        <v>0</v>
      </c>
      <c r="DK27" s="24">
        <v>0</v>
      </c>
      <c r="DL27" s="24">
        <v>0</v>
      </c>
      <c r="DM27" s="24">
        <v>0</v>
      </c>
      <c r="DN27" s="24">
        <v>0</v>
      </c>
      <c r="DO27" s="24">
        <v>0</v>
      </c>
      <c r="DP27" s="24">
        <v>0</v>
      </c>
      <c r="DQ27" s="24">
        <v>0</v>
      </c>
      <c r="DR27" s="24">
        <v>0</v>
      </c>
      <c r="DS27" s="24">
        <v>0</v>
      </c>
      <c r="DT27" s="24">
        <v>0</v>
      </c>
      <c r="DU27" s="24">
        <v>0</v>
      </c>
      <c r="DV27" s="24">
        <v>0</v>
      </c>
      <c r="DW27" s="24">
        <v>0</v>
      </c>
      <c r="DX27" s="24">
        <v>0</v>
      </c>
      <c r="DY27" s="24">
        <v>0</v>
      </c>
      <c r="DZ27" s="24">
        <v>0</v>
      </c>
      <c r="EA27" s="24">
        <v>0</v>
      </c>
      <c r="EB27" s="24">
        <v>0</v>
      </c>
      <c r="EC27" s="24">
        <v>0</v>
      </c>
      <c r="ED27" s="24">
        <v>0</v>
      </c>
      <c r="EE27" s="24">
        <v>0</v>
      </c>
      <c r="EF27" s="24">
        <v>0</v>
      </c>
      <c r="EG27" s="24">
        <v>0</v>
      </c>
      <c r="EH27" s="24">
        <v>0</v>
      </c>
      <c r="EI27" s="24">
        <v>0</v>
      </c>
      <c r="EJ27" s="24">
        <v>0</v>
      </c>
      <c r="EK27" s="24">
        <v>0</v>
      </c>
      <c r="EL27" s="24">
        <v>0</v>
      </c>
      <c r="EM27" s="24">
        <v>0</v>
      </c>
      <c r="EN27" s="24">
        <v>0</v>
      </c>
      <c r="EO27" s="24">
        <v>0</v>
      </c>
      <c r="EP27" s="24">
        <v>0</v>
      </c>
      <c r="EQ27" s="24">
        <v>0</v>
      </c>
      <c r="ER27" s="24">
        <v>0</v>
      </c>
      <c r="ES27" s="24">
        <v>0</v>
      </c>
      <c r="ET27" s="24">
        <v>0</v>
      </c>
      <c r="EU27" s="24">
        <v>0</v>
      </c>
      <c r="EV27" s="24">
        <v>0</v>
      </c>
      <c r="EW27" s="24">
        <v>0</v>
      </c>
      <c r="EX27" s="24">
        <v>0</v>
      </c>
      <c r="EY27" s="24">
        <v>0</v>
      </c>
      <c r="EZ27" s="24">
        <v>0</v>
      </c>
      <c r="FA27" s="24">
        <v>0</v>
      </c>
      <c r="FB27" s="24">
        <v>0</v>
      </c>
      <c r="FC27" s="24">
        <v>0</v>
      </c>
      <c r="FD27" s="24">
        <v>0</v>
      </c>
      <c r="FE27" s="24">
        <v>0</v>
      </c>
      <c r="FF27" s="24">
        <v>0</v>
      </c>
      <c r="FG27" s="24">
        <v>0</v>
      </c>
      <c r="FH27" s="24">
        <v>0</v>
      </c>
      <c r="FI27" s="24">
        <v>0</v>
      </c>
      <c r="FJ27" s="24">
        <v>0</v>
      </c>
      <c r="FK27" s="24">
        <v>0</v>
      </c>
      <c r="FL27" s="24">
        <v>0</v>
      </c>
      <c r="FM27" s="24">
        <v>0</v>
      </c>
      <c r="FN27" s="24">
        <v>0</v>
      </c>
      <c r="FO27" s="24">
        <v>0</v>
      </c>
      <c r="FP27" s="24">
        <v>0</v>
      </c>
      <c r="FQ27" s="24">
        <v>0</v>
      </c>
      <c r="FR27" s="24">
        <v>0</v>
      </c>
      <c r="FS27" s="24">
        <v>0</v>
      </c>
      <c r="FT27" s="24">
        <v>0</v>
      </c>
      <c r="FU27" s="24">
        <v>0</v>
      </c>
      <c r="FV27" s="24">
        <v>0</v>
      </c>
      <c r="FW27" s="24">
        <v>0</v>
      </c>
      <c r="FX27" s="24">
        <v>0</v>
      </c>
      <c r="FY27" s="24">
        <v>0</v>
      </c>
      <c r="FZ27" s="24">
        <v>0</v>
      </c>
      <c r="GA27" s="24">
        <v>0</v>
      </c>
      <c r="GB27" s="24">
        <v>0</v>
      </c>
      <c r="GC27" s="24">
        <v>0</v>
      </c>
      <c r="GD27" s="24">
        <v>0</v>
      </c>
      <c r="GE27" s="24">
        <v>0</v>
      </c>
      <c r="GF27" s="24">
        <v>0</v>
      </c>
      <c r="GG27" s="24">
        <v>0</v>
      </c>
      <c r="GH27" s="24">
        <v>0</v>
      </c>
      <c r="GI27" s="24">
        <v>0</v>
      </c>
      <c r="GJ27" s="24">
        <v>0</v>
      </c>
      <c r="GK27" s="24">
        <v>0</v>
      </c>
      <c r="GL27" s="24">
        <v>0</v>
      </c>
      <c r="GM27" s="24">
        <v>0</v>
      </c>
      <c r="GN27" s="24">
        <v>0</v>
      </c>
      <c r="GO27" s="24">
        <v>0</v>
      </c>
      <c r="GP27" s="24">
        <v>0</v>
      </c>
      <c r="GQ27" s="24">
        <v>0</v>
      </c>
      <c r="GR27" s="24">
        <v>0</v>
      </c>
      <c r="GS27" s="24">
        <v>0</v>
      </c>
      <c r="GT27" s="24">
        <v>0</v>
      </c>
      <c r="GU27" s="24">
        <v>0</v>
      </c>
      <c r="GV27" s="24">
        <v>0</v>
      </c>
      <c r="GW27" s="24">
        <v>0</v>
      </c>
      <c r="GX27" s="24">
        <v>0</v>
      </c>
      <c r="GY27" s="24">
        <v>1242444</v>
      </c>
      <c r="GZ27" s="24">
        <v>0</v>
      </c>
      <c r="HA27" s="24">
        <v>0</v>
      </c>
      <c r="HB27" s="24">
        <v>0</v>
      </c>
      <c r="HC27" s="24">
        <v>0</v>
      </c>
      <c r="HD27" s="24">
        <v>0</v>
      </c>
      <c r="HE27" s="24">
        <v>0</v>
      </c>
      <c r="HF27" s="24">
        <v>0</v>
      </c>
      <c r="HG27" s="24">
        <v>0</v>
      </c>
      <c r="HH27" s="24">
        <v>0</v>
      </c>
      <c r="HI27" s="24">
        <v>0</v>
      </c>
      <c r="HJ27" s="24">
        <v>163644</v>
      </c>
      <c r="HK27" s="24">
        <v>96399</v>
      </c>
      <c r="HL27" s="24">
        <v>0</v>
      </c>
      <c r="HM27" s="24">
        <v>0</v>
      </c>
      <c r="HN27" s="24">
        <v>0</v>
      </c>
      <c r="HO27" s="24">
        <v>0</v>
      </c>
      <c r="HP27" s="24">
        <v>0</v>
      </c>
      <c r="HQ27" s="24">
        <v>0</v>
      </c>
      <c r="HR27" s="24">
        <v>0</v>
      </c>
      <c r="HS27" s="24">
        <v>0</v>
      </c>
      <c r="HT27" s="24">
        <v>0</v>
      </c>
      <c r="HU27" s="24">
        <v>0</v>
      </c>
      <c r="HV27" s="24">
        <v>0</v>
      </c>
      <c r="HW27" s="24">
        <v>0</v>
      </c>
      <c r="HX27" s="24">
        <v>0</v>
      </c>
      <c r="HY27" s="24">
        <v>0</v>
      </c>
      <c r="HZ27" s="24">
        <v>0</v>
      </c>
      <c r="IA27" s="24">
        <v>0</v>
      </c>
      <c r="IB27" s="24">
        <v>0</v>
      </c>
      <c r="IC27" s="24">
        <v>0</v>
      </c>
      <c r="ID27" s="24">
        <v>0</v>
      </c>
      <c r="IE27" s="24">
        <v>0</v>
      </c>
      <c r="IF27" s="24">
        <v>0</v>
      </c>
      <c r="IG27" s="24">
        <v>0</v>
      </c>
      <c r="IH27" s="24">
        <v>0</v>
      </c>
      <c r="II27" s="24">
        <v>0</v>
      </c>
      <c r="IJ27" s="24">
        <v>0</v>
      </c>
      <c r="IK27" s="24">
        <v>0</v>
      </c>
      <c r="IL27" s="24">
        <v>0</v>
      </c>
      <c r="IM27" s="24">
        <v>0</v>
      </c>
      <c r="IN27" s="24">
        <v>0</v>
      </c>
      <c r="IO27" s="24">
        <v>0</v>
      </c>
      <c r="IP27" s="24">
        <v>0</v>
      </c>
      <c r="IQ27" s="24">
        <v>0</v>
      </c>
      <c r="IR27" s="24">
        <v>0</v>
      </c>
      <c r="IS27" s="24">
        <v>0</v>
      </c>
      <c r="IT27" s="24">
        <v>0</v>
      </c>
      <c r="IU27" s="24">
        <v>0</v>
      </c>
      <c r="IV27" s="24">
        <v>10465</v>
      </c>
      <c r="IW27" s="24">
        <v>0</v>
      </c>
      <c r="IX27" s="24">
        <v>0</v>
      </c>
      <c r="IY27" s="24">
        <v>0</v>
      </c>
      <c r="IZ27" s="24">
        <v>0</v>
      </c>
      <c r="JA27" s="24">
        <v>0</v>
      </c>
      <c r="JB27" s="24">
        <v>0</v>
      </c>
      <c r="JC27" s="24">
        <v>0</v>
      </c>
      <c r="JD27" s="24">
        <v>0</v>
      </c>
      <c r="JE27" s="24">
        <v>0</v>
      </c>
      <c r="JF27" s="24">
        <v>0</v>
      </c>
      <c r="JG27" s="24">
        <v>0</v>
      </c>
      <c r="JH27" s="24">
        <v>0</v>
      </c>
      <c r="JI27" s="24">
        <v>0</v>
      </c>
      <c r="JJ27" s="24">
        <v>0</v>
      </c>
      <c r="JK27" s="24">
        <v>0</v>
      </c>
      <c r="JL27" s="24">
        <v>0</v>
      </c>
      <c r="JM27" s="24">
        <v>0</v>
      </c>
      <c r="JN27" s="24">
        <v>672</v>
      </c>
      <c r="JO27" s="24">
        <v>0</v>
      </c>
      <c r="JP27" s="24">
        <v>0</v>
      </c>
      <c r="JQ27" s="24">
        <v>0</v>
      </c>
      <c r="JR27" s="24">
        <v>0</v>
      </c>
      <c r="JS27" s="24">
        <v>10000</v>
      </c>
      <c r="JT27" s="24">
        <v>0</v>
      </c>
      <c r="JU27" s="24">
        <v>0</v>
      </c>
      <c r="JV27" s="24">
        <v>0</v>
      </c>
      <c r="JW27" s="24">
        <v>0</v>
      </c>
      <c r="JX27" s="24">
        <v>0</v>
      </c>
      <c r="JY27" s="24">
        <v>0</v>
      </c>
      <c r="JZ27" s="24">
        <v>0</v>
      </c>
      <c r="KA27" s="24">
        <v>0</v>
      </c>
      <c r="KB27" s="24">
        <v>0</v>
      </c>
      <c r="KC27" s="24">
        <v>0</v>
      </c>
      <c r="KD27" s="24">
        <v>0</v>
      </c>
      <c r="KE27" s="24">
        <v>0</v>
      </c>
      <c r="KF27" s="24">
        <v>0</v>
      </c>
      <c r="KG27" s="24">
        <v>0</v>
      </c>
      <c r="KH27" s="24">
        <v>0</v>
      </c>
      <c r="KI27" s="24">
        <v>0</v>
      </c>
      <c r="KJ27" s="24">
        <v>0</v>
      </c>
      <c r="KK27" s="24">
        <v>0</v>
      </c>
      <c r="KL27" s="24">
        <v>0</v>
      </c>
      <c r="KM27" s="24">
        <v>0</v>
      </c>
      <c r="KN27" s="24">
        <v>0</v>
      </c>
      <c r="KO27" s="24">
        <v>0</v>
      </c>
      <c r="KP27" s="24">
        <v>0</v>
      </c>
      <c r="KQ27" s="24">
        <v>0</v>
      </c>
      <c r="KR27" s="24">
        <v>0</v>
      </c>
      <c r="KS27" s="24">
        <v>0</v>
      </c>
      <c r="KT27" s="24">
        <v>0</v>
      </c>
      <c r="KU27" s="24">
        <v>0</v>
      </c>
      <c r="KV27" s="24">
        <v>0</v>
      </c>
      <c r="KW27" s="24">
        <v>0</v>
      </c>
      <c r="KX27" s="24">
        <v>0</v>
      </c>
      <c r="KY27" s="24">
        <v>0</v>
      </c>
      <c r="KZ27" s="24">
        <v>0</v>
      </c>
      <c r="LA27" s="24">
        <v>0</v>
      </c>
      <c r="LB27" s="24">
        <v>0</v>
      </c>
      <c r="LC27" s="24">
        <v>0</v>
      </c>
      <c r="LD27" s="24">
        <v>0</v>
      </c>
      <c r="LE27" s="24">
        <v>0</v>
      </c>
      <c r="LF27" s="24">
        <v>0</v>
      </c>
      <c r="LG27" s="24">
        <v>0</v>
      </c>
      <c r="LH27" s="24">
        <v>0</v>
      </c>
      <c r="LI27" s="24">
        <v>0</v>
      </c>
      <c r="LJ27" s="24">
        <v>0</v>
      </c>
      <c r="LK27" s="24">
        <v>0</v>
      </c>
      <c r="LL27" s="24">
        <v>0</v>
      </c>
      <c r="LM27" s="24">
        <v>0</v>
      </c>
      <c r="LN27" s="24">
        <v>0</v>
      </c>
      <c r="LO27" s="24">
        <v>0</v>
      </c>
      <c r="LP27" s="24">
        <v>0</v>
      </c>
      <c r="LQ27" s="24">
        <v>0</v>
      </c>
      <c r="LR27" s="24">
        <v>0</v>
      </c>
      <c r="LS27" s="24">
        <v>0</v>
      </c>
      <c r="LT27" s="24">
        <v>0</v>
      </c>
      <c r="LU27" s="24">
        <v>0</v>
      </c>
      <c r="LV27" s="24">
        <v>0</v>
      </c>
      <c r="LW27" s="24">
        <v>0</v>
      </c>
      <c r="LX27" s="24">
        <v>0</v>
      </c>
      <c r="LY27" s="24">
        <v>0</v>
      </c>
      <c r="LZ27" s="24">
        <v>0</v>
      </c>
      <c r="MA27" s="24">
        <v>0</v>
      </c>
      <c r="MB27" s="24">
        <v>0</v>
      </c>
      <c r="MC27" s="24">
        <v>0</v>
      </c>
      <c r="MD27" s="24">
        <v>0</v>
      </c>
      <c r="ME27" s="24">
        <v>0</v>
      </c>
      <c r="MF27" s="24">
        <v>0</v>
      </c>
      <c r="MG27" s="24">
        <v>0</v>
      </c>
      <c r="MH27" s="24">
        <v>0</v>
      </c>
      <c r="MI27" s="24">
        <v>0</v>
      </c>
      <c r="MJ27" s="24">
        <v>0</v>
      </c>
      <c r="MK27" s="24">
        <v>0</v>
      </c>
      <c r="ML27" s="24">
        <v>0</v>
      </c>
      <c r="MM27" s="24">
        <v>0</v>
      </c>
      <c r="MN27" s="24">
        <v>0</v>
      </c>
      <c r="MO27" s="24">
        <v>0</v>
      </c>
      <c r="MP27" s="24">
        <v>0</v>
      </c>
      <c r="MQ27" s="24">
        <v>0</v>
      </c>
      <c r="MR27" s="24">
        <v>0</v>
      </c>
      <c r="MS27" s="24">
        <v>0</v>
      </c>
      <c r="MT27" s="24">
        <v>0</v>
      </c>
      <c r="MU27" s="24">
        <v>0</v>
      </c>
      <c r="MV27" s="24">
        <v>0</v>
      </c>
      <c r="MW27" s="24">
        <v>0</v>
      </c>
      <c r="MX27" s="24">
        <v>0</v>
      </c>
      <c r="MY27" s="24">
        <v>0</v>
      </c>
      <c r="MZ27" s="24">
        <v>0</v>
      </c>
      <c r="NA27" s="24">
        <v>0</v>
      </c>
      <c r="NB27" s="24">
        <v>0</v>
      </c>
      <c r="NC27" s="24">
        <v>0</v>
      </c>
      <c r="ND27" s="24">
        <v>0</v>
      </c>
      <c r="NE27" s="24">
        <v>0</v>
      </c>
      <c r="NF27" s="24">
        <v>0</v>
      </c>
      <c r="NG27" s="24">
        <v>0</v>
      </c>
      <c r="NH27" s="24">
        <v>0</v>
      </c>
      <c r="NI27" s="24">
        <v>0</v>
      </c>
      <c r="NJ27" s="24">
        <v>0</v>
      </c>
      <c r="NK27" s="24">
        <v>0</v>
      </c>
      <c r="NL27" s="24">
        <v>0</v>
      </c>
      <c r="NM27" s="24">
        <v>0</v>
      </c>
      <c r="NN27" s="24">
        <v>0</v>
      </c>
      <c r="NO27" s="24">
        <v>0</v>
      </c>
      <c r="NP27" s="24">
        <v>0</v>
      </c>
      <c r="NQ27" s="24">
        <v>0</v>
      </c>
      <c r="NR27" s="24">
        <v>0</v>
      </c>
      <c r="NS27" s="24">
        <v>0</v>
      </c>
      <c r="NT27" s="24">
        <v>0</v>
      </c>
      <c r="NU27" s="24">
        <v>0</v>
      </c>
      <c r="NV27" s="24">
        <v>0</v>
      </c>
      <c r="NW27" s="24">
        <v>0</v>
      </c>
      <c r="NX27" s="24">
        <v>0</v>
      </c>
      <c r="NY27" s="24">
        <v>0</v>
      </c>
      <c r="NZ27" s="24">
        <v>0</v>
      </c>
      <c r="OA27" s="24">
        <v>0</v>
      </c>
      <c r="OB27" s="24">
        <v>0</v>
      </c>
      <c r="OC27" s="24">
        <v>0</v>
      </c>
      <c r="OD27" s="24">
        <v>0</v>
      </c>
      <c r="OE27" s="24">
        <v>0</v>
      </c>
      <c r="OF27" s="24">
        <v>0</v>
      </c>
      <c r="OG27" s="24">
        <v>0</v>
      </c>
      <c r="OH27" s="24">
        <v>0</v>
      </c>
      <c r="OI27" s="24">
        <v>0</v>
      </c>
      <c r="OJ27" s="24">
        <v>0</v>
      </c>
      <c r="OK27" s="24">
        <v>0</v>
      </c>
      <c r="OL27" s="24">
        <v>0</v>
      </c>
      <c r="OM27" s="24">
        <v>0</v>
      </c>
      <c r="ON27" s="24">
        <v>0</v>
      </c>
      <c r="OO27" s="24">
        <v>0</v>
      </c>
      <c r="OP27" s="24">
        <v>0</v>
      </c>
      <c r="OQ27" s="24">
        <v>0</v>
      </c>
      <c r="OR27" s="24">
        <v>0</v>
      </c>
      <c r="OS27" s="24">
        <v>0</v>
      </c>
      <c r="OT27" s="24">
        <v>0</v>
      </c>
      <c r="OU27" s="24">
        <v>0</v>
      </c>
      <c r="OV27" s="24">
        <v>0</v>
      </c>
      <c r="OW27" s="24">
        <v>0</v>
      </c>
      <c r="OX27" s="24">
        <v>0</v>
      </c>
      <c r="OY27" s="24">
        <v>0</v>
      </c>
      <c r="OZ27" s="24">
        <v>0</v>
      </c>
      <c r="PA27" s="24">
        <v>0</v>
      </c>
      <c r="PB27" s="24">
        <v>0</v>
      </c>
      <c r="PC27" s="24">
        <v>0</v>
      </c>
      <c r="PD27" s="24">
        <v>0</v>
      </c>
      <c r="PE27" s="24">
        <v>0</v>
      </c>
      <c r="PF27" s="24">
        <v>0</v>
      </c>
      <c r="PG27" s="24">
        <v>0</v>
      </c>
      <c r="PH27" s="24">
        <v>0</v>
      </c>
      <c r="PI27" s="24">
        <v>0</v>
      </c>
      <c r="PJ27" s="24">
        <v>0</v>
      </c>
      <c r="PK27" s="24">
        <v>0</v>
      </c>
      <c r="PL27" s="24">
        <v>0</v>
      </c>
      <c r="PM27" s="24">
        <v>0</v>
      </c>
      <c r="PN27" s="24">
        <v>0</v>
      </c>
      <c r="PO27" s="24">
        <v>0</v>
      </c>
      <c r="PP27" s="24">
        <v>0</v>
      </c>
      <c r="PQ27" s="24">
        <v>0</v>
      </c>
      <c r="PR27" s="24">
        <v>0</v>
      </c>
      <c r="PS27" s="24">
        <v>0</v>
      </c>
      <c r="PT27" s="24">
        <v>0</v>
      </c>
      <c r="PU27" s="24">
        <v>0</v>
      </c>
      <c r="PV27" s="24">
        <v>0</v>
      </c>
      <c r="PW27" s="24">
        <v>0</v>
      </c>
      <c r="PX27" s="24">
        <v>0</v>
      </c>
      <c r="PY27" s="24">
        <v>0</v>
      </c>
      <c r="PZ27" s="24">
        <v>0</v>
      </c>
      <c r="QA27" s="24">
        <v>0</v>
      </c>
      <c r="QB27" s="24">
        <v>0</v>
      </c>
      <c r="QC27" s="24">
        <v>0</v>
      </c>
      <c r="QD27" s="24">
        <v>0</v>
      </c>
      <c r="QE27" s="24">
        <v>0</v>
      </c>
      <c r="QF27" s="24">
        <v>0</v>
      </c>
      <c r="QG27" s="24">
        <v>0</v>
      </c>
      <c r="QH27" s="24">
        <v>0</v>
      </c>
      <c r="QI27" s="24">
        <v>0</v>
      </c>
      <c r="QJ27" s="24">
        <v>0</v>
      </c>
      <c r="QK27" s="24">
        <v>0</v>
      </c>
      <c r="QL27" s="24">
        <v>0</v>
      </c>
      <c r="QM27" s="24">
        <v>0</v>
      </c>
      <c r="QN27" s="24">
        <v>0</v>
      </c>
      <c r="QO27" s="24">
        <v>0</v>
      </c>
      <c r="QP27" s="24">
        <v>0</v>
      </c>
      <c r="QQ27" s="24">
        <v>0</v>
      </c>
      <c r="QR27" s="24">
        <v>0</v>
      </c>
      <c r="QS27" s="4">
        <v>1</v>
      </c>
      <c r="QT27" s="5"/>
      <c r="QV27" s="4"/>
      <c r="QW27" s="39">
        <v>1242444</v>
      </c>
      <c r="QX27" s="39">
        <v>0</v>
      </c>
      <c r="QY27" s="39">
        <v>0</v>
      </c>
      <c r="QZ27" s="39">
        <v>0</v>
      </c>
      <c r="RA27" s="39">
        <v>0</v>
      </c>
      <c r="RB27" s="39">
        <v>163644</v>
      </c>
      <c r="RC27" s="39">
        <v>96399</v>
      </c>
      <c r="RD27" s="39">
        <v>0</v>
      </c>
      <c r="RE27" s="39">
        <v>0</v>
      </c>
      <c r="RF27" s="39">
        <v>10465</v>
      </c>
      <c r="RG27" s="39">
        <v>0</v>
      </c>
      <c r="RH27" s="39">
        <v>10672</v>
      </c>
      <c r="RI27" s="39"/>
      <c r="RJ27" s="182"/>
      <c r="RK27" s="39"/>
      <c r="RL27" s="39">
        <v>0</v>
      </c>
      <c r="RM27" s="39">
        <v>1523624</v>
      </c>
      <c r="RN27" s="39">
        <v>615</v>
      </c>
      <c r="RO27" s="39">
        <v>0</v>
      </c>
      <c r="RP27" s="39"/>
      <c r="RQ27" s="182"/>
      <c r="RR27" s="39"/>
      <c r="RS27" s="39">
        <v>0</v>
      </c>
      <c r="RT27" s="39">
        <v>0</v>
      </c>
      <c r="RU27" s="187">
        <v>0</v>
      </c>
      <c r="RV27" s="39">
        <v>0</v>
      </c>
      <c r="RW27" s="39">
        <v>615</v>
      </c>
      <c r="RX27" s="4"/>
      <c r="RY27" s="5"/>
      <c r="RZ27" s="4"/>
      <c r="SA27" s="39">
        <v>1523624</v>
      </c>
      <c r="SB27" s="39">
        <v>10465</v>
      </c>
      <c r="SC27" s="50">
        <v>0.99313150751103951</v>
      </c>
      <c r="SE27" s="5"/>
      <c r="SG27" s="124">
        <v>264.5</v>
      </c>
      <c r="SH27" s="124">
        <v>0</v>
      </c>
      <c r="SI27" s="131">
        <v>0</v>
      </c>
      <c r="SJ27">
        <v>0</v>
      </c>
      <c r="SK27" s="131">
        <v>0</v>
      </c>
      <c r="SL27" s="124">
        <v>0</v>
      </c>
      <c r="SM27" s="131">
        <v>0</v>
      </c>
      <c r="SN27" s="142">
        <v>0</v>
      </c>
      <c r="SO27" s="142">
        <v>0</v>
      </c>
      <c r="SP27" s="142">
        <v>0</v>
      </c>
      <c r="SQ27" s="142">
        <v>0</v>
      </c>
      <c r="SR27" s="124">
        <v>0</v>
      </c>
      <c r="SS27" s="124">
        <v>0</v>
      </c>
      <c r="ST27" s="124">
        <v>0</v>
      </c>
      <c r="SU27" s="124">
        <v>0</v>
      </c>
      <c r="SV27" s="124">
        <v>0</v>
      </c>
      <c r="SW27" s="124">
        <v>264.5</v>
      </c>
      <c r="SX27" s="124">
        <v>57.5</v>
      </c>
      <c r="SY27" s="131">
        <v>8.6956521739130432E-2</v>
      </c>
      <c r="SZ27" s="134">
        <v>23</v>
      </c>
      <c r="TA27" s="131">
        <v>8.6956521739130432E-2</v>
      </c>
      <c r="TB27" s="134">
        <v>23</v>
      </c>
      <c r="TC27" s="293">
        <v>0</v>
      </c>
      <c r="TD27" s="168">
        <v>15.87</v>
      </c>
      <c r="TF27" s="5"/>
      <c r="TH27" s="168">
        <v>23</v>
      </c>
      <c r="TI27" s="168">
        <v>23</v>
      </c>
      <c r="TJ27" s="205">
        <v>23</v>
      </c>
      <c r="TK27" s="144"/>
      <c r="TL27" s="293"/>
      <c r="TM27" s="293">
        <v>0</v>
      </c>
      <c r="TN27" s="169">
        <v>15.87</v>
      </c>
      <c r="TO27" s="205">
        <v>15.87</v>
      </c>
      <c r="TP27" s="5"/>
      <c r="TR27" s="293" t="s">
        <v>1432</v>
      </c>
      <c r="TT27" s="5"/>
      <c r="TV27" s="199">
        <v>0</v>
      </c>
      <c r="TW27" s="200">
        <v>0</v>
      </c>
      <c r="TX27" s="200">
        <v>1513159</v>
      </c>
      <c r="TY27" s="200">
        <v>95324</v>
      </c>
      <c r="TZ27" s="200">
        <v>1428300</v>
      </c>
      <c r="UA27" s="204">
        <v>0</v>
      </c>
      <c r="UB27" s="204">
        <v>0</v>
      </c>
      <c r="UC27" s="200">
        <v>0</v>
      </c>
      <c r="UD27" s="200">
        <v>0</v>
      </c>
      <c r="UE27" s="200">
        <v>0</v>
      </c>
      <c r="UF27" s="200">
        <v>0</v>
      </c>
      <c r="UG27" s="200">
        <v>0</v>
      </c>
      <c r="UH27" s="200">
        <v>0</v>
      </c>
      <c r="UI27" s="200">
        <v>0</v>
      </c>
      <c r="UJ27" s="200">
        <v>0</v>
      </c>
      <c r="UK27" s="200">
        <v>0</v>
      </c>
      <c r="UL27" s="200">
        <v>0</v>
      </c>
      <c r="UM27" s="200">
        <v>0</v>
      </c>
      <c r="UN27" s="200">
        <v>1428300</v>
      </c>
      <c r="UO27" s="200"/>
      <c r="UP27" s="182"/>
      <c r="UQ27" s="200"/>
      <c r="UR27" s="199">
        <v>1523624</v>
      </c>
      <c r="US27" s="199">
        <v>5760.3931947069941</v>
      </c>
      <c r="UT27" s="199">
        <v>1513159</v>
      </c>
      <c r="UU27" s="199">
        <v>5720.8279773156901</v>
      </c>
      <c r="UV27" s="199">
        <v>10465</v>
      </c>
      <c r="UW27" s="199">
        <v>39.565217391304031</v>
      </c>
      <c r="UX27" s="131">
        <v>6.9159949483166777E-3</v>
      </c>
      <c r="UY27" s="199"/>
      <c r="UZ27" s="221"/>
      <c r="VA27" s="199"/>
      <c r="VB27" s="199">
        <v>0</v>
      </c>
      <c r="VC27" s="200">
        <v>10465</v>
      </c>
      <c r="VD27" s="199">
        <v>615</v>
      </c>
      <c r="VE27" s="199">
        <v>0</v>
      </c>
      <c r="VG27" s="5"/>
      <c r="VI27" s="354">
        <v>1534704</v>
      </c>
      <c r="VJ27" s="355">
        <v>5802.2835538752361</v>
      </c>
      <c r="VK27" s="354">
        <v>1524239</v>
      </c>
      <c r="VL27" s="355">
        <v>5762.718336483932</v>
      </c>
      <c r="VM27" s="131">
        <v>6.8657211893934722E-3</v>
      </c>
      <c r="VN27" s="131"/>
      <c r="VO27" s="354"/>
      <c r="VP27" s="200"/>
      <c r="VQ27" s="200"/>
      <c r="VR27" s="200"/>
      <c r="VS27" s="199"/>
    </row>
    <row r="29" spans="1:591">
      <c r="A29" s="133">
        <f>A9*1</f>
        <v>1</v>
      </c>
      <c r="B29" s="133" t="str">
        <f>B9</f>
        <v>Boise Independent</v>
      </c>
      <c r="C29" s="199">
        <f>C9+C10</f>
        <v>54971551</v>
      </c>
      <c r="D29" s="199">
        <f t="shared" ref="D29:BO29" si="0">D9+D10</f>
        <v>0</v>
      </c>
      <c r="E29" s="199">
        <f t="shared" si="0"/>
        <v>0</v>
      </c>
      <c r="F29" s="199">
        <f t="shared" si="0"/>
        <v>0</v>
      </c>
      <c r="G29" s="199">
        <f t="shared" si="0"/>
        <v>17208000</v>
      </c>
      <c r="H29" s="199">
        <f t="shared" si="0"/>
        <v>0</v>
      </c>
      <c r="I29" s="199">
        <f t="shared" si="0"/>
        <v>0</v>
      </c>
      <c r="J29" s="199">
        <f t="shared" si="0"/>
        <v>174661</v>
      </c>
      <c r="K29" s="199">
        <f t="shared" si="0"/>
        <v>0</v>
      </c>
      <c r="L29" s="199">
        <f t="shared" si="0"/>
        <v>0</v>
      </c>
      <c r="M29" s="199">
        <f t="shared" si="0"/>
        <v>0</v>
      </c>
      <c r="N29" s="199">
        <f t="shared" si="0"/>
        <v>0</v>
      </c>
      <c r="O29" s="199">
        <f t="shared" si="0"/>
        <v>0</v>
      </c>
      <c r="P29" s="199">
        <f t="shared" si="0"/>
        <v>0</v>
      </c>
      <c r="Q29" s="199">
        <f t="shared" si="0"/>
        <v>0</v>
      </c>
      <c r="R29" s="199">
        <f t="shared" si="0"/>
        <v>0</v>
      </c>
      <c r="S29" s="199">
        <f t="shared" si="0"/>
        <v>0</v>
      </c>
      <c r="T29" s="199">
        <f t="shared" si="0"/>
        <v>0</v>
      </c>
      <c r="U29" s="199">
        <f t="shared" si="0"/>
        <v>0</v>
      </c>
      <c r="V29" s="199">
        <f t="shared" si="0"/>
        <v>11083988</v>
      </c>
      <c r="W29" s="199">
        <f t="shared" si="0"/>
        <v>226765</v>
      </c>
      <c r="X29" s="199">
        <f t="shared" si="0"/>
        <v>0</v>
      </c>
      <c r="Y29" s="199">
        <f t="shared" si="0"/>
        <v>32009</v>
      </c>
      <c r="Z29" s="199">
        <f t="shared" si="0"/>
        <v>0</v>
      </c>
      <c r="AA29" s="199">
        <f t="shared" si="0"/>
        <v>0</v>
      </c>
      <c r="AB29" s="199">
        <f t="shared" si="0"/>
        <v>0</v>
      </c>
      <c r="AC29" s="199">
        <f t="shared" si="0"/>
        <v>589286</v>
      </c>
      <c r="AD29" s="199">
        <f t="shared" si="0"/>
        <v>0</v>
      </c>
      <c r="AE29" s="199">
        <f t="shared" si="0"/>
        <v>0</v>
      </c>
      <c r="AF29" s="199">
        <f t="shared" si="0"/>
        <v>0</v>
      </c>
      <c r="AG29" s="199">
        <f t="shared" si="0"/>
        <v>0</v>
      </c>
      <c r="AH29" s="199">
        <f t="shared" si="0"/>
        <v>98062</v>
      </c>
      <c r="AI29" s="199">
        <f t="shared" si="0"/>
        <v>0</v>
      </c>
      <c r="AJ29" s="199">
        <f t="shared" si="0"/>
        <v>84443</v>
      </c>
      <c r="AK29" s="199">
        <f t="shared" si="0"/>
        <v>0</v>
      </c>
      <c r="AL29" s="199">
        <f t="shared" si="0"/>
        <v>684</v>
      </c>
      <c r="AM29" s="199">
        <f t="shared" si="0"/>
        <v>0</v>
      </c>
      <c r="AN29" s="199">
        <f t="shared" si="0"/>
        <v>0</v>
      </c>
      <c r="AO29" s="199">
        <f t="shared" si="0"/>
        <v>0</v>
      </c>
      <c r="AP29" s="199">
        <f t="shared" si="0"/>
        <v>0</v>
      </c>
      <c r="AQ29" s="199">
        <f t="shared" si="0"/>
        <v>0</v>
      </c>
      <c r="AR29" s="199">
        <f t="shared" si="0"/>
        <v>0</v>
      </c>
      <c r="AS29" s="199">
        <f t="shared" si="0"/>
        <v>0</v>
      </c>
      <c r="AT29" s="199">
        <f t="shared" si="0"/>
        <v>0</v>
      </c>
      <c r="AU29" s="199">
        <f t="shared" si="0"/>
        <v>0</v>
      </c>
      <c r="AV29" s="199">
        <f t="shared" si="0"/>
        <v>0</v>
      </c>
      <c r="AW29" s="199">
        <f t="shared" si="0"/>
        <v>0</v>
      </c>
      <c r="AX29" s="199">
        <f t="shared" si="0"/>
        <v>0</v>
      </c>
      <c r="AY29" s="199">
        <f t="shared" si="0"/>
        <v>0</v>
      </c>
      <c r="AZ29" s="199">
        <f t="shared" si="0"/>
        <v>0</v>
      </c>
      <c r="BA29" s="199">
        <f t="shared" si="0"/>
        <v>4903</v>
      </c>
      <c r="BB29" s="199">
        <f t="shared" si="0"/>
        <v>8797</v>
      </c>
      <c r="BC29" s="199">
        <f t="shared" si="0"/>
        <v>0</v>
      </c>
      <c r="BD29" s="199">
        <f t="shared" si="0"/>
        <v>0</v>
      </c>
      <c r="BE29" s="199">
        <f t="shared" si="0"/>
        <v>0</v>
      </c>
      <c r="BF29" s="199">
        <f t="shared" si="0"/>
        <v>0</v>
      </c>
      <c r="BG29" s="199">
        <f t="shared" si="0"/>
        <v>0</v>
      </c>
      <c r="BH29" s="199">
        <f t="shared" si="0"/>
        <v>0</v>
      </c>
      <c r="BI29" s="199">
        <f t="shared" si="0"/>
        <v>0</v>
      </c>
      <c r="BJ29" s="199">
        <f t="shared" si="0"/>
        <v>0</v>
      </c>
      <c r="BK29" s="199">
        <f t="shared" si="0"/>
        <v>3311</v>
      </c>
      <c r="BL29" s="199">
        <f t="shared" si="0"/>
        <v>0</v>
      </c>
      <c r="BM29" s="199">
        <f t="shared" si="0"/>
        <v>0</v>
      </c>
      <c r="BN29" s="199">
        <f t="shared" si="0"/>
        <v>0</v>
      </c>
      <c r="BO29" s="199">
        <f t="shared" si="0"/>
        <v>0</v>
      </c>
      <c r="BP29" s="199">
        <f t="shared" ref="BP29:EA29" si="1">BP9+BP10</f>
        <v>0</v>
      </c>
      <c r="BQ29" s="199">
        <f t="shared" si="1"/>
        <v>0</v>
      </c>
      <c r="BR29" s="199">
        <f t="shared" si="1"/>
        <v>0</v>
      </c>
      <c r="BS29" s="199">
        <f t="shared" si="1"/>
        <v>0</v>
      </c>
      <c r="BT29" s="199">
        <f t="shared" si="1"/>
        <v>0</v>
      </c>
      <c r="BU29" s="199">
        <f t="shared" si="1"/>
        <v>0</v>
      </c>
      <c r="BV29" s="199">
        <f t="shared" si="1"/>
        <v>2094102</v>
      </c>
      <c r="BW29" s="199">
        <f t="shared" si="1"/>
        <v>41710</v>
      </c>
      <c r="BX29" s="199">
        <f t="shared" si="1"/>
        <v>0</v>
      </c>
      <c r="BY29" s="199">
        <f t="shared" si="1"/>
        <v>0</v>
      </c>
      <c r="BZ29" s="199">
        <f t="shared" si="1"/>
        <v>38112</v>
      </c>
      <c r="CA29" s="199">
        <f t="shared" si="1"/>
        <v>0</v>
      </c>
      <c r="CB29" s="199">
        <f t="shared" si="1"/>
        <v>0</v>
      </c>
      <c r="CC29" s="199">
        <f t="shared" si="1"/>
        <v>0</v>
      </c>
      <c r="CD29" s="199">
        <f t="shared" si="1"/>
        <v>0</v>
      </c>
      <c r="CE29" s="199">
        <f t="shared" si="1"/>
        <v>0</v>
      </c>
      <c r="CF29" s="199">
        <f t="shared" si="1"/>
        <v>0</v>
      </c>
      <c r="CG29" s="199">
        <f t="shared" si="1"/>
        <v>0</v>
      </c>
      <c r="CH29" s="199">
        <f t="shared" si="1"/>
        <v>0</v>
      </c>
      <c r="CI29" s="199">
        <f t="shared" si="1"/>
        <v>0</v>
      </c>
      <c r="CJ29" s="199">
        <f t="shared" si="1"/>
        <v>0</v>
      </c>
      <c r="CK29" s="199">
        <f t="shared" si="1"/>
        <v>0</v>
      </c>
      <c r="CL29" s="199">
        <f t="shared" si="1"/>
        <v>27087</v>
      </c>
      <c r="CM29" s="199">
        <f t="shared" si="1"/>
        <v>0</v>
      </c>
      <c r="CN29" s="199">
        <f t="shared" si="1"/>
        <v>0</v>
      </c>
      <c r="CO29" s="199">
        <f t="shared" si="1"/>
        <v>0</v>
      </c>
      <c r="CP29" s="199">
        <f t="shared" si="1"/>
        <v>0</v>
      </c>
      <c r="CQ29" s="199">
        <f t="shared" si="1"/>
        <v>0</v>
      </c>
      <c r="CR29" s="199">
        <f t="shared" si="1"/>
        <v>0</v>
      </c>
      <c r="CS29" s="199">
        <f t="shared" si="1"/>
        <v>0</v>
      </c>
      <c r="CT29" s="199">
        <f t="shared" si="1"/>
        <v>0</v>
      </c>
      <c r="CU29" s="199">
        <f t="shared" si="1"/>
        <v>0</v>
      </c>
      <c r="CV29" s="199">
        <f t="shared" si="1"/>
        <v>0</v>
      </c>
      <c r="CW29" s="199">
        <f t="shared" si="1"/>
        <v>0</v>
      </c>
      <c r="CX29" s="199">
        <f t="shared" si="1"/>
        <v>0</v>
      </c>
      <c r="CY29" s="199">
        <f t="shared" si="1"/>
        <v>0</v>
      </c>
      <c r="CZ29" s="199">
        <f t="shared" si="1"/>
        <v>0</v>
      </c>
      <c r="DA29" s="199">
        <f t="shared" si="1"/>
        <v>0</v>
      </c>
      <c r="DB29" s="199">
        <f t="shared" si="1"/>
        <v>0</v>
      </c>
      <c r="DC29" s="199">
        <f t="shared" si="1"/>
        <v>0</v>
      </c>
      <c r="DD29" s="199">
        <f t="shared" si="1"/>
        <v>0</v>
      </c>
      <c r="DE29" s="199">
        <f t="shared" si="1"/>
        <v>0</v>
      </c>
      <c r="DF29" s="199">
        <f t="shared" si="1"/>
        <v>208300</v>
      </c>
      <c r="DG29" s="199">
        <f t="shared" si="1"/>
        <v>2082981</v>
      </c>
      <c r="DH29" s="199">
        <f t="shared" si="1"/>
        <v>0</v>
      </c>
      <c r="DI29" s="199">
        <f t="shared" si="1"/>
        <v>0</v>
      </c>
      <c r="DJ29" s="199">
        <f t="shared" si="1"/>
        <v>0</v>
      </c>
      <c r="DK29" s="199">
        <f t="shared" si="1"/>
        <v>0</v>
      </c>
      <c r="DL29" s="199">
        <f t="shared" si="1"/>
        <v>197815</v>
      </c>
      <c r="DM29" s="199">
        <f t="shared" si="1"/>
        <v>0</v>
      </c>
      <c r="DN29" s="199">
        <f t="shared" si="1"/>
        <v>0</v>
      </c>
      <c r="DO29" s="199">
        <f t="shared" si="1"/>
        <v>0</v>
      </c>
      <c r="DP29" s="199">
        <f t="shared" si="1"/>
        <v>0</v>
      </c>
      <c r="DQ29" s="199">
        <f t="shared" si="1"/>
        <v>0</v>
      </c>
      <c r="DR29" s="199">
        <f t="shared" si="1"/>
        <v>0</v>
      </c>
      <c r="DS29" s="199">
        <f t="shared" si="1"/>
        <v>0</v>
      </c>
      <c r="DT29" s="199">
        <f t="shared" si="1"/>
        <v>0</v>
      </c>
      <c r="DU29" s="199">
        <f t="shared" si="1"/>
        <v>439941</v>
      </c>
      <c r="DV29" s="199">
        <f t="shared" si="1"/>
        <v>0</v>
      </c>
      <c r="DW29" s="199">
        <f t="shared" si="1"/>
        <v>267881</v>
      </c>
      <c r="DX29" s="199">
        <f t="shared" si="1"/>
        <v>0</v>
      </c>
      <c r="DY29" s="199">
        <f t="shared" si="1"/>
        <v>0</v>
      </c>
      <c r="DZ29" s="199">
        <f t="shared" si="1"/>
        <v>0</v>
      </c>
      <c r="EA29" s="199">
        <f t="shared" si="1"/>
        <v>0</v>
      </c>
      <c r="EB29" s="199">
        <f t="shared" ref="EB29:GM29" si="2">EB9+EB10</f>
        <v>3910</v>
      </c>
      <c r="EC29" s="199">
        <f t="shared" si="2"/>
        <v>4996</v>
      </c>
      <c r="ED29" s="199">
        <f t="shared" si="2"/>
        <v>0</v>
      </c>
      <c r="EE29" s="199">
        <f t="shared" si="2"/>
        <v>0</v>
      </c>
      <c r="EF29" s="199">
        <f t="shared" si="2"/>
        <v>0</v>
      </c>
      <c r="EG29" s="199">
        <f t="shared" si="2"/>
        <v>0</v>
      </c>
      <c r="EH29" s="199">
        <f t="shared" si="2"/>
        <v>0</v>
      </c>
      <c r="EI29" s="199">
        <f t="shared" si="2"/>
        <v>0</v>
      </c>
      <c r="EJ29" s="199">
        <f t="shared" si="2"/>
        <v>0</v>
      </c>
      <c r="EK29" s="199">
        <f t="shared" si="2"/>
        <v>0</v>
      </c>
      <c r="EL29" s="199">
        <f t="shared" si="2"/>
        <v>0</v>
      </c>
      <c r="EM29" s="199">
        <f t="shared" si="2"/>
        <v>0</v>
      </c>
      <c r="EN29" s="199">
        <f t="shared" si="2"/>
        <v>0</v>
      </c>
      <c r="EO29" s="199">
        <f t="shared" si="2"/>
        <v>0</v>
      </c>
      <c r="EP29" s="199">
        <f t="shared" si="2"/>
        <v>0</v>
      </c>
      <c r="EQ29" s="199">
        <f t="shared" si="2"/>
        <v>2859</v>
      </c>
      <c r="ER29" s="199">
        <f t="shared" si="2"/>
        <v>0</v>
      </c>
      <c r="ES29" s="199">
        <f t="shared" si="2"/>
        <v>0</v>
      </c>
      <c r="ET29" s="199">
        <f t="shared" si="2"/>
        <v>0</v>
      </c>
      <c r="EU29" s="199">
        <f t="shared" si="2"/>
        <v>0</v>
      </c>
      <c r="EV29" s="199">
        <f t="shared" si="2"/>
        <v>0</v>
      </c>
      <c r="EW29" s="199">
        <f t="shared" si="2"/>
        <v>0</v>
      </c>
      <c r="EX29" s="199">
        <f t="shared" si="2"/>
        <v>0</v>
      </c>
      <c r="EY29" s="199">
        <f t="shared" si="2"/>
        <v>0</v>
      </c>
      <c r="EZ29" s="199">
        <f t="shared" si="2"/>
        <v>0</v>
      </c>
      <c r="FA29" s="199">
        <f t="shared" si="2"/>
        <v>0</v>
      </c>
      <c r="FB29" s="199">
        <f t="shared" si="2"/>
        <v>0</v>
      </c>
      <c r="FC29" s="199">
        <f t="shared" si="2"/>
        <v>0</v>
      </c>
      <c r="FD29" s="199">
        <f t="shared" si="2"/>
        <v>0</v>
      </c>
      <c r="FE29" s="199">
        <f t="shared" si="2"/>
        <v>0</v>
      </c>
      <c r="FF29" s="199">
        <f t="shared" si="2"/>
        <v>0</v>
      </c>
      <c r="FG29" s="199">
        <f t="shared" si="2"/>
        <v>0</v>
      </c>
      <c r="FH29" s="199">
        <f t="shared" si="2"/>
        <v>0</v>
      </c>
      <c r="FI29" s="199">
        <f t="shared" si="2"/>
        <v>0</v>
      </c>
      <c r="FJ29" s="199">
        <f t="shared" si="2"/>
        <v>0</v>
      </c>
      <c r="FK29" s="199">
        <f t="shared" si="2"/>
        <v>487486</v>
      </c>
      <c r="FL29" s="199">
        <f t="shared" si="2"/>
        <v>0</v>
      </c>
      <c r="FM29" s="199">
        <f t="shared" si="2"/>
        <v>49634</v>
      </c>
      <c r="FN29" s="199">
        <f t="shared" si="2"/>
        <v>0</v>
      </c>
      <c r="FO29" s="199">
        <f t="shared" si="2"/>
        <v>0</v>
      </c>
      <c r="FP29" s="199">
        <f t="shared" si="2"/>
        <v>0</v>
      </c>
      <c r="FQ29" s="199">
        <f t="shared" si="2"/>
        <v>56865</v>
      </c>
      <c r="FR29" s="199">
        <f t="shared" si="2"/>
        <v>0</v>
      </c>
      <c r="FS29" s="199">
        <f t="shared" si="2"/>
        <v>0</v>
      </c>
      <c r="FT29" s="199">
        <f t="shared" si="2"/>
        <v>0</v>
      </c>
      <c r="FU29" s="199">
        <f t="shared" si="2"/>
        <v>0</v>
      </c>
      <c r="FV29" s="199">
        <f t="shared" si="2"/>
        <v>0</v>
      </c>
      <c r="FW29" s="199">
        <f t="shared" si="2"/>
        <v>146729</v>
      </c>
      <c r="FX29" s="199">
        <f t="shared" si="2"/>
        <v>0</v>
      </c>
      <c r="FY29" s="199">
        <f t="shared" si="2"/>
        <v>0</v>
      </c>
      <c r="FZ29" s="199">
        <f t="shared" si="2"/>
        <v>0</v>
      </c>
      <c r="GA29" s="199">
        <f t="shared" si="2"/>
        <v>0</v>
      </c>
      <c r="GB29" s="199">
        <f t="shared" si="2"/>
        <v>0</v>
      </c>
      <c r="GC29" s="199">
        <f t="shared" si="2"/>
        <v>0</v>
      </c>
      <c r="GD29" s="199">
        <f t="shared" si="2"/>
        <v>0</v>
      </c>
      <c r="GE29" s="199">
        <f t="shared" si="2"/>
        <v>0</v>
      </c>
      <c r="GF29" s="199">
        <f t="shared" si="2"/>
        <v>0</v>
      </c>
      <c r="GG29" s="199">
        <f t="shared" si="2"/>
        <v>0</v>
      </c>
      <c r="GH29" s="199">
        <f t="shared" si="2"/>
        <v>0</v>
      </c>
      <c r="GI29" s="199">
        <f t="shared" si="2"/>
        <v>0</v>
      </c>
      <c r="GJ29" s="199">
        <f t="shared" si="2"/>
        <v>0</v>
      </c>
      <c r="GK29" s="199">
        <f t="shared" si="2"/>
        <v>0</v>
      </c>
      <c r="GL29" s="199">
        <f t="shared" si="2"/>
        <v>0</v>
      </c>
      <c r="GM29" s="199">
        <f t="shared" si="2"/>
        <v>8378</v>
      </c>
      <c r="GN29" s="199">
        <f t="shared" ref="GN29:IY29" si="3">GN9+GN10</f>
        <v>0</v>
      </c>
      <c r="GO29" s="199">
        <f t="shared" si="3"/>
        <v>86156</v>
      </c>
      <c r="GP29" s="199">
        <f t="shared" si="3"/>
        <v>0</v>
      </c>
      <c r="GQ29" s="199">
        <f t="shared" si="3"/>
        <v>0</v>
      </c>
      <c r="GR29" s="199">
        <f t="shared" si="3"/>
        <v>0</v>
      </c>
      <c r="GS29" s="199">
        <f t="shared" si="3"/>
        <v>0</v>
      </c>
      <c r="GT29" s="199">
        <f t="shared" si="3"/>
        <v>0</v>
      </c>
      <c r="GU29" s="199">
        <f t="shared" si="3"/>
        <v>1769271</v>
      </c>
      <c r="GV29" s="199">
        <f t="shared" si="3"/>
        <v>0</v>
      </c>
      <c r="GW29" s="199">
        <f t="shared" si="3"/>
        <v>0</v>
      </c>
      <c r="GX29" s="199">
        <f t="shared" si="3"/>
        <v>20000</v>
      </c>
      <c r="GY29" s="199">
        <f t="shared" si="3"/>
        <v>98588254</v>
      </c>
      <c r="GZ29" s="199">
        <f t="shared" si="3"/>
        <v>0</v>
      </c>
      <c r="HA29" s="199">
        <f t="shared" si="3"/>
        <v>0</v>
      </c>
      <c r="HB29" s="199">
        <f t="shared" si="3"/>
        <v>0</v>
      </c>
      <c r="HC29" s="199">
        <f t="shared" si="3"/>
        <v>0</v>
      </c>
      <c r="HD29" s="199">
        <f t="shared" si="3"/>
        <v>5299957</v>
      </c>
      <c r="HE29" s="199">
        <f t="shared" si="3"/>
        <v>0</v>
      </c>
      <c r="HF29" s="199">
        <f t="shared" si="3"/>
        <v>0</v>
      </c>
      <c r="HG29" s="199">
        <f t="shared" si="3"/>
        <v>0</v>
      </c>
      <c r="HH29" s="199">
        <f t="shared" si="3"/>
        <v>0</v>
      </c>
      <c r="HI29" s="199">
        <f t="shared" si="3"/>
        <v>0</v>
      </c>
      <c r="HJ29" s="199">
        <f t="shared" si="3"/>
        <v>13339301</v>
      </c>
      <c r="HK29" s="199">
        <f t="shared" si="3"/>
        <v>4541675</v>
      </c>
      <c r="HL29" s="199">
        <f t="shared" si="3"/>
        <v>0</v>
      </c>
      <c r="HM29" s="199">
        <f t="shared" si="3"/>
        <v>0</v>
      </c>
      <c r="HN29" s="199">
        <f t="shared" si="3"/>
        <v>0</v>
      </c>
      <c r="HO29" s="199">
        <f t="shared" si="3"/>
        <v>0</v>
      </c>
      <c r="HP29" s="199">
        <f t="shared" si="3"/>
        <v>0</v>
      </c>
      <c r="HQ29" s="199">
        <f t="shared" si="3"/>
        <v>357995</v>
      </c>
      <c r="HR29" s="199">
        <f t="shared" si="3"/>
        <v>0</v>
      </c>
      <c r="HS29" s="199">
        <f t="shared" si="3"/>
        <v>0</v>
      </c>
      <c r="HT29" s="199">
        <f t="shared" si="3"/>
        <v>0</v>
      </c>
      <c r="HU29" s="199">
        <f t="shared" si="3"/>
        <v>0</v>
      </c>
      <c r="HV29" s="199">
        <f t="shared" si="3"/>
        <v>17903</v>
      </c>
      <c r="HW29" s="199">
        <f t="shared" si="3"/>
        <v>4387</v>
      </c>
      <c r="HX29" s="199">
        <f t="shared" si="3"/>
        <v>0</v>
      </c>
      <c r="HY29" s="199">
        <f t="shared" si="3"/>
        <v>0</v>
      </c>
      <c r="HZ29" s="199">
        <f t="shared" si="3"/>
        <v>0</v>
      </c>
      <c r="IA29" s="199">
        <f t="shared" si="3"/>
        <v>0</v>
      </c>
      <c r="IB29" s="199">
        <f t="shared" si="3"/>
        <v>0</v>
      </c>
      <c r="IC29" s="199">
        <f t="shared" si="3"/>
        <v>0</v>
      </c>
      <c r="ID29" s="199">
        <f t="shared" si="3"/>
        <v>0</v>
      </c>
      <c r="IE29" s="199">
        <f t="shared" si="3"/>
        <v>0</v>
      </c>
      <c r="IF29" s="199">
        <f t="shared" si="3"/>
        <v>0</v>
      </c>
      <c r="IG29" s="199">
        <f t="shared" si="3"/>
        <v>0</v>
      </c>
      <c r="IH29" s="199">
        <f t="shared" si="3"/>
        <v>0</v>
      </c>
      <c r="II29" s="199">
        <f t="shared" si="3"/>
        <v>0</v>
      </c>
      <c r="IJ29" s="199">
        <f t="shared" si="3"/>
        <v>0</v>
      </c>
      <c r="IK29" s="199">
        <f t="shared" si="3"/>
        <v>78875</v>
      </c>
      <c r="IL29" s="199">
        <f t="shared" si="3"/>
        <v>0</v>
      </c>
      <c r="IM29" s="199">
        <f t="shared" si="3"/>
        <v>909276</v>
      </c>
      <c r="IN29" s="199">
        <f t="shared" si="3"/>
        <v>0</v>
      </c>
      <c r="IO29" s="199">
        <f t="shared" si="3"/>
        <v>0</v>
      </c>
      <c r="IP29" s="199">
        <f t="shared" si="3"/>
        <v>0</v>
      </c>
      <c r="IQ29" s="199">
        <f t="shared" si="3"/>
        <v>0</v>
      </c>
      <c r="IR29" s="199">
        <f t="shared" si="3"/>
        <v>0</v>
      </c>
      <c r="IS29" s="199">
        <f t="shared" si="3"/>
        <v>0</v>
      </c>
      <c r="IT29" s="199">
        <f t="shared" si="3"/>
        <v>0</v>
      </c>
      <c r="IU29" s="199">
        <f t="shared" si="3"/>
        <v>0</v>
      </c>
      <c r="IV29" s="199">
        <f t="shared" si="3"/>
        <v>16253</v>
      </c>
      <c r="IW29" s="199">
        <f t="shared" si="3"/>
        <v>0</v>
      </c>
      <c r="IX29" s="199">
        <f t="shared" si="3"/>
        <v>0</v>
      </c>
      <c r="IY29" s="199">
        <f t="shared" si="3"/>
        <v>0</v>
      </c>
      <c r="IZ29" s="199">
        <f t="shared" ref="IZ29:LK29" si="4">IZ9+IZ10</f>
        <v>0</v>
      </c>
      <c r="JA29" s="199">
        <f t="shared" si="4"/>
        <v>0</v>
      </c>
      <c r="JB29" s="199">
        <f t="shared" si="4"/>
        <v>722890</v>
      </c>
      <c r="JC29" s="199">
        <f t="shared" si="4"/>
        <v>99849</v>
      </c>
      <c r="JD29" s="199">
        <f t="shared" si="4"/>
        <v>0</v>
      </c>
      <c r="JE29" s="199">
        <f t="shared" si="4"/>
        <v>0</v>
      </c>
      <c r="JF29" s="199">
        <f t="shared" si="4"/>
        <v>0</v>
      </c>
      <c r="JG29" s="199">
        <f t="shared" si="4"/>
        <v>12740</v>
      </c>
      <c r="JH29" s="199">
        <f t="shared" si="4"/>
        <v>0</v>
      </c>
      <c r="JI29" s="199">
        <f t="shared" si="4"/>
        <v>0</v>
      </c>
      <c r="JJ29" s="199">
        <f t="shared" si="4"/>
        <v>0</v>
      </c>
      <c r="JK29" s="199">
        <f t="shared" si="4"/>
        <v>0</v>
      </c>
      <c r="JL29" s="199">
        <f t="shared" si="4"/>
        <v>0</v>
      </c>
      <c r="JM29" s="199">
        <f t="shared" si="4"/>
        <v>0</v>
      </c>
      <c r="JN29" s="199">
        <f t="shared" si="4"/>
        <v>654065</v>
      </c>
      <c r="JO29" s="199">
        <f t="shared" si="4"/>
        <v>0</v>
      </c>
      <c r="JP29" s="199">
        <f t="shared" si="4"/>
        <v>0</v>
      </c>
      <c r="JQ29" s="199">
        <f t="shared" si="4"/>
        <v>0</v>
      </c>
      <c r="JR29" s="199">
        <f t="shared" si="4"/>
        <v>0</v>
      </c>
      <c r="JS29" s="199">
        <f t="shared" si="4"/>
        <v>667073</v>
      </c>
      <c r="JT29" s="199">
        <f t="shared" si="4"/>
        <v>153216</v>
      </c>
      <c r="JU29" s="199">
        <f t="shared" si="4"/>
        <v>0</v>
      </c>
      <c r="JV29" s="199">
        <f t="shared" si="4"/>
        <v>0</v>
      </c>
      <c r="JW29" s="199">
        <f t="shared" si="4"/>
        <v>0</v>
      </c>
      <c r="JX29" s="199">
        <f t="shared" si="4"/>
        <v>0</v>
      </c>
      <c r="JY29" s="199">
        <f t="shared" si="4"/>
        <v>0</v>
      </c>
      <c r="JZ29" s="199">
        <f t="shared" si="4"/>
        <v>0</v>
      </c>
      <c r="KA29" s="199">
        <f t="shared" si="4"/>
        <v>730</v>
      </c>
      <c r="KB29" s="199">
        <f t="shared" si="4"/>
        <v>0</v>
      </c>
      <c r="KC29" s="199">
        <f t="shared" si="4"/>
        <v>252851</v>
      </c>
      <c r="KD29" s="199">
        <f t="shared" si="4"/>
        <v>0</v>
      </c>
      <c r="KE29" s="199">
        <f t="shared" si="4"/>
        <v>1133373</v>
      </c>
      <c r="KF29" s="199">
        <f t="shared" si="4"/>
        <v>0</v>
      </c>
      <c r="KG29" s="199">
        <f t="shared" si="4"/>
        <v>0</v>
      </c>
      <c r="KH29" s="199">
        <f t="shared" si="4"/>
        <v>0</v>
      </c>
      <c r="KI29" s="199">
        <f t="shared" si="4"/>
        <v>0</v>
      </c>
      <c r="KJ29" s="199">
        <f t="shared" si="4"/>
        <v>0</v>
      </c>
      <c r="KK29" s="199">
        <f t="shared" si="4"/>
        <v>0</v>
      </c>
      <c r="KL29" s="199">
        <f t="shared" si="4"/>
        <v>0</v>
      </c>
      <c r="KM29" s="199">
        <f t="shared" si="4"/>
        <v>0</v>
      </c>
      <c r="KN29" s="199">
        <f t="shared" si="4"/>
        <v>0</v>
      </c>
      <c r="KO29" s="199">
        <f t="shared" si="4"/>
        <v>0</v>
      </c>
      <c r="KP29" s="199">
        <f t="shared" si="4"/>
        <v>0</v>
      </c>
      <c r="KQ29" s="199">
        <f t="shared" si="4"/>
        <v>0</v>
      </c>
      <c r="KR29" s="199">
        <f t="shared" si="4"/>
        <v>0</v>
      </c>
      <c r="KS29" s="199">
        <f t="shared" si="4"/>
        <v>0</v>
      </c>
      <c r="KT29" s="199">
        <f t="shared" si="4"/>
        <v>68133</v>
      </c>
      <c r="KU29" s="199">
        <f t="shared" si="4"/>
        <v>18163</v>
      </c>
      <c r="KV29" s="199">
        <f t="shared" si="4"/>
        <v>0</v>
      </c>
      <c r="KW29" s="199">
        <f t="shared" si="4"/>
        <v>0</v>
      </c>
      <c r="KX29" s="199">
        <f t="shared" si="4"/>
        <v>0</v>
      </c>
      <c r="KY29" s="199">
        <f t="shared" si="4"/>
        <v>0</v>
      </c>
      <c r="KZ29" s="199">
        <f t="shared" si="4"/>
        <v>0</v>
      </c>
      <c r="LA29" s="199">
        <f t="shared" si="4"/>
        <v>0</v>
      </c>
      <c r="LB29" s="199">
        <f t="shared" si="4"/>
        <v>0</v>
      </c>
      <c r="LC29" s="199">
        <f t="shared" si="4"/>
        <v>0</v>
      </c>
      <c r="LD29" s="199">
        <f t="shared" si="4"/>
        <v>0</v>
      </c>
      <c r="LE29" s="199">
        <f t="shared" si="4"/>
        <v>1000</v>
      </c>
      <c r="LF29" s="199">
        <f t="shared" si="4"/>
        <v>0</v>
      </c>
      <c r="LG29" s="199">
        <f t="shared" si="4"/>
        <v>0</v>
      </c>
      <c r="LH29" s="199">
        <f t="shared" si="4"/>
        <v>0</v>
      </c>
      <c r="LI29" s="199">
        <f t="shared" si="4"/>
        <v>0</v>
      </c>
      <c r="LJ29" s="199">
        <f t="shared" si="4"/>
        <v>0</v>
      </c>
      <c r="LK29" s="199">
        <f t="shared" si="4"/>
        <v>0</v>
      </c>
      <c r="LL29" s="199">
        <f t="shared" ref="LL29:NW29" si="5">LL9+LL10</f>
        <v>0</v>
      </c>
      <c r="LM29" s="199">
        <f t="shared" si="5"/>
        <v>0</v>
      </c>
      <c r="LN29" s="199">
        <f t="shared" si="5"/>
        <v>0</v>
      </c>
      <c r="LO29" s="199">
        <f t="shared" si="5"/>
        <v>0</v>
      </c>
      <c r="LP29" s="199">
        <f t="shared" si="5"/>
        <v>4595010</v>
      </c>
      <c r="LQ29" s="199">
        <f t="shared" si="5"/>
        <v>0</v>
      </c>
      <c r="LR29" s="199">
        <f t="shared" si="5"/>
        <v>0</v>
      </c>
      <c r="LS29" s="199">
        <f t="shared" si="5"/>
        <v>183339</v>
      </c>
      <c r="LT29" s="199">
        <f t="shared" si="5"/>
        <v>0</v>
      </c>
      <c r="LU29" s="199">
        <f t="shared" si="5"/>
        <v>0</v>
      </c>
      <c r="LV29" s="199">
        <f t="shared" si="5"/>
        <v>0</v>
      </c>
      <c r="LW29" s="199">
        <f t="shared" si="5"/>
        <v>0</v>
      </c>
      <c r="LX29" s="199">
        <f t="shared" si="5"/>
        <v>0</v>
      </c>
      <c r="LY29" s="199">
        <f t="shared" si="5"/>
        <v>0</v>
      </c>
      <c r="LZ29" s="199">
        <f t="shared" si="5"/>
        <v>0</v>
      </c>
      <c r="MA29" s="199">
        <f t="shared" si="5"/>
        <v>0</v>
      </c>
      <c r="MB29" s="199">
        <f t="shared" si="5"/>
        <v>0</v>
      </c>
      <c r="MC29" s="199">
        <f t="shared" si="5"/>
        <v>0</v>
      </c>
      <c r="MD29" s="199">
        <f t="shared" si="5"/>
        <v>0</v>
      </c>
      <c r="ME29" s="199">
        <f t="shared" si="5"/>
        <v>0</v>
      </c>
      <c r="MF29" s="199">
        <f t="shared" si="5"/>
        <v>0</v>
      </c>
      <c r="MG29" s="199">
        <f t="shared" si="5"/>
        <v>0</v>
      </c>
      <c r="MH29" s="199">
        <f t="shared" si="5"/>
        <v>0</v>
      </c>
      <c r="MI29" s="199">
        <f t="shared" si="5"/>
        <v>0</v>
      </c>
      <c r="MJ29" s="199">
        <f t="shared" si="5"/>
        <v>268979</v>
      </c>
      <c r="MK29" s="199">
        <f t="shared" si="5"/>
        <v>0</v>
      </c>
      <c r="ML29" s="199">
        <f t="shared" si="5"/>
        <v>0</v>
      </c>
      <c r="MM29" s="199">
        <f t="shared" si="5"/>
        <v>0</v>
      </c>
      <c r="MN29" s="199">
        <f t="shared" si="5"/>
        <v>0</v>
      </c>
      <c r="MO29" s="199">
        <f t="shared" si="5"/>
        <v>0</v>
      </c>
      <c r="MP29" s="199">
        <f t="shared" si="5"/>
        <v>0</v>
      </c>
      <c r="MQ29" s="199">
        <f t="shared" si="5"/>
        <v>6914806</v>
      </c>
      <c r="MR29" s="199">
        <f t="shared" si="5"/>
        <v>0</v>
      </c>
      <c r="MS29" s="199">
        <f t="shared" si="5"/>
        <v>0</v>
      </c>
      <c r="MT29" s="199">
        <f t="shared" si="5"/>
        <v>4928630</v>
      </c>
      <c r="MU29" s="199">
        <f t="shared" si="5"/>
        <v>237675</v>
      </c>
      <c r="MV29" s="199">
        <f t="shared" si="5"/>
        <v>0</v>
      </c>
      <c r="MW29" s="199">
        <f t="shared" si="5"/>
        <v>0</v>
      </c>
      <c r="MX29" s="199">
        <f t="shared" si="5"/>
        <v>0</v>
      </c>
      <c r="MY29" s="199">
        <f t="shared" si="5"/>
        <v>0</v>
      </c>
      <c r="MZ29" s="199">
        <f t="shared" si="5"/>
        <v>0</v>
      </c>
      <c r="NA29" s="199">
        <f t="shared" si="5"/>
        <v>0</v>
      </c>
      <c r="NB29" s="199">
        <f t="shared" si="5"/>
        <v>0</v>
      </c>
      <c r="NC29" s="199">
        <f t="shared" si="5"/>
        <v>0</v>
      </c>
      <c r="ND29" s="199">
        <f t="shared" si="5"/>
        <v>0</v>
      </c>
      <c r="NE29" s="199">
        <f t="shared" si="5"/>
        <v>0</v>
      </c>
      <c r="NF29" s="199">
        <f t="shared" si="5"/>
        <v>0</v>
      </c>
      <c r="NG29" s="199">
        <f t="shared" si="5"/>
        <v>0</v>
      </c>
      <c r="NH29" s="199">
        <f t="shared" si="5"/>
        <v>0</v>
      </c>
      <c r="NI29" s="199">
        <f t="shared" si="5"/>
        <v>0</v>
      </c>
      <c r="NJ29" s="199">
        <f t="shared" si="5"/>
        <v>0</v>
      </c>
      <c r="NK29" s="199">
        <f t="shared" si="5"/>
        <v>0</v>
      </c>
      <c r="NL29" s="199">
        <f t="shared" si="5"/>
        <v>0</v>
      </c>
      <c r="NM29" s="199">
        <f t="shared" si="5"/>
        <v>0</v>
      </c>
      <c r="NN29" s="199">
        <f t="shared" si="5"/>
        <v>0</v>
      </c>
      <c r="NO29" s="199">
        <f t="shared" si="5"/>
        <v>0</v>
      </c>
      <c r="NP29" s="199">
        <f t="shared" si="5"/>
        <v>0</v>
      </c>
      <c r="NQ29" s="199">
        <f t="shared" si="5"/>
        <v>174510</v>
      </c>
      <c r="NR29" s="199">
        <f t="shared" si="5"/>
        <v>529178</v>
      </c>
      <c r="NS29" s="199">
        <f t="shared" si="5"/>
        <v>0</v>
      </c>
      <c r="NT29" s="199">
        <f t="shared" si="5"/>
        <v>0</v>
      </c>
      <c r="NU29" s="199">
        <f t="shared" si="5"/>
        <v>0</v>
      </c>
      <c r="NV29" s="199">
        <f t="shared" si="5"/>
        <v>0</v>
      </c>
      <c r="NW29" s="199">
        <f t="shared" si="5"/>
        <v>0</v>
      </c>
      <c r="NX29" s="199">
        <f t="shared" ref="NX29:QI29" si="6">NX9+NX10</f>
        <v>0</v>
      </c>
      <c r="NY29" s="199">
        <f t="shared" si="6"/>
        <v>0</v>
      </c>
      <c r="NZ29" s="199">
        <f t="shared" si="6"/>
        <v>0</v>
      </c>
      <c r="OA29" s="199">
        <f t="shared" si="6"/>
        <v>0</v>
      </c>
      <c r="OB29" s="199">
        <f t="shared" si="6"/>
        <v>0</v>
      </c>
      <c r="OC29" s="199">
        <f t="shared" si="6"/>
        <v>0</v>
      </c>
      <c r="OD29" s="199">
        <f t="shared" si="6"/>
        <v>0</v>
      </c>
      <c r="OE29" s="199">
        <f t="shared" si="6"/>
        <v>250806</v>
      </c>
      <c r="OF29" s="199">
        <f t="shared" si="6"/>
        <v>889876</v>
      </c>
      <c r="OG29" s="199">
        <f t="shared" si="6"/>
        <v>0</v>
      </c>
      <c r="OH29" s="199">
        <f t="shared" si="6"/>
        <v>0</v>
      </c>
      <c r="OI29" s="199">
        <f t="shared" si="6"/>
        <v>0</v>
      </c>
      <c r="OJ29" s="199">
        <f t="shared" si="6"/>
        <v>0</v>
      </c>
      <c r="OK29" s="199">
        <f t="shared" si="6"/>
        <v>0</v>
      </c>
      <c r="OL29" s="199">
        <f t="shared" si="6"/>
        <v>13211104</v>
      </c>
      <c r="OM29" s="199">
        <f t="shared" si="6"/>
        <v>0</v>
      </c>
      <c r="ON29" s="199">
        <f t="shared" si="6"/>
        <v>0</v>
      </c>
      <c r="OO29" s="199">
        <f t="shared" si="6"/>
        <v>0</v>
      </c>
      <c r="OP29" s="199">
        <f t="shared" si="6"/>
        <v>0</v>
      </c>
      <c r="OQ29" s="199">
        <f t="shared" si="6"/>
        <v>0</v>
      </c>
      <c r="OR29" s="199">
        <f t="shared" si="6"/>
        <v>0</v>
      </c>
      <c r="OS29" s="199">
        <f t="shared" si="6"/>
        <v>0</v>
      </c>
      <c r="OT29" s="199">
        <f t="shared" si="6"/>
        <v>0</v>
      </c>
      <c r="OU29" s="199">
        <f t="shared" si="6"/>
        <v>3599599</v>
      </c>
      <c r="OV29" s="199">
        <f t="shared" si="6"/>
        <v>0</v>
      </c>
      <c r="OW29" s="199">
        <f t="shared" si="6"/>
        <v>0</v>
      </c>
      <c r="OX29" s="199">
        <f t="shared" si="6"/>
        <v>0</v>
      </c>
      <c r="OY29" s="199">
        <f t="shared" si="6"/>
        <v>264275</v>
      </c>
      <c r="OZ29" s="199">
        <f t="shared" si="6"/>
        <v>0</v>
      </c>
      <c r="PA29" s="199">
        <f t="shared" si="6"/>
        <v>0</v>
      </c>
      <c r="PB29" s="199">
        <f t="shared" si="6"/>
        <v>0</v>
      </c>
      <c r="PC29" s="199">
        <f t="shared" si="6"/>
        <v>0</v>
      </c>
      <c r="PD29" s="199">
        <f t="shared" si="6"/>
        <v>0</v>
      </c>
      <c r="PE29" s="199">
        <f t="shared" si="6"/>
        <v>0</v>
      </c>
      <c r="PF29" s="199">
        <f t="shared" si="6"/>
        <v>0</v>
      </c>
      <c r="PG29" s="199">
        <f t="shared" si="6"/>
        <v>0</v>
      </c>
      <c r="PH29" s="199">
        <f t="shared" si="6"/>
        <v>0</v>
      </c>
      <c r="PI29" s="199">
        <f t="shared" si="6"/>
        <v>0</v>
      </c>
      <c r="PJ29" s="199">
        <f t="shared" si="6"/>
        <v>0</v>
      </c>
      <c r="PK29" s="199">
        <f t="shared" si="6"/>
        <v>0</v>
      </c>
      <c r="PL29" s="199">
        <f t="shared" si="6"/>
        <v>0</v>
      </c>
      <c r="PM29" s="199">
        <f t="shared" si="6"/>
        <v>0</v>
      </c>
      <c r="PN29" s="199">
        <f t="shared" si="6"/>
        <v>0</v>
      </c>
      <c r="PO29" s="199">
        <f t="shared" si="6"/>
        <v>0</v>
      </c>
      <c r="PP29" s="199">
        <f t="shared" si="6"/>
        <v>0</v>
      </c>
      <c r="PQ29" s="199">
        <f t="shared" si="6"/>
        <v>0</v>
      </c>
      <c r="PR29" s="199">
        <f t="shared" si="6"/>
        <v>0</v>
      </c>
      <c r="PS29" s="199">
        <f t="shared" si="6"/>
        <v>0</v>
      </c>
      <c r="PT29" s="199">
        <f t="shared" si="6"/>
        <v>0</v>
      </c>
      <c r="PU29" s="199">
        <f t="shared" si="6"/>
        <v>0</v>
      </c>
      <c r="PV29" s="199">
        <f t="shared" si="6"/>
        <v>0</v>
      </c>
      <c r="PW29" s="199">
        <f t="shared" si="6"/>
        <v>0</v>
      </c>
      <c r="PX29" s="199">
        <f t="shared" si="6"/>
        <v>0</v>
      </c>
      <c r="PY29" s="199">
        <f t="shared" si="6"/>
        <v>0</v>
      </c>
      <c r="PZ29" s="199">
        <f t="shared" si="6"/>
        <v>0</v>
      </c>
      <c r="QA29" s="199">
        <f t="shared" si="6"/>
        <v>0</v>
      </c>
      <c r="QB29" s="199">
        <f t="shared" si="6"/>
        <v>0</v>
      </c>
      <c r="QC29" s="199">
        <f t="shared" si="6"/>
        <v>0</v>
      </c>
      <c r="QD29" s="199">
        <f t="shared" si="6"/>
        <v>0</v>
      </c>
      <c r="QE29" s="199">
        <f t="shared" si="6"/>
        <v>0</v>
      </c>
      <c r="QF29" s="199">
        <f t="shared" si="6"/>
        <v>0</v>
      </c>
      <c r="QG29" s="199">
        <f t="shared" si="6"/>
        <v>0</v>
      </c>
      <c r="QH29" s="199">
        <f t="shared" si="6"/>
        <v>0</v>
      </c>
      <c r="QI29" s="199">
        <f t="shared" si="6"/>
        <v>0</v>
      </c>
      <c r="QJ29" s="199">
        <f t="shared" ref="QJ29:QR29" si="7">QJ9+QJ10</f>
        <v>0</v>
      </c>
      <c r="QK29" s="199">
        <f t="shared" si="7"/>
        <v>0</v>
      </c>
      <c r="QL29" s="199">
        <f t="shared" si="7"/>
        <v>4419000</v>
      </c>
      <c r="QM29" s="199">
        <f t="shared" si="7"/>
        <v>0</v>
      </c>
      <c r="QN29" s="199">
        <f t="shared" si="7"/>
        <v>0</v>
      </c>
      <c r="QO29" s="199">
        <f t="shared" si="7"/>
        <v>0</v>
      </c>
      <c r="QP29" s="199">
        <f t="shared" si="7"/>
        <v>0</v>
      </c>
      <c r="QQ29" s="199">
        <f t="shared" si="7"/>
        <v>0</v>
      </c>
      <c r="QR29" s="199">
        <f t="shared" si="7"/>
        <v>0</v>
      </c>
    </row>
    <row r="30" spans="1:591">
      <c r="A30" s="133">
        <f>A11</f>
        <v>2</v>
      </c>
      <c r="B30" s="133" t="str">
        <f>B11</f>
        <v>Meridian Joint</v>
      </c>
      <c r="C30" s="199">
        <f>C11+C12+C13</f>
        <v>0</v>
      </c>
      <c r="D30" s="199">
        <f t="shared" ref="D30:BO30" si="8">D11+D12+D13</f>
        <v>0</v>
      </c>
      <c r="E30" s="199">
        <f t="shared" si="8"/>
        <v>0</v>
      </c>
      <c r="F30" s="199">
        <f t="shared" si="8"/>
        <v>0</v>
      </c>
      <c r="G30" s="199">
        <f t="shared" si="8"/>
        <v>14233334</v>
      </c>
      <c r="H30" s="199">
        <f t="shared" si="8"/>
        <v>0</v>
      </c>
      <c r="I30" s="199">
        <f t="shared" si="8"/>
        <v>1138870</v>
      </c>
      <c r="J30" s="199">
        <f t="shared" si="8"/>
        <v>270322</v>
      </c>
      <c r="K30" s="199">
        <f t="shared" si="8"/>
        <v>0</v>
      </c>
      <c r="L30" s="199">
        <f t="shared" si="8"/>
        <v>0</v>
      </c>
      <c r="M30" s="199">
        <f t="shared" si="8"/>
        <v>0</v>
      </c>
      <c r="N30" s="199">
        <f t="shared" si="8"/>
        <v>2739</v>
      </c>
      <c r="O30" s="199">
        <f t="shared" si="8"/>
        <v>0</v>
      </c>
      <c r="P30" s="199">
        <f t="shared" si="8"/>
        <v>0</v>
      </c>
      <c r="Q30" s="199">
        <f t="shared" si="8"/>
        <v>0</v>
      </c>
      <c r="R30" s="199">
        <f t="shared" si="8"/>
        <v>0</v>
      </c>
      <c r="S30" s="199">
        <f t="shared" si="8"/>
        <v>20234129</v>
      </c>
      <c r="T30" s="199">
        <f t="shared" si="8"/>
        <v>0</v>
      </c>
      <c r="U30" s="199">
        <f t="shared" si="8"/>
        <v>0</v>
      </c>
      <c r="V30" s="199">
        <f t="shared" si="8"/>
        <v>22352558</v>
      </c>
      <c r="W30" s="199">
        <f t="shared" si="8"/>
        <v>39990</v>
      </c>
      <c r="X30" s="199">
        <f t="shared" si="8"/>
        <v>0</v>
      </c>
      <c r="Y30" s="199">
        <f t="shared" si="8"/>
        <v>60271</v>
      </c>
      <c r="Z30" s="199">
        <f t="shared" si="8"/>
        <v>48583</v>
      </c>
      <c r="AA30" s="199">
        <f t="shared" si="8"/>
        <v>0</v>
      </c>
      <c r="AB30" s="199">
        <f t="shared" si="8"/>
        <v>0</v>
      </c>
      <c r="AC30" s="199">
        <f t="shared" si="8"/>
        <v>2536096</v>
      </c>
      <c r="AD30" s="199">
        <f t="shared" si="8"/>
        <v>0</v>
      </c>
      <c r="AE30" s="199">
        <f t="shared" si="8"/>
        <v>0</v>
      </c>
      <c r="AF30" s="199">
        <f t="shared" si="8"/>
        <v>0</v>
      </c>
      <c r="AG30" s="199">
        <f t="shared" si="8"/>
        <v>0</v>
      </c>
      <c r="AH30" s="199">
        <f t="shared" si="8"/>
        <v>0</v>
      </c>
      <c r="AI30" s="199">
        <f t="shared" si="8"/>
        <v>0</v>
      </c>
      <c r="AJ30" s="199">
        <f t="shared" si="8"/>
        <v>84512</v>
      </c>
      <c r="AK30" s="199">
        <f t="shared" si="8"/>
        <v>0</v>
      </c>
      <c r="AL30" s="199">
        <f t="shared" si="8"/>
        <v>0</v>
      </c>
      <c r="AM30" s="199">
        <f t="shared" si="8"/>
        <v>0</v>
      </c>
      <c r="AN30" s="199">
        <f t="shared" si="8"/>
        <v>0</v>
      </c>
      <c r="AO30" s="199">
        <f t="shared" si="8"/>
        <v>0</v>
      </c>
      <c r="AP30" s="199">
        <f t="shared" si="8"/>
        <v>0</v>
      </c>
      <c r="AQ30" s="199">
        <f t="shared" si="8"/>
        <v>0</v>
      </c>
      <c r="AR30" s="199">
        <f t="shared" si="8"/>
        <v>0</v>
      </c>
      <c r="AS30" s="199">
        <f t="shared" si="8"/>
        <v>0</v>
      </c>
      <c r="AT30" s="199">
        <f t="shared" si="8"/>
        <v>0</v>
      </c>
      <c r="AU30" s="199">
        <f t="shared" si="8"/>
        <v>0</v>
      </c>
      <c r="AV30" s="199">
        <f t="shared" si="8"/>
        <v>0</v>
      </c>
      <c r="AW30" s="199">
        <f t="shared" si="8"/>
        <v>0</v>
      </c>
      <c r="AX30" s="199">
        <f t="shared" si="8"/>
        <v>0</v>
      </c>
      <c r="AY30" s="199">
        <f t="shared" si="8"/>
        <v>0</v>
      </c>
      <c r="AZ30" s="199">
        <f t="shared" si="8"/>
        <v>0</v>
      </c>
      <c r="BA30" s="199">
        <f t="shared" si="8"/>
        <v>4831</v>
      </c>
      <c r="BB30" s="199">
        <f t="shared" si="8"/>
        <v>7710</v>
      </c>
      <c r="BC30" s="199">
        <f t="shared" si="8"/>
        <v>155189</v>
      </c>
      <c r="BD30" s="199">
        <f t="shared" si="8"/>
        <v>0</v>
      </c>
      <c r="BE30" s="199">
        <f t="shared" si="8"/>
        <v>0</v>
      </c>
      <c r="BF30" s="199">
        <f t="shared" si="8"/>
        <v>0</v>
      </c>
      <c r="BG30" s="199">
        <f t="shared" si="8"/>
        <v>0</v>
      </c>
      <c r="BH30" s="199">
        <f t="shared" si="8"/>
        <v>0</v>
      </c>
      <c r="BI30" s="199">
        <f t="shared" si="8"/>
        <v>0</v>
      </c>
      <c r="BJ30" s="199">
        <f t="shared" si="8"/>
        <v>0</v>
      </c>
      <c r="BK30" s="199">
        <f t="shared" si="8"/>
        <v>0</v>
      </c>
      <c r="BL30" s="199">
        <f t="shared" si="8"/>
        <v>0</v>
      </c>
      <c r="BM30" s="199">
        <f t="shared" si="8"/>
        <v>0</v>
      </c>
      <c r="BN30" s="199">
        <f t="shared" si="8"/>
        <v>0</v>
      </c>
      <c r="BO30" s="199">
        <f t="shared" si="8"/>
        <v>0</v>
      </c>
      <c r="BP30" s="199">
        <f t="shared" ref="BP30:EA30" si="9">BP11+BP12+BP13</f>
        <v>0</v>
      </c>
      <c r="BQ30" s="199">
        <f t="shared" si="9"/>
        <v>0</v>
      </c>
      <c r="BR30" s="199">
        <f t="shared" si="9"/>
        <v>0</v>
      </c>
      <c r="BS30" s="199">
        <f t="shared" si="9"/>
        <v>0</v>
      </c>
      <c r="BT30" s="199">
        <f t="shared" si="9"/>
        <v>0</v>
      </c>
      <c r="BU30" s="199">
        <f t="shared" si="9"/>
        <v>0</v>
      </c>
      <c r="BV30" s="199">
        <f t="shared" si="9"/>
        <v>3710148</v>
      </c>
      <c r="BW30" s="199">
        <f t="shared" si="9"/>
        <v>101260</v>
      </c>
      <c r="BX30" s="199">
        <f t="shared" si="9"/>
        <v>0</v>
      </c>
      <c r="BY30" s="199">
        <f t="shared" si="9"/>
        <v>0</v>
      </c>
      <c r="BZ30" s="199">
        <f t="shared" si="9"/>
        <v>33072</v>
      </c>
      <c r="CA30" s="199">
        <f t="shared" si="9"/>
        <v>0</v>
      </c>
      <c r="CB30" s="199">
        <f t="shared" si="9"/>
        <v>0</v>
      </c>
      <c r="CC30" s="199">
        <f t="shared" si="9"/>
        <v>0</v>
      </c>
      <c r="CD30" s="199">
        <f t="shared" si="9"/>
        <v>0</v>
      </c>
      <c r="CE30" s="199">
        <f t="shared" si="9"/>
        <v>0</v>
      </c>
      <c r="CF30" s="199">
        <f t="shared" si="9"/>
        <v>0</v>
      </c>
      <c r="CG30" s="199">
        <f t="shared" si="9"/>
        <v>0</v>
      </c>
      <c r="CH30" s="199">
        <f t="shared" si="9"/>
        <v>0</v>
      </c>
      <c r="CI30" s="199">
        <f t="shared" si="9"/>
        <v>0</v>
      </c>
      <c r="CJ30" s="199">
        <f t="shared" si="9"/>
        <v>0</v>
      </c>
      <c r="CK30" s="199">
        <f t="shared" si="9"/>
        <v>0</v>
      </c>
      <c r="CL30" s="199">
        <f t="shared" si="9"/>
        <v>0</v>
      </c>
      <c r="CM30" s="199">
        <f t="shared" si="9"/>
        <v>0</v>
      </c>
      <c r="CN30" s="199">
        <f t="shared" si="9"/>
        <v>0</v>
      </c>
      <c r="CO30" s="199">
        <f t="shared" si="9"/>
        <v>0</v>
      </c>
      <c r="CP30" s="199">
        <f t="shared" si="9"/>
        <v>0</v>
      </c>
      <c r="CQ30" s="199">
        <f t="shared" si="9"/>
        <v>0</v>
      </c>
      <c r="CR30" s="199">
        <f t="shared" si="9"/>
        <v>0</v>
      </c>
      <c r="CS30" s="199">
        <f t="shared" si="9"/>
        <v>0</v>
      </c>
      <c r="CT30" s="199">
        <f t="shared" si="9"/>
        <v>0</v>
      </c>
      <c r="CU30" s="199">
        <f t="shared" si="9"/>
        <v>0</v>
      </c>
      <c r="CV30" s="199">
        <f t="shared" si="9"/>
        <v>0</v>
      </c>
      <c r="CW30" s="199">
        <f t="shared" si="9"/>
        <v>0</v>
      </c>
      <c r="CX30" s="199">
        <f t="shared" si="9"/>
        <v>0</v>
      </c>
      <c r="CY30" s="199">
        <f t="shared" si="9"/>
        <v>0</v>
      </c>
      <c r="CZ30" s="199">
        <f t="shared" si="9"/>
        <v>0</v>
      </c>
      <c r="DA30" s="199">
        <f t="shared" si="9"/>
        <v>0</v>
      </c>
      <c r="DB30" s="199">
        <f t="shared" si="9"/>
        <v>0</v>
      </c>
      <c r="DC30" s="199">
        <f t="shared" si="9"/>
        <v>0</v>
      </c>
      <c r="DD30" s="199">
        <f t="shared" si="9"/>
        <v>0</v>
      </c>
      <c r="DE30" s="199">
        <f t="shared" si="9"/>
        <v>0</v>
      </c>
      <c r="DF30" s="199">
        <f t="shared" si="9"/>
        <v>0</v>
      </c>
      <c r="DG30" s="199">
        <f t="shared" si="9"/>
        <v>0</v>
      </c>
      <c r="DH30" s="199">
        <f t="shared" si="9"/>
        <v>0</v>
      </c>
      <c r="DI30" s="199">
        <f t="shared" si="9"/>
        <v>0</v>
      </c>
      <c r="DJ30" s="199">
        <f t="shared" si="9"/>
        <v>0</v>
      </c>
      <c r="DK30" s="199">
        <f t="shared" si="9"/>
        <v>0</v>
      </c>
      <c r="DL30" s="199">
        <f t="shared" si="9"/>
        <v>503290</v>
      </c>
      <c r="DM30" s="199">
        <f t="shared" si="9"/>
        <v>0</v>
      </c>
      <c r="DN30" s="199">
        <f t="shared" si="9"/>
        <v>0</v>
      </c>
      <c r="DO30" s="199">
        <f t="shared" si="9"/>
        <v>0</v>
      </c>
      <c r="DP30" s="199">
        <f t="shared" si="9"/>
        <v>0</v>
      </c>
      <c r="DQ30" s="199">
        <f t="shared" si="9"/>
        <v>0</v>
      </c>
      <c r="DR30" s="199">
        <f t="shared" si="9"/>
        <v>0</v>
      </c>
      <c r="DS30" s="199">
        <f t="shared" si="9"/>
        <v>0</v>
      </c>
      <c r="DT30" s="199">
        <f t="shared" si="9"/>
        <v>0</v>
      </c>
      <c r="DU30" s="199">
        <f t="shared" si="9"/>
        <v>0</v>
      </c>
      <c r="DV30" s="199">
        <f t="shared" si="9"/>
        <v>0</v>
      </c>
      <c r="DW30" s="199">
        <f t="shared" si="9"/>
        <v>0</v>
      </c>
      <c r="DX30" s="199">
        <f t="shared" si="9"/>
        <v>0</v>
      </c>
      <c r="DY30" s="199">
        <f t="shared" si="9"/>
        <v>0</v>
      </c>
      <c r="DZ30" s="199">
        <f t="shared" si="9"/>
        <v>0</v>
      </c>
      <c r="EA30" s="199">
        <f t="shared" si="9"/>
        <v>0</v>
      </c>
      <c r="EB30" s="199">
        <f t="shared" ref="EB30:GM30" si="10">EB11+EB12+EB13</f>
        <v>0</v>
      </c>
      <c r="EC30" s="199">
        <f t="shared" si="10"/>
        <v>0</v>
      </c>
      <c r="ED30" s="199">
        <f t="shared" si="10"/>
        <v>0</v>
      </c>
      <c r="EE30" s="199">
        <f t="shared" si="10"/>
        <v>0</v>
      </c>
      <c r="EF30" s="199">
        <f t="shared" si="10"/>
        <v>0</v>
      </c>
      <c r="EG30" s="199">
        <f t="shared" si="10"/>
        <v>0</v>
      </c>
      <c r="EH30" s="199">
        <f t="shared" si="10"/>
        <v>0</v>
      </c>
      <c r="EI30" s="199">
        <f t="shared" si="10"/>
        <v>0</v>
      </c>
      <c r="EJ30" s="199">
        <f t="shared" si="10"/>
        <v>0</v>
      </c>
      <c r="EK30" s="199">
        <f t="shared" si="10"/>
        <v>0</v>
      </c>
      <c r="EL30" s="199">
        <f t="shared" si="10"/>
        <v>0</v>
      </c>
      <c r="EM30" s="199">
        <f t="shared" si="10"/>
        <v>0</v>
      </c>
      <c r="EN30" s="199">
        <f t="shared" si="10"/>
        <v>0</v>
      </c>
      <c r="EO30" s="199">
        <f t="shared" si="10"/>
        <v>0</v>
      </c>
      <c r="EP30" s="199">
        <f t="shared" si="10"/>
        <v>0</v>
      </c>
      <c r="EQ30" s="199">
        <f t="shared" si="10"/>
        <v>0</v>
      </c>
      <c r="ER30" s="199">
        <f t="shared" si="10"/>
        <v>0</v>
      </c>
      <c r="ES30" s="199">
        <f t="shared" si="10"/>
        <v>0</v>
      </c>
      <c r="ET30" s="199">
        <f t="shared" si="10"/>
        <v>0</v>
      </c>
      <c r="EU30" s="199">
        <f t="shared" si="10"/>
        <v>0</v>
      </c>
      <c r="EV30" s="199">
        <f t="shared" si="10"/>
        <v>0</v>
      </c>
      <c r="EW30" s="199">
        <f t="shared" si="10"/>
        <v>0</v>
      </c>
      <c r="EX30" s="199">
        <f t="shared" si="10"/>
        <v>0</v>
      </c>
      <c r="EY30" s="199">
        <f t="shared" si="10"/>
        <v>0</v>
      </c>
      <c r="EZ30" s="199">
        <f t="shared" si="10"/>
        <v>0</v>
      </c>
      <c r="FA30" s="199">
        <f t="shared" si="10"/>
        <v>0</v>
      </c>
      <c r="FB30" s="199">
        <f t="shared" si="10"/>
        <v>0</v>
      </c>
      <c r="FC30" s="199">
        <f t="shared" si="10"/>
        <v>18820</v>
      </c>
      <c r="FD30" s="199">
        <f t="shared" si="10"/>
        <v>0</v>
      </c>
      <c r="FE30" s="199">
        <f t="shared" si="10"/>
        <v>0</v>
      </c>
      <c r="FF30" s="199">
        <f t="shared" si="10"/>
        <v>0</v>
      </c>
      <c r="FG30" s="199">
        <f t="shared" si="10"/>
        <v>0</v>
      </c>
      <c r="FH30" s="199">
        <f t="shared" si="10"/>
        <v>0</v>
      </c>
      <c r="FI30" s="199">
        <f t="shared" si="10"/>
        <v>0</v>
      </c>
      <c r="FJ30" s="199">
        <f t="shared" si="10"/>
        <v>0</v>
      </c>
      <c r="FK30" s="199">
        <f t="shared" si="10"/>
        <v>2086438</v>
      </c>
      <c r="FL30" s="199">
        <f t="shared" si="10"/>
        <v>628</v>
      </c>
      <c r="FM30" s="199">
        <f t="shared" si="10"/>
        <v>0</v>
      </c>
      <c r="FN30" s="199">
        <f t="shared" si="10"/>
        <v>0</v>
      </c>
      <c r="FO30" s="199">
        <f t="shared" si="10"/>
        <v>0</v>
      </c>
      <c r="FP30" s="199">
        <f t="shared" si="10"/>
        <v>0</v>
      </c>
      <c r="FQ30" s="199">
        <f t="shared" si="10"/>
        <v>0</v>
      </c>
      <c r="FR30" s="199">
        <f t="shared" si="10"/>
        <v>8000</v>
      </c>
      <c r="FS30" s="199">
        <f t="shared" si="10"/>
        <v>0</v>
      </c>
      <c r="FT30" s="199">
        <f t="shared" si="10"/>
        <v>0</v>
      </c>
      <c r="FU30" s="199">
        <f t="shared" si="10"/>
        <v>0</v>
      </c>
      <c r="FV30" s="199">
        <f t="shared" si="10"/>
        <v>0</v>
      </c>
      <c r="FW30" s="199">
        <f t="shared" si="10"/>
        <v>192493</v>
      </c>
      <c r="FX30" s="199">
        <f t="shared" si="10"/>
        <v>0</v>
      </c>
      <c r="FY30" s="199">
        <f t="shared" si="10"/>
        <v>0</v>
      </c>
      <c r="FZ30" s="199">
        <f t="shared" si="10"/>
        <v>0</v>
      </c>
      <c r="GA30" s="199">
        <f t="shared" si="10"/>
        <v>6587</v>
      </c>
      <c r="GB30" s="199">
        <f t="shared" si="10"/>
        <v>0</v>
      </c>
      <c r="GC30" s="199">
        <f t="shared" si="10"/>
        <v>0</v>
      </c>
      <c r="GD30" s="199">
        <f t="shared" si="10"/>
        <v>0</v>
      </c>
      <c r="GE30" s="199">
        <f t="shared" si="10"/>
        <v>0</v>
      </c>
      <c r="GF30" s="199">
        <f t="shared" si="10"/>
        <v>0</v>
      </c>
      <c r="GG30" s="199">
        <f t="shared" si="10"/>
        <v>0</v>
      </c>
      <c r="GH30" s="199">
        <f t="shared" si="10"/>
        <v>0</v>
      </c>
      <c r="GI30" s="199">
        <f t="shared" si="10"/>
        <v>0</v>
      </c>
      <c r="GJ30" s="199">
        <f t="shared" si="10"/>
        <v>0</v>
      </c>
      <c r="GK30" s="199">
        <f t="shared" si="10"/>
        <v>0</v>
      </c>
      <c r="GL30" s="199">
        <f t="shared" si="10"/>
        <v>0</v>
      </c>
      <c r="GM30" s="199">
        <f t="shared" si="10"/>
        <v>0</v>
      </c>
      <c r="GN30" s="199">
        <f t="shared" ref="GN30:IY30" si="11">GN11+GN12+GN13</f>
        <v>0</v>
      </c>
      <c r="GO30" s="199">
        <f t="shared" si="11"/>
        <v>78358</v>
      </c>
      <c r="GP30" s="199">
        <f t="shared" si="11"/>
        <v>0</v>
      </c>
      <c r="GQ30" s="199">
        <f t="shared" si="11"/>
        <v>0</v>
      </c>
      <c r="GR30" s="199">
        <f t="shared" si="11"/>
        <v>0</v>
      </c>
      <c r="GS30" s="199">
        <f t="shared" si="11"/>
        <v>0</v>
      </c>
      <c r="GT30" s="199">
        <f t="shared" si="11"/>
        <v>0</v>
      </c>
      <c r="GU30" s="199">
        <f t="shared" si="11"/>
        <v>0</v>
      </c>
      <c r="GV30" s="199">
        <f t="shared" si="11"/>
        <v>0</v>
      </c>
      <c r="GW30" s="199">
        <f t="shared" si="11"/>
        <v>0</v>
      </c>
      <c r="GX30" s="199">
        <f t="shared" si="11"/>
        <v>0</v>
      </c>
      <c r="GY30" s="199">
        <f t="shared" si="11"/>
        <v>139048747</v>
      </c>
      <c r="GZ30" s="199">
        <f t="shared" si="11"/>
        <v>0</v>
      </c>
      <c r="HA30" s="199">
        <f t="shared" si="11"/>
        <v>1972959</v>
      </c>
      <c r="HB30" s="199">
        <f t="shared" si="11"/>
        <v>0</v>
      </c>
      <c r="HC30" s="199">
        <f t="shared" si="11"/>
        <v>0</v>
      </c>
      <c r="HD30" s="199">
        <f t="shared" si="11"/>
        <v>7817057</v>
      </c>
      <c r="HE30" s="199">
        <f t="shared" si="11"/>
        <v>0</v>
      </c>
      <c r="HF30" s="199">
        <f t="shared" si="11"/>
        <v>0</v>
      </c>
      <c r="HG30" s="199">
        <f t="shared" si="11"/>
        <v>0</v>
      </c>
      <c r="HH30" s="199">
        <f t="shared" si="11"/>
        <v>0</v>
      </c>
      <c r="HI30" s="199">
        <f t="shared" si="11"/>
        <v>354882</v>
      </c>
      <c r="HJ30" s="199">
        <f t="shared" si="11"/>
        <v>17925544</v>
      </c>
      <c r="HK30" s="199">
        <f t="shared" si="11"/>
        <v>734474</v>
      </c>
      <c r="HL30" s="199">
        <f t="shared" si="11"/>
        <v>0</v>
      </c>
      <c r="HM30" s="199">
        <f t="shared" si="11"/>
        <v>0</v>
      </c>
      <c r="HN30" s="199">
        <f t="shared" si="11"/>
        <v>0</v>
      </c>
      <c r="HO30" s="199">
        <f t="shared" si="11"/>
        <v>0</v>
      </c>
      <c r="HP30" s="199">
        <f t="shared" si="11"/>
        <v>0</v>
      </c>
      <c r="HQ30" s="199">
        <f t="shared" si="11"/>
        <v>839909</v>
      </c>
      <c r="HR30" s="199">
        <f t="shared" si="11"/>
        <v>0</v>
      </c>
      <c r="HS30" s="199">
        <f t="shared" si="11"/>
        <v>0</v>
      </c>
      <c r="HT30" s="199">
        <f t="shared" si="11"/>
        <v>0</v>
      </c>
      <c r="HU30" s="199">
        <f t="shared" si="11"/>
        <v>0</v>
      </c>
      <c r="HV30" s="199">
        <f t="shared" si="11"/>
        <v>45168</v>
      </c>
      <c r="HW30" s="199">
        <f t="shared" si="11"/>
        <v>235903</v>
      </c>
      <c r="HX30" s="199">
        <f t="shared" si="11"/>
        <v>0</v>
      </c>
      <c r="HY30" s="199">
        <f t="shared" si="11"/>
        <v>0</v>
      </c>
      <c r="HZ30" s="199">
        <f t="shared" si="11"/>
        <v>0</v>
      </c>
      <c r="IA30" s="199">
        <f t="shared" si="11"/>
        <v>0</v>
      </c>
      <c r="IB30" s="199">
        <f t="shared" si="11"/>
        <v>0</v>
      </c>
      <c r="IC30" s="199">
        <f t="shared" si="11"/>
        <v>0</v>
      </c>
      <c r="ID30" s="199">
        <f t="shared" si="11"/>
        <v>0</v>
      </c>
      <c r="IE30" s="199">
        <f t="shared" si="11"/>
        <v>0</v>
      </c>
      <c r="IF30" s="199">
        <f t="shared" si="11"/>
        <v>447899</v>
      </c>
      <c r="IG30" s="199">
        <f t="shared" si="11"/>
        <v>0</v>
      </c>
      <c r="IH30" s="199">
        <f t="shared" si="11"/>
        <v>0</v>
      </c>
      <c r="II30" s="199">
        <f t="shared" si="11"/>
        <v>0</v>
      </c>
      <c r="IJ30" s="199">
        <f t="shared" si="11"/>
        <v>0</v>
      </c>
      <c r="IK30" s="199">
        <f t="shared" si="11"/>
        <v>91643</v>
      </c>
      <c r="IL30" s="199">
        <f t="shared" si="11"/>
        <v>0</v>
      </c>
      <c r="IM30" s="199">
        <f t="shared" si="11"/>
        <v>4155598</v>
      </c>
      <c r="IN30" s="199">
        <f t="shared" si="11"/>
        <v>850592</v>
      </c>
      <c r="IO30" s="199">
        <f t="shared" si="11"/>
        <v>0</v>
      </c>
      <c r="IP30" s="199">
        <f t="shared" si="11"/>
        <v>0</v>
      </c>
      <c r="IQ30" s="199">
        <f t="shared" si="11"/>
        <v>0</v>
      </c>
      <c r="IR30" s="199">
        <f t="shared" si="11"/>
        <v>212638</v>
      </c>
      <c r="IS30" s="199">
        <f t="shared" si="11"/>
        <v>0</v>
      </c>
      <c r="IT30" s="199">
        <f t="shared" si="11"/>
        <v>0</v>
      </c>
      <c r="IU30" s="199">
        <f t="shared" si="11"/>
        <v>0</v>
      </c>
      <c r="IV30" s="199">
        <f t="shared" si="11"/>
        <v>17768</v>
      </c>
      <c r="IW30" s="199">
        <f t="shared" si="11"/>
        <v>0</v>
      </c>
      <c r="IX30" s="199">
        <f t="shared" si="11"/>
        <v>0</v>
      </c>
      <c r="IY30" s="199">
        <f t="shared" si="11"/>
        <v>1591765</v>
      </c>
      <c r="IZ30" s="199">
        <f t="shared" ref="IZ30:LK30" si="12">IZ11+IZ12+IZ13</f>
        <v>0</v>
      </c>
      <c r="JA30" s="199">
        <f t="shared" si="12"/>
        <v>0</v>
      </c>
      <c r="JB30" s="199">
        <f t="shared" si="12"/>
        <v>349732</v>
      </c>
      <c r="JC30" s="199">
        <f t="shared" si="12"/>
        <v>0</v>
      </c>
      <c r="JD30" s="199">
        <f t="shared" si="12"/>
        <v>0</v>
      </c>
      <c r="JE30" s="199">
        <f t="shared" si="12"/>
        <v>18013</v>
      </c>
      <c r="JF30" s="199">
        <f t="shared" si="12"/>
        <v>0</v>
      </c>
      <c r="JG30" s="199">
        <f t="shared" si="12"/>
        <v>0</v>
      </c>
      <c r="JH30" s="199">
        <f t="shared" si="12"/>
        <v>0</v>
      </c>
      <c r="JI30" s="199">
        <f t="shared" si="12"/>
        <v>0</v>
      </c>
      <c r="JJ30" s="199">
        <f t="shared" si="12"/>
        <v>0</v>
      </c>
      <c r="JK30" s="199">
        <f t="shared" si="12"/>
        <v>0</v>
      </c>
      <c r="JL30" s="199">
        <f t="shared" si="12"/>
        <v>0</v>
      </c>
      <c r="JM30" s="199">
        <f t="shared" si="12"/>
        <v>0</v>
      </c>
      <c r="JN30" s="199">
        <f t="shared" si="12"/>
        <v>439367</v>
      </c>
      <c r="JO30" s="199">
        <f t="shared" si="12"/>
        <v>0</v>
      </c>
      <c r="JP30" s="199">
        <f t="shared" si="12"/>
        <v>0</v>
      </c>
      <c r="JQ30" s="199">
        <f t="shared" si="12"/>
        <v>0</v>
      </c>
      <c r="JR30" s="199">
        <f t="shared" si="12"/>
        <v>0</v>
      </c>
      <c r="JS30" s="199">
        <f t="shared" si="12"/>
        <v>0</v>
      </c>
      <c r="JT30" s="199">
        <f t="shared" si="12"/>
        <v>0</v>
      </c>
      <c r="JU30" s="199">
        <f t="shared" si="12"/>
        <v>0</v>
      </c>
      <c r="JV30" s="199">
        <f t="shared" si="12"/>
        <v>0</v>
      </c>
      <c r="JW30" s="199">
        <f t="shared" si="12"/>
        <v>0</v>
      </c>
      <c r="JX30" s="199">
        <f t="shared" si="12"/>
        <v>0</v>
      </c>
      <c r="JY30" s="199">
        <f t="shared" si="12"/>
        <v>0</v>
      </c>
      <c r="JZ30" s="199">
        <f t="shared" si="12"/>
        <v>0</v>
      </c>
      <c r="KA30" s="199">
        <f t="shared" si="12"/>
        <v>0</v>
      </c>
      <c r="KB30" s="199">
        <f t="shared" si="12"/>
        <v>0</v>
      </c>
      <c r="KC30" s="199">
        <f t="shared" si="12"/>
        <v>0</v>
      </c>
      <c r="KD30" s="199">
        <f t="shared" si="12"/>
        <v>0</v>
      </c>
      <c r="KE30" s="199">
        <f t="shared" si="12"/>
        <v>0</v>
      </c>
      <c r="KF30" s="199">
        <f t="shared" si="12"/>
        <v>0</v>
      </c>
      <c r="KG30" s="199">
        <f t="shared" si="12"/>
        <v>0</v>
      </c>
      <c r="KH30" s="199">
        <f t="shared" si="12"/>
        <v>0</v>
      </c>
      <c r="KI30" s="199">
        <f t="shared" si="12"/>
        <v>0</v>
      </c>
      <c r="KJ30" s="199">
        <f t="shared" si="12"/>
        <v>0</v>
      </c>
      <c r="KK30" s="199">
        <f t="shared" si="12"/>
        <v>0</v>
      </c>
      <c r="KL30" s="199">
        <f t="shared" si="12"/>
        <v>0</v>
      </c>
      <c r="KM30" s="199">
        <f t="shared" si="12"/>
        <v>0</v>
      </c>
      <c r="KN30" s="199">
        <f t="shared" si="12"/>
        <v>0</v>
      </c>
      <c r="KO30" s="199">
        <f t="shared" si="12"/>
        <v>0</v>
      </c>
      <c r="KP30" s="199">
        <f t="shared" si="12"/>
        <v>0</v>
      </c>
      <c r="KQ30" s="199">
        <f t="shared" si="12"/>
        <v>0</v>
      </c>
      <c r="KR30" s="199">
        <f t="shared" si="12"/>
        <v>0</v>
      </c>
      <c r="KS30" s="199">
        <f t="shared" si="12"/>
        <v>0</v>
      </c>
      <c r="KT30" s="199">
        <f t="shared" si="12"/>
        <v>0</v>
      </c>
      <c r="KU30" s="199">
        <f t="shared" si="12"/>
        <v>0</v>
      </c>
      <c r="KV30" s="199">
        <f t="shared" si="12"/>
        <v>0</v>
      </c>
      <c r="KW30" s="199">
        <f t="shared" si="12"/>
        <v>0</v>
      </c>
      <c r="KX30" s="199">
        <f t="shared" si="12"/>
        <v>0</v>
      </c>
      <c r="KY30" s="199">
        <f t="shared" si="12"/>
        <v>0</v>
      </c>
      <c r="KZ30" s="199">
        <f t="shared" si="12"/>
        <v>0</v>
      </c>
      <c r="LA30" s="199">
        <f t="shared" si="12"/>
        <v>0</v>
      </c>
      <c r="LB30" s="199">
        <f t="shared" si="12"/>
        <v>0</v>
      </c>
      <c r="LC30" s="199">
        <f t="shared" si="12"/>
        <v>0</v>
      </c>
      <c r="LD30" s="199">
        <f t="shared" si="12"/>
        <v>0</v>
      </c>
      <c r="LE30" s="199">
        <f t="shared" si="12"/>
        <v>0</v>
      </c>
      <c r="LF30" s="199">
        <f t="shared" si="12"/>
        <v>0</v>
      </c>
      <c r="LG30" s="199">
        <f t="shared" si="12"/>
        <v>0</v>
      </c>
      <c r="LH30" s="199">
        <f t="shared" si="12"/>
        <v>0</v>
      </c>
      <c r="LI30" s="199">
        <f t="shared" si="12"/>
        <v>0</v>
      </c>
      <c r="LJ30" s="199">
        <f t="shared" si="12"/>
        <v>0</v>
      </c>
      <c r="LK30" s="199">
        <f t="shared" si="12"/>
        <v>0</v>
      </c>
      <c r="LL30" s="199">
        <f t="shared" ref="LL30:NW30" si="13">LL11+LL12+LL13</f>
        <v>0</v>
      </c>
      <c r="LM30" s="199">
        <f t="shared" si="13"/>
        <v>0</v>
      </c>
      <c r="LN30" s="199">
        <f t="shared" si="13"/>
        <v>0</v>
      </c>
      <c r="LO30" s="199">
        <f t="shared" si="13"/>
        <v>0</v>
      </c>
      <c r="LP30" s="199">
        <f t="shared" si="13"/>
        <v>3763441</v>
      </c>
      <c r="LQ30" s="199">
        <f t="shared" si="13"/>
        <v>0</v>
      </c>
      <c r="LR30" s="199">
        <f t="shared" si="13"/>
        <v>0</v>
      </c>
      <c r="LS30" s="199">
        <f t="shared" si="13"/>
        <v>0</v>
      </c>
      <c r="LT30" s="199">
        <f t="shared" si="13"/>
        <v>0</v>
      </c>
      <c r="LU30" s="199">
        <f t="shared" si="13"/>
        <v>0</v>
      </c>
      <c r="LV30" s="199">
        <f t="shared" si="13"/>
        <v>0</v>
      </c>
      <c r="LW30" s="199">
        <f t="shared" si="13"/>
        <v>0</v>
      </c>
      <c r="LX30" s="199">
        <f t="shared" si="13"/>
        <v>0</v>
      </c>
      <c r="LY30" s="199">
        <f t="shared" si="13"/>
        <v>0</v>
      </c>
      <c r="LZ30" s="199">
        <f t="shared" si="13"/>
        <v>0</v>
      </c>
      <c r="MA30" s="199">
        <f t="shared" si="13"/>
        <v>0</v>
      </c>
      <c r="MB30" s="199">
        <f t="shared" si="13"/>
        <v>0</v>
      </c>
      <c r="MC30" s="199">
        <f t="shared" si="13"/>
        <v>0</v>
      </c>
      <c r="MD30" s="199">
        <f t="shared" si="13"/>
        <v>0</v>
      </c>
      <c r="ME30" s="199">
        <f t="shared" si="13"/>
        <v>0</v>
      </c>
      <c r="MF30" s="199">
        <f t="shared" si="13"/>
        <v>0</v>
      </c>
      <c r="MG30" s="199">
        <f t="shared" si="13"/>
        <v>0</v>
      </c>
      <c r="MH30" s="199">
        <f t="shared" si="13"/>
        <v>0</v>
      </c>
      <c r="MI30" s="199">
        <f t="shared" si="13"/>
        <v>0</v>
      </c>
      <c r="MJ30" s="199">
        <f t="shared" si="13"/>
        <v>303753</v>
      </c>
      <c r="MK30" s="199">
        <f t="shared" si="13"/>
        <v>0</v>
      </c>
      <c r="ML30" s="199">
        <f t="shared" si="13"/>
        <v>0</v>
      </c>
      <c r="MM30" s="199">
        <f t="shared" si="13"/>
        <v>0</v>
      </c>
      <c r="MN30" s="199">
        <f t="shared" si="13"/>
        <v>0</v>
      </c>
      <c r="MO30" s="199">
        <f t="shared" si="13"/>
        <v>0</v>
      </c>
      <c r="MP30" s="199">
        <f t="shared" si="13"/>
        <v>0</v>
      </c>
      <c r="MQ30" s="199">
        <f t="shared" si="13"/>
        <v>5602961</v>
      </c>
      <c r="MR30" s="199">
        <f t="shared" si="13"/>
        <v>15370</v>
      </c>
      <c r="MS30" s="199">
        <f t="shared" si="13"/>
        <v>0</v>
      </c>
      <c r="MT30" s="199">
        <f t="shared" si="13"/>
        <v>5406686</v>
      </c>
      <c r="MU30" s="199">
        <f t="shared" si="13"/>
        <v>190732</v>
      </c>
      <c r="MV30" s="199">
        <f t="shared" si="13"/>
        <v>0</v>
      </c>
      <c r="MW30" s="199">
        <f t="shared" si="13"/>
        <v>0</v>
      </c>
      <c r="MX30" s="199">
        <f t="shared" si="13"/>
        <v>2500</v>
      </c>
      <c r="MY30" s="199">
        <f t="shared" si="13"/>
        <v>0</v>
      </c>
      <c r="MZ30" s="199">
        <f t="shared" si="13"/>
        <v>0</v>
      </c>
      <c r="NA30" s="199">
        <f t="shared" si="13"/>
        <v>0</v>
      </c>
      <c r="NB30" s="199">
        <f t="shared" si="13"/>
        <v>0</v>
      </c>
      <c r="NC30" s="199">
        <f t="shared" si="13"/>
        <v>0</v>
      </c>
      <c r="ND30" s="199">
        <f t="shared" si="13"/>
        <v>128316</v>
      </c>
      <c r="NE30" s="199">
        <f t="shared" si="13"/>
        <v>0</v>
      </c>
      <c r="NF30" s="199">
        <f t="shared" si="13"/>
        <v>0</v>
      </c>
      <c r="NG30" s="199">
        <f t="shared" si="13"/>
        <v>0</v>
      </c>
      <c r="NH30" s="199">
        <f t="shared" si="13"/>
        <v>0</v>
      </c>
      <c r="NI30" s="199">
        <f t="shared" si="13"/>
        <v>0</v>
      </c>
      <c r="NJ30" s="199">
        <f t="shared" si="13"/>
        <v>0</v>
      </c>
      <c r="NK30" s="199">
        <f t="shared" si="13"/>
        <v>0</v>
      </c>
      <c r="NL30" s="199">
        <f t="shared" si="13"/>
        <v>0</v>
      </c>
      <c r="NM30" s="199">
        <f t="shared" si="13"/>
        <v>0</v>
      </c>
      <c r="NN30" s="199">
        <f t="shared" si="13"/>
        <v>0</v>
      </c>
      <c r="NO30" s="199">
        <f t="shared" si="13"/>
        <v>0</v>
      </c>
      <c r="NP30" s="199">
        <f t="shared" si="13"/>
        <v>0</v>
      </c>
      <c r="NQ30" s="199">
        <f t="shared" si="13"/>
        <v>166198</v>
      </c>
      <c r="NR30" s="199">
        <f t="shared" si="13"/>
        <v>559837</v>
      </c>
      <c r="NS30" s="199">
        <f t="shared" si="13"/>
        <v>0</v>
      </c>
      <c r="NT30" s="199">
        <f t="shared" si="13"/>
        <v>0</v>
      </c>
      <c r="NU30" s="199">
        <f t="shared" si="13"/>
        <v>9294</v>
      </c>
      <c r="NV30" s="199">
        <f t="shared" si="13"/>
        <v>31763</v>
      </c>
      <c r="NW30" s="199">
        <f t="shared" si="13"/>
        <v>0</v>
      </c>
      <c r="NX30" s="199">
        <f t="shared" ref="NX30:QI30" si="14">NX11+NX12+NX13</f>
        <v>0</v>
      </c>
      <c r="NY30" s="199">
        <f t="shared" si="14"/>
        <v>0</v>
      </c>
      <c r="NZ30" s="199">
        <f t="shared" si="14"/>
        <v>0</v>
      </c>
      <c r="OA30" s="199">
        <f t="shared" si="14"/>
        <v>0</v>
      </c>
      <c r="OB30" s="199">
        <f t="shared" si="14"/>
        <v>0</v>
      </c>
      <c r="OC30" s="199">
        <f t="shared" si="14"/>
        <v>0</v>
      </c>
      <c r="OD30" s="199">
        <f t="shared" si="14"/>
        <v>0</v>
      </c>
      <c r="OE30" s="199">
        <f t="shared" si="14"/>
        <v>0</v>
      </c>
      <c r="OF30" s="199">
        <f t="shared" si="14"/>
        <v>0</v>
      </c>
      <c r="OG30" s="199">
        <f t="shared" si="14"/>
        <v>0</v>
      </c>
      <c r="OH30" s="199">
        <f t="shared" si="14"/>
        <v>0</v>
      </c>
      <c r="OI30" s="199">
        <f t="shared" si="14"/>
        <v>0</v>
      </c>
      <c r="OJ30" s="199">
        <f t="shared" si="14"/>
        <v>0</v>
      </c>
      <c r="OK30" s="199">
        <f t="shared" si="14"/>
        <v>0</v>
      </c>
      <c r="OL30" s="199">
        <f t="shared" si="14"/>
        <v>20610199</v>
      </c>
      <c r="OM30" s="199">
        <f t="shared" si="14"/>
        <v>96585796</v>
      </c>
      <c r="ON30" s="199">
        <f t="shared" si="14"/>
        <v>0</v>
      </c>
      <c r="OO30" s="199">
        <f t="shared" si="14"/>
        <v>0</v>
      </c>
      <c r="OP30" s="199">
        <f t="shared" si="14"/>
        <v>0</v>
      </c>
      <c r="OQ30" s="199">
        <f t="shared" si="14"/>
        <v>0</v>
      </c>
      <c r="OR30" s="199">
        <f t="shared" si="14"/>
        <v>0</v>
      </c>
      <c r="OS30" s="199">
        <f t="shared" si="14"/>
        <v>0</v>
      </c>
      <c r="OT30" s="199">
        <f t="shared" si="14"/>
        <v>0</v>
      </c>
      <c r="OU30" s="199">
        <f t="shared" si="14"/>
        <v>0</v>
      </c>
      <c r="OV30" s="199">
        <f t="shared" si="14"/>
        <v>0</v>
      </c>
      <c r="OW30" s="199">
        <f t="shared" si="14"/>
        <v>0</v>
      </c>
      <c r="OX30" s="199">
        <f t="shared" si="14"/>
        <v>0</v>
      </c>
      <c r="OY30" s="199">
        <f t="shared" si="14"/>
        <v>554510</v>
      </c>
      <c r="OZ30" s="199">
        <f t="shared" si="14"/>
        <v>0</v>
      </c>
      <c r="PA30" s="199">
        <f t="shared" si="14"/>
        <v>0</v>
      </c>
      <c r="PB30" s="199">
        <f t="shared" si="14"/>
        <v>0</v>
      </c>
      <c r="PC30" s="199">
        <f t="shared" si="14"/>
        <v>0</v>
      </c>
      <c r="PD30" s="199">
        <f t="shared" si="14"/>
        <v>0</v>
      </c>
      <c r="PE30" s="199">
        <f t="shared" si="14"/>
        <v>0</v>
      </c>
      <c r="PF30" s="199">
        <f t="shared" si="14"/>
        <v>65335</v>
      </c>
      <c r="PG30" s="199">
        <f t="shared" si="14"/>
        <v>0</v>
      </c>
      <c r="PH30" s="199">
        <f t="shared" si="14"/>
        <v>0</v>
      </c>
      <c r="PI30" s="199">
        <f t="shared" si="14"/>
        <v>0</v>
      </c>
      <c r="PJ30" s="199">
        <f t="shared" si="14"/>
        <v>0</v>
      </c>
      <c r="PK30" s="199">
        <f t="shared" si="14"/>
        <v>0</v>
      </c>
      <c r="PL30" s="199">
        <f t="shared" si="14"/>
        <v>0</v>
      </c>
      <c r="PM30" s="199">
        <f t="shared" si="14"/>
        <v>24488</v>
      </c>
      <c r="PN30" s="199">
        <f t="shared" si="14"/>
        <v>0</v>
      </c>
      <c r="PO30" s="199">
        <f t="shared" si="14"/>
        <v>0</v>
      </c>
      <c r="PP30" s="199">
        <f t="shared" si="14"/>
        <v>0</v>
      </c>
      <c r="PQ30" s="199">
        <f t="shared" si="14"/>
        <v>0</v>
      </c>
      <c r="PR30" s="199">
        <f t="shared" si="14"/>
        <v>0</v>
      </c>
      <c r="PS30" s="199">
        <f t="shared" si="14"/>
        <v>0</v>
      </c>
      <c r="PT30" s="199">
        <f t="shared" si="14"/>
        <v>0</v>
      </c>
      <c r="PU30" s="199">
        <f t="shared" si="14"/>
        <v>0</v>
      </c>
      <c r="PV30" s="199">
        <f t="shared" si="14"/>
        <v>0</v>
      </c>
      <c r="PW30" s="199">
        <f t="shared" si="14"/>
        <v>0</v>
      </c>
      <c r="PX30" s="199">
        <f t="shared" si="14"/>
        <v>0</v>
      </c>
      <c r="PY30" s="199">
        <f t="shared" si="14"/>
        <v>0</v>
      </c>
      <c r="PZ30" s="199">
        <f t="shared" si="14"/>
        <v>0</v>
      </c>
      <c r="QA30" s="199">
        <f t="shared" si="14"/>
        <v>0</v>
      </c>
      <c r="QB30" s="199">
        <f t="shared" si="14"/>
        <v>0</v>
      </c>
      <c r="QC30" s="199">
        <f t="shared" si="14"/>
        <v>0</v>
      </c>
      <c r="QD30" s="199">
        <f t="shared" si="14"/>
        <v>0</v>
      </c>
      <c r="QE30" s="199">
        <f t="shared" si="14"/>
        <v>0</v>
      </c>
      <c r="QF30" s="199">
        <f t="shared" si="14"/>
        <v>0</v>
      </c>
      <c r="QG30" s="199">
        <f t="shared" si="14"/>
        <v>0</v>
      </c>
      <c r="QH30" s="199">
        <f t="shared" si="14"/>
        <v>0</v>
      </c>
      <c r="QI30" s="199">
        <f t="shared" si="14"/>
        <v>0</v>
      </c>
      <c r="QJ30" s="199">
        <f t="shared" ref="QJ30:QR30" si="15">QJ11+QJ12+QJ13</f>
        <v>0</v>
      </c>
      <c r="QK30" s="199">
        <f t="shared" si="15"/>
        <v>0</v>
      </c>
      <c r="QL30" s="199">
        <f t="shared" si="15"/>
        <v>0</v>
      </c>
      <c r="QM30" s="199">
        <f t="shared" si="15"/>
        <v>0</v>
      </c>
      <c r="QN30" s="199">
        <f t="shared" si="15"/>
        <v>0</v>
      </c>
      <c r="QO30" s="199">
        <f t="shared" si="15"/>
        <v>0</v>
      </c>
      <c r="QP30" s="199">
        <f t="shared" si="15"/>
        <v>0</v>
      </c>
      <c r="QQ30" s="199">
        <f t="shared" si="15"/>
        <v>0</v>
      </c>
      <c r="QR30" s="199">
        <f t="shared" si="15"/>
        <v>0</v>
      </c>
    </row>
    <row r="31" spans="1:591">
      <c r="A31" s="133">
        <f>A14</f>
        <v>25</v>
      </c>
      <c r="B31" s="133" t="str">
        <f>B14</f>
        <v>Pocatello</v>
      </c>
      <c r="C31" s="199">
        <f>C14+C15</f>
        <v>0</v>
      </c>
      <c r="D31" s="199">
        <f t="shared" ref="D31:BO31" si="16">D14+D15</f>
        <v>0</v>
      </c>
      <c r="E31" s="199">
        <f t="shared" si="16"/>
        <v>0</v>
      </c>
      <c r="F31" s="199">
        <f t="shared" si="16"/>
        <v>0</v>
      </c>
      <c r="G31" s="199">
        <f t="shared" si="16"/>
        <v>8529389</v>
      </c>
      <c r="H31" s="199">
        <f t="shared" si="16"/>
        <v>0</v>
      </c>
      <c r="I31" s="199">
        <f t="shared" si="16"/>
        <v>17333</v>
      </c>
      <c r="J31" s="199">
        <f t="shared" si="16"/>
        <v>10876</v>
      </c>
      <c r="K31" s="199">
        <f t="shared" si="16"/>
        <v>0</v>
      </c>
      <c r="L31" s="199">
        <f t="shared" si="16"/>
        <v>0</v>
      </c>
      <c r="M31" s="199">
        <f t="shared" si="16"/>
        <v>0</v>
      </c>
      <c r="N31" s="199">
        <f t="shared" si="16"/>
        <v>2471</v>
      </c>
      <c r="O31" s="199">
        <f t="shared" si="16"/>
        <v>0</v>
      </c>
      <c r="P31" s="199">
        <f t="shared" si="16"/>
        <v>0</v>
      </c>
      <c r="Q31" s="199">
        <f t="shared" si="16"/>
        <v>0</v>
      </c>
      <c r="R31" s="199">
        <f t="shared" si="16"/>
        <v>0</v>
      </c>
      <c r="S31" s="199">
        <f t="shared" si="16"/>
        <v>4587636</v>
      </c>
      <c r="T31" s="199">
        <f t="shared" si="16"/>
        <v>0</v>
      </c>
      <c r="U31" s="199">
        <f t="shared" si="16"/>
        <v>0</v>
      </c>
      <c r="V31" s="199">
        <f t="shared" si="16"/>
        <v>1912144</v>
      </c>
      <c r="W31" s="199">
        <f t="shared" si="16"/>
        <v>118304</v>
      </c>
      <c r="X31" s="199">
        <f t="shared" si="16"/>
        <v>0</v>
      </c>
      <c r="Y31" s="199">
        <f t="shared" si="16"/>
        <v>0</v>
      </c>
      <c r="Z31" s="199">
        <f t="shared" si="16"/>
        <v>0</v>
      </c>
      <c r="AA31" s="199">
        <f t="shared" si="16"/>
        <v>0</v>
      </c>
      <c r="AB31" s="199">
        <f t="shared" si="16"/>
        <v>0</v>
      </c>
      <c r="AC31" s="199">
        <f t="shared" si="16"/>
        <v>41685</v>
      </c>
      <c r="AD31" s="199">
        <f t="shared" si="16"/>
        <v>0</v>
      </c>
      <c r="AE31" s="199">
        <f t="shared" si="16"/>
        <v>0</v>
      </c>
      <c r="AF31" s="199">
        <f t="shared" si="16"/>
        <v>0</v>
      </c>
      <c r="AG31" s="199">
        <f t="shared" si="16"/>
        <v>0</v>
      </c>
      <c r="AH31" s="199">
        <f t="shared" si="16"/>
        <v>0</v>
      </c>
      <c r="AI31" s="199">
        <f t="shared" si="16"/>
        <v>0</v>
      </c>
      <c r="AJ31" s="199">
        <f t="shared" si="16"/>
        <v>19501</v>
      </c>
      <c r="AK31" s="199">
        <f t="shared" si="16"/>
        <v>0</v>
      </c>
      <c r="AL31" s="199">
        <f t="shared" si="16"/>
        <v>0</v>
      </c>
      <c r="AM31" s="199">
        <f t="shared" si="16"/>
        <v>0</v>
      </c>
      <c r="AN31" s="199">
        <f t="shared" si="16"/>
        <v>0</v>
      </c>
      <c r="AO31" s="199">
        <f t="shared" si="16"/>
        <v>0</v>
      </c>
      <c r="AP31" s="199">
        <f t="shared" si="16"/>
        <v>0</v>
      </c>
      <c r="AQ31" s="199">
        <f t="shared" si="16"/>
        <v>0</v>
      </c>
      <c r="AR31" s="199">
        <f t="shared" si="16"/>
        <v>0</v>
      </c>
      <c r="AS31" s="199">
        <f t="shared" si="16"/>
        <v>0</v>
      </c>
      <c r="AT31" s="199">
        <f t="shared" si="16"/>
        <v>0</v>
      </c>
      <c r="AU31" s="199">
        <f t="shared" si="16"/>
        <v>0</v>
      </c>
      <c r="AV31" s="199">
        <f t="shared" si="16"/>
        <v>0</v>
      </c>
      <c r="AW31" s="199">
        <f t="shared" si="16"/>
        <v>0</v>
      </c>
      <c r="AX31" s="199">
        <f t="shared" si="16"/>
        <v>0</v>
      </c>
      <c r="AY31" s="199">
        <f t="shared" si="16"/>
        <v>0</v>
      </c>
      <c r="AZ31" s="199">
        <f t="shared" si="16"/>
        <v>0</v>
      </c>
      <c r="BA31" s="199">
        <f t="shared" si="16"/>
        <v>1833</v>
      </c>
      <c r="BB31" s="199">
        <f t="shared" si="16"/>
        <v>2510</v>
      </c>
      <c r="BC31" s="199">
        <f t="shared" si="16"/>
        <v>0</v>
      </c>
      <c r="BD31" s="199">
        <f t="shared" si="16"/>
        <v>22</v>
      </c>
      <c r="BE31" s="199">
        <f t="shared" si="16"/>
        <v>0</v>
      </c>
      <c r="BF31" s="199">
        <f t="shared" si="16"/>
        <v>0</v>
      </c>
      <c r="BG31" s="199">
        <f t="shared" si="16"/>
        <v>0</v>
      </c>
      <c r="BH31" s="199">
        <f t="shared" si="16"/>
        <v>0</v>
      </c>
      <c r="BI31" s="199">
        <f t="shared" si="16"/>
        <v>0</v>
      </c>
      <c r="BJ31" s="199">
        <f t="shared" si="16"/>
        <v>0</v>
      </c>
      <c r="BK31" s="199">
        <f t="shared" si="16"/>
        <v>642</v>
      </c>
      <c r="BL31" s="199">
        <f t="shared" si="16"/>
        <v>0</v>
      </c>
      <c r="BM31" s="199">
        <f t="shared" si="16"/>
        <v>0</v>
      </c>
      <c r="BN31" s="199">
        <f t="shared" si="16"/>
        <v>0</v>
      </c>
      <c r="BO31" s="199">
        <f t="shared" si="16"/>
        <v>0</v>
      </c>
      <c r="BP31" s="199">
        <f t="shared" ref="BP31:EA31" si="17">BP14+BP15</f>
        <v>0</v>
      </c>
      <c r="BQ31" s="199">
        <f t="shared" si="17"/>
        <v>663</v>
      </c>
      <c r="BR31" s="199">
        <f t="shared" si="17"/>
        <v>0</v>
      </c>
      <c r="BS31" s="199">
        <f t="shared" si="17"/>
        <v>0</v>
      </c>
      <c r="BT31" s="199">
        <f t="shared" si="17"/>
        <v>0</v>
      </c>
      <c r="BU31" s="199">
        <f t="shared" si="17"/>
        <v>0</v>
      </c>
      <c r="BV31" s="199">
        <f t="shared" si="17"/>
        <v>849749</v>
      </c>
      <c r="BW31" s="199">
        <f t="shared" si="17"/>
        <v>229537</v>
      </c>
      <c r="BX31" s="199">
        <f t="shared" si="17"/>
        <v>0</v>
      </c>
      <c r="BY31" s="199">
        <f t="shared" si="17"/>
        <v>0</v>
      </c>
      <c r="BZ31" s="199">
        <f t="shared" si="17"/>
        <v>8068</v>
      </c>
      <c r="CA31" s="199">
        <f t="shared" si="17"/>
        <v>0</v>
      </c>
      <c r="CB31" s="199">
        <f t="shared" si="17"/>
        <v>0</v>
      </c>
      <c r="CC31" s="199">
        <f t="shared" si="17"/>
        <v>0</v>
      </c>
      <c r="CD31" s="199">
        <f t="shared" si="17"/>
        <v>0</v>
      </c>
      <c r="CE31" s="199">
        <f t="shared" si="17"/>
        <v>0</v>
      </c>
      <c r="CF31" s="199">
        <f t="shared" si="17"/>
        <v>0</v>
      </c>
      <c r="CG31" s="199">
        <f t="shared" si="17"/>
        <v>0</v>
      </c>
      <c r="CH31" s="199">
        <f t="shared" si="17"/>
        <v>0</v>
      </c>
      <c r="CI31" s="199">
        <f t="shared" si="17"/>
        <v>7409</v>
      </c>
      <c r="CJ31" s="199">
        <f t="shared" si="17"/>
        <v>0</v>
      </c>
      <c r="CK31" s="199">
        <f t="shared" si="17"/>
        <v>0</v>
      </c>
      <c r="CL31" s="199">
        <f t="shared" si="17"/>
        <v>15255</v>
      </c>
      <c r="CM31" s="199">
        <f t="shared" si="17"/>
        <v>0</v>
      </c>
      <c r="CN31" s="199">
        <f t="shared" si="17"/>
        <v>0</v>
      </c>
      <c r="CO31" s="199">
        <f t="shared" si="17"/>
        <v>0</v>
      </c>
      <c r="CP31" s="199">
        <f t="shared" si="17"/>
        <v>0</v>
      </c>
      <c r="CQ31" s="199">
        <f t="shared" si="17"/>
        <v>0</v>
      </c>
      <c r="CR31" s="199">
        <f t="shared" si="17"/>
        <v>0</v>
      </c>
      <c r="CS31" s="199">
        <f t="shared" si="17"/>
        <v>0</v>
      </c>
      <c r="CT31" s="199">
        <f t="shared" si="17"/>
        <v>0</v>
      </c>
      <c r="CU31" s="199">
        <f t="shared" si="17"/>
        <v>0</v>
      </c>
      <c r="CV31" s="199">
        <f t="shared" si="17"/>
        <v>0</v>
      </c>
      <c r="CW31" s="199">
        <f t="shared" si="17"/>
        <v>0</v>
      </c>
      <c r="CX31" s="199">
        <f t="shared" si="17"/>
        <v>291663</v>
      </c>
      <c r="CY31" s="199">
        <f t="shared" si="17"/>
        <v>0</v>
      </c>
      <c r="CZ31" s="199">
        <f t="shared" si="17"/>
        <v>0</v>
      </c>
      <c r="DA31" s="199">
        <f t="shared" si="17"/>
        <v>0</v>
      </c>
      <c r="DB31" s="199">
        <f t="shared" si="17"/>
        <v>0</v>
      </c>
      <c r="DC31" s="199">
        <f t="shared" si="17"/>
        <v>0</v>
      </c>
      <c r="DD31" s="199">
        <f t="shared" si="17"/>
        <v>0</v>
      </c>
      <c r="DE31" s="199">
        <f t="shared" si="17"/>
        <v>0</v>
      </c>
      <c r="DF31" s="199">
        <f t="shared" si="17"/>
        <v>0</v>
      </c>
      <c r="DG31" s="199">
        <f t="shared" si="17"/>
        <v>0</v>
      </c>
      <c r="DH31" s="199">
        <f t="shared" si="17"/>
        <v>0</v>
      </c>
      <c r="DI31" s="199">
        <f t="shared" si="17"/>
        <v>0</v>
      </c>
      <c r="DJ31" s="199">
        <f t="shared" si="17"/>
        <v>0</v>
      </c>
      <c r="DK31" s="199">
        <f t="shared" si="17"/>
        <v>0</v>
      </c>
      <c r="DL31" s="199">
        <f t="shared" si="17"/>
        <v>16420</v>
      </c>
      <c r="DM31" s="199">
        <f t="shared" si="17"/>
        <v>0</v>
      </c>
      <c r="DN31" s="199">
        <f t="shared" si="17"/>
        <v>0</v>
      </c>
      <c r="DO31" s="199">
        <f t="shared" si="17"/>
        <v>0</v>
      </c>
      <c r="DP31" s="199">
        <f t="shared" si="17"/>
        <v>0</v>
      </c>
      <c r="DQ31" s="199">
        <f t="shared" si="17"/>
        <v>0</v>
      </c>
      <c r="DR31" s="199">
        <f t="shared" si="17"/>
        <v>0</v>
      </c>
      <c r="DS31" s="199">
        <f t="shared" si="17"/>
        <v>0</v>
      </c>
      <c r="DT31" s="199">
        <f t="shared" si="17"/>
        <v>0</v>
      </c>
      <c r="DU31" s="199">
        <f t="shared" si="17"/>
        <v>1939</v>
      </c>
      <c r="DV31" s="199">
        <f t="shared" si="17"/>
        <v>0</v>
      </c>
      <c r="DW31" s="199">
        <f t="shared" si="17"/>
        <v>0</v>
      </c>
      <c r="DX31" s="199">
        <f t="shared" si="17"/>
        <v>0</v>
      </c>
      <c r="DY31" s="199">
        <f t="shared" si="17"/>
        <v>0</v>
      </c>
      <c r="DZ31" s="199">
        <f t="shared" si="17"/>
        <v>0</v>
      </c>
      <c r="EA31" s="199">
        <f t="shared" si="17"/>
        <v>0</v>
      </c>
      <c r="EB31" s="199">
        <f t="shared" ref="EB31:GM31" si="18">EB14+EB15</f>
        <v>0</v>
      </c>
      <c r="EC31" s="199">
        <f t="shared" si="18"/>
        <v>0</v>
      </c>
      <c r="ED31" s="199">
        <f t="shared" si="18"/>
        <v>0</v>
      </c>
      <c r="EE31" s="199">
        <f t="shared" si="18"/>
        <v>0</v>
      </c>
      <c r="EF31" s="199">
        <f t="shared" si="18"/>
        <v>0</v>
      </c>
      <c r="EG31" s="199">
        <f t="shared" si="18"/>
        <v>0</v>
      </c>
      <c r="EH31" s="199">
        <f t="shared" si="18"/>
        <v>379</v>
      </c>
      <c r="EI31" s="199">
        <f t="shared" si="18"/>
        <v>0</v>
      </c>
      <c r="EJ31" s="199">
        <f t="shared" si="18"/>
        <v>0</v>
      </c>
      <c r="EK31" s="199">
        <f t="shared" si="18"/>
        <v>0</v>
      </c>
      <c r="EL31" s="199">
        <f t="shared" si="18"/>
        <v>0</v>
      </c>
      <c r="EM31" s="199">
        <f t="shared" si="18"/>
        <v>0</v>
      </c>
      <c r="EN31" s="199">
        <f t="shared" si="18"/>
        <v>0</v>
      </c>
      <c r="EO31" s="199">
        <f t="shared" si="18"/>
        <v>0</v>
      </c>
      <c r="EP31" s="199">
        <f t="shared" si="18"/>
        <v>0</v>
      </c>
      <c r="EQ31" s="199">
        <f t="shared" si="18"/>
        <v>0</v>
      </c>
      <c r="ER31" s="199">
        <f t="shared" si="18"/>
        <v>0</v>
      </c>
      <c r="ES31" s="199">
        <f t="shared" si="18"/>
        <v>0</v>
      </c>
      <c r="ET31" s="199">
        <f t="shared" si="18"/>
        <v>0</v>
      </c>
      <c r="EU31" s="199">
        <f t="shared" si="18"/>
        <v>0</v>
      </c>
      <c r="EV31" s="199">
        <f t="shared" si="18"/>
        <v>0</v>
      </c>
      <c r="EW31" s="199">
        <f t="shared" si="18"/>
        <v>0</v>
      </c>
      <c r="EX31" s="199">
        <f t="shared" si="18"/>
        <v>0</v>
      </c>
      <c r="EY31" s="199">
        <f t="shared" si="18"/>
        <v>0</v>
      </c>
      <c r="EZ31" s="199">
        <f t="shared" si="18"/>
        <v>0</v>
      </c>
      <c r="FA31" s="199">
        <f t="shared" si="18"/>
        <v>270287</v>
      </c>
      <c r="FB31" s="199">
        <f t="shared" si="18"/>
        <v>0</v>
      </c>
      <c r="FC31" s="199">
        <f t="shared" si="18"/>
        <v>205677</v>
      </c>
      <c r="FD31" s="199">
        <f t="shared" si="18"/>
        <v>0</v>
      </c>
      <c r="FE31" s="199">
        <f t="shared" si="18"/>
        <v>0</v>
      </c>
      <c r="FF31" s="199">
        <f t="shared" si="18"/>
        <v>0</v>
      </c>
      <c r="FG31" s="199">
        <f t="shared" si="18"/>
        <v>0</v>
      </c>
      <c r="FH31" s="199">
        <f t="shared" si="18"/>
        <v>32939</v>
      </c>
      <c r="FI31" s="199">
        <f t="shared" si="18"/>
        <v>0</v>
      </c>
      <c r="FJ31" s="199">
        <f t="shared" si="18"/>
        <v>0</v>
      </c>
      <c r="FK31" s="199">
        <f t="shared" si="18"/>
        <v>257405</v>
      </c>
      <c r="FL31" s="199">
        <f t="shared" si="18"/>
        <v>0</v>
      </c>
      <c r="FM31" s="199">
        <f t="shared" si="18"/>
        <v>0</v>
      </c>
      <c r="FN31" s="199">
        <f t="shared" si="18"/>
        <v>0</v>
      </c>
      <c r="FO31" s="199">
        <f t="shared" si="18"/>
        <v>0</v>
      </c>
      <c r="FP31" s="199">
        <f t="shared" si="18"/>
        <v>0</v>
      </c>
      <c r="FQ31" s="199">
        <f t="shared" si="18"/>
        <v>0</v>
      </c>
      <c r="FR31" s="199">
        <f t="shared" si="18"/>
        <v>0</v>
      </c>
      <c r="FS31" s="199">
        <f t="shared" si="18"/>
        <v>0</v>
      </c>
      <c r="FT31" s="199">
        <f t="shared" si="18"/>
        <v>0</v>
      </c>
      <c r="FU31" s="199">
        <f t="shared" si="18"/>
        <v>0</v>
      </c>
      <c r="FV31" s="199">
        <f t="shared" si="18"/>
        <v>0</v>
      </c>
      <c r="FW31" s="199">
        <f t="shared" si="18"/>
        <v>0</v>
      </c>
      <c r="FX31" s="199">
        <f t="shared" si="18"/>
        <v>1324</v>
      </c>
      <c r="FY31" s="199">
        <f t="shared" si="18"/>
        <v>0</v>
      </c>
      <c r="FZ31" s="199">
        <f t="shared" si="18"/>
        <v>0</v>
      </c>
      <c r="GA31" s="199">
        <f t="shared" si="18"/>
        <v>0</v>
      </c>
      <c r="GB31" s="199">
        <f t="shared" si="18"/>
        <v>0</v>
      </c>
      <c r="GC31" s="199">
        <f t="shared" si="18"/>
        <v>0</v>
      </c>
      <c r="GD31" s="199">
        <f t="shared" si="18"/>
        <v>0</v>
      </c>
      <c r="GE31" s="199">
        <f t="shared" si="18"/>
        <v>0</v>
      </c>
      <c r="GF31" s="199">
        <f t="shared" si="18"/>
        <v>0</v>
      </c>
      <c r="GG31" s="199">
        <f t="shared" si="18"/>
        <v>0</v>
      </c>
      <c r="GH31" s="199">
        <f t="shared" si="18"/>
        <v>0</v>
      </c>
      <c r="GI31" s="199">
        <f t="shared" si="18"/>
        <v>0</v>
      </c>
      <c r="GJ31" s="199">
        <f t="shared" si="18"/>
        <v>0</v>
      </c>
      <c r="GK31" s="199">
        <f t="shared" si="18"/>
        <v>0</v>
      </c>
      <c r="GL31" s="199">
        <f t="shared" si="18"/>
        <v>0</v>
      </c>
      <c r="GM31" s="199">
        <f t="shared" si="18"/>
        <v>0</v>
      </c>
      <c r="GN31" s="199">
        <f t="shared" ref="GN31:IY31" si="19">GN14+GN15</f>
        <v>0</v>
      </c>
      <c r="GO31" s="199">
        <f t="shared" si="19"/>
        <v>0</v>
      </c>
      <c r="GP31" s="199">
        <f t="shared" si="19"/>
        <v>0</v>
      </c>
      <c r="GQ31" s="199">
        <f t="shared" si="19"/>
        <v>0</v>
      </c>
      <c r="GR31" s="199">
        <f t="shared" si="19"/>
        <v>0</v>
      </c>
      <c r="GS31" s="199">
        <f t="shared" si="19"/>
        <v>0</v>
      </c>
      <c r="GT31" s="199">
        <f t="shared" si="19"/>
        <v>131246</v>
      </c>
      <c r="GU31" s="199">
        <f t="shared" si="19"/>
        <v>0</v>
      </c>
      <c r="GV31" s="199">
        <f t="shared" si="19"/>
        <v>0</v>
      </c>
      <c r="GW31" s="199">
        <f t="shared" si="19"/>
        <v>0</v>
      </c>
      <c r="GX31" s="199">
        <f t="shared" si="19"/>
        <v>0</v>
      </c>
      <c r="GY31" s="199">
        <f t="shared" si="19"/>
        <v>46464870</v>
      </c>
      <c r="GZ31" s="199">
        <f t="shared" si="19"/>
        <v>0</v>
      </c>
      <c r="HA31" s="199">
        <f t="shared" si="19"/>
        <v>0</v>
      </c>
      <c r="HB31" s="199">
        <f t="shared" si="19"/>
        <v>0</v>
      </c>
      <c r="HC31" s="199">
        <f t="shared" si="19"/>
        <v>0</v>
      </c>
      <c r="HD31" s="199">
        <f t="shared" si="19"/>
        <v>1754312</v>
      </c>
      <c r="HE31" s="199">
        <f t="shared" si="19"/>
        <v>263097</v>
      </c>
      <c r="HF31" s="199">
        <f t="shared" si="19"/>
        <v>0</v>
      </c>
      <c r="HG31" s="199">
        <f t="shared" si="19"/>
        <v>67304</v>
      </c>
      <c r="HH31" s="199">
        <f t="shared" si="19"/>
        <v>0</v>
      </c>
      <c r="HI31" s="199">
        <f t="shared" si="19"/>
        <v>0</v>
      </c>
      <c r="HJ31" s="199">
        <f t="shared" si="19"/>
        <v>6224656</v>
      </c>
      <c r="HK31" s="199">
        <f t="shared" si="19"/>
        <v>1834738</v>
      </c>
      <c r="HL31" s="199">
        <f t="shared" si="19"/>
        <v>0</v>
      </c>
      <c r="HM31" s="199">
        <f t="shared" si="19"/>
        <v>0</v>
      </c>
      <c r="HN31" s="199">
        <f t="shared" si="19"/>
        <v>0</v>
      </c>
      <c r="HO31" s="199">
        <f t="shared" si="19"/>
        <v>0</v>
      </c>
      <c r="HP31" s="199">
        <f t="shared" si="19"/>
        <v>0</v>
      </c>
      <c r="HQ31" s="199">
        <f t="shared" si="19"/>
        <v>0</v>
      </c>
      <c r="HR31" s="199">
        <f t="shared" si="19"/>
        <v>0</v>
      </c>
      <c r="HS31" s="199">
        <f t="shared" si="19"/>
        <v>51053</v>
      </c>
      <c r="HT31" s="199">
        <f t="shared" si="19"/>
        <v>0</v>
      </c>
      <c r="HU31" s="199">
        <f t="shared" si="19"/>
        <v>0</v>
      </c>
      <c r="HV31" s="199">
        <f t="shared" si="19"/>
        <v>493156</v>
      </c>
      <c r="HW31" s="199">
        <f t="shared" si="19"/>
        <v>0</v>
      </c>
      <c r="HX31" s="199">
        <f t="shared" si="19"/>
        <v>0</v>
      </c>
      <c r="HY31" s="199">
        <f t="shared" si="19"/>
        <v>0</v>
      </c>
      <c r="HZ31" s="199">
        <f t="shared" si="19"/>
        <v>0</v>
      </c>
      <c r="IA31" s="199">
        <f t="shared" si="19"/>
        <v>0</v>
      </c>
      <c r="IB31" s="199">
        <f t="shared" si="19"/>
        <v>0</v>
      </c>
      <c r="IC31" s="199">
        <f t="shared" si="19"/>
        <v>0</v>
      </c>
      <c r="ID31" s="199">
        <f t="shared" si="19"/>
        <v>0</v>
      </c>
      <c r="IE31" s="199">
        <f t="shared" si="19"/>
        <v>0</v>
      </c>
      <c r="IF31" s="199">
        <f t="shared" si="19"/>
        <v>0</v>
      </c>
      <c r="IG31" s="199">
        <f t="shared" si="19"/>
        <v>0</v>
      </c>
      <c r="IH31" s="199">
        <f t="shared" si="19"/>
        <v>0</v>
      </c>
      <c r="II31" s="199">
        <f t="shared" si="19"/>
        <v>0</v>
      </c>
      <c r="IJ31" s="199">
        <f t="shared" si="19"/>
        <v>0</v>
      </c>
      <c r="IK31" s="199">
        <f t="shared" si="19"/>
        <v>25938</v>
      </c>
      <c r="IL31" s="199">
        <f t="shared" si="19"/>
        <v>0</v>
      </c>
      <c r="IM31" s="199">
        <f t="shared" si="19"/>
        <v>0</v>
      </c>
      <c r="IN31" s="199">
        <f t="shared" si="19"/>
        <v>342463</v>
      </c>
      <c r="IO31" s="199">
        <f t="shared" si="19"/>
        <v>0</v>
      </c>
      <c r="IP31" s="199">
        <f t="shared" si="19"/>
        <v>0</v>
      </c>
      <c r="IQ31" s="199">
        <f t="shared" si="19"/>
        <v>0</v>
      </c>
      <c r="IR31" s="199">
        <f t="shared" si="19"/>
        <v>0</v>
      </c>
      <c r="IS31" s="199">
        <f t="shared" si="19"/>
        <v>0</v>
      </c>
      <c r="IT31" s="199">
        <f t="shared" si="19"/>
        <v>0</v>
      </c>
      <c r="IU31" s="199">
        <f t="shared" si="19"/>
        <v>0</v>
      </c>
      <c r="IV31" s="199">
        <f t="shared" si="19"/>
        <v>0</v>
      </c>
      <c r="IW31" s="199">
        <f t="shared" si="19"/>
        <v>0</v>
      </c>
      <c r="IX31" s="199">
        <f t="shared" si="19"/>
        <v>0</v>
      </c>
      <c r="IY31" s="199">
        <f t="shared" si="19"/>
        <v>541929</v>
      </c>
      <c r="IZ31" s="199">
        <f t="shared" ref="IZ31:LK31" si="20">IZ14+IZ15</f>
        <v>0</v>
      </c>
      <c r="JA31" s="199">
        <f t="shared" si="20"/>
        <v>0</v>
      </c>
      <c r="JB31" s="199">
        <f t="shared" si="20"/>
        <v>8653</v>
      </c>
      <c r="JC31" s="199">
        <f t="shared" si="20"/>
        <v>0</v>
      </c>
      <c r="JD31" s="199">
        <f t="shared" si="20"/>
        <v>0</v>
      </c>
      <c r="JE31" s="199">
        <f t="shared" si="20"/>
        <v>304586</v>
      </c>
      <c r="JF31" s="199">
        <f t="shared" si="20"/>
        <v>0</v>
      </c>
      <c r="JG31" s="199">
        <f t="shared" si="20"/>
        <v>0</v>
      </c>
      <c r="JH31" s="199">
        <f t="shared" si="20"/>
        <v>0</v>
      </c>
      <c r="JI31" s="199">
        <f t="shared" si="20"/>
        <v>0</v>
      </c>
      <c r="JJ31" s="199">
        <f t="shared" si="20"/>
        <v>0</v>
      </c>
      <c r="JK31" s="199">
        <f t="shared" si="20"/>
        <v>0</v>
      </c>
      <c r="JL31" s="199">
        <f t="shared" si="20"/>
        <v>0</v>
      </c>
      <c r="JM31" s="199">
        <f t="shared" si="20"/>
        <v>0</v>
      </c>
      <c r="JN31" s="199">
        <f t="shared" si="20"/>
        <v>0</v>
      </c>
      <c r="JO31" s="199">
        <f t="shared" si="20"/>
        <v>0</v>
      </c>
      <c r="JP31" s="199">
        <f t="shared" si="20"/>
        <v>0</v>
      </c>
      <c r="JQ31" s="199">
        <f t="shared" si="20"/>
        <v>0</v>
      </c>
      <c r="JR31" s="199">
        <f t="shared" si="20"/>
        <v>0</v>
      </c>
      <c r="JS31" s="199">
        <f t="shared" si="20"/>
        <v>0</v>
      </c>
      <c r="JT31" s="199">
        <f t="shared" si="20"/>
        <v>59017</v>
      </c>
      <c r="JU31" s="199">
        <f t="shared" si="20"/>
        <v>0</v>
      </c>
      <c r="JV31" s="199">
        <f t="shared" si="20"/>
        <v>0</v>
      </c>
      <c r="JW31" s="199">
        <f t="shared" si="20"/>
        <v>0</v>
      </c>
      <c r="JX31" s="199">
        <f t="shared" si="20"/>
        <v>0</v>
      </c>
      <c r="JY31" s="199">
        <f t="shared" si="20"/>
        <v>0</v>
      </c>
      <c r="JZ31" s="199">
        <f t="shared" si="20"/>
        <v>0</v>
      </c>
      <c r="KA31" s="199">
        <f t="shared" si="20"/>
        <v>0</v>
      </c>
      <c r="KB31" s="199">
        <f t="shared" si="20"/>
        <v>0</v>
      </c>
      <c r="KC31" s="199">
        <f t="shared" si="20"/>
        <v>0</v>
      </c>
      <c r="KD31" s="199">
        <f t="shared" si="20"/>
        <v>0</v>
      </c>
      <c r="KE31" s="199">
        <f t="shared" si="20"/>
        <v>0</v>
      </c>
      <c r="KF31" s="199">
        <f t="shared" si="20"/>
        <v>0</v>
      </c>
      <c r="KG31" s="199">
        <f t="shared" si="20"/>
        <v>0</v>
      </c>
      <c r="KH31" s="199">
        <f t="shared" si="20"/>
        <v>0</v>
      </c>
      <c r="KI31" s="199">
        <f t="shared" si="20"/>
        <v>159209</v>
      </c>
      <c r="KJ31" s="199">
        <f t="shared" si="20"/>
        <v>0</v>
      </c>
      <c r="KK31" s="199">
        <f t="shared" si="20"/>
        <v>0</v>
      </c>
      <c r="KL31" s="199">
        <f t="shared" si="20"/>
        <v>0</v>
      </c>
      <c r="KM31" s="199">
        <f t="shared" si="20"/>
        <v>0</v>
      </c>
      <c r="KN31" s="199">
        <f t="shared" si="20"/>
        <v>0</v>
      </c>
      <c r="KO31" s="199">
        <f t="shared" si="20"/>
        <v>0</v>
      </c>
      <c r="KP31" s="199">
        <f t="shared" si="20"/>
        <v>0</v>
      </c>
      <c r="KQ31" s="199">
        <f t="shared" si="20"/>
        <v>0</v>
      </c>
      <c r="KR31" s="199">
        <f t="shared" si="20"/>
        <v>0</v>
      </c>
      <c r="KS31" s="199">
        <f t="shared" si="20"/>
        <v>0</v>
      </c>
      <c r="KT31" s="199">
        <f t="shared" si="20"/>
        <v>0</v>
      </c>
      <c r="KU31" s="199">
        <f t="shared" si="20"/>
        <v>0</v>
      </c>
      <c r="KV31" s="199">
        <f t="shared" si="20"/>
        <v>0</v>
      </c>
      <c r="KW31" s="199">
        <f t="shared" si="20"/>
        <v>0</v>
      </c>
      <c r="KX31" s="199">
        <f t="shared" si="20"/>
        <v>0</v>
      </c>
      <c r="KY31" s="199">
        <f t="shared" si="20"/>
        <v>0</v>
      </c>
      <c r="KZ31" s="199">
        <f t="shared" si="20"/>
        <v>0</v>
      </c>
      <c r="LA31" s="199">
        <f t="shared" si="20"/>
        <v>0</v>
      </c>
      <c r="LB31" s="199">
        <f t="shared" si="20"/>
        <v>0</v>
      </c>
      <c r="LC31" s="199">
        <f t="shared" si="20"/>
        <v>0</v>
      </c>
      <c r="LD31" s="199">
        <f t="shared" si="20"/>
        <v>0</v>
      </c>
      <c r="LE31" s="199">
        <f t="shared" si="20"/>
        <v>1363479</v>
      </c>
      <c r="LF31" s="199">
        <f t="shared" si="20"/>
        <v>0</v>
      </c>
      <c r="LG31" s="199">
        <f t="shared" si="20"/>
        <v>0</v>
      </c>
      <c r="LH31" s="199">
        <f t="shared" si="20"/>
        <v>0</v>
      </c>
      <c r="LI31" s="199">
        <f t="shared" si="20"/>
        <v>0</v>
      </c>
      <c r="LJ31" s="199">
        <f t="shared" si="20"/>
        <v>0</v>
      </c>
      <c r="LK31" s="199">
        <f t="shared" si="20"/>
        <v>0</v>
      </c>
      <c r="LL31" s="199">
        <f t="shared" ref="LL31:NW31" si="21">LL14+LL15</f>
        <v>0</v>
      </c>
      <c r="LM31" s="199">
        <f t="shared" si="21"/>
        <v>0</v>
      </c>
      <c r="LN31" s="199">
        <f t="shared" si="21"/>
        <v>0</v>
      </c>
      <c r="LO31" s="199">
        <f t="shared" si="21"/>
        <v>0</v>
      </c>
      <c r="LP31" s="199">
        <f t="shared" si="21"/>
        <v>2669063</v>
      </c>
      <c r="LQ31" s="199">
        <f t="shared" si="21"/>
        <v>0</v>
      </c>
      <c r="LR31" s="199">
        <f t="shared" si="21"/>
        <v>0</v>
      </c>
      <c r="LS31" s="199">
        <f t="shared" si="21"/>
        <v>0</v>
      </c>
      <c r="LT31" s="199">
        <f t="shared" si="21"/>
        <v>0</v>
      </c>
      <c r="LU31" s="199">
        <f t="shared" si="21"/>
        <v>0</v>
      </c>
      <c r="LV31" s="199">
        <f t="shared" si="21"/>
        <v>0</v>
      </c>
      <c r="LW31" s="199">
        <f t="shared" si="21"/>
        <v>0</v>
      </c>
      <c r="LX31" s="199">
        <f t="shared" si="21"/>
        <v>0</v>
      </c>
      <c r="LY31" s="199">
        <f t="shared" si="21"/>
        <v>0</v>
      </c>
      <c r="LZ31" s="199">
        <f t="shared" si="21"/>
        <v>0</v>
      </c>
      <c r="MA31" s="199">
        <f t="shared" si="21"/>
        <v>0</v>
      </c>
      <c r="MB31" s="199">
        <f t="shared" si="21"/>
        <v>0</v>
      </c>
      <c r="MC31" s="199">
        <f t="shared" si="21"/>
        <v>0</v>
      </c>
      <c r="MD31" s="199">
        <f t="shared" si="21"/>
        <v>0</v>
      </c>
      <c r="ME31" s="199">
        <f t="shared" si="21"/>
        <v>0</v>
      </c>
      <c r="MF31" s="199">
        <f t="shared" si="21"/>
        <v>0</v>
      </c>
      <c r="MG31" s="199">
        <f t="shared" si="21"/>
        <v>0</v>
      </c>
      <c r="MH31" s="199">
        <f t="shared" si="21"/>
        <v>0</v>
      </c>
      <c r="MI31" s="199">
        <f t="shared" si="21"/>
        <v>0</v>
      </c>
      <c r="MJ31" s="199">
        <f t="shared" si="21"/>
        <v>152038</v>
      </c>
      <c r="MK31" s="199">
        <f t="shared" si="21"/>
        <v>0</v>
      </c>
      <c r="ML31" s="199">
        <f t="shared" si="21"/>
        <v>0</v>
      </c>
      <c r="MM31" s="199">
        <f t="shared" si="21"/>
        <v>0</v>
      </c>
      <c r="MN31" s="199">
        <f t="shared" si="21"/>
        <v>0</v>
      </c>
      <c r="MO31" s="199">
        <f t="shared" si="21"/>
        <v>0</v>
      </c>
      <c r="MP31" s="199">
        <f t="shared" si="21"/>
        <v>0</v>
      </c>
      <c r="MQ31" s="199">
        <f t="shared" si="21"/>
        <v>3380019</v>
      </c>
      <c r="MR31" s="199">
        <f t="shared" si="21"/>
        <v>0</v>
      </c>
      <c r="MS31" s="199">
        <f t="shared" si="21"/>
        <v>36967</v>
      </c>
      <c r="MT31" s="199">
        <f t="shared" si="21"/>
        <v>2612994</v>
      </c>
      <c r="MU31" s="199">
        <f t="shared" si="21"/>
        <v>79050</v>
      </c>
      <c r="MV31" s="199">
        <f t="shared" si="21"/>
        <v>0</v>
      </c>
      <c r="MW31" s="199">
        <f t="shared" si="21"/>
        <v>0</v>
      </c>
      <c r="MX31" s="199">
        <f t="shared" si="21"/>
        <v>566224</v>
      </c>
      <c r="MY31" s="199">
        <f t="shared" si="21"/>
        <v>33305</v>
      </c>
      <c r="MZ31" s="199">
        <f t="shared" si="21"/>
        <v>0</v>
      </c>
      <c r="NA31" s="199">
        <f t="shared" si="21"/>
        <v>0</v>
      </c>
      <c r="NB31" s="199">
        <f t="shared" si="21"/>
        <v>0</v>
      </c>
      <c r="NC31" s="199">
        <f t="shared" si="21"/>
        <v>0</v>
      </c>
      <c r="ND31" s="199">
        <f t="shared" si="21"/>
        <v>0</v>
      </c>
      <c r="NE31" s="199">
        <f t="shared" si="21"/>
        <v>0</v>
      </c>
      <c r="NF31" s="199">
        <f t="shared" si="21"/>
        <v>0</v>
      </c>
      <c r="NG31" s="199">
        <f t="shared" si="21"/>
        <v>0</v>
      </c>
      <c r="NH31" s="199">
        <f t="shared" si="21"/>
        <v>0</v>
      </c>
      <c r="NI31" s="199">
        <f t="shared" si="21"/>
        <v>0</v>
      </c>
      <c r="NJ31" s="199">
        <f t="shared" si="21"/>
        <v>0</v>
      </c>
      <c r="NK31" s="199">
        <f t="shared" si="21"/>
        <v>0</v>
      </c>
      <c r="NL31" s="199">
        <f t="shared" si="21"/>
        <v>0</v>
      </c>
      <c r="NM31" s="199">
        <f t="shared" si="21"/>
        <v>0</v>
      </c>
      <c r="NN31" s="199">
        <f t="shared" si="21"/>
        <v>0</v>
      </c>
      <c r="NO31" s="199">
        <f t="shared" si="21"/>
        <v>0</v>
      </c>
      <c r="NP31" s="199">
        <f t="shared" si="21"/>
        <v>0</v>
      </c>
      <c r="NQ31" s="199">
        <f t="shared" si="21"/>
        <v>0</v>
      </c>
      <c r="NR31" s="199">
        <f t="shared" si="21"/>
        <v>527334</v>
      </c>
      <c r="NS31" s="199">
        <f t="shared" si="21"/>
        <v>0</v>
      </c>
      <c r="NT31" s="199">
        <f t="shared" si="21"/>
        <v>277555</v>
      </c>
      <c r="NU31" s="199">
        <f t="shared" si="21"/>
        <v>0</v>
      </c>
      <c r="NV31" s="199">
        <f t="shared" si="21"/>
        <v>0</v>
      </c>
      <c r="NW31" s="199">
        <f t="shared" si="21"/>
        <v>0</v>
      </c>
      <c r="NX31" s="199">
        <f t="shared" ref="NX31:QI31" si="22">NX14+NX15</f>
        <v>0</v>
      </c>
      <c r="NY31" s="199">
        <f t="shared" si="22"/>
        <v>0</v>
      </c>
      <c r="NZ31" s="199">
        <f t="shared" si="22"/>
        <v>0</v>
      </c>
      <c r="OA31" s="199">
        <f t="shared" si="22"/>
        <v>0</v>
      </c>
      <c r="OB31" s="199">
        <f t="shared" si="22"/>
        <v>0</v>
      </c>
      <c r="OC31" s="199">
        <f t="shared" si="22"/>
        <v>0</v>
      </c>
      <c r="OD31" s="199">
        <f t="shared" si="22"/>
        <v>0</v>
      </c>
      <c r="OE31" s="199">
        <f t="shared" si="22"/>
        <v>0</v>
      </c>
      <c r="OF31" s="199">
        <f t="shared" si="22"/>
        <v>247965</v>
      </c>
      <c r="OG31" s="199">
        <f t="shared" si="22"/>
        <v>0</v>
      </c>
      <c r="OH31" s="199">
        <f t="shared" si="22"/>
        <v>0</v>
      </c>
      <c r="OI31" s="199">
        <f t="shared" si="22"/>
        <v>0</v>
      </c>
      <c r="OJ31" s="199">
        <f t="shared" si="22"/>
        <v>2378685</v>
      </c>
      <c r="OK31" s="199">
        <f t="shared" si="22"/>
        <v>0</v>
      </c>
      <c r="OL31" s="199">
        <f t="shared" si="22"/>
        <v>0</v>
      </c>
      <c r="OM31" s="199">
        <f t="shared" si="22"/>
        <v>0</v>
      </c>
      <c r="ON31" s="199">
        <f t="shared" si="22"/>
        <v>0</v>
      </c>
      <c r="OO31" s="199">
        <f t="shared" si="22"/>
        <v>0</v>
      </c>
      <c r="OP31" s="199">
        <f t="shared" si="22"/>
        <v>0</v>
      </c>
      <c r="OQ31" s="199">
        <f t="shared" si="22"/>
        <v>0</v>
      </c>
      <c r="OR31" s="199">
        <f t="shared" si="22"/>
        <v>0</v>
      </c>
      <c r="OS31" s="199">
        <f t="shared" si="22"/>
        <v>0</v>
      </c>
      <c r="OT31" s="199">
        <f t="shared" si="22"/>
        <v>0</v>
      </c>
      <c r="OU31" s="199">
        <f t="shared" si="22"/>
        <v>5809</v>
      </c>
      <c r="OV31" s="199">
        <f t="shared" si="22"/>
        <v>0</v>
      </c>
      <c r="OW31" s="199">
        <f t="shared" si="22"/>
        <v>0</v>
      </c>
      <c r="OX31" s="199">
        <f t="shared" si="22"/>
        <v>0</v>
      </c>
      <c r="OY31" s="199">
        <f t="shared" si="22"/>
        <v>0</v>
      </c>
      <c r="OZ31" s="199">
        <f t="shared" si="22"/>
        <v>0</v>
      </c>
      <c r="PA31" s="199">
        <f t="shared" si="22"/>
        <v>0</v>
      </c>
      <c r="PB31" s="199">
        <f t="shared" si="22"/>
        <v>0</v>
      </c>
      <c r="PC31" s="199">
        <f t="shared" si="22"/>
        <v>0</v>
      </c>
      <c r="PD31" s="199">
        <f t="shared" si="22"/>
        <v>0</v>
      </c>
      <c r="PE31" s="199">
        <f t="shared" si="22"/>
        <v>0</v>
      </c>
      <c r="PF31" s="199">
        <f t="shared" si="22"/>
        <v>0</v>
      </c>
      <c r="PG31" s="199">
        <f t="shared" si="22"/>
        <v>0</v>
      </c>
      <c r="PH31" s="199">
        <f t="shared" si="22"/>
        <v>0</v>
      </c>
      <c r="PI31" s="199">
        <f t="shared" si="22"/>
        <v>0</v>
      </c>
      <c r="PJ31" s="199">
        <f t="shared" si="22"/>
        <v>0</v>
      </c>
      <c r="PK31" s="199">
        <f t="shared" si="22"/>
        <v>0</v>
      </c>
      <c r="PL31" s="199">
        <f t="shared" si="22"/>
        <v>0</v>
      </c>
      <c r="PM31" s="199">
        <f t="shared" si="22"/>
        <v>0</v>
      </c>
      <c r="PN31" s="199">
        <f t="shared" si="22"/>
        <v>0</v>
      </c>
      <c r="PO31" s="199">
        <f t="shared" si="22"/>
        <v>0</v>
      </c>
      <c r="PP31" s="199">
        <f t="shared" si="22"/>
        <v>0</v>
      </c>
      <c r="PQ31" s="199">
        <f t="shared" si="22"/>
        <v>0</v>
      </c>
      <c r="PR31" s="199">
        <f t="shared" si="22"/>
        <v>0</v>
      </c>
      <c r="PS31" s="199">
        <f t="shared" si="22"/>
        <v>0</v>
      </c>
      <c r="PT31" s="199">
        <f t="shared" si="22"/>
        <v>0</v>
      </c>
      <c r="PU31" s="199">
        <f t="shared" si="22"/>
        <v>0</v>
      </c>
      <c r="PV31" s="199">
        <f t="shared" si="22"/>
        <v>0</v>
      </c>
      <c r="PW31" s="199">
        <f t="shared" si="22"/>
        <v>0</v>
      </c>
      <c r="PX31" s="199">
        <f t="shared" si="22"/>
        <v>5500</v>
      </c>
      <c r="PY31" s="199">
        <f t="shared" si="22"/>
        <v>0</v>
      </c>
      <c r="PZ31" s="199">
        <f t="shared" si="22"/>
        <v>0</v>
      </c>
      <c r="QA31" s="199">
        <f t="shared" si="22"/>
        <v>0</v>
      </c>
      <c r="QB31" s="199">
        <f t="shared" si="22"/>
        <v>0</v>
      </c>
      <c r="QC31" s="199">
        <f t="shared" si="22"/>
        <v>0</v>
      </c>
      <c r="QD31" s="199">
        <f t="shared" si="22"/>
        <v>203</v>
      </c>
      <c r="QE31" s="199">
        <f t="shared" si="22"/>
        <v>0</v>
      </c>
      <c r="QF31" s="199">
        <f t="shared" si="22"/>
        <v>0</v>
      </c>
      <c r="QG31" s="199">
        <f t="shared" si="22"/>
        <v>0</v>
      </c>
      <c r="QH31" s="199">
        <f t="shared" si="22"/>
        <v>0</v>
      </c>
      <c r="QI31" s="199">
        <f t="shared" si="22"/>
        <v>121489</v>
      </c>
      <c r="QJ31" s="199">
        <f t="shared" ref="QJ31:QR31" si="23">QJ14+QJ15</f>
        <v>0</v>
      </c>
      <c r="QK31" s="199">
        <f t="shared" si="23"/>
        <v>0</v>
      </c>
      <c r="QL31" s="199">
        <f t="shared" si="23"/>
        <v>0</v>
      </c>
      <c r="QM31" s="199">
        <f t="shared" si="23"/>
        <v>0</v>
      </c>
      <c r="QN31" s="199">
        <f t="shared" si="23"/>
        <v>0</v>
      </c>
      <c r="QO31" s="199">
        <f t="shared" si="23"/>
        <v>0</v>
      </c>
      <c r="QP31" s="199">
        <f t="shared" si="23"/>
        <v>0</v>
      </c>
      <c r="QQ31" s="199">
        <f t="shared" si="23"/>
        <v>0</v>
      </c>
      <c r="QR31" s="199">
        <f t="shared" si="23"/>
        <v>0</v>
      </c>
    </row>
    <row r="32" spans="1:591">
      <c r="A32" s="133">
        <f>A16</f>
        <v>131</v>
      </c>
      <c r="B32" s="133" t="str">
        <f>B16</f>
        <v>Nampa</v>
      </c>
      <c r="C32" s="199">
        <f>C16+C17</f>
        <v>0</v>
      </c>
      <c r="D32" s="199">
        <f t="shared" ref="D32:BO32" si="24">D16+D17</f>
        <v>0</v>
      </c>
      <c r="E32" s="199">
        <f t="shared" si="24"/>
        <v>0</v>
      </c>
      <c r="F32" s="199">
        <f t="shared" si="24"/>
        <v>0</v>
      </c>
      <c r="G32" s="199">
        <f t="shared" si="24"/>
        <v>3478294</v>
      </c>
      <c r="H32" s="199">
        <f t="shared" si="24"/>
        <v>0</v>
      </c>
      <c r="I32" s="199">
        <f t="shared" si="24"/>
        <v>41939</v>
      </c>
      <c r="J32" s="199">
        <f t="shared" si="24"/>
        <v>223567</v>
      </c>
      <c r="K32" s="199">
        <f t="shared" si="24"/>
        <v>0</v>
      </c>
      <c r="L32" s="199">
        <f t="shared" si="24"/>
        <v>0</v>
      </c>
      <c r="M32" s="199">
        <f t="shared" si="24"/>
        <v>0</v>
      </c>
      <c r="N32" s="199">
        <f t="shared" si="24"/>
        <v>0</v>
      </c>
      <c r="O32" s="199">
        <f t="shared" si="24"/>
        <v>0</v>
      </c>
      <c r="P32" s="199">
        <f t="shared" si="24"/>
        <v>0</v>
      </c>
      <c r="Q32" s="199">
        <f t="shared" si="24"/>
        <v>0</v>
      </c>
      <c r="R32" s="199">
        <f t="shared" si="24"/>
        <v>0</v>
      </c>
      <c r="S32" s="199">
        <f t="shared" si="24"/>
        <v>0</v>
      </c>
      <c r="T32" s="199">
        <f t="shared" si="24"/>
        <v>0</v>
      </c>
      <c r="U32" s="199">
        <f t="shared" si="24"/>
        <v>0</v>
      </c>
      <c r="V32" s="199">
        <f t="shared" si="24"/>
        <v>12116772</v>
      </c>
      <c r="W32" s="199">
        <f t="shared" si="24"/>
        <v>29192</v>
      </c>
      <c r="X32" s="199">
        <f t="shared" si="24"/>
        <v>0</v>
      </c>
      <c r="Y32" s="199">
        <f t="shared" si="24"/>
        <v>69613</v>
      </c>
      <c r="Z32" s="199">
        <f t="shared" si="24"/>
        <v>0</v>
      </c>
      <c r="AA32" s="199">
        <f t="shared" si="24"/>
        <v>0</v>
      </c>
      <c r="AB32" s="199">
        <f t="shared" si="24"/>
        <v>0</v>
      </c>
      <c r="AC32" s="199">
        <f t="shared" si="24"/>
        <v>53546</v>
      </c>
      <c r="AD32" s="199">
        <f t="shared" si="24"/>
        <v>0</v>
      </c>
      <c r="AE32" s="199">
        <f t="shared" si="24"/>
        <v>0</v>
      </c>
      <c r="AF32" s="199">
        <f t="shared" si="24"/>
        <v>0</v>
      </c>
      <c r="AG32" s="199">
        <f t="shared" si="24"/>
        <v>0</v>
      </c>
      <c r="AH32" s="199">
        <f t="shared" si="24"/>
        <v>0</v>
      </c>
      <c r="AI32" s="199">
        <f t="shared" si="24"/>
        <v>0</v>
      </c>
      <c r="AJ32" s="199">
        <f t="shared" si="24"/>
        <v>26709</v>
      </c>
      <c r="AK32" s="199">
        <f t="shared" si="24"/>
        <v>0</v>
      </c>
      <c r="AL32" s="199">
        <f t="shared" si="24"/>
        <v>0</v>
      </c>
      <c r="AM32" s="199">
        <f t="shared" si="24"/>
        <v>0</v>
      </c>
      <c r="AN32" s="199">
        <f t="shared" si="24"/>
        <v>0</v>
      </c>
      <c r="AO32" s="199">
        <f t="shared" si="24"/>
        <v>0</v>
      </c>
      <c r="AP32" s="199">
        <f t="shared" si="24"/>
        <v>0</v>
      </c>
      <c r="AQ32" s="199">
        <f t="shared" si="24"/>
        <v>0</v>
      </c>
      <c r="AR32" s="199">
        <f t="shared" si="24"/>
        <v>0</v>
      </c>
      <c r="AS32" s="199">
        <f t="shared" si="24"/>
        <v>0</v>
      </c>
      <c r="AT32" s="199">
        <f t="shared" si="24"/>
        <v>0</v>
      </c>
      <c r="AU32" s="199">
        <f t="shared" si="24"/>
        <v>0</v>
      </c>
      <c r="AV32" s="199">
        <f t="shared" si="24"/>
        <v>0</v>
      </c>
      <c r="AW32" s="199">
        <f t="shared" si="24"/>
        <v>0</v>
      </c>
      <c r="AX32" s="199">
        <f t="shared" si="24"/>
        <v>0</v>
      </c>
      <c r="AY32" s="199">
        <f t="shared" si="24"/>
        <v>0</v>
      </c>
      <c r="AZ32" s="199">
        <f t="shared" si="24"/>
        <v>0</v>
      </c>
      <c r="BA32" s="199">
        <f t="shared" si="24"/>
        <v>396</v>
      </c>
      <c r="BB32" s="199">
        <f t="shared" si="24"/>
        <v>5994</v>
      </c>
      <c r="BC32" s="199">
        <f t="shared" si="24"/>
        <v>0</v>
      </c>
      <c r="BD32" s="199">
        <f t="shared" si="24"/>
        <v>0</v>
      </c>
      <c r="BE32" s="199">
        <f t="shared" si="24"/>
        <v>0</v>
      </c>
      <c r="BF32" s="199">
        <f t="shared" si="24"/>
        <v>0</v>
      </c>
      <c r="BG32" s="199">
        <f t="shared" si="24"/>
        <v>0</v>
      </c>
      <c r="BH32" s="199">
        <f t="shared" si="24"/>
        <v>0</v>
      </c>
      <c r="BI32" s="199">
        <f t="shared" si="24"/>
        <v>0</v>
      </c>
      <c r="BJ32" s="199">
        <f t="shared" si="24"/>
        <v>0</v>
      </c>
      <c r="BK32" s="199">
        <f t="shared" si="24"/>
        <v>0</v>
      </c>
      <c r="BL32" s="199">
        <f t="shared" si="24"/>
        <v>0</v>
      </c>
      <c r="BM32" s="199">
        <f t="shared" si="24"/>
        <v>9284</v>
      </c>
      <c r="BN32" s="199">
        <f t="shared" si="24"/>
        <v>582</v>
      </c>
      <c r="BO32" s="199">
        <f t="shared" si="24"/>
        <v>464</v>
      </c>
      <c r="BP32" s="199">
        <f t="shared" ref="BP32:EA32" si="25">BP16+BP17</f>
        <v>0</v>
      </c>
      <c r="BQ32" s="199">
        <f t="shared" si="25"/>
        <v>0</v>
      </c>
      <c r="BR32" s="199">
        <f t="shared" si="25"/>
        <v>0</v>
      </c>
      <c r="BS32" s="199">
        <f t="shared" si="25"/>
        <v>0</v>
      </c>
      <c r="BT32" s="199">
        <f t="shared" si="25"/>
        <v>0</v>
      </c>
      <c r="BU32" s="199">
        <f t="shared" si="25"/>
        <v>0</v>
      </c>
      <c r="BV32" s="199">
        <f t="shared" si="25"/>
        <v>843728</v>
      </c>
      <c r="BW32" s="199">
        <f t="shared" si="25"/>
        <v>58964</v>
      </c>
      <c r="BX32" s="199">
        <f t="shared" si="25"/>
        <v>0</v>
      </c>
      <c r="BY32" s="199">
        <f t="shared" si="25"/>
        <v>0</v>
      </c>
      <c r="BZ32" s="199">
        <f t="shared" si="25"/>
        <v>39914</v>
      </c>
      <c r="CA32" s="199">
        <f t="shared" si="25"/>
        <v>0</v>
      </c>
      <c r="CB32" s="199">
        <f t="shared" si="25"/>
        <v>0</v>
      </c>
      <c r="CC32" s="199">
        <f t="shared" si="25"/>
        <v>0</v>
      </c>
      <c r="CD32" s="199">
        <f t="shared" si="25"/>
        <v>0</v>
      </c>
      <c r="CE32" s="199">
        <f t="shared" si="25"/>
        <v>0</v>
      </c>
      <c r="CF32" s="199">
        <f t="shared" si="25"/>
        <v>0</v>
      </c>
      <c r="CG32" s="199">
        <f t="shared" si="25"/>
        <v>0</v>
      </c>
      <c r="CH32" s="199">
        <f t="shared" si="25"/>
        <v>0</v>
      </c>
      <c r="CI32" s="199">
        <f t="shared" si="25"/>
        <v>0</v>
      </c>
      <c r="CJ32" s="199">
        <f t="shared" si="25"/>
        <v>0</v>
      </c>
      <c r="CK32" s="199">
        <f t="shared" si="25"/>
        <v>0</v>
      </c>
      <c r="CL32" s="199">
        <f t="shared" si="25"/>
        <v>0</v>
      </c>
      <c r="CM32" s="199">
        <f t="shared" si="25"/>
        <v>0</v>
      </c>
      <c r="CN32" s="199">
        <f t="shared" si="25"/>
        <v>0</v>
      </c>
      <c r="CO32" s="199">
        <f t="shared" si="25"/>
        <v>0</v>
      </c>
      <c r="CP32" s="199">
        <f t="shared" si="25"/>
        <v>0</v>
      </c>
      <c r="CQ32" s="199">
        <f t="shared" si="25"/>
        <v>0</v>
      </c>
      <c r="CR32" s="199">
        <f t="shared" si="25"/>
        <v>0</v>
      </c>
      <c r="CS32" s="199">
        <f t="shared" si="25"/>
        <v>0</v>
      </c>
      <c r="CT32" s="199">
        <f t="shared" si="25"/>
        <v>0</v>
      </c>
      <c r="CU32" s="199">
        <f t="shared" si="25"/>
        <v>0</v>
      </c>
      <c r="CV32" s="199">
        <f t="shared" si="25"/>
        <v>0</v>
      </c>
      <c r="CW32" s="199">
        <f t="shared" si="25"/>
        <v>0</v>
      </c>
      <c r="CX32" s="199">
        <f t="shared" si="25"/>
        <v>0</v>
      </c>
      <c r="CY32" s="199">
        <f t="shared" si="25"/>
        <v>0</v>
      </c>
      <c r="CZ32" s="199">
        <f t="shared" si="25"/>
        <v>0</v>
      </c>
      <c r="DA32" s="199">
        <f t="shared" si="25"/>
        <v>0</v>
      </c>
      <c r="DB32" s="199">
        <f t="shared" si="25"/>
        <v>0</v>
      </c>
      <c r="DC32" s="199">
        <f t="shared" si="25"/>
        <v>0</v>
      </c>
      <c r="DD32" s="199">
        <f t="shared" si="25"/>
        <v>0</v>
      </c>
      <c r="DE32" s="199">
        <f t="shared" si="25"/>
        <v>0</v>
      </c>
      <c r="DF32" s="199">
        <f t="shared" si="25"/>
        <v>0</v>
      </c>
      <c r="DG32" s="199">
        <f t="shared" si="25"/>
        <v>0</v>
      </c>
      <c r="DH32" s="199">
        <f t="shared" si="25"/>
        <v>0</v>
      </c>
      <c r="DI32" s="199">
        <f t="shared" si="25"/>
        <v>0</v>
      </c>
      <c r="DJ32" s="199">
        <f t="shared" si="25"/>
        <v>0</v>
      </c>
      <c r="DK32" s="199">
        <f t="shared" si="25"/>
        <v>0</v>
      </c>
      <c r="DL32" s="199">
        <f t="shared" si="25"/>
        <v>46743</v>
      </c>
      <c r="DM32" s="199">
        <f t="shared" si="25"/>
        <v>0</v>
      </c>
      <c r="DN32" s="199">
        <f t="shared" si="25"/>
        <v>0</v>
      </c>
      <c r="DO32" s="199">
        <f t="shared" si="25"/>
        <v>0</v>
      </c>
      <c r="DP32" s="199">
        <f t="shared" si="25"/>
        <v>0</v>
      </c>
      <c r="DQ32" s="199">
        <f t="shared" si="25"/>
        <v>0</v>
      </c>
      <c r="DR32" s="199">
        <f t="shared" si="25"/>
        <v>0</v>
      </c>
      <c r="DS32" s="199">
        <f t="shared" si="25"/>
        <v>0</v>
      </c>
      <c r="DT32" s="199">
        <f t="shared" si="25"/>
        <v>0</v>
      </c>
      <c r="DU32" s="199">
        <f t="shared" si="25"/>
        <v>420</v>
      </c>
      <c r="DV32" s="199">
        <f t="shared" si="25"/>
        <v>0</v>
      </c>
      <c r="DW32" s="199">
        <f t="shared" si="25"/>
        <v>0</v>
      </c>
      <c r="DX32" s="199">
        <f t="shared" si="25"/>
        <v>8370</v>
      </c>
      <c r="DY32" s="199">
        <f t="shared" si="25"/>
        <v>0</v>
      </c>
      <c r="DZ32" s="199">
        <f t="shared" si="25"/>
        <v>0</v>
      </c>
      <c r="EA32" s="199">
        <f t="shared" si="25"/>
        <v>0</v>
      </c>
      <c r="EB32" s="199">
        <f t="shared" ref="EB32:GM32" si="26">EB16+EB17</f>
        <v>0</v>
      </c>
      <c r="EC32" s="199">
        <f t="shared" si="26"/>
        <v>0</v>
      </c>
      <c r="ED32" s="199">
        <f t="shared" si="26"/>
        <v>0</v>
      </c>
      <c r="EE32" s="199">
        <f t="shared" si="26"/>
        <v>0</v>
      </c>
      <c r="EF32" s="199">
        <f t="shared" si="26"/>
        <v>0</v>
      </c>
      <c r="EG32" s="199">
        <f t="shared" si="26"/>
        <v>0</v>
      </c>
      <c r="EH32" s="199">
        <f t="shared" si="26"/>
        <v>0</v>
      </c>
      <c r="EI32" s="199">
        <f t="shared" si="26"/>
        <v>0</v>
      </c>
      <c r="EJ32" s="199">
        <f t="shared" si="26"/>
        <v>0</v>
      </c>
      <c r="EK32" s="199">
        <f t="shared" si="26"/>
        <v>0</v>
      </c>
      <c r="EL32" s="199">
        <f t="shared" si="26"/>
        <v>0</v>
      </c>
      <c r="EM32" s="199">
        <f t="shared" si="26"/>
        <v>0</v>
      </c>
      <c r="EN32" s="199">
        <f t="shared" si="26"/>
        <v>0</v>
      </c>
      <c r="EO32" s="199">
        <f t="shared" si="26"/>
        <v>0</v>
      </c>
      <c r="EP32" s="199">
        <f t="shared" si="26"/>
        <v>0</v>
      </c>
      <c r="EQ32" s="199">
        <f t="shared" si="26"/>
        <v>0</v>
      </c>
      <c r="ER32" s="199">
        <f t="shared" si="26"/>
        <v>0</v>
      </c>
      <c r="ES32" s="199">
        <f t="shared" si="26"/>
        <v>0</v>
      </c>
      <c r="ET32" s="199">
        <f t="shared" si="26"/>
        <v>0</v>
      </c>
      <c r="EU32" s="199">
        <f t="shared" si="26"/>
        <v>0</v>
      </c>
      <c r="EV32" s="199">
        <f t="shared" si="26"/>
        <v>0</v>
      </c>
      <c r="EW32" s="199">
        <f t="shared" si="26"/>
        <v>0</v>
      </c>
      <c r="EX32" s="199">
        <f t="shared" si="26"/>
        <v>0</v>
      </c>
      <c r="EY32" s="199">
        <f t="shared" si="26"/>
        <v>0</v>
      </c>
      <c r="EZ32" s="199">
        <f t="shared" si="26"/>
        <v>0</v>
      </c>
      <c r="FA32" s="199">
        <f t="shared" si="26"/>
        <v>0</v>
      </c>
      <c r="FB32" s="199">
        <f t="shared" si="26"/>
        <v>0</v>
      </c>
      <c r="FC32" s="199">
        <f t="shared" si="26"/>
        <v>0</v>
      </c>
      <c r="FD32" s="199">
        <f t="shared" si="26"/>
        <v>0</v>
      </c>
      <c r="FE32" s="199">
        <f t="shared" si="26"/>
        <v>0</v>
      </c>
      <c r="FF32" s="199">
        <f t="shared" si="26"/>
        <v>0</v>
      </c>
      <c r="FG32" s="199">
        <f t="shared" si="26"/>
        <v>0</v>
      </c>
      <c r="FH32" s="199">
        <f t="shared" si="26"/>
        <v>0</v>
      </c>
      <c r="FI32" s="199">
        <f t="shared" si="26"/>
        <v>0</v>
      </c>
      <c r="FJ32" s="199">
        <f t="shared" si="26"/>
        <v>0</v>
      </c>
      <c r="FK32" s="199">
        <f t="shared" si="26"/>
        <v>1939238</v>
      </c>
      <c r="FL32" s="199">
        <f t="shared" si="26"/>
        <v>0</v>
      </c>
      <c r="FM32" s="199">
        <f t="shared" si="26"/>
        <v>0</v>
      </c>
      <c r="FN32" s="199">
        <f t="shared" si="26"/>
        <v>132102</v>
      </c>
      <c r="FO32" s="199">
        <f t="shared" si="26"/>
        <v>0</v>
      </c>
      <c r="FP32" s="199">
        <f t="shared" si="26"/>
        <v>223754</v>
      </c>
      <c r="FQ32" s="199">
        <f t="shared" si="26"/>
        <v>0</v>
      </c>
      <c r="FR32" s="199">
        <f t="shared" si="26"/>
        <v>0</v>
      </c>
      <c r="FS32" s="199">
        <f t="shared" si="26"/>
        <v>0</v>
      </c>
      <c r="FT32" s="199">
        <f t="shared" si="26"/>
        <v>0</v>
      </c>
      <c r="FU32" s="199">
        <f t="shared" si="26"/>
        <v>0</v>
      </c>
      <c r="FV32" s="199">
        <f t="shared" si="26"/>
        <v>0</v>
      </c>
      <c r="FW32" s="199">
        <f t="shared" si="26"/>
        <v>0</v>
      </c>
      <c r="FX32" s="199">
        <f t="shared" si="26"/>
        <v>0</v>
      </c>
      <c r="FY32" s="199">
        <f t="shared" si="26"/>
        <v>0</v>
      </c>
      <c r="FZ32" s="199">
        <f t="shared" si="26"/>
        <v>0</v>
      </c>
      <c r="GA32" s="199">
        <f t="shared" si="26"/>
        <v>0</v>
      </c>
      <c r="GB32" s="199">
        <f t="shared" si="26"/>
        <v>0</v>
      </c>
      <c r="GC32" s="199">
        <f t="shared" si="26"/>
        <v>0</v>
      </c>
      <c r="GD32" s="199">
        <f t="shared" si="26"/>
        <v>0</v>
      </c>
      <c r="GE32" s="199">
        <f t="shared" si="26"/>
        <v>0</v>
      </c>
      <c r="GF32" s="199">
        <f t="shared" si="26"/>
        <v>0</v>
      </c>
      <c r="GG32" s="199">
        <f t="shared" si="26"/>
        <v>0</v>
      </c>
      <c r="GH32" s="199">
        <f t="shared" si="26"/>
        <v>0</v>
      </c>
      <c r="GI32" s="199">
        <f t="shared" si="26"/>
        <v>0</v>
      </c>
      <c r="GJ32" s="199">
        <f t="shared" si="26"/>
        <v>0</v>
      </c>
      <c r="GK32" s="199">
        <f t="shared" si="26"/>
        <v>0</v>
      </c>
      <c r="GL32" s="199">
        <f t="shared" si="26"/>
        <v>0</v>
      </c>
      <c r="GM32" s="199">
        <f t="shared" si="26"/>
        <v>0</v>
      </c>
      <c r="GN32" s="199">
        <f t="shared" ref="GN32:IY32" si="27">GN16+GN17</f>
        <v>0</v>
      </c>
      <c r="GO32" s="199">
        <f t="shared" si="27"/>
        <v>0</v>
      </c>
      <c r="GP32" s="199">
        <f t="shared" si="27"/>
        <v>0</v>
      </c>
      <c r="GQ32" s="199">
        <f t="shared" si="27"/>
        <v>0</v>
      </c>
      <c r="GR32" s="199">
        <f t="shared" si="27"/>
        <v>0</v>
      </c>
      <c r="GS32" s="199">
        <f t="shared" si="27"/>
        <v>0</v>
      </c>
      <c r="GT32" s="199">
        <f t="shared" si="27"/>
        <v>0</v>
      </c>
      <c r="GU32" s="199">
        <f t="shared" si="27"/>
        <v>0</v>
      </c>
      <c r="GV32" s="199">
        <f t="shared" si="27"/>
        <v>100</v>
      </c>
      <c r="GW32" s="199">
        <f t="shared" si="27"/>
        <v>0</v>
      </c>
      <c r="GX32" s="199">
        <f t="shared" si="27"/>
        <v>0</v>
      </c>
      <c r="GY32" s="199">
        <f t="shared" si="27"/>
        <v>56413694</v>
      </c>
      <c r="GZ32" s="199">
        <f t="shared" si="27"/>
        <v>0</v>
      </c>
      <c r="HA32" s="199">
        <f t="shared" si="27"/>
        <v>0</v>
      </c>
      <c r="HB32" s="199">
        <f t="shared" si="27"/>
        <v>0</v>
      </c>
      <c r="HC32" s="199">
        <f t="shared" si="27"/>
        <v>0</v>
      </c>
      <c r="HD32" s="199">
        <f t="shared" si="27"/>
        <v>4032899</v>
      </c>
      <c r="HE32" s="199">
        <f t="shared" si="27"/>
        <v>0</v>
      </c>
      <c r="HF32" s="199">
        <f t="shared" si="27"/>
        <v>0</v>
      </c>
      <c r="HG32" s="199">
        <f t="shared" si="27"/>
        <v>448347</v>
      </c>
      <c r="HH32" s="199">
        <f t="shared" si="27"/>
        <v>0</v>
      </c>
      <c r="HI32" s="199">
        <f t="shared" si="27"/>
        <v>0</v>
      </c>
      <c r="HJ32" s="199">
        <f t="shared" si="27"/>
        <v>7481524</v>
      </c>
      <c r="HK32" s="199">
        <f t="shared" si="27"/>
        <v>2327053</v>
      </c>
      <c r="HL32" s="199">
        <f t="shared" si="27"/>
        <v>0</v>
      </c>
      <c r="HM32" s="199">
        <f t="shared" si="27"/>
        <v>0</v>
      </c>
      <c r="HN32" s="199">
        <f t="shared" si="27"/>
        <v>0</v>
      </c>
      <c r="HO32" s="199">
        <f t="shared" si="27"/>
        <v>0</v>
      </c>
      <c r="HP32" s="199">
        <f t="shared" si="27"/>
        <v>0</v>
      </c>
      <c r="HQ32" s="199">
        <f t="shared" si="27"/>
        <v>0</v>
      </c>
      <c r="HR32" s="199">
        <f t="shared" si="27"/>
        <v>0</v>
      </c>
      <c r="HS32" s="199">
        <f t="shared" si="27"/>
        <v>0</v>
      </c>
      <c r="HT32" s="199">
        <f t="shared" si="27"/>
        <v>0</v>
      </c>
      <c r="HU32" s="199">
        <f t="shared" si="27"/>
        <v>0</v>
      </c>
      <c r="HV32" s="199">
        <f t="shared" si="27"/>
        <v>571209</v>
      </c>
      <c r="HW32" s="199">
        <f t="shared" si="27"/>
        <v>95292</v>
      </c>
      <c r="HX32" s="199">
        <f t="shared" si="27"/>
        <v>0</v>
      </c>
      <c r="HY32" s="199">
        <f t="shared" si="27"/>
        <v>0</v>
      </c>
      <c r="HZ32" s="199">
        <f t="shared" si="27"/>
        <v>0</v>
      </c>
      <c r="IA32" s="199">
        <f t="shared" si="27"/>
        <v>0</v>
      </c>
      <c r="IB32" s="199">
        <f t="shared" si="27"/>
        <v>0</v>
      </c>
      <c r="IC32" s="199">
        <f t="shared" si="27"/>
        <v>0</v>
      </c>
      <c r="ID32" s="199">
        <f t="shared" si="27"/>
        <v>0</v>
      </c>
      <c r="IE32" s="199">
        <f t="shared" si="27"/>
        <v>0</v>
      </c>
      <c r="IF32" s="199">
        <f t="shared" si="27"/>
        <v>0</v>
      </c>
      <c r="IG32" s="199">
        <f t="shared" si="27"/>
        <v>0</v>
      </c>
      <c r="IH32" s="199">
        <f t="shared" si="27"/>
        <v>0</v>
      </c>
      <c r="II32" s="199">
        <f t="shared" si="27"/>
        <v>0</v>
      </c>
      <c r="IJ32" s="199">
        <f t="shared" si="27"/>
        <v>0</v>
      </c>
      <c r="IK32" s="199">
        <f t="shared" si="27"/>
        <v>64063</v>
      </c>
      <c r="IL32" s="199">
        <f t="shared" si="27"/>
        <v>0</v>
      </c>
      <c r="IM32" s="199">
        <f t="shared" si="27"/>
        <v>0</v>
      </c>
      <c r="IN32" s="199">
        <f t="shared" si="27"/>
        <v>335286</v>
      </c>
      <c r="IO32" s="199">
        <f t="shared" si="27"/>
        <v>0</v>
      </c>
      <c r="IP32" s="199">
        <f t="shared" si="27"/>
        <v>0</v>
      </c>
      <c r="IQ32" s="199">
        <f t="shared" si="27"/>
        <v>0</v>
      </c>
      <c r="IR32" s="199">
        <f t="shared" si="27"/>
        <v>0</v>
      </c>
      <c r="IS32" s="199">
        <f t="shared" si="27"/>
        <v>0</v>
      </c>
      <c r="IT32" s="199">
        <f t="shared" si="27"/>
        <v>0</v>
      </c>
      <c r="IU32" s="199">
        <f t="shared" si="27"/>
        <v>0</v>
      </c>
      <c r="IV32" s="199">
        <f t="shared" si="27"/>
        <v>0</v>
      </c>
      <c r="IW32" s="199">
        <f t="shared" si="27"/>
        <v>0</v>
      </c>
      <c r="IX32" s="199">
        <f t="shared" si="27"/>
        <v>0</v>
      </c>
      <c r="IY32" s="199">
        <f t="shared" si="27"/>
        <v>0</v>
      </c>
      <c r="IZ32" s="199">
        <f t="shared" ref="IZ32:LK32" si="28">IZ16+IZ17</f>
        <v>896507</v>
      </c>
      <c r="JA32" s="199">
        <f t="shared" si="28"/>
        <v>0</v>
      </c>
      <c r="JB32" s="199">
        <f t="shared" si="28"/>
        <v>213627</v>
      </c>
      <c r="JC32" s="199">
        <f t="shared" si="28"/>
        <v>0</v>
      </c>
      <c r="JD32" s="199">
        <f t="shared" si="28"/>
        <v>0</v>
      </c>
      <c r="JE32" s="199">
        <f t="shared" si="28"/>
        <v>1358665</v>
      </c>
      <c r="JF32" s="199">
        <f t="shared" si="28"/>
        <v>0</v>
      </c>
      <c r="JG32" s="199">
        <f t="shared" si="28"/>
        <v>0</v>
      </c>
      <c r="JH32" s="199">
        <f t="shared" si="28"/>
        <v>0</v>
      </c>
      <c r="JI32" s="199">
        <f t="shared" si="28"/>
        <v>30000</v>
      </c>
      <c r="JJ32" s="199">
        <f t="shared" si="28"/>
        <v>120500</v>
      </c>
      <c r="JK32" s="199">
        <f t="shared" si="28"/>
        <v>0</v>
      </c>
      <c r="JL32" s="199">
        <f t="shared" si="28"/>
        <v>0</v>
      </c>
      <c r="JM32" s="199">
        <f t="shared" si="28"/>
        <v>0</v>
      </c>
      <c r="JN32" s="199">
        <f t="shared" si="28"/>
        <v>0</v>
      </c>
      <c r="JO32" s="199">
        <f t="shared" si="28"/>
        <v>0</v>
      </c>
      <c r="JP32" s="199">
        <f t="shared" si="28"/>
        <v>390022</v>
      </c>
      <c r="JQ32" s="199">
        <f t="shared" si="28"/>
        <v>0</v>
      </c>
      <c r="JR32" s="199">
        <f t="shared" si="28"/>
        <v>0</v>
      </c>
      <c r="JS32" s="199">
        <f t="shared" si="28"/>
        <v>227555</v>
      </c>
      <c r="JT32" s="199">
        <f t="shared" si="28"/>
        <v>6998</v>
      </c>
      <c r="JU32" s="199">
        <f t="shared" si="28"/>
        <v>0</v>
      </c>
      <c r="JV32" s="199">
        <f t="shared" si="28"/>
        <v>0</v>
      </c>
      <c r="JW32" s="199">
        <f t="shared" si="28"/>
        <v>0</v>
      </c>
      <c r="JX32" s="199">
        <f t="shared" si="28"/>
        <v>0</v>
      </c>
      <c r="JY32" s="199">
        <f t="shared" si="28"/>
        <v>0</v>
      </c>
      <c r="JZ32" s="199">
        <f t="shared" si="28"/>
        <v>0</v>
      </c>
      <c r="KA32" s="199">
        <f t="shared" si="28"/>
        <v>0</v>
      </c>
      <c r="KB32" s="199">
        <f t="shared" si="28"/>
        <v>0</v>
      </c>
      <c r="KC32" s="199">
        <f t="shared" si="28"/>
        <v>3025407</v>
      </c>
      <c r="KD32" s="199">
        <f t="shared" si="28"/>
        <v>0</v>
      </c>
      <c r="KE32" s="199">
        <f t="shared" si="28"/>
        <v>0</v>
      </c>
      <c r="KF32" s="199">
        <f t="shared" si="28"/>
        <v>0</v>
      </c>
      <c r="KG32" s="199">
        <f t="shared" si="28"/>
        <v>0</v>
      </c>
      <c r="KH32" s="199">
        <f t="shared" si="28"/>
        <v>0</v>
      </c>
      <c r="KI32" s="199">
        <f t="shared" si="28"/>
        <v>0</v>
      </c>
      <c r="KJ32" s="199">
        <f t="shared" si="28"/>
        <v>0</v>
      </c>
      <c r="KK32" s="199">
        <f t="shared" si="28"/>
        <v>0</v>
      </c>
      <c r="KL32" s="199">
        <f t="shared" si="28"/>
        <v>0</v>
      </c>
      <c r="KM32" s="199">
        <f t="shared" si="28"/>
        <v>0</v>
      </c>
      <c r="KN32" s="199">
        <f t="shared" si="28"/>
        <v>0</v>
      </c>
      <c r="KO32" s="199">
        <f t="shared" si="28"/>
        <v>0</v>
      </c>
      <c r="KP32" s="199">
        <f t="shared" si="28"/>
        <v>0</v>
      </c>
      <c r="KQ32" s="199">
        <f t="shared" si="28"/>
        <v>0</v>
      </c>
      <c r="KR32" s="199">
        <f t="shared" si="28"/>
        <v>0</v>
      </c>
      <c r="KS32" s="199">
        <f t="shared" si="28"/>
        <v>0</v>
      </c>
      <c r="KT32" s="199">
        <f t="shared" si="28"/>
        <v>0</v>
      </c>
      <c r="KU32" s="199">
        <f t="shared" si="28"/>
        <v>0</v>
      </c>
      <c r="KV32" s="199">
        <f t="shared" si="28"/>
        <v>0</v>
      </c>
      <c r="KW32" s="199">
        <f t="shared" si="28"/>
        <v>0</v>
      </c>
      <c r="KX32" s="199">
        <f t="shared" si="28"/>
        <v>0</v>
      </c>
      <c r="KY32" s="199">
        <f t="shared" si="28"/>
        <v>0</v>
      </c>
      <c r="KZ32" s="199">
        <f t="shared" si="28"/>
        <v>0</v>
      </c>
      <c r="LA32" s="199">
        <f t="shared" si="28"/>
        <v>115409</v>
      </c>
      <c r="LB32" s="199">
        <f t="shared" si="28"/>
        <v>0</v>
      </c>
      <c r="LC32" s="199">
        <f t="shared" si="28"/>
        <v>0</v>
      </c>
      <c r="LD32" s="199">
        <f t="shared" si="28"/>
        <v>0</v>
      </c>
      <c r="LE32" s="199">
        <f t="shared" si="28"/>
        <v>0</v>
      </c>
      <c r="LF32" s="199">
        <f t="shared" si="28"/>
        <v>89300</v>
      </c>
      <c r="LG32" s="199">
        <f t="shared" si="28"/>
        <v>0</v>
      </c>
      <c r="LH32" s="199">
        <f t="shared" si="28"/>
        <v>0</v>
      </c>
      <c r="LI32" s="199">
        <f t="shared" si="28"/>
        <v>0</v>
      </c>
      <c r="LJ32" s="199">
        <f t="shared" si="28"/>
        <v>0</v>
      </c>
      <c r="LK32" s="199">
        <f t="shared" si="28"/>
        <v>0</v>
      </c>
      <c r="LL32" s="199">
        <f t="shared" ref="LL32:NW32" si="29">LL16+LL17</f>
        <v>0</v>
      </c>
      <c r="LM32" s="199">
        <f t="shared" si="29"/>
        <v>0</v>
      </c>
      <c r="LN32" s="199">
        <f t="shared" si="29"/>
        <v>0</v>
      </c>
      <c r="LO32" s="199">
        <f t="shared" si="29"/>
        <v>0</v>
      </c>
      <c r="LP32" s="199">
        <f t="shared" si="29"/>
        <v>5686506</v>
      </c>
      <c r="LQ32" s="199">
        <f t="shared" si="29"/>
        <v>188759</v>
      </c>
      <c r="LR32" s="199">
        <f t="shared" si="29"/>
        <v>0</v>
      </c>
      <c r="LS32" s="199">
        <f t="shared" si="29"/>
        <v>100110</v>
      </c>
      <c r="LT32" s="199">
        <f t="shared" si="29"/>
        <v>0</v>
      </c>
      <c r="LU32" s="199">
        <f t="shared" si="29"/>
        <v>0</v>
      </c>
      <c r="LV32" s="199">
        <f t="shared" si="29"/>
        <v>0</v>
      </c>
      <c r="LW32" s="199">
        <f t="shared" si="29"/>
        <v>0</v>
      </c>
      <c r="LX32" s="199">
        <f t="shared" si="29"/>
        <v>0</v>
      </c>
      <c r="LY32" s="199">
        <f t="shared" si="29"/>
        <v>0</v>
      </c>
      <c r="LZ32" s="199">
        <f t="shared" si="29"/>
        <v>0</v>
      </c>
      <c r="MA32" s="199">
        <f t="shared" si="29"/>
        <v>0</v>
      </c>
      <c r="MB32" s="199">
        <f t="shared" si="29"/>
        <v>0</v>
      </c>
      <c r="MC32" s="199">
        <f t="shared" si="29"/>
        <v>0</v>
      </c>
      <c r="MD32" s="199">
        <f t="shared" si="29"/>
        <v>522651</v>
      </c>
      <c r="ME32" s="199">
        <f t="shared" si="29"/>
        <v>0</v>
      </c>
      <c r="MF32" s="199">
        <f t="shared" si="29"/>
        <v>0</v>
      </c>
      <c r="MG32" s="199">
        <f t="shared" si="29"/>
        <v>0</v>
      </c>
      <c r="MH32" s="199">
        <f t="shared" si="29"/>
        <v>0</v>
      </c>
      <c r="MI32" s="199">
        <f t="shared" si="29"/>
        <v>0</v>
      </c>
      <c r="MJ32" s="199">
        <f t="shared" si="29"/>
        <v>264909</v>
      </c>
      <c r="MK32" s="199">
        <f t="shared" si="29"/>
        <v>0</v>
      </c>
      <c r="ML32" s="199">
        <f t="shared" si="29"/>
        <v>0</v>
      </c>
      <c r="MM32" s="199">
        <f t="shared" si="29"/>
        <v>0</v>
      </c>
      <c r="MN32" s="199">
        <f t="shared" si="29"/>
        <v>0</v>
      </c>
      <c r="MO32" s="199">
        <f t="shared" si="29"/>
        <v>0</v>
      </c>
      <c r="MP32" s="199">
        <f t="shared" si="29"/>
        <v>0</v>
      </c>
      <c r="MQ32" s="199">
        <f t="shared" si="29"/>
        <v>5979917</v>
      </c>
      <c r="MR32" s="199">
        <f t="shared" si="29"/>
        <v>0</v>
      </c>
      <c r="MS32" s="199">
        <f t="shared" si="29"/>
        <v>0</v>
      </c>
      <c r="MT32" s="199">
        <f t="shared" si="29"/>
        <v>2613698</v>
      </c>
      <c r="MU32" s="199">
        <f t="shared" si="29"/>
        <v>59856</v>
      </c>
      <c r="MV32" s="199">
        <f t="shared" si="29"/>
        <v>0</v>
      </c>
      <c r="MW32" s="199">
        <f t="shared" si="29"/>
        <v>0</v>
      </c>
      <c r="MX32" s="199">
        <f t="shared" si="29"/>
        <v>0</v>
      </c>
      <c r="MY32" s="199">
        <f t="shared" si="29"/>
        <v>0</v>
      </c>
      <c r="MZ32" s="199">
        <f t="shared" si="29"/>
        <v>0</v>
      </c>
      <c r="NA32" s="199">
        <f t="shared" si="29"/>
        <v>0</v>
      </c>
      <c r="NB32" s="199">
        <f t="shared" si="29"/>
        <v>0</v>
      </c>
      <c r="NC32" s="199">
        <f t="shared" si="29"/>
        <v>0</v>
      </c>
      <c r="ND32" s="199">
        <f t="shared" si="29"/>
        <v>0</v>
      </c>
      <c r="NE32" s="199">
        <f t="shared" si="29"/>
        <v>0</v>
      </c>
      <c r="NF32" s="199">
        <f t="shared" si="29"/>
        <v>0</v>
      </c>
      <c r="NG32" s="199">
        <f t="shared" si="29"/>
        <v>0</v>
      </c>
      <c r="NH32" s="199">
        <f t="shared" si="29"/>
        <v>0</v>
      </c>
      <c r="NI32" s="199">
        <f t="shared" si="29"/>
        <v>0</v>
      </c>
      <c r="NJ32" s="199">
        <f t="shared" si="29"/>
        <v>0</v>
      </c>
      <c r="NK32" s="199">
        <f t="shared" si="29"/>
        <v>0</v>
      </c>
      <c r="NL32" s="199">
        <f t="shared" si="29"/>
        <v>0</v>
      </c>
      <c r="NM32" s="199">
        <f t="shared" si="29"/>
        <v>0</v>
      </c>
      <c r="NN32" s="199">
        <f t="shared" si="29"/>
        <v>0</v>
      </c>
      <c r="NO32" s="199">
        <f t="shared" si="29"/>
        <v>0</v>
      </c>
      <c r="NP32" s="199">
        <f t="shared" si="29"/>
        <v>0</v>
      </c>
      <c r="NQ32" s="199">
        <f t="shared" si="29"/>
        <v>0</v>
      </c>
      <c r="NR32" s="199">
        <f t="shared" si="29"/>
        <v>15587</v>
      </c>
      <c r="NS32" s="199">
        <f t="shared" si="29"/>
        <v>0</v>
      </c>
      <c r="NT32" s="199">
        <f t="shared" si="29"/>
        <v>0</v>
      </c>
      <c r="NU32" s="199">
        <f t="shared" si="29"/>
        <v>0</v>
      </c>
      <c r="NV32" s="199">
        <f t="shared" si="29"/>
        <v>0</v>
      </c>
      <c r="NW32" s="199">
        <f t="shared" si="29"/>
        <v>0</v>
      </c>
      <c r="NX32" s="199">
        <f t="shared" ref="NX32:QI32" si="30">NX16+NX17</f>
        <v>0</v>
      </c>
      <c r="NY32" s="199">
        <f t="shared" si="30"/>
        <v>0</v>
      </c>
      <c r="NZ32" s="199">
        <f t="shared" si="30"/>
        <v>0</v>
      </c>
      <c r="OA32" s="199">
        <f t="shared" si="30"/>
        <v>0</v>
      </c>
      <c r="OB32" s="199">
        <f t="shared" si="30"/>
        <v>0</v>
      </c>
      <c r="OC32" s="199">
        <f t="shared" si="30"/>
        <v>0</v>
      </c>
      <c r="OD32" s="199">
        <f t="shared" si="30"/>
        <v>0</v>
      </c>
      <c r="OE32" s="199">
        <f t="shared" si="30"/>
        <v>0</v>
      </c>
      <c r="OF32" s="199">
        <f t="shared" si="30"/>
        <v>15923</v>
      </c>
      <c r="OG32" s="199">
        <f t="shared" si="30"/>
        <v>0</v>
      </c>
      <c r="OH32" s="199">
        <f t="shared" si="30"/>
        <v>0</v>
      </c>
      <c r="OI32" s="199">
        <f t="shared" si="30"/>
        <v>0</v>
      </c>
      <c r="OJ32" s="199">
        <f t="shared" si="30"/>
        <v>0</v>
      </c>
      <c r="OK32" s="199">
        <f t="shared" si="30"/>
        <v>0</v>
      </c>
      <c r="OL32" s="199">
        <f t="shared" si="30"/>
        <v>0</v>
      </c>
      <c r="OM32" s="199">
        <f t="shared" si="30"/>
        <v>0</v>
      </c>
      <c r="ON32" s="199">
        <f t="shared" si="30"/>
        <v>0</v>
      </c>
      <c r="OO32" s="199">
        <f t="shared" si="30"/>
        <v>0</v>
      </c>
      <c r="OP32" s="199">
        <f t="shared" si="30"/>
        <v>0</v>
      </c>
      <c r="OQ32" s="199">
        <f t="shared" si="30"/>
        <v>0</v>
      </c>
      <c r="OR32" s="199">
        <f t="shared" si="30"/>
        <v>0</v>
      </c>
      <c r="OS32" s="199">
        <f t="shared" si="30"/>
        <v>0</v>
      </c>
      <c r="OT32" s="199">
        <f t="shared" si="30"/>
        <v>0</v>
      </c>
      <c r="OU32" s="199">
        <f t="shared" si="30"/>
        <v>0</v>
      </c>
      <c r="OV32" s="199">
        <f t="shared" si="30"/>
        <v>0</v>
      </c>
      <c r="OW32" s="199">
        <f t="shared" si="30"/>
        <v>0</v>
      </c>
      <c r="OX32" s="199">
        <f t="shared" si="30"/>
        <v>0</v>
      </c>
      <c r="OY32" s="199">
        <f t="shared" si="30"/>
        <v>308157</v>
      </c>
      <c r="OZ32" s="199">
        <f t="shared" si="30"/>
        <v>0</v>
      </c>
      <c r="PA32" s="199">
        <f t="shared" si="30"/>
        <v>0</v>
      </c>
      <c r="PB32" s="199">
        <f t="shared" si="30"/>
        <v>0</v>
      </c>
      <c r="PC32" s="199">
        <f t="shared" si="30"/>
        <v>0</v>
      </c>
      <c r="PD32" s="199">
        <f t="shared" si="30"/>
        <v>0</v>
      </c>
      <c r="PE32" s="199">
        <f t="shared" si="30"/>
        <v>0</v>
      </c>
      <c r="PF32" s="199">
        <f t="shared" si="30"/>
        <v>0</v>
      </c>
      <c r="PG32" s="199">
        <f t="shared" si="30"/>
        <v>0</v>
      </c>
      <c r="PH32" s="199">
        <f t="shared" si="30"/>
        <v>0</v>
      </c>
      <c r="PI32" s="199">
        <f t="shared" si="30"/>
        <v>0</v>
      </c>
      <c r="PJ32" s="199">
        <f t="shared" si="30"/>
        <v>0</v>
      </c>
      <c r="PK32" s="199">
        <f t="shared" si="30"/>
        <v>0</v>
      </c>
      <c r="PL32" s="199">
        <f t="shared" si="30"/>
        <v>0</v>
      </c>
      <c r="PM32" s="199">
        <f t="shared" si="30"/>
        <v>0</v>
      </c>
      <c r="PN32" s="199">
        <f t="shared" si="30"/>
        <v>0</v>
      </c>
      <c r="PO32" s="199">
        <f t="shared" si="30"/>
        <v>0</v>
      </c>
      <c r="PP32" s="199">
        <f t="shared" si="30"/>
        <v>0</v>
      </c>
      <c r="PQ32" s="199">
        <f t="shared" si="30"/>
        <v>0</v>
      </c>
      <c r="PR32" s="199">
        <f t="shared" si="30"/>
        <v>0</v>
      </c>
      <c r="PS32" s="199">
        <f t="shared" si="30"/>
        <v>0</v>
      </c>
      <c r="PT32" s="199">
        <f t="shared" si="30"/>
        <v>0</v>
      </c>
      <c r="PU32" s="199">
        <f t="shared" si="30"/>
        <v>0</v>
      </c>
      <c r="PV32" s="199">
        <f t="shared" si="30"/>
        <v>0</v>
      </c>
      <c r="PW32" s="199">
        <f t="shared" si="30"/>
        <v>0</v>
      </c>
      <c r="PX32" s="199">
        <f t="shared" si="30"/>
        <v>0</v>
      </c>
      <c r="PY32" s="199">
        <f t="shared" si="30"/>
        <v>0</v>
      </c>
      <c r="PZ32" s="199">
        <f t="shared" si="30"/>
        <v>0</v>
      </c>
      <c r="QA32" s="199">
        <f t="shared" si="30"/>
        <v>0</v>
      </c>
      <c r="QB32" s="199">
        <f t="shared" si="30"/>
        <v>0</v>
      </c>
      <c r="QC32" s="199">
        <f t="shared" si="30"/>
        <v>0</v>
      </c>
      <c r="QD32" s="199">
        <f t="shared" si="30"/>
        <v>0</v>
      </c>
      <c r="QE32" s="199">
        <f t="shared" si="30"/>
        <v>0</v>
      </c>
      <c r="QF32" s="199">
        <f t="shared" si="30"/>
        <v>0</v>
      </c>
      <c r="QG32" s="199">
        <f t="shared" si="30"/>
        <v>0</v>
      </c>
      <c r="QH32" s="199">
        <f t="shared" si="30"/>
        <v>0</v>
      </c>
      <c r="QI32" s="199">
        <f t="shared" si="30"/>
        <v>112228</v>
      </c>
      <c r="QJ32" s="199">
        <f t="shared" ref="QJ32:QR32" si="31">QJ16+QJ17</f>
        <v>736311</v>
      </c>
      <c r="QK32" s="199">
        <f t="shared" si="31"/>
        <v>0</v>
      </c>
      <c r="QL32" s="199">
        <f t="shared" si="31"/>
        <v>0</v>
      </c>
      <c r="QM32" s="199">
        <f t="shared" si="31"/>
        <v>0</v>
      </c>
      <c r="QN32" s="199">
        <f t="shared" si="31"/>
        <v>0</v>
      </c>
      <c r="QO32" s="199">
        <f t="shared" si="31"/>
        <v>0</v>
      </c>
      <c r="QP32" s="199">
        <f t="shared" si="31"/>
        <v>0</v>
      </c>
      <c r="QQ32" s="199">
        <f t="shared" si="31"/>
        <v>0</v>
      </c>
      <c r="QR32" s="199">
        <f t="shared" si="31"/>
        <v>0</v>
      </c>
    </row>
    <row r="33" spans="1:460">
      <c r="A33" s="133">
        <f>A18</f>
        <v>139</v>
      </c>
      <c r="B33" s="133" t="str">
        <f>B18</f>
        <v>Vallivue</v>
      </c>
      <c r="C33" s="199">
        <f>C18+C19</f>
        <v>0</v>
      </c>
      <c r="D33" s="199">
        <f t="shared" ref="D33:BO33" si="32">D18+D19</f>
        <v>0</v>
      </c>
      <c r="E33" s="199">
        <f t="shared" si="32"/>
        <v>0</v>
      </c>
      <c r="F33" s="199">
        <f t="shared" si="32"/>
        <v>0</v>
      </c>
      <c r="G33" s="199">
        <f t="shared" si="32"/>
        <v>4566636</v>
      </c>
      <c r="H33" s="199">
        <f t="shared" si="32"/>
        <v>0</v>
      </c>
      <c r="I33" s="199">
        <f t="shared" si="32"/>
        <v>192</v>
      </c>
      <c r="J33" s="199">
        <f t="shared" si="32"/>
        <v>1253</v>
      </c>
      <c r="K33" s="199">
        <f t="shared" si="32"/>
        <v>0</v>
      </c>
      <c r="L33" s="199">
        <f t="shared" si="32"/>
        <v>0</v>
      </c>
      <c r="M33" s="199">
        <f t="shared" si="32"/>
        <v>0</v>
      </c>
      <c r="N33" s="199">
        <f t="shared" si="32"/>
        <v>0</v>
      </c>
      <c r="O33" s="199">
        <f t="shared" si="32"/>
        <v>0</v>
      </c>
      <c r="P33" s="199">
        <f t="shared" si="32"/>
        <v>0</v>
      </c>
      <c r="Q33" s="199">
        <f t="shared" si="32"/>
        <v>0</v>
      </c>
      <c r="R33" s="199">
        <f t="shared" si="32"/>
        <v>0</v>
      </c>
      <c r="S33" s="199">
        <f t="shared" si="32"/>
        <v>1015365</v>
      </c>
      <c r="T33" s="199">
        <f t="shared" si="32"/>
        <v>0</v>
      </c>
      <c r="U33" s="199">
        <f t="shared" si="32"/>
        <v>0</v>
      </c>
      <c r="V33" s="199">
        <f t="shared" si="32"/>
        <v>5904243</v>
      </c>
      <c r="W33" s="199">
        <f t="shared" si="32"/>
        <v>22829</v>
      </c>
      <c r="X33" s="199">
        <f t="shared" si="32"/>
        <v>0</v>
      </c>
      <c r="Y33" s="199">
        <f t="shared" si="32"/>
        <v>26201</v>
      </c>
      <c r="Z33" s="199">
        <f t="shared" si="32"/>
        <v>5048</v>
      </c>
      <c r="AA33" s="199">
        <f t="shared" si="32"/>
        <v>0</v>
      </c>
      <c r="AB33" s="199">
        <f t="shared" si="32"/>
        <v>0</v>
      </c>
      <c r="AC33" s="199">
        <f t="shared" si="32"/>
        <v>28141</v>
      </c>
      <c r="AD33" s="199">
        <f t="shared" si="32"/>
        <v>0</v>
      </c>
      <c r="AE33" s="199">
        <f t="shared" si="32"/>
        <v>0</v>
      </c>
      <c r="AF33" s="199">
        <f t="shared" si="32"/>
        <v>0</v>
      </c>
      <c r="AG33" s="199">
        <f t="shared" si="32"/>
        <v>0</v>
      </c>
      <c r="AH33" s="199">
        <f t="shared" si="32"/>
        <v>0</v>
      </c>
      <c r="AI33" s="199">
        <f t="shared" si="32"/>
        <v>0</v>
      </c>
      <c r="AJ33" s="199">
        <f t="shared" si="32"/>
        <v>20818</v>
      </c>
      <c r="AK33" s="199">
        <f t="shared" si="32"/>
        <v>0</v>
      </c>
      <c r="AL33" s="199">
        <f t="shared" si="32"/>
        <v>3</v>
      </c>
      <c r="AM33" s="199">
        <f t="shared" si="32"/>
        <v>0</v>
      </c>
      <c r="AN33" s="199">
        <f t="shared" si="32"/>
        <v>0</v>
      </c>
      <c r="AO33" s="199">
        <f t="shared" si="32"/>
        <v>0</v>
      </c>
      <c r="AP33" s="199">
        <f t="shared" si="32"/>
        <v>0</v>
      </c>
      <c r="AQ33" s="199">
        <f t="shared" si="32"/>
        <v>0</v>
      </c>
      <c r="AR33" s="199">
        <f t="shared" si="32"/>
        <v>0</v>
      </c>
      <c r="AS33" s="199">
        <f t="shared" si="32"/>
        <v>0</v>
      </c>
      <c r="AT33" s="199">
        <f t="shared" si="32"/>
        <v>0</v>
      </c>
      <c r="AU33" s="199">
        <f t="shared" si="32"/>
        <v>0</v>
      </c>
      <c r="AV33" s="199">
        <f t="shared" si="32"/>
        <v>0</v>
      </c>
      <c r="AW33" s="199">
        <f t="shared" si="32"/>
        <v>0</v>
      </c>
      <c r="AX33" s="199">
        <f t="shared" si="32"/>
        <v>0</v>
      </c>
      <c r="AY33" s="199">
        <f t="shared" si="32"/>
        <v>0</v>
      </c>
      <c r="AZ33" s="199">
        <f t="shared" si="32"/>
        <v>0</v>
      </c>
      <c r="BA33" s="199">
        <f t="shared" si="32"/>
        <v>1</v>
      </c>
      <c r="BB33" s="199">
        <f t="shared" si="32"/>
        <v>3983</v>
      </c>
      <c r="BC33" s="199">
        <f t="shared" si="32"/>
        <v>109396</v>
      </c>
      <c r="BD33" s="199">
        <f t="shared" si="32"/>
        <v>638</v>
      </c>
      <c r="BE33" s="199">
        <f t="shared" si="32"/>
        <v>0</v>
      </c>
      <c r="BF33" s="199">
        <f t="shared" si="32"/>
        <v>0</v>
      </c>
      <c r="BG33" s="199">
        <f t="shared" si="32"/>
        <v>0</v>
      </c>
      <c r="BH33" s="199">
        <f t="shared" si="32"/>
        <v>0</v>
      </c>
      <c r="BI33" s="199">
        <f t="shared" si="32"/>
        <v>0</v>
      </c>
      <c r="BJ33" s="199">
        <f t="shared" si="32"/>
        <v>0</v>
      </c>
      <c r="BK33" s="199">
        <f t="shared" si="32"/>
        <v>6</v>
      </c>
      <c r="BL33" s="199">
        <f t="shared" si="32"/>
        <v>0</v>
      </c>
      <c r="BM33" s="199">
        <f t="shared" si="32"/>
        <v>0</v>
      </c>
      <c r="BN33" s="199">
        <f t="shared" si="32"/>
        <v>0</v>
      </c>
      <c r="BO33" s="199">
        <f t="shared" si="32"/>
        <v>0</v>
      </c>
      <c r="BP33" s="199">
        <f t="shared" ref="BP33:EA33" si="33">BP18+BP19</f>
        <v>0</v>
      </c>
      <c r="BQ33" s="199">
        <f t="shared" si="33"/>
        <v>0</v>
      </c>
      <c r="BR33" s="199">
        <f t="shared" si="33"/>
        <v>0</v>
      </c>
      <c r="BS33" s="199">
        <f t="shared" si="33"/>
        <v>0</v>
      </c>
      <c r="BT33" s="199">
        <f t="shared" si="33"/>
        <v>0</v>
      </c>
      <c r="BU33" s="199">
        <f t="shared" si="33"/>
        <v>0</v>
      </c>
      <c r="BV33" s="199">
        <f t="shared" si="33"/>
        <v>544115</v>
      </c>
      <c r="BW33" s="199">
        <f t="shared" si="33"/>
        <v>36979</v>
      </c>
      <c r="BX33" s="199">
        <f t="shared" si="33"/>
        <v>0</v>
      </c>
      <c r="BY33" s="199">
        <f t="shared" si="33"/>
        <v>0</v>
      </c>
      <c r="BZ33" s="199">
        <f t="shared" si="33"/>
        <v>119487</v>
      </c>
      <c r="CA33" s="199">
        <f t="shared" si="33"/>
        <v>0</v>
      </c>
      <c r="CB33" s="199">
        <f t="shared" si="33"/>
        <v>0</v>
      </c>
      <c r="CC33" s="199">
        <f t="shared" si="33"/>
        <v>0</v>
      </c>
      <c r="CD33" s="199">
        <f t="shared" si="33"/>
        <v>0</v>
      </c>
      <c r="CE33" s="199">
        <f t="shared" si="33"/>
        <v>0</v>
      </c>
      <c r="CF33" s="199">
        <f t="shared" si="33"/>
        <v>0</v>
      </c>
      <c r="CG33" s="199">
        <f t="shared" si="33"/>
        <v>0</v>
      </c>
      <c r="CH33" s="199">
        <f t="shared" si="33"/>
        <v>0</v>
      </c>
      <c r="CI33" s="199">
        <f t="shared" si="33"/>
        <v>0</v>
      </c>
      <c r="CJ33" s="199">
        <f t="shared" si="33"/>
        <v>0</v>
      </c>
      <c r="CK33" s="199">
        <f t="shared" si="33"/>
        <v>0</v>
      </c>
      <c r="CL33" s="199">
        <f t="shared" si="33"/>
        <v>0</v>
      </c>
      <c r="CM33" s="199">
        <f t="shared" si="33"/>
        <v>0</v>
      </c>
      <c r="CN33" s="199">
        <f t="shared" si="33"/>
        <v>0</v>
      </c>
      <c r="CO33" s="199">
        <f t="shared" si="33"/>
        <v>0</v>
      </c>
      <c r="CP33" s="199">
        <f t="shared" si="33"/>
        <v>0</v>
      </c>
      <c r="CQ33" s="199">
        <f t="shared" si="33"/>
        <v>0</v>
      </c>
      <c r="CR33" s="199">
        <f t="shared" si="33"/>
        <v>0</v>
      </c>
      <c r="CS33" s="199">
        <f t="shared" si="33"/>
        <v>0</v>
      </c>
      <c r="CT33" s="199">
        <f t="shared" si="33"/>
        <v>0</v>
      </c>
      <c r="CU33" s="199">
        <f t="shared" si="33"/>
        <v>0</v>
      </c>
      <c r="CV33" s="199">
        <f t="shared" si="33"/>
        <v>0</v>
      </c>
      <c r="CW33" s="199">
        <f t="shared" si="33"/>
        <v>0</v>
      </c>
      <c r="CX33" s="199">
        <f t="shared" si="33"/>
        <v>0</v>
      </c>
      <c r="CY33" s="199">
        <f t="shared" si="33"/>
        <v>0</v>
      </c>
      <c r="CZ33" s="199">
        <f t="shared" si="33"/>
        <v>0</v>
      </c>
      <c r="DA33" s="199">
        <f t="shared" si="33"/>
        <v>0</v>
      </c>
      <c r="DB33" s="199">
        <f t="shared" si="33"/>
        <v>0</v>
      </c>
      <c r="DC33" s="199">
        <f t="shared" si="33"/>
        <v>0</v>
      </c>
      <c r="DD33" s="199">
        <f t="shared" si="33"/>
        <v>0</v>
      </c>
      <c r="DE33" s="199">
        <f t="shared" si="33"/>
        <v>0</v>
      </c>
      <c r="DF33" s="199">
        <f t="shared" si="33"/>
        <v>0</v>
      </c>
      <c r="DG33" s="199">
        <f t="shared" si="33"/>
        <v>0</v>
      </c>
      <c r="DH33" s="199">
        <f t="shared" si="33"/>
        <v>0</v>
      </c>
      <c r="DI33" s="199">
        <f t="shared" si="33"/>
        <v>0</v>
      </c>
      <c r="DJ33" s="199">
        <f t="shared" si="33"/>
        <v>0</v>
      </c>
      <c r="DK33" s="199">
        <f t="shared" si="33"/>
        <v>0</v>
      </c>
      <c r="DL33" s="199">
        <f t="shared" si="33"/>
        <v>17124</v>
      </c>
      <c r="DM33" s="199">
        <f t="shared" si="33"/>
        <v>0</v>
      </c>
      <c r="DN33" s="199">
        <f t="shared" si="33"/>
        <v>0</v>
      </c>
      <c r="DO33" s="199">
        <f t="shared" si="33"/>
        <v>0</v>
      </c>
      <c r="DP33" s="199">
        <f t="shared" si="33"/>
        <v>0</v>
      </c>
      <c r="DQ33" s="199">
        <f t="shared" si="33"/>
        <v>0</v>
      </c>
      <c r="DR33" s="199">
        <f t="shared" si="33"/>
        <v>0</v>
      </c>
      <c r="DS33" s="199">
        <f t="shared" si="33"/>
        <v>0</v>
      </c>
      <c r="DT33" s="199">
        <f t="shared" si="33"/>
        <v>0</v>
      </c>
      <c r="DU33" s="199">
        <f t="shared" si="33"/>
        <v>49</v>
      </c>
      <c r="DV33" s="199">
        <f t="shared" si="33"/>
        <v>0</v>
      </c>
      <c r="DW33" s="199">
        <f t="shared" si="33"/>
        <v>0</v>
      </c>
      <c r="DX33" s="199">
        <f t="shared" si="33"/>
        <v>0</v>
      </c>
      <c r="DY33" s="199">
        <f t="shared" si="33"/>
        <v>0</v>
      </c>
      <c r="DZ33" s="199">
        <f t="shared" si="33"/>
        <v>0</v>
      </c>
      <c r="EA33" s="199">
        <f t="shared" si="33"/>
        <v>0</v>
      </c>
      <c r="EB33" s="199">
        <f t="shared" ref="EB33:GM33" si="34">EB18+EB19</f>
        <v>0</v>
      </c>
      <c r="EC33" s="199">
        <f t="shared" si="34"/>
        <v>0</v>
      </c>
      <c r="ED33" s="199">
        <f t="shared" si="34"/>
        <v>0</v>
      </c>
      <c r="EE33" s="199">
        <f t="shared" si="34"/>
        <v>0</v>
      </c>
      <c r="EF33" s="199">
        <f t="shared" si="34"/>
        <v>0</v>
      </c>
      <c r="EG33" s="199">
        <f t="shared" si="34"/>
        <v>0</v>
      </c>
      <c r="EH33" s="199">
        <f t="shared" si="34"/>
        <v>0</v>
      </c>
      <c r="EI33" s="199">
        <f t="shared" si="34"/>
        <v>0</v>
      </c>
      <c r="EJ33" s="199">
        <f t="shared" si="34"/>
        <v>0</v>
      </c>
      <c r="EK33" s="199">
        <f t="shared" si="34"/>
        <v>0</v>
      </c>
      <c r="EL33" s="199">
        <f t="shared" si="34"/>
        <v>0</v>
      </c>
      <c r="EM33" s="199">
        <f t="shared" si="34"/>
        <v>0</v>
      </c>
      <c r="EN33" s="199">
        <f t="shared" si="34"/>
        <v>0</v>
      </c>
      <c r="EO33" s="199">
        <f t="shared" si="34"/>
        <v>0</v>
      </c>
      <c r="EP33" s="199">
        <f t="shared" si="34"/>
        <v>0</v>
      </c>
      <c r="EQ33" s="199">
        <f t="shared" si="34"/>
        <v>0</v>
      </c>
      <c r="ER33" s="199">
        <f t="shared" si="34"/>
        <v>0</v>
      </c>
      <c r="ES33" s="199">
        <f t="shared" si="34"/>
        <v>0</v>
      </c>
      <c r="ET33" s="199">
        <f t="shared" si="34"/>
        <v>0</v>
      </c>
      <c r="EU33" s="199">
        <f t="shared" si="34"/>
        <v>0</v>
      </c>
      <c r="EV33" s="199">
        <f t="shared" si="34"/>
        <v>0</v>
      </c>
      <c r="EW33" s="199">
        <f t="shared" si="34"/>
        <v>0</v>
      </c>
      <c r="EX33" s="199">
        <f t="shared" si="34"/>
        <v>0</v>
      </c>
      <c r="EY33" s="199">
        <f t="shared" si="34"/>
        <v>0</v>
      </c>
      <c r="EZ33" s="199">
        <f t="shared" si="34"/>
        <v>0</v>
      </c>
      <c r="FA33" s="199">
        <f t="shared" si="34"/>
        <v>0</v>
      </c>
      <c r="FB33" s="199">
        <f t="shared" si="34"/>
        <v>0</v>
      </c>
      <c r="FC33" s="199">
        <f t="shared" si="34"/>
        <v>0</v>
      </c>
      <c r="FD33" s="199">
        <f t="shared" si="34"/>
        <v>0</v>
      </c>
      <c r="FE33" s="199">
        <f t="shared" si="34"/>
        <v>0</v>
      </c>
      <c r="FF33" s="199">
        <f t="shared" si="34"/>
        <v>0</v>
      </c>
      <c r="FG33" s="199">
        <f t="shared" si="34"/>
        <v>0</v>
      </c>
      <c r="FH33" s="199">
        <f t="shared" si="34"/>
        <v>0</v>
      </c>
      <c r="FI33" s="199">
        <f t="shared" si="34"/>
        <v>0</v>
      </c>
      <c r="FJ33" s="199">
        <f t="shared" si="34"/>
        <v>0</v>
      </c>
      <c r="FK33" s="199">
        <f t="shared" si="34"/>
        <v>176723</v>
      </c>
      <c r="FL33" s="199">
        <f t="shared" si="34"/>
        <v>0</v>
      </c>
      <c r="FM33" s="199">
        <f t="shared" si="34"/>
        <v>0</v>
      </c>
      <c r="FN33" s="199">
        <f t="shared" si="34"/>
        <v>0</v>
      </c>
      <c r="FO33" s="199">
        <f t="shared" si="34"/>
        <v>0</v>
      </c>
      <c r="FP33" s="199">
        <f t="shared" si="34"/>
        <v>0</v>
      </c>
      <c r="FQ33" s="199">
        <f t="shared" si="34"/>
        <v>0</v>
      </c>
      <c r="FR33" s="199">
        <f t="shared" si="34"/>
        <v>0</v>
      </c>
      <c r="FS33" s="199">
        <f t="shared" si="34"/>
        <v>0</v>
      </c>
      <c r="FT33" s="199">
        <f t="shared" si="34"/>
        <v>0</v>
      </c>
      <c r="FU33" s="199">
        <f t="shared" si="34"/>
        <v>0</v>
      </c>
      <c r="FV33" s="199">
        <f t="shared" si="34"/>
        <v>0</v>
      </c>
      <c r="FW33" s="199">
        <f t="shared" si="34"/>
        <v>0</v>
      </c>
      <c r="FX33" s="199">
        <f t="shared" si="34"/>
        <v>0</v>
      </c>
      <c r="FY33" s="199">
        <f t="shared" si="34"/>
        <v>0</v>
      </c>
      <c r="FZ33" s="199">
        <f t="shared" si="34"/>
        <v>67527</v>
      </c>
      <c r="GA33" s="199">
        <f t="shared" si="34"/>
        <v>0</v>
      </c>
      <c r="GB33" s="199">
        <f t="shared" si="34"/>
        <v>0</v>
      </c>
      <c r="GC33" s="199">
        <f t="shared" si="34"/>
        <v>0</v>
      </c>
      <c r="GD33" s="199">
        <f t="shared" si="34"/>
        <v>0</v>
      </c>
      <c r="GE33" s="199">
        <f t="shared" si="34"/>
        <v>16756</v>
      </c>
      <c r="GF33" s="199">
        <f t="shared" si="34"/>
        <v>0</v>
      </c>
      <c r="GG33" s="199">
        <f t="shared" si="34"/>
        <v>0</v>
      </c>
      <c r="GH33" s="199">
        <f t="shared" si="34"/>
        <v>0</v>
      </c>
      <c r="GI33" s="199">
        <f t="shared" si="34"/>
        <v>0</v>
      </c>
      <c r="GJ33" s="199">
        <f t="shared" si="34"/>
        <v>10012</v>
      </c>
      <c r="GK33" s="199">
        <f t="shared" si="34"/>
        <v>0</v>
      </c>
      <c r="GL33" s="199">
        <f t="shared" si="34"/>
        <v>0</v>
      </c>
      <c r="GM33" s="199">
        <f t="shared" si="34"/>
        <v>0</v>
      </c>
      <c r="GN33" s="199">
        <f t="shared" ref="GN33:IY33" si="35">GN18+GN19</f>
        <v>178095</v>
      </c>
      <c r="GO33" s="199">
        <f t="shared" si="35"/>
        <v>0</v>
      </c>
      <c r="GP33" s="199">
        <f t="shared" si="35"/>
        <v>0</v>
      </c>
      <c r="GQ33" s="199">
        <f t="shared" si="35"/>
        <v>0</v>
      </c>
      <c r="GR33" s="199">
        <f t="shared" si="35"/>
        <v>0</v>
      </c>
      <c r="GS33" s="199">
        <f t="shared" si="35"/>
        <v>0</v>
      </c>
      <c r="GT33" s="199">
        <f t="shared" si="35"/>
        <v>0</v>
      </c>
      <c r="GU33" s="199">
        <f t="shared" si="35"/>
        <v>0</v>
      </c>
      <c r="GV33" s="199">
        <f t="shared" si="35"/>
        <v>0</v>
      </c>
      <c r="GW33" s="199">
        <f t="shared" si="35"/>
        <v>0</v>
      </c>
      <c r="GX33" s="199">
        <f t="shared" si="35"/>
        <v>0</v>
      </c>
      <c r="GY33" s="199">
        <f t="shared" si="35"/>
        <v>30340490</v>
      </c>
      <c r="GZ33" s="199">
        <f t="shared" si="35"/>
        <v>0</v>
      </c>
      <c r="HA33" s="199">
        <f t="shared" si="35"/>
        <v>0</v>
      </c>
      <c r="HB33" s="199">
        <f t="shared" si="35"/>
        <v>0</v>
      </c>
      <c r="HC33" s="199">
        <f t="shared" si="35"/>
        <v>0</v>
      </c>
      <c r="HD33" s="199">
        <f t="shared" si="35"/>
        <v>2659480</v>
      </c>
      <c r="HE33" s="199">
        <f t="shared" si="35"/>
        <v>0</v>
      </c>
      <c r="HF33" s="199">
        <f t="shared" si="35"/>
        <v>0</v>
      </c>
      <c r="HG33" s="199">
        <f t="shared" si="35"/>
        <v>0</v>
      </c>
      <c r="HH33" s="199">
        <f t="shared" si="35"/>
        <v>0</v>
      </c>
      <c r="HI33" s="199">
        <f t="shared" si="35"/>
        <v>83932</v>
      </c>
      <c r="HJ33" s="199">
        <f t="shared" si="35"/>
        <v>4047642</v>
      </c>
      <c r="HK33" s="199">
        <f t="shared" si="35"/>
        <v>1399558</v>
      </c>
      <c r="HL33" s="199">
        <f t="shared" si="35"/>
        <v>0</v>
      </c>
      <c r="HM33" s="199">
        <f t="shared" si="35"/>
        <v>0</v>
      </c>
      <c r="HN33" s="199">
        <f t="shared" si="35"/>
        <v>0</v>
      </c>
      <c r="HO33" s="199">
        <f t="shared" si="35"/>
        <v>0</v>
      </c>
      <c r="HP33" s="199">
        <f t="shared" si="35"/>
        <v>0</v>
      </c>
      <c r="HQ33" s="199">
        <f t="shared" si="35"/>
        <v>0</v>
      </c>
      <c r="HR33" s="199">
        <f t="shared" si="35"/>
        <v>0</v>
      </c>
      <c r="HS33" s="199">
        <f t="shared" si="35"/>
        <v>0</v>
      </c>
      <c r="HT33" s="199">
        <f t="shared" si="35"/>
        <v>0</v>
      </c>
      <c r="HU33" s="199">
        <f t="shared" si="35"/>
        <v>0</v>
      </c>
      <c r="HV33" s="199">
        <f t="shared" si="35"/>
        <v>632588</v>
      </c>
      <c r="HW33" s="199">
        <f t="shared" si="35"/>
        <v>50527</v>
      </c>
      <c r="HX33" s="199">
        <f t="shared" si="35"/>
        <v>0</v>
      </c>
      <c r="HY33" s="199">
        <f t="shared" si="35"/>
        <v>0</v>
      </c>
      <c r="HZ33" s="199">
        <f t="shared" si="35"/>
        <v>0</v>
      </c>
      <c r="IA33" s="199">
        <f t="shared" si="35"/>
        <v>0</v>
      </c>
      <c r="IB33" s="199">
        <f t="shared" si="35"/>
        <v>0</v>
      </c>
      <c r="IC33" s="199">
        <f t="shared" si="35"/>
        <v>0</v>
      </c>
      <c r="ID33" s="199">
        <f t="shared" si="35"/>
        <v>0</v>
      </c>
      <c r="IE33" s="199">
        <f t="shared" si="35"/>
        <v>0</v>
      </c>
      <c r="IF33" s="199">
        <f t="shared" si="35"/>
        <v>0</v>
      </c>
      <c r="IG33" s="199">
        <f t="shared" si="35"/>
        <v>0</v>
      </c>
      <c r="IH33" s="199">
        <f t="shared" si="35"/>
        <v>0</v>
      </c>
      <c r="II33" s="199">
        <f t="shared" si="35"/>
        <v>0</v>
      </c>
      <c r="IJ33" s="199">
        <f t="shared" si="35"/>
        <v>58138</v>
      </c>
      <c r="IK33" s="199">
        <f t="shared" si="35"/>
        <v>0</v>
      </c>
      <c r="IL33" s="199">
        <f t="shared" si="35"/>
        <v>0</v>
      </c>
      <c r="IM33" s="199">
        <f t="shared" si="35"/>
        <v>0</v>
      </c>
      <c r="IN33" s="199">
        <f t="shared" si="35"/>
        <v>107472</v>
      </c>
      <c r="IO33" s="199">
        <f t="shared" si="35"/>
        <v>0</v>
      </c>
      <c r="IP33" s="199">
        <f t="shared" si="35"/>
        <v>0</v>
      </c>
      <c r="IQ33" s="199">
        <f t="shared" si="35"/>
        <v>0</v>
      </c>
      <c r="IR33" s="199">
        <f t="shared" si="35"/>
        <v>0</v>
      </c>
      <c r="IS33" s="199">
        <f t="shared" si="35"/>
        <v>0</v>
      </c>
      <c r="IT33" s="199">
        <f t="shared" si="35"/>
        <v>0</v>
      </c>
      <c r="IU33" s="199">
        <f t="shared" si="35"/>
        <v>0</v>
      </c>
      <c r="IV33" s="199">
        <f t="shared" si="35"/>
        <v>0</v>
      </c>
      <c r="IW33" s="199">
        <f t="shared" si="35"/>
        <v>18290</v>
      </c>
      <c r="IX33" s="199">
        <f t="shared" si="35"/>
        <v>0</v>
      </c>
      <c r="IY33" s="199">
        <f t="shared" si="35"/>
        <v>413070</v>
      </c>
      <c r="IZ33" s="199">
        <f t="shared" ref="IZ33:LK33" si="36">IZ18+IZ19</f>
        <v>0</v>
      </c>
      <c r="JA33" s="199">
        <f t="shared" si="36"/>
        <v>0</v>
      </c>
      <c r="JB33" s="199">
        <f t="shared" si="36"/>
        <v>249333</v>
      </c>
      <c r="JC33" s="199">
        <f t="shared" si="36"/>
        <v>29566</v>
      </c>
      <c r="JD33" s="199">
        <f t="shared" si="36"/>
        <v>6586</v>
      </c>
      <c r="JE33" s="199">
        <f t="shared" si="36"/>
        <v>548104</v>
      </c>
      <c r="JF33" s="199">
        <f t="shared" si="36"/>
        <v>0</v>
      </c>
      <c r="JG33" s="199">
        <f t="shared" si="36"/>
        <v>0</v>
      </c>
      <c r="JH33" s="199">
        <f t="shared" si="36"/>
        <v>0</v>
      </c>
      <c r="JI33" s="199">
        <f t="shared" si="36"/>
        <v>0</v>
      </c>
      <c r="JJ33" s="199">
        <f t="shared" si="36"/>
        <v>0</v>
      </c>
      <c r="JK33" s="199">
        <f t="shared" si="36"/>
        <v>0</v>
      </c>
      <c r="JL33" s="199">
        <f t="shared" si="36"/>
        <v>0</v>
      </c>
      <c r="JM33" s="199">
        <f t="shared" si="36"/>
        <v>0</v>
      </c>
      <c r="JN33" s="199">
        <f t="shared" si="36"/>
        <v>0</v>
      </c>
      <c r="JO33" s="199">
        <f t="shared" si="36"/>
        <v>0</v>
      </c>
      <c r="JP33" s="199">
        <f t="shared" si="36"/>
        <v>0</v>
      </c>
      <c r="JQ33" s="199">
        <f t="shared" si="36"/>
        <v>0</v>
      </c>
      <c r="JR33" s="199">
        <f t="shared" si="36"/>
        <v>0</v>
      </c>
      <c r="JS33" s="199">
        <f t="shared" si="36"/>
        <v>0</v>
      </c>
      <c r="JT33" s="199">
        <f t="shared" si="36"/>
        <v>4687</v>
      </c>
      <c r="JU33" s="199">
        <f t="shared" si="36"/>
        <v>0</v>
      </c>
      <c r="JV33" s="199">
        <f t="shared" si="36"/>
        <v>0</v>
      </c>
      <c r="JW33" s="199">
        <f t="shared" si="36"/>
        <v>0</v>
      </c>
      <c r="JX33" s="199">
        <f t="shared" si="36"/>
        <v>0</v>
      </c>
      <c r="JY33" s="199">
        <f t="shared" si="36"/>
        <v>0</v>
      </c>
      <c r="JZ33" s="199">
        <f t="shared" si="36"/>
        <v>0</v>
      </c>
      <c r="KA33" s="199">
        <f t="shared" si="36"/>
        <v>1175</v>
      </c>
      <c r="KB33" s="199">
        <f t="shared" si="36"/>
        <v>0</v>
      </c>
      <c r="KC33" s="199">
        <f t="shared" si="36"/>
        <v>0</v>
      </c>
      <c r="KD33" s="199">
        <f t="shared" si="36"/>
        <v>0</v>
      </c>
      <c r="KE33" s="199">
        <f t="shared" si="36"/>
        <v>0</v>
      </c>
      <c r="KF33" s="199">
        <f t="shared" si="36"/>
        <v>0</v>
      </c>
      <c r="KG33" s="199">
        <f t="shared" si="36"/>
        <v>0</v>
      </c>
      <c r="KH33" s="199">
        <f t="shared" si="36"/>
        <v>0</v>
      </c>
      <c r="KI33" s="199">
        <f t="shared" si="36"/>
        <v>0</v>
      </c>
      <c r="KJ33" s="199">
        <f t="shared" si="36"/>
        <v>0</v>
      </c>
      <c r="KK33" s="199">
        <f t="shared" si="36"/>
        <v>0</v>
      </c>
      <c r="KL33" s="199">
        <f t="shared" si="36"/>
        <v>0</v>
      </c>
      <c r="KM33" s="199">
        <f t="shared" si="36"/>
        <v>0</v>
      </c>
      <c r="KN33" s="199">
        <f t="shared" si="36"/>
        <v>0</v>
      </c>
      <c r="KO33" s="199">
        <f t="shared" si="36"/>
        <v>0</v>
      </c>
      <c r="KP33" s="199">
        <f t="shared" si="36"/>
        <v>0</v>
      </c>
      <c r="KQ33" s="199">
        <f t="shared" si="36"/>
        <v>0</v>
      </c>
      <c r="KR33" s="199">
        <f t="shared" si="36"/>
        <v>0</v>
      </c>
      <c r="KS33" s="199">
        <f t="shared" si="36"/>
        <v>0</v>
      </c>
      <c r="KT33" s="199">
        <f t="shared" si="36"/>
        <v>0</v>
      </c>
      <c r="KU33" s="199">
        <f t="shared" si="36"/>
        <v>0</v>
      </c>
      <c r="KV33" s="199">
        <f t="shared" si="36"/>
        <v>0</v>
      </c>
      <c r="KW33" s="199">
        <f t="shared" si="36"/>
        <v>0</v>
      </c>
      <c r="KX33" s="199">
        <f t="shared" si="36"/>
        <v>0</v>
      </c>
      <c r="KY33" s="199">
        <f t="shared" si="36"/>
        <v>0</v>
      </c>
      <c r="KZ33" s="199">
        <f t="shared" si="36"/>
        <v>0</v>
      </c>
      <c r="LA33" s="199">
        <f t="shared" si="36"/>
        <v>94534</v>
      </c>
      <c r="LB33" s="199">
        <f t="shared" si="36"/>
        <v>0</v>
      </c>
      <c r="LC33" s="199">
        <f t="shared" si="36"/>
        <v>0</v>
      </c>
      <c r="LD33" s="199">
        <f t="shared" si="36"/>
        <v>0</v>
      </c>
      <c r="LE33" s="199">
        <f t="shared" si="36"/>
        <v>0</v>
      </c>
      <c r="LF33" s="199">
        <f t="shared" si="36"/>
        <v>0</v>
      </c>
      <c r="LG33" s="199">
        <f t="shared" si="36"/>
        <v>0</v>
      </c>
      <c r="LH33" s="199">
        <f t="shared" si="36"/>
        <v>0</v>
      </c>
      <c r="LI33" s="199">
        <f t="shared" si="36"/>
        <v>0</v>
      </c>
      <c r="LJ33" s="199">
        <f t="shared" si="36"/>
        <v>0</v>
      </c>
      <c r="LK33" s="199">
        <f t="shared" si="36"/>
        <v>0</v>
      </c>
      <c r="LL33" s="199">
        <f t="shared" ref="LL33:NW33" si="37">LL18+LL19</f>
        <v>0</v>
      </c>
      <c r="LM33" s="199">
        <f t="shared" si="37"/>
        <v>0</v>
      </c>
      <c r="LN33" s="199">
        <f t="shared" si="37"/>
        <v>0</v>
      </c>
      <c r="LO33" s="199">
        <f t="shared" si="37"/>
        <v>0</v>
      </c>
      <c r="LP33" s="199">
        <f t="shared" si="37"/>
        <v>1494095</v>
      </c>
      <c r="LQ33" s="199">
        <f t="shared" si="37"/>
        <v>407739</v>
      </c>
      <c r="LR33" s="199">
        <f t="shared" si="37"/>
        <v>0</v>
      </c>
      <c r="LS33" s="199">
        <f t="shared" si="37"/>
        <v>0</v>
      </c>
      <c r="LT33" s="199">
        <f t="shared" si="37"/>
        <v>0</v>
      </c>
      <c r="LU33" s="199">
        <f t="shared" si="37"/>
        <v>0</v>
      </c>
      <c r="LV33" s="199">
        <f t="shared" si="37"/>
        <v>0</v>
      </c>
      <c r="LW33" s="199">
        <f t="shared" si="37"/>
        <v>0</v>
      </c>
      <c r="LX33" s="199">
        <f t="shared" si="37"/>
        <v>0</v>
      </c>
      <c r="LY33" s="199">
        <f t="shared" si="37"/>
        <v>0</v>
      </c>
      <c r="LZ33" s="199">
        <f t="shared" si="37"/>
        <v>0</v>
      </c>
      <c r="MA33" s="199">
        <f t="shared" si="37"/>
        <v>0</v>
      </c>
      <c r="MB33" s="199">
        <f t="shared" si="37"/>
        <v>0</v>
      </c>
      <c r="MC33" s="199">
        <f t="shared" si="37"/>
        <v>0</v>
      </c>
      <c r="MD33" s="199">
        <f t="shared" si="37"/>
        <v>0</v>
      </c>
      <c r="ME33" s="199">
        <f t="shared" si="37"/>
        <v>0</v>
      </c>
      <c r="MF33" s="199">
        <f t="shared" si="37"/>
        <v>0</v>
      </c>
      <c r="MG33" s="199">
        <f t="shared" si="37"/>
        <v>0</v>
      </c>
      <c r="MH33" s="199">
        <f t="shared" si="37"/>
        <v>0</v>
      </c>
      <c r="MI33" s="199">
        <f t="shared" si="37"/>
        <v>0</v>
      </c>
      <c r="MJ33" s="199">
        <f t="shared" si="37"/>
        <v>95565</v>
      </c>
      <c r="MK33" s="199">
        <f t="shared" si="37"/>
        <v>0</v>
      </c>
      <c r="ML33" s="199">
        <f t="shared" si="37"/>
        <v>0</v>
      </c>
      <c r="MM33" s="199">
        <f t="shared" si="37"/>
        <v>0</v>
      </c>
      <c r="MN33" s="199">
        <f t="shared" si="37"/>
        <v>0</v>
      </c>
      <c r="MO33" s="199">
        <f t="shared" si="37"/>
        <v>0</v>
      </c>
      <c r="MP33" s="199">
        <f t="shared" si="37"/>
        <v>0</v>
      </c>
      <c r="MQ33" s="199">
        <f t="shared" si="37"/>
        <v>3019058</v>
      </c>
      <c r="MR33" s="199">
        <f t="shared" si="37"/>
        <v>0</v>
      </c>
      <c r="MS33" s="199">
        <f t="shared" si="37"/>
        <v>0</v>
      </c>
      <c r="MT33" s="199">
        <f t="shared" si="37"/>
        <v>1417434</v>
      </c>
      <c r="MU33" s="199">
        <f t="shared" si="37"/>
        <v>51905</v>
      </c>
      <c r="MV33" s="199">
        <f t="shared" si="37"/>
        <v>0</v>
      </c>
      <c r="MW33" s="199">
        <f t="shared" si="37"/>
        <v>0</v>
      </c>
      <c r="MX33" s="199">
        <f t="shared" si="37"/>
        <v>0</v>
      </c>
      <c r="MY33" s="199">
        <f t="shared" si="37"/>
        <v>0</v>
      </c>
      <c r="MZ33" s="199">
        <f t="shared" si="37"/>
        <v>0</v>
      </c>
      <c r="NA33" s="199">
        <f t="shared" si="37"/>
        <v>0</v>
      </c>
      <c r="NB33" s="199">
        <f t="shared" si="37"/>
        <v>0</v>
      </c>
      <c r="NC33" s="199">
        <f t="shared" si="37"/>
        <v>0</v>
      </c>
      <c r="ND33" s="199">
        <f t="shared" si="37"/>
        <v>0</v>
      </c>
      <c r="NE33" s="199">
        <f t="shared" si="37"/>
        <v>0</v>
      </c>
      <c r="NF33" s="199">
        <f t="shared" si="37"/>
        <v>0</v>
      </c>
      <c r="NG33" s="199">
        <f t="shared" si="37"/>
        <v>0</v>
      </c>
      <c r="NH33" s="199">
        <f t="shared" si="37"/>
        <v>0</v>
      </c>
      <c r="NI33" s="199">
        <f t="shared" si="37"/>
        <v>0</v>
      </c>
      <c r="NJ33" s="199">
        <f t="shared" si="37"/>
        <v>0</v>
      </c>
      <c r="NK33" s="199">
        <f t="shared" si="37"/>
        <v>43061</v>
      </c>
      <c r="NL33" s="199">
        <f t="shared" si="37"/>
        <v>0</v>
      </c>
      <c r="NM33" s="199">
        <f t="shared" si="37"/>
        <v>0</v>
      </c>
      <c r="NN33" s="199">
        <f t="shared" si="37"/>
        <v>0</v>
      </c>
      <c r="NO33" s="199">
        <f t="shared" si="37"/>
        <v>0</v>
      </c>
      <c r="NP33" s="199">
        <f t="shared" si="37"/>
        <v>0</v>
      </c>
      <c r="NQ33" s="199">
        <f t="shared" si="37"/>
        <v>0</v>
      </c>
      <c r="NR33" s="199">
        <f t="shared" si="37"/>
        <v>141794</v>
      </c>
      <c r="NS33" s="199">
        <f t="shared" si="37"/>
        <v>0</v>
      </c>
      <c r="NT33" s="199">
        <f t="shared" si="37"/>
        <v>141693</v>
      </c>
      <c r="NU33" s="199">
        <f t="shared" si="37"/>
        <v>0</v>
      </c>
      <c r="NV33" s="199">
        <f t="shared" si="37"/>
        <v>0</v>
      </c>
      <c r="NW33" s="199">
        <f t="shared" si="37"/>
        <v>0</v>
      </c>
      <c r="NX33" s="199">
        <f t="shared" ref="NX33:QI33" si="38">NX18+NX19</f>
        <v>0</v>
      </c>
      <c r="NY33" s="199">
        <f t="shared" si="38"/>
        <v>0</v>
      </c>
      <c r="NZ33" s="199">
        <f t="shared" si="38"/>
        <v>0</v>
      </c>
      <c r="OA33" s="199">
        <f t="shared" si="38"/>
        <v>0</v>
      </c>
      <c r="OB33" s="199">
        <f t="shared" si="38"/>
        <v>0</v>
      </c>
      <c r="OC33" s="199">
        <f t="shared" si="38"/>
        <v>0</v>
      </c>
      <c r="OD33" s="199">
        <f t="shared" si="38"/>
        <v>0</v>
      </c>
      <c r="OE33" s="199">
        <f t="shared" si="38"/>
        <v>0</v>
      </c>
      <c r="OF33" s="199">
        <f t="shared" si="38"/>
        <v>199772</v>
      </c>
      <c r="OG33" s="199">
        <f t="shared" si="38"/>
        <v>0</v>
      </c>
      <c r="OH33" s="199">
        <f t="shared" si="38"/>
        <v>0</v>
      </c>
      <c r="OI33" s="199">
        <f t="shared" si="38"/>
        <v>0</v>
      </c>
      <c r="OJ33" s="199">
        <f t="shared" si="38"/>
        <v>0</v>
      </c>
      <c r="OK33" s="199">
        <f t="shared" si="38"/>
        <v>0</v>
      </c>
      <c r="OL33" s="199">
        <f t="shared" si="38"/>
        <v>4647474</v>
      </c>
      <c r="OM33" s="199">
        <f t="shared" si="38"/>
        <v>0</v>
      </c>
      <c r="ON33" s="199">
        <f t="shared" si="38"/>
        <v>0</v>
      </c>
      <c r="OO33" s="199">
        <f t="shared" si="38"/>
        <v>0</v>
      </c>
      <c r="OP33" s="199">
        <f t="shared" si="38"/>
        <v>0</v>
      </c>
      <c r="OQ33" s="199">
        <f t="shared" si="38"/>
        <v>0</v>
      </c>
      <c r="OR33" s="199">
        <f t="shared" si="38"/>
        <v>0</v>
      </c>
      <c r="OS33" s="199">
        <f t="shared" si="38"/>
        <v>0</v>
      </c>
      <c r="OT33" s="199">
        <f t="shared" si="38"/>
        <v>0</v>
      </c>
      <c r="OU33" s="199">
        <f t="shared" si="38"/>
        <v>0</v>
      </c>
      <c r="OV33" s="199">
        <f t="shared" si="38"/>
        <v>0</v>
      </c>
      <c r="OW33" s="199">
        <f t="shared" si="38"/>
        <v>0</v>
      </c>
      <c r="OX33" s="199">
        <f t="shared" si="38"/>
        <v>0</v>
      </c>
      <c r="OY33" s="199">
        <f t="shared" si="38"/>
        <v>20868</v>
      </c>
      <c r="OZ33" s="199">
        <f t="shared" si="38"/>
        <v>0</v>
      </c>
      <c r="PA33" s="199">
        <f t="shared" si="38"/>
        <v>0</v>
      </c>
      <c r="PB33" s="199">
        <f t="shared" si="38"/>
        <v>0</v>
      </c>
      <c r="PC33" s="199">
        <f t="shared" si="38"/>
        <v>0</v>
      </c>
      <c r="PD33" s="199">
        <f t="shared" si="38"/>
        <v>0</v>
      </c>
      <c r="PE33" s="199">
        <f t="shared" si="38"/>
        <v>0</v>
      </c>
      <c r="PF33" s="199">
        <f t="shared" si="38"/>
        <v>0</v>
      </c>
      <c r="PG33" s="199">
        <f t="shared" si="38"/>
        <v>0</v>
      </c>
      <c r="PH33" s="199">
        <f t="shared" si="38"/>
        <v>0</v>
      </c>
      <c r="PI33" s="199">
        <f t="shared" si="38"/>
        <v>0</v>
      </c>
      <c r="PJ33" s="199">
        <f t="shared" si="38"/>
        <v>0</v>
      </c>
      <c r="PK33" s="199">
        <f t="shared" si="38"/>
        <v>31766</v>
      </c>
      <c r="PL33" s="199">
        <f t="shared" si="38"/>
        <v>0</v>
      </c>
      <c r="PM33" s="199">
        <f t="shared" si="38"/>
        <v>0</v>
      </c>
      <c r="PN33" s="199">
        <f t="shared" si="38"/>
        <v>0</v>
      </c>
      <c r="PO33" s="199">
        <f t="shared" si="38"/>
        <v>0</v>
      </c>
      <c r="PP33" s="199">
        <f t="shared" si="38"/>
        <v>0</v>
      </c>
      <c r="PQ33" s="199">
        <f t="shared" si="38"/>
        <v>0</v>
      </c>
      <c r="PR33" s="199">
        <f t="shared" si="38"/>
        <v>0</v>
      </c>
      <c r="PS33" s="199">
        <f t="shared" si="38"/>
        <v>0</v>
      </c>
      <c r="PT33" s="199">
        <f t="shared" si="38"/>
        <v>0</v>
      </c>
      <c r="PU33" s="199">
        <f t="shared" si="38"/>
        <v>0</v>
      </c>
      <c r="PV33" s="199">
        <f t="shared" si="38"/>
        <v>0</v>
      </c>
      <c r="PW33" s="199">
        <f t="shared" si="38"/>
        <v>0</v>
      </c>
      <c r="PX33" s="199">
        <f t="shared" si="38"/>
        <v>0</v>
      </c>
      <c r="PY33" s="199">
        <f t="shared" si="38"/>
        <v>0</v>
      </c>
      <c r="PZ33" s="199">
        <f t="shared" si="38"/>
        <v>0</v>
      </c>
      <c r="QA33" s="199">
        <f t="shared" si="38"/>
        <v>0</v>
      </c>
      <c r="QB33" s="199">
        <f t="shared" si="38"/>
        <v>0</v>
      </c>
      <c r="QC33" s="199">
        <f t="shared" si="38"/>
        <v>0</v>
      </c>
      <c r="QD33" s="199">
        <f t="shared" si="38"/>
        <v>0</v>
      </c>
      <c r="QE33" s="199">
        <f t="shared" si="38"/>
        <v>0</v>
      </c>
      <c r="QF33" s="199">
        <f t="shared" si="38"/>
        <v>0</v>
      </c>
      <c r="QG33" s="199">
        <f t="shared" si="38"/>
        <v>0</v>
      </c>
      <c r="QH33" s="199">
        <f t="shared" si="38"/>
        <v>0</v>
      </c>
      <c r="QI33" s="199">
        <f t="shared" si="38"/>
        <v>22249</v>
      </c>
      <c r="QJ33" s="199">
        <f t="shared" ref="QJ33:QR33" si="39">QJ18+QJ19</f>
        <v>0</v>
      </c>
      <c r="QK33" s="199">
        <f t="shared" si="39"/>
        <v>0</v>
      </c>
      <c r="QL33" s="199">
        <f t="shared" si="39"/>
        <v>0</v>
      </c>
      <c r="QM33" s="199">
        <f t="shared" si="39"/>
        <v>0</v>
      </c>
      <c r="QN33" s="199">
        <f t="shared" si="39"/>
        <v>0</v>
      </c>
      <c r="QO33" s="199">
        <f t="shared" si="39"/>
        <v>0</v>
      </c>
      <c r="QP33" s="199">
        <f t="shared" si="39"/>
        <v>0</v>
      </c>
      <c r="QQ33" s="199">
        <f t="shared" si="39"/>
        <v>0</v>
      </c>
      <c r="QR33" s="199">
        <f t="shared" si="39"/>
        <v>0</v>
      </c>
    </row>
    <row r="34" spans="1:460">
      <c r="A34" s="133">
        <f>A20</f>
        <v>201</v>
      </c>
      <c r="B34" s="133" t="str">
        <f>B20</f>
        <v>Preston Joint</v>
      </c>
      <c r="C34" s="199">
        <f>C20+C21</f>
        <v>0</v>
      </c>
      <c r="D34" s="199">
        <f t="shared" ref="D34:BO34" si="40">D20+D21</f>
        <v>0</v>
      </c>
      <c r="E34" s="199">
        <f t="shared" si="40"/>
        <v>0</v>
      </c>
      <c r="F34" s="199">
        <f t="shared" si="40"/>
        <v>0</v>
      </c>
      <c r="G34" s="199">
        <f t="shared" si="40"/>
        <v>82</v>
      </c>
      <c r="H34" s="199">
        <f t="shared" si="40"/>
        <v>0</v>
      </c>
      <c r="I34" s="199">
        <f t="shared" si="40"/>
        <v>0</v>
      </c>
      <c r="J34" s="199">
        <f t="shared" si="40"/>
        <v>32813</v>
      </c>
      <c r="K34" s="199">
        <f t="shared" si="40"/>
        <v>0</v>
      </c>
      <c r="L34" s="199">
        <f t="shared" si="40"/>
        <v>0</v>
      </c>
      <c r="M34" s="199">
        <f t="shared" si="40"/>
        <v>0</v>
      </c>
      <c r="N34" s="199">
        <f t="shared" si="40"/>
        <v>4035</v>
      </c>
      <c r="O34" s="199">
        <f t="shared" si="40"/>
        <v>0</v>
      </c>
      <c r="P34" s="199">
        <f t="shared" si="40"/>
        <v>0</v>
      </c>
      <c r="Q34" s="199">
        <f t="shared" si="40"/>
        <v>0</v>
      </c>
      <c r="R34" s="199">
        <f t="shared" si="40"/>
        <v>0</v>
      </c>
      <c r="S34" s="199">
        <f t="shared" si="40"/>
        <v>566229</v>
      </c>
      <c r="T34" s="199">
        <f t="shared" si="40"/>
        <v>0</v>
      </c>
      <c r="U34" s="199">
        <f t="shared" si="40"/>
        <v>0</v>
      </c>
      <c r="V34" s="199">
        <f t="shared" si="40"/>
        <v>72971</v>
      </c>
      <c r="W34" s="199">
        <f t="shared" si="40"/>
        <v>10444</v>
      </c>
      <c r="X34" s="199">
        <f t="shared" si="40"/>
        <v>0</v>
      </c>
      <c r="Y34" s="199">
        <f t="shared" si="40"/>
        <v>0</v>
      </c>
      <c r="Z34" s="199">
        <f t="shared" si="40"/>
        <v>0</v>
      </c>
      <c r="AA34" s="199">
        <f t="shared" si="40"/>
        <v>0</v>
      </c>
      <c r="AB34" s="199">
        <f t="shared" si="40"/>
        <v>0</v>
      </c>
      <c r="AC34" s="199">
        <f t="shared" si="40"/>
        <v>0</v>
      </c>
      <c r="AD34" s="199">
        <f t="shared" si="40"/>
        <v>0</v>
      </c>
      <c r="AE34" s="199">
        <f t="shared" si="40"/>
        <v>0</v>
      </c>
      <c r="AF34" s="199">
        <f t="shared" si="40"/>
        <v>0</v>
      </c>
      <c r="AG34" s="199">
        <f t="shared" si="40"/>
        <v>23460</v>
      </c>
      <c r="AH34" s="199">
        <f t="shared" si="40"/>
        <v>0</v>
      </c>
      <c r="AI34" s="199">
        <f t="shared" si="40"/>
        <v>0</v>
      </c>
      <c r="AJ34" s="199">
        <f t="shared" si="40"/>
        <v>9170</v>
      </c>
      <c r="AK34" s="199">
        <f t="shared" si="40"/>
        <v>0</v>
      </c>
      <c r="AL34" s="199">
        <f t="shared" si="40"/>
        <v>0</v>
      </c>
      <c r="AM34" s="199">
        <f t="shared" si="40"/>
        <v>0</v>
      </c>
      <c r="AN34" s="199">
        <f t="shared" si="40"/>
        <v>0</v>
      </c>
      <c r="AO34" s="199">
        <f t="shared" si="40"/>
        <v>0</v>
      </c>
      <c r="AP34" s="199">
        <f t="shared" si="40"/>
        <v>0</v>
      </c>
      <c r="AQ34" s="199">
        <f t="shared" si="40"/>
        <v>0</v>
      </c>
      <c r="AR34" s="199">
        <f t="shared" si="40"/>
        <v>0</v>
      </c>
      <c r="AS34" s="199">
        <f t="shared" si="40"/>
        <v>0</v>
      </c>
      <c r="AT34" s="199">
        <f t="shared" si="40"/>
        <v>0</v>
      </c>
      <c r="AU34" s="199">
        <f t="shared" si="40"/>
        <v>0</v>
      </c>
      <c r="AV34" s="199">
        <f t="shared" si="40"/>
        <v>0</v>
      </c>
      <c r="AW34" s="199">
        <f t="shared" si="40"/>
        <v>0</v>
      </c>
      <c r="AX34" s="199">
        <f t="shared" si="40"/>
        <v>0</v>
      </c>
      <c r="AY34" s="199">
        <f t="shared" si="40"/>
        <v>0</v>
      </c>
      <c r="AZ34" s="199">
        <f t="shared" si="40"/>
        <v>0</v>
      </c>
      <c r="BA34" s="199">
        <f t="shared" si="40"/>
        <v>1309</v>
      </c>
      <c r="BB34" s="199">
        <f t="shared" si="40"/>
        <v>0</v>
      </c>
      <c r="BC34" s="199">
        <f t="shared" si="40"/>
        <v>0</v>
      </c>
      <c r="BD34" s="199">
        <f t="shared" si="40"/>
        <v>0</v>
      </c>
      <c r="BE34" s="199">
        <f t="shared" si="40"/>
        <v>0</v>
      </c>
      <c r="BF34" s="199">
        <f t="shared" si="40"/>
        <v>0</v>
      </c>
      <c r="BG34" s="199">
        <f t="shared" si="40"/>
        <v>0</v>
      </c>
      <c r="BH34" s="199">
        <f t="shared" si="40"/>
        <v>0</v>
      </c>
      <c r="BI34" s="199">
        <f t="shared" si="40"/>
        <v>0</v>
      </c>
      <c r="BJ34" s="199">
        <f t="shared" si="40"/>
        <v>0</v>
      </c>
      <c r="BK34" s="199">
        <f t="shared" si="40"/>
        <v>0</v>
      </c>
      <c r="BL34" s="199">
        <f t="shared" si="40"/>
        <v>0</v>
      </c>
      <c r="BM34" s="199">
        <f t="shared" si="40"/>
        <v>0</v>
      </c>
      <c r="BN34" s="199">
        <f t="shared" si="40"/>
        <v>0</v>
      </c>
      <c r="BO34" s="199">
        <f t="shared" si="40"/>
        <v>0</v>
      </c>
      <c r="BP34" s="199">
        <f t="shared" ref="BP34:EA34" si="41">BP20+BP21</f>
        <v>0</v>
      </c>
      <c r="BQ34" s="199">
        <f t="shared" si="41"/>
        <v>957</v>
      </c>
      <c r="BR34" s="199">
        <f t="shared" si="41"/>
        <v>0</v>
      </c>
      <c r="BS34" s="199">
        <f t="shared" si="41"/>
        <v>0</v>
      </c>
      <c r="BT34" s="199">
        <f t="shared" si="41"/>
        <v>0</v>
      </c>
      <c r="BU34" s="199">
        <f t="shared" si="41"/>
        <v>0</v>
      </c>
      <c r="BV34" s="199">
        <f t="shared" si="41"/>
        <v>189631</v>
      </c>
      <c r="BW34" s="199">
        <f t="shared" si="41"/>
        <v>7746</v>
      </c>
      <c r="BX34" s="199">
        <f t="shared" si="41"/>
        <v>0</v>
      </c>
      <c r="BY34" s="199">
        <f t="shared" si="41"/>
        <v>0</v>
      </c>
      <c r="BZ34" s="199">
        <f t="shared" si="41"/>
        <v>0</v>
      </c>
      <c r="CA34" s="199">
        <f t="shared" si="41"/>
        <v>0</v>
      </c>
      <c r="CB34" s="199">
        <f t="shared" si="41"/>
        <v>0</v>
      </c>
      <c r="CC34" s="199">
        <f t="shared" si="41"/>
        <v>0</v>
      </c>
      <c r="CD34" s="199">
        <f t="shared" si="41"/>
        <v>0</v>
      </c>
      <c r="CE34" s="199">
        <f t="shared" si="41"/>
        <v>0</v>
      </c>
      <c r="CF34" s="199">
        <f t="shared" si="41"/>
        <v>0</v>
      </c>
      <c r="CG34" s="199">
        <f t="shared" si="41"/>
        <v>0</v>
      </c>
      <c r="CH34" s="199">
        <f t="shared" si="41"/>
        <v>0</v>
      </c>
      <c r="CI34" s="199">
        <f t="shared" si="41"/>
        <v>0</v>
      </c>
      <c r="CJ34" s="199">
        <f t="shared" si="41"/>
        <v>0</v>
      </c>
      <c r="CK34" s="199">
        <f t="shared" si="41"/>
        <v>0</v>
      </c>
      <c r="CL34" s="199">
        <f t="shared" si="41"/>
        <v>0</v>
      </c>
      <c r="CM34" s="199">
        <f t="shared" si="41"/>
        <v>0</v>
      </c>
      <c r="CN34" s="199">
        <f t="shared" si="41"/>
        <v>0</v>
      </c>
      <c r="CO34" s="199">
        <f t="shared" si="41"/>
        <v>0</v>
      </c>
      <c r="CP34" s="199">
        <f t="shared" si="41"/>
        <v>0</v>
      </c>
      <c r="CQ34" s="199">
        <f t="shared" si="41"/>
        <v>0</v>
      </c>
      <c r="CR34" s="199">
        <f t="shared" si="41"/>
        <v>0</v>
      </c>
      <c r="CS34" s="199">
        <f t="shared" si="41"/>
        <v>0</v>
      </c>
      <c r="CT34" s="199">
        <f t="shared" si="41"/>
        <v>0</v>
      </c>
      <c r="CU34" s="199">
        <f t="shared" si="41"/>
        <v>0</v>
      </c>
      <c r="CV34" s="199">
        <f t="shared" si="41"/>
        <v>0</v>
      </c>
      <c r="CW34" s="199">
        <f t="shared" si="41"/>
        <v>0</v>
      </c>
      <c r="CX34" s="199">
        <f t="shared" si="41"/>
        <v>0</v>
      </c>
      <c r="CY34" s="199">
        <f t="shared" si="41"/>
        <v>0</v>
      </c>
      <c r="CZ34" s="199">
        <f t="shared" si="41"/>
        <v>0</v>
      </c>
      <c r="DA34" s="199">
        <f t="shared" si="41"/>
        <v>0</v>
      </c>
      <c r="DB34" s="199">
        <f t="shared" si="41"/>
        <v>0</v>
      </c>
      <c r="DC34" s="199">
        <f t="shared" si="41"/>
        <v>0</v>
      </c>
      <c r="DD34" s="199">
        <f t="shared" si="41"/>
        <v>0</v>
      </c>
      <c r="DE34" s="199">
        <f t="shared" si="41"/>
        <v>0</v>
      </c>
      <c r="DF34" s="199">
        <f t="shared" si="41"/>
        <v>0</v>
      </c>
      <c r="DG34" s="199">
        <f t="shared" si="41"/>
        <v>0</v>
      </c>
      <c r="DH34" s="199">
        <f t="shared" si="41"/>
        <v>0</v>
      </c>
      <c r="DI34" s="199">
        <f t="shared" si="41"/>
        <v>0</v>
      </c>
      <c r="DJ34" s="199">
        <f t="shared" si="41"/>
        <v>0</v>
      </c>
      <c r="DK34" s="199">
        <f t="shared" si="41"/>
        <v>0</v>
      </c>
      <c r="DL34" s="199">
        <f t="shared" si="41"/>
        <v>598</v>
      </c>
      <c r="DM34" s="199">
        <f t="shared" si="41"/>
        <v>0</v>
      </c>
      <c r="DN34" s="199">
        <f t="shared" si="41"/>
        <v>0</v>
      </c>
      <c r="DO34" s="199">
        <f t="shared" si="41"/>
        <v>0</v>
      </c>
      <c r="DP34" s="199">
        <f t="shared" si="41"/>
        <v>0</v>
      </c>
      <c r="DQ34" s="199">
        <f t="shared" si="41"/>
        <v>0</v>
      </c>
      <c r="DR34" s="199">
        <f t="shared" si="41"/>
        <v>0</v>
      </c>
      <c r="DS34" s="199">
        <f t="shared" si="41"/>
        <v>0</v>
      </c>
      <c r="DT34" s="199">
        <f t="shared" si="41"/>
        <v>0</v>
      </c>
      <c r="DU34" s="199">
        <f t="shared" si="41"/>
        <v>8374</v>
      </c>
      <c r="DV34" s="199">
        <f t="shared" si="41"/>
        <v>0</v>
      </c>
      <c r="DW34" s="199">
        <f t="shared" si="41"/>
        <v>0</v>
      </c>
      <c r="DX34" s="199">
        <f t="shared" si="41"/>
        <v>0</v>
      </c>
      <c r="DY34" s="199">
        <f t="shared" si="41"/>
        <v>0</v>
      </c>
      <c r="DZ34" s="199">
        <f t="shared" si="41"/>
        <v>0</v>
      </c>
      <c r="EA34" s="199">
        <f t="shared" si="41"/>
        <v>0</v>
      </c>
      <c r="EB34" s="199">
        <f t="shared" ref="EB34:GM34" si="42">EB20+EB21</f>
        <v>0</v>
      </c>
      <c r="EC34" s="199">
        <f t="shared" si="42"/>
        <v>0</v>
      </c>
      <c r="ED34" s="199">
        <f t="shared" si="42"/>
        <v>0</v>
      </c>
      <c r="EE34" s="199">
        <f t="shared" si="42"/>
        <v>0</v>
      </c>
      <c r="EF34" s="199">
        <f t="shared" si="42"/>
        <v>0</v>
      </c>
      <c r="EG34" s="199">
        <f t="shared" si="42"/>
        <v>0</v>
      </c>
      <c r="EH34" s="199">
        <f t="shared" si="42"/>
        <v>0</v>
      </c>
      <c r="EI34" s="199">
        <f t="shared" si="42"/>
        <v>0</v>
      </c>
      <c r="EJ34" s="199">
        <f t="shared" si="42"/>
        <v>0</v>
      </c>
      <c r="EK34" s="199">
        <f t="shared" si="42"/>
        <v>0</v>
      </c>
      <c r="EL34" s="199">
        <f t="shared" si="42"/>
        <v>0</v>
      </c>
      <c r="EM34" s="199">
        <f t="shared" si="42"/>
        <v>0</v>
      </c>
      <c r="EN34" s="199">
        <f t="shared" si="42"/>
        <v>0</v>
      </c>
      <c r="EO34" s="199">
        <f t="shared" si="42"/>
        <v>0</v>
      </c>
      <c r="EP34" s="199">
        <f t="shared" si="42"/>
        <v>0</v>
      </c>
      <c r="EQ34" s="199">
        <f t="shared" si="42"/>
        <v>0</v>
      </c>
      <c r="ER34" s="199">
        <f t="shared" si="42"/>
        <v>0</v>
      </c>
      <c r="ES34" s="199">
        <f t="shared" si="42"/>
        <v>0</v>
      </c>
      <c r="ET34" s="199">
        <f t="shared" si="42"/>
        <v>0</v>
      </c>
      <c r="EU34" s="199">
        <f t="shared" si="42"/>
        <v>0</v>
      </c>
      <c r="EV34" s="199">
        <f t="shared" si="42"/>
        <v>0</v>
      </c>
      <c r="EW34" s="199">
        <f t="shared" si="42"/>
        <v>0</v>
      </c>
      <c r="EX34" s="199">
        <f t="shared" si="42"/>
        <v>0</v>
      </c>
      <c r="EY34" s="199">
        <f t="shared" si="42"/>
        <v>0</v>
      </c>
      <c r="EZ34" s="199">
        <f t="shared" si="42"/>
        <v>0</v>
      </c>
      <c r="FA34" s="199">
        <f t="shared" si="42"/>
        <v>6107</v>
      </c>
      <c r="FB34" s="199">
        <f t="shared" si="42"/>
        <v>0</v>
      </c>
      <c r="FC34" s="199">
        <f t="shared" si="42"/>
        <v>0</v>
      </c>
      <c r="FD34" s="199">
        <f t="shared" si="42"/>
        <v>0</v>
      </c>
      <c r="FE34" s="199">
        <f t="shared" si="42"/>
        <v>0</v>
      </c>
      <c r="FF34" s="199">
        <f t="shared" si="42"/>
        <v>0</v>
      </c>
      <c r="FG34" s="199">
        <f t="shared" si="42"/>
        <v>0</v>
      </c>
      <c r="FH34" s="199">
        <f t="shared" si="42"/>
        <v>0</v>
      </c>
      <c r="FI34" s="199">
        <f t="shared" si="42"/>
        <v>0</v>
      </c>
      <c r="FJ34" s="199">
        <f t="shared" si="42"/>
        <v>0</v>
      </c>
      <c r="FK34" s="199">
        <f t="shared" si="42"/>
        <v>168856</v>
      </c>
      <c r="FL34" s="199">
        <f t="shared" si="42"/>
        <v>0</v>
      </c>
      <c r="FM34" s="199">
        <f t="shared" si="42"/>
        <v>0</v>
      </c>
      <c r="FN34" s="199">
        <f t="shared" si="42"/>
        <v>0</v>
      </c>
      <c r="FO34" s="199">
        <f t="shared" si="42"/>
        <v>0</v>
      </c>
      <c r="FP34" s="199">
        <f t="shared" si="42"/>
        <v>0</v>
      </c>
      <c r="FQ34" s="199">
        <f t="shared" si="42"/>
        <v>0</v>
      </c>
      <c r="FR34" s="199">
        <f t="shared" si="42"/>
        <v>0</v>
      </c>
      <c r="FS34" s="199">
        <f t="shared" si="42"/>
        <v>0</v>
      </c>
      <c r="FT34" s="199">
        <f t="shared" si="42"/>
        <v>0</v>
      </c>
      <c r="FU34" s="199">
        <f t="shared" si="42"/>
        <v>0</v>
      </c>
      <c r="FV34" s="199">
        <f t="shared" si="42"/>
        <v>0</v>
      </c>
      <c r="FW34" s="199">
        <f t="shared" si="42"/>
        <v>0</v>
      </c>
      <c r="FX34" s="199">
        <f t="shared" si="42"/>
        <v>0</v>
      </c>
      <c r="FY34" s="199">
        <f t="shared" si="42"/>
        <v>0</v>
      </c>
      <c r="FZ34" s="199">
        <f t="shared" si="42"/>
        <v>0</v>
      </c>
      <c r="GA34" s="199">
        <f t="shared" si="42"/>
        <v>0</v>
      </c>
      <c r="GB34" s="199">
        <f t="shared" si="42"/>
        <v>0</v>
      </c>
      <c r="GC34" s="199">
        <f t="shared" si="42"/>
        <v>0</v>
      </c>
      <c r="GD34" s="199">
        <f t="shared" si="42"/>
        <v>0</v>
      </c>
      <c r="GE34" s="199">
        <f t="shared" si="42"/>
        <v>0</v>
      </c>
      <c r="GF34" s="199">
        <f t="shared" si="42"/>
        <v>0</v>
      </c>
      <c r="GG34" s="199">
        <f t="shared" si="42"/>
        <v>0</v>
      </c>
      <c r="GH34" s="199">
        <f t="shared" si="42"/>
        <v>0</v>
      </c>
      <c r="GI34" s="199">
        <f t="shared" si="42"/>
        <v>0</v>
      </c>
      <c r="GJ34" s="199">
        <f t="shared" si="42"/>
        <v>0</v>
      </c>
      <c r="GK34" s="199">
        <f t="shared" si="42"/>
        <v>0</v>
      </c>
      <c r="GL34" s="199">
        <f t="shared" si="42"/>
        <v>0</v>
      </c>
      <c r="GM34" s="199">
        <f t="shared" si="42"/>
        <v>0</v>
      </c>
      <c r="GN34" s="199">
        <f t="shared" ref="GN34:IY34" si="43">GN20+GN21</f>
        <v>0</v>
      </c>
      <c r="GO34" s="199">
        <f t="shared" si="43"/>
        <v>0</v>
      </c>
      <c r="GP34" s="199">
        <f t="shared" si="43"/>
        <v>0</v>
      </c>
      <c r="GQ34" s="199">
        <f t="shared" si="43"/>
        <v>0</v>
      </c>
      <c r="GR34" s="199">
        <f t="shared" si="43"/>
        <v>0</v>
      </c>
      <c r="GS34" s="199">
        <f t="shared" si="43"/>
        <v>0</v>
      </c>
      <c r="GT34" s="199">
        <f t="shared" si="43"/>
        <v>0</v>
      </c>
      <c r="GU34" s="199">
        <f t="shared" si="43"/>
        <v>0</v>
      </c>
      <c r="GV34" s="199">
        <f t="shared" si="43"/>
        <v>0</v>
      </c>
      <c r="GW34" s="199">
        <f t="shared" si="43"/>
        <v>0</v>
      </c>
      <c r="GX34" s="199">
        <f t="shared" si="43"/>
        <v>0</v>
      </c>
      <c r="GY34" s="199">
        <f t="shared" si="43"/>
        <v>10167936</v>
      </c>
      <c r="GZ34" s="199">
        <f t="shared" si="43"/>
        <v>0</v>
      </c>
      <c r="HA34" s="199">
        <f t="shared" si="43"/>
        <v>0</v>
      </c>
      <c r="HB34" s="199">
        <f t="shared" si="43"/>
        <v>0</v>
      </c>
      <c r="HC34" s="199">
        <f t="shared" si="43"/>
        <v>0</v>
      </c>
      <c r="HD34" s="199">
        <f t="shared" si="43"/>
        <v>403994</v>
      </c>
      <c r="HE34" s="199">
        <f t="shared" si="43"/>
        <v>0</v>
      </c>
      <c r="HF34" s="199">
        <f t="shared" si="43"/>
        <v>0</v>
      </c>
      <c r="HG34" s="199">
        <f t="shared" si="43"/>
        <v>0</v>
      </c>
      <c r="HH34" s="199">
        <f t="shared" si="43"/>
        <v>0</v>
      </c>
      <c r="HI34" s="199">
        <f t="shared" si="43"/>
        <v>0</v>
      </c>
      <c r="HJ34" s="199">
        <f t="shared" si="43"/>
        <v>1324312</v>
      </c>
      <c r="HK34" s="199">
        <f t="shared" si="43"/>
        <v>514003</v>
      </c>
      <c r="HL34" s="199">
        <f t="shared" si="43"/>
        <v>0</v>
      </c>
      <c r="HM34" s="199">
        <f t="shared" si="43"/>
        <v>0</v>
      </c>
      <c r="HN34" s="199">
        <f t="shared" si="43"/>
        <v>0</v>
      </c>
      <c r="HO34" s="199">
        <f t="shared" si="43"/>
        <v>0</v>
      </c>
      <c r="HP34" s="199">
        <f t="shared" si="43"/>
        <v>0</v>
      </c>
      <c r="HQ34" s="199">
        <f t="shared" si="43"/>
        <v>0</v>
      </c>
      <c r="HR34" s="199">
        <f t="shared" si="43"/>
        <v>0</v>
      </c>
      <c r="HS34" s="199">
        <f t="shared" si="43"/>
        <v>0</v>
      </c>
      <c r="HT34" s="199">
        <f t="shared" si="43"/>
        <v>0</v>
      </c>
      <c r="HU34" s="199">
        <f t="shared" si="43"/>
        <v>0</v>
      </c>
      <c r="HV34" s="199">
        <f t="shared" si="43"/>
        <v>67138</v>
      </c>
      <c r="HW34" s="199">
        <f t="shared" si="43"/>
        <v>17521</v>
      </c>
      <c r="HX34" s="199">
        <f t="shared" si="43"/>
        <v>0</v>
      </c>
      <c r="HY34" s="199">
        <f t="shared" si="43"/>
        <v>0</v>
      </c>
      <c r="HZ34" s="199">
        <f t="shared" si="43"/>
        <v>0</v>
      </c>
      <c r="IA34" s="199">
        <f t="shared" si="43"/>
        <v>0</v>
      </c>
      <c r="IB34" s="199">
        <f t="shared" si="43"/>
        <v>0</v>
      </c>
      <c r="IC34" s="199">
        <f t="shared" si="43"/>
        <v>0</v>
      </c>
      <c r="ID34" s="199">
        <f t="shared" si="43"/>
        <v>0</v>
      </c>
      <c r="IE34" s="199">
        <f t="shared" si="43"/>
        <v>0</v>
      </c>
      <c r="IF34" s="199">
        <f t="shared" si="43"/>
        <v>0</v>
      </c>
      <c r="IG34" s="199">
        <f t="shared" si="43"/>
        <v>0</v>
      </c>
      <c r="IH34" s="199">
        <f t="shared" si="43"/>
        <v>0</v>
      </c>
      <c r="II34" s="199">
        <f t="shared" si="43"/>
        <v>0</v>
      </c>
      <c r="IJ34" s="199">
        <f t="shared" si="43"/>
        <v>0</v>
      </c>
      <c r="IK34" s="199">
        <f t="shared" si="43"/>
        <v>10375</v>
      </c>
      <c r="IL34" s="199">
        <f t="shared" si="43"/>
        <v>0</v>
      </c>
      <c r="IM34" s="199">
        <f t="shared" si="43"/>
        <v>0</v>
      </c>
      <c r="IN34" s="199">
        <f t="shared" si="43"/>
        <v>102799</v>
      </c>
      <c r="IO34" s="199">
        <f t="shared" si="43"/>
        <v>0</v>
      </c>
      <c r="IP34" s="199">
        <f t="shared" si="43"/>
        <v>0</v>
      </c>
      <c r="IQ34" s="199">
        <f t="shared" si="43"/>
        <v>0</v>
      </c>
      <c r="IR34" s="199">
        <f t="shared" si="43"/>
        <v>0</v>
      </c>
      <c r="IS34" s="199">
        <f t="shared" si="43"/>
        <v>0</v>
      </c>
      <c r="IT34" s="199">
        <f t="shared" si="43"/>
        <v>0</v>
      </c>
      <c r="IU34" s="199">
        <f t="shared" si="43"/>
        <v>0</v>
      </c>
      <c r="IV34" s="199">
        <f t="shared" si="43"/>
        <v>115656</v>
      </c>
      <c r="IW34" s="199">
        <f t="shared" si="43"/>
        <v>0</v>
      </c>
      <c r="IX34" s="199">
        <f t="shared" si="43"/>
        <v>0</v>
      </c>
      <c r="IY34" s="199">
        <f t="shared" si="43"/>
        <v>0</v>
      </c>
      <c r="IZ34" s="199">
        <f t="shared" ref="IZ34:LK34" si="44">IZ20+IZ21</f>
        <v>0</v>
      </c>
      <c r="JA34" s="199">
        <f t="shared" si="44"/>
        <v>0</v>
      </c>
      <c r="JB34" s="199">
        <f t="shared" si="44"/>
        <v>19630</v>
      </c>
      <c r="JC34" s="199">
        <f t="shared" si="44"/>
        <v>0</v>
      </c>
      <c r="JD34" s="199">
        <f t="shared" si="44"/>
        <v>0</v>
      </c>
      <c r="JE34" s="199">
        <f t="shared" si="44"/>
        <v>0</v>
      </c>
      <c r="JF34" s="199">
        <f t="shared" si="44"/>
        <v>0</v>
      </c>
      <c r="JG34" s="199">
        <f t="shared" si="44"/>
        <v>0</v>
      </c>
      <c r="JH34" s="199">
        <f t="shared" si="44"/>
        <v>0</v>
      </c>
      <c r="JI34" s="199">
        <f t="shared" si="44"/>
        <v>0</v>
      </c>
      <c r="JJ34" s="199">
        <f t="shared" si="44"/>
        <v>0</v>
      </c>
      <c r="JK34" s="199">
        <f t="shared" si="44"/>
        <v>0</v>
      </c>
      <c r="JL34" s="199">
        <f t="shared" si="44"/>
        <v>0</v>
      </c>
      <c r="JM34" s="199">
        <f t="shared" si="44"/>
        <v>0</v>
      </c>
      <c r="JN34" s="199">
        <f t="shared" si="44"/>
        <v>0</v>
      </c>
      <c r="JO34" s="199">
        <f t="shared" si="44"/>
        <v>0</v>
      </c>
      <c r="JP34" s="199">
        <f t="shared" si="44"/>
        <v>0</v>
      </c>
      <c r="JQ34" s="199">
        <f t="shared" si="44"/>
        <v>0</v>
      </c>
      <c r="JR34" s="199">
        <f t="shared" si="44"/>
        <v>0</v>
      </c>
      <c r="JS34" s="199">
        <f t="shared" si="44"/>
        <v>0</v>
      </c>
      <c r="JT34" s="199">
        <f t="shared" si="44"/>
        <v>0</v>
      </c>
      <c r="JU34" s="199">
        <f t="shared" si="44"/>
        <v>0</v>
      </c>
      <c r="JV34" s="199">
        <f t="shared" si="44"/>
        <v>0</v>
      </c>
      <c r="JW34" s="199">
        <f t="shared" si="44"/>
        <v>0</v>
      </c>
      <c r="JX34" s="199">
        <f t="shared" si="44"/>
        <v>0</v>
      </c>
      <c r="JY34" s="199">
        <f t="shared" si="44"/>
        <v>0</v>
      </c>
      <c r="JZ34" s="199">
        <f t="shared" si="44"/>
        <v>0</v>
      </c>
      <c r="KA34" s="199">
        <f t="shared" si="44"/>
        <v>0</v>
      </c>
      <c r="KB34" s="199">
        <f t="shared" si="44"/>
        <v>0</v>
      </c>
      <c r="KC34" s="199">
        <f t="shared" si="44"/>
        <v>62859</v>
      </c>
      <c r="KD34" s="199">
        <f t="shared" si="44"/>
        <v>0</v>
      </c>
      <c r="KE34" s="199">
        <f t="shared" si="44"/>
        <v>0</v>
      </c>
      <c r="KF34" s="199">
        <f t="shared" si="44"/>
        <v>0</v>
      </c>
      <c r="KG34" s="199">
        <f t="shared" si="44"/>
        <v>0</v>
      </c>
      <c r="KH34" s="199">
        <f t="shared" si="44"/>
        <v>0</v>
      </c>
      <c r="KI34" s="199">
        <f t="shared" si="44"/>
        <v>0</v>
      </c>
      <c r="KJ34" s="199">
        <f t="shared" si="44"/>
        <v>30685</v>
      </c>
      <c r="KK34" s="199">
        <f t="shared" si="44"/>
        <v>0</v>
      </c>
      <c r="KL34" s="199">
        <f t="shared" si="44"/>
        <v>0</v>
      </c>
      <c r="KM34" s="199">
        <f t="shared" si="44"/>
        <v>0</v>
      </c>
      <c r="KN34" s="199">
        <f t="shared" si="44"/>
        <v>0</v>
      </c>
      <c r="KO34" s="199">
        <f t="shared" si="44"/>
        <v>0</v>
      </c>
      <c r="KP34" s="199">
        <f t="shared" si="44"/>
        <v>0</v>
      </c>
      <c r="KQ34" s="199">
        <f t="shared" si="44"/>
        <v>0</v>
      </c>
      <c r="KR34" s="199">
        <f t="shared" si="44"/>
        <v>0</v>
      </c>
      <c r="KS34" s="199">
        <f t="shared" si="44"/>
        <v>0</v>
      </c>
      <c r="KT34" s="199">
        <f t="shared" si="44"/>
        <v>0</v>
      </c>
      <c r="KU34" s="199">
        <f t="shared" si="44"/>
        <v>0</v>
      </c>
      <c r="KV34" s="199">
        <f t="shared" si="44"/>
        <v>0</v>
      </c>
      <c r="KW34" s="199">
        <f t="shared" si="44"/>
        <v>0</v>
      </c>
      <c r="KX34" s="199">
        <f t="shared" si="44"/>
        <v>0</v>
      </c>
      <c r="KY34" s="199">
        <f t="shared" si="44"/>
        <v>0</v>
      </c>
      <c r="KZ34" s="199">
        <f t="shared" si="44"/>
        <v>0</v>
      </c>
      <c r="LA34" s="199">
        <f t="shared" si="44"/>
        <v>0</v>
      </c>
      <c r="LB34" s="199">
        <f t="shared" si="44"/>
        <v>83635</v>
      </c>
      <c r="LC34" s="199">
        <f t="shared" si="44"/>
        <v>0</v>
      </c>
      <c r="LD34" s="199">
        <f t="shared" si="44"/>
        <v>0</v>
      </c>
      <c r="LE34" s="199">
        <f t="shared" si="44"/>
        <v>0</v>
      </c>
      <c r="LF34" s="199">
        <f t="shared" si="44"/>
        <v>0</v>
      </c>
      <c r="LG34" s="199">
        <f t="shared" si="44"/>
        <v>0</v>
      </c>
      <c r="LH34" s="199">
        <f t="shared" si="44"/>
        <v>0</v>
      </c>
      <c r="LI34" s="199">
        <f t="shared" si="44"/>
        <v>0</v>
      </c>
      <c r="LJ34" s="199">
        <f t="shared" si="44"/>
        <v>0</v>
      </c>
      <c r="LK34" s="199">
        <f t="shared" si="44"/>
        <v>0</v>
      </c>
      <c r="LL34" s="199">
        <f t="shared" ref="LL34:NW34" si="45">LL20+LL21</f>
        <v>0</v>
      </c>
      <c r="LM34" s="199">
        <f t="shared" si="45"/>
        <v>84097</v>
      </c>
      <c r="LN34" s="199">
        <f t="shared" si="45"/>
        <v>0</v>
      </c>
      <c r="LO34" s="199">
        <f t="shared" si="45"/>
        <v>0</v>
      </c>
      <c r="LP34" s="199">
        <f t="shared" si="45"/>
        <v>295570</v>
      </c>
      <c r="LQ34" s="199">
        <f t="shared" si="45"/>
        <v>0</v>
      </c>
      <c r="LR34" s="199">
        <f t="shared" si="45"/>
        <v>0</v>
      </c>
      <c r="LS34" s="199">
        <f t="shared" si="45"/>
        <v>0</v>
      </c>
      <c r="LT34" s="199">
        <f t="shared" si="45"/>
        <v>0</v>
      </c>
      <c r="LU34" s="199">
        <f t="shared" si="45"/>
        <v>0</v>
      </c>
      <c r="LV34" s="199">
        <f t="shared" si="45"/>
        <v>0</v>
      </c>
      <c r="LW34" s="199">
        <f t="shared" si="45"/>
        <v>0</v>
      </c>
      <c r="LX34" s="199">
        <f t="shared" si="45"/>
        <v>0</v>
      </c>
      <c r="LY34" s="199">
        <f t="shared" si="45"/>
        <v>0</v>
      </c>
      <c r="LZ34" s="199">
        <f t="shared" si="45"/>
        <v>0</v>
      </c>
      <c r="MA34" s="199">
        <f t="shared" si="45"/>
        <v>0</v>
      </c>
      <c r="MB34" s="199">
        <f t="shared" si="45"/>
        <v>0</v>
      </c>
      <c r="MC34" s="199">
        <f t="shared" si="45"/>
        <v>0</v>
      </c>
      <c r="MD34" s="199">
        <f t="shared" si="45"/>
        <v>0</v>
      </c>
      <c r="ME34" s="199">
        <f t="shared" si="45"/>
        <v>0</v>
      </c>
      <c r="MF34" s="199">
        <f t="shared" si="45"/>
        <v>0</v>
      </c>
      <c r="MG34" s="199">
        <f t="shared" si="45"/>
        <v>0</v>
      </c>
      <c r="MH34" s="199">
        <f t="shared" si="45"/>
        <v>0</v>
      </c>
      <c r="MI34" s="199">
        <f t="shared" si="45"/>
        <v>0</v>
      </c>
      <c r="MJ34" s="199">
        <f t="shared" si="45"/>
        <v>23633</v>
      </c>
      <c r="MK34" s="199">
        <f t="shared" si="45"/>
        <v>0</v>
      </c>
      <c r="ML34" s="199">
        <f t="shared" si="45"/>
        <v>0</v>
      </c>
      <c r="MM34" s="199">
        <f t="shared" si="45"/>
        <v>0</v>
      </c>
      <c r="MN34" s="199">
        <f t="shared" si="45"/>
        <v>0</v>
      </c>
      <c r="MO34" s="199">
        <f t="shared" si="45"/>
        <v>0</v>
      </c>
      <c r="MP34" s="199">
        <f t="shared" si="45"/>
        <v>0</v>
      </c>
      <c r="MQ34" s="199">
        <f t="shared" si="45"/>
        <v>751734</v>
      </c>
      <c r="MR34" s="199">
        <f t="shared" si="45"/>
        <v>0</v>
      </c>
      <c r="MS34" s="199">
        <f t="shared" si="45"/>
        <v>0</v>
      </c>
      <c r="MT34" s="199">
        <f t="shared" si="45"/>
        <v>407563</v>
      </c>
      <c r="MU34" s="199">
        <f t="shared" si="45"/>
        <v>12922</v>
      </c>
      <c r="MV34" s="199">
        <f t="shared" si="45"/>
        <v>0</v>
      </c>
      <c r="MW34" s="199">
        <f t="shared" si="45"/>
        <v>0</v>
      </c>
      <c r="MX34" s="199">
        <f t="shared" si="45"/>
        <v>0</v>
      </c>
      <c r="MY34" s="199">
        <f t="shared" si="45"/>
        <v>0</v>
      </c>
      <c r="MZ34" s="199">
        <f t="shared" si="45"/>
        <v>0</v>
      </c>
      <c r="NA34" s="199">
        <f t="shared" si="45"/>
        <v>0</v>
      </c>
      <c r="NB34" s="199">
        <f t="shared" si="45"/>
        <v>0</v>
      </c>
      <c r="NC34" s="199">
        <f t="shared" si="45"/>
        <v>0</v>
      </c>
      <c r="ND34" s="199">
        <f t="shared" si="45"/>
        <v>0</v>
      </c>
      <c r="NE34" s="199">
        <f t="shared" si="45"/>
        <v>0</v>
      </c>
      <c r="NF34" s="199">
        <f t="shared" si="45"/>
        <v>0</v>
      </c>
      <c r="NG34" s="199">
        <f t="shared" si="45"/>
        <v>0</v>
      </c>
      <c r="NH34" s="199">
        <f t="shared" si="45"/>
        <v>0</v>
      </c>
      <c r="NI34" s="199">
        <f t="shared" si="45"/>
        <v>0</v>
      </c>
      <c r="NJ34" s="199">
        <f t="shared" si="45"/>
        <v>0</v>
      </c>
      <c r="NK34" s="199">
        <f t="shared" si="45"/>
        <v>0</v>
      </c>
      <c r="NL34" s="199">
        <f t="shared" si="45"/>
        <v>0</v>
      </c>
      <c r="NM34" s="199">
        <f t="shared" si="45"/>
        <v>0</v>
      </c>
      <c r="NN34" s="199">
        <f t="shared" si="45"/>
        <v>0</v>
      </c>
      <c r="NO34" s="199">
        <f t="shared" si="45"/>
        <v>0</v>
      </c>
      <c r="NP34" s="199">
        <f t="shared" si="45"/>
        <v>0</v>
      </c>
      <c r="NQ34" s="199">
        <f t="shared" si="45"/>
        <v>0</v>
      </c>
      <c r="NR34" s="199">
        <f t="shared" si="45"/>
        <v>0</v>
      </c>
      <c r="NS34" s="199">
        <f t="shared" si="45"/>
        <v>0</v>
      </c>
      <c r="NT34" s="199">
        <f t="shared" si="45"/>
        <v>84371</v>
      </c>
      <c r="NU34" s="199">
        <f t="shared" si="45"/>
        <v>0</v>
      </c>
      <c r="NV34" s="199">
        <f t="shared" si="45"/>
        <v>0</v>
      </c>
      <c r="NW34" s="199">
        <f t="shared" si="45"/>
        <v>0</v>
      </c>
      <c r="NX34" s="199">
        <f t="shared" ref="NX34:QI34" si="46">NX20+NX21</f>
        <v>0</v>
      </c>
      <c r="NY34" s="199">
        <f t="shared" si="46"/>
        <v>0</v>
      </c>
      <c r="NZ34" s="199">
        <f t="shared" si="46"/>
        <v>0</v>
      </c>
      <c r="OA34" s="199">
        <f t="shared" si="46"/>
        <v>0</v>
      </c>
      <c r="OB34" s="199">
        <f t="shared" si="46"/>
        <v>0</v>
      </c>
      <c r="OC34" s="199">
        <f t="shared" si="46"/>
        <v>0</v>
      </c>
      <c r="OD34" s="199">
        <f t="shared" si="46"/>
        <v>0</v>
      </c>
      <c r="OE34" s="199">
        <f t="shared" si="46"/>
        <v>0</v>
      </c>
      <c r="OF34" s="199">
        <f t="shared" si="46"/>
        <v>130</v>
      </c>
      <c r="OG34" s="199">
        <f t="shared" si="46"/>
        <v>0</v>
      </c>
      <c r="OH34" s="199">
        <f t="shared" si="46"/>
        <v>0</v>
      </c>
      <c r="OI34" s="199">
        <f t="shared" si="46"/>
        <v>0</v>
      </c>
      <c r="OJ34" s="199">
        <f t="shared" si="46"/>
        <v>0</v>
      </c>
      <c r="OK34" s="199">
        <f t="shared" si="46"/>
        <v>0</v>
      </c>
      <c r="OL34" s="199">
        <f t="shared" si="46"/>
        <v>0</v>
      </c>
      <c r="OM34" s="199">
        <f t="shared" si="46"/>
        <v>0</v>
      </c>
      <c r="ON34" s="199">
        <f t="shared" si="46"/>
        <v>0</v>
      </c>
      <c r="OO34" s="199">
        <f t="shared" si="46"/>
        <v>0</v>
      </c>
      <c r="OP34" s="199">
        <f t="shared" si="46"/>
        <v>0</v>
      </c>
      <c r="OQ34" s="199">
        <f t="shared" si="46"/>
        <v>0</v>
      </c>
      <c r="OR34" s="199">
        <f t="shared" si="46"/>
        <v>0</v>
      </c>
      <c r="OS34" s="199">
        <f t="shared" si="46"/>
        <v>0</v>
      </c>
      <c r="OT34" s="199">
        <f t="shared" si="46"/>
        <v>0</v>
      </c>
      <c r="OU34" s="199">
        <f t="shared" si="46"/>
        <v>0</v>
      </c>
      <c r="OV34" s="199">
        <f t="shared" si="46"/>
        <v>6000</v>
      </c>
      <c r="OW34" s="199">
        <f t="shared" si="46"/>
        <v>0</v>
      </c>
      <c r="OX34" s="199">
        <f t="shared" si="46"/>
        <v>0</v>
      </c>
      <c r="OY34" s="199">
        <f t="shared" si="46"/>
        <v>0</v>
      </c>
      <c r="OZ34" s="199">
        <f t="shared" si="46"/>
        <v>0</v>
      </c>
      <c r="PA34" s="199">
        <f t="shared" si="46"/>
        <v>0</v>
      </c>
      <c r="PB34" s="199">
        <f t="shared" si="46"/>
        <v>0</v>
      </c>
      <c r="PC34" s="199">
        <f t="shared" si="46"/>
        <v>0</v>
      </c>
      <c r="PD34" s="199">
        <f t="shared" si="46"/>
        <v>0</v>
      </c>
      <c r="PE34" s="199">
        <f t="shared" si="46"/>
        <v>0</v>
      </c>
      <c r="PF34" s="199">
        <f t="shared" si="46"/>
        <v>0</v>
      </c>
      <c r="PG34" s="199">
        <f t="shared" si="46"/>
        <v>0</v>
      </c>
      <c r="PH34" s="199">
        <f t="shared" si="46"/>
        <v>0</v>
      </c>
      <c r="PI34" s="199">
        <f t="shared" si="46"/>
        <v>0</v>
      </c>
      <c r="PJ34" s="199">
        <f t="shared" si="46"/>
        <v>0</v>
      </c>
      <c r="PK34" s="199">
        <f t="shared" si="46"/>
        <v>0</v>
      </c>
      <c r="PL34" s="199">
        <f t="shared" si="46"/>
        <v>0</v>
      </c>
      <c r="PM34" s="199">
        <f t="shared" si="46"/>
        <v>0</v>
      </c>
      <c r="PN34" s="199">
        <f t="shared" si="46"/>
        <v>0</v>
      </c>
      <c r="PO34" s="199">
        <f t="shared" si="46"/>
        <v>0</v>
      </c>
      <c r="PP34" s="199">
        <f t="shared" si="46"/>
        <v>0</v>
      </c>
      <c r="PQ34" s="199">
        <f t="shared" si="46"/>
        <v>0</v>
      </c>
      <c r="PR34" s="199">
        <f t="shared" si="46"/>
        <v>0</v>
      </c>
      <c r="PS34" s="199">
        <f t="shared" si="46"/>
        <v>0</v>
      </c>
      <c r="PT34" s="199">
        <f t="shared" si="46"/>
        <v>0</v>
      </c>
      <c r="PU34" s="199">
        <f t="shared" si="46"/>
        <v>0</v>
      </c>
      <c r="PV34" s="199">
        <f t="shared" si="46"/>
        <v>0</v>
      </c>
      <c r="PW34" s="199">
        <f t="shared" si="46"/>
        <v>0</v>
      </c>
      <c r="PX34" s="199">
        <f t="shared" si="46"/>
        <v>0</v>
      </c>
      <c r="PY34" s="199">
        <f t="shared" si="46"/>
        <v>0</v>
      </c>
      <c r="PZ34" s="199">
        <f t="shared" si="46"/>
        <v>0</v>
      </c>
      <c r="QA34" s="199">
        <f t="shared" si="46"/>
        <v>0</v>
      </c>
      <c r="QB34" s="199">
        <f t="shared" si="46"/>
        <v>0</v>
      </c>
      <c r="QC34" s="199">
        <f t="shared" si="46"/>
        <v>0</v>
      </c>
      <c r="QD34" s="199">
        <f t="shared" si="46"/>
        <v>0</v>
      </c>
      <c r="QE34" s="199">
        <f t="shared" si="46"/>
        <v>0</v>
      </c>
      <c r="QF34" s="199">
        <f t="shared" si="46"/>
        <v>0</v>
      </c>
      <c r="QG34" s="199">
        <f t="shared" si="46"/>
        <v>0</v>
      </c>
      <c r="QH34" s="199">
        <f t="shared" si="46"/>
        <v>0</v>
      </c>
      <c r="QI34" s="199">
        <f t="shared" si="46"/>
        <v>88308</v>
      </c>
      <c r="QJ34" s="199">
        <f t="shared" ref="QJ34:QR34" si="47">QJ20+QJ21</f>
        <v>0</v>
      </c>
      <c r="QK34" s="199">
        <f t="shared" si="47"/>
        <v>416871</v>
      </c>
      <c r="QL34" s="199">
        <f t="shared" si="47"/>
        <v>47830</v>
      </c>
      <c r="QM34" s="199">
        <f t="shared" si="47"/>
        <v>180000</v>
      </c>
      <c r="QN34" s="199">
        <f t="shared" si="47"/>
        <v>0</v>
      </c>
      <c r="QO34" s="199">
        <f t="shared" si="47"/>
        <v>0</v>
      </c>
      <c r="QP34" s="199">
        <f t="shared" si="47"/>
        <v>0</v>
      </c>
      <c r="QQ34" s="199">
        <f t="shared" si="47"/>
        <v>0</v>
      </c>
      <c r="QR34" s="199">
        <f t="shared" si="47"/>
        <v>0</v>
      </c>
    </row>
    <row r="35" spans="1:460">
      <c r="A35" s="133">
        <f>A22</f>
        <v>221</v>
      </c>
      <c r="B35" s="133" t="str">
        <f>B22</f>
        <v>Emmett Independent</v>
      </c>
      <c r="C35" s="199">
        <f>C22+C23</f>
        <v>207</v>
      </c>
      <c r="D35" s="199">
        <f t="shared" ref="D35:BO35" si="48">D22+D23</f>
        <v>0</v>
      </c>
      <c r="E35" s="199">
        <f t="shared" si="48"/>
        <v>0</v>
      </c>
      <c r="F35" s="199">
        <f t="shared" si="48"/>
        <v>0</v>
      </c>
      <c r="G35" s="199">
        <f t="shared" si="48"/>
        <v>1405645</v>
      </c>
      <c r="H35" s="199">
        <f t="shared" si="48"/>
        <v>0</v>
      </c>
      <c r="I35" s="199">
        <f t="shared" si="48"/>
        <v>1237</v>
      </c>
      <c r="J35" s="199">
        <f t="shared" si="48"/>
        <v>27741</v>
      </c>
      <c r="K35" s="199">
        <f t="shared" si="48"/>
        <v>0</v>
      </c>
      <c r="L35" s="199">
        <f t="shared" si="48"/>
        <v>520</v>
      </c>
      <c r="M35" s="199">
        <f t="shared" si="48"/>
        <v>0</v>
      </c>
      <c r="N35" s="199">
        <f t="shared" si="48"/>
        <v>0</v>
      </c>
      <c r="O35" s="199">
        <f t="shared" si="48"/>
        <v>0</v>
      </c>
      <c r="P35" s="199">
        <f t="shared" si="48"/>
        <v>0</v>
      </c>
      <c r="Q35" s="199">
        <f t="shared" si="48"/>
        <v>0</v>
      </c>
      <c r="R35" s="199">
        <f t="shared" si="48"/>
        <v>0</v>
      </c>
      <c r="S35" s="199">
        <f t="shared" si="48"/>
        <v>0</v>
      </c>
      <c r="T35" s="199">
        <f t="shared" si="48"/>
        <v>0</v>
      </c>
      <c r="U35" s="199">
        <f t="shared" si="48"/>
        <v>0</v>
      </c>
      <c r="V35" s="199">
        <f t="shared" si="48"/>
        <v>964728</v>
      </c>
      <c r="W35" s="199">
        <f t="shared" si="48"/>
        <v>0</v>
      </c>
      <c r="X35" s="199">
        <f t="shared" si="48"/>
        <v>0</v>
      </c>
      <c r="Y35" s="199">
        <f t="shared" si="48"/>
        <v>0</v>
      </c>
      <c r="Z35" s="199">
        <f t="shared" si="48"/>
        <v>0</v>
      </c>
      <c r="AA35" s="199">
        <f t="shared" si="48"/>
        <v>0</v>
      </c>
      <c r="AB35" s="199">
        <f t="shared" si="48"/>
        <v>0</v>
      </c>
      <c r="AC35" s="199">
        <f t="shared" si="48"/>
        <v>0</v>
      </c>
      <c r="AD35" s="199">
        <f t="shared" si="48"/>
        <v>0</v>
      </c>
      <c r="AE35" s="199">
        <f t="shared" si="48"/>
        <v>0</v>
      </c>
      <c r="AF35" s="199">
        <f t="shared" si="48"/>
        <v>0</v>
      </c>
      <c r="AG35" s="199">
        <f t="shared" si="48"/>
        <v>0</v>
      </c>
      <c r="AH35" s="199">
        <f t="shared" si="48"/>
        <v>0</v>
      </c>
      <c r="AI35" s="199">
        <f t="shared" si="48"/>
        <v>0</v>
      </c>
      <c r="AJ35" s="199">
        <f t="shared" si="48"/>
        <v>712</v>
      </c>
      <c r="AK35" s="199">
        <f t="shared" si="48"/>
        <v>0</v>
      </c>
      <c r="AL35" s="199">
        <f t="shared" si="48"/>
        <v>0</v>
      </c>
      <c r="AM35" s="199">
        <f t="shared" si="48"/>
        <v>0</v>
      </c>
      <c r="AN35" s="199">
        <f t="shared" si="48"/>
        <v>0</v>
      </c>
      <c r="AO35" s="199">
        <f t="shared" si="48"/>
        <v>0</v>
      </c>
      <c r="AP35" s="199">
        <f t="shared" si="48"/>
        <v>0</v>
      </c>
      <c r="AQ35" s="199">
        <f t="shared" si="48"/>
        <v>0</v>
      </c>
      <c r="AR35" s="199">
        <f t="shared" si="48"/>
        <v>0</v>
      </c>
      <c r="AS35" s="199">
        <f t="shared" si="48"/>
        <v>0</v>
      </c>
      <c r="AT35" s="199">
        <f t="shared" si="48"/>
        <v>0</v>
      </c>
      <c r="AU35" s="199">
        <f t="shared" si="48"/>
        <v>0</v>
      </c>
      <c r="AV35" s="199">
        <f t="shared" si="48"/>
        <v>0</v>
      </c>
      <c r="AW35" s="199">
        <f t="shared" si="48"/>
        <v>0</v>
      </c>
      <c r="AX35" s="199">
        <f t="shared" si="48"/>
        <v>0</v>
      </c>
      <c r="AY35" s="199">
        <f t="shared" si="48"/>
        <v>0</v>
      </c>
      <c r="AZ35" s="199">
        <f t="shared" si="48"/>
        <v>0</v>
      </c>
      <c r="BA35" s="199">
        <f t="shared" si="48"/>
        <v>0</v>
      </c>
      <c r="BB35" s="199">
        <f t="shared" si="48"/>
        <v>453</v>
      </c>
      <c r="BC35" s="199">
        <f t="shared" si="48"/>
        <v>0</v>
      </c>
      <c r="BD35" s="199">
        <f t="shared" si="48"/>
        <v>0</v>
      </c>
      <c r="BE35" s="199">
        <f t="shared" si="48"/>
        <v>0</v>
      </c>
      <c r="BF35" s="199">
        <f t="shared" si="48"/>
        <v>0</v>
      </c>
      <c r="BG35" s="199">
        <f t="shared" si="48"/>
        <v>0</v>
      </c>
      <c r="BH35" s="199">
        <f t="shared" si="48"/>
        <v>0</v>
      </c>
      <c r="BI35" s="199">
        <f t="shared" si="48"/>
        <v>0</v>
      </c>
      <c r="BJ35" s="199">
        <f t="shared" si="48"/>
        <v>0</v>
      </c>
      <c r="BK35" s="199">
        <f t="shared" si="48"/>
        <v>23</v>
      </c>
      <c r="BL35" s="199">
        <f t="shared" si="48"/>
        <v>0</v>
      </c>
      <c r="BM35" s="199">
        <f t="shared" si="48"/>
        <v>0</v>
      </c>
      <c r="BN35" s="199">
        <f t="shared" si="48"/>
        <v>0</v>
      </c>
      <c r="BO35" s="199">
        <f t="shared" si="48"/>
        <v>0</v>
      </c>
      <c r="BP35" s="199">
        <f t="shared" ref="BP35:EA35" si="49">BP22+BP23</f>
        <v>0</v>
      </c>
      <c r="BQ35" s="199">
        <f t="shared" si="49"/>
        <v>0</v>
      </c>
      <c r="BR35" s="199">
        <f t="shared" si="49"/>
        <v>0</v>
      </c>
      <c r="BS35" s="199">
        <f t="shared" si="49"/>
        <v>0</v>
      </c>
      <c r="BT35" s="199">
        <f t="shared" si="49"/>
        <v>0</v>
      </c>
      <c r="BU35" s="199">
        <f t="shared" si="49"/>
        <v>0</v>
      </c>
      <c r="BV35" s="199">
        <f t="shared" si="49"/>
        <v>149211</v>
      </c>
      <c r="BW35" s="199">
        <f t="shared" si="49"/>
        <v>9209</v>
      </c>
      <c r="BX35" s="199">
        <f t="shared" si="49"/>
        <v>0</v>
      </c>
      <c r="BY35" s="199">
        <f t="shared" si="49"/>
        <v>0</v>
      </c>
      <c r="BZ35" s="199">
        <f t="shared" si="49"/>
        <v>46618</v>
      </c>
      <c r="CA35" s="199">
        <f t="shared" si="49"/>
        <v>0</v>
      </c>
      <c r="CB35" s="199">
        <f t="shared" si="49"/>
        <v>0</v>
      </c>
      <c r="CC35" s="199">
        <f t="shared" si="49"/>
        <v>0</v>
      </c>
      <c r="CD35" s="199">
        <f t="shared" si="49"/>
        <v>0</v>
      </c>
      <c r="CE35" s="199">
        <f t="shared" si="49"/>
        <v>0</v>
      </c>
      <c r="CF35" s="199">
        <f t="shared" si="49"/>
        <v>0</v>
      </c>
      <c r="CG35" s="199">
        <f t="shared" si="49"/>
        <v>0</v>
      </c>
      <c r="CH35" s="199">
        <f t="shared" si="49"/>
        <v>0</v>
      </c>
      <c r="CI35" s="199">
        <f t="shared" si="49"/>
        <v>0</v>
      </c>
      <c r="CJ35" s="199">
        <f t="shared" si="49"/>
        <v>0</v>
      </c>
      <c r="CK35" s="199">
        <f t="shared" si="49"/>
        <v>0</v>
      </c>
      <c r="CL35" s="199">
        <f t="shared" si="49"/>
        <v>0</v>
      </c>
      <c r="CM35" s="199">
        <f t="shared" si="49"/>
        <v>0</v>
      </c>
      <c r="CN35" s="199">
        <f t="shared" si="49"/>
        <v>0</v>
      </c>
      <c r="CO35" s="199">
        <f t="shared" si="49"/>
        <v>0</v>
      </c>
      <c r="CP35" s="199">
        <f t="shared" si="49"/>
        <v>0</v>
      </c>
      <c r="CQ35" s="199">
        <f t="shared" si="49"/>
        <v>0</v>
      </c>
      <c r="CR35" s="199">
        <f t="shared" si="49"/>
        <v>0</v>
      </c>
      <c r="CS35" s="199">
        <f t="shared" si="49"/>
        <v>0</v>
      </c>
      <c r="CT35" s="199">
        <f t="shared" si="49"/>
        <v>0</v>
      </c>
      <c r="CU35" s="199">
        <f t="shared" si="49"/>
        <v>0</v>
      </c>
      <c r="CV35" s="199">
        <f t="shared" si="49"/>
        <v>0</v>
      </c>
      <c r="CW35" s="199">
        <f t="shared" si="49"/>
        <v>0</v>
      </c>
      <c r="CX35" s="199">
        <f t="shared" si="49"/>
        <v>0</v>
      </c>
      <c r="CY35" s="199">
        <f t="shared" si="49"/>
        <v>0</v>
      </c>
      <c r="CZ35" s="199">
        <f t="shared" si="49"/>
        <v>0</v>
      </c>
      <c r="DA35" s="199">
        <f t="shared" si="49"/>
        <v>0</v>
      </c>
      <c r="DB35" s="199">
        <f t="shared" si="49"/>
        <v>0</v>
      </c>
      <c r="DC35" s="199">
        <f t="shared" si="49"/>
        <v>0</v>
      </c>
      <c r="DD35" s="199">
        <f t="shared" si="49"/>
        <v>0</v>
      </c>
      <c r="DE35" s="199">
        <f t="shared" si="49"/>
        <v>0</v>
      </c>
      <c r="DF35" s="199">
        <f t="shared" si="49"/>
        <v>0</v>
      </c>
      <c r="DG35" s="199">
        <f t="shared" si="49"/>
        <v>0</v>
      </c>
      <c r="DH35" s="199">
        <f t="shared" si="49"/>
        <v>0</v>
      </c>
      <c r="DI35" s="199">
        <f t="shared" si="49"/>
        <v>0</v>
      </c>
      <c r="DJ35" s="199">
        <f t="shared" si="49"/>
        <v>0</v>
      </c>
      <c r="DK35" s="199">
        <f t="shared" si="49"/>
        <v>0</v>
      </c>
      <c r="DL35" s="199">
        <f t="shared" si="49"/>
        <v>0</v>
      </c>
      <c r="DM35" s="199">
        <f t="shared" si="49"/>
        <v>0</v>
      </c>
      <c r="DN35" s="199">
        <f t="shared" si="49"/>
        <v>0</v>
      </c>
      <c r="DO35" s="199">
        <f t="shared" si="49"/>
        <v>0</v>
      </c>
      <c r="DP35" s="199">
        <f t="shared" si="49"/>
        <v>0</v>
      </c>
      <c r="DQ35" s="199">
        <f t="shared" si="49"/>
        <v>0</v>
      </c>
      <c r="DR35" s="199">
        <f t="shared" si="49"/>
        <v>0</v>
      </c>
      <c r="DS35" s="199">
        <f t="shared" si="49"/>
        <v>0</v>
      </c>
      <c r="DT35" s="199">
        <f t="shared" si="49"/>
        <v>0</v>
      </c>
      <c r="DU35" s="199">
        <f t="shared" si="49"/>
        <v>0</v>
      </c>
      <c r="DV35" s="199">
        <f t="shared" si="49"/>
        <v>0</v>
      </c>
      <c r="DW35" s="199">
        <f t="shared" si="49"/>
        <v>0</v>
      </c>
      <c r="DX35" s="199">
        <f t="shared" si="49"/>
        <v>0</v>
      </c>
      <c r="DY35" s="199">
        <f t="shared" si="49"/>
        <v>0</v>
      </c>
      <c r="DZ35" s="199">
        <f t="shared" si="49"/>
        <v>0</v>
      </c>
      <c r="EA35" s="199">
        <f t="shared" si="49"/>
        <v>0</v>
      </c>
      <c r="EB35" s="199">
        <f t="shared" ref="EB35:GM35" si="50">EB22+EB23</f>
        <v>0</v>
      </c>
      <c r="EC35" s="199">
        <f t="shared" si="50"/>
        <v>0</v>
      </c>
      <c r="ED35" s="199">
        <f t="shared" si="50"/>
        <v>0</v>
      </c>
      <c r="EE35" s="199">
        <f t="shared" si="50"/>
        <v>0</v>
      </c>
      <c r="EF35" s="199">
        <f t="shared" si="50"/>
        <v>0</v>
      </c>
      <c r="EG35" s="199">
        <f t="shared" si="50"/>
        <v>0</v>
      </c>
      <c r="EH35" s="199">
        <f t="shared" si="50"/>
        <v>0</v>
      </c>
      <c r="EI35" s="199">
        <f t="shared" si="50"/>
        <v>0</v>
      </c>
      <c r="EJ35" s="199">
        <f t="shared" si="50"/>
        <v>0</v>
      </c>
      <c r="EK35" s="199">
        <f t="shared" si="50"/>
        <v>0</v>
      </c>
      <c r="EL35" s="199">
        <f t="shared" si="50"/>
        <v>0</v>
      </c>
      <c r="EM35" s="199">
        <f t="shared" si="50"/>
        <v>0</v>
      </c>
      <c r="EN35" s="199">
        <f t="shared" si="50"/>
        <v>0</v>
      </c>
      <c r="EO35" s="199">
        <f t="shared" si="50"/>
        <v>0</v>
      </c>
      <c r="EP35" s="199">
        <f t="shared" si="50"/>
        <v>0</v>
      </c>
      <c r="EQ35" s="199">
        <f t="shared" si="50"/>
        <v>0</v>
      </c>
      <c r="ER35" s="199">
        <f t="shared" si="50"/>
        <v>0</v>
      </c>
      <c r="ES35" s="199">
        <f t="shared" si="50"/>
        <v>0</v>
      </c>
      <c r="ET35" s="199">
        <f t="shared" si="50"/>
        <v>0</v>
      </c>
      <c r="EU35" s="199">
        <f t="shared" si="50"/>
        <v>0</v>
      </c>
      <c r="EV35" s="199">
        <f t="shared" si="50"/>
        <v>0</v>
      </c>
      <c r="EW35" s="199">
        <f t="shared" si="50"/>
        <v>0</v>
      </c>
      <c r="EX35" s="199">
        <f t="shared" si="50"/>
        <v>0</v>
      </c>
      <c r="EY35" s="199">
        <f t="shared" si="50"/>
        <v>0</v>
      </c>
      <c r="EZ35" s="199">
        <f t="shared" si="50"/>
        <v>0</v>
      </c>
      <c r="FA35" s="199">
        <f t="shared" si="50"/>
        <v>0</v>
      </c>
      <c r="FB35" s="199">
        <f t="shared" si="50"/>
        <v>0</v>
      </c>
      <c r="FC35" s="199">
        <f t="shared" si="50"/>
        <v>0</v>
      </c>
      <c r="FD35" s="199">
        <f t="shared" si="50"/>
        <v>0</v>
      </c>
      <c r="FE35" s="199">
        <f t="shared" si="50"/>
        <v>0</v>
      </c>
      <c r="FF35" s="199">
        <f t="shared" si="50"/>
        <v>0</v>
      </c>
      <c r="FG35" s="199">
        <f t="shared" si="50"/>
        <v>0</v>
      </c>
      <c r="FH35" s="199">
        <f t="shared" si="50"/>
        <v>0</v>
      </c>
      <c r="FI35" s="199">
        <f t="shared" si="50"/>
        <v>0</v>
      </c>
      <c r="FJ35" s="199">
        <f t="shared" si="50"/>
        <v>25454</v>
      </c>
      <c r="FK35" s="199">
        <f t="shared" si="50"/>
        <v>1283907</v>
      </c>
      <c r="FL35" s="199">
        <f t="shared" si="50"/>
        <v>0</v>
      </c>
      <c r="FM35" s="199">
        <f t="shared" si="50"/>
        <v>1500</v>
      </c>
      <c r="FN35" s="199">
        <f t="shared" si="50"/>
        <v>0</v>
      </c>
      <c r="FO35" s="199">
        <f t="shared" si="50"/>
        <v>50000</v>
      </c>
      <c r="FP35" s="199">
        <f t="shared" si="50"/>
        <v>94250</v>
      </c>
      <c r="FQ35" s="199">
        <f t="shared" si="50"/>
        <v>0</v>
      </c>
      <c r="FR35" s="199">
        <f t="shared" si="50"/>
        <v>0</v>
      </c>
      <c r="FS35" s="199">
        <f t="shared" si="50"/>
        <v>6228</v>
      </c>
      <c r="FT35" s="199">
        <f t="shared" si="50"/>
        <v>0</v>
      </c>
      <c r="FU35" s="199">
        <f t="shared" si="50"/>
        <v>0</v>
      </c>
      <c r="FV35" s="199">
        <f t="shared" si="50"/>
        <v>0</v>
      </c>
      <c r="FW35" s="199">
        <f t="shared" si="50"/>
        <v>0</v>
      </c>
      <c r="FX35" s="199">
        <f t="shared" si="50"/>
        <v>0</v>
      </c>
      <c r="FY35" s="199">
        <f t="shared" si="50"/>
        <v>0</v>
      </c>
      <c r="FZ35" s="199">
        <f t="shared" si="50"/>
        <v>0</v>
      </c>
      <c r="GA35" s="199">
        <f t="shared" si="50"/>
        <v>0</v>
      </c>
      <c r="GB35" s="199">
        <f t="shared" si="50"/>
        <v>0</v>
      </c>
      <c r="GC35" s="199">
        <f t="shared" si="50"/>
        <v>0</v>
      </c>
      <c r="GD35" s="199">
        <f t="shared" si="50"/>
        <v>0</v>
      </c>
      <c r="GE35" s="199">
        <f t="shared" si="50"/>
        <v>0</v>
      </c>
      <c r="GF35" s="199">
        <f t="shared" si="50"/>
        <v>0</v>
      </c>
      <c r="GG35" s="199">
        <f t="shared" si="50"/>
        <v>0</v>
      </c>
      <c r="GH35" s="199">
        <f t="shared" si="50"/>
        <v>0</v>
      </c>
      <c r="GI35" s="199">
        <f t="shared" si="50"/>
        <v>0</v>
      </c>
      <c r="GJ35" s="199">
        <f t="shared" si="50"/>
        <v>0</v>
      </c>
      <c r="GK35" s="199">
        <f t="shared" si="50"/>
        <v>0</v>
      </c>
      <c r="GL35" s="199">
        <f t="shared" si="50"/>
        <v>0</v>
      </c>
      <c r="GM35" s="199">
        <f t="shared" si="50"/>
        <v>0</v>
      </c>
      <c r="GN35" s="199">
        <f t="shared" ref="GN35:IY35" si="51">GN22+GN23</f>
        <v>0</v>
      </c>
      <c r="GO35" s="199">
        <f t="shared" si="51"/>
        <v>0</v>
      </c>
      <c r="GP35" s="199">
        <f t="shared" si="51"/>
        <v>0</v>
      </c>
      <c r="GQ35" s="199">
        <f t="shared" si="51"/>
        <v>6708</v>
      </c>
      <c r="GR35" s="199">
        <f t="shared" si="51"/>
        <v>0</v>
      </c>
      <c r="GS35" s="199">
        <f t="shared" si="51"/>
        <v>0</v>
      </c>
      <c r="GT35" s="199">
        <f t="shared" si="51"/>
        <v>0</v>
      </c>
      <c r="GU35" s="199">
        <f t="shared" si="51"/>
        <v>0</v>
      </c>
      <c r="GV35" s="199">
        <f t="shared" si="51"/>
        <v>0</v>
      </c>
      <c r="GW35" s="199">
        <f t="shared" si="51"/>
        <v>0</v>
      </c>
      <c r="GX35" s="199">
        <f t="shared" si="51"/>
        <v>0</v>
      </c>
      <c r="GY35" s="199">
        <f t="shared" si="51"/>
        <v>10283513</v>
      </c>
      <c r="GZ35" s="199">
        <f t="shared" si="51"/>
        <v>0</v>
      </c>
      <c r="HA35" s="199">
        <f t="shared" si="51"/>
        <v>0</v>
      </c>
      <c r="HB35" s="199">
        <f t="shared" si="51"/>
        <v>0</v>
      </c>
      <c r="HC35" s="199">
        <f t="shared" si="51"/>
        <v>0</v>
      </c>
      <c r="HD35" s="199">
        <f t="shared" si="51"/>
        <v>871655</v>
      </c>
      <c r="HE35" s="199">
        <f t="shared" si="51"/>
        <v>0</v>
      </c>
      <c r="HF35" s="199">
        <f t="shared" si="51"/>
        <v>0</v>
      </c>
      <c r="HG35" s="199">
        <f t="shared" si="51"/>
        <v>93866</v>
      </c>
      <c r="HH35" s="199">
        <f t="shared" si="51"/>
        <v>0</v>
      </c>
      <c r="HI35" s="199">
        <f t="shared" si="51"/>
        <v>206704</v>
      </c>
      <c r="HJ35" s="199">
        <f t="shared" si="51"/>
        <v>1255935</v>
      </c>
      <c r="HK35" s="199">
        <f t="shared" si="51"/>
        <v>530066</v>
      </c>
      <c r="HL35" s="199">
        <f t="shared" si="51"/>
        <v>0</v>
      </c>
      <c r="HM35" s="199">
        <f t="shared" si="51"/>
        <v>0</v>
      </c>
      <c r="HN35" s="199">
        <f t="shared" si="51"/>
        <v>0</v>
      </c>
      <c r="HO35" s="199">
        <f t="shared" si="51"/>
        <v>0</v>
      </c>
      <c r="HP35" s="199">
        <f t="shared" si="51"/>
        <v>0</v>
      </c>
      <c r="HQ35" s="199">
        <f t="shared" si="51"/>
        <v>0</v>
      </c>
      <c r="HR35" s="199">
        <f t="shared" si="51"/>
        <v>0</v>
      </c>
      <c r="HS35" s="199">
        <f t="shared" si="51"/>
        <v>0</v>
      </c>
      <c r="HT35" s="199">
        <f t="shared" si="51"/>
        <v>0</v>
      </c>
      <c r="HU35" s="199">
        <f t="shared" si="51"/>
        <v>25000</v>
      </c>
      <c r="HV35" s="199">
        <f t="shared" si="51"/>
        <v>96489</v>
      </c>
      <c r="HW35" s="199">
        <f t="shared" si="51"/>
        <v>17243</v>
      </c>
      <c r="HX35" s="199">
        <f t="shared" si="51"/>
        <v>0</v>
      </c>
      <c r="HY35" s="199">
        <f t="shared" si="51"/>
        <v>0</v>
      </c>
      <c r="HZ35" s="199">
        <f t="shared" si="51"/>
        <v>0</v>
      </c>
      <c r="IA35" s="199">
        <f t="shared" si="51"/>
        <v>0</v>
      </c>
      <c r="IB35" s="199">
        <f t="shared" si="51"/>
        <v>0</v>
      </c>
      <c r="IC35" s="199">
        <f t="shared" si="51"/>
        <v>0</v>
      </c>
      <c r="ID35" s="199">
        <f t="shared" si="51"/>
        <v>0</v>
      </c>
      <c r="IE35" s="199">
        <f t="shared" si="51"/>
        <v>0</v>
      </c>
      <c r="IF35" s="199">
        <f t="shared" si="51"/>
        <v>0</v>
      </c>
      <c r="IG35" s="199">
        <f t="shared" si="51"/>
        <v>0</v>
      </c>
      <c r="IH35" s="199">
        <f t="shared" si="51"/>
        <v>0</v>
      </c>
      <c r="II35" s="199">
        <f t="shared" si="51"/>
        <v>0</v>
      </c>
      <c r="IJ35" s="199">
        <f t="shared" si="51"/>
        <v>0</v>
      </c>
      <c r="IK35" s="199">
        <f t="shared" si="51"/>
        <v>37854</v>
      </c>
      <c r="IL35" s="199">
        <f t="shared" si="51"/>
        <v>0</v>
      </c>
      <c r="IM35" s="199">
        <f t="shared" si="51"/>
        <v>0</v>
      </c>
      <c r="IN35" s="199">
        <f t="shared" si="51"/>
        <v>83542</v>
      </c>
      <c r="IO35" s="199">
        <f t="shared" si="51"/>
        <v>0</v>
      </c>
      <c r="IP35" s="199">
        <f t="shared" si="51"/>
        <v>0</v>
      </c>
      <c r="IQ35" s="199">
        <f t="shared" si="51"/>
        <v>0</v>
      </c>
      <c r="IR35" s="199">
        <f t="shared" si="51"/>
        <v>0</v>
      </c>
      <c r="IS35" s="199">
        <f t="shared" si="51"/>
        <v>0</v>
      </c>
      <c r="IT35" s="199">
        <f t="shared" si="51"/>
        <v>0</v>
      </c>
      <c r="IU35" s="199">
        <f t="shared" si="51"/>
        <v>0</v>
      </c>
      <c r="IV35" s="199">
        <f t="shared" si="51"/>
        <v>149140</v>
      </c>
      <c r="IW35" s="199">
        <f t="shared" si="51"/>
        <v>0</v>
      </c>
      <c r="IX35" s="199">
        <f t="shared" si="51"/>
        <v>0</v>
      </c>
      <c r="IY35" s="199">
        <f t="shared" si="51"/>
        <v>0</v>
      </c>
      <c r="IZ35" s="199">
        <f t="shared" ref="IZ35:LK35" si="52">IZ22+IZ23</f>
        <v>0</v>
      </c>
      <c r="JA35" s="199">
        <f t="shared" si="52"/>
        <v>0</v>
      </c>
      <c r="JB35" s="199">
        <f t="shared" si="52"/>
        <v>59565</v>
      </c>
      <c r="JC35" s="199">
        <f t="shared" si="52"/>
        <v>0</v>
      </c>
      <c r="JD35" s="199">
        <f t="shared" si="52"/>
        <v>0</v>
      </c>
      <c r="JE35" s="199">
        <f t="shared" si="52"/>
        <v>494618</v>
      </c>
      <c r="JF35" s="199">
        <f t="shared" si="52"/>
        <v>0</v>
      </c>
      <c r="JG35" s="199">
        <f t="shared" si="52"/>
        <v>0</v>
      </c>
      <c r="JH35" s="199">
        <f t="shared" si="52"/>
        <v>0</v>
      </c>
      <c r="JI35" s="199">
        <f t="shared" si="52"/>
        <v>0</v>
      </c>
      <c r="JJ35" s="199">
        <f t="shared" si="52"/>
        <v>0</v>
      </c>
      <c r="JK35" s="199">
        <f t="shared" si="52"/>
        <v>0</v>
      </c>
      <c r="JL35" s="199">
        <f t="shared" si="52"/>
        <v>0</v>
      </c>
      <c r="JM35" s="199">
        <f t="shared" si="52"/>
        <v>0</v>
      </c>
      <c r="JN35" s="199">
        <f t="shared" si="52"/>
        <v>0</v>
      </c>
      <c r="JO35" s="199">
        <f t="shared" si="52"/>
        <v>0</v>
      </c>
      <c r="JP35" s="199">
        <f t="shared" si="52"/>
        <v>0</v>
      </c>
      <c r="JQ35" s="199">
        <f t="shared" si="52"/>
        <v>48713</v>
      </c>
      <c r="JR35" s="199">
        <f t="shared" si="52"/>
        <v>0</v>
      </c>
      <c r="JS35" s="199">
        <f t="shared" si="52"/>
        <v>0</v>
      </c>
      <c r="JT35" s="199">
        <f t="shared" si="52"/>
        <v>0</v>
      </c>
      <c r="JU35" s="199">
        <f t="shared" si="52"/>
        <v>0</v>
      </c>
      <c r="JV35" s="199">
        <f t="shared" si="52"/>
        <v>0</v>
      </c>
      <c r="JW35" s="199">
        <f t="shared" si="52"/>
        <v>0</v>
      </c>
      <c r="JX35" s="199">
        <f t="shared" si="52"/>
        <v>0</v>
      </c>
      <c r="JY35" s="199">
        <f t="shared" si="52"/>
        <v>0</v>
      </c>
      <c r="JZ35" s="199">
        <f t="shared" si="52"/>
        <v>0</v>
      </c>
      <c r="KA35" s="199">
        <f t="shared" si="52"/>
        <v>0</v>
      </c>
      <c r="KB35" s="199">
        <f t="shared" si="52"/>
        <v>0</v>
      </c>
      <c r="KC35" s="199">
        <f t="shared" si="52"/>
        <v>0</v>
      </c>
      <c r="KD35" s="199">
        <f t="shared" si="52"/>
        <v>0</v>
      </c>
      <c r="KE35" s="199">
        <f t="shared" si="52"/>
        <v>0</v>
      </c>
      <c r="KF35" s="199">
        <f t="shared" si="52"/>
        <v>0</v>
      </c>
      <c r="KG35" s="199">
        <f t="shared" si="52"/>
        <v>0</v>
      </c>
      <c r="KH35" s="199">
        <f t="shared" si="52"/>
        <v>0</v>
      </c>
      <c r="KI35" s="199">
        <f t="shared" si="52"/>
        <v>0</v>
      </c>
      <c r="KJ35" s="199">
        <f t="shared" si="52"/>
        <v>0</v>
      </c>
      <c r="KK35" s="199">
        <f t="shared" si="52"/>
        <v>0</v>
      </c>
      <c r="KL35" s="199">
        <f t="shared" si="52"/>
        <v>0</v>
      </c>
      <c r="KM35" s="199">
        <f t="shared" si="52"/>
        <v>0</v>
      </c>
      <c r="KN35" s="199">
        <f t="shared" si="52"/>
        <v>0</v>
      </c>
      <c r="KO35" s="199">
        <f t="shared" si="52"/>
        <v>0</v>
      </c>
      <c r="KP35" s="199">
        <f t="shared" si="52"/>
        <v>0</v>
      </c>
      <c r="KQ35" s="199">
        <f t="shared" si="52"/>
        <v>0</v>
      </c>
      <c r="KR35" s="199">
        <f t="shared" si="52"/>
        <v>0</v>
      </c>
      <c r="KS35" s="199">
        <f t="shared" si="52"/>
        <v>0</v>
      </c>
      <c r="KT35" s="199">
        <f t="shared" si="52"/>
        <v>0</v>
      </c>
      <c r="KU35" s="199">
        <f t="shared" si="52"/>
        <v>0</v>
      </c>
      <c r="KV35" s="199">
        <f t="shared" si="52"/>
        <v>0</v>
      </c>
      <c r="KW35" s="199">
        <f t="shared" si="52"/>
        <v>0</v>
      </c>
      <c r="KX35" s="199">
        <f t="shared" si="52"/>
        <v>245189</v>
      </c>
      <c r="KY35" s="199">
        <f t="shared" si="52"/>
        <v>0</v>
      </c>
      <c r="KZ35" s="199">
        <f t="shared" si="52"/>
        <v>0</v>
      </c>
      <c r="LA35" s="199">
        <f t="shared" si="52"/>
        <v>0</v>
      </c>
      <c r="LB35" s="199">
        <f t="shared" si="52"/>
        <v>0</v>
      </c>
      <c r="LC35" s="199">
        <f t="shared" si="52"/>
        <v>0</v>
      </c>
      <c r="LD35" s="199">
        <f t="shared" si="52"/>
        <v>0</v>
      </c>
      <c r="LE35" s="199">
        <f t="shared" si="52"/>
        <v>0</v>
      </c>
      <c r="LF35" s="199">
        <f t="shared" si="52"/>
        <v>0</v>
      </c>
      <c r="LG35" s="199">
        <f t="shared" si="52"/>
        <v>0</v>
      </c>
      <c r="LH35" s="199">
        <f t="shared" si="52"/>
        <v>0</v>
      </c>
      <c r="LI35" s="199">
        <f t="shared" si="52"/>
        <v>0</v>
      </c>
      <c r="LJ35" s="199">
        <f t="shared" si="52"/>
        <v>0</v>
      </c>
      <c r="LK35" s="199">
        <f t="shared" si="52"/>
        <v>0</v>
      </c>
      <c r="LL35" s="199">
        <f t="shared" ref="LL35:NW35" si="53">LL22+LL23</f>
        <v>0</v>
      </c>
      <c r="LM35" s="199">
        <f t="shared" si="53"/>
        <v>0</v>
      </c>
      <c r="LN35" s="199">
        <f t="shared" si="53"/>
        <v>0</v>
      </c>
      <c r="LO35" s="199">
        <f t="shared" si="53"/>
        <v>0</v>
      </c>
      <c r="LP35" s="199">
        <f t="shared" si="53"/>
        <v>618793</v>
      </c>
      <c r="LQ35" s="199">
        <f t="shared" si="53"/>
        <v>23418</v>
      </c>
      <c r="LR35" s="199">
        <f t="shared" si="53"/>
        <v>0</v>
      </c>
      <c r="LS35" s="199">
        <f t="shared" si="53"/>
        <v>32571</v>
      </c>
      <c r="LT35" s="199">
        <f t="shared" si="53"/>
        <v>0</v>
      </c>
      <c r="LU35" s="199">
        <f t="shared" si="53"/>
        <v>0</v>
      </c>
      <c r="LV35" s="199">
        <f t="shared" si="53"/>
        <v>130203</v>
      </c>
      <c r="LW35" s="199">
        <f t="shared" si="53"/>
        <v>0</v>
      </c>
      <c r="LX35" s="199">
        <f t="shared" si="53"/>
        <v>135000</v>
      </c>
      <c r="LY35" s="199">
        <f t="shared" si="53"/>
        <v>0</v>
      </c>
      <c r="LZ35" s="199">
        <f t="shared" si="53"/>
        <v>0</v>
      </c>
      <c r="MA35" s="199">
        <f t="shared" si="53"/>
        <v>0</v>
      </c>
      <c r="MB35" s="199">
        <f t="shared" si="53"/>
        <v>0</v>
      </c>
      <c r="MC35" s="199">
        <f t="shared" si="53"/>
        <v>0</v>
      </c>
      <c r="MD35" s="199">
        <f t="shared" si="53"/>
        <v>0</v>
      </c>
      <c r="ME35" s="199">
        <f t="shared" si="53"/>
        <v>0</v>
      </c>
      <c r="MF35" s="199">
        <f t="shared" si="53"/>
        <v>0</v>
      </c>
      <c r="MG35" s="199">
        <f t="shared" si="53"/>
        <v>0</v>
      </c>
      <c r="MH35" s="199">
        <f t="shared" si="53"/>
        <v>0</v>
      </c>
      <c r="MI35" s="199">
        <f t="shared" si="53"/>
        <v>0</v>
      </c>
      <c r="MJ35" s="199">
        <f t="shared" si="53"/>
        <v>36303</v>
      </c>
      <c r="MK35" s="199">
        <f t="shared" si="53"/>
        <v>0</v>
      </c>
      <c r="ML35" s="199">
        <f t="shared" si="53"/>
        <v>0</v>
      </c>
      <c r="MM35" s="199">
        <f t="shared" si="53"/>
        <v>0</v>
      </c>
      <c r="MN35" s="199">
        <f t="shared" si="53"/>
        <v>0</v>
      </c>
      <c r="MO35" s="199">
        <f t="shared" si="53"/>
        <v>0</v>
      </c>
      <c r="MP35" s="199">
        <f t="shared" si="53"/>
        <v>0</v>
      </c>
      <c r="MQ35" s="199">
        <f t="shared" si="53"/>
        <v>708074</v>
      </c>
      <c r="MR35" s="199">
        <f t="shared" si="53"/>
        <v>0</v>
      </c>
      <c r="MS35" s="199">
        <f t="shared" si="53"/>
        <v>0</v>
      </c>
      <c r="MT35" s="199">
        <f t="shared" si="53"/>
        <v>498285</v>
      </c>
      <c r="MU35" s="199">
        <f t="shared" si="53"/>
        <v>18285</v>
      </c>
      <c r="MV35" s="199">
        <f t="shared" si="53"/>
        <v>0</v>
      </c>
      <c r="MW35" s="199">
        <f t="shared" si="53"/>
        <v>0</v>
      </c>
      <c r="MX35" s="199">
        <f t="shared" si="53"/>
        <v>0</v>
      </c>
      <c r="MY35" s="199">
        <f t="shared" si="53"/>
        <v>28010</v>
      </c>
      <c r="MZ35" s="199">
        <f t="shared" si="53"/>
        <v>0</v>
      </c>
      <c r="NA35" s="199">
        <f t="shared" si="53"/>
        <v>0</v>
      </c>
      <c r="NB35" s="199">
        <f t="shared" si="53"/>
        <v>0</v>
      </c>
      <c r="NC35" s="199">
        <f t="shared" si="53"/>
        <v>0</v>
      </c>
      <c r="ND35" s="199">
        <f t="shared" si="53"/>
        <v>0</v>
      </c>
      <c r="NE35" s="199">
        <f t="shared" si="53"/>
        <v>0</v>
      </c>
      <c r="NF35" s="199">
        <f t="shared" si="53"/>
        <v>0</v>
      </c>
      <c r="NG35" s="199">
        <f t="shared" si="53"/>
        <v>0</v>
      </c>
      <c r="NH35" s="199">
        <f t="shared" si="53"/>
        <v>0</v>
      </c>
      <c r="NI35" s="199">
        <f t="shared" si="53"/>
        <v>0</v>
      </c>
      <c r="NJ35" s="199">
        <f t="shared" si="53"/>
        <v>0</v>
      </c>
      <c r="NK35" s="199">
        <f t="shared" si="53"/>
        <v>0</v>
      </c>
      <c r="NL35" s="199">
        <f t="shared" si="53"/>
        <v>0</v>
      </c>
      <c r="NM35" s="199">
        <f t="shared" si="53"/>
        <v>0</v>
      </c>
      <c r="NN35" s="199">
        <f t="shared" si="53"/>
        <v>0</v>
      </c>
      <c r="NO35" s="199">
        <f t="shared" si="53"/>
        <v>0</v>
      </c>
      <c r="NP35" s="199">
        <f t="shared" si="53"/>
        <v>0</v>
      </c>
      <c r="NQ35" s="199">
        <f t="shared" si="53"/>
        <v>0</v>
      </c>
      <c r="NR35" s="199">
        <f t="shared" si="53"/>
        <v>0</v>
      </c>
      <c r="NS35" s="199">
        <f t="shared" si="53"/>
        <v>0</v>
      </c>
      <c r="NT35" s="199">
        <f t="shared" si="53"/>
        <v>0</v>
      </c>
      <c r="NU35" s="199">
        <f t="shared" si="53"/>
        <v>0</v>
      </c>
      <c r="NV35" s="199">
        <f t="shared" si="53"/>
        <v>0</v>
      </c>
      <c r="NW35" s="199">
        <f t="shared" si="53"/>
        <v>0</v>
      </c>
      <c r="NX35" s="199">
        <f t="shared" ref="NX35:QI35" si="54">NX22+NX23</f>
        <v>0</v>
      </c>
      <c r="NY35" s="199">
        <f t="shared" si="54"/>
        <v>0</v>
      </c>
      <c r="NZ35" s="199">
        <f t="shared" si="54"/>
        <v>0</v>
      </c>
      <c r="OA35" s="199">
        <f t="shared" si="54"/>
        <v>68399</v>
      </c>
      <c r="OB35" s="199">
        <f t="shared" si="54"/>
        <v>0</v>
      </c>
      <c r="OC35" s="199">
        <f t="shared" si="54"/>
        <v>0</v>
      </c>
      <c r="OD35" s="199">
        <f t="shared" si="54"/>
        <v>0</v>
      </c>
      <c r="OE35" s="199">
        <f t="shared" si="54"/>
        <v>0</v>
      </c>
      <c r="OF35" s="199">
        <f t="shared" si="54"/>
        <v>0</v>
      </c>
      <c r="OG35" s="199">
        <f t="shared" si="54"/>
        <v>0</v>
      </c>
      <c r="OH35" s="199">
        <f t="shared" si="54"/>
        <v>0</v>
      </c>
      <c r="OI35" s="199">
        <f t="shared" si="54"/>
        <v>0</v>
      </c>
      <c r="OJ35" s="199">
        <f t="shared" si="54"/>
        <v>0</v>
      </c>
      <c r="OK35" s="199">
        <f t="shared" si="54"/>
        <v>0</v>
      </c>
      <c r="OL35" s="199">
        <f t="shared" si="54"/>
        <v>0</v>
      </c>
      <c r="OM35" s="199">
        <f t="shared" si="54"/>
        <v>0</v>
      </c>
      <c r="ON35" s="199">
        <f t="shared" si="54"/>
        <v>0</v>
      </c>
      <c r="OO35" s="199">
        <f t="shared" si="54"/>
        <v>0</v>
      </c>
      <c r="OP35" s="199">
        <f t="shared" si="54"/>
        <v>0</v>
      </c>
      <c r="OQ35" s="199">
        <f t="shared" si="54"/>
        <v>0</v>
      </c>
      <c r="OR35" s="199">
        <f t="shared" si="54"/>
        <v>0</v>
      </c>
      <c r="OS35" s="199">
        <f t="shared" si="54"/>
        <v>0</v>
      </c>
      <c r="OT35" s="199">
        <f t="shared" si="54"/>
        <v>0</v>
      </c>
      <c r="OU35" s="199">
        <f t="shared" si="54"/>
        <v>0</v>
      </c>
      <c r="OV35" s="199">
        <f t="shared" si="54"/>
        <v>0</v>
      </c>
      <c r="OW35" s="199">
        <f t="shared" si="54"/>
        <v>0</v>
      </c>
      <c r="OX35" s="199">
        <f t="shared" si="54"/>
        <v>0</v>
      </c>
      <c r="OY35" s="199">
        <f t="shared" si="54"/>
        <v>83870</v>
      </c>
      <c r="OZ35" s="199">
        <f t="shared" si="54"/>
        <v>0</v>
      </c>
      <c r="PA35" s="199">
        <f t="shared" si="54"/>
        <v>0</v>
      </c>
      <c r="PB35" s="199">
        <f t="shared" si="54"/>
        <v>0</v>
      </c>
      <c r="PC35" s="199">
        <f t="shared" si="54"/>
        <v>0</v>
      </c>
      <c r="PD35" s="199">
        <f t="shared" si="54"/>
        <v>0</v>
      </c>
      <c r="PE35" s="199">
        <f t="shared" si="54"/>
        <v>0</v>
      </c>
      <c r="PF35" s="199">
        <f t="shared" si="54"/>
        <v>0</v>
      </c>
      <c r="PG35" s="199">
        <f t="shared" si="54"/>
        <v>0</v>
      </c>
      <c r="PH35" s="199">
        <f t="shared" si="54"/>
        <v>0</v>
      </c>
      <c r="PI35" s="199">
        <f t="shared" si="54"/>
        <v>0</v>
      </c>
      <c r="PJ35" s="199">
        <f t="shared" si="54"/>
        <v>0</v>
      </c>
      <c r="PK35" s="199">
        <f t="shared" si="54"/>
        <v>0</v>
      </c>
      <c r="PL35" s="199">
        <f t="shared" si="54"/>
        <v>0</v>
      </c>
      <c r="PM35" s="199">
        <f t="shared" si="54"/>
        <v>0</v>
      </c>
      <c r="PN35" s="199">
        <f t="shared" si="54"/>
        <v>0</v>
      </c>
      <c r="PO35" s="199">
        <f t="shared" si="54"/>
        <v>0</v>
      </c>
      <c r="PP35" s="199">
        <f t="shared" si="54"/>
        <v>0</v>
      </c>
      <c r="PQ35" s="199">
        <f t="shared" si="54"/>
        <v>0</v>
      </c>
      <c r="PR35" s="199">
        <f t="shared" si="54"/>
        <v>0</v>
      </c>
      <c r="PS35" s="199">
        <f t="shared" si="54"/>
        <v>0</v>
      </c>
      <c r="PT35" s="199">
        <f t="shared" si="54"/>
        <v>0</v>
      </c>
      <c r="PU35" s="199">
        <f t="shared" si="54"/>
        <v>0</v>
      </c>
      <c r="PV35" s="199">
        <f t="shared" si="54"/>
        <v>0</v>
      </c>
      <c r="PW35" s="199">
        <f t="shared" si="54"/>
        <v>0</v>
      </c>
      <c r="PX35" s="199">
        <f t="shared" si="54"/>
        <v>0</v>
      </c>
      <c r="PY35" s="199">
        <f t="shared" si="54"/>
        <v>0</v>
      </c>
      <c r="PZ35" s="199">
        <f t="shared" si="54"/>
        <v>0</v>
      </c>
      <c r="QA35" s="199">
        <f t="shared" si="54"/>
        <v>0</v>
      </c>
      <c r="QB35" s="199">
        <f t="shared" si="54"/>
        <v>0</v>
      </c>
      <c r="QC35" s="199">
        <f t="shared" si="54"/>
        <v>0</v>
      </c>
      <c r="QD35" s="199">
        <f t="shared" si="54"/>
        <v>0</v>
      </c>
      <c r="QE35" s="199">
        <f t="shared" si="54"/>
        <v>0</v>
      </c>
      <c r="QF35" s="199">
        <f t="shared" si="54"/>
        <v>0</v>
      </c>
      <c r="QG35" s="199">
        <f t="shared" si="54"/>
        <v>0</v>
      </c>
      <c r="QH35" s="199">
        <f t="shared" si="54"/>
        <v>0</v>
      </c>
      <c r="QI35" s="199">
        <f t="shared" si="54"/>
        <v>0</v>
      </c>
      <c r="QJ35" s="199">
        <f t="shared" ref="QJ35:QR35" si="55">QJ22+QJ23</f>
        <v>0</v>
      </c>
      <c r="QK35" s="199">
        <f t="shared" si="55"/>
        <v>0</v>
      </c>
      <c r="QL35" s="199">
        <f t="shared" si="55"/>
        <v>0</v>
      </c>
      <c r="QM35" s="199">
        <f t="shared" si="55"/>
        <v>67757</v>
      </c>
      <c r="QN35" s="199">
        <f t="shared" si="55"/>
        <v>0</v>
      </c>
      <c r="QO35" s="199">
        <f t="shared" si="55"/>
        <v>0</v>
      </c>
      <c r="QP35" s="199">
        <f t="shared" si="55"/>
        <v>0</v>
      </c>
      <c r="QQ35" s="199">
        <f t="shared" si="55"/>
        <v>0</v>
      </c>
      <c r="QR35" s="199">
        <f t="shared" si="55"/>
        <v>0</v>
      </c>
    </row>
    <row r="36" spans="1:460">
      <c r="A36" s="133">
        <f>A24</f>
        <v>281</v>
      </c>
      <c r="B36" s="133" t="str">
        <f>B24</f>
        <v>Moscow</v>
      </c>
      <c r="C36" s="199">
        <f>C24+C25</f>
        <v>0</v>
      </c>
      <c r="D36" s="199">
        <f t="shared" ref="D36:BO36" si="56">D24+D25</f>
        <v>0</v>
      </c>
      <c r="E36" s="199">
        <f t="shared" si="56"/>
        <v>0</v>
      </c>
      <c r="F36" s="199">
        <f t="shared" si="56"/>
        <v>0</v>
      </c>
      <c r="G36" s="199">
        <f t="shared" si="56"/>
        <v>9222792</v>
      </c>
      <c r="H36" s="199">
        <f t="shared" si="56"/>
        <v>0</v>
      </c>
      <c r="I36" s="199">
        <f t="shared" si="56"/>
        <v>0</v>
      </c>
      <c r="J36" s="199">
        <f t="shared" si="56"/>
        <v>38649</v>
      </c>
      <c r="K36" s="199">
        <f t="shared" si="56"/>
        <v>0</v>
      </c>
      <c r="L36" s="199">
        <f t="shared" si="56"/>
        <v>0</v>
      </c>
      <c r="M36" s="199">
        <f t="shared" si="56"/>
        <v>0</v>
      </c>
      <c r="N36" s="199">
        <f t="shared" si="56"/>
        <v>11372</v>
      </c>
      <c r="O36" s="199">
        <f t="shared" si="56"/>
        <v>0</v>
      </c>
      <c r="P36" s="199">
        <f t="shared" si="56"/>
        <v>141</v>
      </c>
      <c r="Q36" s="199">
        <f t="shared" si="56"/>
        <v>0</v>
      </c>
      <c r="R36" s="199">
        <f t="shared" si="56"/>
        <v>0</v>
      </c>
      <c r="S36" s="199">
        <f t="shared" si="56"/>
        <v>0</v>
      </c>
      <c r="T36" s="199">
        <f t="shared" si="56"/>
        <v>0</v>
      </c>
      <c r="U36" s="199">
        <f t="shared" si="56"/>
        <v>0</v>
      </c>
      <c r="V36" s="199">
        <f t="shared" si="56"/>
        <v>730115</v>
      </c>
      <c r="W36" s="199">
        <f t="shared" si="56"/>
        <v>286022</v>
      </c>
      <c r="X36" s="199">
        <f t="shared" si="56"/>
        <v>0</v>
      </c>
      <c r="Y36" s="199">
        <f t="shared" si="56"/>
        <v>11763</v>
      </c>
      <c r="Z36" s="199">
        <f t="shared" si="56"/>
        <v>0</v>
      </c>
      <c r="AA36" s="199">
        <f t="shared" si="56"/>
        <v>0</v>
      </c>
      <c r="AB36" s="199">
        <f t="shared" si="56"/>
        <v>0</v>
      </c>
      <c r="AC36" s="199">
        <f t="shared" si="56"/>
        <v>0</v>
      </c>
      <c r="AD36" s="199">
        <f t="shared" si="56"/>
        <v>0</v>
      </c>
      <c r="AE36" s="199">
        <f t="shared" si="56"/>
        <v>0</v>
      </c>
      <c r="AF36" s="199">
        <f t="shared" si="56"/>
        <v>0</v>
      </c>
      <c r="AG36" s="199">
        <f t="shared" si="56"/>
        <v>0</v>
      </c>
      <c r="AH36" s="199">
        <f t="shared" si="56"/>
        <v>0</v>
      </c>
      <c r="AI36" s="199">
        <f t="shared" si="56"/>
        <v>0</v>
      </c>
      <c r="AJ36" s="199">
        <f t="shared" si="56"/>
        <v>11349</v>
      </c>
      <c r="AK36" s="199">
        <f t="shared" si="56"/>
        <v>0</v>
      </c>
      <c r="AL36" s="199">
        <f t="shared" si="56"/>
        <v>0</v>
      </c>
      <c r="AM36" s="199">
        <f t="shared" si="56"/>
        <v>0</v>
      </c>
      <c r="AN36" s="199">
        <f t="shared" si="56"/>
        <v>0</v>
      </c>
      <c r="AO36" s="199">
        <f t="shared" si="56"/>
        <v>0</v>
      </c>
      <c r="AP36" s="199">
        <f t="shared" si="56"/>
        <v>0</v>
      </c>
      <c r="AQ36" s="199">
        <f t="shared" si="56"/>
        <v>0</v>
      </c>
      <c r="AR36" s="199">
        <f t="shared" si="56"/>
        <v>0</v>
      </c>
      <c r="AS36" s="199">
        <f t="shared" si="56"/>
        <v>0</v>
      </c>
      <c r="AT36" s="199">
        <f t="shared" si="56"/>
        <v>0</v>
      </c>
      <c r="AU36" s="199">
        <f t="shared" si="56"/>
        <v>0</v>
      </c>
      <c r="AV36" s="199">
        <f t="shared" si="56"/>
        <v>0</v>
      </c>
      <c r="AW36" s="199">
        <f t="shared" si="56"/>
        <v>0</v>
      </c>
      <c r="AX36" s="199">
        <f t="shared" si="56"/>
        <v>0</v>
      </c>
      <c r="AY36" s="199">
        <f t="shared" si="56"/>
        <v>0</v>
      </c>
      <c r="AZ36" s="199">
        <f t="shared" si="56"/>
        <v>0</v>
      </c>
      <c r="BA36" s="199">
        <f t="shared" si="56"/>
        <v>0</v>
      </c>
      <c r="BB36" s="199">
        <f t="shared" si="56"/>
        <v>363</v>
      </c>
      <c r="BC36" s="199">
        <f t="shared" si="56"/>
        <v>4578</v>
      </c>
      <c r="BD36" s="199">
        <f t="shared" si="56"/>
        <v>0</v>
      </c>
      <c r="BE36" s="199">
        <f t="shared" si="56"/>
        <v>0</v>
      </c>
      <c r="BF36" s="199">
        <f t="shared" si="56"/>
        <v>0</v>
      </c>
      <c r="BG36" s="199">
        <f t="shared" si="56"/>
        <v>0</v>
      </c>
      <c r="BH36" s="199">
        <f t="shared" si="56"/>
        <v>0</v>
      </c>
      <c r="BI36" s="199">
        <f t="shared" si="56"/>
        <v>0</v>
      </c>
      <c r="BJ36" s="199">
        <f t="shared" si="56"/>
        <v>0</v>
      </c>
      <c r="BK36" s="199">
        <f t="shared" si="56"/>
        <v>0</v>
      </c>
      <c r="BL36" s="199">
        <f t="shared" si="56"/>
        <v>0</v>
      </c>
      <c r="BM36" s="199">
        <f t="shared" si="56"/>
        <v>0</v>
      </c>
      <c r="BN36" s="199">
        <f t="shared" si="56"/>
        <v>0</v>
      </c>
      <c r="BO36" s="199">
        <f t="shared" si="56"/>
        <v>0</v>
      </c>
      <c r="BP36" s="199">
        <f t="shared" ref="BP36:EA36" si="57">BP24+BP25</f>
        <v>0</v>
      </c>
      <c r="BQ36" s="199">
        <f t="shared" si="57"/>
        <v>0</v>
      </c>
      <c r="BR36" s="199">
        <f t="shared" si="57"/>
        <v>0</v>
      </c>
      <c r="BS36" s="199">
        <f t="shared" si="57"/>
        <v>0</v>
      </c>
      <c r="BT36" s="199">
        <f t="shared" si="57"/>
        <v>0</v>
      </c>
      <c r="BU36" s="199">
        <f t="shared" si="57"/>
        <v>0</v>
      </c>
      <c r="BV36" s="199">
        <f t="shared" si="57"/>
        <v>190852</v>
      </c>
      <c r="BW36" s="199">
        <f t="shared" si="57"/>
        <v>8672</v>
      </c>
      <c r="BX36" s="199">
        <f t="shared" si="57"/>
        <v>0</v>
      </c>
      <c r="BY36" s="199">
        <f t="shared" si="57"/>
        <v>0</v>
      </c>
      <c r="BZ36" s="199">
        <f t="shared" si="57"/>
        <v>0</v>
      </c>
      <c r="CA36" s="199">
        <f t="shared" si="57"/>
        <v>0</v>
      </c>
      <c r="CB36" s="199">
        <f t="shared" si="57"/>
        <v>0</v>
      </c>
      <c r="CC36" s="199">
        <f t="shared" si="57"/>
        <v>0</v>
      </c>
      <c r="CD36" s="199">
        <f t="shared" si="57"/>
        <v>29267</v>
      </c>
      <c r="CE36" s="199">
        <f t="shared" si="57"/>
        <v>0</v>
      </c>
      <c r="CF36" s="199">
        <f t="shared" si="57"/>
        <v>0</v>
      </c>
      <c r="CG36" s="199">
        <f t="shared" si="57"/>
        <v>0</v>
      </c>
      <c r="CH36" s="199">
        <f t="shared" si="57"/>
        <v>0</v>
      </c>
      <c r="CI36" s="199">
        <f t="shared" si="57"/>
        <v>0</v>
      </c>
      <c r="CJ36" s="199">
        <f t="shared" si="57"/>
        <v>0</v>
      </c>
      <c r="CK36" s="199">
        <f t="shared" si="57"/>
        <v>10392</v>
      </c>
      <c r="CL36" s="199">
        <f t="shared" si="57"/>
        <v>0</v>
      </c>
      <c r="CM36" s="199">
        <f t="shared" si="57"/>
        <v>0</v>
      </c>
      <c r="CN36" s="199">
        <f t="shared" si="57"/>
        <v>0</v>
      </c>
      <c r="CO36" s="199">
        <f t="shared" si="57"/>
        <v>0</v>
      </c>
      <c r="CP36" s="199">
        <f t="shared" si="57"/>
        <v>0</v>
      </c>
      <c r="CQ36" s="199">
        <f t="shared" si="57"/>
        <v>0</v>
      </c>
      <c r="CR36" s="199">
        <f t="shared" si="57"/>
        <v>0</v>
      </c>
      <c r="CS36" s="199">
        <f t="shared" si="57"/>
        <v>0</v>
      </c>
      <c r="CT36" s="199">
        <f t="shared" si="57"/>
        <v>0</v>
      </c>
      <c r="CU36" s="199">
        <f t="shared" si="57"/>
        <v>0</v>
      </c>
      <c r="CV36" s="199">
        <f t="shared" si="57"/>
        <v>0</v>
      </c>
      <c r="CW36" s="199">
        <f t="shared" si="57"/>
        <v>0</v>
      </c>
      <c r="CX36" s="199">
        <f t="shared" si="57"/>
        <v>0</v>
      </c>
      <c r="CY36" s="199">
        <f t="shared" si="57"/>
        <v>0</v>
      </c>
      <c r="CZ36" s="199">
        <f t="shared" si="57"/>
        <v>0</v>
      </c>
      <c r="DA36" s="199">
        <f t="shared" si="57"/>
        <v>0</v>
      </c>
      <c r="DB36" s="199">
        <f t="shared" si="57"/>
        <v>0</v>
      </c>
      <c r="DC36" s="199">
        <f t="shared" si="57"/>
        <v>0</v>
      </c>
      <c r="DD36" s="199">
        <f t="shared" si="57"/>
        <v>0</v>
      </c>
      <c r="DE36" s="199">
        <f t="shared" si="57"/>
        <v>0</v>
      </c>
      <c r="DF36" s="199">
        <f t="shared" si="57"/>
        <v>0</v>
      </c>
      <c r="DG36" s="199">
        <f t="shared" si="57"/>
        <v>0</v>
      </c>
      <c r="DH36" s="199">
        <f t="shared" si="57"/>
        <v>0</v>
      </c>
      <c r="DI36" s="199">
        <f t="shared" si="57"/>
        <v>0</v>
      </c>
      <c r="DJ36" s="199">
        <f t="shared" si="57"/>
        <v>0</v>
      </c>
      <c r="DK36" s="199">
        <f t="shared" si="57"/>
        <v>0</v>
      </c>
      <c r="DL36" s="199">
        <f t="shared" si="57"/>
        <v>0</v>
      </c>
      <c r="DM36" s="199">
        <f t="shared" si="57"/>
        <v>0</v>
      </c>
      <c r="DN36" s="199">
        <f t="shared" si="57"/>
        <v>0</v>
      </c>
      <c r="DO36" s="199">
        <f t="shared" si="57"/>
        <v>43027</v>
      </c>
      <c r="DP36" s="199">
        <f t="shared" si="57"/>
        <v>0</v>
      </c>
      <c r="DQ36" s="199">
        <f t="shared" si="57"/>
        <v>0</v>
      </c>
      <c r="DR36" s="199">
        <f t="shared" si="57"/>
        <v>0</v>
      </c>
      <c r="DS36" s="199">
        <f t="shared" si="57"/>
        <v>0</v>
      </c>
      <c r="DT36" s="199">
        <f t="shared" si="57"/>
        <v>0</v>
      </c>
      <c r="DU36" s="199">
        <f t="shared" si="57"/>
        <v>25025</v>
      </c>
      <c r="DV36" s="199">
        <f t="shared" si="57"/>
        <v>0</v>
      </c>
      <c r="DW36" s="199">
        <f t="shared" si="57"/>
        <v>0</v>
      </c>
      <c r="DX36" s="199">
        <f t="shared" si="57"/>
        <v>0</v>
      </c>
      <c r="DY36" s="199">
        <f t="shared" si="57"/>
        <v>0</v>
      </c>
      <c r="DZ36" s="199">
        <f t="shared" si="57"/>
        <v>0</v>
      </c>
      <c r="EA36" s="199">
        <f t="shared" si="57"/>
        <v>0</v>
      </c>
      <c r="EB36" s="199">
        <f t="shared" ref="EB36:GM36" si="58">EB24+EB25</f>
        <v>0</v>
      </c>
      <c r="EC36" s="199">
        <f t="shared" si="58"/>
        <v>0</v>
      </c>
      <c r="ED36" s="199">
        <f t="shared" si="58"/>
        <v>0</v>
      </c>
      <c r="EE36" s="199">
        <f t="shared" si="58"/>
        <v>0</v>
      </c>
      <c r="EF36" s="199">
        <f t="shared" si="58"/>
        <v>0</v>
      </c>
      <c r="EG36" s="199">
        <f t="shared" si="58"/>
        <v>0</v>
      </c>
      <c r="EH36" s="199">
        <f t="shared" si="58"/>
        <v>0</v>
      </c>
      <c r="EI36" s="199">
        <f t="shared" si="58"/>
        <v>0</v>
      </c>
      <c r="EJ36" s="199">
        <f t="shared" si="58"/>
        <v>0</v>
      </c>
      <c r="EK36" s="199">
        <f t="shared" si="58"/>
        <v>0</v>
      </c>
      <c r="EL36" s="199">
        <f t="shared" si="58"/>
        <v>0</v>
      </c>
      <c r="EM36" s="199">
        <f t="shared" si="58"/>
        <v>0</v>
      </c>
      <c r="EN36" s="199">
        <f t="shared" si="58"/>
        <v>0</v>
      </c>
      <c r="EO36" s="199">
        <f t="shared" si="58"/>
        <v>0</v>
      </c>
      <c r="EP36" s="199">
        <f t="shared" si="58"/>
        <v>0</v>
      </c>
      <c r="EQ36" s="199">
        <f t="shared" si="58"/>
        <v>0</v>
      </c>
      <c r="ER36" s="199">
        <f t="shared" si="58"/>
        <v>0</v>
      </c>
      <c r="ES36" s="199">
        <f t="shared" si="58"/>
        <v>0</v>
      </c>
      <c r="ET36" s="199">
        <f t="shared" si="58"/>
        <v>0</v>
      </c>
      <c r="EU36" s="199">
        <f t="shared" si="58"/>
        <v>0</v>
      </c>
      <c r="EV36" s="199">
        <f t="shared" si="58"/>
        <v>0</v>
      </c>
      <c r="EW36" s="199">
        <f t="shared" si="58"/>
        <v>0</v>
      </c>
      <c r="EX36" s="199">
        <f t="shared" si="58"/>
        <v>0</v>
      </c>
      <c r="EY36" s="199">
        <f t="shared" si="58"/>
        <v>0</v>
      </c>
      <c r="EZ36" s="199">
        <f t="shared" si="58"/>
        <v>0</v>
      </c>
      <c r="FA36" s="199">
        <f t="shared" si="58"/>
        <v>0</v>
      </c>
      <c r="FB36" s="199">
        <f t="shared" si="58"/>
        <v>0</v>
      </c>
      <c r="FC36" s="199">
        <f t="shared" si="58"/>
        <v>29067</v>
      </c>
      <c r="FD36" s="199">
        <f t="shared" si="58"/>
        <v>0</v>
      </c>
      <c r="FE36" s="199">
        <f t="shared" si="58"/>
        <v>0</v>
      </c>
      <c r="FF36" s="199">
        <f t="shared" si="58"/>
        <v>0</v>
      </c>
      <c r="FG36" s="199">
        <f t="shared" si="58"/>
        <v>0</v>
      </c>
      <c r="FH36" s="199">
        <f t="shared" si="58"/>
        <v>0</v>
      </c>
      <c r="FI36" s="199">
        <f t="shared" si="58"/>
        <v>43571</v>
      </c>
      <c r="FJ36" s="199">
        <f t="shared" si="58"/>
        <v>0</v>
      </c>
      <c r="FK36" s="199">
        <f t="shared" si="58"/>
        <v>112528</v>
      </c>
      <c r="FL36" s="199">
        <f t="shared" si="58"/>
        <v>0</v>
      </c>
      <c r="FM36" s="199">
        <f t="shared" si="58"/>
        <v>17985</v>
      </c>
      <c r="FN36" s="199">
        <f t="shared" si="58"/>
        <v>0</v>
      </c>
      <c r="FO36" s="199">
        <f t="shared" si="58"/>
        <v>346140</v>
      </c>
      <c r="FP36" s="199">
        <f t="shared" si="58"/>
        <v>0</v>
      </c>
      <c r="FQ36" s="199">
        <f t="shared" si="58"/>
        <v>0</v>
      </c>
      <c r="FR36" s="199">
        <f t="shared" si="58"/>
        <v>0</v>
      </c>
      <c r="FS36" s="199">
        <f t="shared" si="58"/>
        <v>0</v>
      </c>
      <c r="FT36" s="199">
        <f t="shared" si="58"/>
        <v>0</v>
      </c>
      <c r="FU36" s="199">
        <f t="shared" si="58"/>
        <v>0</v>
      </c>
      <c r="FV36" s="199">
        <f t="shared" si="58"/>
        <v>0</v>
      </c>
      <c r="FW36" s="199">
        <f t="shared" si="58"/>
        <v>14580</v>
      </c>
      <c r="FX36" s="199">
        <f t="shared" si="58"/>
        <v>0</v>
      </c>
      <c r="FY36" s="199">
        <f t="shared" si="58"/>
        <v>0</v>
      </c>
      <c r="FZ36" s="199">
        <f t="shared" si="58"/>
        <v>0</v>
      </c>
      <c r="GA36" s="199">
        <f t="shared" si="58"/>
        <v>0</v>
      </c>
      <c r="GB36" s="199">
        <f t="shared" si="58"/>
        <v>0</v>
      </c>
      <c r="GC36" s="199">
        <f t="shared" si="58"/>
        <v>0</v>
      </c>
      <c r="GD36" s="199">
        <f t="shared" si="58"/>
        <v>0</v>
      </c>
      <c r="GE36" s="199">
        <f t="shared" si="58"/>
        <v>0</v>
      </c>
      <c r="GF36" s="199">
        <f t="shared" si="58"/>
        <v>0</v>
      </c>
      <c r="GG36" s="199">
        <f t="shared" si="58"/>
        <v>0</v>
      </c>
      <c r="GH36" s="199">
        <f t="shared" si="58"/>
        <v>0</v>
      </c>
      <c r="GI36" s="199">
        <f t="shared" si="58"/>
        <v>0</v>
      </c>
      <c r="GJ36" s="199">
        <f t="shared" si="58"/>
        <v>0</v>
      </c>
      <c r="GK36" s="199">
        <f t="shared" si="58"/>
        <v>0</v>
      </c>
      <c r="GL36" s="199">
        <f t="shared" si="58"/>
        <v>0</v>
      </c>
      <c r="GM36" s="199">
        <f t="shared" si="58"/>
        <v>93229</v>
      </c>
      <c r="GN36" s="199">
        <f t="shared" ref="GN36:IY36" si="59">GN24+GN25</f>
        <v>1410344</v>
      </c>
      <c r="GO36" s="199">
        <f t="shared" si="59"/>
        <v>0</v>
      </c>
      <c r="GP36" s="199">
        <f t="shared" si="59"/>
        <v>0</v>
      </c>
      <c r="GQ36" s="199">
        <f t="shared" si="59"/>
        <v>0</v>
      </c>
      <c r="GR36" s="199">
        <f t="shared" si="59"/>
        <v>0</v>
      </c>
      <c r="GS36" s="199">
        <f t="shared" si="59"/>
        <v>0</v>
      </c>
      <c r="GT36" s="199">
        <f t="shared" si="59"/>
        <v>0</v>
      </c>
      <c r="GU36" s="199">
        <f t="shared" si="59"/>
        <v>0</v>
      </c>
      <c r="GV36" s="199">
        <f t="shared" si="59"/>
        <v>0</v>
      </c>
      <c r="GW36" s="199">
        <f t="shared" si="59"/>
        <v>0</v>
      </c>
      <c r="GX36" s="199">
        <f t="shared" si="59"/>
        <v>0</v>
      </c>
      <c r="GY36" s="199">
        <f t="shared" si="59"/>
        <v>9137137</v>
      </c>
      <c r="GZ36" s="199">
        <f t="shared" si="59"/>
        <v>0</v>
      </c>
      <c r="HA36" s="199">
        <f t="shared" si="59"/>
        <v>0</v>
      </c>
      <c r="HB36" s="199">
        <f t="shared" si="59"/>
        <v>0</v>
      </c>
      <c r="HC36" s="199">
        <f t="shared" si="59"/>
        <v>0</v>
      </c>
      <c r="HD36" s="199">
        <f t="shared" si="59"/>
        <v>506265</v>
      </c>
      <c r="HE36" s="199">
        <f t="shared" si="59"/>
        <v>0</v>
      </c>
      <c r="HF36" s="199">
        <f t="shared" si="59"/>
        <v>0</v>
      </c>
      <c r="HG36" s="199">
        <f t="shared" si="59"/>
        <v>0</v>
      </c>
      <c r="HH36" s="199">
        <f t="shared" si="59"/>
        <v>0</v>
      </c>
      <c r="HI36" s="199">
        <f t="shared" si="59"/>
        <v>27894</v>
      </c>
      <c r="HJ36" s="199">
        <f t="shared" si="59"/>
        <v>1222544</v>
      </c>
      <c r="HK36" s="199">
        <f t="shared" si="59"/>
        <v>592899</v>
      </c>
      <c r="HL36" s="199">
        <f t="shared" si="59"/>
        <v>0</v>
      </c>
      <c r="HM36" s="199">
        <f t="shared" si="59"/>
        <v>0</v>
      </c>
      <c r="HN36" s="199">
        <f t="shared" si="59"/>
        <v>0</v>
      </c>
      <c r="HO36" s="199">
        <f t="shared" si="59"/>
        <v>0</v>
      </c>
      <c r="HP36" s="199">
        <f t="shared" si="59"/>
        <v>0</v>
      </c>
      <c r="HQ36" s="199">
        <f t="shared" si="59"/>
        <v>0</v>
      </c>
      <c r="HR36" s="199">
        <f t="shared" si="59"/>
        <v>0</v>
      </c>
      <c r="HS36" s="199">
        <f t="shared" si="59"/>
        <v>0</v>
      </c>
      <c r="HT36" s="199">
        <f t="shared" si="59"/>
        <v>0</v>
      </c>
      <c r="HU36" s="199">
        <f t="shared" si="59"/>
        <v>0</v>
      </c>
      <c r="HV36" s="199">
        <f t="shared" si="59"/>
        <v>26113</v>
      </c>
      <c r="HW36" s="199">
        <f t="shared" si="59"/>
        <v>2932</v>
      </c>
      <c r="HX36" s="199">
        <f t="shared" si="59"/>
        <v>0</v>
      </c>
      <c r="HY36" s="199">
        <f t="shared" si="59"/>
        <v>0</v>
      </c>
      <c r="HZ36" s="199">
        <f t="shared" si="59"/>
        <v>0</v>
      </c>
      <c r="IA36" s="199">
        <f t="shared" si="59"/>
        <v>0</v>
      </c>
      <c r="IB36" s="199">
        <f t="shared" si="59"/>
        <v>0</v>
      </c>
      <c r="IC36" s="199">
        <f t="shared" si="59"/>
        <v>0</v>
      </c>
      <c r="ID36" s="199">
        <f t="shared" si="59"/>
        <v>0</v>
      </c>
      <c r="IE36" s="199">
        <f t="shared" si="59"/>
        <v>0</v>
      </c>
      <c r="IF36" s="199">
        <f t="shared" si="59"/>
        <v>45382</v>
      </c>
      <c r="IG36" s="199">
        <f t="shared" si="59"/>
        <v>0</v>
      </c>
      <c r="IH36" s="199">
        <f t="shared" si="59"/>
        <v>0</v>
      </c>
      <c r="II36" s="199">
        <f t="shared" si="59"/>
        <v>0</v>
      </c>
      <c r="IJ36" s="199">
        <f t="shared" si="59"/>
        <v>0</v>
      </c>
      <c r="IK36" s="199">
        <f t="shared" si="59"/>
        <v>13250</v>
      </c>
      <c r="IL36" s="199">
        <f t="shared" si="59"/>
        <v>0</v>
      </c>
      <c r="IM36" s="199">
        <f t="shared" si="59"/>
        <v>0</v>
      </c>
      <c r="IN36" s="199">
        <f t="shared" si="59"/>
        <v>20858</v>
      </c>
      <c r="IO36" s="199">
        <f t="shared" si="59"/>
        <v>0</v>
      </c>
      <c r="IP36" s="199">
        <f t="shared" si="59"/>
        <v>0</v>
      </c>
      <c r="IQ36" s="199">
        <f t="shared" si="59"/>
        <v>0</v>
      </c>
      <c r="IR36" s="199">
        <f t="shared" si="59"/>
        <v>0</v>
      </c>
      <c r="IS36" s="199">
        <f t="shared" si="59"/>
        <v>0</v>
      </c>
      <c r="IT36" s="199">
        <f t="shared" si="59"/>
        <v>0</v>
      </c>
      <c r="IU36" s="199">
        <f t="shared" si="59"/>
        <v>0</v>
      </c>
      <c r="IV36" s="199">
        <f t="shared" si="59"/>
        <v>106223</v>
      </c>
      <c r="IW36" s="199">
        <f t="shared" si="59"/>
        <v>0</v>
      </c>
      <c r="IX36" s="199">
        <f t="shared" si="59"/>
        <v>0</v>
      </c>
      <c r="IY36" s="199">
        <f t="shared" si="59"/>
        <v>0</v>
      </c>
      <c r="IZ36" s="199">
        <f t="shared" ref="IZ36:LK36" si="60">IZ24+IZ25</f>
        <v>0</v>
      </c>
      <c r="JA36" s="199">
        <f t="shared" si="60"/>
        <v>0</v>
      </c>
      <c r="JB36" s="199">
        <f t="shared" si="60"/>
        <v>187454</v>
      </c>
      <c r="JC36" s="199">
        <f t="shared" si="60"/>
        <v>0</v>
      </c>
      <c r="JD36" s="199">
        <f t="shared" si="60"/>
        <v>0</v>
      </c>
      <c r="JE36" s="199">
        <f t="shared" si="60"/>
        <v>0</v>
      </c>
      <c r="JF36" s="199">
        <f t="shared" si="60"/>
        <v>0</v>
      </c>
      <c r="JG36" s="199">
        <f t="shared" si="60"/>
        <v>0</v>
      </c>
      <c r="JH36" s="199">
        <f t="shared" si="60"/>
        <v>0</v>
      </c>
      <c r="JI36" s="199">
        <f t="shared" si="60"/>
        <v>0</v>
      </c>
      <c r="JJ36" s="199">
        <f t="shared" si="60"/>
        <v>0</v>
      </c>
      <c r="JK36" s="199">
        <f t="shared" si="60"/>
        <v>0</v>
      </c>
      <c r="JL36" s="199">
        <f t="shared" si="60"/>
        <v>0</v>
      </c>
      <c r="JM36" s="199">
        <f t="shared" si="60"/>
        <v>0</v>
      </c>
      <c r="JN36" s="199">
        <f t="shared" si="60"/>
        <v>0</v>
      </c>
      <c r="JO36" s="199">
        <f t="shared" si="60"/>
        <v>0</v>
      </c>
      <c r="JP36" s="199">
        <f t="shared" si="60"/>
        <v>0</v>
      </c>
      <c r="JQ36" s="199">
        <f t="shared" si="60"/>
        <v>0</v>
      </c>
      <c r="JR36" s="199">
        <f t="shared" si="60"/>
        <v>0</v>
      </c>
      <c r="JS36" s="199">
        <f t="shared" si="60"/>
        <v>0</v>
      </c>
      <c r="JT36" s="199">
        <f t="shared" si="60"/>
        <v>0</v>
      </c>
      <c r="JU36" s="199">
        <f t="shared" si="60"/>
        <v>0</v>
      </c>
      <c r="JV36" s="199">
        <f t="shared" si="60"/>
        <v>0</v>
      </c>
      <c r="JW36" s="199">
        <f t="shared" si="60"/>
        <v>0</v>
      </c>
      <c r="JX36" s="199">
        <f t="shared" si="60"/>
        <v>0</v>
      </c>
      <c r="JY36" s="199">
        <f t="shared" si="60"/>
        <v>0</v>
      </c>
      <c r="JZ36" s="199">
        <f t="shared" si="60"/>
        <v>0</v>
      </c>
      <c r="KA36" s="199">
        <f t="shared" si="60"/>
        <v>0</v>
      </c>
      <c r="KB36" s="199">
        <f t="shared" si="60"/>
        <v>0</v>
      </c>
      <c r="KC36" s="199">
        <f t="shared" si="60"/>
        <v>0</v>
      </c>
      <c r="KD36" s="199">
        <f t="shared" si="60"/>
        <v>0</v>
      </c>
      <c r="KE36" s="199">
        <f t="shared" si="60"/>
        <v>0</v>
      </c>
      <c r="KF36" s="199">
        <f t="shared" si="60"/>
        <v>0</v>
      </c>
      <c r="KG36" s="199">
        <f t="shared" si="60"/>
        <v>0</v>
      </c>
      <c r="KH36" s="199">
        <f t="shared" si="60"/>
        <v>0</v>
      </c>
      <c r="KI36" s="199">
        <f t="shared" si="60"/>
        <v>0</v>
      </c>
      <c r="KJ36" s="199">
        <f t="shared" si="60"/>
        <v>33510</v>
      </c>
      <c r="KK36" s="199">
        <f t="shared" si="60"/>
        <v>0</v>
      </c>
      <c r="KL36" s="199">
        <f t="shared" si="60"/>
        <v>0</v>
      </c>
      <c r="KM36" s="199">
        <f t="shared" si="60"/>
        <v>0</v>
      </c>
      <c r="KN36" s="199">
        <f t="shared" si="60"/>
        <v>0</v>
      </c>
      <c r="KO36" s="199">
        <f t="shared" si="60"/>
        <v>0</v>
      </c>
      <c r="KP36" s="199">
        <f t="shared" si="60"/>
        <v>0</v>
      </c>
      <c r="KQ36" s="199">
        <f t="shared" si="60"/>
        <v>0</v>
      </c>
      <c r="KR36" s="199">
        <f t="shared" si="60"/>
        <v>0</v>
      </c>
      <c r="KS36" s="199">
        <f t="shared" si="60"/>
        <v>0</v>
      </c>
      <c r="KT36" s="199">
        <f t="shared" si="60"/>
        <v>0</v>
      </c>
      <c r="KU36" s="199">
        <f t="shared" si="60"/>
        <v>0</v>
      </c>
      <c r="KV36" s="199">
        <f t="shared" si="60"/>
        <v>0</v>
      </c>
      <c r="KW36" s="199">
        <f t="shared" si="60"/>
        <v>0</v>
      </c>
      <c r="KX36" s="199">
        <f t="shared" si="60"/>
        <v>0</v>
      </c>
      <c r="KY36" s="199">
        <f t="shared" si="60"/>
        <v>0</v>
      </c>
      <c r="KZ36" s="199">
        <f t="shared" si="60"/>
        <v>0</v>
      </c>
      <c r="LA36" s="199">
        <f t="shared" si="60"/>
        <v>0</v>
      </c>
      <c r="LB36" s="199">
        <f t="shared" si="60"/>
        <v>0</v>
      </c>
      <c r="LC36" s="199">
        <f t="shared" si="60"/>
        <v>0</v>
      </c>
      <c r="LD36" s="199">
        <f t="shared" si="60"/>
        <v>0</v>
      </c>
      <c r="LE36" s="199">
        <f t="shared" si="60"/>
        <v>0</v>
      </c>
      <c r="LF36" s="199">
        <f t="shared" si="60"/>
        <v>0</v>
      </c>
      <c r="LG36" s="199">
        <f t="shared" si="60"/>
        <v>0</v>
      </c>
      <c r="LH36" s="199">
        <f t="shared" si="60"/>
        <v>321623</v>
      </c>
      <c r="LI36" s="199">
        <f t="shared" si="60"/>
        <v>0</v>
      </c>
      <c r="LJ36" s="199">
        <f t="shared" si="60"/>
        <v>0</v>
      </c>
      <c r="LK36" s="199">
        <f t="shared" si="60"/>
        <v>0</v>
      </c>
      <c r="LL36" s="199">
        <f t="shared" ref="LL36:NW36" si="61">LL24+LL25</f>
        <v>0</v>
      </c>
      <c r="LM36" s="199">
        <f t="shared" si="61"/>
        <v>0</v>
      </c>
      <c r="LN36" s="199">
        <f t="shared" si="61"/>
        <v>0</v>
      </c>
      <c r="LO36" s="199">
        <f t="shared" si="61"/>
        <v>0</v>
      </c>
      <c r="LP36" s="199">
        <f t="shared" si="61"/>
        <v>307520</v>
      </c>
      <c r="LQ36" s="199">
        <f t="shared" si="61"/>
        <v>0</v>
      </c>
      <c r="LR36" s="199">
        <f t="shared" si="61"/>
        <v>0</v>
      </c>
      <c r="LS36" s="199">
        <f t="shared" si="61"/>
        <v>0</v>
      </c>
      <c r="LT36" s="199">
        <f t="shared" si="61"/>
        <v>0</v>
      </c>
      <c r="LU36" s="199">
        <f t="shared" si="61"/>
        <v>0</v>
      </c>
      <c r="LV36" s="199">
        <f t="shared" si="61"/>
        <v>0</v>
      </c>
      <c r="LW36" s="199">
        <f t="shared" si="61"/>
        <v>0</v>
      </c>
      <c r="LX36" s="199">
        <f t="shared" si="61"/>
        <v>0</v>
      </c>
      <c r="LY36" s="199">
        <f t="shared" si="61"/>
        <v>0</v>
      </c>
      <c r="LZ36" s="199">
        <f t="shared" si="61"/>
        <v>0</v>
      </c>
      <c r="MA36" s="199">
        <f t="shared" si="61"/>
        <v>0</v>
      </c>
      <c r="MB36" s="199">
        <f t="shared" si="61"/>
        <v>0</v>
      </c>
      <c r="MC36" s="199">
        <f t="shared" si="61"/>
        <v>0</v>
      </c>
      <c r="MD36" s="199">
        <f t="shared" si="61"/>
        <v>0</v>
      </c>
      <c r="ME36" s="199">
        <f t="shared" si="61"/>
        <v>0</v>
      </c>
      <c r="MF36" s="199">
        <f t="shared" si="61"/>
        <v>0</v>
      </c>
      <c r="MG36" s="199">
        <f t="shared" si="61"/>
        <v>0</v>
      </c>
      <c r="MH36" s="199">
        <f t="shared" si="61"/>
        <v>0</v>
      </c>
      <c r="MI36" s="199">
        <f t="shared" si="61"/>
        <v>0</v>
      </c>
      <c r="MJ36" s="199">
        <f t="shared" si="61"/>
        <v>28098</v>
      </c>
      <c r="MK36" s="199">
        <f t="shared" si="61"/>
        <v>0</v>
      </c>
      <c r="ML36" s="199">
        <f t="shared" si="61"/>
        <v>0</v>
      </c>
      <c r="MM36" s="199">
        <f t="shared" si="61"/>
        <v>0</v>
      </c>
      <c r="MN36" s="199">
        <f t="shared" si="61"/>
        <v>0</v>
      </c>
      <c r="MO36" s="199">
        <f t="shared" si="61"/>
        <v>0</v>
      </c>
      <c r="MP36" s="199">
        <f t="shared" si="61"/>
        <v>0</v>
      </c>
      <c r="MQ36" s="199">
        <f t="shared" si="61"/>
        <v>482530</v>
      </c>
      <c r="MR36" s="199">
        <f t="shared" si="61"/>
        <v>0</v>
      </c>
      <c r="MS36" s="199">
        <f t="shared" si="61"/>
        <v>0</v>
      </c>
      <c r="MT36" s="199">
        <f t="shared" si="61"/>
        <v>522059</v>
      </c>
      <c r="MU36" s="199">
        <f t="shared" si="61"/>
        <v>22714</v>
      </c>
      <c r="MV36" s="199">
        <f t="shared" si="61"/>
        <v>0</v>
      </c>
      <c r="MW36" s="199">
        <f t="shared" si="61"/>
        <v>0</v>
      </c>
      <c r="MX36" s="199">
        <f t="shared" si="61"/>
        <v>183797</v>
      </c>
      <c r="MY36" s="199">
        <f t="shared" si="61"/>
        <v>0</v>
      </c>
      <c r="MZ36" s="199">
        <f t="shared" si="61"/>
        <v>0</v>
      </c>
      <c r="NA36" s="199">
        <f t="shared" si="61"/>
        <v>0</v>
      </c>
      <c r="NB36" s="199">
        <f t="shared" si="61"/>
        <v>0</v>
      </c>
      <c r="NC36" s="199">
        <f t="shared" si="61"/>
        <v>0</v>
      </c>
      <c r="ND36" s="199">
        <f t="shared" si="61"/>
        <v>0</v>
      </c>
      <c r="NE36" s="199">
        <f t="shared" si="61"/>
        <v>0</v>
      </c>
      <c r="NF36" s="199">
        <f t="shared" si="61"/>
        <v>0</v>
      </c>
      <c r="NG36" s="199">
        <f t="shared" si="61"/>
        <v>0</v>
      </c>
      <c r="NH36" s="199">
        <f t="shared" si="61"/>
        <v>0</v>
      </c>
      <c r="NI36" s="199">
        <f t="shared" si="61"/>
        <v>0</v>
      </c>
      <c r="NJ36" s="199">
        <f t="shared" si="61"/>
        <v>0</v>
      </c>
      <c r="NK36" s="199">
        <f t="shared" si="61"/>
        <v>0</v>
      </c>
      <c r="NL36" s="199">
        <f t="shared" si="61"/>
        <v>0</v>
      </c>
      <c r="NM36" s="199">
        <f t="shared" si="61"/>
        <v>0</v>
      </c>
      <c r="NN36" s="199">
        <f t="shared" si="61"/>
        <v>0</v>
      </c>
      <c r="NO36" s="199">
        <f t="shared" si="61"/>
        <v>0</v>
      </c>
      <c r="NP36" s="199">
        <f t="shared" si="61"/>
        <v>0</v>
      </c>
      <c r="NQ36" s="199">
        <f t="shared" si="61"/>
        <v>0</v>
      </c>
      <c r="NR36" s="199">
        <f t="shared" si="61"/>
        <v>80659</v>
      </c>
      <c r="NS36" s="199">
        <f t="shared" si="61"/>
        <v>0</v>
      </c>
      <c r="NT36" s="199">
        <f t="shared" si="61"/>
        <v>0</v>
      </c>
      <c r="NU36" s="199">
        <f t="shared" si="61"/>
        <v>0</v>
      </c>
      <c r="NV36" s="199">
        <f t="shared" si="61"/>
        <v>0</v>
      </c>
      <c r="NW36" s="199">
        <f t="shared" si="61"/>
        <v>0</v>
      </c>
      <c r="NX36" s="199">
        <f t="shared" ref="NX36:QI36" si="62">NX24+NX25</f>
        <v>0</v>
      </c>
      <c r="NY36" s="199">
        <f t="shared" si="62"/>
        <v>0</v>
      </c>
      <c r="NZ36" s="199">
        <f t="shared" si="62"/>
        <v>0</v>
      </c>
      <c r="OA36" s="199">
        <f t="shared" si="62"/>
        <v>0</v>
      </c>
      <c r="OB36" s="199">
        <f t="shared" si="62"/>
        <v>0</v>
      </c>
      <c r="OC36" s="199">
        <f t="shared" si="62"/>
        <v>0</v>
      </c>
      <c r="OD36" s="199">
        <f t="shared" si="62"/>
        <v>0</v>
      </c>
      <c r="OE36" s="199">
        <f t="shared" si="62"/>
        <v>0</v>
      </c>
      <c r="OF36" s="199">
        <f t="shared" si="62"/>
        <v>0</v>
      </c>
      <c r="OG36" s="199">
        <f t="shared" si="62"/>
        <v>0</v>
      </c>
      <c r="OH36" s="199">
        <f t="shared" si="62"/>
        <v>0</v>
      </c>
      <c r="OI36" s="199">
        <f t="shared" si="62"/>
        <v>0</v>
      </c>
      <c r="OJ36" s="199">
        <f t="shared" si="62"/>
        <v>0</v>
      </c>
      <c r="OK36" s="199">
        <f t="shared" si="62"/>
        <v>0</v>
      </c>
      <c r="OL36" s="199">
        <f t="shared" si="62"/>
        <v>0</v>
      </c>
      <c r="OM36" s="199">
        <f t="shared" si="62"/>
        <v>0</v>
      </c>
      <c r="ON36" s="199">
        <f t="shared" si="62"/>
        <v>0</v>
      </c>
      <c r="OO36" s="199">
        <f t="shared" si="62"/>
        <v>0</v>
      </c>
      <c r="OP36" s="199">
        <f t="shared" si="62"/>
        <v>0</v>
      </c>
      <c r="OQ36" s="199">
        <f t="shared" si="62"/>
        <v>0</v>
      </c>
      <c r="OR36" s="199">
        <f t="shared" si="62"/>
        <v>0</v>
      </c>
      <c r="OS36" s="199">
        <f t="shared" si="62"/>
        <v>0</v>
      </c>
      <c r="OT36" s="199">
        <f t="shared" si="62"/>
        <v>0</v>
      </c>
      <c r="OU36" s="199">
        <f t="shared" si="62"/>
        <v>0</v>
      </c>
      <c r="OV36" s="199">
        <f t="shared" si="62"/>
        <v>0</v>
      </c>
      <c r="OW36" s="199">
        <f t="shared" si="62"/>
        <v>0</v>
      </c>
      <c r="OX36" s="199">
        <f t="shared" si="62"/>
        <v>0</v>
      </c>
      <c r="OY36" s="199">
        <f t="shared" si="62"/>
        <v>29847</v>
      </c>
      <c r="OZ36" s="199">
        <f t="shared" si="62"/>
        <v>0</v>
      </c>
      <c r="PA36" s="199">
        <f t="shared" si="62"/>
        <v>0</v>
      </c>
      <c r="PB36" s="199">
        <f t="shared" si="62"/>
        <v>0</v>
      </c>
      <c r="PC36" s="199">
        <f t="shared" si="62"/>
        <v>0</v>
      </c>
      <c r="PD36" s="199">
        <f t="shared" si="62"/>
        <v>0</v>
      </c>
      <c r="PE36" s="199">
        <f t="shared" si="62"/>
        <v>0</v>
      </c>
      <c r="PF36" s="199">
        <f t="shared" si="62"/>
        <v>3000</v>
      </c>
      <c r="PG36" s="199">
        <f t="shared" si="62"/>
        <v>0</v>
      </c>
      <c r="PH36" s="199">
        <f t="shared" si="62"/>
        <v>0</v>
      </c>
      <c r="PI36" s="199">
        <f t="shared" si="62"/>
        <v>0</v>
      </c>
      <c r="PJ36" s="199">
        <f t="shared" si="62"/>
        <v>0</v>
      </c>
      <c r="PK36" s="199">
        <f t="shared" si="62"/>
        <v>0</v>
      </c>
      <c r="PL36" s="199">
        <f t="shared" si="62"/>
        <v>0</v>
      </c>
      <c r="PM36" s="199">
        <f t="shared" si="62"/>
        <v>0</v>
      </c>
      <c r="PN36" s="199">
        <f t="shared" si="62"/>
        <v>0</v>
      </c>
      <c r="PO36" s="199">
        <f t="shared" si="62"/>
        <v>0</v>
      </c>
      <c r="PP36" s="199">
        <f t="shared" si="62"/>
        <v>0</v>
      </c>
      <c r="PQ36" s="199">
        <f t="shared" si="62"/>
        <v>0</v>
      </c>
      <c r="PR36" s="199">
        <f t="shared" si="62"/>
        <v>0</v>
      </c>
      <c r="PS36" s="199">
        <f t="shared" si="62"/>
        <v>0</v>
      </c>
      <c r="PT36" s="199">
        <f t="shared" si="62"/>
        <v>0</v>
      </c>
      <c r="PU36" s="199">
        <f t="shared" si="62"/>
        <v>0</v>
      </c>
      <c r="PV36" s="199">
        <f t="shared" si="62"/>
        <v>0</v>
      </c>
      <c r="PW36" s="199">
        <f t="shared" si="62"/>
        <v>0</v>
      </c>
      <c r="PX36" s="199">
        <f t="shared" si="62"/>
        <v>0</v>
      </c>
      <c r="PY36" s="199">
        <f t="shared" si="62"/>
        <v>0</v>
      </c>
      <c r="PZ36" s="199">
        <f t="shared" si="62"/>
        <v>0</v>
      </c>
      <c r="QA36" s="199">
        <f t="shared" si="62"/>
        <v>0</v>
      </c>
      <c r="QB36" s="199">
        <f t="shared" si="62"/>
        <v>0</v>
      </c>
      <c r="QC36" s="199">
        <f t="shared" si="62"/>
        <v>0</v>
      </c>
      <c r="QD36" s="199">
        <f t="shared" si="62"/>
        <v>0</v>
      </c>
      <c r="QE36" s="199">
        <f t="shared" si="62"/>
        <v>0</v>
      </c>
      <c r="QF36" s="199">
        <f t="shared" si="62"/>
        <v>0</v>
      </c>
      <c r="QG36" s="199">
        <f t="shared" si="62"/>
        <v>0</v>
      </c>
      <c r="QH36" s="199">
        <f t="shared" si="62"/>
        <v>0</v>
      </c>
      <c r="QI36" s="199">
        <f t="shared" si="62"/>
        <v>23000</v>
      </c>
      <c r="QJ36" s="199">
        <f t="shared" ref="QJ36:QR36" si="63">QJ24+QJ25</f>
        <v>0</v>
      </c>
      <c r="QK36" s="199">
        <f t="shared" si="63"/>
        <v>0</v>
      </c>
      <c r="QL36" s="199">
        <f t="shared" si="63"/>
        <v>696342</v>
      </c>
      <c r="QM36" s="199">
        <f t="shared" si="63"/>
        <v>0</v>
      </c>
      <c r="QN36" s="199">
        <f t="shared" si="63"/>
        <v>0</v>
      </c>
      <c r="QO36" s="199">
        <f t="shared" si="63"/>
        <v>0</v>
      </c>
      <c r="QP36" s="199">
        <f t="shared" si="63"/>
        <v>0</v>
      </c>
      <c r="QQ36" s="199">
        <f t="shared" si="63"/>
        <v>0</v>
      </c>
      <c r="QR36" s="199">
        <f t="shared" si="63"/>
        <v>0</v>
      </c>
    </row>
    <row r="37" spans="1:460">
      <c r="A37" s="133">
        <f>A26</f>
        <v>331</v>
      </c>
      <c r="B37" s="133" t="str">
        <f>B26</f>
        <v>Minidoka County Joint</v>
      </c>
      <c r="C37" s="199">
        <f>C26+C27</f>
        <v>0</v>
      </c>
      <c r="D37" s="199">
        <f t="shared" ref="D37:BO37" si="64">D26+D27</f>
        <v>0</v>
      </c>
      <c r="E37" s="199">
        <f t="shared" si="64"/>
        <v>0</v>
      </c>
      <c r="F37" s="199">
        <f t="shared" si="64"/>
        <v>0</v>
      </c>
      <c r="G37" s="199">
        <f t="shared" si="64"/>
        <v>1929649</v>
      </c>
      <c r="H37" s="199">
        <f t="shared" si="64"/>
        <v>0</v>
      </c>
      <c r="I37" s="199">
        <f t="shared" si="64"/>
        <v>0</v>
      </c>
      <c r="J37" s="199">
        <f t="shared" si="64"/>
        <v>13342</v>
      </c>
      <c r="K37" s="199">
        <f t="shared" si="64"/>
        <v>0</v>
      </c>
      <c r="L37" s="199">
        <f t="shared" si="64"/>
        <v>0</v>
      </c>
      <c r="M37" s="199">
        <f t="shared" si="64"/>
        <v>0</v>
      </c>
      <c r="N37" s="199">
        <f t="shared" si="64"/>
        <v>1631</v>
      </c>
      <c r="O37" s="199">
        <f t="shared" si="64"/>
        <v>0</v>
      </c>
      <c r="P37" s="199">
        <f t="shared" si="64"/>
        <v>0</v>
      </c>
      <c r="Q37" s="199">
        <f t="shared" si="64"/>
        <v>0</v>
      </c>
      <c r="R37" s="199">
        <f t="shared" si="64"/>
        <v>0</v>
      </c>
      <c r="S37" s="199">
        <f t="shared" si="64"/>
        <v>0</v>
      </c>
      <c r="T37" s="199">
        <f t="shared" si="64"/>
        <v>0</v>
      </c>
      <c r="U37" s="199">
        <f t="shared" si="64"/>
        <v>0</v>
      </c>
      <c r="V37" s="199">
        <f t="shared" si="64"/>
        <v>1802064</v>
      </c>
      <c r="W37" s="199">
        <f t="shared" si="64"/>
        <v>8591</v>
      </c>
      <c r="X37" s="199">
        <f t="shared" si="64"/>
        <v>0</v>
      </c>
      <c r="Y37" s="199">
        <f t="shared" si="64"/>
        <v>11953</v>
      </c>
      <c r="Z37" s="199">
        <f t="shared" si="64"/>
        <v>0</v>
      </c>
      <c r="AA37" s="199">
        <f t="shared" si="64"/>
        <v>0</v>
      </c>
      <c r="AB37" s="199">
        <f t="shared" si="64"/>
        <v>0</v>
      </c>
      <c r="AC37" s="199">
        <f t="shared" si="64"/>
        <v>39403</v>
      </c>
      <c r="AD37" s="199">
        <f t="shared" si="64"/>
        <v>0</v>
      </c>
      <c r="AE37" s="199">
        <f t="shared" si="64"/>
        <v>0</v>
      </c>
      <c r="AF37" s="199">
        <f t="shared" si="64"/>
        <v>0</v>
      </c>
      <c r="AG37" s="199">
        <f t="shared" si="64"/>
        <v>0</v>
      </c>
      <c r="AH37" s="199">
        <f t="shared" si="64"/>
        <v>4675</v>
      </c>
      <c r="AI37" s="199">
        <f t="shared" si="64"/>
        <v>0</v>
      </c>
      <c r="AJ37" s="199">
        <f t="shared" si="64"/>
        <v>8610</v>
      </c>
      <c r="AK37" s="199">
        <f t="shared" si="64"/>
        <v>0</v>
      </c>
      <c r="AL37" s="199">
        <f t="shared" si="64"/>
        <v>0</v>
      </c>
      <c r="AM37" s="199">
        <f t="shared" si="64"/>
        <v>0</v>
      </c>
      <c r="AN37" s="199">
        <f t="shared" si="64"/>
        <v>0</v>
      </c>
      <c r="AO37" s="199">
        <f t="shared" si="64"/>
        <v>0</v>
      </c>
      <c r="AP37" s="199">
        <f t="shared" si="64"/>
        <v>0</v>
      </c>
      <c r="AQ37" s="199">
        <f t="shared" si="64"/>
        <v>0</v>
      </c>
      <c r="AR37" s="199">
        <f t="shared" si="64"/>
        <v>0</v>
      </c>
      <c r="AS37" s="199">
        <f t="shared" si="64"/>
        <v>0</v>
      </c>
      <c r="AT37" s="199">
        <f t="shared" si="64"/>
        <v>0</v>
      </c>
      <c r="AU37" s="199">
        <f t="shared" si="64"/>
        <v>0</v>
      </c>
      <c r="AV37" s="199">
        <f t="shared" si="64"/>
        <v>0</v>
      </c>
      <c r="AW37" s="199">
        <f t="shared" si="64"/>
        <v>0</v>
      </c>
      <c r="AX37" s="199">
        <f t="shared" si="64"/>
        <v>0</v>
      </c>
      <c r="AY37" s="199">
        <f t="shared" si="64"/>
        <v>0</v>
      </c>
      <c r="AZ37" s="199">
        <f t="shared" si="64"/>
        <v>0</v>
      </c>
      <c r="BA37" s="199">
        <f t="shared" si="64"/>
        <v>1080</v>
      </c>
      <c r="BB37" s="199">
        <f t="shared" si="64"/>
        <v>979</v>
      </c>
      <c r="BC37" s="199">
        <f t="shared" si="64"/>
        <v>0</v>
      </c>
      <c r="BD37" s="199">
        <f t="shared" si="64"/>
        <v>0</v>
      </c>
      <c r="BE37" s="199">
        <f t="shared" si="64"/>
        <v>0</v>
      </c>
      <c r="BF37" s="199">
        <f t="shared" si="64"/>
        <v>0</v>
      </c>
      <c r="BG37" s="199">
        <f t="shared" si="64"/>
        <v>0</v>
      </c>
      <c r="BH37" s="199">
        <f t="shared" si="64"/>
        <v>0</v>
      </c>
      <c r="BI37" s="199">
        <f t="shared" si="64"/>
        <v>0</v>
      </c>
      <c r="BJ37" s="199">
        <f t="shared" si="64"/>
        <v>0</v>
      </c>
      <c r="BK37" s="199">
        <f t="shared" si="64"/>
        <v>0</v>
      </c>
      <c r="BL37" s="199">
        <f t="shared" si="64"/>
        <v>0</v>
      </c>
      <c r="BM37" s="199">
        <f t="shared" si="64"/>
        <v>0</v>
      </c>
      <c r="BN37" s="199">
        <f t="shared" si="64"/>
        <v>0</v>
      </c>
      <c r="BO37" s="199">
        <f t="shared" si="64"/>
        <v>0</v>
      </c>
      <c r="BP37" s="199">
        <f t="shared" ref="BP37:EA37" si="65">BP26+BP27</f>
        <v>0</v>
      </c>
      <c r="BQ37" s="199">
        <f t="shared" si="65"/>
        <v>0</v>
      </c>
      <c r="BR37" s="199">
        <f t="shared" si="65"/>
        <v>0</v>
      </c>
      <c r="BS37" s="199">
        <f t="shared" si="65"/>
        <v>0</v>
      </c>
      <c r="BT37" s="199">
        <f t="shared" si="65"/>
        <v>0</v>
      </c>
      <c r="BU37" s="199">
        <f t="shared" si="65"/>
        <v>0</v>
      </c>
      <c r="BV37" s="199">
        <f t="shared" si="65"/>
        <v>212224</v>
      </c>
      <c r="BW37" s="199">
        <f t="shared" si="65"/>
        <v>19179</v>
      </c>
      <c r="BX37" s="199">
        <f t="shared" si="65"/>
        <v>0</v>
      </c>
      <c r="BY37" s="199">
        <f t="shared" si="65"/>
        <v>0</v>
      </c>
      <c r="BZ37" s="199">
        <f t="shared" si="65"/>
        <v>0</v>
      </c>
      <c r="CA37" s="199">
        <f t="shared" si="65"/>
        <v>0</v>
      </c>
      <c r="CB37" s="199">
        <f t="shared" si="65"/>
        <v>0</v>
      </c>
      <c r="CC37" s="199">
        <f t="shared" si="65"/>
        <v>0</v>
      </c>
      <c r="CD37" s="199">
        <f t="shared" si="65"/>
        <v>0</v>
      </c>
      <c r="CE37" s="199">
        <f t="shared" si="65"/>
        <v>0</v>
      </c>
      <c r="CF37" s="199">
        <f t="shared" si="65"/>
        <v>0</v>
      </c>
      <c r="CG37" s="199">
        <f t="shared" si="65"/>
        <v>0</v>
      </c>
      <c r="CH37" s="199">
        <f t="shared" si="65"/>
        <v>0</v>
      </c>
      <c r="CI37" s="199">
        <f t="shared" si="65"/>
        <v>0</v>
      </c>
      <c r="CJ37" s="199">
        <f t="shared" si="65"/>
        <v>0</v>
      </c>
      <c r="CK37" s="199">
        <f t="shared" si="65"/>
        <v>0</v>
      </c>
      <c r="CL37" s="199">
        <f t="shared" si="65"/>
        <v>0</v>
      </c>
      <c r="CM37" s="199">
        <f t="shared" si="65"/>
        <v>0</v>
      </c>
      <c r="CN37" s="199">
        <f t="shared" si="65"/>
        <v>0</v>
      </c>
      <c r="CO37" s="199">
        <f t="shared" si="65"/>
        <v>0</v>
      </c>
      <c r="CP37" s="199">
        <f t="shared" si="65"/>
        <v>0</v>
      </c>
      <c r="CQ37" s="199">
        <f t="shared" si="65"/>
        <v>0</v>
      </c>
      <c r="CR37" s="199">
        <f t="shared" si="65"/>
        <v>0</v>
      </c>
      <c r="CS37" s="199">
        <f t="shared" si="65"/>
        <v>0</v>
      </c>
      <c r="CT37" s="199">
        <f t="shared" si="65"/>
        <v>0</v>
      </c>
      <c r="CU37" s="199">
        <f t="shared" si="65"/>
        <v>7854</v>
      </c>
      <c r="CV37" s="199">
        <f t="shared" si="65"/>
        <v>0</v>
      </c>
      <c r="CW37" s="199">
        <f t="shared" si="65"/>
        <v>0</v>
      </c>
      <c r="CX37" s="199">
        <f t="shared" si="65"/>
        <v>0</v>
      </c>
      <c r="CY37" s="199">
        <f t="shared" si="65"/>
        <v>0</v>
      </c>
      <c r="CZ37" s="199">
        <f t="shared" si="65"/>
        <v>0</v>
      </c>
      <c r="DA37" s="199">
        <f t="shared" si="65"/>
        <v>0</v>
      </c>
      <c r="DB37" s="199">
        <f t="shared" si="65"/>
        <v>0</v>
      </c>
      <c r="DC37" s="199">
        <f t="shared" si="65"/>
        <v>0</v>
      </c>
      <c r="DD37" s="199">
        <f t="shared" si="65"/>
        <v>0</v>
      </c>
      <c r="DE37" s="199">
        <f t="shared" si="65"/>
        <v>0</v>
      </c>
      <c r="DF37" s="199">
        <f t="shared" si="65"/>
        <v>0</v>
      </c>
      <c r="DG37" s="199">
        <f t="shared" si="65"/>
        <v>0</v>
      </c>
      <c r="DH37" s="199">
        <f t="shared" si="65"/>
        <v>0</v>
      </c>
      <c r="DI37" s="199">
        <f t="shared" si="65"/>
        <v>0</v>
      </c>
      <c r="DJ37" s="199">
        <f t="shared" si="65"/>
        <v>0</v>
      </c>
      <c r="DK37" s="199">
        <f t="shared" si="65"/>
        <v>0</v>
      </c>
      <c r="DL37" s="199">
        <f t="shared" si="65"/>
        <v>21960</v>
      </c>
      <c r="DM37" s="199">
        <f t="shared" si="65"/>
        <v>0</v>
      </c>
      <c r="DN37" s="199">
        <f t="shared" si="65"/>
        <v>0</v>
      </c>
      <c r="DO37" s="199">
        <f t="shared" si="65"/>
        <v>0</v>
      </c>
      <c r="DP37" s="199">
        <f t="shared" si="65"/>
        <v>0</v>
      </c>
      <c r="DQ37" s="199">
        <f t="shared" si="65"/>
        <v>0</v>
      </c>
      <c r="DR37" s="199">
        <f t="shared" si="65"/>
        <v>0</v>
      </c>
      <c r="DS37" s="199">
        <f t="shared" si="65"/>
        <v>0</v>
      </c>
      <c r="DT37" s="199">
        <f t="shared" si="65"/>
        <v>0</v>
      </c>
      <c r="DU37" s="199">
        <f t="shared" si="65"/>
        <v>0</v>
      </c>
      <c r="DV37" s="199">
        <f t="shared" si="65"/>
        <v>0</v>
      </c>
      <c r="DW37" s="199">
        <f t="shared" si="65"/>
        <v>0</v>
      </c>
      <c r="DX37" s="199">
        <f t="shared" si="65"/>
        <v>0</v>
      </c>
      <c r="DY37" s="199">
        <f t="shared" si="65"/>
        <v>0</v>
      </c>
      <c r="DZ37" s="199">
        <f t="shared" si="65"/>
        <v>0</v>
      </c>
      <c r="EA37" s="199">
        <f t="shared" si="65"/>
        <v>0</v>
      </c>
      <c r="EB37" s="199">
        <f t="shared" ref="EB37:GM37" si="66">EB26+EB27</f>
        <v>0</v>
      </c>
      <c r="EC37" s="199">
        <f t="shared" si="66"/>
        <v>0</v>
      </c>
      <c r="ED37" s="199">
        <f t="shared" si="66"/>
        <v>0</v>
      </c>
      <c r="EE37" s="199">
        <f t="shared" si="66"/>
        <v>0</v>
      </c>
      <c r="EF37" s="199">
        <f t="shared" si="66"/>
        <v>0</v>
      </c>
      <c r="EG37" s="199">
        <f t="shared" si="66"/>
        <v>0</v>
      </c>
      <c r="EH37" s="199">
        <f t="shared" si="66"/>
        <v>0</v>
      </c>
      <c r="EI37" s="199">
        <f t="shared" si="66"/>
        <v>0</v>
      </c>
      <c r="EJ37" s="199">
        <f t="shared" si="66"/>
        <v>0</v>
      </c>
      <c r="EK37" s="199">
        <f t="shared" si="66"/>
        <v>0</v>
      </c>
      <c r="EL37" s="199">
        <f t="shared" si="66"/>
        <v>0</v>
      </c>
      <c r="EM37" s="199">
        <f t="shared" si="66"/>
        <v>0</v>
      </c>
      <c r="EN37" s="199">
        <f t="shared" si="66"/>
        <v>0</v>
      </c>
      <c r="EO37" s="199">
        <f t="shared" si="66"/>
        <v>0</v>
      </c>
      <c r="EP37" s="199">
        <f t="shared" si="66"/>
        <v>0</v>
      </c>
      <c r="EQ37" s="199">
        <f t="shared" si="66"/>
        <v>0</v>
      </c>
      <c r="ER37" s="199">
        <f t="shared" si="66"/>
        <v>0</v>
      </c>
      <c r="ES37" s="199">
        <f t="shared" si="66"/>
        <v>0</v>
      </c>
      <c r="ET37" s="199">
        <f t="shared" si="66"/>
        <v>0</v>
      </c>
      <c r="EU37" s="199">
        <f t="shared" si="66"/>
        <v>0</v>
      </c>
      <c r="EV37" s="199">
        <f t="shared" si="66"/>
        <v>0</v>
      </c>
      <c r="EW37" s="199">
        <f t="shared" si="66"/>
        <v>33381</v>
      </c>
      <c r="EX37" s="199">
        <f t="shared" si="66"/>
        <v>0</v>
      </c>
      <c r="EY37" s="199">
        <f t="shared" si="66"/>
        <v>0</v>
      </c>
      <c r="EZ37" s="199">
        <f t="shared" si="66"/>
        <v>0</v>
      </c>
      <c r="FA37" s="199">
        <f t="shared" si="66"/>
        <v>0</v>
      </c>
      <c r="FB37" s="199">
        <f t="shared" si="66"/>
        <v>0</v>
      </c>
      <c r="FC37" s="199">
        <f t="shared" si="66"/>
        <v>5604</v>
      </c>
      <c r="FD37" s="199">
        <f t="shared" si="66"/>
        <v>0</v>
      </c>
      <c r="FE37" s="199">
        <f t="shared" si="66"/>
        <v>0</v>
      </c>
      <c r="FF37" s="199">
        <f t="shared" si="66"/>
        <v>0</v>
      </c>
      <c r="FG37" s="199">
        <f t="shared" si="66"/>
        <v>0</v>
      </c>
      <c r="FH37" s="199">
        <f t="shared" si="66"/>
        <v>0</v>
      </c>
      <c r="FI37" s="199">
        <f t="shared" si="66"/>
        <v>0</v>
      </c>
      <c r="FJ37" s="199">
        <f t="shared" si="66"/>
        <v>0</v>
      </c>
      <c r="FK37" s="199">
        <f t="shared" si="66"/>
        <v>782493</v>
      </c>
      <c r="FL37" s="199">
        <f t="shared" si="66"/>
        <v>0</v>
      </c>
      <c r="FM37" s="199">
        <f t="shared" si="66"/>
        <v>0</v>
      </c>
      <c r="FN37" s="199">
        <f t="shared" si="66"/>
        <v>0</v>
      </c>
      <c r="FO37" s="199">
        <f t="shared" si="66"/>
        <v>0</v>
      </c>
      <c r="FP37" s="199">
        <f t="shared" si="66"/>
        <v>0</v>
      </c>
      <c r="FQ37" s="199">
        <f t="shared" si="66"/>
        <v>0</v>
      </c>
      <c r="FR37" s="199">
        <f t="shared" si="66"/>
        <v>0</v>
      </c>
      <c r="FS37" s="199">
        <f t="shared" si="66"/>
        <v>0</v>
      </c>
      <c r="FT37" s="199">
        <f t="shared" si="66"/>
        <v>0</v>
      </c>
      <c r="FU37" s="199">
        <f t="shared" si="66"/>
        <v>0</v>
      </c>
      <c r="FV37" s="199">
        <f t="shared" si="66"/>
        <v>0</v>
      </c>
      <c r="FW37" s="199">
        <f t="shared" si="66"/>
        <v>0</v>
      </c>
      <c r="FX37" s="199">
        <f t="shared" si="66"/>
        <v>0</v>
      </c>
      <c r="FY37" s="199">
        <f t="shared" si="66"/>
        <v>0</v>
      </c>
      <c r="FZ37" s="199">
        <f t="shared" si="66"/>
        <v>0</v>
      </c>
      <c r="GA37" s="199">
        <f t="shared" si="66"/>
        <v>0</v>
      </c>
      <c r="GB37" s="199">
        <f t="shared" si="66"/>
        <v>0</v>
      </c>
      <c r="GC37" s="199">
        <f t="shared" si="66"/>
        <v>0</v>
      </c>
      <c r="GD37" s="199">
        <f t="shared" si="66"/>
        <v>0</v>
      </c>
      <c r="GE37" s="199">
        <f t="shared" si="66"/>
        <v>0</v>
      </c>
      <c r="GF37" s="199">
        <f t="shared" si="66"/>
        <v>0</v>
      </c>
      <c r="GG37" s="199">
        <f t="shared" si="66"/>
        <v>0</v>
      </c>
      <c r="GH37" s="199">
        <f t="shared" si="66"/>
        <v>0</v>
      </c>
      <c r="GI37" s="199">
        <f t="shared" si="66"/>
        <v>0</v>
      </c>
      <c r="GJ37" s="199">
        <f t="shared" si="66"/>
        <v>0</v>
      </c>
      <c r="GK37" s="199">
        <f t="shared" si="66"/>
        <v>0</v>
      </c>
      <c r="GL37" s="199">
        <f t="shared" si="66"/>
        <v>0</v>
      </c>
      <c r="GM37" s="199">
        <f t="shared" si="66"/>
        <v>1655</v>
      </c>
      <c r="GN37" s="199">
        <f t="shared" ref="GN37:IY37" si="67">GN26+GN27</f>
        <v>0</v>
      </c>
      <c r="GO37" s="199">
        <f t="shared" si="67"/>
        <v>0</v>
      </c>
      <c r="GP37" s="199">
        <f t="shared" si="67"/>
        <v>0</v>
      </c>
      <c r="GQ37" s="199">
        <f t="shared" si="67"/>
        <v>0</v>
      </c>
      <c r="GR37" s="199">
        <f t="shared" si="67"/>
        <v>0</v>
      </c>
      <c r="GS37" s="199">
        <f t="shared" si="67"/>
        <v>0</v>
      </c>
      <c r="GT37" s="199">
        <f t="shared" si="67"/>
        <v>0</v>
      </c>
      <c r="GU37" s="199">
        <f t="shared" si="67"/>
        <v>0</v>
      </c>
      <c r="GV37" s="199">
        <f t="shared" si="67"/>
        <v>0</v>
      </c>
      <c r="GW37" s="199">
        <f t="shared" si="67"/>
        <v>0</v>
      </c>
      <c r="GX37" s="199">
        <f t="shared" si="67"/>
        <v>160</v>
      </c>
      <c r="GY37" s="199">
        <f t="shared" si="67"/>
        <v>16862919</v>
      </c>
      <c r="GZ37" s="199">
        <f t="shared" si="67"/>
        <v>0</v>
      </c>
      <c r="HA37" s="199">
        <f t="shared" si="67"/>
        <v>0</v>
      </c>
      <c r="HB37" s="199">
        <f t="shared" si="67"/>
        <v>0</v>
      </c>
      <c r="HC37" s="199">
        <f t="shared" si="67"/>
        <v>0</v>
      </c>
      <c r="HD37" s="199">
        <f t="shared" si="67"/>
        <v>1089411</v>
      </c>
      <c r="HE37" s="199">
        <f t="shared" si="67"/>
        <v>0</v>
      </c>
      <c r="HF37" s="199">
        <f t="shared" si="67"/>
        <v>0</v>
      </c>
      <c r="HG37" s="199">
        <f t="shared" si="67"/>
        <v>0</v>
      </c>
      <c r="HH37" s="199">
        <f t="shared" si="67"/>
        <v>0</v>
      </c>
      <c r="HI37" s="199">
        <f t="shared" si="67"/>
        <v>153963</v>
      </c>
      <c r="HJ37" s="199">
        <f t="shared" si="67"/>
        <v>2261235</v>
      </c>
      <c r="HK37" s="199">
        <f t="shared" si="67"/>
        <v>549687</v>
      </c>
      <c r="HL37" s="199">
        <f t="shared" si="67"/>
        <v>0</v>
      </c>
      <c r="HM37" s="199">
        <f t="shared" si="67"/>
        <v>0</v>
      </c>
      <c r="HN37" s="199">
        <f t="shared" si="67"/>
        <v>0</v>
      </c>
      <c r="HO37" s="199">
        <f t="shared" si="67"/>
        <v>0</v>
      </c>
      <c r="HP37" s="199">
        <f t="shared" si="67"/>
        <v>0</v>
      </c>
      <c r="HQ37" s="199">
        <f t="shared" si="67"/>
        <v>0</v>
      </c>
      <c r="HR37" s="199">
        <f t="shared" si="67"/>
        <v>0</v>
      </c>
      <c r="HS37" s="199">
        <f t="shared" si="67"/>
        <v>0</v>
      </c>
      <c r="HT37" s="199">
        <f t="shared" si="67"/>
        <v>0</v>
      </c>
      <c r="HU37" s="199">
        <f t="shared" si="67"/>
        <v>0</v>
      </c>
      <c r="HV37" s="199">
        <f t="shared" si="67"/>
        <v>0</v>
      </c>
      <c r="HW37" s="199">
        <f t="shared" si="67"/>
        <v>0</v>
      </c>
      <c r="HX37" s="199">
        <f t="shared" si="67"/>
        <v>0</v>
      </c>
      <c r="HY37" s="199">
        <f t="shared" si="67"/>
        <v>0</v>
      </c>
      <c r="HZ37" s="199">
        <f t="shared" si="67"/>
        <v>0</v>
      </c>
      <c r="IA37" s="199">
        <f t="shared" si="67"/>
        <v>0</v>
      </c>
      <c r="IB37" s="199">
        <f t="shared" si="67"/>
        <v>0</v>
      </c>
      <c r="IC37" s="199">
        <f t="shared" si="67"/>
        <v>0</v>
      </c>
      <c r="ID37" s="199">
        <f t="shared" si="67"/>
        <v>0</v>
      </c>
      <c r="IE37" s="199">
        <f t="shared" si="67"/>
        <v>0</v>
      </c>
      <c r="IF37" s="199">
        <f t="shared" si="67"/>
        <v>237167</v>
      </c>
      <c r="IG37" s="199">
        <f t="shared" si="67"/>
        <v>0</v>
      </c>
      <c r="IH37" s="199">
        <f t="shared" si="67"/>
        <v>0</v>
      </c>
      <c r="II37" s="199">
        <f t="shared" si="67"/>
        <v>0</v>
      </c>
      <c r="IJ37" s="199">
        <f t="shared" si="67"/>
        <v>0</v>
      </c>
      <c r="IK37" s="199">
        <f t="shared" si="67"/>
        <v>3012</v>
      </c>
      <c r="IL37" s="199">
        <f t="shared" si="67"/>
        <v>0</v>
      </c>
      <c r="IM37" s="199">
        <f t="shared" si="67"/>
        <v>0</v>
      </c>
      <c r="IN37" s="199">
        <f t="shared" si="67"/>
        <v>106956</v>
      </c>
      <c r="IO37" s="199">
        <f t="shared" si="67"/>
        <v>0</v>
      </c>
      <c r="IP37" s="199">
        <f t="shared" si="67"/>
        <v>0</v>
      </c>
      <c r="IQ37" s="199">
        <f t="shared" si="67"/>
        <v>0</v>
      </c>
      <c r="IR37" s="199">
        <f t="shared" si="67"/>
        <v>0</v>
      </c>
      <c r="IS37" s="199">
        <f t="shared" si="67"/>
        <v>0</v>
      </c>
      <c r="IT37" s="199">
        <f t="shared" si="67"/>
        <v>0</v>
      </c>
      <c r="IU37" s="199">
        <f t="shared" si="67"/>
        <v>0</v>
      </c>
      <c r="IV37" s="199">
        <f t="shared" si="67"/>
        <v>212948</v>
      </c>
      <c r="IW37" s="199">
        <f t="shared" si="67"/>
        <v>0</v>
      </c>
      <c r="IX37" s="199">
        <f t="shared" si="67"/>
        <v>0</v>
      </c>
      <c r="IY37" s="199">
        <f t="shared" si="67"/>
        <v>0</v>
      </c>
      <c r="IZ37" s="199">
        <f t="shared" ref="IZ37:LK37" si="68">IZ26+IZ27</f>
        <v>0</v>
      </c>
      <c r="JA37" s="199">
        <f t="shared" si="68"/>
        <v>0</v>
      </c>
      <c r="JB37" s="199">
        <f t="shared" si="68"/>
        <v>119038</v>
      </c>
      <c r="JC37" s="199">
        <f t="shared" si="68"/>
        <v>0</v>
      </c>
      <c r="JD37" s="199">
        <f t="shared" si="68"/>
        <v>0</v>
      </c>
      <c r="JE37" s="199">
        <f t="shared" si="68"/>
        <v>1035729</v>
      </c>
      <c r="JF37" s="199">
        <f t="shared" si="68"/>
        <v>0</v>
      </c>
      <c r="JG37" s="199">
        <f t="shared" si="68"/>
        <v>0</v>
      </c>
      <c r="JH37" s="199">
        <f t="shared" si="68"/>
        <v>0</v>
      </c>
      <c r="JI37" s="199">
        <f t="shared" si="68"/>
        <v>0</v>
      </c>
      <c r="JJ37" s="199">
        <f t="shared" si="68"/>
        <v>0</v>
      </c>
      <c r="JK37" s="199">
        <f t="shared" si="68"/>
        <v>0</v>
      </c>
      <c r="JL37" s="199">
        <f t="shared" si="68"/>
        <v>0</v>
      </c>
      <c r="JM37" s="199">
        <f t="shared" si="68"/>
        <v>0</v>
      </c>
      <c r="JN37" s="199">
        <f t="shared" si="68"/>
        <v>672</v>
      </c>
      <c r="JO37" s="199">
        <f t="shared" si="68"/>
        <v>0</v>
      </c>
      <c r="JP37" s="199">
        <f t="shared" si="68"/>
        <v>0</v>
      </c>
      <c r="JQ37" s="199">
        <f t="shared" si="68"/>
        <v>0</v>
      </c>
      <c r="JR37" s="199">
        <f t="shared" si="68"/>
        <v>0</v>
      </c>
      <c r="JS37" s="199">
        <f t="shared" si="68"/>
        <v>112185</v>
      </c>
      <c r="JT37" s="199">
        <f t="shared" si="68"/>
        <v>26156</v>
      </c>
      <c r="JU37" s="199">
        <f t="shared" si="68"/>
        <v>0</v>
      </c>
      <c r="JV37" s="199">
        <f t="shared" si="68"/>
        <v>0</v>
      </c>
      <c r="JW37" s="199">
        <f t="shared" si="68"/>
        <v>0</v>
      </c>
      <c r="JX37" s="199">
        <f t="shared" si="68"/>
        <v>0</v>
      </c>
      <c r="JY37" s="199">
        <f t="shared" si="68"/>
        <v>0</v>
      </c>
      <c r="JZ37" s="199">
        <f t="shared" si="68"/>
        <v>0</v>
      </c>
      <c r="KA37" s="199">
        <f t="shared" si="68"/>
        <v>0</v>
      </c>
      <c r="KB37" s="199">
        <f t="shared" si="68"/>
        <v>0</v>
      </c>
      <c r="KC37" s="199">
        <f t="shared" si="68"/>
        <v>0</v>
      </c>
      <c r="KD37" s="199">
        <f t="shared" si="68"/>
        <v>0</v>
      </c>
      <c r="KE37" s="199">
        <f t="shared" si="68"/>
        <v>0</v>
      </c>
      <c r="KF37" s="199">
        <f t="shared" si="68"/>
        <v>0</v>
      </c>
      <c r="KG37" s="199">
        <f t="shared" si="68"/>
        <v>0</v>
      </c>
      <c r="KH37" s="199">
        <f t="shared" si="68"/>
        <v>0</v>
      </c>
      <c r="KI37" s="199">
        <f t="shared" si="68"/>
        <v>0</v>
      </c>
      <c r="KJ37" s="199">
        <f t="shared" si="68"/>
        <v>0</v>
      </c>
      <c r="KK37" s="199">
        <f t="shared" si="68"/>
        <v>0</v>
      </c>
      <c r="KL37" s="199">
        <f t="shared" si="68"/>
        <v>0</v>
      </c>
      <c r="KM37" s="199">
        <f t="shared" si="68"/>
        <v>0</v>
      </c>
      <c r="KN37" s="199">
        <f t="shared" si="68"/>
        <v>0</v>
      </c>
      <c r="KO37" s="199">
        <f t="shared" si="68"/>
        <v>0</v>
      </c>
      <c r="KP37" s="199">
        <f t="shared" si="68"/>
        <v>0</v>
      </c>
      <c r="KQ37" s="199">
        <f t="shared" si="68"/>
        <v>0</v>
      </c>
      <c r="KR37" s="199">
        <f t="shared" si="68"/>
        <v>0</v>
      </c>
      <c r="KS37" s="199">
        <f t="shared" si="68"/>
        <v>0</v>
      </c>
      <c r="KT37" s="199">
        <f t="shared" si="68"/>
        <v>0</v>
      </c>
      <c r="KU37" s="199">
        <f t="shared" si="68"/>
        <v>3908</v>
      </c>
      <c r="KV37" s="199">
        <f t="shared" si="68"/>
        <v>0</v>
      </c>
      <c r="KW37" s="199">
        <f t="shared" si="68"/>
        <v>0</v>
      </c>
      <c r="KX37" s="199">
        <f t="shared" si="68"/>
        <v>0</v>
      </c>
      <c r="KY37" s="199">
        <f t="shared" si="68"/>
        <v>0</v>
      </c>
      <c r="KZ37" s="199">
        <f t="shared" si="68"/>
        <v>0</v>
      </c>
      <c r="LA37" s="199">
        <f t="shared" si="68"/>
        <v>0</v>
      </c>
      <c r="LB37" s="199">
        <f t="shared" si="68"/>
        <v>0</v>
      </c>
      <c r="LC37" s="199">
        <f t="shared" si="68"/>
        <v>0</v>
      </c>
      <c r="LD37" s="199">
        <f t="shared" si="68"/>
        <v>0</v>
      </c>
      <c r="LE37" s="199">
        <f t="shared" si="68"/>
        <v>0</v>
      </c>
      <c r="LF37" s="199">
        <f t="shared" si="68"/>
        <v>0</v>
      </c>
      <c r="LG37" s="199">
        <f t="shared" si="68"/>
        <v>0</v>
      </c>
      <c r="LH37" s="199">
        <f t="shared" si="68"/>
        <v>0</v>
      </c>
      <c r="LI37" s="199">
        <f t="shared" si="68"/>
        <v>0</v>
      </c>
      <c r="LJ37" s="199">
        <f t="shared" si="68"/>
        <v>0</v>
      </c>
      <c r="LK37" s="199">
        <f t="shared" si="68"/>
        <v>0</v>
      </c>
      <c r="LL37" s="199">
        <f t="shared" ref="LL37:NW37" si="69">LL26+LL27</f>
        <v>0</v>
      </c>
      <c r="LM37" s="199">
        <f t="shared" si="69"/>
        <v>0</v>
      </c>
      <c r="LN37" s="199">
        <f t="shared" si="69"/>
        <v>0</v>
      </c>
      <c r="LO37" s="199">
        <f t="shared" si="69"/>
        <v>0</v>
      </c>
      <c r="LP37" s="199">
        <f t="shared" si="69"/>
        <v>773061</v>
      </c>
      <c r="LQ37" s="199">
        <f t="shared" si="69"/>
        <v>185220</v>
      </c>
      <c r="LR37" s="199">
        <f t="shared" si="69"/>
        <v>0</v>
      </c>
      <c r="LS37" s="199">
        <f t="shared" si="69"/>
        <v>11155</v>
      </c>
      <c r="LT37" s="199">
        <f t="shared" si="69"/>
        <v>0</v>
      </c>
      <c r="LU37" s="199">
        <f t="shared" si="69"/>
        <v>38291</v>
      </c>
      <c r="LV37" s="199">
        <f t="shared" si="69"/>
        <v>0</v>
      </c>
      <c r="LW37" s="199">
        <f t="shared" si="69"/>
        <v>0</v>
      </c>
      <c r="LX37" s="199">
        <f t="shared" si="69"/>
        <v>0</v>
      </c>
      <c r="LY37" s="199">
        <f t="shared" si="69"/>
        <v>0</v>
      </c>
      <c r="LZ37" s="199">
        <f t="shared" si="69"/>
        <v>0</v>
      </c>
      <c r="MA37" s="199">
        <f t="shared" si="69"/>
        <v>0</v>
      </c>
      <c r="MB37" s="199">
        <f t="shared" si="69"/>
        <v>0</v>
      </c>
      <c r="MC37" s="199">
        <f t="shared" si="69"/>
        <v>0</v>
      </c>
      <c r="MD37" s="199">
        <f t="shared" si="69"/>
        <v>0</v>
      </c>
      <c r="ME37" s="199">
        <f t="shared" si="69"/>
        <v>0</v>
      </c>
      <c r="MF37" s="199">
        <f t="shared" si="69"/>
        <v>0</v>
      </c>
      <c r="MG37" s="199">
        <f t="shared" si="69"/>
        <v>0</v>
      </c>
      <c r="MH37" s="199">
        <f t="shared" si="69"/>
        <v>0</v>
      </c>
      <c r="MI37" s="199">
        <f t="shared" si="69"/>
        <v>0</v>
      </c>
      <c r="MJ37" s="199">
        <f t="shared" si="69"/>
        <v>48944</v>
      </c>
      <c r="MK37" s="199">
        <f t="shared" si="69"/>
        <v>195898</v>
      </c>
      <c r="ML37" s="199">
        <f t="shared" si="69"/>
        <v>71577</v>
      </c>
      <c r="MM37" s="199">
        <f t="shared" si="69"/>
        <v>0</v>
      </c>
      <c r="MN37" s="199">
        <f t="shared" si="69"/>
        <v>0</v>
      </c>
      <c r="MO37" s="199">
        <f t="shared" si="69"/>
        <v>0</v>
      </c>
      <c r="MP37" s="199">
        <f t="shared" si="69"/>
        <v>0</v>
      </c>
      <c r="MQ37" s="199">
        <f t="shared" si="69"/>
        <v>1580396</v>
      </c>
      <c r="MR37" s="199">
        <f t="shared" si="69"/>
        <v>0</v>
      </c>
      <c r="MS37" s="199">
        <f t="shared" si="69"/>
        <v>0</v>
      </c>
      <c r="MT37" s="199">
        <f t="shared" si="69"/>
        <v>852268</v>
      </c>
      <c r="MU37" s="199">
        <f t="shared" si="69"/>
        <v>48900</v>
      </c>
      <c r="MV37" s="199">
        <f t="shared" si="69"/>
        <v>0</v>
      </c>
      <c r="MW37" s="199">
        <f t="shared" si="69"/>
        <v>0</v>
      </c>
      <c r="MX37" s="199">
        <f t="shared" si="69"/>
        <v>0</v>
      </c>
      <c r="MY37" s="199">
        <f t="shared" si="69"/>
        <v>0</v>
      </c>
      <c r="MZ37" s="199">
        <f t="shared" si="69"/>
        <v>0</v>
      </c>
      <c r="NA37" s="199">
        <f t="shared" si="69"/>
        <v>0</v>
      </c>
      <c r="NB37" s="199">
        <f t="shared" si="69"/>
        <v>0</v>
      </c>
      <c r="NC37" s="199">
        <f t="shared" si="69"/>
        <v>0</v>
      </c>
      <c r="ND37" s="199">
        <f t="shared" si="69"/>
        <v>0</v>
      </c>
      <c r="NE37" s="199">
        <f t="shared" si="69"/>
        <v>0</v>
      </c>
      <c r="NF37" s="199">
        <f t="shared" si="69"/>
        <v>0</v>
      </c>
      <c r="NG37" s="199">
        <f t="shared" si="69"/>
        <v>0</v>
      </c>
      <c r="NH37" s="199">
        <f t="shared" si="69"/>
        <v>0</v>
      </c>
      <c r="NI37" s="199">
        <f t="shared" si="69"/>
        <v>0</v>
      </c>
      <c r="NJ37" s="199">
        <f t="shared" si="69"/>
        <v>0</v>
      </c>
      <c r="NK37" s="199">
        <f t="shared" si="69"/>
        <v>0</v>
      </c>
      <c r="NL37" s="199">
        <f t="shared" si="69"/>
        <v>0</v>
      </c>
      <c r="NM37" s="199">
        <f t="shared" si="69"/>
        <v>0</v>
      </c>
      <c r="NN37" s="199">
        <f t="shared" si="69"/>
        <v>0</v>
      </c>
      <c r="NO37" s="199">
        <f t="shared" si="69"/>
        <v>0</v>
      </c>
      <c r="NP37" s="199">
        <f t="shared" si="69"/>
        <v>0</v>
      </c>
      <c r="NQ37" s="199">
        <f t="shared" si="69"/>
        <v>0</v>
      </c>
      <c r="NR37" s="199">
        <f t="shared" si="69"/>
        <v>219679</v>
      </c>
      <c r="NS37" s="199">
        <f t="shared" si="69"/>
        <v>0</v>
      </c>
      <c r="NT37" s="199">
        <f t="shared" si="69"/>
        <v>0</v>
      </c>
      <c r="NU37" s="199">
        <f t="shared" si="69"/>
        <v>0</v>
      </c>
      <c r="NV37" s="199">
        <f t="shared" si="69"/>
        <v>0</v>
      </c>
      <c r="NW37" s="199">
        <f t="shared" si="69"/>
        <v>0</v>
      </c>
      <c r="NX37" s="199">
        <f t="shared" ref="NX37:QI37" si="70">NX26+NX27</f>
        <v>0</v>
      </c>
      <c r="NY37" s="199">
        <f t="shared" si="70"/>
        <v>0</v>
      </c>
      <c r="NZ37" s="199">
        <f t="shared" si="70"/>
        <v>0</v>
      </c>
      <c r="OA37" s="199">
        <f t="shared" si="70"/>
        <v>71366</v>
      </c>
      <c r="OB37" s="199">
        <f t="shared" si="70"/>
        <v>0</v>
      </c>
      <c r="OC37" s="199">
        <f t="shared" si="70"/>
        <v>0</v>
      </c>
      <c r="OD37" s="199">
        <f t="shared" si="70"/>
        <v>0</v>
      </c>
      <c r="OE37" s="199">
        <f t="shared" si="70"/>
        <v>0</v>
      </c>
      <c r="OF37" s="199">
        <f t="shared" si="70"/>
        <v>108564</v>
      </c>
      <c r="OG37" s="199">
        <f t="shared" si="70"/>
        <v>0</v>
      </c>
      <c r="OH37" s="199">
        <f t="shared" si="70"/>
        <v>0</v>
      </c>
      <c r="OI37" s="199">
        <f t="shared" si="70"/>
        <v>0</v>
      </c>
      <c r="OJ37" s="199">
        <f t="shared" si="70"/>
        <v>0</v>
      </c>
      <c r="OK37" s="199">
        <f t="shared" si="70"/>
        <v>0</v>
      </c>
      <c r="OL37" s="199">
        <f t="shared" si="70"/>
        <v>0</v>
      </c>
      <c r="OM37" s="199">
        <f t="shared" si="70"/>
        <v>0</v>
      </c>
      <c r="ON37" s="199">
        <f t="shared" si="70"/>
        <v>0</v>
      </c>
      <c r="OO37" s="199">
        <f t="shared" si="70"/>
        <v>0</v>
      </c>
      <c r="OP37" s="199">
        <f t="shared" si="70"/>
        <v>0</v>
      </c>
      <c r="OQ37" s="199">
        <f t="shared" si="70"/>
        <v>0</v>
      </c>
      <c r="OR37" s="199">
        <f t="shared" si="70"/>
        <v>0</v>
      </c>
      <c r="OS37" s="199">
        <f t="shared" si="70"/>
        <v>0</v>
      </c>
      <c r="OT37" s="199">
        <f t="shared" si="70"/>
        <v>0</v>
      </c>
      <c r="OU37" s="199">
        <f t="shared" si="70"/>
        <v>0</v>
      </c>
      <c r="OV37" s="199">
        <f t="shared" si="70"/>
        <v>0</v>
      </c>
      <c r="OW37" s="199">
        <f t="shared" si="70"/>
        <v>0</v>
      </c>
      <c r="OX37" s="199">
        <f t="shared" si="70"/>
        <v>0</v>
      </c>
      <c r="OY37" s="199">
        <f t="shared" si="70"/>
        <v>72357</v>
      </c>
      <c r="OZ37" s="199">
        <f t="shared" si="70"/>
        <v>0</v>
      </c>
      <c r="PA37" s="199">
        <f t="shared" si="70"/>
        <v>0</v>
      </c>
      <c r="PB37" s="199">
        <f t="shared" si="70"/>
        <v>0</v>
      </c>
      <c r="PC37" s="199">
        <f t="shared" si="70"/>
        <v>0</v>
      </c>
      <c r="PD37" s="199">
        <f t="shared" si="70"/>
        <v>0</v>
      </c>
      <c r="PE37" s="199">
        <f t="shared" si="70"/>
        <v>0</v>
      </c>
      <c r="PF37" s="199">
        <f t="shared" si="70"/>
        <v>0</v>
      </c>
      <c r="PG37" s="199">
        <f t="shared" si="70"/>
        <v>0</v>
      </c>
      <c r="PH37" s="199">
        <f t="shared" si="70"/>
        <v>0</v>
      </c>
      <c r="PI37" s="199">
        <f t="shared" si="70"/>
        <v>0</v>
      </c>
      <c r="PJ37" s="199">
        <f t="shared" si="70"/>
        <v>0</v>
      </c>
      <c r="PK37" s="199">
        <f t="shared" si="70"/>
        <v>0</v>
      </c>
      <c r="PL37" s="199">
        <f t="shared" si="70"/>
        <v>0</v>
      </c>
      <c r="PM37" s="199">
        <f t="shared" si="70"/>
        <v>0</v>
      </c>
      <c r="PN37" s="199">
        <f t="shared" si="70"/>
        <v>0</v>
      </c>
      <c r="PO37" s="199">
        <f t="shared" si="70"/>
        <v>0</v>
      </c>
      <c r="PP37" s="199">
        <f t="shared" si="70"/>
        <v>0</v>
      </c>
      <c r="PQ37" s="199">
        <f t="shared" si="70"/>
        <v>0</v>
      </c>
      <c r="PR37" s="199">
        <f t="shared" si="70"/>
        <v>0</v>
      </c>
      <c r="PS37" s="199">
        <f t="shared" si="70"/>
        <v>0</v>
      </c>
      <c r="PT37" s="199">
        <f t="shared" si="70"/>
        <v>0</v>
      </c>
      <c r="PU37" s="199">
        <f t="shared" si="70"/>
        <v>0</v>
      </c>
      <c r="PV37" s="199">
        <f t="shared" si="70"/>
        <v>0</v>
      </c>
      <c r="PW37" s="199">
        <f t="shared" si="70"/>
        <v>0</v>
      </c>
      <c r="PX37" s="199">
        <f t="shared" si="70"/>
        <v>0</v>
      </c>
      <c r="PY37" s="199">
        <f t="shared" si="70"/>
        <v>0</v>
      </c>
      <c r="PZ37" s="199">
        <f t="shared" si="70"/>
        <v>0</v>
      </c>
      <c r="QA37" s="199">
        <f t="shared" si="70"/>
        <v>0</v>
      </c>
      <c r="QB37" s="199">
        <f t="shared" si="70"/>
        <v>0</v>
      </c>
      <c r="QC37" s="199">
        <f t="shared" si="70"/>
        <v>0</v>
      </c>
      <c r="QD37" s="199">
        <f t="shared" si="70"/>
        <v>0</v>
      </c>
      <c r="QE37" s="199">
        <f t="shared" si="70"/>
        <v>0</v>
      </c>
      <c r="QF37" s="199">
        <f t="shared" si="70"/>
        <v>0</v>
      </c>
      <c r="QG37" s="199">
        <f t="shared" si="70"/>
        <v>0</v>
      </c>
      <c r="QH37" s="199">
        <f t="shared" si="70"/>
        <v>0</v>
      </c>
      <c r="QI37" s="199">
        <f t="shared" si="70"/>
        <v>39800</v>
      </c>
      <c r="QJ37" s="199">
        <f t="shared" ref="QJ37:QR37" si="71">QJ26+QJ27</f>
        <v>102750</v>
      </c>
      <c r="QK37" s="199">
        <f t="shared" si="71"/>
        <v>0</v>
      </c>
      <c r="QL37" s="199">
        <f t="shared" si="71"/>
        <v>896250</v>
      </c>
      <c r="QM37" s="199">
        <f t="shared" si="71"/>
        <v>0</v>
      </c>
      <c r="QN37" s="199">
        <f t="shared" si="71"/>
        <v>0</v>
      </c>
      <c r="QO37" s="199">
        <f t="shared" si="71"/>
        <v>0</v>
      </c>
      <c r="QP37" s="199">
        <f t="shared" si="71"/>
        <v>0</v>
      </c>
      <c r="QQ37" s="199">
        <f t="shared" si="71"/>
        <v>0</v>
      </c>
      <c r="QR37" s="199">
        <f t="shared" si="71"/>
        <v>0</v>
      </c>
    </row>
  </sheetData>
  <mergeCells count="19">
    <mergeCell ref="SA2:SC2"/>
    <mergeCell ref="SH2:SI2"/>
    <mergeCell ref="SJ2:SK2"/>
    <mergeCell ref="SL2:SQ2"/>
    <mergeCell ref="SR2:SX2"/>
    <mergeCell ref="QV1:RH1"/>
    <mergeCell ref="RZ1:SD1"/>
    <mergeCell ref="SG1:TB1"/>
    <mergeCell ref="TV1:TW1"/>
    <mergeCell ref="TY1:TZ1"/>
    <mergeCell ref="TY2:TZ2"/>
    <mergeCell ref="UR2:UT2"/>
    <mergeCell ref="SL7:SM7"/>
    <mergeCell ref="SY2:SZ2"/>
    <mergeCell ref="TA2:TB2"/>
    <mergeCell ref="TC2:TD2"/>
    <mergeCell ref="TH2:TI2"/>
    <mergeCell ref="TM2:TN2"/>
    <mergeCell ref="TV2:TW2"/>
  </mergeCells>
  <conditionalFormatting sqref="A2:QT2 SR2">
    <cfRule type="cellIs" dxfId="7" priority="8" operator="equal">
      <formula>#N/A</formula>
    </cfRule>
  </conditionalFormatting>
  <conditionalFormatting sqref="RX2:RZ2 QV2">
    <cfRule type="cellIs" dxfId="6" priority="7" operator="equal">
      <formula>#N/A</formula>
    </cfRule>
  </conditionalFormatting>
  <conditionalFormatting sqref="SA2:SC2">
    <cfRule type="cellIs" dxfId="5" priority="6" operator="equal">
      <formula>#N/A</formula>
    </cfRule>
  </conditionalFormatting>
  <conditionalFormatting sqref="SF2:SH2 SJ2">
    <cfRule type="cellIs" dxfId="4" priority="5" operator="equal">
      <formula>#N/A</formula>
    </cfRule>
  </conditionalFormatting>
  <conditionalFormatting sqref="TJ2:TM2 TO2 TQ2">
    <cfRule type="cellIs" dxfId="3" priority="4" operator="equal">
      <formula>#N/A</formula>
    </cfRule>
  </conditionalFormatting>
  <conditionalFormatting sqref="TN3">
    <cfRule type="cellIs" dxfId="2" priority="3" operator="equal">
      <formula>#N/A</formula>
    </cfRule>
  </conditionalFormatting>
  <conditionalFormatting sqref="TI3">
    <cfRule type="cellIs" dxfId="1" priority="2" operator="equal">
      <formula>#N/A</formula>
    </cfRule>
  </conditionalFormatting>
  <conditionalFormatting sqref="TP2">
    <cfRule type="cellIs" dxfId="0" priority="1" operator="equal">
      <formula>#N/A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43"/>
  <sheetViews>
    <sheetView topLeftCell="A13" zoomScale="80" zoomScaleNormal="80" workbookViewId="0">
      <selection activeCell="H56" sqref="H56"/>
    </sheetView>
  </sheetViews>
  <sheetFormatPr defaultColWidth="9.1796875" defaultRowHeight="14.5"/>
  <cols>
    <col min="1" max="1" width="9.1796875" style="40"/>
    <col min="2" max="2" width="31" style="40" customWidth="1"/>
    <col min="3" max="5" width="20.1796875" style="40" customWidth="1"/>
    <col min="6" max="6" width="19.54296875" style="40" customWidth="1"/>
    <col min="7" max="8" width="20.1796875" style="40" customWidth="1"/>
    <col min="9" max="11" width="17.453125" style="40" customWidth="1"/>
    <col min="12" max="13" width="13.7265625" style="40" customWidth="1"/>
    <col min="14" max="16384" width="9.1796875" style="40"/>
  </cols>
  <sheetData>
    <row r="2" spans="2:12">
      <c r="B2" s="188" t="s">
        <v>1311</v>
      </c>
      <c r="C2" s="210"/>
      <c r="D2" s="211"/>
      <c r="E2" s="210"/>
      <c r="F2" s="210"/>
      <c r="G2" s="210"/>
      <c r="H2" s="210"/>
    </row>
    <row r="3" spans="2:12">
      <c r="B3" s="210" t="s">
        <v>1312</v>
      </c>
      <c r="C3" s="210"/>
      <c r="D3" s="210"/>
      <c r="E3" s="210"/>
      <c r="F3" s="210"/>
      <c r="G3" s="210"/>
      <c r="H3" s="210"/>
    </row>
    <row r="4" spans="2:12">
      <c r="B4" s="210"/>
      <c r="C4" s="210"/>
      <c r="D4" s="210"/>
      <c r="E4" s="210"/>
      <c r="F4" s="210"/>
      <c r="G4" s="210"/>
      <c r="H4" s="210"/>
    </row>
    <row r="5" spans="2:12">
      <c r="B5" s="212"/>
      <c r="C5" s="971" t="s">
        <v>1343</v>
      </c>
      <c r="D5" s="972"/>
      <c r="E5" s="973"/>
      <c r="F5" s="1014" t="s">
        <v>1313</v>
      </c>
      <c r="G5" s="1014"/>
      <c r="H5" s="1014"/>
      <c r="I5" s="1014" t="s">
        <v>1314</v>
      </c>
      <c r="J5" s="1014"/>
      <c r="K5" s="1014"/>
      <c r="L5" s="1014"/>
    </row>
    <row r="6" spans="2:12">
      <c r="B6" s="213" t="s">
        <v>1185</v>
      </c>
      <c r="C6" s="214" t="s">
        <v>1344</v>
      </c>
      <c r="D6" s="214" t="s">
        <v>1346</v>
      </c>
      <c r="E6" s="214" t="s">
        <v>1342</v>
      </c>
      <c r="F6" s="214" t="s">
        <v>1315</v>
      </c>
      <c r="G6" s="214" t="s">
        <v>1316</v>
      </c>
      <c r="H6" s="214" t="s">
        <v>1317</v>
      </c>
      <c r="I6" s="214" t="s">
        <v>1315</v>
      </c>
      <c r="J6" s="214" t="s">
        <v>1316</v>
      </c>
      <c r="K6" s="214" t="s">
        <v>1317</v>
      </c>
      <c r="L6" s="250" t="s">
        <v>1324</v>
      </c>
    </row>
    <row r="7" spans="2:12">
      <c r="B7" s="215" t="s">
        <v>97</v>
      </c>
      <c r="C7" s="248">
        <f>IFERROR(VLOOKUP($B7, $B$85:$M$238, 2, FALSE), "")</f>
        <v>24238</v>
      </c>
      <c r="D7" s="249">
        <f>IFERROR(VLOOKUP($B7, $B$85:$M$238, 3, FALSE), "")</f>
        <v>694830.44376598729</v>
      </c>
      <c r="E7" s="247">
        <f>IFERROR(VLOOKUP($B7, $B$85:$M$238, 4, FALSE), "")</f>
        <v>0.3524982351556985</v>
      </c>
      <c r="F7" s="238">
        <f>IFERROR(VLOOKUP($B7, $B$85:$M$238, 6, FALSE), "")</f>
        <v>247166396</v>
      </c>
      <c r="G7" s="237">
        <f>IFERROR(VLOOKUP($B7, $B$85:$M$238, 7, FALSE), "")</f>
        <v>254480291</v>
      </c>
      <c r="H7" s="238">
        <f>IFERROR(VLOOKUP($B7, $B$85:$M$238, 8, FALSE), "")</f>
        <v>7313895</v>
      </c>
      <c r="I7" s="238">
        <f>IFERROR(VLOOKUP($B7, $B$85:$M$238, 9, FALSE), "")</f>
        <v>10197.474874164534</v>
      </c>
      <c r="J7" s="238">
        <f>IFERROR(VLOOKUP($B7, $B$85:$M$238, 10, FALSE), "")</f>
        <v>10499.228112880601</v>
      </c>
      <c r="K7" s="238">
        <f>IFERROR(VLOOKUP($B7, $B$85:$M$238, 11, FALSE), "")</f>
        <v>301.75323871606571</v>
      </c>
      <c r="L7" s="247">
        <f>IFERROR(VLOOKUP($B7, $B$85:$M$238, 12, FALSE), "")</f>
        <v>5.5635667045738586E-2</v>
      </c>
    </row>
    <row r="8" spans="2:12">
      <c r="B8" s="215" t="s">
        <v>116</v>
      </c>
      <c r="C8" s="248">
        <f>IFERROR(VLOOKUP($B8, $B$85:$M$238, 2, FALSE), "")</f>
        <v>3054</v>
      </c>
      <c r="D8" s="249">
        <f>IFERROR(VLOOKUP($B8, $B$85:$M$238, 3, FALSE), "")</f>
        <v>2927623.0697445972</v>
      </c>
      <c r="E8" s="247">
        <f>IFERROR(VLOOKUP($B8, $B$85:$M$238, 4, FALSE), "")</f>
        <v>0.41674221819280749</v>
      </c>
      <c r="F8" s="238">
        <f>IFERROR(VLOOKUP($B8, $B$85:$M$238, 6, FALSE), "")</f>
        <v>59056311</v>
      </c>
      <c r="G8" s="237">
        <f>IFERROR(VLOOKUP($B8, $B$85:$M$238, 7, FALSE), "")</f>
        <v>59729013</v>
      </c>
      <c r="H8" s="238">
        <f>IFERROR(VLOOKUP($B8, $B$85:$M$238, 8, FALSE), "")</f>
        <v>672702</v>
      </c>
      <c r="I8" s="238">
        <f>IFERROR(VLOOKUP($B8, $B$85:$M$238, 9, FALSE), "")</f>
        <v>19337.364440078585</v>
      </c>
      <c r="J8" s="238">
        <f>IFERROR(VLOOKUP($B8, $B$85:$M$238, 10, FALSE), "")</f>
        <v>19557.633595284871</v>
      </c>
      <c r="K8" s="238">
        <f>IFERROR(VLOOKUP($B8, $B$85:$M$238, 11, FALSE), "")</f>
        <v>220.26915520628683</v>
      </c>
      <c r="L8" s="247">
        <f>IFERROR(VLOOKUP($B8, $B$85:$M$238, 12, FALSE), "")</f>
        <v>4.0033986235895831E-2</v>
      </c>
    </row>
    <row r="9" spans="2:12">
      <c r="B9" s="215"/>
      <c r="C9" s="248" t="str">
        <f>IFERROR(VLOOKUP($B9, $B$85:$M$238, 2, FALSE), "")</f>
        <v/>
      </c>
      <c r="D9" s="247" t="str">
        <f>IFERROR(VLOOKUP($B9, $B$85:$M$238, 4, FALSE), "")</f>
        <v/>
      </c>
      <c r="E9" s="249" t="str">
        <f>IFERROR(VLOOKUP($B9, $B$85:$M$238, 3, FALSE), "")</f>
        <v/>
      </c>
      <c r="F9" s="238" t="str">
        <f>IFERROR(VLOOKUP($B9, $B$85:$M$238, 6, FALSE), "")</f>
        <v/>
      </c>
      <c r="G9" s="237" t="str">
        <f>IFERROR(VLOOKUP($B9, $B$85:$M$238, 7, FALSE), "")</f>
        <v/>
      </c>
      <c r="H9" s="237" t="str">
        <f>IFERROR(VLOOKUP($B9, $B$85:$M$238, 8, FALSE), "")</f>
        <v/>
      </c>
      <c r="I9" s="238" t="str">
        <f>IFERROR(VLOOKUP($B9, $B$85:$M$238, 9, FALSE), "")</f>
        <v/>
      </c>
      <c r="J9" s="238" t="str">
        <f>IFERROR(VLOOKUP($B9, $B$85:$M$238, 10, FALSE), "")</f>
        <v/>
      </c>
      <c r="K9" s="238" t="str">
        <f>IFERROR(VLOOKUP($B9, $B$85:$M$238, 11, FALSE), "")</f>
        <v/>
      </c>
      <c r="L9" s="247" t="str">
        <f>IFERROR(VLOOKUP($B9, $B$85:$M$238, 12, FALSE), "")</f>
        <v/>
      </c>
    </row>
    <row r="10" spans="2:12">
      <c r="B10" s="215"/>
      <c r="C10" s="248" t="str">
        <f>IFERROR(VLOOKUP($B10, $B$85:$M$238, 2, FALSE), "")</f>
        <v/>
      </c>
      <c r="D10" s="247" t="str">
        <f>IFERROR(VLOOKUP($B10, $B$85:$M$238, 4, FALSE), "")</f>
        <v/>
      </c>
      <c r="E10" s="249" t="str">
        <f>IFERROR(VLOOKUP($B10, $B$85:$M$238, 3, FALSE), "")</f>
        <v/>
      </c>
      <c r="F10" s="238" t="str">
        <f>IFERROR(VLOOKUP($B10, $B$85:$M$238, 6, FALSE), "")</f>
        <v/>
      </c>
      <c r="G10" s="237" t="str">
        <f>IFERROR(VLOOKUP($B10, $B$85:$M$238, 7, FALSE), "")</f>
        <v/>
      </c>
      <c r="H10" s="237" t="str">
        <f>IFERROR(VLOOKUP($B10, $B$85:$M$238, 8, FALSE), "")</f>
        <v/>
      </c>
      <c r="I10" s="238" t="str">
        <f>IFERROR(VLOOKUP($B10, $B$85:$M$238, 9, FALSE), "")</f>
        <v/>
      </c>
      <c r="J10" s="238" t="str">
        <f>IFERROR(VLOOKUP($B10, $B$85:$M$238, 10, FALSE), "")</f>
        <v/>
      </c>
      <c r="K10" s="238" t="str">
        <f>IFERROR(VLOOKUP($B10, $B$85:$M$238, 11, FALSE), "")</f>
        <v/>
      </c>
      <c r="L10" s="247" t="str">
        <f>IFERROR(VLOOKUP($B10, $B$85:$M$238, 12, FALSE), "")</f>
        <v/>
      </c>
    </row>
    <row r="11" spans="2:12">
      <c r="B11" s="215"/>
      <c r="C11" s="248" t="str">
        <f>IFERROR(VLOOKUP($B11, $B$85:$M$238, 2, FALSE), "")</f>
        <v/>
      </c>
      <c r="D11" s="247" t="str">
        <f>IFERROR(VLOOKUP($B11, $B$85:$M$238, 4, FALSE), "")</f>
        <v/>
      </c>
      <c r="E11" s="249" t="str">
        <f>IFERROR(VLOOKUP($B11, $B$85:$M$238, 3, FALSE), "")</f>
        <v/>
      </c>
      <c r="F11" s="238" t="str">
        <f>IFERROR(VLOOKUP($B11, $B$85:$M$238, 6, FALSE), "")</f>
        <v/>
      </c>
      <c r="G11" s="237" t="str">
        <f>IFERROR(VLOOKUP($B11, $B$85:$M$238, 7, FALSE), "")</f>
        <v/>
      </c>
      <c r="H11" s="237" t="str">
        <f>IFERROR(VLOOKUP($B11, $B$85:$M$238, 8, FALSE), "")</f>
        <v/>
      </c>
      <c r="I11" s="238" t="str">
        <f>IFERROR(VLOOKUP($B11, $B$85:$M$238, 9, FALSE), "")</f>
        <v/>
      </c>
      <c r="J11" s="238" t="str">
        <f>IFERROR(VLOOKUP($B11, $B$85:$M$238, 10, FALSE), "")</f>
        <v/>
      </c>
      <c r="K11" s="238" t="str">
        <f>IFERROR(VLOOKUP($B11, $B$85:$M$238, 11, FALSE), "")</f>
        <v/>
      </c>
      <c r="L11" s="247" t="str">
        <f>IFERROR(VLOOKUP($B11, $B$85:$M$238, 12, FALSE), "")</f>
        <v/>
      </c>
    </row>
    <row r="13" spans="2:12">
      <c r="B13" s="188" t="s">
        <v>1348</v>
      </c>
      <c r="C13" s="210"/>
      <c r="D13" s="210"/>
      <c r="E13" s="210"/>
    </row>
    <row r="14" spans="2:12">
      <c r="B14" s="210" t="s">
        <v>1349</v>
      </c>
      <c r="C14" s="210"/>
      <c r="D14" s="210"/>
      <c r="E14" s="210"/>
    </row>
    <row r="15" spans="2:12">
      <c r="B15" s="251" t="s">
        <v>1350</v>
      </c>
      <c r="C15" s="210"/>
      <c r="D15" s="210"/>
      <c r="E15" s="210"/>
    </row>
    <row r="16" spans="2:12" ht="24">
      <c r="B16" s="216"/>
      <c r="C16" s="236"/>
      <c r="D16" s="252" t="s">
        <v>1351</v>
      </c>
      <c r="E16" s="253" t="s">
        <v>1352</v>
      </c>
    </row>
    <row r="17" spans="2:5">
      <c r="B17" s="254" t="s">
        <v>1353</v>
      </c>
      <c r="C17" s="255"/>
      <c r="D17" s="255"/>
      <c r="E17" s="217"/>
    </row>
    <row r="18" spans="2:5">
      <c r="B18" s="256" t="s">
        <v>1354</v>
      </c>
      <c r="C18" s="257"/>
      <c r="D18" s="258">
        <f>COUNTIFS('Idaho Data'!$XZ$10:$XZ$163, "&gt;=0")</f>
        <v>38</v>
      </c>
      <c r="E18" s="259">
        <f>COUNTIFS('Idaho Data'!$XZ$10:$XZ$163, "&lt;0")</f>
        <v>116</v>
      </c>
    </row>
    <row r="19" spans="2:5">
      <c r="B19" s="260" t="s">
        <v>1355</v>
      </c>
      <c r="C19" s="261"/>
      <c r="D19" s="262">
        <f>SUMIFS('Idaho Data'!$ST$10:$ST$163, 'Idaho Data'!$XY$10:$XY$163, "&gt;=0")/'Idaho Data'!ST5</f>
        <v>0.73496284404857459</v>
      </c>
      <c r="E19" s="263">
        <f>SUMIFS('Idaho Data'!$ST$10:$ST$163, 'Idaho Data'!$XY$10:$XY$163, "&lt;0")/'Idaho Data'!ST5</f>
        <v>0.26503715595142541</v>
      </c>
    </row>
    <row r="20" spans="2:5">
      <c r="B20" s="260" t="s">
        <v>1356</v>
      </c>
      <c r="C20" s="261"/>
      <c r="D20" s="264">
        <f t="array" ref="D20">MEDIAN(IF('Idaho Data'!$XZ$10:$XZ$163&gt;=0,'Idaho Data'!$XZ$10:$XZ$163))</f>
        <v>284.19567746349412</v>
      </c>
      <c r="E20" s="271">
        <f t="array" ref="E20">MEDIAN(IF('Idaho Data'!$XY$10:$XY$163&lt;0,'Idaho Data'!$XZ$10:$XZ$163))</f>
        <v>-1328.4428801520262</v>
      </c>
    </row>
    <row r="21" spans="2:5">
      <c r="B21" s="260" t="s">
        <v>1357</v>
      </c>
      <c r="C21" s="261"/>
      <c r="D21" s="265">
        <f t="array" ref="D21">MEDIAN(IF('Idaho Data'!$YA$10:$YA$163&gt;=0,'Idaho Data'!$YA$10:$YA$163))</f>
        <v>5.1811598777668319E-2</v>
      </c>
      <c r="E21" s="272">
        <f t="array" ref="E21">MEDIAN(IF('Idaho Data'!$YA$10:$YA$163&lt;0,'Idaho Data'!$YA$10:$YA$163))</f>
        <v>-0.18778359991509819</v>
      </c>
    </row>
    <row r="22" spans="2:5">
      <c r="B22" s="260" t="s">
        <v>1360</v>
      </c>
      <c r="C22" s="261"/>
      <c r="D22" s="264">
        <f>AVERAGEIF('Idaho Data'!$XZ$10:$XZ$163, "&gt;=0", 'Idaho Data'!$XZ$10:$XZ$163)</f>
        <v>302.46699677072689</v>
      </c>
      <c r="E22" s="276">
        <f>AVERAGEIF('Idaho Data'!$XZ$10:$XZ$163, "&lt;0", 'Idaho Data'!$XZ$10:$XZ$163)</f>
        <v>-2870.209116702159</v>
      </c>
    </row>
    <row r="23" spans="2:5">
      <c r="B23" s="267" t="s">
        <v>1359</v>
      </c>
      <c r="C23" s="268"/>
      <c r="D23" s="269">
        <f>AVERAGEIF('Idaho Data'!$YA$10:$YA$163, "&gt;=0", 'Idaho Data'!$YA$10:$YA$163)</f>
        <v>5.7318789287631025E-2</v>
      </c>
      <c r="E23" s="270">
        <f>AVERAGEIF('Idaho Data'!$YA$10:$YA$163, "&lt;0", 'Idaho Data'!$YA$10:$YA$163)</f>
        <v>-0.237856356767634</v>
      </c>
    </row>
    <row r="24" spans="2:5">
      <c r="B24" s="273"/>
      <c r="C24" s="255"/>
      <c r="D24" s="255"/>
      <c r="E24" s="217"/>
    </row>
    <row r="25" spans="2:5">
      <c r="B25" s="274" t="s">
        <v>1361</v>
      </c>
      <c r="C25" s="257"/>
      <c r="D25" s="257"/>
      <c r="E25" s="275"/>
    </row>
    <row r="26" spans="2:5">
      <c r="B26" s="256" t="s">
        <v>1362</v>
      </c>
      <c r="C26" s="257"/>
      <c r="D26" s="258">
        <f>COUNTIFS('Idaho Data'!$XZ$10:$XZ$163, "&gt;=0", 'Idaho Data'!$UE$10:$UE$163, "yes")</f>
        <v>2</v>
      </c>
      <c r="E26" s="259">
        <f>COUNTIFS('Idaho Data'!$XZ$10:$XZ$163, "&lt;0", 'Idaho Data'!$UE$10:$UE$163, "yes")</f>
        <v>53</v>
      </c>
    </row>
    <row r="27" spans="2:5">
      <c r="B27" s="260" t="s">
        <v>1355</v>
      </c>
      <c r="C27" s="261"/>
      <c r="D27" s="262">
        <f>SUMIFS('Idaho Data'!$ST$10:$ST$163, 'Idaho Data'!$XY$10:$XY$163, "&gt;=0", 'Idaho Data'!$UE$10:$UE$163, "yes")/'Idaho Data'!$ST$5</f>
        <v>1.675624290263994E-3</v>
      </c>
      <c r="E27" s="263">
        <f>SUMIFS('Idaho Data'!$ST$10:$ST$163, 'Idaho Data'!$XY$10:$XY$163, "&lt;0", 'Idaho Data'!$UE$10:$UE$163, "yes")/'Idaho Data'!$ST$5</f>
        <v>3.1803570966202697E-2</v>
      </c>
    </row>
    <row r="28" spans="2:5">
      <c r="B28" s="260" t="s">
        <v>1363</v>
      </c>
      <c r="C28" s="261"/>
      <c r="D28" s="264">
        <f t="array" ref="D28">MEDIAN(IF('Idaho Data'!$XZ$10:$XZ$163&gt;=0, IF('Idaho Data'!$UE$10:$UE$163="yes", 'Idaho Data'!$XZ$10:$XZ$163)))</f>
        <v>207.053856546303</v>
      </c>
      <c r="E28" s="271">
        <f t="array" ref="E28">MEDIAN(IF('Idaho Data'!$XZ$10:$XZ$163&lt;0, IF('Idaho Data'!$UE$10:$UE$163="yes", 'Idaho Data'!$XZ$10:$XZ$163)))</f>
        <v>-3296.3906976744183</v>
      </c>
    </row>
    <row r="29" spans="2:5">
      <c r="B29" s="260" t="s">
        <v>1357</v>
      </c>
      <c r="C29" s="261"/>
      <c r="D29" s="265">
        <f t="array" ref="D29">MEDIAN(IF('Idaho Data'!$XZ$10:$XZ$163&gt;=0, IF('Idaho Data'!$UE$10:$UE$163="yes", 'Idaho Data'!$YA$10:$YA$163)))</f>
        <v>3.6437661844696705E-2</v>
      </c>
      <c r="E29" s="266">
        <f t="array" ref="E29">MEDIAN(IF('Idaho Data'!$XZ$10:$XZ$163&lt;0, IF('Idaho Data'!$UE$10:$UE$163="yes", 'Idaho Data'!$YA$10:$YA$163)))</f>
        <v>-0.36512929786473308</v>
      </c>
    </row>
    <row r="30" spans="2:5">
      <c r="B30" s="260" t="s">
        <v>1358</v>
      </c>
      <c r="C30" s="261"/>
      <c r="D30" s="264">
        <f>AVERAGEIFS('Idaho Data'!$XZ$10:'Idaho Data'!$XZ$163, 'Idaho Data'!$XZ$10:'Idaho Data'!$XZ$163, "&gt;=0", 'Idaho Data'!$UE$10:$UE$163, "yes")</f>
        <v>207.053856546303</v>
      </c>
      <c r="E30" s="276">
        <f>AVERAGEIFS('Idaho Data'!$XZ$10:'Idaho Data'!$XZ$163, 'Idaho Data'!$XZ$10:'Idaho Data'!$XZ$163, "&lt;0", 'Idaho Data'!$UE$10:$UE$163, "yes")</f>
        <v>-5324.3878276303885</v>
      </c>
    </row>
    <row r="31" spans="2:5">
      <c r="B31" s="267" t="s">
        <v>1359</v>
      </c>
      <c r="C31" s="268"/>
      <c r="D31" s="269">
        <f>AVERAGEIFS('Idaho Data'!$YA$10:'Idaho Data'!$YA$163, 'Idaho Data'!$XZ$10:'Idaho Data'!$XZ$163, "&gt;=0", 'Idaho Data'!$UE$10:$UE$163, "yes")</f>
        <v>3.6437661844696705E-2</v>
      </c>
      <c r="E31" s="270">
        <f>AVERAGEIFS('Idaho Data'!$YA$10:'Idaho Data'!$YA$163, 'Idaho Data'!$XZ$10:'Idaho Data'!$XZ$163, "&lt;0", 'Idaho Data'!$UE$10:$UE$163, "yes")</f>
        <v>-0.38323529445369636</v>
      </c>
    </row>
    <row r="32" spans="2:5">
      <c r="B32" s="273"/>
      <c r="C32" s="255"/>
      <c r="D32" s="255"/>
      <c r="E32" s="217"/>
    </row>
    <row r="33" spans="2:9">
      <c r="B33" s="274" t="s">
        <v>1364</v>
      </c>
      <c r="C33" s="257"/>
      <c r="D33" s="257"/>
      <c r="E33" s="275"/>
    </row>
    <row r="34" spans="2:9">
      <c r="B34" s="256" t="s">
        <v>1365</v>
      </c>
      <c r="C34" s="257"/>
      <c r="D34" s="258">
        <f>COUNTIFS('Idaho Data'!$XZ$10:$XZ$163, "&gt;=0", 'Idaho Data'!$UE$10:$UE$163, "")</f>
        <v>36</v>
      </c>
      <c r="E34" s="259">
        <f>COUNTIFS('Idaho Data'!$XZ$10:$XZ$163, "&lt;0", 'Idaho Data'!$UE$10:$UE$163, "")</f>
        <v>63</v>
      </c>
    </row>
    <row r="35" spans="2:9">
      <c r="B35" s="260" t="s">
        <v>1355</v>
      </c>
      <c r="C35" s="261"/>
      <c r="D35" s="262">
        <f>SUMIFS('Idaho Data'!$ST$10:$ST$163, 'Idaho Data'!$XY$10:$XY$163, "&gt;=0", 'Idaho Data'!$UE$10:$UE$163, "")/'Idaho Data'!$ST$5</f>
        <v>0.73328721975831057</v>
      </c>
      <c r="E35" s="263">
        <f>SUMIFS('Idaho Data'!$ST$10:$ST$163, 'Idaho Data'!$XY$10:$XY$163, "&lt;0", 'Idaho Data'!$UE$10:$UE$163, "")/'Idaho Data'!$ST$5</f>
        <v>0.2332335849852227</v>
      </c>
      <c r="F35" s="289" t="str">
        <f>B17</f>
        <v>All Districts</v>
      </c>
      <c r="G35" s="289" t="str">
        <f>B25</f>
        <v>Small Districts</v>
      </c>
      <c r="H35" s="289" t="str">
        <f>B33</f>
        <v>Medium to Large Districts</v>
      </c>
      <c r="I35" s="289" t="str">
        <f>B41</f>
        <v>Charter Schools</v>
      </c>
    </row>
    <row r="36" spans="2:9">
      <c r="B36" s="260" t="s">
        <v>1366</v>
      </c>
      <c r="C36" s="261"/>
      <c r="D36" s="264">
        <f t="array" ref="D36">MEDIAN(IF('Idaho Data'!$XZ$10:$XZ$163&gt;=0, IF('Idaho Data'!$UE$10:$UE$163="", 'Idaho Data'!$XZ$10:$XZ$163)))</f>
        <v>284.19567746349412</v>
      </c>
      <c r="E36" s="271">
        <f t="array" ref="E36">MEDIAN(IF('Idaho Data'!$XZ$10:$XZ$163&lt;0, IF('Idaho Data'!$UE$10:$UE$163="", 'Idaho Data'!$XZ$10:$XZ$163)))</f>
        <v>-602.96597633136116</v>
      </c>
      <c r="F36" s="290">
        <f>D20</f>
        <v>284.19567746349412</v>
      </c>
      <c r="G36" s="290">
        <f>D28</f>
        <v>207.053856546303</v>
      </c>
      <c r="H36" s="290">
        <f>D36</f>
        <v>284.19567746349412</v>
      </c>
      <c r="I36" s="290">
        <f>D44</f>
        <v>357.84782608695696</v>
      </c>
    </row>
    <row r="37" spans="2:9">
      <c r="B37" s="260" t="s">
        <v>1357</v>
      </c>
      <c r="C37" s="261"/>
      <c r="D37" s="265">
        <f t="array" ref="D37">MEDIAN(IF('Idaho Data'!$XZ$10:$XZ$163&gt;=0, IF('Idaho Data'!$UE$10:$UE$163="", 'Idaho Data'!$YA$10:$YA$163)))</f>
        <v>5.1811598777668319E-2</v>
      </c>
      <c r="E37" s="266">
        <f t="array" ref="E37">MEDIAN(IF('Idaho Data'!$XZ$10:$XZ$163&lt;0, IF('Idaho Data'!$UE$10:$UE$163="", 'Idaho Data'!$YA$10:$YA$163)))</f>
        <v>-9.4352725327446957E-2</v>
      </c>
      <c r="F37" s="291">
        <f>E20</f>
        <v>-1328.4428801520262</v>
      </c>
      <c r="G37" s="291">
        <f>E28</f>
        <v>-3296.3906976744183</v>
      </c>
      <c r="H37" s="291">
        <f>E36</f>
        <v>-602.96597633136116</v>
      </c>
      <c r="I37" s="291">
        <f>E44</f>
        <v>-1135.1542067830724</v>
      </c>
    </row>
    <row r="38" spans="2:9">
      <c r="B38" s="260" t="s">
        <v>1358</v>
      </c>
      <c r="C38" s="261"/>
      <c r="D38" s="264">
        <f t="array" ref="D38">AVERAGEIFS('Idaho Data'!$XZ$10:'Idaho Data'!$XZ$163, 'Idaho Data'!$XZ$10:'Idaho Data'!$XZ$163, "&gt;=0", 'Idaho Data'!$UE$10:$UE$163, "")</f>
        <v>307.76772678319486</v>
      </c>
      <c r="E38" s="276">
        <f>AVERAGEIFS('Idaho Data'!$XZ$10:'Idaho Data'!$XZ$163, 'Idaho Data'!$XZ$10:'Idaho Data'!$XZ$163, "&lt;0", 'Idaho Data'!$UE$10:$UE$163, "")</f>
        <v>-805.58258211174359</v>
      </c>
    </row>
    <row r="39" spans="2:9">
      <c r="B39" s="267" t="s">
        <v>1359</v>
      </c>
      <c r="C39" s="268"/>
      <c r="D39" s="269">
        <f>AVERAGEIFS('Idaho Data'!$YA$10:'Idaho Data'!$YA$163, 'Idaho Data'!$XZ$10:'Idaho Data'!$XZ$163, "&gt;=0", 'Idaho Data'!$UE$10:$UE$163, "")</f>
        <v>5.8478851923349597E-2</v>
      </c>
      <c r="E39" s="270">
        <f>AVERAGEIFS('Idaho Data'!$YA$10:'Idaho Data'!$YA$163, 'Idaho Data'!$XZ$10:'Idaho Data'!$XZ$163, "&lt;0", 'Idaho Data'!$UE$10:$UE$163, "")</f>
        <v>-0.11555344093650199</v>
      </c>
    </row>
    <row r="40" spans="2:9">
      <c r="B40" s="273"/>
      <c r="C40" s="255"/>
      <c r="D40" s="255"/>
      <c r="E40" s="217"/>
    </row>
    <row r="41" spans="2:9">
      <c r="B41" s="274" t="s">
        <v>1380</v>
      </c>
      <c r="C41" s="257"/>
      <c r="D41" s="257"/>
      <c r="E41" s="275"/>
    </row>
    <row r="42" spans="2:9">
      <c r="B42" s="256" t="s">
        <v>1381</v>
      </c>
      <c r="C42" s="257"/>
      <c r="D42" s="258">
        <f>COUNTIFS('Idaho Data'!$XZ$10:$XZ$163, "&gt;=0", 'Idaho Data'!$RC$10:$RC$163, "&gt;0")</f>
        <v>11</v>
      </c>
      <c r="E42" s="259">
        <f>COUNTIFS('Idaho Data'!$XZ$10:$XZ$163, "&lt;0", 'Idaho Data'!$RC$10:$RC$163, "&gt;0")</f>
        <v>28</v>
      </c>
    </row>
    <row r="43" spans="2:9">
      <c r="B43" s="260" t="s">
        <v>1355</v>
      </c>
      <c r="C43" s="261"/>
      <c r="D43" s="262">
        <f>SUMIFS('Idaho Data'!$ST$10:$ST$163, 'Idaho Data'!$XY$10:$XY$163, "&gt;=0", 'Idaho Data'!$RC$10:$RC$163, "&gt;0")/'Idaho Data'!$ST$5</f>
        <v>2.5578238338135804E-2</v>
      </c>
      <c r="E43" s="263">
        <f>SUMIFS('Idaho Data'!$ST$10:$ST$163, 'Idaho Data'!$XY$10:$XY$163, "&lt;0", 'Idaho Data'!$RC$10:$RC$163, "&gt;0")/'Idaho Data'!$ST$5</f>
        <v>3.4429825372576724E-2</v>
      </c>
    </row>
    <row r="44" spans="2:9">
      <c r="B44" s="260" t="s">
        <v>1363</v>
      </c>
      <c r="C44" s="261"/>
      <c r="D44" s="264">
        <f t="array" ref="D44">MEDIAN(IF('Idaho Data'!$XZ$10:$XZ$163&gt;=0, IF('Idaho Data'!$RC$10:$RC$163&gt;0, 'Idaho Data'!$XZ$10:$XZ$163)))</f>
        <v>357.84782608695696</v>
      </c>
      <c r="E44" s="271">
        <f t="array" ref="E44">MEDIAN(IF('Idaho Data'!$XZ$10:$XZ$163&lt;0, IF('Idaho Data'!$RC$10:$RC$163&gt;0, 'Idaho Data'!$XZ$10:$XZ$163)))</f>
        <v>-1135.1542067830724</v>
      </c>
    </row>
    <row r="45" spans="2:9">
      <c r="B45" s="260" t="s">
        <v>1357</v>
      </c>
      <c r="C45" s="261"/>
      <c r="D45" s="265">
        <f t="array" ref="D45">MEDIAN(IF('Idaho Data'!$XZ$10:$XZ$163&gt;=0, IF('Idaho Data'!$RC$10:$RC$163&gt;0, 'Idaho Data'!$YA$10:$YA$163)))</f>
        <v>6.3350767205846772E-2</v>
      </c>
      <c r="E45" s="266">
        <f t="array" ref="E45">MEDIAN(IF('Idaho Data'!$XZ$10:$XZ$163&lt;0, IF('Idaho Data'!$RC$10:$RC$163&gt;0, 'Idaho Data'!$YA$10:$YA$163)))</f>
        <v>-0.16557458508831402</v>
      </c>
    </row>
    <row r="46" spans="2:9">
      <c r="B46" s="260" t="s">
        <v>1358</v>
      </c>
      <c r="C46" s="261"/>
      <c r="D46" s="264">
        <f>AVERAGEIFS('Idaho Data'!$XZ$10:'Idaho Data'!$XZ$163, 'Idaho Data'!$XZ$10:'Idaho Data'!$XZ$163, "&gt;=0", 'Idaho Data'!$RC$10:$RC$163, "&gt;0")</f>
        <v>398.57121231979346</v>
      </c>
      <c r="E46" s="276">
        <f>AVERAGEIFS('Idaho Data'!$XZ$10:'Idaho Data'!$XZ$163, 'Idaho Data'!$XZ$10:'Idaho Data'!$XZ$163, "&lt;0", 'Idaho Data'!$RC$10:$RC$163, "&gt;0")</f>
        <v>-1258.3522242513034</v>
      </c>
    </row>
    <row r="47" spans="2:9">
      <c r="B47" s="267" t="s">
        <v>1359</v>
      </c>
      <c r="C47" s="268"/>
      <c r="D47" s="269">
        <f>AVERAGEIFS('Idaho Data'!$YA$10:'Idaho Data'!$YA$163, 'Idaho Data'!$XZ$10:'Idaho Data'!$XZ$163, "&gt;=0", 'Idaho Data'!$RC$10:$RC$163, "&gt;0")</f>
        <v>7.8252651542768698E-2</v>
      </c>
      <c r="E47" s="270">
        <f>AVERAGEIFS('Idaho Data'!$YA$10:'Idaho Data'!$YA$163, 'Idaho Data'!$XZ$10:'Idaho Data'!$XZ$163, "&lt;0", 'Idaho Data'!$RC$10:$RC$163, "&gt;0")</f>
        <v>-0.16363587395148813</v>
      </c>
    </row>
    <row r="48" spans="2:9">
      <c r="B48" s="257"/>
      <c r="C48" s="257"/>
      <c r="D48" s="262"/>
      <c r="E48" s="262"/>
    </row>
    <row r="49" spans="2:5">
      <c r="B49" s="257"/>
      <c r="C49" s="257"/>
      <c r="D49" s="262"/>
      <c r="E49" s="262"/>
    </row>
    <row r="50" spans="2:5">
      <c r="B50" s="257"/>
      <c r="C50" s="257"/>
      <c r="D50" s="262"/>
      <c r="E50" s="262"/>
    </row>
    <row r="51" spans="2:5">
      <c r="B51" s="257"/>
      <c r="C51" s="257"/>
      <c r="D51" s="262"/>
      <c r="E51" s="262"/>
    </row>
    <row r="52" spans="2:5">
      <c r="B52" s="257"/>
      <c r="C52" s="257"/>
      <c r="D52" s="262"/>
      <c r="E52" s="262"/>
    </row>
    <row r="53" spans="2:5">
      <c r="B53" s="257"/>
      <c r="C53" s="257"/>
      <c r="D53" s="262"/>
      <c r="E53" s="262"/>
    </row>
    <row r="54" spans="2:5">
      <c r="B54" s="257"/>
      <c r="C54" s="257"/>
      <c r="D54" s="262"/>
      <c r="E54" s="262"/>
    </row>
    <row r="55" spans="2:5">
      <c r="B55" s="257"/>
      <c r="C55" s="257"/>
      <c r="D55" s="262"/>
      <c r="E55" s="262"/>
    </row>
    <row r="56" spans="2:5">
      <c r="B56" s="257"/>
      <c r="C56" s="257"/>
      <c r="D56" s="262"/>
      <c r="E56" s="262"/>
    </row>
    <row r="57" spans="2:5">
      <c r="B57" s="257"/>
      <c r="C57" s="257"/>
      <c r="D57" s="262"/>
      <c r="E57" s="262"/>
    </row>
    <row r="58" spans="2:5">
      <c r="B58" s="257"/>
      <c r="C58" s="257"/>
      <c r="D58" s="262"/>
      <c r="E58" s="262"/>
    </row>
    <row r="59" spans="2:5">
      <c r="B59" s="257"/>
      <c r="C59" s="257"/>
      <c r="D59" s="262"/>
      <c r="E59" s="262"/>
    </row>
    <row r="60" spans="2:5">
      <c r="B60" s="257"/>
      <c r="C60" s="257"/>
      <c r="D60" s="262"/>
      <c r="E60" s="262"/>
    </row>
    <row r="61" spans="2:5">
      <c r="B61" s="257"/>
      <c r="C61" s="257"/>
      <c r="D61" s="262"/>
      <c r="E61" s="262"/>
    </row>
    <row r="62" spans="2:5">
      <c r="B62" s="257"/>
      <c r="C62" s="257"/>
      <c r="D62" s="262"/>
      <c r="E62" s="262"/>
    </row>
    <row r="63" spans="2:5">
      <c r="B63" s="257"/>
      <c r="C63" s="257"/>
      <c r="D63" s="262"/>
      <c r="E63" s="262"/>
    </row>
    <row r="64" spans="2:5">
      <c r="B64" s="257"/>
      <c r="C64" s="257"/>
      <c r="D64" s="262"/>
      <c r="E64" s="262"/>
    </row>
    <row r="65" spans="2:11">
      <c r="B65" s="257"/>
      <c r="C65" s="257"/>
      <c r="D65" s="262"/>
      <c r="E65" s="262"/>
    </row>
    <row r="66" spans="2:11">
      <c r="B66" s="257"/>
      <c r="C66" s="257"/>
      <c r="D66" s="262"/>
      <c r="E66" s="262"/>
    </row>
    <row r="68" spans="2:11">
      <c r="B68" s="188" t="s">
        <v>1368</v>
      </c>
      <c r="C68" s="210"/>
      <c r="D68" s="210"/>
      <c r="E68" s="210"/>
      <c r="F68" s="210"/>
    </row>
    <row r="69" spans="2:11" ht="38.25" customHeight="1">
      <c r="B69" s="1015" t="s">
        <v>1369</v>
      </c>
      <c r="C69" s="1015"/>
      <c r="D69" s="1015"/>
      <c r="E69" s="1015"/>
      <c r="F69" s="1015"/>
    </row>
    <row r="70" spans="2:11">
      <c r="B70" s="210"/>
      <c r="C70" s="210"/>
      <c r="D70" s="210"/>
      <c r="E70" s="210"/>
      <c r="F70" s="210"/>
    </row>
    <row r="71" spans="2:11">
      <c r="B71" s="216"/>
      <c r="C71" s="236"/>
      <c r="D71" s="236"/>
      <c r="E71" s="236"/>
      <c r="F71" s="277" t="s">
        <v>1370</v>
      </c>
    </row>
    <row r="72" spans="2:11">
      <c r="B72" s="278" t="s">
        <v>1371</v>
      </c>
      <c r="C72" s="279"/>
      <c r="D72" s="279"/>
      <c r="E72" s="279"/>
      <c r="F72" s="767">
        <f>COUNTIF($M$85:$M$238, "&gt;=-2%")/COUNT($M$85:$M$238)</f>
        <v>0.26623376623376621</v>
      </c>
    </row>
    <row r="73" spans="2:11">
      <c r="B73" s="1016" t="s">
        <v>1372</v>
      </c>
      <c r="C73" s="1017"/>
      <c r="D73" s="1017"/>
      <c r="E73" s="1017"/>
      <c r="F73" s="281">
        <f>SUMIF('Idaho Data'!$WB$10:$WB$163, "&gt;=-.02", 'Idaho Data'!$ST$10:$ST$163)/'Idaho Data'!ST5</f>
        <v>0.75697529471383074</v>
      </c>
    </row>
    <row r="74" spans="2:11">
      <c r="B74" s="260" t="s">
        <v>1373</v>
      </c>
      <c r="C74" s="261"/>
      <c r="D74" s="261"/>
      <c r="E74" s="261"/>
      <c r="F74" s="281">
        <f>SUMIF('Idaho Data'!$XZ$10:$XZ$163, "&gt;0", 'Idaho Data'!$SU$10:$SU$163)/'Idaho Data'!SU5</f>
        <v>0.70785582447770368</v>
      </c>
    </row>
    <row r="75" spans="2:11">
      <c r="B75" s="260" t="s">
        <v>1374</v>
      </c>
      <c r="C75" s="261"/>
      <c r="D75" s="261"/>
      <c r="E75" s="261"/>
      <c r="F75" s="280">
        <f>SUMIF('Idaho Data'!$XZ$10:$XZ$163, "&gt;0", 'Idaho Data'!$SW$10:$SW$163)/'Idaho Data'!SW5</f>
        <v>0.73102134146341469</v>
      </c>
    </row>
    <row r="76" spans="2:11" ht="14.25" customHeight="1">
      <c r="B76" s="282" t="s">
        <v>1375</v>
      </c>
      <c r="C76" s="283"/>
      <c r="D76" s="283"/>
      <c r="E76" s="283"/>
      <c r="F76" s="284">
        <f>SUMIF('Idaho Data'!$XZ$10:$XZ$163, "&gt;0", 'Idaho Data'!$SY$10:$SY$163)/'Idaho Data'!SY5</f>
        <v>0.72536737319699329</v>
      </c>
    </row>
    <row r="77" spans="2:11">
      <c r="B77" s="282" t="s">
        <v>1376</v>
      </c>
      <c r="C77" s="283"/>
      <c r="D77" s="283"/>
      <c r="E77" s="283"/>
      <c r="F77" s="292">
        <f>-SUMIF('Idaho Data'!$XY$10:$XY$163, "&lt;0", 'Idaho Data'!$XY$10:$XY$163)</f>
        <v>59283493</v>
      </c>
    </row>
    <row r="79" spans="2:11">
      <c r="B79" s="188" t="s">
        <v>1318</v>
      </c>
      <c r="C79" s="210"/>
      <c r="D79" s="210"/>
      <c r="E79" s="210"/>
      <c r="F79" s="210"/>
      <c r="G79" s="210"/>
      <c r="H79" s="210"/>
      <c r="I79" s="210"/>
      <c r="J79" s="210"/>
      <c r="K79" s="210"/>
    </row>
    <row r="80" spans="2:11">
      <c r="B80" s="210" t="s">
        <v>1319</v>
      </c>
      <c r="C80" s="210"/>
      <c r="D80" s="210"/>
      <c r="E80" s="210"/>
      <c r="F80" s="210"/>
      <c r="G80" s="210"/>
      <c r="H80" s="210"/>
      <c r="I80" s="210"/>
      <c r="J80" s="210"/>
      <c r="K80" s="210"/>
    </row>
    <row r="81" spans="2:17">
      <c r="B81" s="210"/>
      <c r="C81" s="210"/>
      <c r="D81" s="210"/>
      <c r="E81" s="210"/>
      <c r="F81" s="210"/>
      <c r="G81" s="210"/>
      <c r="H81" s="210"/>
      <c r="I81" s="210"/>
      <c r="J81" s="210"/>
      <c r="K81" s="210"/>
    </row>
    <row r="82" spans="2:17">
      <c r="B82" s="210"/>
      <c r="C82" s="210"/>
      <c r="D82" s="210"/>
      <c r="E82" s="210"/>
      <c r="F82" s="210"/>
      <c r="G82" s="210"/>
      <c r="H82" s="210"/>
      <c r="I82" s="210"/>
      <c r="J82" s="210"/>
      <c r="K82" s="210"/>
      <c r="L82" s="210"/>
      <c r="M82" s="210"/>
    </row>
    <row r="83" spans="2:17">
      <c r="B83" s="254"/>
      <c r="C83" s="971" t="s">
        <v>1343</v>
      </c>
      <c r="D83" s="972"/>
      <c r="E83" s="972"/>
      <c r="F83" s="973"/>
      <c r="G83" s="972" t="s">
        <v>1320</v>
      </c>
      <c r="H83" s="972"/>
      <c r="I83" s="973"/>
      <c r="J83" s="972" t="s">
        <v>1321</v>
      </c>
      <c r="K83" s="972"/>
      <c r="L83" s="972"/>
      <c r="M83" s="973"/>
    </row>
    <row r="84" spans="2:17" ht="24">
      <c r="B84" s="254" t="s">
        <v>1185</v>
      </c>
      <c r="C84" s="218" t="s">
        <v>1205</v>
      </c>
      <c r="D84" s="239" t="s">
        <v>1341</v>
      </c>
      <c r="E84" s="220" t="s">
        <v>1342</v>
      </c>
      <c r="F84" s="219" t="s">
        <v>1322</v>
      </c>
      <c r="G84" s="218" t="s">
        <v>1323</v>
      </c>
      <c r="H84" s="220" t="s">
        <v>1316</v>
      </c>
      <c r="I84" s="219" t="s">
        <v>1317</v>
      </c>
      <c r="J84" s="220" t="s">
        <v>1315</v>
      </c>
      <c r="K84" s="220" t="s">
        <v>1316</v>
      </c>
      <c r="L84" s="220" t="s">
        <v>1317</v>
      </c>
      <c r="M84" s="219" t="s">
        <v>1324</v>
      </c>
    </row>
    <row r="85" spans="2:17">
      <c r="B85" s="227" t="str">
        <f>'2. Results'!B97</f>
        <v>Boise Independent</v>
      </c>
      <c r="C85" s="404">
        <f>'2. Results'!C97</f>
        <v>24238</v>
      </c>
      <c r="D85" s="241">
        <f>'2. Results'!D97</f>
        <v>694830.44376598729</v>
      </c>
      <c r="E85" s="240">
        <f>'2. Results'!E97</f>
        <v>0.3524982351556985</v>
      </c>
      <c r="F85" s="752" t="str">
        <f>'2. Results'!G97</f>
        <v/>
      </c>
      <c r="G85" s="755">
        <f>'2. Results'!L97</f>
        <v>247166396</v>
      </c>
      <c r="H85" s="756">
        <f>'2. Results'!Q97</f>
        <v>254480291</v>
      </c>
      <c r="I85" s="757">
        <f>'2. Results'!R97</f>
        <v>7313895</v>
      </c>
      <c r="J85" s="756">
        <f>'2. Results'!W97</f>
        <v>10197.474874164534</v>
      </c>
      <c r="K85" s="756">
        <f>'2. Results'!AB97</f>
        <v>10499.228112880601</v>
      </c>
      <c r="L85" s="756">
        <f>'2. Results'!AC97</f>
        <v>301.75323871606571</v>
      </c>
      <c r="M85" s="764">
        <f>'2. Results'!AD97</f>
        <v>5.5635667045738586E-2</v>
      </c>
      <c r="O85" s="246" t="s">
        <v>113</v>
      </c>
      <c r="P85" s="246"/>
      <c r="Q85" s="246"/>
    </row>
    <row r="86" spans="2:17">
      <c r="B86" s="228" t="str">
        <f>'2. Results'!B98</f>
        <v>Meridian Joint</v>
      </c>
      <c r="C86" s="405">
        <f>'2. Results'!C98</f>
        <v>34911</v>
      </c>
      <c r="D86" s="242">
        <f>'2. Results'!D98</f>
        <v>435012.0196213228</v>
      </c>
      <c r="E86" s="243">
        <f>'2. Results'!E98</f>
        <v>0.26971913320101143</v>
      </c>
      <c r="F86" s="753" t="str">
        <f>'2. Results'!G98</f>
        <v/>
      </c>
      <c r="G86" s="758">
        <f>'2. Results'!L98</f>
        <v>281831249</v>
      </c>
      <c r="H86" s="759">
        <f>'2. Results'!Q98</f>
        <v>292228946</v>
      </c>
      <c r="I86" s="760">
        <f>'2. Results'!R98</f>
        <v>10397697</v>
      </c>
      <c r="J86" s="759">
        <f>'2. Results'!W98</f>
        <v>8072.8495030219701</v>
      </c>
      <c r="K86" s="759">
        <f>'2. Results'!AB98</f>
        <v>8370.6839105153103</v>
      </c>
      <c r="L86" s="759">
        <f>'2. Results'!AC98</f>
        <v>297.83440749334022</v>
      </c>
      <c r="M86" s="765">
        <f>'2. Results'!AD98</f>
        <v>5.4837980531411652E-2</v>
      </c>
      <c r="O86" s="246" t="s">
        <v>201</v>
      </c>
      <c r="P86" s="246"/>
      <c r="Q86" s="246"/>
    </row>
    <row r="87" spans="2:17">
      <c r="B87" s="228" t="str">
        <f>'2. Results'!B99</f>
        <v>Kuna Joint</v>
      </c>
      <c r="C87" s="405">
        <f>'2. Results'!C99</f>
        <v>4890</v>
      </c>
      <c r="D87" s="242">
        <f>'2. Results'!D99</f>
        <v>253724.48773006134</v>
      </c>
      <c r="E87" s="243">
        <f>'2. Results'!E99</f>
        <v>0.40529575058723039</v>
      </c>
      <c r="F87" s="753" t="str">
        <f>'2. Results'!G99</f>
        <v/>
      </c>
      <c r="G87" s="758">
        <f>'2. Results'!L99</f>
        <v>38600807</v>
      </c>
      <c r="H87" s="759">
        <f>'2. Results'!Q99</f>
        <v>41016691</v>
      </c>
      <c r="I87" s="760">
        <f>'2. Results'!R99</f>
        <v>2415884</v>
      </c>
      <c r="J87" s="759">
        <f>'2. Results'!W99</f>
        <v>7893.8255623721889</v>
      </c>
      <c r="K87" s="759">
        <f>'2. Results'!AB99</f>
        <v>8387.8713701431498</v>
      </c>
      <c r="L87" s="759">
        <f>'2. Results'!AC99</f>
        <v>494.04580777096112</v>
      </c>
      <c r="M87" s="765">
        <f>'2. Results'!AD99</f>
        <v>9.4489392508852937E-2</v>
      </c>
      <c r="O87" s="246" t="s">
        <v>98</v>
      </c>
      <c r="P87" s="246"/>
      <c r="Q87" s="246"/>
    </row>
    <row r="88" spans="2:17">
      <c r="B88" s="228" t="str">
        <f>'2. Results'!B100</f>
        <v>Meadows Valley</v>
      </c>
      <c r="C88" s="405">
        <f>'2. Results'!C100</f>
        <v>140</v>
      </c>
      <c r="D88" s="242">
        <f>'2. Results'!D100</f>
        <v>1624694.55</v>
      </c>
      <c r="E88" s="243">
        <f>'2. Results'!E100</f>
        <v>0.65189873417721522</v>
      </c>
      <c r="F88" s="753" t="str">
        <f>'2. Results'!G100</f>
        <v>yes</v>
      </c>
      <c r="G88" s="758">
        <f>'2. Results'!L100</f>
        <v>2096920</v>
      </c>
      <c r="H88" s="759">
        <f>'2. Results'!Q100</f>
        <v>1406696</v>
      </c>
      <c r="I88" s="760">
        <f>'2. Results'!R100</f>
        <v>-690224</v>
      </c>
      <c r="J88" s="759">
        <f>'2. Results'!W100</f>
        <v>14978</v>
      </c>
      <c r="K88" s="759">
        <f>'2. Results'!AB100</f>
        <v>10047.828571428572</v>
      </c>
      <c r="L88" s="759">
        <f>'2. Results'!AC100</f>
        <v>-4930.1714285714288</v>
      </c>
      <c r="M88" s="765">
        <f>'2. Results'!AD100</f>
        <v>-0.46363244938138587</v>
      </c>
      <c r="O88" s="246" t="s">
        <v>203</v>
      </c>
      <c r="P88" s="246"/>
      <c r="Q88" s="246"/>
    </row>
    <row r="89" spans="2:17">
      <c r="B89" s="228" t="str">
        <f>'2. Results'!B101</f>
        <v>Council</v>
      </c>
      <c r="C89" s="405">
        <f>'2. Results'!C101</f>
        <v>237</v>
      </c>
      <c r="D89" s="242">
        <f>'2. Results'!D101</f>
        <v>655846.20253164554</v>
      </c>
      <c r="E89" s="243">
        <f>'2. Results'!E101</f>
        <v>0.54085603112840464</v>
      </c>
      <c r="F89" s="753" t="str">
        <f>'2. Results'!G101</f>
        <v>yes</v>
      </c>
      <c r="G89" s="758">
        <f>'2. Results'!L101</f>
        <v>2446101</v>
      </c>
      <c r="H89" s="759">
        <f>'2. Results'!Q101</f>
        <v>1966898</v>
      </c>
      <c r="I89" s="760">
        <f>'2. Results'!R101</f>
        <v>-479203</v>
      </c>
      <c r="J89" s="759">
        <f>'2. Results'!W101</f>
        <v>10321.101265822785</v>
      </c>
      <c r="K89" s="759">
        <f>'2. Results'!AB101</f>
        <v>8299.1476793248949</v>
      </c>
      <c r="L89" s="759">
        <f>'2. Results'!AC101</f>
        <v>-2021.9535864978902</v>
      </c>
      <c r="M89" s="765">
        <f>'2. Results'!AD101</f>
        <v>-0.26142057626728449</v>
      </c>
      <c r="O89" s="246" t="s">
        <v>189</v>
      </c>
      <c r="P89" s="246"/>
      <c r="Q89" s="246"/>
    </row>
    <row r="90" spans="2:17">
      <c r="B90" s="228" t="str">
        <f>'2. Results'!B102</f>
        <v>Marsh Valley Joint</v>
      </c>
      <c r="C90" s="405">
        <f>'2. Results'!C102</f>
        <v>1177</v>
      </c>
      <c r="D90" s="242">
        <f>'2. Results'!D102</f>
        <v>535613.07731520815</v>
      </c>
      <c r="E90" s="243">
        <f>'2. Results'!E102</f>
        <v>0.48328025477707004</v>
      </c>
      <c r="F90" s="753" t="str">
        <f>'2. Results'!G102</f>
        <v/>
      </c>
      <c r="G90" s="758">
        <f>'2. Results'!L102</f>
        <v>9946508</v>
      </c>
      <c r="H90" s="759">
        <f>'2. Results'!Q102</f>
        <v>9683882</v>
      </c>
      <c r="I90" s="760">
        <f>'2. Results'!R102</f>
        <v>-262626</v>
      </c>
      <c r="J90" s="759">
        <f>'2. Results'!W102</f>
        <v>8450.7289719626169</v>
      </c>
      <c r="K90" s="759">
        <f>'2. Results'!AB102</f>
        <v>8227.5972812234486</v>
      </c>
      <c r="L90" s="759">
        <f>'2. Results'!AC102</f>
        <v>-223.13169073916737</v>
      </c>
      <c r="M90" s="765">
        <f>'2. Results'!AD102</f>
        <v>-3.759854144699968E-2</v>
      </c>
      <c r="O90" s="246" t="s">
        <v>207</v>
      </c>
      <c r="P90" s="246"/>
      <c r="Q90" s="246"/>
    </row>
    <row r="91" spans="2:17">
      <c r="B91" s="228" t="str">
        <f>'2. Results'!B103</f>
        <v>Pocatello</v>
      </c>
      <c r="C91" s="405">
        <f>'2. Results'!C103</f>
        <v>11675</v>
      </c>
      <c r="D91" s="242">
        <f>'2. Results'!D103</f>
        <v>288140.12419700215</v>
      </c>
      <c r="E91" s="243">
        <f>'2. Results'!E103</f>
        <v>0.49444620755315771</v>
      </c>
      <c r="F91" s="753" t="str">
        <f>'2. Results'!G103</f>
        <v/>
      </c>
      <c r="G91" s="758">
        <f>'2. Results'!L103</f>
        <v>91667300</v>
      </c>
      <c r="H91" s="759">
        <f>'2. Results'!Q103</f>
        <v>97953893</v>
      </c>
      <c r="I91" s="760">
        <f>'2. Results'!R103</f>
        <v>6286593</v>
      </c>
      <c r="J91" s="759">
        <f>'2. Results'!W103</f>
        <v>7851.5888650963589</v>
      </c>
      <c r="K91" s="759">
        <f>'2. Results'!AB103</f>
        <v>8390.0550749464674</v>
      </c>
      <c r="L91" s="759">
        <f>'2. Results'!AC103</f>
        <v>538.46620985010702</v>
      </c>
      <c r="M91" s="765">
        <f>'2. Results'!AD103</f>
        <v>0.1033150195728654</v>
      </c>
      <c r="O91" s="246" t="s">
        <v>118</v>
      </c>
      <c r="P91" s="246"/>
      <c r="Q91" s="246"/>
    </row>
    <row r="92" spans="2:17">
      <c r="B92" s="228" t="str">
        <f>'2. Results'!B104</f>
        <v>Bear Lake County</v>
      </c>
      <c r="C92" s="405">
        <f>'2. Results'!C104</f>
        <v>990</v>
      </c>
      <c r="D92" s="242">
        <f>'2. Results'!D104</f>
        <v>825628.6</v>
      </c>
      <c r="E92" s="243">
        <f>'2. Results'!E104</f>
        <v>0.46146872166817771</v>
      </c>
      <c r="F92" s="753" t="str">
        <f>'2. Results'!G104</f>
        <v/>
      </c>
      <c r="G92" s="758">
        <f>'2. Results'!L104</f>
        <v>8630425</v>
      </c>
      <c r="H92" s="759">
        <f>'2. Results'!Q104</f>
        <v>8159840</v>
      </c>
      <c r="I92" s="760">
        <f>'2. Results'!R104</f>
        <v>-470585</v>
      </c>
      <c r="J92" s="759">
        <f>'2. Results'!W104</f>
        <v>8717.6010101010106</v>
      </c>
      <c r="K92" s="759">
        <f>'2. Results'!AB104</f>
        <v>8242.2626262626272</v>
      </c>
      <c r="L92" s="759">
        <f>'2. Results'!AC104</f>
        <v>-475.33838383838383</v>
      </c>
      <c r="M92" s="765">
        <f>'2. Results'!AD104</f>
        <v>-7.5517857830613794E-2</v>
      </c>
      <c r="O92" s="246" t="s">
        <v>252</v>
      </c>
      <c r="P92" s="246"/>
      <c r="Q92" s="246"/>
    </row>
    <row r="93" spans="2:17">
      <c r="B93" s="228" t="str">
        <f>'2. Results'!B105</f>
        <v>St. Maries Joint</v>
      </c>
      <c r="C93" s="405">
        <f>'2. Results'!C105</f>
        <v>843</v>
      </c>
      <c r="D93" s="242">
        <f>'2. Results'!D105</f>
        <v>534803.24436536175</v>
      </c>
      <c r="E93" s="243">
        <f>'2. Results'!E105</f>
        <v>0.50708833151581245</v>
      </c>
      <c r="F93" s="753" t="str">
        <f>'2. Results'!G105</f>
        <v/>
      </c>
      <c r="G93" s="758">
        <f>'2. Results'!L105</f>
        <v>8800495</v>
      </c>
      <c r="H93" s="759">
        <f>'2. Results'!Q105</f>
        <v>8160715</v>
      </c>
      <c r="I93" s="760">
        <f>'2. Results'!R105</f>
        <v>-639780</v>
      </c>
      <c r="J93" s="759">
        <f>'2. Results'!W105</f>
        <v>10439.495848161328</v>
      </c>
      <c r="K93" s="759">
        <f>'2. Results'!AB105</f>
        <v>9680.5634638196916</v>
      </c>
      <c r="L93" s="759">
        <f>'2. Results'!AC105</f>
        <v>-758.93238434163698</v>
      </c>
      <c r="M93" s="765">
        <f>'2. Results'!AD105</f>
        <v>-0.1164428102871102</v>
      </c>
      <c r="O93" s="246" t="s">
        <v>112</v>
      </c>
      <c r="P93" s="246"/>
      <c r="Q93" s="246"/>
    </row>
    <row r="94" spans="2:17">
      <c r="B94" s="228" t="str">
        <f>'2. Results'!B106</f>
        <v>Plummer / Worley Joint</v>
      </c>
      <c r="C94" s="405">
        <f>'2. Results'!C106</f>
        <v>293</v>
      </c>
      <c r="D94" s="242">
        <f>'2. Results'!D106</f>
        <v>1736504.5665529009</v>
      </c>
      <c r="E94" s="243">
        <f>'2. Results'!E106</f>
        <v>0.67791411042944782</v>
      </c>
      <c r="F94" s="753" t="str">
        <f>'2. Results'!G106</f>
        <v>yes</v>
      </c>
      <c r="G94" s="758">
        <f>'2. Results'!L106</f>
        <v>5283772</v>
      </c>
      <c r="H94" s="759">
        <f>'2. Results'!Q106</f>
        <v>4669282</v>
      </c>
      <c r="I94" s="760">
        <f>'2. Results'!R106</f>
        <v>-614490</v>
      </c>
      <c r="J94" s="759">
        <f>'2. Results'!W106</f>
        <v>18033.351535836176</v>
      </c>
      <c r="K94" s="759">
        <f>'2. Results'!AB106</f>
        <v>15936.116040955632</v>
      </c>
      <c r="L94" s="759">
        <f>'2. Results'!AC106</f>
        <v>-2097.235494880546</v>
      </c>
      <c r="M94" s="765">
        <f>'2. Results'!AD106</f>
        <v>-0.26307035716074612</v>
      </c>
      <c r="O94" s="246" t="s">
        <v>245</v>
      </c>
      <c r="P94" s="246"/>
      <c r="Q94" s="246"/>
    </row>
    <row r="95" spans="2:17">
      <c r="B95" s="228" t="str">
        <f>'2. Results'!B107</f>
        <v>Snake River</v>
      </c>
      <c r="C95" s="405">
        <f>'2. Results'!C107</f>
        <v>1552</v>
      </c>
      <c r="D95" s="242">
        <f>'2. Results'!D107</f>
        <v>224672.35051546391</v>
      </c>
      <c r="E95" s="243">
        <f>'2. Results'!E107</f>
        <v>0.44536326048434732</v>
      </c>
      <c r="F95" s="753" t="str">
        <f>'2. Results'!G107</f>
        <v/>
      </c>
      <c r="G95" s="758">
        <f>'2. Results'!L107</f>
        <v>13070590</v>
      </c>
      <c r="H95" s="759">
        <f>'2. Results'!Q107</f>
        <v>12657921</v>
      </c>
      <c r="I95" s="760">
        <f>'2. Results'!R107</f>
        <v>-412669</v>
      </c>
      <c r="J95" s="759">
        <f>'2. Results'!W107</f>
        <v>8421.7719072164946</v>
      </c>
      <c r="K95" s="759">
        <f>'2. Results'!AB107</f>
        <v>8155.8769329896913</v>
      </c>
      <c r="L95" s="759">
        <f>'2. Results'!AC107</f>
        <v>-265.89497422680415</v>
      </c>
      <c r="M95" s="765">
        <f>'2. Results'!AD107</f>
        <v>-4.407902733874057E-2</v>
      </c>
      <c r="O95" s="246" t="s">
        <v>116</v>
      </c>
      <c r="P95" s="246"/>
      <c r="Q95" s="246"/>
    </row>
    <row r="96" spans="2:17">
      <c r="B96" s="228" t="str">
        <f>'2. Results'!B108</f>
        <v>Blackfoot</v>
      </c>
      <c r="C96" s="405">
        <f>'2. Results'!C108</f>
        <v>3619</v>
      </c>
      <c r="D96" s="242">
        <f>'2. Results'!D108</f>
        <v>208656.08234318873</v>
      </c>
      <c r="E96" s="243">
        <f>'2. Results'!E108</f>
        <v>0.56882480957562565</v>
      </c>
      <c r="F96" s="753" t="str">
        <f>'2. Results'!G108</f>
        <v/>
      </c>
      <c r="G96" s="758">
        <f>'2. Results'!L108</f>
        <v>29738299</v>
      </c>
      <c r="H96" s="759">
        <f>'2. Results'!Q108</f>
        <v>30002092</v>
      </c>
      <c r="I96" s="760">
        <f>'2. Results'!R108</f>
        <v>263793</v>
      </c>
      <c r="J96" s="759">
        <f>'2. Results'!W108</f>
        <v>8217.2696877590497</v>
      </c>
      <c r="K96" s="759">
        <f>'2. Results'!AB108</f>
        <v>8290.1608179054983</v>
      </c>
      <c r="L96" s="759">
        <f>'2. Results'!AC108</f>
        <v>72.891130146449299</v>
      </c>
      <c r="M96" s="765">
        <f>'2. Results'!AD108</f>
        <v>1.2906124387615545E-2</v>
      </c>
      <c r="O96" s="246" t="s">
        <v>158</v>
      </c>
      <c r="P96" s="246"/>
      <c r="Q96" s="246"/>
    </row>
    <row r="97" spans="2:17">
      <c r="B97" s="228" t="str">
        <f>'2. Results'!B109</f>
        <v>Aberdeen</v>
      </c>
      <c r="C97" s="405">
        <f>'2. Results'!C109</f>
        <v>665</v>
      </c>
      <c r="D97" s="242">
        <f>'2. Results'!D109</f>
        <v>320175.05263157893</v>
      </c>
      <c r="E97" s="243">
        <f>'2. Results'!E109</f>
        <v>0.70292887029288698</v>
      </c>
      <c r="F97" s="753" t="str">
        <f>'2. Results'!G109</f>
        <v/>
      </c>
      <c r="G97" s="758">
        <f>'2. Results'!L109</f>
        <v>7141581</v>
      </c>
      <c r="H97" s="759">
        <f>'2. Results'!Q109</f>
        <v>6599130</v>
      </c>
      <c r="I97" s="760">
        <f>'2. Results'!R109</f>
        <v>-542451</v>
      </c>
      <c r="J97" s="759">
        <f>'2. Results'!W109</f>
        <v>10739.219548872181</v>
      </c>
      <c r="K97" s="759">
        <f>'2. Results'!AB109</f>
        <v>9923.5037593984962</v>
      </c>
      <c r="L97" s="759">
        <f>'2. Results'!AC109</f>
        <v>-815.71578947368425</v>
      </c>
      <c r="M97" s="765">
        <f>'2. Results'!AD109</f>
        <v>-0.1236060591352901</v>
      </c>
      <c r="O97" s="246" t="s">
        <v>97</v>
      </c>
      <c r="P97" s="246"/>
      <c r="Q97" s="246"/>
    </row>
    <row r="98" spans="2:17">
      <c r="B98" s="228" t="str">
        <f>'2. Results'!B110</f>
        <v>Firth</v>
      </c>
      <c r="C98" s="405">
        <f>'2. Results'!C110</f>
        <v>676</v>
      </c>
      <c r="D98" s="242">
        <f>'2. Results'!D110</f>
        <v>282951.24408284022</v>
      </c>
      <c r="E98" s="243">
        <f>'2. Results'!E110</f>
        <v>0.55466666666666664</v>
      </c>
      <c r="F98" s="753" t="str">
        <f>'2. Results'!G110</f>
        <v/>
      </c>
      <c r="G98" s="758">
        <f>'2. Results'!L110</f>
        <v>5360070</v>
      </c>
      <c r="H98" s="759">
        <f>'2. Results'!Q110</f>
        <v>4952465</v>
      </c>
      <c r="I98" s="760">
        <f>'2. Results'!R110</f>
        <v>-407605</v>
      </c>
      <c r="J98" s="759">
        <f>'2. Results'!W110</f>
        <v>7929.0976331360953</v>
      </c>
      <c r="K98" s="759">
        <f>'2. Results'!AB110</f>
        <v>7326.1316568047341</v>
      </c>
      <c r="L98" s="759">
        <f>'2. Results'!AC110</f>
        <v>-602.96597633136093</v>
      </c>
      <c r="M98" s="765">
        <f>'2. Results'!AD110</f>
        <v>-9.4352725327446929E-2</v>
      </c>
      <c r="O98" s="246" t="s">
        <v>124</v>
      </c>
      <c r="P98" s="246"/>
      <c r="Q98" s="246"/>
    </row>
    <row r="99" spans="2:17">
      <c r="B99" s="228" t="str">
        <f>'2. Results'!B111</f>
        <v>Shelley Joint</v>
      </c>
      <c r="C99" s="405">
        <f>'2. Results'!C111</f>
        <v>2038</v>
      </c>
      <c r="D99" s="242">
        <f>'2. Results'!D111</f>
        <v>245081.64720314034</v>
      </c>
      <c r="E99" s="243">
        <f>'2. Results'!E111</f>
        <v>0.42863574966231427</v>
      </c>
      <c r="F99" s="753" t="str">
        <f>'2. Results'!G111</f>
        <v/>
      </c>
      <c r="G99" s="758">
        <f>'2. Results'!L111</f>
        <v>14624689</v>
      </c>
      <c r="H99" s="759">
        <f>'2. Results'!Q111</f>
        <v>15265755</v>
      </c>
      <c r="I99" s="760">
        <f>'2. Results'!R111</f>
        <v>641066</v>
      </c>
      <c r="J99" s="759">
        <f>'2. Results'!W111</f>
        <v>7176.0004906771355</v>
      </c>
      <c r="K99" s="759">
        <f>'2. Results'!AB111</f>
        <v>7490.5569185475961</v>
      </c>
      <c r="L99" s="759">
        <f>'2. Results'!AC111</f>
        <v>314.55642787046122</v>
      </c>
      <c r="M99" s="765">
        <f>'2. Results'!AD111</f>
        <v>5.7530160514160787E-2</v>
      </c>
      <c r="O99" s="246" t="s">
        <v>125</v>
      </c>
      <c r="P99" s="246"/>
      <c r="Q99" s="246"/>
    </row>
    <row r="100" spans="2:17">
      <c r="B100" s="228" t="str">
        <f>'2. Results'!B112</f>
        <v>Blaine County</v>
      </c>
      <c r="C100" s="405">
        <f>'2. Results'!C112</f>
        <v>3054</v>
      </c>
      <c r="D100" s="242">
        <f>'2. Results'!D112</f>
        <v>2927623.0697445972</v>
      </c>
      <c r="E100" s="243">
        <f>'2. Results'!E112</f>
        <v>0.41674221819280749</v>
      </c>
      <c r="F100" s="753" t="str">
        <f>'2. Results'!G112</f>
        <v/>
      </c>
      <c r="G100" s="758">
        <f>'2. Results'!L112</f>
        <v>59056311</v>
      </c>
      <c r="H100" s="759">
        <f>'2. Results'!Q112</f>
        <v>59729013</v>
      </c>
      <c r="I100" s="760">
        <f>'2. Results'!R112</f>
        <v>672702</v>
      </c>
      <c r="J100" s="759">
        <f>'2. Results'!W112</f>
        <v>19337.364440078585</v>
      </c>
      <c r="K100" s="759">
        <f>'2. Results'!AB112</f>
        <v>19557.633595284871</v>
      </c>
      <c r="L100" s="759">
        <f>'2. Results'!AC112</f>
        <v>220.26915520628683</v>
      </c>
      <c r="M100" s="765">
        <f>'2. Results'!AD112</f>
        <v>4.0033986235895831E-2</v>
      </c>
      <c r="O100" s="246" t="s">
        <v>196</v>
      </c>
      <c r="P100" s="246"/>
      <c r="Q100" s="246"/>
    </row>
    <row r="101" spans="2:17">
      <c r="B101" s="228" t="str">
        <f>'2. Results'!B113</f>
        <v>Garden Valley</v>
      </c>
      <c r="C101" s="405">
        <f>'2. Results'!C113</f>
        <v>215</v>
      </c>
      <c r="D101" s="242">
        <f>'2. Results'!D113</f>
        <v>1818085.6790697675</v>
      </c>
      <c r="E101" s="243">
        <f>'2. Results'!E113</f>
        <v>0.50622406639004147</v>
      </c>
      <c r="F101" s="753" t="str">
        <f>'2. Results'!G113</f>
        <v>yes</v>
      </c>
      <c r="G101" s="758">
        <f>'2. Results'!L113</f>
        <v>3729229</v>
      </c>
      <c r="H101" s="759">
        <f>'2. Results'!Q113</f>
        <v>3020505</v>
      </c>
      <c r="I101" s="760">
        <f>'2. Results'!R113</f>
        <v>-708724</v>
      </c>
      <c r="J101" s="759">
        <f>'2. Results'!W113</f>
        <v>17345.251162790697</v>
      </c>
      <c r="K101" s="759">
        <f>'2. Results'!AB113</f>
        <v>14048.860465116279</v>
      </c>
      <c r="L101" s="759">
        <f>'2. Results'!AC113</f>
        <v>-3296.3906976744188</v>
      </c>
      <c r="M101" s="765">
        <f>'2. Results'!AD113</f>
        <v>-0.36512929786473314</v>
      </c>
      <c r="O101" s="246" t="s">
        <v>210</v>
      </c>
      <c r="P101" s="246"/>
      <c r="Q101" s="246"/>
    </row>
    <row r="102" spans="2:17">
      <c r="B102" s="228" t="str">
        <f>'2. Results'!B114</f>
        <v>Basin</v>
      </c>
      <c r="C102" s="405">
        <f>'2. Results'!C114</f>
        <v>332</v>
      </c>
      <c r="D102" s="242">
        <f>'2. Results'!D114</f>
        <v>841338.00602409639</v>
      </c>
      <c r="E102" s="243">
        <f>'2. Results'!E114</f>
        <v>0.45454545454545453</v>
      </c>
      <c r="F102" s="753" t="str">
        <f>'2. Results'!G114</f>
        <v/>
      </c>
      <c r="G102" s="758">
        <f>'2. Results'!L114</f>
        <v>3245001</v>
      </c>
      <c r="H102" s="759">
        <f>'2. Results'!Q114</f>
        <v>2822268</v>
      </c>
      <c r="I102" s="760">
        <f>'2. Results'!R114</f>
        <v>-422733</v>
      </c>
      <c r="J102" s="759">
        <f>'2. Results'!W114</f>
        <v>9774.0993975903621</v>
      </c>
      <c r="K102" s="759">
        <f>'2. Results'!AB114</f>
        <v>8500.8072289156626</v>
      </c>
      <c r="L102" s="759">
        <f>'2. Results'!AC114</f>
        <v>-1273.2921686746988</v>
      </c>
      <c r="M102" s="765">
        <f>'2. Results'!AD114</f>
        <v>-0.18367134129571386</v>
      </c>
      <c r="O102" s="246" t="s">
        <v>126</v>
      </c>
      <c r="P102" s="246"/>
      <c r="Q102" s="246"/>
    </row>
    <row r="103" spans="2:17">
      <c r="B103" s="228" t="str">
        <f>'2. Results'!B115</f>
        <v>Horseshoe Bend</v>
      </c>
      <c r="C103" s="405">
        <f>'2. Results'!C115</f>
        <v>207</v>
      </c>
      <c r="D103" s="242">
        <f>'2. Results'!D115</f>
        <v>508926.961352657</v>
      </c>
      <c r="E103" s="243">
        <f>'2. Results'!E115</f>
        <v>0.66816143497757852</v>
      </c>
      <c r="F103" s="753" t="str">
        <f>'2. Results'!G115</f>
        <v>yes</v>
      </c>
      <c r="G103" s="758">
        <f>'2. Results'!L115</f>
        <v>2885948</v>
      </c>
      <c r="H103" s="759">
        <f>'2. Results'!Q115</f>
        <v>2259694</v>
      </c>
      <c r="I103" s="760">
        <f>'2. Results'!R115</f>
        <v>-626254</v>
      </c>
      <c r="J103" s="759">
        <f>'2. Results'!W115</f>
        <v>13941.777777777779</v>
      </c>
      <c r="K103" s="759">
        <f>'2. Results'!AB115</f>
        <v>10916.396135265701</v>
      </c>
      <c r="L103" s="759">
        <f>'2. Results'!AC115</f>
        <v>-3025.3816425120772</v>
      </c>
      <c r="M103" s="765">
        <f>'2. Results'!AD115</f>
        <v>-0.34255991956935911</v>
      </c>
      <c r="O103" s="246" t="s">
        <v>130</v>
      </c>
      <c r="P103" s="246"/>
      <c r="Q103" s="246"/>
    </row>
    <row r="104" spans="2:17">
      <c r="B104" s="228" t="str">
        <f>'2. Results'!B116</f>
        <v>West Bonner County</v>
      </c>
      <c r="C104" s="405">
        <f>'2. Results'!C116</f>
        <v>1006</v>
      </c>
      <c r="D104" s="242">
        <f>'2. Results'!D116</f>
        <v>1630195.6093439364</v>
      </c>
      <c r="E104" s="243">
        <f>'2. Results'!E116</f>
        <v>0.5542056074766355</v>
      </c>
      <c r="F104" s="753" t="str">
        <f>'2. Results'!G116</f>
        <v/>
      </c>
      <c r="G104" s="758">
        <f>'2. Results'!L116</f>
        <v>11459588</v>
      </c>
      <c r="H104" s="759">
        <f>'2. Results'!Q116</f>
        <v>11071379</v>
      </c>
      <c r="I104" s="760">
        <f>'2. Results'!R116</f>
        <v>-388209</v>
      </c>
      <c r="J104" s="759">
        <f>'2. Results'!W116</f>
        <v>11391.240556660039</v>
      </c>
      <c r="K104" s="759">
        <f>'2. Results'!AB116</f>
        <v>11005.346918489066</v>
      </c>
      <c r="L104" s="759">
        <f>'2. Results'!AC116</f>
        <v>-385.89363817097416</v>
      </c>
      <c r="M104" s="765">
        <f>'2. Results'!AD116</f>
        <v>-6.3303691194729186E-2</v>
      </c>
      <c r="O104" s="246" t="s">
        <v>127</v>
      </c>
      <c r="P104" s="246"/>
      <c r="Q104" s="246"/>
    </row>
    <row r="105" spans="2:17">
      <c r="B105" s="228" t="str">
        <f>'2. Results'!B117</f>
        <v>Lake Pend Oreille</v>
      </c>
      <c r="C105" s="405">
        <f>'2. Results'!C117</f>
        <v>3353</v>
      </c>
      <c r="D105" s="242">
        <f>'2. Results'!D117</f>
        <v>1252955.4894124665</v>
      </c>
      <c r="E105" s="243">
        <f>'2. Results'!E117</f>
        <v>0.45081266039349871</v>
      </c>
      <c r="F105" s="753" t="str">
        <f>'2. Results'!G117</f>
        <v/>
      </c>
      <c r="G105" s="758">
        <f>'2. Results'!L117</f>
        <v>31642356</v>
      </c>
      <c r="H105" s="759">
        <f>'2. Results'!Q117</f>
        <v>31554692</v>
      </c>
      <c r="I105" s="760">
        <f>'2. Results'!R117</f>
        <v>-87664</v>
      </c>
      <c r="J105" s="759">
        <f>'2. Results'!W117</f>
        <v>9437.0283328362657</v>
      </c>
      <c r="K105" s="759">
        <f>'2. Results'!AB117</f>
        <v>9410.8833880107359</v>
      </c>
      <c r="L105" s="759">
        <f>'2. Results'!AC117</f>
        <v>-26.144944825529375</v>
      </c>
      <c r="M105" s="765">
        <f>'2. Results'!AD117</f>
        <v>-4.5561562473039035E-3</v>
      </c>
      <c r="O105" s="246" t="s">
        <v>220</v>
      </c>
      <c r="P105" s="246"/>
      <c r="Q105" s="246"/>
    </row>
    <row r="106" spans="2:17">
      <c r="B106" s="228" t="str">
        <f>'2. Results'!B118</f>
        <v>Idaho Falls</v>
      </c>
      <c r="C106" s="405">
        <f>'2. Results'!C118</f>
        <v>9490</v>
      </c>
      <c r="D106" s="242">
        <f>'2. Results'!D118</f>
        <v>308800.54236037936</v>
      </c>
      <c r="E106" s="243">
        <f>'2. Results'!E118</f>
        <v>0.49492940942533309</v>
      </c>
      <c r="F106" s="753" t="str">
        <f>'2. Results'!G118</f>
        <v/>
      </c>
      <c r="G106" s="758">
        <f>'2. Results'!L118</f>
        <v>73666123</v>
      </c>
      <c r="H106" s="759">
        <f>'2. Results'!Q118</f>
        <v>77207056</v>
      </c>
      <c r="I106" s="760">
        <f>'2. Results'!R118</f>
        <v>3540933</v>
      </c>
      <c r="J106" s="759">
        <f>'2. Results'!W118</f>
        <v>7762.499789251845</v>
      </c>
      <c r="K106" s="759">
        <f>'2. Results'!AB118</f>
        <v>8135.622339304532</v>
      </c>
      <c r="L106" s="759">
        <f>'2. Results'!AC118</f>
        <v>373.12255005268702</v>
      </c>
      <c r="M106" s="765">
        <f>'2. Results'!AD118</f>
        <v>6.9353977510200726E-2</v>
      </c>
      <c r="O106" s="246" t="s">
        <v>218</v>
      </c>
      <c r="P106" s="246"/>
      <c r="Q106" s="246"/>
    </row>
    <row r="107" spans="2:17">
      <c r="B107" s="228" t="str">
        <f>'2. Results'!B119</f>
        <v>Swan Valley Elementary</v>
      </c>
      <c r="C107" s="405">
        <f>'2. Results'!C119</f>
        <v>49</v>
      </c>
      <c r="D107" s="242">
        <f>'2. Results'!D119</f>
        <v>3849730.612244898</v>
      </c>
      <c r="E107" s="243">
        <f>'2. Results'!E119</f>
        <v>0.55102040816326525</v>
      </c>
      <c r="F107" s="753" t="str">
        <f>'2. Results'!G119</f>
        <v>yes</v>
      </c>
      <c r="G107" s="758">
        <f>'2. Results'!L119</f>
        <v>994544</v>
      </c>
      <c r="H107" s="759">
        <f>'2. Results'!Q119</f>
        <v>685936</v>
      </c>
      <c r="I107" s="760">
        <f>'2. Results'!R119</f>
        <v>-308608</v>
      </c>
      <c r="J107" s="759">
        <f>'2. Results'!W119</f>
        <v>20296.816326530614</v>
      </c>
      <c r="K107" s="759">
        <f>'2. Results'!AB119</f>
        <v>13998.693877551021</v>
      </c>
      <c r="L107" s="759">
        <f>'2. Results'!AC119</f>
        <v>-6298.1224489795923</v>
      </c>
      <c r="M107" s="765">
        <f>'2. Results'!AD119</f>
        <v>-0.53012222040900459</v>
      </c>
      <c r="O107" s="246" t="s">
        <v>141</v>
      </c>
      <c r="P107" s="246"/>
      <c r="Q107" s="246"/>
    </row>
    <row r="108" spans="2:17">
      <c r="B108" s="228" t="str">
        <f>'2. Results'!B120</f>
        <v>Bonneville Joint</v>
      </c>
      <c r="C108" s="405">
        <f>'2. Results'!C120</f>
        <v>10858</v>
      </c>
      <c r="D108" s="242">
        <f>'2. Results'!D120</f>
        <v>222169.39952109044</v>
      </c>
      <c r="E108" s="243">
        <f>'2. Results'!E120</f>
        <v>0.42962774094849565</v>
      </c>
      <c r="F108" s="753" t="str">
        <f>'2. Results'!G120</f>
        <v/>
      </c>
      <c r="G108" s="758">
        <f>'2. Results'!L120</f>
        <v>82708907</v>
      </c>
      <c r="H108" s="759">
        <f>'2. Results'!Q120</f>
        <v>85796378</v>
      </c>
      <c r="I108" s="760">
        <f>'2. Results'!R120</f>
        <v>3087471</v>
      </c>
      <c r="J108" s="759">
        <f>'2. Results'!W120</f>
        <v>7617.3242770307616</v>
      </c>
      <c r="K108" s="759">
        <f>'2. Results'!AB120</f>
        <v>7901.6741573033714</v>
      </c>
      <c r="L108" s="759">
        <f>'2. Results'!AC120</f>
        <v>284.34988027261005</v>
      </c>
      <c r="M108" s="765">
        <f>'2. Results'!AD120</f>
        <v>5.196990426977971E-2</v>
      </c>
      <c r="O108" s="246" t="s">
        <v>215</v>
      </c>
      <c r="P108" s="246"/>
      <c r="Q108" s="246"/>
    </row>
    <row r="109" spans="2:17">
      <c r="B109" s="228" t="str">
        <f>'2. Results'!B121</f>
        <v>Boundary County</v>
      </c>
      <c r="C109" s="405">
        <f>'2. Results'!C121</f>
        <v>1308</v>
      </c>
      <c r="D109" s="242">
        <f>'2. Results'!D121</f>
        <v>649734.42813455663</v>
      </c>
      <c r="E109" s="243">
        <f>'2. Results'!E121</f>
        <v>0.56206896551724139</v>
      </c>
      <c r="F109" s="753" t="str">
        <f>'2. Results'!G121</f>
        <v/>
      </c>
      <c r="G109" s="758">
        <f>'2. Results'!L121</f>
        <v>13063959</v>
      </c>
      <c r="H109" s="759">
        <f>'2. Results'!Q121</f>
        <v>12879524</v>
      </c>
      <c r="I109" s="760">
        <f>'2. Results'!R121</f>
        <v>-184435</v>
      </c>
      <c r="J109" s="759">
        <f>'2. Results'!W121</f>
        <v>9987.7362385321103</v>
      </c>
      <c r="K109" s="759">
        <f>'2. Results'!AB121</f>
        <v>9846.7308868501532</v>
      </c>
      <c r="L109" s="759">
        <f>'2. Results'!AC121</f>
        <v>-141.00535168195719</v>
      </c>
      <c r="M109" s="765">
        <f>'2. Results'!AD121</f>
        <v>-2.4091555618138753E-2</v>
      </c>
      <c r="O109" s="246" t="s">
        <v>144</v>
      </c>
      <c r="P109" s="246"/>
      <c r="Q109" s="246"/>
    </row>
    <row r="110" spans="2:17">
      <c r="B110" s="228" t="str">
        <f>'2. Results'!B122</f>
        <v>Butte County</v>
      </c>
      <c r="C110" s="405">
        <f>'2. Results'!C122</f>
        <v>392</v>
      </c>
      <c r="D110" s="242">
        <f>'2. Results'!D122</f>
        <v>401072.45663265308</v>
      </c>
      <c r="E110" s="243">
        <f>'2. Results'!E122</f>
        <v>0.46186440677966101</v>
      </c>
      <c r="F110" s="753" t="str">
        <f>'2. Results'!G122</f>
        <v/>
      </c>
      <c r="G110" s="758">
        <f>'2. Results'!L122</f>
        <v>4177181</v>
      </c>
      <c r="H110" s="759">
        <f>'2. Results'!Q122</f>
        <v>3452632</v>
      </c>
      <c r="I110" s="760">
        <f>'2. Results'!R122</f>
        <v>-724549</v>
      </c>
      <c r="J110" s="759">
        <f>'2. Results'!W122</f>
        <v>10656.073979591836</v>
      </c>
      <c r="K110" s="759">
        <f>'2. Results'!AB122</f>
        <v>8807.7346938775518</v>
      </c>
      <c r="L110" s="759">
        <f>'2. Results'!AC122</f>
        <v>-1848.3392857142858</v>
      </c>
      <c r="M110" s="765">
        <f>'2. Results'!AD122</f>
        <v>-0.24230714307929646</v>
      </c>
      <c r="O110" s="246" t="s">
        <v>251</v>
      </c>
      <c r="P110" s="246"/>
      <c r="Q110" s="246"/>
    </row>
    <row r="111" spans="2:17">
      <c r="B111" s="228" t="str">
        <f>'2. Results'!B123</f>
        <v>Camas County</v>
      </c>
      <c r="C111" s="405">
        <f>'2. Results'!C123</f>
        <v>129</v>
      </c>
      <c r="D111" s="242">
        <f>'2. Results'!D123</f>
        <v>991893.81395348837</v>
      </c>
      <c r="E111" s="243">
        <f>'2. Results'!E123</f>
        <v>0.40799999999999997</v>
      </c>
      <c r="F111" s="753" t="str">
        <f>'2. Results'!G123</f>
        <v>yes</v>
      </c>
      <c r="G111" s="758">
        <f>'2. Results'!L123</f>
        <v>2334358</v>
      </c>
      <c r="H111" s="759">
        <f>'2. Results'!Q123</f>
        <v>1561052</v>
      </c>
      <c r="I111" s="760">
        <f>'2. Results'!R123</f>
        <v>-773306</v>
      </c>
      <c r="J111" s="759">
        <f>'2. Results'!W123</f>
        <v>18095.798449612405</v>
      </c>
      <c r="K111" s="759">
        <f>'2. Results'!AB123</f>
        <v>12101.178294573643</v>
      </c>
      <c r="L111" s="759">
        <f>'2. Results'!AC123</f>
        <v>-5994.6201550387595</v>
      </c>
      <c r="M111" s="765">
        <f>'2. Results'!AD123</f>
        <v>-0.51365359438485925</v>
      </c>
      <c r="O111" s="246" t="s">
        <v>142</v>
      </c>
      <c r="P111" s="246"/>
      <c r="Q111" s="246"/>
    </row>
    <row r="112" spans="2:17">
      <c r="B112" s="228" t="str">
        <f>'2. Results'!B124</f>
        <v>Nampa</v>
      </c>
      <c r="C112" s="405">
        <f>'2. Results'!C124</f>
        <v>14413</v>
      </c>
      <c r="D112" s="242">
        <f>'2. Results'!D124</f>
        <v>271543.59709984041</v>
      </c>
      <c r="E112" s="243">
        <f>'2. Results'!E124</f>
        <v>0.60365717683788001</v>
      </c>
      <c r="F112" s="753" t="str">
        <f>'2. Results'!G124</f>
        <v/>
      </c>
      <c r="G112" s="758">
        <f>'2. Results'!L124</f>
        <v>117275086</v>
      </c>
      <c r="H112" s="759">
        <f>'2. Results'!Q124</f>
        <v>118470672</v>
      </c>
      <c r="I112" s="760">
        <f>'2. Results'!R124</f>
        <v>1195586</v>
      </c>
      <c r="J112" s="759">
        <f>'2. Results'!W124</f>
        <v>8136.7575105807255</v>
      </c>
      <c r="K112" s="759">
        <f>'2. Results'!AB124</f>
        <v>8219.7094289877205</v>
      </c>
      <c r="L112" s="759">
        <f>'2. Results'!AC124</f>
        <v>82.951918406993684</v>
      </c>
      <c r="M112" s="765">
        <f>'2. Results'!AD124</f>
        <v>1.4681033438483558E-2</v>
      </c>
      <c r="O112" s="246" t="s">
        <v>167</v>
      </c>
      <c r="P112" s="246"/>
      <c r="Q112" s="246"/>
    </row>
    <row r="113" spans="2:17">
      <c r="B113" s="228" t="str">
        <f>'2. Results'!B125</f>
        <v>Caldwell</v>
      </c>
      <c r="C113" s="405">
        <f>'2. Results'!C125</f>
        <v>5715</v>
      </c>
      <c r="D113" s="242">
        <f>'2. Results'!D125</f>
        <v>266807.13263342081</v>
      </c>
      <c r="E113" s="243">
        <f>'2. Results'!E125</f>
        <v>0.82184634840341453</v>
      </c>
      <c r="F113" s="753" t="str">
        <f>'2. Results'!G125</f>
        <v/>
      </c>
      <c r="G113" s="758">
        <f>'2. Results'!L125</f>
        <v>48546290</v>
      </c>
      <c r="H113" s="759">
        <f>'2. Results'!Q125</f>
        <v>49782572</v>
      </c>
      <c r="I113" s="760">
        <f>'2. Results'!R125</f>
        <v>1236282</v>
      </c>
      <c r="J113" s="759">
        <f>'2. Results'!W125</f>
        <v>8494.5389326334207</v>
      </c>
      <c r="K113" s="759">
        <f>'2. Results'!AB125</f>
        <v>8710.8612423447066</v>
      </c>
      <c r="L113" s="759">
        <f>'2. Results'!AC125</f>
        <v>216.3223097112861</v>
      </c>
      <c r="M113" s="765">
        <f>'2. Results'!AD125</f>
        <v>3.8848678470514403E-2</v>
      </c>
      <c r="O113" s="246" t="s">
        <v>226</v>
      </c>
      <c r="P113" s="246"/>
      <c r="Q113" s="246"/>
    </row>
    <row r="114" spans="2:17">
      <c r="B114" s="228" t="str">
        <f>'2. Results'!B126</f>
        <v>Wilder</v>
      </c>
      <c r="C114" s="405">
        <f>'2. Results'!C126</f>
        <v>407</v>
      </c>
      <c r="D114" s="242">
        <f>'2. Results'!D126</f>
        <v>467336.24815724813</v>
      </c>
      <c r="E114" s="243">
        <f>'2. Results'!E126</f>
        <v>0</v>
      </c>
      <c r="F114" s="753" t="str">
        <f>'2. Results'!G126</f>
        <v/>
      </c>
      <c r="G114" s="758">
        <f>'2. Results'!L126</f>
        <v>5334326</v>
      </c>
      <c r="H114" s="759">
        <f>'2. Results'!Q126</f>
        <v>4826426</v>
      </c>
      <c r="I114" s="760">
        <f>'2. Results'!R126</f>
        <v>-507900</v>
      </c>
      <c r="J114" s="759">
        <f>'2. Results'!W126</f>
        <v>13106.45208845209</v>
      </c>
      <c r="K114" s="759">
        <f>'2. Results'!AB126</f>
        <v>11858.54054054054</v>
      </c>
      <c r="L114" s="759">
        <f>'2. Results'!AC126</f>
        <v>-1247.9115479115478</v>
      </c>
      <c r="M114" s="765">
        <f>'2. Results'!AD126</f>
        <v>-0.1766122781523414</v>
      </c>
      <c r="O114" s="246" t="s">
        <v>260</v>
      </c>
      <c r="P114" s="246"/>
      <c r="Q114" s="246"/>
    </row>
    <row r="115" spans="2:17">
      <c r="B115" s="228" t="str">
        <f>'2. Results'!B127</f>
        <v>Middleton</v>
      </c>
      <c r="C115" s="405">
        <f>'2. Results'!C127</f>
        <v>3612</v>
      </c>
      <c r="D115" s="242">
        <f>'2. Results'!D127</f>
        <v>233017.69186046513</v>
      </c>
      <c r="E115" s="243">
        <f>'2. Results'!E127</f>
        <v>0.45277127244340359</v>
      </c>
      <c r="F115" s="753" t="str">
        <f>'2. Results'!G127</f>
        <v/>
      </c>
      <c r="G115" s="758">
        <f>'2. Results'!L127</f>
        <v>28854493</v>
      </c>
      <c r="H115" s="759">
        <f>'2. Results'!Q127</f>
        <v>28327925</v>
      </c>
      <c r="I115" s="760">
        <f>'2. Results'!R127</f>
        <v>-526568</v>
      </c>
      <c r="J115" s="759">
        <f>'2. Results'!W127</f>
        <v>7988.5085825027681</v>
      </c>
      <c r="K115" s="759">
        <f>'2. Results'!AB127</f>
        <v>7842.7256367663349</v>
      </c>
      <c r="L115" s="759">
        <f>'2. Results'!AC127</f>
        <v>-145.7829457364341</v>
      </c>
      <c r="M115" s="765">
        <f>'2. Results'!AD127</f>
        <v>-2.4907064656491739E-2</v>
      </c>
      <c r="O115" s="246" t="s">
        <v>159</v>
      </c>
      <c r="P115" s="246"/>
      <c r="Q115" s="246"/>
    </row>
    <row r="116" spans="2:17">
      <c r="B116" s="228" t="str">
        <f>'2. Results'!B128</f>
        <v>Notus</v>
      </c>
      <c r="C116" s="405">
        <f>'2. Results'!C128</f>
        <v>375</v>
      </c>
      <c r="D116" s="242">
        <f>'2. Results'!D128</f>
        <v>244914.48266666668</v>
      </c>
      <c r="E116" s="243">
        <f>'2. Results'!E128</f>
        <v>0.67007672634271098</v>
      </c>
      <c r="F116" s="753" t="str">
        <f>'2. Results'!G128</f>
        <v/>
      </c>
      <c r="G116" s="758">
        <f>'2. Results'!L128</f>
        <v>3762604</v>
      </c>
      <c r="H116" s="759">
        <f>'2. Results'!Q128</f>
        <v>3127903</v>
      </c>
      <c r="I116" s="760">
        <f>'2. Results'!R128</f>
        <v>-634701</v>
      </c>
      <c r="J116" s="759">
        <f>'2. Results'!W128</f>
        <v>10033.610666666666</v>
      </c>
      <c r="K116" s="759">
        <f>'2. Results'!AB128</f>
        <v>8341.0746666666655</v>
      </c>
      <c r="L116" s="759">
        <f>'2. Results'!AC128</f>
        <v>-1692.5360000000001</v>
      </c>
      <c r="M116" s="765">
        <f>'2. Results'!AD128</f>
        <v>-0.22818232411258174</v>
      </c>
      <c r="O116" s="246" t="s">
        <v>104</v>
      </c>
      <c r="P116" s="246"/>
      <c r="Q116" s="246"/>
    </row>
    <row r="117" spans="2:17">
      <c r="B117" s="228" t="str">
        <f>'2. Results'!B129</f>
        <v>Melba Joint</v>
      </c>
      <c r="C117" s="405">
        <f>'2. Results'!C129</f>
        <v>747</v>
      </c>
      <c r="D117" s="242">
        <f>'2. Results'!D129</f>
        <v>303068.6265060241</v>
      </c>
      <c r="E117" s="243">
        <f>'2. Results'!E129</f>
        <v>0.50686641697877655</v>
      </c>
      <c r="F117" s="753" t="str">
        <f>'2. Results'!G129</f>
        <v/>
      </c>
      <c r="G117" s="758">
        <f>'2. Results'!L129</f>
        <v>6169879</v>
      </c>
      <c r="H117" s="759">
        <f>'2. Results'!Q129</f>
        <v>5655676</v>
      </c>
      <c r="I117" s="760">
        <f>'2. Results'!R129</f>
        <v>-514203</v>
      </c>
      <c r="J117" s="759">
        <f>'2. Results'!W129</f>
        <v>8259.543507362785</v>
      </c>
      <c r="K117" s="759">
        <f>'2. Results'!AB129</f>
        <v>7571.1860776439089</v>
      </c>
      <c r="L117" s="759">
        <f>'2. Results'!AC129</f>
        <v>-688.35742971887555</v>
      </c>
      <c r="M117" s="765">
        <f>'2. Results'!AD129</f>
        <v>-0.10756766085633149</v>
      </c>
      <c r="O117" s="246" t="s">
        <v>192</v>
      </c>
      <c r="P117" s="246"/>
      <c r="Q117" s="246"/>
    </row>
    <row r="118" spans="2:17">
      <c r="B118" s="228" t="str">
        <f>'2. Results'!B130</f>
        <v>Parma</v>
      </c>
      <c r="C118" s="405">
        <f>'2. Results'!C130</f>
        <v>942</v>
      </c>
      <c r="D118" s="242">
        <f>'2. Results'!D130</f>
        <v>292204.2823779193</v>
      </c>
      <c r="E118" s="243">
        <f>'2. Results'!E130</f>
        <v>0.69078014184397163</v>
      </c>
      <c r="F118" s="753" t="str">
        <f>'2. Results'!G130</f>
        <v/>
      </c>
      <c r="G118" s="758">
        <f>'2. Results'!L130</f>
        <v>8762780</v>
      </c>
      <c r="H118" s="759">
        <f>'2. Results'!Q130</f>
        <v>8313506</v>
      </c>
      <c r="I118" s="760">
        <f>'2. Results'!R130</f>
        <v>-449274</v>
      </c>
      <c r="J118" s="759">
        <f>'2. Results'!W130</f>
        <v>9302.31422505308</v>
      </c>
      <c r="K118" s="759">
        <f>'2. Results'!AB130</f>
        <v>8825.3779193205955</v>
      </c>
      <c r="L118" s="759">
        <f>'2. Results'!AC130</f>
        <v>-476.93630573248407</v>
      </c>
      <c r="M118" s="765">
        <f>'2. Results'!AD130</f>
        <v>-7.6389838220321513E-2</v>
      </c>
      <c r="O118" s="246" t="s">
        <v>184</v>
      </c>
      <c r="P118" s="246"/>
      <c r="Q118" s="246"/>
    </row>
    <row r="119" spans="2:17">
      <c r="B119" s="228" t="str">
        <f>'2. Results'!B131</f>
        <v>Vallivue</v>
      </c>
      <c r="C119" s="405">
        <f>'2. Results'!C131</f>
        <v>7839</v>
      </c>
      <c r="D119" s="242">
        <f>'2. Results'!D131</f>
        <v>241733.09337925757</v>
      </c>
      <c r="E119" s="243">
        <f>'2. Results'!E131</f>
        <v>0.66835269993164725</v>
      </c>
      <c r="F119" s="753" t="str">
        <f>'2. Results'!G131</f>
        <v/>
      </c>
      <c r="G119" s="758">
        <f>'2. Results'!L131</f>
        <v>65095448</v>
      </c>
      <c r="H119" s="759">
        <f>'2. Results'!Q131</f>
        <v>66145623</v>
      </c>
      <c r="I119" s="760">
        <f>'2. Results'!R131</f>
        <v>1050175</v>
      </c>
      <c r="J119" s="759">
        <f>'2. Results'!W131</f>
        <v>8304.0500063783638</v>
      </c>
      <c r="K119" s="759">
        <f>'2. Results'!AB131</f>
        <v>8438.0179869881358</v>
      </c>
      <c r="L119" s="759">
        <f>'2. Results'!AC131</f>
        <v>133.96798060977164</v>
      </c>
      <c r="M119" s="765">
        <f>'2. Results'!AD131</f>
        <v>2.3800067422287314E-2</v>
      </c>
      <c r="O119" s="246" t="s">
        <v>153</v>
      </c>
      <c r="P119" s="246"/>
      <c r="Q119" s="246"/>
    </row>
    <row r="120" spans="2:17">
      <c r="B120" s="228" t="str">
        <f>'2. Results'!B132</f>
        <v>Grace Joint</v>
      </c>
      <c r="C120" s="405">
        <f>'2. Results'!C132</f>
        <v>465</v>
      </c>
      <c r="D120" s="242">
        <f>'2. Results'!D132</f>
        <v>296314.29247311829</v>
      </c>
      <c r="E120" s="243">
        <f>'2. Results'!E132</f>
        <v>0.47544204322200395</v>
      </c>
      <c r="F120" s="753" t="str">
        <f>'2. Results'!G132</f>
        <v/>
      </c>
      <c r="G120" s="758">
        <f>'2. Results'!L132</f>
        <v>4398876</v>
      </c>
      <c r="H120" s="759">
        <f>'2. Results'!Q132</f>
        <v>3676735</v>
      </c>
      <c r="I120" s="760">
        <f>'2. Results'!R132</f>
        <v>-722141</v>
      </c>
      <c r="J120" s="759">
        <f>'2. Results'!W132</f>
        <v>9459.9483870967742</v>
      </c>
      <c r="K120" s="759">
        <f>'2. Results'!AB132</f>
        <v>7906.9569892473119</v>
      </c>
      <c r="L120" s="759">
        <f>'2. Results'!AC132</f>
        <v>-1552.9913978494624</v>
      </c>
      <c r="M120" s="765">
        <f>'2. Results'!AD132</f>
        <v>-0.21054403928299553</v>
      </c>
      <c r="O120" s="246" t="s">
        <v>211</v>
      </c>
      <c r="P120" s="246"/>
      <c r="Q120" s="246"/>
    </row>
    <row r="121" spans="2:17">
      <c r="B121" s="228" t="str">
        <f>'2. Results'!B133</f>
        <v>North Gem</v>
      </c>
      <c r="C121" s="405">
        <f>'2. Results'!C133</f>
        <v>166</v>
      </c>
      <c r="D121" s="242">
        <f>'2. Results'!D133</f>
        <v>620361.77108433738</v>
      </c>
      <c r="E121" s="243">
        <f>'2. Results'!E133</f>
        <v>0.41025641025641024</v>
      </c>
      <c r="F121" s="753" t="str">
        <f>'2. Results'!G133</f>
        <v>yes</v>
      </c>
      <c r="G121" s="758">
        <f>'2. Results'!L133</f>
        <v>2085166</v>
      </c>
      <c r="H121" s="759">
        <f>'2. Results'!Q133</f>
        <v>1475173</v>
      </c>
      <c r="I121" s="760">
        <f>'2. Results'!R133</f>
        <v>-609993</v>
      </c>
      <c r="J121" s="759">
        <f>'2. Results'!W133</f>
        <v>12561.24096385542</v>
      </c>
      <c r="K121" s="759">
        <f>'2. Results'!AB133</f>
        <v>8886.584337349399</v>
      </c>
      <c r="L121" s="759">
        <f>'2. Results'!AC133</f>
        <v>-3674.6566265060242</v>
      </c>
      <c r="M121" s="765">
        <f>'2. Results'!AD133</f>
        <v>-0.3867954139487636</v>
      </c>
      <c r="O121" s="246" t="s">
        <v>114</v>
      </c>
      <c r="P121" s="246"/>
      <c r="Q121" s="246"/>
    </row>
    <row r="122" spans="2:17">
      <c r="B122" s="228" t="str">
        <f>'2. Results'!B134</f>
        <v>Soda Springs Joint</v>
      </c>
      <c r="C122" s="405">
        <f>'2. Results'!C134</f>
        <v>770</v>
      </c>
      <c r="D122" s="242">
        <f>'2. Results'!D134</f>
        <v>770654.95064935065</v>
      </c>
      <c r="E122" s="243">
        <f>'2. Results'!E134</f>
        <v>0.34972677595628415</v>
      </c>
      <c r="F122" s="753" t="str">
        <f>'2. Results'!G134</f>
        <v/>
      </c>
      <c r="G122" s="758">
        <f>'2. Results'!L134</f>
        <v>7123824</v>
      </c>
      <c r="H122" s="759">
        <f>'2. Results'!Q134</f>
        <v>6699932</v>
      </c>
      <c r="I122" s="760">
        <f>'2. Results'!R134</f>
        <v>-423892</v>
      </c>
      <c r="J122" s="759">
        <f>'2. Results'!W134</f>
        <v>9251.7194805194795</v>
      </c>
      <c r="K122" s="759">
        <f>'2. Results'!AB134</f>
        <v>8701.210389610389</v>
      </c>
      <c r="L122" s="759">
        <f>'2. Results'!AC134</f>
        <v>-550.5090909090909</v>
      </c>
      <c r="M122" s="765">
        <f>'2. Results'!AD134</f>
        <v>-8.7297023895823167E-2</v>
      </c>
      <c r="O122" s="246" t="s">
        <v>254</v>
      </c>
      <c r="P122" s="246"/>
      <c r="Q122" s="246"/>
    </row>
    <row r="123" spans="2:17">
      <c r="B123" s="228" t="str">
        <f>'2. Results'!B135</f>
        <v>Cassia County Joint</v>
      </c>
      <c r="C123" s="405">
        <f>'2. Results'!C135</f>
        <v>4910</v>
      </c>
      <c r="D123" s="242">
        <f>'2. Results'!D135</f>
        <v>262903.39389002038</v>
      </c>
      <c r="E123" s="243">
        <f>'2. Results'!E135</f>
        <v>0.53291901340066028</v>
      </c>
      <c r="F123" s="753" t="str">
        <f>'2. Results'!G135</f>
        <v/>
      </c>
      <c r="G123" s="758">
        <f>'2. Results'!L135</f>
        <v>40408858</v>
      </c>
      <c r="H123" s="759">
        <f>'2. Results'!Q135</f>
        <v>38782935</v>
      </c>
      <c r="I123" s="760">
        <f>'2. Results'!R135</f>
        <v>-1625923</v>
      </c>
      <c r="J123" s="759">
        <f>'2. Results'!W135</f>
        <v>8229.9099796334012</v>
      </c>
      <c r="K123" s="759">
        <f>'2. Results'!AB135</f>
        <v>7898.7647657841144</v>
      </c>
      <c r="L123" s="759">
        <f>'2. Results'!AC135</f>
        <v>-331.14521384928719</v>
      </c>
      <c r="M123" s="765">
        <f>'2. Results'!AD135</f>
        <v>-5.4233898398820084E-2</v>
      </c>
      <c r="O123" s="246" t="s">
        <v>152</v>
      </c>
      <c r="P123" s="246"/>
      <c r="Q123" s="246"/>
    </row>
    <row r="124" spans="2:17">
      <c r="B124" s="228" t="str">
        <f>'2. Results'!B136</f>
        <v>Clark County Joint</v>
      </c>
      <c r="C124" s="405">
        <f>'2. Results'!C136</f>
        <v>139</v>
      </c>
      <c r="D124" s="242">
        <f>'2. Results'!D136</f>
        <v>841549.82733812951</v>
      </c>
      <c r="E124" s="243">
        <f>'2. Results'!E136</f>
        <v>0.76100628930817615</v>
      </c>
      <c r="F124" s="753" t="str">
        <f>'2. Results'!G136</f>
        <v>yes</v>
      </c>
      <c r="G124" s="758">
        <f>'2. Results'!L136</f>
        <v>2551787</v>
      </c>
      <c r="H124" s="759">
        <f>'2. Results'!Q136</f>
        <v>1786510</v>
      </c>
      <c r="I124" s="760">
        <f>'2. Results'!R136</f>
        <v>-765277</v>
      </c>
      <c r="J124" s="759">
        <f>'2. Results'!W136</f>
        <v>18358.179856115108</v>
      </c>
      <c r="K124" s="759">
        <f>'2. Results'!AB136</f>
        <v>12852.589928057554</v>
      </c>
      <c r="L124" s="759">
        <f>'2. Results'!AC136</f>
        <v>-5505.5899280575541</v>
      </c>
      <c r="M124" s="765">
        <f>'2. Results'!AD136</f>
        <v>-0.4893751310922736</v>
      </c>
      <c r="O124" s="246" t="s">
        <v>200</v>
      </c>
      <c r="P124" s="246"/>
      <c r="Q124" s="246"/>
    </row>
    <row r="125" spans="2:17">
      <c r="B125" s="228" t="str">
        <f>'2. Results'!B137</f>
        <v>Orofino Joint</v>
      </c>
      <c r="C125" s="405">
        <f>'2. Results'!C137</f>
        <v>1033</v>
      </c>
      <c r="D125" s="242">
        <f>'2. Results'!D137</f>
        <v>514476.51306873187</v>
      </c>
      <c r="E125" s="243">
        <f>'2. Results'!E137</f>
        <v>0.57473684210526321</v>
      </c>
      <c r="F125" s="753" t="str">
        <f>'2. Results'!G137</f>
        <v/>
      </c>
      <c r="G125" s="758">
        <f>'2. Results'!L137</f>
        <v>14122932</v>
      </c>
      <c r="H125" s="759">
        <f>'2. Results'!Q137</f>
        <v>12043381</v>
      </c>
      <c r="I125" s="760">
        <f>'2. Results'!R137</f>
        <v>-2079551</v>
      </c>
      <c r="J125" s="759">
        <f>'2. Results'!W137</f>
        <v>13671.763794772507</v>
      </c>
      <c r="K125" s="759">
        <f>'2. Results'!AB137</f>
        <v>11658.645692158761</v>
      </c>
      <c r="L125" s="759">
        <f>'2. Results'!AC137</f>
        <v>-2013.1181026137463</v>
      </c>
      <c r="M125" s="765">
        <f>'2. Results'!AD137</f>
        <v>-0.26037202424737177</v>
      </c>
      <c r="O125" s="246" t="s">
        <v>117</v>
      </c>
      <c r="P125" s="246"/>
      <c r="Q125" s="246"/>
    </row>
    <row r="126" spans="2:17">
      <c r="B126" s="228" t="str">
        <f>'2. Results'!B138</f>
        <v>Challis Joint</v>
      </c>
      <c r="C126" s="405">
        <f>'2. Results'!C138</f>
        <v>355</v>
      </c>
      <c r="D126" s="242">
        <f>'2. Results'!D138</f>
        <v>1870354.6084507043</v>
      </c>
      <c r="E126" s="243">
        <f>'2. Results'!E138</f>
        <v>0.38095238095238093</v>
      </c>
      <c r="F126" s="753" t="str">
        <f>'2. Results'!G138</f>
        <v/>
      </c>
      <c r="G126" s="758">
        <f>'2. Results'!L138</f>
        <v>4092736</v>
      </c>
      <c r="H126" s="759">
        <f>'2. Results'!Q138</f>
        <v>3347344</v>
      </c>
      <c r="I126" s="760">
        <f>'2. Results'!R138</f>
        <v>-745392</v>
      </c>
      <c r="J126" s="759">
        <f>'2. Results'!W138</f>
        <v>11528.833802816902</v>
      </c>
      <c r="K126" s="759">
        <f>'2. Results'!AB138</f>
        <v>9429.1380281690144</v>
      </c>
      <c r="L126" s="759">
        <f>'2. Results'!AC138</f>
        <v>-2099.6957746478874</v>
      </c>
      <c r="M126" s="765">
        <f>'2. Results'!AD138</f>
        <v>-0.27092060930531781</v>
      </c>
      <c r="O126" s="246" t="s">
        <v>173</v>
      </c>
      <c r="P126" s="246"/>
      <c r="Q126" s="246"/>
    </row>
    <row r="127" spans="2:17">
      <c r="B127" s="228" t="str">
        <f>'2. Results'!B139</f>
        <v>Mackay Joint</v>
      </c>
      <c r="C127" s="405">
        <f>'2. Results'!C139</f>
        <v>158</v>
      </c>
      <c r="D127" s="242">
        <f>'2. Results'!D139</f>
        <v>909629.74683544307</v>
      </c>
      <c r="E127" s="243">
        <f>'2. Results'!E139</f>
        <v>0.5</v>
      </c>
      <c r="F127" s="753" t="str">
        <f>'2. Results'!G139</f>
        <v>yes</v>
      </c>
      <c r="G127" s="758">
        <f>'2. Results'!L139</f>
        <v>2256598</v>
      </c>
      <c r="H127" s="759">
        <f>'2. Results'!Q139</f>
        <v>1501848</v>
      </c>
      <c r="I127" s="760">
        <f>'2. Results'!R139</f>
        <v>-754750</v>
      </c>
      <c r="J127" s="759">
        <f>'2. Results'!W139</f>
        <v>14282.265822784811</v>
      </c>
      <c r="K127" s="759">
        <f>'2. Results'!AB139</f>
        <v>9505.3670886075961</v>
      </c>
      <c r="L127" s="759">
        <f>'2. Results'!AC139</f>
        <v>-4776.8987341772154</v>
      </c>
      <c r="M127" s="765">
        <f>'2. Results'!AD139</f>
        <v>-0.45590786523369542</v>
      </c>
      <c r="O127" s="246" t="s">
        <v>147</v>
      </c>
      <c r="P127" s="246"/>
      <c r="Q127" s="246"/>
    </row>
    <row r="128" spans="2:17">
      <c r="B128" s="228" t="str">
        <f>'2. Results'!B140</f>
        <v>Prairie Elementary</v>
      </c>
      <c r="C128" s="405">
        <f>'2. Results'!C140</f>
        <v>6</v>
      </c>
      <c r="D128" s="242">
        <f>'2. Results'!D140</f>
        <v>1798935.5</v>
      </c>
      <c r="E128" s="243">
        <f>'2. Results'!E140</f>
        <v>0</v>
      </c>
      <c r="F128" s="753" t="str">
        <f>'2. Results'!G140</f>
        <v>yes</v>
      </c>
      <c r="G128" s="758">
        <f>'2. Results'!L140</f>
        <v>152091</v>
      </c>
      <c r="H128" s="759">
        <f>'2. Results'!Q140</f>
        <v>53546</v>
      </c>
      <c r="I128" s="760">
        <f>'2. Results'!R140</f>
        <v>-98545</v>
      </c>
      <c r="J128" s="759">
        <f>'2. Results'!W140</f>
        <v>25348.500000000004</v>
      </c>
      <c r="K128" s="759">
        <f>'2. Results'!AB140</f>
        <v>8924.3333333333321</v>
      </c>
      <c r="L128" s="759">
        <f>'2. Results'!AC140</f>
        <v>-16424.166666666668</v>
      </c>
      <c r="M128" s="765">
        <f>'2. Results'!AD140</f>
        <v>-0.74824792522456174</v>
      </c>
      <c r="O128" s="246" t="s">
        <v>155</v>
      </c>
      <c r="P128" s="246"/>
      <c r="Q128" s="246"/>
    </row>
    <row r="129" spans="2:17">
      <c r="B129" s="228" t="str">
        <f>'2. Results'!B141</f>
        <v>Glenns Ferry Joint</v>
      </c>
      <c r="C129" s="405">
        <f>'2. Results'!C141</f>
        <v>387</v>
      </c>
      <c r="D129" s="242">
        <f>'2. Results'!D141</f>
        <v>687170.07751937979</v>
      </c>
      <c r="E129" s="243">
        <f>'2. Results'!E141</f>
        <v>0.67441860465116277</v>
      </c>
      <c r="F129" s="753" t="str">
        <f>'2. Results'!G141</f>
        <v/>
      </c>
      <c r="G129" s="758">
        <f>'2. Results'!L141</f>
        <v>4101701</v>
      </c>
      <c r="H129" s="759">
        <f>'2. Results'!Q141</f>
        <v>3593550</v>
      </c>
      <c r="I129" s="760">
        <f>'2. Results'!R141</f>
        <v>-508151</v>
      </c>
      <c r="J129" s="759">
        <f>'2. Results'!W141</f>
        <v>10598.710594315246</v>
      </c>
      <c r="K129" s="759">
        <f>'2. Results'!AB141</f>
        <v>9285.6589147286832</v>
      </c>
      <c r="L129" s="759">
        <f>'2. Results'!AC141</f>
        <v>-1313.0516795865633</v>
      </c>
      <c r="M129" s="765">
        <f>'2. Results'!AD141</f>
        <v>-0.18730052247952009</v>
      </c>
      <c r="O129" s="246" t="s">
        <v>138</v>
      </c>
      <c r="P129" s="246"/>
      <c r="Q129" s="246"/>
    </row>
    <row r="130" spans="2:17">
      <c r="B130" s="228" t="str">
        <f>'2. Results'!B142</f>
        <v>Mountain Home</v>
      </c>
      <c r="C130" s="405">
        <f>'2. Results'!C142</f>
        <v>3472</v>
      </c>
      <c r="D130" s="242">
        <f>'2. Results'!D142</f>
        <v>308906.73761520738</v>
      </c>
      <c r="E130" s="243">
        <f>'2. Results'!E142</f>
        <v>0.52148337595907923</v>
      </c>
      <c r="F130" s="753" t="str">
        <f>'2. Results'!G142</f>
        <v/>
      </c>
      <c r="G130" s="758">
        <f>'2. Results'!L142</f>
        <v>27477077</v>
      </c>
      <c r="H130" s="759">
        <f>'2. Results'!Q142</f>
        <v>28463269</v>
      </c>
      <c r="I130" s="760">
        <f>'2. Results'!R142</f>
        <v>986192</v>
      </c>
      <c r="J130" s="759">
        <f>'2. Results'!W142</f>
        <v>7913.9046658986172</v>
      </c>
      <c r="K130" s="759">
        <f>'2. Results'!AB142</f>
        <v>8197.9461405529946</v>
      </c>
      <c r="L130" s="759">
        <f>'2. Results'!AC142</f>
        <v>284.04147465437791</v>
      </c>
      <c r="M130" s="765">
        <f>'2. Results'!AD142</f>
        <v>5.165329328555688E-2</v>
      </c>
      <c r="O130" s="246" t="s">
        <v>157</v>
      </c>
      <c r="P130" s="246"/>
      <c r="Q130" s="246"/>
    </row>
    <row r="131" spans="2:17">
      <c r="B131" s="228" t="str">
        <f>'2. Results'!B143</f>
        <v>Preston Joint</v>
      </c>
      <c r="C131" s="405">
        <f>'2. Results'!C143</f>
        <v>2427</v>
      </c>
      <c r="D131" s="242">
        <f>'2. Results'!D143</f>
        <v>191855.02760609807</v>
      </c>
      <c r="E131" s="243">
        <f>'2. Results'!E143</f>
        <v>0.43193069306930693</v>
      </c>
      <c r="F131" s="753" t="str">
        <f>'2. Results'!G143</f>
        <v/>
      </c>
      <c r="G131" s="758">
        <f>'2. Results'!L143</f>
        <v>16471339</v>
      </c>
      <c r="H131" s="759">
        <f>'2. Results'!Q143</f>
        <v>17122016</v>
      </c>
      <c r="I131" s="760">
        <f>'2. Results'!R143</f>
        <v>650677</v>
      </c>
      <c r="J131" s="759">
        <f>'2. Results'!W143</f>
        <v>6786.7074577667909</v>
      </c>
      <c r="K131" s="759">
        <f>'2. Results'!AB143</f>
        <v>7054.8067573135568</v>
      </c>
      <c r="L131" s="759">
        <f>'2. Results'!AC143</f>
        <v>268.09929954676556</v>
      </c>
      <c r="M131" s="765">
        <f>'2. Results'!AD143</f>
        <v>4.9282492887035942E-2</v>
      </c>
      <c r="O131" s="246" t="s">
        <v>213</v>
      </c>
      <c r="P131" s="246"/>
      <c r="Q131" s="246"/>
    </row>
    <row r="132" spans="2:17">
      <c r="B132" s="228" t="str">
        <f>'2. Results'!B144</f>
        <v>West Side Joint</v>
      </c>
      <c r="C132" s="405">
        <f>'2. Results'!C144</f>
        <v>586</v>
      </c>
      <c r="D132" s="242">
        <f>'2. Results'!D144</f>
        <v>237204.09897610921</v>
      </c>
      <c r="E132" s="243">
        <f>'2. Results'!E144</f>
        <v>0.47807017543859648</v>
      </c>
      <c r="F132" s="753" t="str">
        <f>'2. Results'!G144</f>
        <v/>
      </c>
      <c r="G132" s="758">
        <f>'2. Results'!L144</f>
        <v>4713985</v>
      </c>
      <c r="H132" s="759">
        <f>'2. Results'!Q144</f>
        <v>4477702</v>
      </c>
      <c r="I132" s="760">
        <f>'2. Results'!R144</f>
        <v>-236283</v>
      </c>
      <c r="J132" s="759">
        <f>'2. Results'!W144</f>
        <v>8044.3430034129697</v>
      </c>
      <c r="K132" s="759">
        <f>'2. Results'!AB144</f>
        <v>7641.1296928327647</v>
      </c>
      <c r="L132" s="759">
        <f>'2. Results'!AC144</f>
        <v>-403.21331058020479</v>
      </c>
      <c r="M132" s="765">
        <f>'2. Results'!AD144</f>
        <v>-6.5254278011509667E-2</v>
      </c>
      <c r="O132" s="246" t="s">
        <v>249</v>
      </c>
      <c r="P132" s="246"/>
      <c r="Q132" s="246"/>
    </row>
    <row r="133" spans="2:17">
      <c r="B133" s="228" t="str">
        <f>'2. Results'!B145</f>
        <v>Fremont County Joint</v>
      </c>
      <c r="C133" s="405">
        <f>'2. Results'!C145</f>
        <v>1995</v>
      </c>
      <c r="D133" s="242">
        <f>'2. Results'!D145</f>
        <v>782524.30526315793</v>
      </c>
      <c r="E133" s="243">
        <f>'2. Results'!E145</f>
        <v>0.54722222222222228</v>
      </c>
      <c r="F133" s="753" t="str">
        <f>'2. Results'!G145</f>
        <v/>
      </c>
      <c r="G133" s="758">
        <f>'2. Results'!L145</f>
        <v>18172129</v>
      </c>
      <c r="H133" s="759">
        <f>'2. Results'!Q145</f>
        <v>17838059</v>
      </c>
      <c r="I133" s="760">
        <f>'2. Results'!R145</f>
        <v>-334070</v>
      </c>
      <c r="J133" s="759">
        <f>'2. Results'!W145</f>
        <v>9108.8365914786973</v>
      </c>
      <c r="K133" s="759">
        <f>'2. Results'!AB145</f>
        <v>8941.3829573934836</v>
      </c>
      <c r="L133" s="759">
        <f>'2. Results'!AC145</f>
        <v>-167.45363408521303</v>
      </c>
      <c r="M133" s="765">
        <f>'2. Results'!AD145</f>
        <v>-2.8349596425372766E-2</v>
      </c>
      <c r="O133" s="246" t="s">
        <v>182</v>
      </c>
      <c r="P133" s="246"/>
      <c r="Q133" s="246"/>
    </row>
    <row r="134" spans="2:17">
      <c r="B134" s="228" t="str">
        <f>'2. Results'!B146</f>
        <v>Emmett Independent</v>
      </c>
      <c r="C134" s="405">
        <f>'2. Results'!C146</f>
        <v>2310</v>
      </c>
      <c r="D134" s="242">
        <f>'2. Results'!D146</f>
        <v>361089.95714285714</v>
      </c>
      <c r="E134" s="243">
        <f>'2. Results'!E146</f>
        <v>0.57480946650621745</v>
      </c>
      <c r="F134" s="753" t="str">
        <f>'2. Results'!G146</f>
        <v/>
      </c>
      <c r="G134" s="758">
        <f>'2. Results'!L146</f>
        <v>21313556</v>
      </c>
      <c r="H134" s="759">
        <f>'2. Results'!Q146</f>
        <v>19721408</v>
      </c>
      <c r="I134" s="760">
        <f>'2. Results'!R146</f>
        <v>-1592148</v>
      </c>
      <c r="J134" s="759">
        <f>'2. Results'!W146</f>
        <v>9226.6476190476187</v>
      </c>
      <c r="K134" s="759">
        <f>'2. Results'!AB146</f>
        <v>8537.4060606060611</v>
      </c>
      <c r="L134" s="759">
        <f>'2. Results'!AC146</f>
        <v>-689.24155844155848</v>
      </c>
      <c r="M134" s="765">
        <f>'2. Results'!AD146</f>
        <v>-0.107442328166796</v>
      </c>
      <c r="O134" s="246" t="s">
        <v>197</v>
      </c>
      <c r="P134" s="246"/>
      <c r="Q134" s="246"/>
    </row>
    <row r="135" spans="2:17">
      <c r="B135" s="228" t="str">
        <f>'2. Results'!B147</f>
        <v>Gooding Joint</v>
      </c>
      <c r="C135" s="405">
        <f>'2. Results'!C147</f>
        <v>1172</v>
      </c>
      <c r="D135" s="242">
        <f>'2. Results'!D147</f>
        <v>353929.64761092153</v>
      </c>
      <c r="E135" s="243">
        <f>'2. Results'!E147</f>
        <v>0.67711598746081503</v>
      </c>
      <c r="F135" s="753" t="str">
        <f>'2. Results'!G147</f>
        <v/>
      </c>
      <c r="G135" s="758">
        <f>'2. Results'!L147</f>
        <v>10022899</v>
      </c>
      <c r="H135" s="759">
        <f>'2. Results'!Q147</f>
        <v>9614637</v>
      </c>
      <c r="I135" s="760">
        <f>'2. Results'!R147</f>
        <v>-408262</v>
      </c>
      <c r="J135" s="759">
        <f>'2. Results'!W147</f>
        <v>8551.9616040955625</v>
      </c>
      <c r="K135" s="759">
        <f>'2. Results'!AB147</f>
        <v>8203.6151877133088</v>
      </c>
      <c r="L135" s="759">
        <f>'2. Results'!AC147</f>
        <v>-348.34641638225258</v>
      </c>
      <c r="M135" s="765">
        <f>'2. Results'!AD147</f>
        <v>-5.7188122029491813E-2</v>
      </c>
      <c r="O135" s="246" t="s">
        <v>129</v>
      </c>
      <c r="P135" s="246"/>
      <c r="Q135" s="246"/>
    </row>
    <row r="136" spans="2:17">
      <c r="B136" s="228" t="str">
        <f>'2. Results'!B148</f>
        <v>Wendell</v>
      </c>
      <c r="C136" s="405">
        <f>'2. Results'!C148</f>
        <v>1041</v>
      </c>
      <c r="D136" s="242">
        <f>'2. Results'!D148</f>
        <v>259798.49471661865</v>
      </c>
      <c r="E136" s="243">
        <f>'2. Results'!E148</f>
        <v>0.77683854606931535</v>
      </c>
      <c r="F136" s="753" t="str">
        <f>'2. Results'!G148</f>
        <v/>
      </c>
      <c r="G136" s="758">
        <f>'2. Results'!L148</f>
        <v>8597816</v>
      </c>
      <c r="H136" s="759">
        <f>'2. Results'!Q148</f>
        <v>8397683</v>
      </c>
      <c r="I136" s="760">
        <f>'2. Results'!R148</f>
        <v>-200133</v>
      </c>
      <c r="J136" s="759">
        <f>'2. Results'!W148</f>
        <v>8259.1892411143126</v>
      </c>
      <c r="K136" s="759">
        <f>'2. Results'!AB148</f>
        <v>8066.9385206532179</v>
      </c>
      <c r="L136" s="759">
        <f>'2. Results'!AC148</f>
        <v>-192.25072046109511</v>
      </c>
      <c r="M136" s="765">
        <f>'2. Results'!AD148</f>
        <v>-3.2258017721092977E-2</v>
      </c>
      <c r="O136" s="246" t="s">
        <v>256</v>
      </c>
      <c r="P136" s="246"/>
      <c r="Q136" s="246"/>
    </row>
    <row r="137" spans="2:17">
      <c r="B137" s="228" t="str">
        <f>'2. Results'!B149</f>
        <v>Hagerman Joint</v>
      </c>
      <c r="C137" s="405">
        <f>'2. Results'!C149</f>
        <v>307</v>
      </c>
      <c r="D137" s="242">
        <f>'2. Results'!D149</f>
        <v>514798.55374592834</v>
      </c>
      <c r="E137" s="243">
        <f>'2. Results'!E149</f>
        <v>0.71084337349397586</v>
      </c>
      <c r="F137" s="753" t="str">
        <f>'2. Results'!G149</f>
        <v/>
      </c>
      <c r="G137" s="758">
        <f>'2. Results'!L149</f>
        <v>3310646</v>
      </c>
      <c r="H137" s="759">
        <f>'2. Results'!Q149</f>
        <v>2628834</v>
      </c>
      <c r="I137" s="760">
        <f>'2. Results'!R149</f>
        <v>-681812</v>
      </c>
      <c r="J137" s="759">
        <f>'2. Results'!W149</f>
        <v>10783.863192182409</v>
      </c>
      <c r="K137" s="759">
        <f>'2. Results'!AB149</f>
        <v>8562.9771986970682</v>
      </c>
      <c r="L137" s="759">
        <f>'2. Results'!AC149</f>
        <v>-2220.8859934853422</v>
      </c>
      <c r="M137" s="765">
        <f>'2. Results'!AD149</f>
        <v>-0.2754797072645282</v>
      </c>
      <c r="O137" s="246" t="s">
        <v>238</v>
      </c>
      <c r="P137" s="246"/>
      <c r="Q137" s="246"/>
    </row>
    <row r="138" spans="2:17">
      <c r="B138" s="228" t="str">
        <f>'2. Results'!B150</f>
        <v>Bliss Joint</v>
      </c>
      <c r="C138" s="405">
        <f>'2. Results'!C150</f>
        <v>115</v>
      </c>
      <c r="D138" s="242">
        <f>'2. Results'!D150</f>
        <v>688574.83478260867</v>
      </c>
      <c r="E138" s="243">
        <f>'2. Results'!E150</f>
        <v>0.81967213114754101</v>
      </c>
      <c r="F138" s="753" t="str">
        <f>'2. Results'!G150</f>
        <v>yes</v>
      </c>
      <c r="G138" s="758">
        <f>'2. Results'!L150</f>
        <v>1876869</v>
      </c>
      <c r="H138" s="759">
        <f>'2. Results'!Q150</f>
        <v>1032104</v>
      </c>
      <c r="I138" s="760">
        <f>'2. Results'!R150</f>
        <v>-844765</v>
      </c>
      <c r="J138" s="759">
        <f>'2. Results'!W150</f>
        <v>16320.599999999999</v>
      </c>
      <c r="K138" s="759">
        <f>'2. Results'!AB150</f>
        <v>8974.8173913043465</v>
      </c>
      <c r="L138" s="759">
        <f>'2. Results'!AC150</f>
        <v>-7345.782608695652</v>
      </c>
      <c r="M138" s="765">
        <f>'2. Results'!AD150</f>
        <v>-0.55716890013942988</v>
      </c>
      <c r="O138" s="246" t="s">
        <v>257</v>
      </c>
      <c r="P138" s="246"/>
      <c r="Q138" s="246"/>
    </row>
    <row r="139" spans="2:17">
      <c r="B139" s="228" t="str">
        <f>'2. Results'!B151</f>
        <v>Cottonwood Joint</v>
      </c>
      <c r="C139" s="405">
        <f>'2. Results'!C151</f>
        <v>377</v>
      </c>
      <c r="D139" s="242">
        <f>'2. Results'!D151</f>
        <v>404009.68169761274</v>
      </c>
      <c r="E139" s="243">
        <f>'2. Results'!E151</f>
        <v>0.38141809290953543</v>
      </c>
      <c r="F139" s="753" t="str">
        <f>'2. Results'!G151</f>
        <v/>
      </c>
      <c r="G139" s="758">
        <f>'2. Results'!L151</f>
        <v>5079041</v>
      </c>
      <c r="H139" s="759">
        <f>'2. Results'!Q151</f>
        <v>4127283</v>
      </c>
      <c r="I139" s="760">
        <f>'2. Results'!R151</f>
        <v>-951758</v>
      </c>
      <c r="J139" s="759">
        <f>'2. Results'!W151</f>
        <v>13472.257294429708</v>
      </c>
      <c r="K139" s="759">
        <f>'2. Results'!AB151</f>
        <v>10947.70026525199</v>
      </c>
      <c r="L139" s="759">
        <f>'2. Results'!AC151</f>
        <v>-2524.557029177719</v>
      </c>
      <c r="M139" s="765">
        <f>'2. Results'!AD151</f>
        <v>-0.3057931695681565</v>
      </c>
      <c r="O139" s="246" t="s">
        <v>122</v>
      </c>
      <c r="P139" s="246"/>
      <c r="Q139" s="246"/>
    </row>
    <row r="140" spans="2:17">
      <c r="B140" s="228" t="str">
        <f>'2. Results'!B152</f>
        <v>Salmon River</v>
      </c>
      <c r="C140" s="405">
        <f>'2. Results'!C152</f>
        <v>106</v>
      </c>
      <c r="D140" s="242">
        <f>'2. Results'!D152</f>
        <v>1234629.1603773586</v>
      </c>
      <c r="E140" s="243">
        <f>'2. Results'!E152</f>
        <v>0.60431654676258995</v>
      </c>
      <c r="F140" s="753" t="str">
        <f>'2. Results'!G152</f>
        <v>yes</v>
      </c>
      <c r="G140" s="758">
        <f>'2. Results'!L152</f>
        <v>2334724</v>
      </c>
      <c r="H140" s="759">
        <f>'2. Results'!Q152</f>
        <v>1614978</v>
      </c>
      <c r="I140" s="760">
        <f>'2. Results'!R152</f>
        <v>-719746</v>
      </c>
      <c r="J140" s="759">
        <f>'2. Results'!W152</f>
        <v>22025.698113207545</v>
      </c>
      <c r="K140" s="759">
        <f>'2. Results'!AB152</f>
        <v>15235.641509433963</v>
      </c>
      <c r="L140" s="759">
        <f>'2. Results'!AC152</f>
        <v>-6790.0566037735853</v>
      </c>
      <c r="M140" s="765">
        <f>'2. Results'!AD152</f>
        <v>-0.54326890054142263</v>
      </c>
      <c r="O140" s="246" t="s">
        <v>237</v>
      </c>
      <c r="P140" s="246"/>
      <c r="Q140" s="246"/>
    </row>
    <row r="141" spans="2:17">
      <c r="B141" s="228" t="str">
        <f>'2. Results'!B153</f>
        <v>Mountain View</v>
      </c>
      <c r="C141" s="405">
        <f>'2. Results'!C153</f>
        <v>1111</v>
      </c>
      <c r="D141" s="242">
        <f>'2. Results'!D153</f>
        <v>743623.04950495053</v>
      </c>
      <c r="E141" s="243">
        <f>'2. Results'!E153</f>
        <v>0.51584786053882725</v>
      </c>
      <c r="F141" s="753" t="str">
        <f>'2. Results'!G153</f>
        <v/>
      </c>
      <c r="G141" s="758">
        <f>'2. Results'!L153</f>
        <v>13376352</v>
      </c>
      <c r="H141" s="759">
        <f>'2. Results'!Q153</f>
        <v>12345318</v>
      </c>
      <c r="I141" s="760">
        <f>'2. Results'!R153</f>
        <v>-1031034</v>
      </c>
      <c r="J141" s="759">
        <f>'2. Results'!W153</f>
        <v>12039.920792079209</v>
      </c>
      <c r="K141" s="759">
        <f>'2. Results'!AB153</f>
        <v>11111.897389738973</v>
      </c>
      <c r="L141" s="759">
        <f>'2. Results'!AC153</f>
        <v>-928.02340234023404</v>
      </c>
      <c r="M141" s="765">
        <f>'2. Results'!AD153</f>
        <v>-0.13855760244928436</v>
      </c>
      <c r="O141" s="246" t="s">
        <v>223</v>
      </c>
      <c r="P141" s="246"/>
      <c r="Q141" s="246"/>
    </row>
    <row r="142" spans="2:17">
      <c r="B142" s="228" t="str">
        <f>'2. Results'!B154</f>
        <v>Jefferson County Joint</v>
      </c>
      <c r="C142" s="405">
        <f>'2. Results'!C154</f>
        <v>4936</v>
      </c>
      <c r="D142" s="242">
        <f>'2. Results'!D154</f>
        <v>185696.1193273906</v>
      </c>
      <c r="E142" s="243">
        <f>'2. Results'!E154</f>
        <v>0.4140067592940293</v>
      </c>
      <c r="F142" s="753" t="str">
        <f>'2. Results'!G154</f>
        <v/>
      </c>
      <c r="G142" s="758">
        <f>'2. Results'!L154</f>
        <v>35313254</v>
      </c>
      <c r="H142" s="759">
        <f>'2. Results'!Q154</f>
        <v>36931746</v>
      </c>
      <c r="I142" s="760">
        <f>'2. Results'!R154</f>
        <v>1618492</v>
      </c>
      <c r="J142" s="759">
        <f>'2. Results'!W154</f>
        <v>7154.2248784440844</v>
      </c>
      <c r="K142" s="759">
        <f>'2. Results'!AB154</f>
        <v>7482.1203403565642</v>
      </c>
      <c r="L142" s="759">
        <f>'2. Results'!AC154</f>
        <v>327.89546191247973</v>
      </c>
      <c r="M142" s="765">
        <f>'2. Results'!AD154</f>
        <v>6.0257152812559792E-2</v>
      </c>
      <c r="O142" s="246" t="s">
        <v>228</v>
      </c>
      <c r="P142" s="246"/>
      <c r="Q142" s="246"/>
    </row>
    <row r="143" spans="2:17">
      <c r="B143" s="228" t="str">
        <f>'2. Results'!B155</f>
        <v>Ririe Joint</v>
      </c>
      <c r="C143" s="405">
        <f>'2. Results'!C155</f>
        <v>675</v>
      </c>
      <c r="D143" s="242">
        <f>'2. Results'!D155</f>
        <v>198510.04148148149</v>
      </c>
      <c r="E143" s="243">
        <f>'2. Results'!E155</f>
        <v>0.47520661157024796</v>
      </c>
      <c r="F143" s="753" t="str">
        <f>'2. Results'!G155</f>
        <v/>
      </c>
      <c r="G143" s="758">
        <f>'2. Results'!L155</f>
        <v>6194765</v>
      </c>
      <c r="H143" s="759">
        <f>'2. Results'!Q155</f>
        <v>5546267</v>
      </c>
      <c r="I143" s="760">
        <f>'2. Results'!R155</f>
        <v>-648498</v>
      </c>
      <c r="J143" s="759">
        <f>'2. Results'!W155</f>
        <v>9177.4296296296288</v>
      </c>
      <c r="K143" s="759">
        <f>'2. Results'!AB155</f>
        <v>8216.6918518518523</v>
      </c>
      <c r="L143" s="759">
        <f>'2. Results'!AC155</f>
        <v>-960.73777777777775</v>
      </c>
      <c r="M143" s="765">
        <f>'2. Results'!AD155</f>
        <v>-0.14535627302228565</v>
      </c>
      <c r="O143" s="246" t="s">
        <v>236</v>
      </c>
      <c r="P143" s="246"/>
      <c r="Q143" s="246"/>
    </row>
    <row r="144" spans="2:17">
      <c r="B144" s="228" t="str">
        <f>'2. Results'!B156</f>
        <v>West Jefferson</v>
      </c>
      <c r="C144" s="405">
        <f>'2. Results'!C156</f>
        <v>587</v>
      </c>
      <c r="D144" s="242">
        <f>'2. Results'!D156</f>
        <v>291589.19761499146</v>
      </c>
      <c r="E144" s="243">
        <f>'2. Results'!E156</f>
        <v>0.5088282504012841</v>
      </c>
      <c r="F144" s="753" t="str">
        <f>'2. Results'!G156</f>
        <v/>
      </c>
      <c r="G144" s="758">
        <f>'2. Results'!L156</f>
        <v>5640810</v>
      </c>
      <c r="H144" s="759">
        <f>'2. Results'!Q156</f>
        <v>4918707</v>
      </c>
      <c r="I144" s="760">
        <f>'2. Results'!R156</f>
        <v>-722103</v>
      </c>
      <c r="J144" s="759">
        <f>'2. Results'!W156</f>
        <v>9609.5570698466781</v>
      </c>
      <c r="K144" s="759">
        <f>'2. Results'!AB156</f>
        <v>8379.3986371379906</v>
      </c>
      <c r="L144" s="759">
        <f>'2. Results'!AC156</f>
        <v>-1230.1584327086882</v>
      </c>
      <c r="M144" s="765">
        <f>'2. Results'!AD156</f>
        <v>-0.17762456359663525</v>
      </c>
      <c r="O144" s="246" t="s">
        <v>162</v>
      </c>
      <c r="P144" s="246"/>
      <c r="Q144" s="246"/>
    </row>
    <row r="145" spans="2:17">
      <c r="B145" s="228" t="str">
        <f>'2. Results'!B157</f>
        <v>Jerome Joint</v>
      </c>
      <c r="C145" s="405">
        <f>'2. Results'!C157</f>
        <v>3515</v>
      </c>
      <c r="D145" s="242">
        <f>'2. Results'!D157</f>
        <v>300590.86657183501</v>
      </c>
      <c r="E145" s="243">
        <f>'2. Results'!E157</f>
        <v>0.67589662447257381</v>
      </c>
      <c r="F145" s="753" t="str">
        <f>'2. Results'!G157</f>
        <v/>
      </c>
      <c r="G145" s="758">
        <f>'2. Results'!L157</f>
        <v>28299698</v>
      </c>
      <c r="H145" s="759">
        <f>'2. Results'!Q157</f>
        <v>28434778</v>
      </c>
      <c r="I145" s="760">
        <f>'2. Results'!R157</f>
        <v>135080</v>
      </c>
      <c r="J145" s="759">
        <f>'2. Results'!W157</f>
        <v>8051.123186344239</v>
      </c>
      <c r="K145" s="759">
        <f>'2. Results'!AB157</f>
        <v>8089.5527738264573</v>
      </c>
      <c r="L145" s="759">
        <f>'2. Results'!AC157</f>
        <v>38.429587482219063</v>
      </c>
      <c r="M145" s="765">
        <f>'2. Results'!AD157</f>
        <v>6.7218674569953256E-3</v>
      </c>
      <c r="O145" s="246" t="s">
        <v>165</v>
      </c>
      <c r="P145" s="246"/>
      <c r="Q145" s="246"/>
    </row>
    <row r="146" spans="2:17">
      <c r="B146" s="228" t="str">
        <f>'2. Results'!B158</f>
        <v>Valley</v>
      </c>
      <c r="C146" s="405">
        <f>'2. Results'!C158</f>
        <v>556</v>
      </c>
      <c r="D146" s="242">
        <f>'2. Results'!D158</f>
        <v>381797.85791366908</v>
      </c>
      <c r="E146" s="243">
        <f>'2. Results'!E158</f>
        <v>0.60273972602739723</v>
      </c>
      <c r="F146" s="753" t="str">
        <f>'2. Results'!G158</f>
        <v/>
      </c>
      <c r="G146" s="758">
        <f>'2. Results'!L158</f>
        <v>5031800</v>
      </c>
      <c r="H146" s="759">
        <f>'2. Results'!Q158</f>
        <v>4396850</v>
      </c>
      <c r="I146" s="760">
        <f>'2. Results'!R158</f>
        <v>-634950</v>
      </c>
      <c r="J146" s="759">
        <f>'2. Results'!W158</f>
        <v>9050</v>
      </c>
      <c r="K146" s="759">
        <f>'2. Results'!AB158</f>
        <v>7908.0035971223024</v>
      </c>
      <c r="L146" s="759">
        <f>'2. Results'!AC158</f>
        <v>-1141.9964028776978</v>
      </c>
      <c r="M146" s="765">
        <f>'2. Results'!AD158</f>
        <v>-0.16654863078375826</v>
      </c>
      <c r="O146" s="246" t="s">
        <v>181</v>
      </c>
      <c r="P146" s="246"/>
      <c r="Q146" s="246"/>
    </row>
    <row r="147" spans="2:17">
      <c r="B147" s="228" t="str">
        <f>'2. Results'!B159</f>
        <v>Coeur d' Alene</v>
      </c>
      <c r="C147" s="405">
        <f>'2. Results'!C159</f>
        <v>9849</v>
      </c>
      <c r="D147" s="242">
        <f>'2. Results'!D159</f>
        <v>759417.3177987613</v>
      </c>
      <c r="E147" s="243">
        <f>'2. Results'!E159</f>
        <v>0.41819390371284776</v>
      </c>
      <c r="F147" s="753" t="str">
        <f>'2. Results'!G159</f>
        <v/>
      </c>
      <c r="G147" s="758">
        <f>'2. Results'!L159</f>
        <v>81664833</v>
      </c>
      <c r="H147" s="759">
        <f>'2. Results'!Q159</f>
        <v>87694926</v>
      </c>
      <c r="I147" s="760">
        <f>'2. Results'!R159</f>
        <v>6030093</v>
      </c>
      <c r="J147" s="759">
        <f>'2. Results'!W159</f>
        <v>8291.6877855619859</v>
      </c>
      <c r="K147" s="759">
        <f>'2. Results'!AB159</f>
        <v>8903.9421261041734</v>
      </c>
      <c r="L147" s="759">
        <f>'2. Results'!AC159</f>
        <v>612.25434054218704</v>
      </c>
      <c r="M147" s="765">
        <f>'2. Results'!AD159</f>
        <v>0.11930777155276492</v>
      </c>
      <c r="O147" s="246" t="s">
        <v>204</v>
      </c>
      <c r="P147" s="246"/>
      <c r="Q147" s="246"/>
    </row>
    <row r="148" spans="2:17">
      <c r="B148" s="228" t="str">
        <f>'2. Results'!B160</f>
        <v>Lakeland</v>
      </c>
      <c r="C148" s="405">
        <f>'2. Results'!C160</f>
        <v>3921</v>
      </c>
      <c r="D148" s="242">
        <f>'2. Results'!D160</f>
        <v>576720.6526396327</v>
      </c>
      <c r="E148" s="243">
        <f>'2. Results'!E160</f>
        <v>0.44638583054092867</v>
      </c>
      <c r="F148" s="753" t="str">
        <f>'2. Results'!G160</f>
        <v/>
      </c>
      <c r="G148" s="758">
        <f>'2. Results'!L160</f>
        <v>32595355</v>
      </c>
      <c r="H148" s="759">
        <f>'2. Results'!Q160</f>
        <v>33601632</v>
      </c>
      <c r="I148" s="760">
        <f>'2. Results'!R160</f>
        <v>1006277</v>
      </c>
      <c r="J148" s="759">
        <f>'2. Results'!W160</f>
        <v>8313.0209130323892</v>
      </c>
      <c r="K148" s="759">
        <f>'2. Results'!AB160</f>
        <v>8569.6587605202749</v>
      </c>
      <c r="L148" s="759">
        <f>'2. Results'!AC160</f>
        <v>256.63784748788572</v>
      </c>
      <c r="M148" s="765">
        <f>'2. Results'!AD160</f>
        <v>4.7091613415768084E-2</v>
      </c>
      <c r="O148" s="246" t="s">
        <v>174</v>
      </c>
      <c r="P148" s="246"/>
      <c r="Q148" s="246"/>
    </row>
    <row r="149" spans="2:17">
      <c r="B149" s="228" t="str">
        <f>'2. Results'!B161</f>
        <v>Post Falls</v>
      </c>
      <c r="C149" s="405">
        <f>'2. Results'!C161</f>
        <v>5262</v>
      </c>
      <c r="D149" s="242">
        <f>'2. Results'!D161</f>
        <v>454962.16229570506</v>
      </c>
      <c r="E149" s="243">
        <f>'2. Results'!E161</f>
        <v>0.47652366046768552</v>
      </c>
      <c r="F149" s="753" t="str">
        <f>'2. Results'!G161</f>
        <v/>
      </c>
      <c r="G149" s="758">
        <f>'2. Results'!L161</f>
        <v>41030797</v>
      </c>
      <c r="H149" s="759">
        <f>'2. Results'!Q161</f>
        <v>42665726</v>
      </c>
      <c r="I149" s="760">
        <f>'2. Results'!R161</f>
        <v>1634929</v>
      </c>
      <c r="J149" s="759">
        <f>'2. Results'!W161</f>
        <v>7797.5668947168379</v>
      </c>
      <c r="K149" s="759">
        <f>'2. Results'!AB161</f>
        <v>8108.2717597871524</v>
      </c>
      <c r="L149" s="759">
        <f>'2. Results'!AC161</f>
        <v>310.70486507031546</v>
      </c>
      <c r="M149" s="765">
        <f>'2. Results'!AD161</f>
        <v>5.7285942568471235E-2</v>
      </c>
      <c r="O149" s="246" t="s">
        <v>212</v>
      </c>
      <c r="P149" s="246"/>
      <c r="Q149" s="246"/>
    </row>
    <row r="150" spans="2:17">
      <c r="B150" s="228" t="str">
        <f>'2. Results'!B162</f>
        <v>Kootenai Joint</v>
      </c>
      <c r="C150" s="405">
        <f>'2. Results'!C162</f>
        <v>143</v>
      </c>
      <c r="D150" s="242">
        <f>'2. Results'!D162</f>
        <v>3748133.7062937063</v>
      </c>
      <c r="E150" s="243">
        <f>'2. Results'!E162</f>
        <v>0.5</v>
      </c>
      <c r="F150" s="753" t="str">
        <f>'2. Results'!G162</f>
        <v>yes</v>
      </c>
      <c r="G150" s="758">
        <f>'2. Results'!L162</f>
        <v>3118079</v>
      </c>
      <c r="H150" s="759">
        <f>'2. Results'!Q162</f>
        <v>2426906</v>
      </c>
      <c r="I150" s="760">
        <f>'2. Results'!R162</f>
        <v>-691173</v>
      </c>
      <c r="J150" s="759">
        <f>'2. Results'!W162</f>
        <v>21804.748251748249</v>
      </c>
      <c r="K150" s="759">
        <f>'2. Results'!AB162</f>
        <v>16971.370629370627</v>
      </c>
      <c r="L150" s="759">
        <f>'2. Results'!AC162</f>
        <v>-4833.3776223776222</v>
      </c>
      <c r="M150" s="765">
        <f>'2. Results'!AD162</f>
        <v>-0.45886760435463247</v>
      </c>
      <c r="O150" s="246" t="s">
        <v>239</v>
      </c>
      <c r="P150" s="246"/>
      <c r="Q150" s="246"/>
    </row>
    <row r="151" spans="2:17">
      <c r="B151" s="228" t="str">
        <f>'2. Results'!B163</f>
        <v>Moscow</v>
      </c>
      <c r="C151" s="405">
        <f>'2. Results'!C163</f>
        <v>2262</v>
      </c>
      <c r="D151" s="242">
        <f>'2. Results'!D163</f>
        <v>599525.71485411143</v>
      </c>
      <c r="E151" s="243">
        <f>'2. Results'!E163</f>
        <v>0.3125</v>
      </c>
      <c r="F151" s="753" t="str">
        <f>'2. Results'!G163</f>
        <v/>
      </c>
      <c r="G151" s="758">
        <f>'2. Results'!L163</f>
        <v>26284399</v>
      </c>
      <c r="H151" s="759">
        <f>'2. Results'!Q163</f>
        <v>26943017</v>
      </c>
      <c r="I151" s="760">
        <f>'2. Results'!R163</f>
        <v>658618</v>
      </c>
      <c r="J151" s="759">
        <f>'2. Results'!W163</f>
        <v>11619.981874447392</v>
      </c>
      <c r="K151" s="759">
        <f>'2. Results'!AB163</f>
        <v>11911.14809902741</v>
      </c>
      <c r="L151" s="759">
        <f>'2. Results'!AC163</f>
        <v>291.16622458001768</v>
      </c>
      <c r="M151" s="765">
        <f>'2. Results'!AD163</f>
        <v>5.3426806869399608E-2</v>
      </c>
      <c r="O151" s="246" t="s">
        <v>170</v>
      </c>
      <c r="P151" s="246"/>
      <c r="Q151" s="246"/>
    </row>
    <row r="152" spans="2:17">
      <c r="B152" s="228" t="str">
        <f>'2. Results'!B164</f>
        <v>Genesee Joint</v>
      </c>
      <c r="C152" s="405">
        <f>'2. Results'!C164</f>
        <v>292</v>
      </c>
      <c r="D152" s="242">
        <f>'2. Results'!D164</f>
        <v>570504.29452054796</v>
      </c>
      <c r="E152" s="243">
        <f>'2. Results'!E164</f>
        <v>0.21069182389937108</v>
      </c>
      <c r="F152" s="753" t="str">
        <f>'2. Results'!G164</f>
        <v>yes</v>
      </c>
      <c r="G152" s="758">
        <f>'2. Results'!L164</f>
        <v>3889497</v>
      </c>
      <c r="H152" s="759">
        <f>'2. Results'!Q164</f>
        <v>3256475</v>
      </c>
      <c r="I152" s="760">
        <f>'2. Results'!R164</f>
        <v>-633022</v>
      </c>
      <c r="J152" s="759">
        <f>'2. Results'!W164</f>
        <v>13320.195205479453</v>
      </c>
      <c r="K152" s="759">
        <f>'2. Results'!AB164</f>
        <v>11152.311643835616</v>
      </c>
      <c r="L152" s="759">
        <f>'2. Results'!AC164</f>
        <v>-2167.8835616438355</v>
      </c>
      <c r="M152" s="765">
        <f>'2. Results'!AD164</f>
        <v>-0.2730364915900782</v>
      </c>
      <c r="O152" s="246" t="s">
        <v>121</v>
      </c>
      <c r="P152" s="246"/>
      <c r="Q152" s="246"/>
    </row>
    <row r="153" spans="2:17">
      <c r="B153" s="228" t="str">
        <f>'2. Results'!B165</f>
        <v>Kendrick Joint</v>
      </c>
      <c r="C153" s="405">
        <f>'2. Results'!C165</f>
        <v>228</v>
      </c>
      <c r="D153" s="242">
        <f>'2. Results'!D165</f>
        <v>549191.40350877191</v>
      </c>
      <c r="E153" s="243">
        <f>'2. Results'!E165</f>
        <v>0.42016806722689076</v>
      </c>
      <c r="F153" s="753" t="str">
        <f>'2. Results'!G165</f>
        <v>yes</v>
      </c>
      <c r="G153" s="758">
        <f>'2. Results'!L165</f>
        <v>3438535</v>
      </c>
      <c r="H153" s="759">
        <f>'2. Results'!Q165</f>
        <v>2795432</v>
      </c>
      <c r="I153" s="760">
        <f>'2. Results'!R165</f>
        <v>-643103</v>
      </c>
      <c r="J153" s="759">
        <f>'2. Results'!W165</f>
        <v>15081.293859649122</v>
      </c>
      <c r="K153" s="759">
        <f>'2. Results'!AB165</f>
        <v>12260.666666666668</v>
      </c>
      <c r="L153" s="759">
        <f>'2. Results'!AC165</f>
        <v>-2820.6271929824561</v>
      </c>
      <c r="M153" s="765">
        <f>'2. Results'!AD165</f>
        <v>-0.32609961127850123</v>
      </c>
      <c r="O153" s="246" t="s">
        <v>168</v>
      </c>
      <c r="P153" s="246"/>
      <c r="Q153" s="246"/>
    </row>
    <row r="154" spans="2:17">
      <c r="B154" s="228" t="str">
        <f>'2. Results'!B166</f>
        <v>Potlatch</v>
      </c>
      <c r="C154" s="405">
        <f>'2. Results'!C166</f>
        <v>416</v>
      </c>
      <c r="D154" s="242">
        <f>'2. Results'!D166</f>
        <v>555171.33894230775</v>
      </c>
      <c r="E154" s="243">
        <f>'2. Results'!E166</f>
        <v>0.43973214285714285</v>
      </c>
      <c r="F154" s="753" t="str">
        <f>'2. Results'!G166</f>
        <v/>
      </c>
      <c r="G154" s="758">
        <f>'2. Results'!L166</f>
        <v>4922962</v>
      </c>
      <c r="H154" s="759">
        <f>'2. Results'!Q166</f>
        <v>4261675</v>
      </c>
      <c r="I154" s="760">
        <f>'2. Results'!R166</f>
        <v>-661287</v>
      </c>
      <c r="J154" s="759">
        <f>'2. Results'!W166</f>
        <v>11834.043269230768</v>
      </c>
      <c r="K154" s="759">
        <f>'2. Results'!AB166</f>
        <v>10244.411057692309</v>
      </c>
      <c r="L154" s="759">
        <f>'2. Results'!AC166</f>
        <v>-1589.6322115384614</v>
      </c>
      <c r="M154" s="765">
        <f>'2. Results'!AD166</f>
        <v>-0.21535922840413818</v>
      </c>
      <c r="O154" s="246" t="s">
        <v>191</v>
      </c>
      <c r="P154" s="246"/>
      <c r="Q154" s="246"/>
    </row>
    <row r="155" spans="2:17">
      <c r="B155" s="228" t="str">
        <f>'2. Results'!B167</f>
        <v>Troy</v>
      </c>
      <c r="C155" s="405">
        <f>'2. Results'!C167</f>
        <v>240</v>
      </c>
      <c r="D155" s="242">
        <f>'2. Results'!D167</f>
        <v>559516.90416666667</v>
      </c>
      <c r="E155" s="243">
        <f>'2. Results'!E167</f>
        <v>0.35546875</v>
      </c>
      <c r="F155" s="753" t="str">
        <f>'2. Results'!G167</f>
        <v>yes</v>
      </c>
      <c r="G155" s="758">
        <f>'2. Results'!L167</f>
        <v>3585508</v>
      </c>
      <c r="H155" s="759">
        <f>'2. Results'!Q167</f>
        <v>2879765</v>
      </c>
      <c r="I155" s="760">
        <f>'2. Results'!R167</f>
        <v>-705743</v>
      </c>
      <c r="J155" s="759">
        <f>'2. Results'!W167</f>
        <v>14939.616666666665</v>
      </c>
      <c r="K155" s="759">
        <f>'2. Results'!AB167</f>
        <v>11999.020833333332</v>
      </c>
      <c r="L155" s="759">
        <f>'2. Results'!AC167</f>
        <v>-2940.5958333333333</v>
      </c>
      <c r="M155" s="765">
        <f>'2. Results'!AD167</f>
        <v>-0.33947023358862199</v>
      </c>
      <c r="O155" s="246" t="s">
        <v>246</v>
      </c>
      <c r="P155" s="246"/>
      <c r="Q155" s="246"/>
    </row>
    <row r="156" spans="2:17">
      <c r="B156" s="228" t="str">
        <f>'2. Results'!B168</f>
        <v>Whitepine Joint</v>
      </c>
      <c r="C156" s="405">
        <f>'2. Results'!C168</f>
        <v>211</v>
      </c>
      <c r="D156" s="242">
        <f>'2. Results'!D168</f>
        <v>818991.69668246445</v>
      </c>
      <c r="E156" s="243">
        <f>'2. Results'!E168</f>
        <v>0.44019138755980863</v>
      </c>
      <c r="F156" s="753" t="str">
        <f>'2. Results'!G168</f>
        <v>yes</v>
      </c>
      <c r="G156" s="758">
        <f>'2. Results'!L168</f>
        <v>3322296</v>
      </c>
      <c r="H156" s="759">
        <f>'2. Results'!Q168</f>
        <v>2565330</v>
      </c>
      <c r="I156" s="760">
        <f>'2. Results'!R168</f>
        <v>-756966</v>
      </c>
      <c r="J156" s="759">
        <f>'2. Results'!W168</f>
        <v>15745.478672985782</v>
      </c>
      <c r="K156" s="759">
        <f>'2. Results'!AB168</f>
        <v>12157.962085308056</v>
      </c>
      <c r="L156" s="759">
        <f>'2. Results'!AC168</f>
        <v>-3587.5165876777251</v>
      </c>
      <c r="M156" s="765">
        <f>'2. Results'!AD168</f>
        <v>-0.38588544040325568</v>
      </c>
      <c r="O156" s="246" t="s">
        <v>190</v>
      </c>
      <c r="P156" s="246"/>
      <c r="Q156" s="246"/>
    </row>
    <row r="157" spans="2:17">
      <c r="B157" s="228" t="str">
        <f>'2. Results'!B169</f>
        <v>Salmon</v>
      </c>
      <c r="C157" s="405">
        <f>'2. Results'!C169</f>
        <v>683</v>
      </c>
      <c r="D157" s="242">
        <f>'2. Results'!D169</f>
        <v>777098.77159590041</v>
      </c>
      <c r="E157" s="243">
        <f>'2. Results'!E169</f>
        <v>0.62875816993464051</v>
      </c>
      <c r="F157" s="753" t="str">
        <f>'2. Results'!G169</f>
        <v/>
      </c>
      <c r="G157" s="758">
        <f>'2. Results'!L169</f>
        <v>6739902</v>
      </c>
      <c r="H157" s="759">
        <f>'2. Results'!Q169</f>
        <v>6033011</v>
      </c>
      <c r="I157" s="760">
        <f>'2. Results'!R169</f>
        <v>-706891</v>
      </c>
      <c r="J157" s="759">
        <f>'2. Results'!W169</f>
        <v>9868.0849194729126</v>
      </c>
      <c r="K157" s="759">
        <f>'2. Results'!AB169</f>
        <v>8833.1054172767199</v>
      </c>
      <c r="L157" s="759">
        <f>'2. Results'!AC169</f>
        <v>-1034.9795021961932</v>
      </c>
      <c r="M157" s="765">
        <f>'2. Results'!AD169</f>
        <v>-0.15193935244940573</v>
      </c>
      <c r="O157" s="246" t="s">
        <v>229</v>
      </c>
      <c r="P157" s="246"/>
      <c r="Q157" s="246"/>
    </row>
    <row r="158" spans="2:17">
      <c r="B158" s="228" t="str">
        <f>'2. Results'!B170</f>
        <v>South Lemhi</v>
      </c>
      <c r="C158" s="405">
        <f>'2. Results'!C170</f>
        <v>72</v>
      </c>
      <c r="D158" s="242">
        <f>'2. Results'!D170</f>
        <v>1142739.1527777778</v>
      </c>
      <c r="E158" s="243">
        <f>'2. Results'!E170</f>
        <v>0.64</v>
      </c>
      <c r="F158" s="753" t="str">
        <f>'2. Results'!G170</f>
        <v>yes</v>
      </c>
      <c r="G158" s="758">
        <f>'2. Results'!L170</f>
        <v>1643118</v>
      </c>
      <c r="H158" s="759">
        <f>'2. Results'!Q170</f>
        <v>703686</v>
      </c>
      <c r="I158" s="760">
        <f>'2. Results'!R170</f>
        <v>-939432</v>
      </c>
      <c r="J158" s="759">
        <f>'2. Results'!W170</f>
        <v>22821.083333333336</v>
      </c>
      <c r="K158" s="759">
        <f>'2. Results'!AB170</f>
        <v>9773.4166666666679</v>
      </c>
      <c r="L158" s="759">
        <f>'2. Results'!AC170</f>
        <v>-13047.666666666666</v>
      </c>
      <c r="M158" s="765">
        <f>'2. Results'!AD170</f>
        <v>-0.69388026430663829</v>
      </c>
      <c r="O158" s="246" t="s">
        <v>145</v>
      </c>
      <c r="P158" s="246"/>
      <c r="Q158" s="246"/>
    </row>
    <row r="159" spans="2:17">
      <c r="B159" s="228" t="str">
        <f>'2. Results'!B171</f>
        <v>Nezperce Joint</v>
      </c>
      <c r="C159" s="405">
        <f>'2. Results'!C171</f>
        <v>132</v>
      </c>
      <c r="D159" s="242">
        <f>'2. Results'!D171</f>
        <v>861358.31818181823</v>
      </c>
      <c r="E159" s="243">
        <f>'2. Results'!E171</f>
        <v>0.47651006711409394</v>
      </c>
      <c r="F159" s="753" t="str">
        <f>'2. Results'!G171</f>
        <v>yes</v>
      </c>
      <c r="G159" s="758">
        <f>'2. Results'!L171</f>
        <v>2431065</v>
      </c>
      <c r="H159" s="759">
        <f>'2. Results'!Q171</f>
        <v>1598051</v>
      </c>
      <c r="I159" s="760">
        <f>'2. Results'!R171</f>
        <v>-833014</v>
      </c>
      <c r="J159" s="759">
        <f>'2. Results'!W171</f>
        <v>18417.159090909092</v>
      </c>
      <c r="K159" s="759">
        <f>'2. Results'!AB171</f>
        <v>12106.44696969697</v>
      </c>
      <c r="L159" s="759">
        <f>'2. Results'!AC171</f>
        <v>-6310.712121212121</v>
      </c>
      <c r="M159" s="765">
        <f>'2. Results'!AD171</f>
        <v>-0.52026696179193666</v>
      </c>
      <c r="O159" s="246" t="s">
        <v>186</v>
      </c>
      <c r="P159" s="246"/>
      <c r="Q159" s="246"/>
    </row>
    <row r="160" spans="2:17">
      <c r="B160" s="228" t="str">
        <f>'2. Results'!B172</f>
        <v>Kamiah Joint</v>
      </c>
      <c r="C160" s="405">
        <f>'2. Results'!C172</f>
        <v>397</v>
      </c>
      <c r="D160" s="242">
        <f>'2. Results'!D172</f>
        <v>504261.69269521412</v>
      </c>
      <c r="E160" s="243">
        <f>'2. Results'!E172</f>
        <v>0.93548387096774188</v>
      </c>
      <c r="F160" s="753" t="str">
        <f>'2. Results'!G172</f>
        <v/>
      </c>
      <c r="G160" s="758">
        <f>'2. Results'!L172</f>
        <v>4173495</v>
      </c>
      <c r="H160" s="759">
        <f>'2. Results'!Q172</f>
        <v>3711270</v>
      </c>
      <c r="I160" s="760">
        <f>'2. Results'!R172</f>
        <v>-462225</v>
      </c>
      <c r="J160" s="759">
        <f>'2. Results'!W172</f>
        <v>10512.581863979849</v>
      </c>
      <c r="K160" s="759">
        <f>'2. Results'!AB172</f>
        <v>9348.2871536523926</v>
      </c>
      <c r="L160" s="759">
        <f>'2. Results'!AC172</f>
        <v>-1164.294710327456</v>
      </c>
      <c r="M160" s="765">
        <f>'2. Results'!AD172</f>
        <v>-0.16842092606094525</v>
      </c>
      <c r="O160" s="246" t="s">
        <v>105</v>
      </c>
      <c r="P160" s="246"/>
      <c r="Q160" s="246"/>
    </row>
    <row r="161" spans="2:17">
      <c r="B161" s="228" t="str">
        <f>'2. Results'!B173</f>
        <v>Highland Joint</v>
      </c>
      <c r="C161" s="405">
        <f>'2. Results'!C173</f>
        <v>148</v>
      </c>
      <c r="D161" s="242">
        <f>'2. Results'!D173</f>
        <v>966066.7297297297</v>
      </c>
      <c r="E161" s="243">
        <f>'2. Results'!E173</f>
        <v>0.52439024390243905</v>
      </c>
      <c r="F161" s="753" t="str">
        <f>'2. Results'!G173</f>
        <v>yes</v>
      </c>
      <c r="G161" s="758">
        <f>'2. Results'!L173</f>
        <v>2546291</v>
      </c>
      <c r="H161" s="759">
        <f>'2. Results'!Q173</f>
        <v>1694309</v>
      </c>
      <c r="I161" s="760">
        <f>'2. Results'!R173</f>
        <v>-851982</v>
      </c>
      <c r="J161" s="759">
        <f>'2. Results'!W173</f>
        <v>17204.66891891892</v>
      </c>
      <c r="K161" s="759">
        <f>'2. Results'!AB173</f>
        <v>11448.033783783783</v>
      </c>
      <c r="L161" s="759">
        <f>'2. Results'!AC173</f>
        <v>-5756.635135135135</v>
      </c>
      <c r="M161" s="765">
        <f>'2. Results'!AD173</f>
        <v>-0.49947676944263197</v>
      </c>
      <c r="O161" s="246" t="s">
        <v>194</v>
      </c>
      <c r="P161" s="246"/>
      <c r="Q161" s="246"/>
    </row>
    <row r="162" spans="2:17">
      <c r="B162" s="228" t="str">
        <f>'2. Results'!B174</f>
        <v>Shoshone Joint</v>
      </c>
      <c r="C162" s="405">
        <f>'2. Results'!C174</f>
        <v>472</v>
      </c>
      <c r="D162" s="242">
        <f>'2. Results'!D174</f>
        <v>364583.89406779659</v>
      </c>
      <c r="E162" s="243">
        <f>'2. Results'!E174</f>
        <v>0.6987951807228916</v>
      </c>
      <c r="F162" s="753" t="str">
        <f>'2. Results'!G174</f>
        <v/>
      </c>
      <c r="G162" s="758">
        <f>'2. Results'!L174</f>
        <v>4815646</v>
      </c>
      <c r="H162" s="759">
        <f>'2. Results'!Q174</f>
        <v>4161396</v>
      </c>
      <c r="I162" s="760">
        <f>'2. Results'!R174</f>
        <v>-654250</v>
      </c>
      <c r="J162" s="759">
        <f>'2. Results'!W174</f>
        <v>10202.639830508473</v>
      </c>
      <c r="K162" s="759">
        <f>'2. Results'!AB174</f>
        <v>8816.516949152543</v>
      </c>
      <c r="L162" s="759">
        <f>'2. Results'!AC174</f>
        <v>-1386.1228813559321</v>
      </c>
      <c r="M162" s="765">
        <f>'2. Results'!AD174</f>
        <v>-0.19333091811279474</v>
      </c>
      <c r="O162" s="246" t="s">
        <v>217</v>
      </c>
      <c r="P162" s="246"/>
      <c r="Q162" s="246"/>
    </row>
    <row r="163" spans="2:17">
      <c r="B163" s="228" t="str">
        <f>'2. Results'!B175</f>
        <v>Dietrich</v>
      </c>
      <c r="C163" s="405">
        <f>'2. Results'!C175</f>
        <v>215</v>
      </c>
      <c r="D163" s="242">
        <f>'2. Results'!D175</f>
        <v>211514.45581395348</v>
      </c>
      <c r="E163" s="243">
        <f>'2. Results'!E175</f>
        <v>0.70940170940170943</v>
      </c>
      <c r="F163" s="753" t="str">
        <f>'2. Results'!G175</f>
        <v>yes</v>
      </c>
      <c r="G163" s="758">
        <f>'2. Results'!L175</f>
        <v>2463545</v>
      </c>
      <c r="H163" s="759">
        <f>'2. Results'!Q175</f>
        <v>1775311</v>
      </c>
      <c r="I163" s="760">
        <f>'2. Results'!R175</f>
        <v>-688234</v>
      </c>
      <c r="J163" s="759">
        <f>'2. Results'!W175</f>
        <v>11458.348837209302</v>
      </c>
      <c r="K163" s="759">
        <f>'2. Results'!AB175</f>
        <v>8257.2604651162783</v>
      </c>
      <c r="L163" s="759">
        <f>'2. Results'!AC175</f>
        <v>-3201.0883720930233</v>
      </c>
      <c r="M163" s="765">
        <f>'2. Results'!AD175</f>
        <v>-0.35887221036527339</v>
      </c>
      <c r="O163" s="246" t="s">
        <v>103</v>
      </c>
      <c r="P163" s="246"/>
      <c r="Q163" s="246"/>
    </row>
    <row r="164" spans="2:17">
      <c r="B164" s="228" t="str">
        <f>'2. Results'!B176</f>
        <v>Richfield</v>
      </c>
      <c r="C164" s="405">
        <f>'2. Results'!C176</f>
        <v>193</v>
      </c>
      <c r="D164" s="242">
        <f>'2. Results'!D176</f>
        <v>347524.94818652852</v>
      </c>
      <c r="E164" s="243">
        <f>'2. Results'!E176</f>
        <v>0.49624060150375937</v>
      </c>
      <c r="F164" s="753" t="str">
        <f>'2. Results'!G176</f>
        <v>yes</v>
      </c>
      <c r="G164" s="758">
        <f>'2. Results'!L176</f>
        <v>2195761</v>
      </c>
      <c r="H164" s="759">
        <f>'2. Results'!Q176</f>
        <v>1692170</v>
      </c>
      <c r="I164" s="760">
        <f>'2. Results'!R176</f>
        <v>-503591</v>
      </c>
      <c r="J164" s="759">
        <f>'2. Results'!W176</f>
        <v>11376.999999999998</v>
      </c>
      <c r="K164" s="759">
        <f>'2. Results'!AB176</f>
        <v>8767.7202072538857</v>
      </c>
      <c r="L164" s="759">
        <f>'2. Results'!AC176</f>
        <v>-2609.2797927461138</v>
      </c>
      <c r="M164" s="765">
        <f>'2. Results'!AD176</f>
        <v>-0.31302450100727813</v>
      </c>
      <c r="O164" s="246" t="s">
        <v>134</v>
      </c>
      <c r="P164" s="246"/>
      <c r="Q164" s="246"/>
    </row>
    <row r="165" spans="2:17">
      <c r="B165" s="228" t="str">
        <f>'2. Results'!B177</f>
        <v>Madison</v>
      </c>
      <c r="C165" s="405">
        <f>'2. Results'!C177</f>
        <v>4831</v>
      </c>
      <c r="D165" s="242">
        <f>'2. Results'!D177</f>
        <v>281010.55599254812</v>
      </c>
      <c r="E165" s="243">
        <f>'2. Results'!E177</f>
        <v>0.3919336163643381</v>
      </c>
      <c r="F165" s="753" t="str">
        <f>'2. Results'!G177</f>
        <v/>
      </c>
      <c r="G165" s="758">
        <f>'2. Results'!L177</f>
        <v>40809095</v>
      </c>
      <c r="H165" s="759">
        <f>'2. Results'!Q177</f>
        <v>43031634</v>
      </c>
      <c r="I165" s="760">
        <f>'2. Results'!R177</f>
        <v>2222539</v>
      </c>
      <c r="J165" s="759">
        <f>'2. Results'!W177</f>
        <v>8447.3390602359759</v>
      </c>
      <c r="K165" s="759">
        <f>'2. Results'!AB177</f>
        <v>8907.3968122541919</v>
      </c>
      <c r="L165" s="759">
        <f>'2. Results'!AC177</f>
        <v>460.05775201821569</v>
      </c>
      <c r="M165" s="765">
        <f>'2. Results'!AD177</f>
        <v>8.6721381012490745E-2</v>
      </c>
      <c r="O165" s="246" t="s">
        <v>100</v>
      </c>
      <c r="P165" s="246"/>
      <c r="Q165" s="246"/>
    </row>
    <row r="166" spans="2:17">
      <c r="B166" s="228" t="str">
        <f>'2. Results'!B178</f>
        <v>Sugar-Salem Joint</v>
      </c>
      <c r="C166" s="405">
        <f>'2. Results'!C178</f>
        <v>1459</v>
      </c>
      <c r="D166" s="242">
        <f>'2. Results'!D178</f>
        <v>176449.59081562713</v>
      </c>
      <c r="E166" s="243">
        <f>'2. Results'!E178</f>
        <v>0.46358454718176062</v>
      </c>
      <c r="F166" s="753" t="str">
        <f>'2. Results'!G178</f>
        <v/>
      </c>
      <c r="G166" s="758">
        <f>'2. Results'!L178</f>
        <v>11805659</v>
      </c>
      <c r="H166" s="759">
        <f>'2. Results'!Q178</f>
        <v>11572325</v>
      </c>
      <c r="I166" s="760">
        <f>'2. Results'!R178</f>
        <v>-233334</v>
      </c>
      <c r="J166" s="759">
        <f>'2. Results'!W178</f>
        <v>8091.61000685401</v>
      </c>
      <c r="K166" s="759">
        <f>'2. Results'!AB178</f>
        <v>7931.6826593557234</v>
      </c>
      <c r="L166" s="759">
        <f>'2. Results'!AC178</f>
        <v>-159.92734749828651</v>
      </c>
      <c r="M166" s="765">
        <f>'2. Results'!AD178</f>
        <v>-2.733480870589302E-2</v>
      </c>
      <c r="O166" s="246" t="s">
        <v>99</v>
      </c>
      <c r="P166" s="246"/>
      <c r="Q166" s="246"/>
    </row>
    <row r="167" spans="2:17">
      <c r="B167" s="228" t="str">
        <f>'2. Results'!B179</f>
        <v>Minidoka County Joint</v>
      </c>
      <c r="C167" s="405">
        <f>'2. Results'!C179</f>
        <v>3962</v>
      </c>
      <c r="D167" s="242">
        <f>'2. Results'!D179</f>
        <v>318176.68298838969</v>
      </c>
      <c r="E167" s="243">
        <f>'2. Results'!E179</f>
        <v>0.63497081712062253</v>
      </c>
      <c r="F167" s="753" t="str">
        <f>'2. Results'!G179</f>
        <v/>
      </c>
      <c r="G167" s="758">
        <f>'2. Results'!L179</f>
        <v>32949664</v>
      </c>
      <c r="H167" s="759">
        <f>'2. Results'!Q179</f>
        <v>32042164</v>
      </c>
      <c r="I167" s="760">
        <f>'2. Results'!R179</f>
        <v>-907500</v>
      </c>
      <c r="J167" s="759">
        <f>'2. Results'!W179</f>
        <v>8316.42200908632</v>
      </c>
      <c r="K167" s="759">
        <f>'2. Results'!AB179</f>
        <v>8087.3710247349818</v>
      </c>
      <c r="L167" s="759">
        <f>'2. Results'!AC179</f>
        <v>-229.05098435133772</v>
      </c>
      <c r="M167" s="765">
        <f>'2. Results'!AD179</f>
        <v>-3.8234020517702541E-2</v>
      </c>
      <c r="O167" s="246" t="s">
        <v>101</v>
      </c>
      <c r="P167" s="246"/>
      <c r="Q167" s="246"/>
    </row>
    <row r="168" spans="2:17">
      <c r="B168" s="228" t="str">
        <f>'2. Results'!B180</f>
        <v>Lewiston Independent</v>
      </c>
      <c r="C168" s="405">
        <f>'2. Results'!C180</f>
        <v>4363</v>
      </c>
      <c r="D168" s="242">
        <f>'2. Results'!D180</f>
        <v>573209.76667430671</v>
      </c>
      <c r="E168" s="243">
        <f>'2. Results'!E180</f>
        <v>0.39093242087254065</v>
      </c>
      <c r="F168" s="753" t="str">
        <f>'2. Results'!G180</f>
        <v/>
      </c>
      <c r="G168" s="758">
        <f>'2. Results'!L180</f>
        <v>42538089</v>
      </c>
      <c r="H168" s="759">
        <f>'2. Results'!Q180</f>
        <v>43828986</v>
      </c>
      <c r="I168" s="760">
        <f>'2. Results'!R180</f>
        <v>1290897</v>
      </c>
      <c r="J168" s="759">
        <f>'2. Results'!W180</f>
        <v>9749.7338986935592</v>
      </c>
      <c r="K168" s="759">
        <f>'2. Results'!AB180</f>
        <v>10045.607609443043</v>
      </c>
      <c r="L168" s="759">
        <f>'2. Results'!AC180</f>
        <v>295.8737107494843</v>
      </c>
      <c r="M168" s="765">
        <f>'2. Results'!AD180</f>
        <v>5.4441833895718911E-2</v>
      </c>
      <c r="O168" s="246" t="s">
        <v>221</v>
      </c>
      <c r="P168" s="246"/>
      <c r="Q168" s="246"/>
    </row>
    <row r="169" spans="2:17">
      <c r="B169" s="228" t="str">
        <f>'2. Results'!B181</f>
        <v>Lapwai</v>
      </c>
      <c r="C169" s="405">
        <f>'2. Results'!C181</f>
        <v>449</v>
      </c>
      <c r="D169" s="242">
        <f>'2. Results'!D181</f>
        <v>319092.28953229397</v>
      </c>
      <c r="E169" s="243">
        <f>'2. Results'!E181</f>
        <v>0.8899253731343284</v>
      </c>
      <c r="F169" s="753" t="str">
        <f>'2. Results'!G181</f>
        <v/>
      </c>
      <c r="G169" s="758">
        <f>'2. Results'!L181</f>
        <v>7737878</v>
      </c>
      <c r="H169" s="759">
        <f>'2. Results'!Q181</f>
        <v>7079291</v>
      </c>
      <c r="I169" s="760">
        <f>'2. Results'!R181</f>
        <v>-658587</v>
      </c>
      <c r="J169" s="759">
        <f>'2. Results'!W181</f>
        <v>17233.581291759467</v>
      </c>
      <c r="K169" s="759">
        <f>'2. Results'!AB181</f>
        <v>15766.795100222715</v>
      </c>
      <c r="L169" s="759">
        <f>'2. Results'!AC181</f>
        <v>-1466.7861915367482</v>
      </c>
      <c r="M169" s="765">
        <f>'2. Results'!AD181</f>
        <v>-0.20296971574125011</v>
      </c>
      <c r="O169" s="246" t="s">
        <v>188</v>
      </c>
      <c r="P169" s="246"/>
      <c r="Q169" s="246"/>
    </row>
    <row r="170" spans="2:17">
      <c r="B170" s="228" t="str">
        <f>'2. Results'!B182</f>
        <v>Culdesac Joint</v>
      </c>
      <c r="C170" s="405">
        <f>'2. Results'!C182</f>
        <v>71</v>
      </c>
      <c r="D170" s="242">
        <f>'2. Results'!D182</f>
        <v>761185.14084507048</v>
      </c>
      <c r="E170" s="243">
        <f>'2. Results'!E182</f>
        <v>0.59340659340659341</v>
      </c>
      <c r="F170" s="753" t="str">
        <f>'2. Results'!G182</f>
        <v>yes</v>
      </c>
      <c r="G170" s="758">
        <f>'2. Results'!L182</f>
        <v>1749810</v>
      </c>
      <c r="H170" s="759">
        <f>'2. Results'!Q182</f>
        <v>891592</v>
      </c>
      <c r="I170" s="760">
        <f>'2. Results'!R182</f>
        <v>-858218</v>
      </c>
      <c r="J170" s="759">
        <f>'2. Results'!W182</f>
        <v>24645.211267605635</v>
      </c>
      <c r="K170" s="759">
        <f>'2. Results'!AB182</f>
        <v>12557.633802816901</v>
      </c>
      <c r="L170" s="759">
        <f>'2. Results'!AC182</f>
        <v>-12087.577464788732</v>
      </c>
      <c r="M170" s="765">
        <f>'2. Results'!AD182</f>
        <v>-0.68174600211462344</v>
      </c>
      <c r="O170" s="246" t="s">
        <v>242</v>
      </c>
      <c r="P170" s="246"/>
      <c r="Q170" s="246"/>
    </row>
    <row r="171" spans="2:17">
      <c r="B171" s="228" t="str">
        <f>'2. Results'!B183</f>
        <v>Oneida County</v>
      </c>
      <c r="C171" s="405">
        <f>'2. Results'!C183</f>
        <v>800</v>
      </c>
      <c r="D171" s="242">
        <f>'2. Results'!D183</f>
        <v>376037.255</v>
      </c>
      <c r="E171" s="243">
        <f>'2. Results'!E183</f>
        <v>0.46754675467546752</v>
      </c>
      <c r="F171" s="753" t="str">
        <f>'2. Results'!G183</f>
        <v/>
      </c>
      <c r="G171" s="758">
        <f>'2. Results'!L183</f>
        <v>6422009</v>
      </c>
      <c r="H171" s="759">
        <f>'2. Results'!Q183</f>
        <v>6305574</v>
      </c>
      <c r="I171" s="760">
        <f>'2. Results'!R183</f>
        <v>-116435</v>
      </c>
      <c r="J171" s="759">
        <f>'2. Results'!W183</f>
        <v>8027.5112499999996</v>
      </c>
      <c r="K171" s="759">
        <f>'2. Results'!AB183</f>
        <v>7881.9675000000007</v>
      </c>
      <c r="L171" s="759">
        <f>'2. Results'!AC183</f>
        <v>-145.54374999999999</v>
      </c>
      <c r="M171" s="765">
        <f>'2. Results'!AD183</f>
        <v>-2.4555554688542942E-2</v>
      </c>
      <c r="O171" s="246" t="s">
        <v>171</v>
      </c>
      <c r="P171" s="246"/>
      <c r="Q171" s="246"/>
    </row>
    <row r="172" spans="2:17">
      <c r="B172" s="228" t="str">
        <f>'2. Results'!B184</f>
        <v>Marsing Joint</v>
      </c>
      <c r="C172" s="405">
        <f>'2. Results'!C184</f>
        <v>774</v>
      </c>
      <c r="D172" s="242">
        <f>'2. Results'!D184</f>
        <v>294019.7002583979</v>
      </c>
      <c r="E172" s="243">
        <f>'2. Results'!E184</f>
        <v>0.66383495145631066</v>
      </c>
      <c r="F172" s="753" t="str">
        <f>'2. Results'!G184</f>
        <v/>
      </c>
      <c r="G172" s="758">
        <f>'2. Results'!L184</f>
        <v>6989280</v>
      </c>
      <c r="H172" s="759">
        <f>'2. Results'!Q184</f>
        <v>6783490</v>
      </c>
      <c r="I172" s="760">
        <f>'2. Results'!R184</f>
        <v>-205790</v>
      </c>
      <c r="J172" s="759">
        <f>'2. Results'!W184</f>
        <v>9030.0775193798436</v>
      </c>
      <c r="K172" s="759">
        <f>'2. Results'!AB184</f>
        <v>8764.1989664082685</v>
      </c>
      <c r="L172" s="759">
        <f>'2. Results'!AC184</f>
        <v>-265.87855297157626</v>
      </c>
      <c r="M172" s="765">
        <f>'2. Results'!AD184</f>
        <v>-4.4400296102659852E-2</v>
      </c>
      <c r="O172" s="246" t="s">
        <v>172</v>
      </c>
      <c r="P172" s="246"/>
      <c r="Q172" s="246"/>
    </row>
    <row r="173" spans="2:17">
      <c r="B173" s="228" t="str">
        <f>'2. Results'!B185</f>
        <v>Pleasant Valley Elementary</v>
      </c>
      <c r="C173" s="405">
        <f>'2. Results'!C185</f>
        <v>11</v>
      </c>
      <c r="D173" s="242">
        <f>'2. Results'!D185</f>
        <v>1680812.7272727273</v>
      </c>
      <c r="E173" s="243">
        <f>'2. Results'!E185</f>
        <v>0</v>
      </c>
      <c r="F173" s="753" t="str">
        <f>'2. Results'!G185</f>
        <v>yes</v>
      </c>
      <c r="G173" s="758">
        <f>'2. Results'!L185</f>
        <v>261327</v>
      </c>
      <c r="H173" s="759">
        <f>'2. Results'!Q185</f>
        <v>96809</v>
      </c>
      <c r="I173" s="760">
        <f>'2. Results'!R185</f>
        <v>-164518</v>
      </c>
      <c r="J173" s="759">
        <f>'2. Results'!W185</f>
        <v>23757</v>
      </c>
      <c r="K173" s="759">
        <f>'2. Results'!AB185</f>
        <v>8800.818181818182</v>
      </c>
      <c r="L173" s="759">
        <f>'2. Results'!AC185</f>
        <v>-14956.181818181818</v>
      </c>
      <c r="M173" s="765">
        <f>'2. Results'!AD185</f>
        <v>-0.72135819737182494</v>
      </c>
      <c r="O173" s="246" t="s">
        <v>148</v>
      </c>
      <c r="P173" s="246"/>
      <c r="Q173" s="246"/>
    </row>
    <row r="174" spans="2:17">
      <c r="B174" s="228" t="str">
        <f>'2. Results'!B186</f>
        <v>Bruneau-Grand View Joint</v>
      </c>
      <c r="C174" s="405">
        <f>'2. Results'!C186</f>
        <v>280</v>
      </c>
      <c r="D174" s="242">
        <f>'2. Results'!D186</f>
        <v>692965.01071428566</v>
      </c>
      <c r="E174" s="243">
        <f>'2. Results'!E186</f>
        <v>0.64</v>
      </c>
      <c r="F174" s="753" t="str">
        <f>'2. Results'!G186</f>
        <v>yes</v>
      </c>
      <c r="G174" s="758">
        <f>'2. Results'!L186</f>
        <v>4955967</v>
      </c>
      <c r="H174" s="759">
        <f>'2. Results'!Q186</f>
        <v>3503998</v>
      </c>
      <c r="I174" s="760">
        <f>'2. Results'!R186</f>
        <v>-1451969</v>
      </c>
      <c r="J174" s="759">
        <f>'2. Results'!W186</f>
        <v>17699.882142857143</v>
      </c>
      <c r="K174" s="759">
        <f>'2. Results'!AB186</f>
        <v>12514.278571428571</v>
      </c>
      <c r="L174" s="759">
        <f>'2. Results'!AC186</f>
        <v>-5185.6035714285717</v>
      </c>
      <c r="M174" s="765">
        <f>'2. Results'!AD186</f>
        <v>-0.47578304354294232</v>
      </c>
      <c r="O174" s="246" t="s">
        <v>161</v>
      </c>
      <c r="P174" s="246"/>
      <c r="Q174" s="246"/>
    </row>
    <row r="175" spans="2:17">
      <c r="B175" s="228" t="str">
        <f>'2. Results'!B187</f>
        <v>Homedale Joint</v>
      </c>
      <c r="C175" s="405">
        <f>'2. Results'!C187</f>
        <v>1117</v>
      </c>
      <c r="D175" s="242">
        <f>'2. Results'!D187</f>
        <v>219840.57743957028</v>
      </c>
      <c r="E175" s="243">
        <f>'2. Results'!E187</f>
        <v>0.60843881856540083</v>
      </c>
      <c r="F175" s="753" t="str">
        <f>'2. Results'!G187</f>
        <v/>
      </c>
      <c r="G175" s="758">
        <f>'2. Results'!L187</f>
        <v>8371664</v>
      </c>
      <c r="H175" s="759">
        <f>'2. Results'!Q187</f>
        <v>8533424</v>
      </c>
      <c r="I175" s="760">
        <f>'2. Results'!R187</f>
        <v>161760</v>
      </c>
      <c r="J175" s="759">
        <f>'2. Results'!W187</f>
        <v>7494.7752909579222</v>
      </c>
      <c r="K175" s="759">
        <f>'2. Results'!AB187</f>
        <v>7639.5917636526401</v>
      </c>
      <c r="L175" s="759">
        <f>'2. Results'!AC187</f>
        <v>144.81647269471799</v>
      </c>
      <c r="M175" s="765">
        <f>'2. Results'!AD187</f>
        <v>2.5980133292731345E-2</v>
      </c>
      <c r="O175" s="246" t="s">
        <v>205</v>
      </c>
      <c r="P175" s="246"/>
      <c r="Q175" s="246"/>
    </row>
    <row r="176" spans="2:17">
      <c r="B176" s="228" t="str">
        <f>'2. Results'!B188</f>
        <v>Payette Joint</v>
      </c>
      <c r="C176" s="405">
        <f>'2. Results'!C188</f>
        <v>1378</v>
      </c>
      <c r="D176" s="242">
        <f>'2. Results'!D188</f>
        <v>267558.22568940494</v>
      </c>
      <c r="E176" s="243">
        <f>'2. Results'!E188</f>
        <v>0.76732358550540369</v>
      </c>
      <c r="F176" s="753" t="str">
        <f>'2. Results'!G188</f>
        <v/>
      </c>
      <c r="G176" s="758">
        <f>'2. Results'!L188</f>
        <v>11589140</v>
      </c>
      <c r="H176" s="759">
        <f>'2. Results'!Q188</f>
        <v>11202035</v>
      </c>
      <c r="I176" s="760">
        <f>'2. Results'!R188</f>
        <v>-387105</v>
      </c>
      <c r="J176" s="759">
        <f>'2. Results'!W188</f>
        <v>8410.1161103047889</v>
      </c>
      <c r="K176" s="759">
        <f>'2. Results'!AB188</f>
        <v>8129.198113207548</v>
      </c>
      <c r="L176" s="759">
        <f>'2. Results'!AC188</f>
        <v>-280.91799709724239</v>
      </c>
      <c r="M176" s="765">
        <f>'2. Results'!AD188</f>
        <v>-4.6359486045088716E-2</v>
      </c>
      <c r="O176" s="246" t="s">
        <v>216</v>
      </c>
      <c r="P176" s="246"/>
      <c r="Q176" s="246"/>
    </row>
    <row r="177" spans="2:17">
      <c r="B177" s="228" t="str">
        <f>'2. Results'!B189</f>
        <v>New Plymouth</v>
      </c>
      <c r="C177" s="405">
        <f>'2. Results'!C189</f>
        <v>883</v>
      </c>
      <c r="D177" s="242">
        <f>'2. Results'!D189</f>
        <v>438377.30690826726</v>
      </c>
      <c r="E177" s="243">
        <f>'2. Results'!E189</f>
        <v>0.46262626262626261</v>
      </c>
      <c r="F177" s="753" t="str">
        <f>'2. Results'!G189</f>
        <v/>
      </c>
      <c r="G177" s="758">
        <f>'2. Results'!L189</f>
        <v>7439880</v>
      </c>
      <c r="H177" s="759">
        <f>'2. Results'!Q189</f>
        <v>6867825</v>
      </c>
      <c r="I177" s="760">
        <f>'2. Results'!R189</f>
        <v>-572055</v>
      </c>
      <c r="J177" s="759">
        <f>'2. Results'!W189</f>
        <v>8425.6851642129113</v>
      </c>
      <c r="K177" s="759">
        <f>'2. Results'!AB189</f>
        <v>7777.8312570781427</v>
      </c>
      <c r="L177" s="759">
        <f>'2. Results'!AC189</f>
        <v>-647.85390713476784</v>
      </c>
      <c r="M177" s="765">
        <f>'2. Results'!AD189</f>
        <v>-0.10138936152111958</v>
      </c>
      <c r="O177" s="246" t="s">
        <v>128</v>
      </c>
      <c r="P177" s="246"/>
      <c r="Q177" s="246"/>
    </row>
    <row r="178" spans="2:17">
      <c r="B178" s="228" t="str">
        <f>'2. Results'!B190</f>
        <v>Fruitland</v>
      </c>
      <c r="C178" s="405">
        <f>'2. Results'!C190</f>
        <v>1572</v>
      </c>
      <c r="D178" s="242">
        <f>'2. Results'!D190</f>
        <v>326871.7703562341</v>
      </c>
      <c r="E178" s="243">
        <f>'2. Results'!E190</f>
        <v>0.46642899584076053</v>
      </c>
      <c r="F178" s="753" t="str">
        <f>'2. Results'!G190</f>
        <v/>
      </c>
      <c r="G178" s="758">
        <f>'2. Results'!L190</f>
        <v>12064393</v>
      </c>
      <c r="H178" s="759">
        <f>'2. Results'!Q190</f>
        <v>12161374</v>
      </c>
      <c r="I178" s="760">
        <f>'2. Results'!R190</f>
        <v>96981</v>
      </c>
      <c r="J178" s="759">
        <f>'2. Results'!W190</f>
        <v>7674.5502544529263</v>
      </c>
      <c r="K178" s="759">
        <f>'2. Results'!AB190</f>
        <v>7736.2430025445292</v>
      </c>
      <c r="L178" s="759">
        <f>'2. Results'!AC190</f>
        <v>61.69274809160305</v>
      </c>
      <c r="M178" s="765">
        <f>'2. Results'!AD190</f>
        <v>1.0860450584227537E-2</v>
      </c>
      <c r="O178" s="246" t="s">
        <v>199</v>
      </c>
      <c r="P178" s="246"/>
      <c r="Q178" s="246"/>
    </row>
    <row r="179" spans="2:17">
      <c r="B179" s="228" t="str">
        <f>'2. Results'!B191</f>
        <v>American Falls Joint</v>
      </c>
      <c r="C179" s="405">
        <f>'2. Results'!C191</f>
        <v>1347</v>
      </c>
      <c r="D179" s="242">
        <f>'2. Results'!D191</f>
        <v>592603.88715664437</v>
      </c>
      <c r="E179" s="243">
        <f>'2. Results'!E191</f>
        <v>0.68577348066298338</v>
      </c>
      <c r="F179" s="753" t="str">
        <f>'2. Results'!G191</f>
        <v/>
      </c>
      <c r="G179" s="758">
        <f>'2. Results'!L191</f>
        <v>14779262</v>
      </c>
      <c r="H179" s="759">
        <f>'2. Results'!Q191</f>
        <v>14600781</v>
      </c>
      <c r="I179" s="760">
        <f>'2. Results'!R191</f>
        <v>-178481</v>
      </c>
      <c r="J179" s="759">
        <f>'2. Results'!W191</f>
        <v>10971.983667409057</v>
      </c>
      <c r="K179" s="759">
        <f>'2. Results'!AB191</f>
        <v>10839.481069042316</v>
      </c>
      <c r="L179" s="759">
        <f>'2. Results'!AC191</f>
        <v>-132.5025983667409</v>
      </c>
      <c r="M179" s="765">
        <f>'2. Results'!AD191</f>
        <v>-2.247942881814385E-2</v>
      </c>
      <c r="O179" s="246" t="s">
        <v>180</v>
      </c>
      <c r="P179" s="246"/>
      <c r="Q179" s="246"/>
    </row>
    <row r="180" spans="2:17">
      <c r="B180" s="228" t="str">
        <f>'2. Results'!B192</f>
        <v>Rockland</v>
      </c>
      <c r="C180" s="405">
        <f>'2. Results'!C192</f>
        <v>165</v>
      </c>
      <c r="D180" s="242">
        <f>'2. Results'!D192</f>
        <v>242445.96363636362</v>
      </c>
      <c r="E180" s="243">
        <f>'2. Results'!E192</f>
        <v>0</v>
      </c>
      <c r="F180" s="753" t="str">
        <f>'2. Results'!G192</f>
        <v>yes</v>
      </c>
      <c r="G180" s="758">
        <f>'2. Results'!L192</f>
        <v>2071135</v>
      </c>
      <c r="H180" s="759">
        <f>'2. Results'!Q192</f>
        <v>1441959</v>
      </c>
      <c r="I180" s="760">
        <f>'2. Results'!R192</f>
        <v>-629176</v>
      </c>
      <c r="J180" s="759">
        <f>'2. Results'!W192</f>
        <v>12552.333333333334</v>
      </c>
      <c r="K180" s="759">
        <f>'2. Results'!AB192</f>
        <v>8739.1454545454544</v>
      </c>
      <c r="L180" s="759">
        <f>'2. Results'!AC192</f>
        <v>-3813.1878787878786</v>
      </c>
      <c r="M180" s="765">
        <f>'2. Results'!AD192</f>
        <v>-0.4004024541813806</v>
      </c>
      <c r="O180" s="246" t="s">
        <v>139</v>
      </c>
      <c r="P180" s="246"/>
      <c r="Q180" s="246"/>
    </row>
    <row r="181" spans="2:17">
      <c r="B181" s="228" t="str">
        <f>'2. Results'!B193</f>
        <v>Arbon Elementary</v>
      </c>
      <c r="C181" s="405">
        <f>'2. Results'!C193</f>
        <v>18</v>
      </c>
      <c r="D181" s="242">
        <f>'2. Results'!D193</f>
        <v>1395446.888888889</v>
      </c>
      <c r="E181" s="243">
        <f>'2. Results'!E193</f>
        <v>0</v>
      </c>
      <c r="F181" s="753" t="str">
        <f>'2. Results'!G193</f>
        <v>yes</v>
      </c>
      <c r="G181" s="758">
        <f>'2. Results'!L193</f>
        <v>349231</v>
      </c>
      <c r="H181" s="759">
        <f>'2. Results'!Q193</f>
        <v>170244</v>
      </c>
      <c r="I181" s="760">
        <f>'2. Results'!R193</f>
        <v>-178987</v>
      </c>
      <c r="J181" s="759">
        <f>'2. Results'!W193</f>
        <v>19401.722222222223</v>
      </c>
      <c r="K181" s="759">
        <f>'2. Results'!AB193</f>
        <v>9458</v>
      </c>
      <c r="L181" s="759">
        <f>'2. Results'!AC193</f>
        <v>-9943.7222222222226</v>
      </c>
      <c r="M181" s="765">
        <f>'2. Results'!AD193</f>
        <v>-0.64278608751862953</v>
      </c>
      <c r="O181" s="246" t="s">
        <v>248</v>
      </c>
      <c r="P181" s="246"/>
      <c r="Q181" s="246"/>
    </row>
    <row r="182" spans="2:17">
      <c r="B182" s="228" t="str">
        <f>'2. Results'!B194</f>
        <v>Kellogg</v>
      </c>
      <c r="C182" s="405">
        <f>'2. Results'!C194</f>
        <v>1003</v>
      </c>
      <c r="D182" s="242">
        <f>'2. Results'!D194</f>
        <v>527574.146560319</v>
      </c>
      <c r="E182" s="243">
        <f>'2. Results'!E194</f>
        <v>0.49909420289855072</v>
      </c>
      <c r="F182" s="753" t="str">
        <f>'2. Results'!G194</f>
        <v/>
      </c>
      <c r="G182" s="758">
        <f>'2. Results'!L194</f>
        <v>12185640</v>
      </c>
      <c r="H182" s="759">
        <f>'2. Results'!Q194</f>
        <v>11766737</v>
      </c>
      <c r="I182" s="760">
        <f>'2. Results'!R194</f>
        <v>-418903</v>
      </c>
      <c r="J182" s="759">
        <f>'2. Results'!W194</f>
        <v>12149.192422731805</v>
      </c>
      <c r="K182" s="759">
        <f>'2. Results'!AB194</f>
        <v>11731.542372881357</v>
      </c>
      <c r="L182" s="759">
        <f>'2. Results'!AC194</f>
        <v>-417.65004985044868</v>
      </c>
      <c r="M182" s="765">
        <f>'2. Results'!AD194</f>
        <v>-6.7877356266392977E-2</v>
      </c>
      <c r="O182" s="246" t="s">
        <v>259</v>
      </c>
      <c r="P182" s="246"/>
      <c r="Q182" s="246"/>
    </row>
    <row r="183" spans="2:17">
      <c r="B183" s="228" t="str">
        <f>'2. Results'!B195</f>
        <v>Mullan</v>
      </c>
      <c r="C183" s="405">
        <f>'2. Results'!C195</f>
        <v>95</v>
      </c>
      <c r="D183" s="242">
        <f>'2. Results'!D195</f>
        <v>766902.37894736847</v>
      </c>
      <c r="E183" s="243">
        <f>'2. Results'!E195</f>
        <v>0.45794392523364486</v>
      </c>
      <c r="F183" s="753" t="str">
        <f>'2. Results'!G195</f>
        <v>yes</v>
      </c>
      <c r="G183" s="758">
        <f>'2. Results'!L195</f>
        <v>2082550</v>
      </c>
      <c r="H183" s="759">
        <f>'2. Results'!Q195</f>
        <v>1296129</v>
      </c>
      <c r="I183" s="760">
        <f>'2. Results'!R195</f>
        <v>-786421</v>
      </c>
      <c r="J183" s="759">
        <f>'2. Results'!W195</f>
        <v>21921.578947368424</v>
      </c>
      <c r="K183" s="759">
        <f>'2. Results'!AB195</f>
        <v>13643.463157894737</v>
      </c>
      <c r="L183" s="759">
        <f>'2. Results'!AC195</f>
        <v>-8278.1157894736843</v>
      </c>
      <c r="M183" s="765">
        <f>'2. Results'!AD195</f>
        <v>-0.59096872999221484</v>
      </c>
      <c r="O183" s="246" t="s">
        <v>235</v>
      </c>
      <c r="P183" s="246"/>
      <c r="Q183" s="246"/>
    </row>
    <row r="184" spans="2:17">
      <c r="B184" s="228" t="str">
        <f>'2. Results'!B196</f>
        <v>Wallace</v>
      </c>
      <c r="C184" s="405">
        <f>'2. Results'!C196</f>
        <v>458</v>
      </c>
      <c r="D184" s="242">
        <f>'2. Results'!D196</f>
        <v>522970.08515283844</v>
      </c>
      <c r="E184" s="243">
        <f>'2. Results'!E196</f>
        <v>0.50819672131147542</v>
      </c>
      <c r="F184" s="753" t="str">
        <f>'2. Results'!G196</f>
        <v/>
      </c>
      <c r="G184" s="758">
        <f>'2. Results'!L196</f>
        <v>6136297</v>
      </c>
      <c r="H184" s="759">
        <f>'2. Results'!Q196</f>
        <v>5568258</v>
      </c>
      <c r="I184" s="760">
        <f>'2. Results'!R196</f>
        <v>-568039</v>
      </c>
      <c r="J184" s="759">
        <f>'2. Results'!W196</f>
        <v>13398.028384279474</v>
      </c>
      <c r="K184" s="759">
        <f>'2. Results'!AB196</f>
        <v>12157.768558951964</v>
      </c>
      <c r="L184" s="759">
        <f>'2. Results'!AC196</f>
        <v>-1240.259825327511</v>
      </c>
      <c r="M184" s="765">
        <f>'2. Results'!AD196</f>
        <v>-0.17883607744959482</v>
      </c>
      <c r="O184" s="246" t="s">
        <v>133</v>
      </c>
      <c r="P184" s="246"/>
      <c r="Q184" s="246"/>
    </row>
    <row r="185" spans="2:17">
      <c r="B185" s="228" t="str">
        <f>'2. Results'!B197</f>
        <v>Avery</v>
      </c>
      <c r="C185" s="405">
        <f>'2. Results'!C197</f>
        <v>5</v>
      </c>
      <c r="D185" s="242">
        <f>'2. Results'!D197</f>
        <v>23547814.600000001</v>
      </c>
      <c r="E185" s="243">
        <f>'2. Results'!E197</f>
        <v>0</v>
      </c>
      <c r="F185" s="753" t="str">
        <f>'2. Results'!G197</f>
        <v>yes</v>
      </c>
      <c r="G185" s="758">
        <f>'2. Results'!L197</f>
        <v>500563</v>
      </c>
      <c r="H185" s="759">
        <f>'2. Results'!Q197</f>
        <v>241419</v>
      </c>
      <c r="I185" s="760">
        <f>'2. Results'!R197</f>
        <v>-259144</v>
      </c>
      <c r="J185" s="759">
        <f>'2. Results'!W197</f>
        <v>100112.6</v>
      </c>
      <c r="K185" s="759">
        <f>'2. Results'!AB197</f>
        <v>48283.8</v>
      </c>
      <c r="L185" s="759">
        <f>'2. Results'!AC197</f>
        <v>-51828.800000000003</v>
      </c>
      <c r="M185" s="765">
        <f>'2. Results'!AD197</f>
        <v>-0.89502896002928811</v>
      </c>
      <c r="O185" s="246" t="s">
        <v>193</v>
      </c>
      <c r="P185" s="246"/>
      <c r="Q185" s="246"/>
    </row>
    <row r="186" spans="2:17">
      <c r="B186" s="228" t="str">
        <f>'2. Results'!B198</f>
        <v>Teton County</v>
      </c>
      <c r="C186" s="405">
        <f>'2. Results'!C198</f>
        <v>1625</v>
      </c>
      <c r="D186" s="242">
        <f>'2. Results'!D198</f>
        <v>864859.20061538462</v>
      </c>
      <c r="E186" s="243">
        <f>'2. Results'!E198</f>
        <v>0.46718576195773082</v>
      </c>
      <c r="F186" s="753" t="str">
        <f>'2. Results'!G198</f>
        <v/>
      </c>
      <c r="G186" s="758">
        <f>'2. Results'!L198</f>
        <v>16526139</v>
      </c>
      <c r="H186" s="759">
        <f>'2. Results'!Q198</f>
        <v>16975279</v>
      </c>
      <c r="I186" s="760">
        <f>'2. Results'!R198</f>
        <v>449140</v>
      </c>
      <c r="J186" s="759">
        <f>'2. Results'!W198</f>
        <v>10169.931692307691</v>
      </c>
      <c r="K186" s="759">
        <f>'2. Results'!AB198</f>
        <v>10446.325538461539</v>
      </c>
      <c r="L186" s="759">
        <f>'2. Results'!AC198</f>
        <v>276.39384615384614</v>
      </c>
      <c r="M186" s="765">
        <f>'2. Results'!AD198</f>
        <v>5.0319755753009926E-2</v>
      </c>
      <c r="O186" s="246" t="s">
        <v>143</v>
      </c>
      <c r="P186" s="246"/>
      <c r="Q186" s="246"/>
    </row>
    <row r="187" spans="2:17">
      <c r="B187" s="228" t="str">
        <f>'2. Results'!B199</f>
        <v>Twin Falls</v>
      </c>
      <c r="C187" s="405">
        <f>'2. Results'!C199</f>
        <v>8238</v>
      </c>
      <c r="D187" s="242">
        <f>'2. Results'!D199</f>
        <v>343142.58946346201</v>
      </c>
      <c r="E187" s="243">
        <f>'2. Results'!E199</f>
        <v>0.59374306634124696</v>
      </c>
      <c r="F187" s="753" t="str">
        <f>'2. Results'!G199</f>
        <v/>
      </c>
      <c r="G187" s="758">
        <f>'2. Results'!L199</f>
        <v>75515407</v>
      </c>
      <c r="H187" s="759">
        <f>'2. Results'!Q199</f>
        <v>76427169</v>
      </c>
      <c r="I187" s="760">
        <f>'2. Results'!R199</f>
        <v>911762</v>
      </c>
      <c r="J187" s="759">
        <f>'2. Results'!W199</f>
        <v>9166.7160718621035</v>
      </c>
      <c r="K187" s="759">
        <f>'2. Results'!AB199</f>
        <v>9277.3936635105601</v>
      </c>
      <c r="L187" s="759">
        <f>'2. Results'!AC199</f>
        <v>110.67759164845836</v>
      </c>
      <c r="M187" s="765">
        <f>'2. Results'!AD199</f>
        <v>1.9558420334534574E-2</v>
      </c>
      <c r="O187" s="246" t="s">
        <v>240</v>
      </c>
      <c r="P187" s="246"/>
      <c r="Q187" s="246"/>
    </row>
    <row r="188" spans="2:17">
      <c r="B188" s="228" t="str">
        <f>'2. Results'!B200</f>
        <v>Buhl Joint</v>
      </c>
      <c r="C188" s="405">
        <f>'2. Results'!C200</f>
        <v>1176</v>
      </c>
      <c r="D188" s="242">
        <f>'2. Results'!D200</f>
        <v>494659.71428571426</v>
      </c>
      <c r="E188" s="243">
        <f>'2. Results'!E200</f>
        <v>0.66640502354788067</v>
      </c>
      <c r="F188" s="753" t="str">
        <f>'2. Results'!G200</f>
        <v/>
      </c>
      <c r="G188" s="758">
        <f>'2. Results'!L200</f>
        <v>10784327</v>
      </c>
      <c r="H188" s="759">
        <f>'2. Results'!Q200</f>
        <v>10758427</v>
      </c>
      <c r="I188" s="760">
        <f>'2. Results'!R200</f>
        <v>-25900</v>
      </c>
      <c r="J188" s="759">
        <f>'2. Results'!W200</f>
        <v>9170.3460884353735</v>
      </c>
      <c r="K188" s="759">
        <f>'2. Results'!AB200</f>
        <v>9148.3222789115644</v>
      </c>
      <c r="L188" s="759">
        <f>'2. Results'!AC200</f>
        <v>-22.023809523809526</v>
      </c>
      <c r="M188" s="765">
        <f>'2. Results'!AD200</f>
        <v>-3.8114859644604688E-3</v>
      </c>
      <c r="O188" s="246" t="s">
        <v>135</v>
      </c>
      <c r="P188" s="246"/>
      <c r="Q188" s="246"/>
    </row>
    <row r="189" spans="2:17">
      <c r="B189" s="228" t="str">
        <f>'2. Results'!B201</f>
        <v>Filer</v>
      </c>
      <c r="C189" s="405">
        <f>'2. Results'!C201</f>
        <v>1495</v>
      </c>
      <c r="D189" s="242">
        <f>'2. Results'!D201</f>
        <v>309585.56254180602</v>
      </c>
      <c r="E189" s="243">
        <f>'2. Results'!E201</f>
        <v>0.46276923076923077</v>
      </c>
      <c r="F189" s="753" t="str">
        <f>'2. Results'!G201</f>
        <v/>
      </c>
      <c r="G189" s="758">
        <f>'2. Results'!L201</f>
        <v>12477598</v>
      </c>
      <c r="H189" s="759">
        <f>'2. Results'!Q201</f>
        <v>12283492</v>
      </c>
      <c r="I189" s="760">
        <f>'2. Results'!R201</f>
        <v>-194106</v>
      </c>
      <c r="J189" s="759">
        <f>'2. Results'!W201</f>
        <v>8346.2193979933108</v>
      </c>
      <c r="K189" s="759">
        <f>'2. Results'!AB201</f>
        <v>8216.3826086956524</v>
      </c>
      <c r="L189" s="759">
        <f>'2. Results'!AC201</f>
        <v>-129.83678929765887</v>
      </c>
      <c r="M189" s="765">
        <f>'2. Results'!AD201</f>
        <v>-2.2166713887959117E-2</v>
      </c>
      <c r="O189" s="246" t="s">
        <v>198</v>
      </c>
      <c r="P189" s="246"/>
      <c r="Q189" s="246"/>
    </row>
    <row r="190" spans="2:17">
      <c r="B190" s="228" t="str">
        <f>'2. Results'!B202</f>
        <v>Kimberly</v>
      </c>
      <c r="C190" s="405">
        <f>'2. Results'!C202</f>
        <v>1650</v>
      </c>
      <c r="D190" s="242">
        <f>'2. Results'!D202</f>
        <v>235645.31878787879</v>
      </c>
      <c r="E190" s="243">
        <f>'2. Results'!E202</f>
        <v>0.34390112842557763</v>
      </c>
      <c r="F190" s="753" t="str">
        <f>'2. Results'!G202</f>
        <v/>
      </c>
      <c r="G190" s="758">
        <f>'2. Results'!L202</f>
        <v>12463124</v>
      </c>
      <c r="H190" s="759">
        <f>'2. Results'!Q202</f>
        <v>12529438</v>
      </c>
      <c r="I190" s="760">
        <f>'2. Results'!R202</f>
        <v>66314</v>
      </c>
      <c r="J190" s="759">
        <f>'2. Results'!W202</f>
        <v>7553.4084848484845</v>
      </c>
      <c r="K190" s="759">
        <f>'2. Results'!AB202</f>
        <v>7593.5987878787882</v>
      </c>
      <c r="L190" s="759">
        <f>'2. Results'!AC202</f>
        <v>40.190303030303028</v>
      </c>
      <c r="M190" s="765">
        <f>'2. Results'!AD202</f>
        <v>7.0239183304525105E-3</v>
      </c>
      <c r="O190" s="246" t="s">
        <v>154</v>
      </c>
      <c r="P190" s="246"/>
      <c r="Q190" s="246"/>
    </row>
    <row r="191" spans="2:17">
      <c r="B191" s="228" t="str">
        <f>'2. Results'!B203</f>
        <v>Hansen</v>
      </c>
      <c r="C191" s="405">
        <f>'2. Results'!C203</f>
        <v>281</v>
      </c>
      <c r="D191" s="242">
        <f>'2. Results'!D203</f>
        <v>494399.70818505337</v>
      </c>
      <c r="E191" s="243">
        <f>'2. Results'!E203</f>
        <v>0.78333333333333333</v>
      </c>
      <c r="F191" s="753" t="str">
        <f>'2. Results'!G203</f>
        <v>yes</v>
      </c>
      <c r="G191" s="758">
        <f>'2. Results'!L203</f>
        <v>3414010</v>
      </c>
      <c r="H191" s="759">
        <f>'2. Results'!Q203</f>
        <v>2891479</v>
      </c>
      <c r="I191" s="760">
        <f>'2. Results'!R203</f>
        <v>-522531</v>
      </c>
      <c r="J191" s="759">
        <f>'2. Results'!W203</f>
        <v>12149.501779359431</v>
      </c>
      <c r="K191" s="759">
        <f>'2. Results'!AB203</f>
        <v>10289.960854092527</v>
      </c>
      <c r="L191" s="759">
        <f>'2. Results'!AC203</f>
        <v>-1859.540925266904</v>
      </c>
      <c r="M191" s="765">
        <f>'2. Results'!AD203</f>
        <v>-0.24118492547481762</v>
      </c>
      <c r="O191" s="246" t="s">
        <v>195</v>
      </c>
      <c r="P191" s="246"/>
      <c r="Q191" s="246"/>
    </row>
    <row r="192" spans="2:17">
      <c r="B192" s="228" t="str">
        <f>'2. Results'!B204</f>
        <v>Three Creek Joint Elementary</v>
      </c>
      <c r="C192" s="405">
        <f>'2. Results'!C204</f>
        <v>9</v>
      </c>
      <c r="D192" s="242">
        <f>'2. Results'!D204</f>
        <v>2157215.6666666665</v>
      </c>
      <c r="E192" s="243">
        <f>'2. Results'!E204</f>
        <v>0</v>
      </c>
      <c r="F192" s="753" t="str">
        <f>'2. Results'!G204</f>
        <v>yes</v>
      </c>
      <c r="G192" s="758">
        <f>'2. Results'!L204</f>
        <v>182298</v>
      </c>
      <c r="H192" s="759">
        <f>'2. Results'!Q204</f>
        <v>98778</v>
      </c>
      <c r="I192" s="760">
        <f>'2. Results'!R204</f>
        <v>-83520</v>
      </c>
      <c r="J192" s="759">
        <f>'2. Results'!W204</f>
        <v>20255.333333333336</v>
      </c>
      <c r="K192" s="759">
        <f>'2. Results'!AB204</f>
        <v>10975.333333333332</v>
      </c>
      <c r="L192" s="759">
        <f>'2. Results'!AC204</f>
        <v>-9280</v>
      </c>
      <c r="M192" s="765">
        <f>'2. Results'!AD204</f>
        <v>-0.60181582360570685</v>
      </c>
      <c r="O192" s="246" t="s">
        <v>110</v>
      </c>
      <c r="P192" s="246"/>
      <c r="Q192" s="246"/>
    </row>
    <row r="193" spans="2:17">
      <c r="B193" s="228" t="str">
        <f>'2. Results'!B205</f>
        <v>Castleford Joint</v>
      </c>
      <c r="C193" s="405">
        <f>'2. Results'!C205</f>
        <v>280</v>
      </c>
      <c r="D193" s="242">
        <f>'2. Results'!D205</f>
        <v>555701.07857142854</v>
      </c>
      <c r="E193" s="243">
        <f>'2. Results'!E205</f>
        <v>0.65346534653465349</v>
      </c>
      <c r="F193" s="753" t="str">
        <f>'2. Results'!G205</f>
        <v>yes</v>
      </c>
      <c r="G193" s="758">
        <f>'2. Results'!L205</f>
        <v>3027910</v>
      </c>
      <c r="H193" s="759">
        <f>'2. Results'!Q205</f>
        <v>2382414</v>
      </c>
      <c r="I193" s="760">
        <f>'2. Results'!R205</f>
        <v>-645496</v>
      </c>
      <c r="J193" s="759">
        <f>'2. Results'!W205</f>
        <v>10813.964285714286</v>
      </c>
      <c r="K193" s="759">
        <f>'2. Results'!AB205</f>
        <v>8508.6214285714286</v>
      </c>
      <c r="L193" s="759">
        <f>'2. Results'!AC205</f>
        <v>-2305.3428571428572</v>
      </c>
      <c r="M193" s="765">
        <f>'2. Results'!AD205</f>
        <v>-0.28296434495649642</v>
      </c>
      <c r="O193" s="246" t="s">
        <v>106</v>
      </c>
      <c r="P193" s="246"/>
      <c r="Q193" s="246"/>
    </row>
    <row r="194" spans="2:17">
      <c r="B194" s="228" t="str">
        <f>'2. Results'!B206</f>
        <v>Murtaugh Joint</v>
      </c>
      <c r="C194" s="405">
        <f>'2. Results'!C206</f>
        <v>258</v>
      </c>
      <c r="D194" s="242">
        <f>'2. Results'!D206</f>
        <v>578501.56589147286</v>
      </c>
      <c r="E194" s="243">
        <f>'2. Results'!E206</f>
        <v>0.75163398692810457</v>
      </c>
      <c r="F194" s="753" t="str">
        <f>'2. Results'!G206</f>
        <v>yes</v>
      </c>
      <c r="G194" s="758">
        <f>'2. Results'!L206</f>
        <v>3028261</v>
      </c>
      <c r="H194" s="759">
        <f>'2. Results'!Q206</f>
        <v>2613929</v>
      </c>
      <c r="I194" s="760">
        <f>'2. Results'!R206</f>
        <v>-414332</v>
      </c>
      <c r="J194" s="759">
        <f>'2. Results'!W206</f>
        <v>11737.445736434109</v>
      </c>
      <c r="K194" s="759">
        <f>'2. Results'!AB206</f>
        <v>10131.507751937985</v>
      </c>
      <c r="L194" s="759">
        <f>'2. Results'!AC206</f>
        <v>-1605.937984496124</v>
      </c>
      <c r="M194" s="765">
        <f>'2. Results'!AD206</f>
        <v>-0.21702830892848257</v>
      </c>
      <c r="O194" s="246" t="s">
        <v>107</v>
      </c>
      <c r="P194" s="246"/>
      <c r="Q194" s="246"/>
    </row>
    <row r="195" spans="2:17">
      <c r="B195" s="228" t="str">
        <f>'2. Results'!B207</f>
        <v>McCall-Donnelly Joint</v>
      </c>
      <c r="C195" s="405">
        <f>'2. Results'!C207</f>
        <v>969</v>
      </c>
      <c r="D195" s="242">
        <f>'2. Results'!D207</f>
        <v>2930262.5644994839</v>
      </c>
      <c r="E195" s="243">
        <f>'2. Results'!E207</f>
        <v>0.33653846153846156</v>
      </c>
      <c r="F195" s="753" t="str">
        <f>'2. Results'!G207</f>
        <v/>
      </c>
      <c r="G195" s="758">
        <f>'2. Results'!L207</f>
        <v>15374142</v>
      </c>
      <c r="H195" s="759">
        <f>'2. Results'!Q207</f>
        <v>14892518</v>
      </c>
      <c r="I195" s="760">
        <f>'2. Results'!R207</f>
        <v>-481624</v>
      </c>
      <c r="J195" s="759">
        <f>'2. Results'!W207</f>
        <v>15865.987616099072</v>
      </c>
      <c r="K195" s="759">
        <f>'2. Results'!AB207</f>
        <v>15368.955624355005</v>
      </c>
      <c r="L195" s="759">
        <f>'2. Results'!AC207</f>
        <v>-497.03199174406603</v>
      </c>
      <c r="M195" s="765">
        <f>'2. Results'!AD207</f>
        <v>-7.9874913097240874E-2</v>
      </c>
      <c r="O195" s="246" t="s">
        <v>169</v>
      </c>
      <c r="P195" s="246"/>
      <c r="Q195" s="246"/>
    </row>
    <row r="196" spans="2:17">
      <c r="B196" s="228" t="str">
        <f>'2. Results'!B208</f>
        <v>Cascade</v>
      </c>
      <c r="C196" s="405">
        <f>'2. Results'!C208</f>
        <v>257</v>
      </c>
      <c r="D196" s="242">
        <f>'2. Results'!D208</f>
        <v>1823952.7859922179</v>
      </c>
      <c r="E196" s="243">
        <f>'2. Results'!E208</f>
        <v>0.6</v>
      </c>
      <c r="F196" s="753" t="str">
        <f>'2. Results'!G208</f>
        <v>yes</v>
      </c>
      <c r="G196" s="758">
        <f>'2. Results'!L208</f>
        <v>3090612</v>
      </c>
      <c r="H196" s="759">
        <f>'2. Results'!Q208</f>
        <v>2572704</v>
      </c>
      <c r="I196" s="760">
        <f>'2. Results'!R208</f>
        <v>-517908</v>
      </c>
      <c r="J196" s="759">
        <f>'2. Results'!W208</f>
        <v>12025.727626459146</v>
      </c>
      <c r="K196" s="759">
        <f>'2. Results'!AB208</f>
        <v>10010.521400778209</v>
      </c>
      <c r="L196" s="759">
        <f>'2. Results'!AC208</f>
        <v>-2015.2062256809338</v>
      </c>
      <c r="M196" s="765">
        <f>'2. Results'!AD208</f>
        <v>-0.26163114064666704</v>
      </c>
      <c r="O196" s="246" t="s">
        <v>175</v>
      </c>
      <c r="P196" s="246"/>
      <c r="Q196" s="246"/>
    </row>
    <row r="197" spans="2:17">
      <c r="B197" s="228" t="str">
        <f>'2. Results'!B209</f>
        <v>Weiser</v>
      </c>
      <c r="C197" s="405">
        <f>'2. Results'!C209</f>
        <v>1422</v>
      </c>
      <c r="D197" s="242">
        <f>'2. Results'!D209</f>
        <v>311256.20815752464</v>
      </c>
      <c r="E197" s="243">
        <f>'2. Results'!E209</f>
        <v>0.59727385377942999</v>
      </c>
      <c r="F197" s="753" t="str">
        <f>'2. Results'!G209</f>
        <v/>
      </c>
      <c r="G197" s="758">
        <f>'2. Results'!L209</f>
        <v>10993777</v>
      </c>
      <c r="H197" s="759">
        <f>'2. Results'!Q209</f>
        <v>10937067</v>
      </c>
      <c r="I197" s="760">
        <f>'2. Results'!R209</f>
        <v>-56710</v>
      </c>
      <c r="J197" s="759">
        <f>'2. Results'!W209</f>
        <v>7731.2074542897326</v>
      </c>
      <c r="K197" s="759">
        <f>'2. Results'!AB209</f>
        <v>7691.327004219409</v>
      </c>
      <c r="L197" s="759">
        <f>'2. Results'!AC209</f>
        <v>-39.880450070323491</v>
      </c>
      <c r="M197" s="765">
        <f>'2. Results'!AD209</f>
        <v>-6.9398545530818109E-3</v>
      </c>
      <c r="O197" s="246" t="s">
        <v>146</v>
      </c>
      <c r="P197" s="246"/>
      <c r="Q197" s="246"/>
    </row>
    <row r="198" spans="2:17">
      <c r="B198" s="228" t="str">
        <f>'2. Results'!B210</f>
        <v>Cambridge Joint</v>
      </c>
      <c r="C198" s="405">
        <f>'2. Results'!C210</f>
        <v>110</v>
      </c>
      <c r="D198" s="242">
        <f>'2. Results'!D210</f>
        <v>1471384.6090909091</v>
      </c>
      <c r="E198" s="243">
        <f>'2. Results'!E210</f>
        <v>0.50420168067226889</v>
      </c>
      <c r="F198" s="753" t="str">
        <f>'2. Results'!G210</f>
        <v>yes</v>
      </c>
      <c r="G198" s="758">
        <f>'2. Results'!L210</f>
        <v>1835391</v>
      </c>
      <c r="H198" s="759">
        <f>'2. Results'!Q210</f>
        <v>1091439</v>
      </c>
      <c r="I198" s="760">
        <f>'2. Results'!R210</f>
        <v>-743952</v>
      </c>
      <c r="J198" s="759">
        <f>'2. Results'!W210</f>
        <v>16685.372727272726</v>
      </c>
      <c r="K198" s="759">
        <f>'2. Results'!AB210</f>
        <v>9922.1727272727258</v>
      </c>
      <c r="L198" s="759">
        <f>'2. Results'!AC210</f>
        <v>-6763.2</v>
      </c>
      <c r="M198" s="765">
        <f>'2. Results'!AD210</f>
        <v>-0.53931372250518683</v>
      </c>
      <c r="O198" s="246" t="s">
        <v>149</v>
      </c>
      <c r="P198" s="246"/>
      <c r="Q198" s="246"/>
    </row>
    <row r="199" spans="2:17">
      <c r="B199" s="228" t="str">
        <f>'2. Results'!B211</f>
        <v>Midvale</v>
      </c>
      <c r="C199" s="405">
        <f>'2. Results'!C211</f>
        <v>113</v>
      </c>
      <c r="D199" s="242">
        <f>'2. Results'!D211</f>
        <v>1134844.5398230089</v>
      </c>
      <c r="E199" s="243">
        <f>'2. Results'!E211</f>
        <v>0.6097560975609756</v>
      </c>
      <c r="F199" s="753" t="str">
        <f>'2. Results'!G211</f>
        <v>yes</v>
      </c>
      <c r="G199" s="758">
        <f>'2. Results'!L211</f>
        <v>1749302</v>
      </c>
      <c r="H199" s="759">
        <f>'2. Results'!Q211</f>
        <v>874022</v>
      </c>
      <c r="I199" s="760">
        <f>'2. Results'!R211</f>
        <v>-875280</v>
      </c>
      <c r="J199" s="759">
        <f>'2. Results'!W211</f>
        <v>15480.548672566372</v>
      </c>
      <c r="K199" s="759">
        <f>'2. Results'!AB211</f>
        <v>7734.7079646017692</v>
      </c>
      <c r="L199" s="759">
        <f>'2. Results'!AC211</f>
        <v>-7745.8407079646022</v>
      </c>
      <c r="M199" s="765">
        <f>'2. Results'!AD211</f>
        <v>-0.57830255435461264</v>
      </c>
      <c r="O199" s="246" t="s">
        <v>224</v>
      </c>
      <c r="P199" s="246"/>
      <c r="Q199" s="246"/>
    </row>
    <row r="200" spans="2:17">
      <c r="B200" s="228" t="str">
        <f>'2. Results'!B212</f>
        <v>Victory Charter School</v>
      </c>
      <c r="C200" s="405">
        <f>'2. Results'!C212</f>
        <v>383</v>
      </c>
      <c r="D200" s="242">
        <f>'2. Results'!D212</f>
        <v>0</v>
      </c>
      <c r="E200" s="243">
        <f>'2. Results'!E212</f>
        <v>0.36138613861386137</v>
      </c>
      <c r="F200" s="753" t="str">
        <f>'2. Results'!G212</f>
        <v/>
      </c>
      <c r="G200" s="758">
        <f>'2. Results'!L212</f>
        <v>2973087</v>
      </c>
      <c r="H200" s="759">
        <f>'2. Results'!Q212</f>
        <v>2527110</v>
      </c>
      <c r="I200" s="760">
        <f>'2. Results'!R212</f>
        <v>-445977</v>
      </c>
      <c r="J200" s="759">
        <f>'2. Results'!W212</f>
        <v>7762.6292428198431</v>
      </c>
      <c r="K200" s="759">
        <f>'2. Results'!AB212</f>
        <v>6598.1984334203662</v>
      </c>
      <c r="L200" s="759">
        <f>'2. Results'!AC212</f>
        <v>-1164.4308093994778</v>
      </c>
      <c r="M200" s="765">
        <f>'2. Results'!AD212</f>
        <v>-0.1696538312739872</v>
      </c>
      <c r="O200" s="246" t="s">
        <v>185</v>
      </c>
      <c r="P200" s="246"/>
      <c r="Q200" s="246"/>
    </row>
    <row r="201" spans="2:17">
      <c r="B201" s="228" t="str">
        <f>'2. Results'!B213</f>
        <v>Idaho Virtual Academy</v>
      </c>
      <c r="C201" s="405">
        <f>'2. Results'!C213</f>
        <v>2169</v>
      </c>
      <c r="D201" s="242">
        <f>'2. Results'!D213</f>
        <v>0</v>
      </c>
      <c r="E201" s="243">
        <f>'2. Results'!E213</f>
        <v>0.53649105848235867</v>
      </c>
      <c r="F201" s="753" t="str">
        <f>'2. Results'!G213</f>
        <v/>
      </c>
      <c r="G201" s="758">
        <f>'2. Results'!L213</f>
        <v>13120711</v>
      </c>
      <c r="H201" s="759">
        <f>'2. Results'!Q213</f>
        <v>14351808</v>
      </c>
      <c r="I201" s="760">
        <f>'2. Results'!R213</f>
        <v>1231097</v>
      </c>
      <c r="J201" s="759">
        <f>'2. Results'!W213</f>
        <v>6049.1982480405723</v>
      </c>
      <c r="K201" s="759">
        <f>'2. Results'!AB213</f>
        <v>6616.7856154910105</v>
      </c>
      <c r="L201" s="759">
        <f>'2. Results'!AC213</f>
        <v>567.58736745043802</v>
      </c>
      <c r="M201" s="765">
        <f>'2. Results'!AD213</f>
        <v>0.11115693879310773</v>
      </c>
      <c r="O201" s="246" t="s">
        <v>163</v>
      </c>
      <c r="P201" s="246"/>
      <c r="Q201" s="246"/>
    </row>
    <row r="202" spans="2:17">
      <c r="B202" s="228" t="str">
        <f>'2. Results'!B214</f>
        <v>Richard McKenna Charter School</v>
      </c>
      <c r="C202" s="405">
        <f>'2. Results'!C214</f>
        <v>337</v>
      </c>
      <c r="D202" s="242">
        <f>'2. Results'!D214</f>
        <v>0</v>
      </c>
      <c r="E202" s="243">
        <f>'2. Results'!E214</f>
        <v>0</v>
      </c>
      <c r="F202" s="753" t="str">
        <f>'2. Results'!G214</f>
        <v/>
      </c>
      <c r="G202" s="758">
        <f>'2. Results'!L214</f>
        <v>2409820</v>
      </c>
      <c r="H202" s="759">
        <f>'2. Results'!Q214</f>
        <v>1879103</v>
      </c>
      <c r="I202" s="760">
        <f>'2. Results'!R214</f>
        <v>-530717</v>
      </c>
      <c r="J202" s="759">
        <f>'2. Results'!W214</f>
        <v>7150.8011869436195</v>
      </c>
      <c r="K202" s="759">
        <f>'2. Results'!AB214</f>
        <v>5575.9732937685458</v>
      </c>
      <c r="L202" s="759">
        <f>'2. Results'!AC214</f>
        <v>-1574.8278931750742</v>
      </c>
      <c r="M202" s="765">
        <f>'2. Results'!AD214</f>
        <v>-0.22178088483016356</v>
      </c>
      <c r="O202" s="246" t="s">
        <v>202</v>
      </c>
      <c r="P202" s="246"/>
      <c r="Q202" s="246"/>
    </row>
    <row r="203" spans="2:17">
      <c r="B203" s="228" t="str">
        <f>'2. Results'!B215</f>
        <v>Rolling Hills Charter School</v>
      </c>
      <c r="C203" s="405">
        <f>'2. Results'!C215</f>
        <v>219</v>
      </c>
      <c r="D203" s="242">
        <f>'2. Results'!D215</f>
        <v>0</v>
      </c>
      <c r="E203" s="243">
        <f>'2. Results'!E215</f>
        <v>0.35080645161290325</v>
      </c>
      <c r="F203" s="753" t="str">
        <f>'2. Results'!G215</f>
        <v>yes</v>
      </c>
      <c r="G203" s="758">
        <f>'2. Results'!L215</f>
        <v>2367096</v>
      </c>
      <c r="H203" s="759">
        <f>'2. Results'!Q215</f>
        <v>2317297</v>
      </c>
      <c r="I203" s="760">
        <f>'2. Results'!R215</f>
        <v>-49799</v>
      </c>
      <c r="J203" s="759">
        <f>'2. Results'!W215</f>
        <v>10808.657534246575</v>
      </c>
      <c r="K203" s="759">
        <f>'2. Results'!AB215</f>
        <v>10581.264840182648</v>
      </c>
      <c r="L203" s="759">
        <f>'2. Results'!AC215</f>
        <v>-227.39269406392694</v>
      </c>
      <c r="M203" s="765">
        <f>'2. Results'!AD215</f>
        <v>-3.754717052261735E-2</v>
      </c>
      <c r="O203" s="246" t="s">
        <v>225</v>
      </c>
      <c r="P203" s="246"/>
      <c r="Q203" s="246"/>
    </row>
    <row r="204" spans="2:17">
      <c r="B204" s="228" t="str">
        <f>'2. Results'!B216</f>
        <v>Compass Charter School</v>
      </c>
      <c r="C204" s="405">
        <f>'2. Results'!C216</f>
        <v>789</v>
      </c>
      <c r="D204" s="242">
        <f>'2. Results'!D216</f>
        <v>0</v>
      </c>
      <c r="E204" s="243">
        <f>'2. Results'!E216</f>
        <v>0</v>
      </c>
      <c r="F204" s="753" t="str">
        <f>'2. Results'!G216</f>
        <v/>
      </c>
      <c r="G204" s="758">
        <f>'2. Results'!L216</f>
        <v>5552962</v>
      </c>
      <c r="H204" s="759">
        <f>'2. Results'!Q216</f>
        <v>5355354</v>
      </c>
      <c r="I204" s="760">
        <f>'2. Results'!R216</f>
        <v>-197608</v>
      </c>
      <c r="J204" s="759">
        <f>'2. Results'!W216</f>
        <v>7037.9746514575409</v>
      </c>
      <c r="K204" s="759">
        <f>'2. Results'!AB216</f>
        <v>6787.5209125475285</v>
      </c>
      <c r="L204" s="759">
        <f>'2. Results'!AC216</f>
        <v>-250.45373891001267</v>
      </c>
      <c r="M204" s="765">
        <f>'2. Results'!AD216</f>
        <v>-4.1568473188263275E-2</v>
      </c>
      <c r="O204" s="246" t="s">
        <v>243</v>
      </c>
      <c r="P204" s="246"/>
      <c r="Q204" s="246"/>
    </row>
    <row r="205" spans="2:17">
      <c r="B205" s="228" t="str">
        <f>'2. Results'!B217</f>
        <v>Falcon Ridge Charter School</v>
      </c>
      <c r="C205" s="405">
        <f>'2. Results'!C217</f>
        <v>250</v>
      </c>
      <c r="D205" s="242">
        <f>'2. Results'!D217</f>
        <v>0</v>
      </c>
      <c r="E205" s="243">
        <f>'2. Results'!E217</f>
        <v>0.22222222222222221</v>
      </c>
      <c r="F205" s="753" t="str">
        <f>'2. Results'!G217</f>
        <v>yes</v>
      </c>
      <c r="G205" s="758">
        <f>'2. Results'!L217</f>
        <v>1711869</v>
      </c>
      <c r="H205" s="759">
        <f>'2. Results'!Q217</f>
        <v>1586703</v>
      </c>
      <c r="I205" s="760">
        <f>'2. Results'!R217</f>
        <v>-125166</v>
      </c>
      <c r="J205" s="759">
        <f>'2. Results'!W217</f>
        <v>6847.4759999999997</v>
      </c>
      <c r="K205" s="759">
        <f>'2. Results'!AB217</f>
        <v>6346.811999999999</v>
      </c>
      <c r="L205" s="759">
        <f>'2. Results'!AC217</f>
        <v>-500.66399999999999</v>
      </c>
      <c r="M205" s="765">
        <f>'2. Results'!AD217</f>
        <v>-7.9572632293649373E-2</v>
      </c>
      <c r="O205" s="246" t="s">
        <v>178</v>
      </c>
      <c r="P205" s="246"/>
      <c r="Q205" s="246"/>
    </row>
    <row r="206" spans="2:17">
      <c r="B206" s="228" t="str">
        <f>'2. Results'!B218</f>
        <v>Inspire Charter School</v>
      </c>
      <c r="C206" s="405">
        <f>'2. Results'!C218</f>
        <v>922</v>
      </c>
      <c r="D206" s="242">
        <f>'2. Results'!D218</f>
        <v>0</v>
      </c>
      <c r="E206" s="243">
        <f>'2. Results'!E218</f>
        <v>0.52716143840856922</v>
      </c>
      <c r="F206" s="753" t="str">
        <f>'2. Results'!G218</f>
        <v/>
      </c>
      <c r="G206" s="758">
        <f>'2. Results'!L218</f>
        <v>4787551</v>
      </c>
      <c r="H206" s="759">
        <f>'2. Results'!Q218</f>
        <v>5547069</v>
      </c>
      <c r="I206" s="760">
        <f>'2. Results'!R218</f>
        <v>759518</v>
      </c>
      <c r="J206" s="759">
        <f>'2. Results'!W218</f>
        <v>5192.5715835140991</v>
      </c>
      <c r="K206" s="759">
        <f>'2. Results'!AB218</f>
        <v>6016.3438177874186</v>
      </c>
      <c r="L206" s="759">
        <f>'2. Results'!AC218</f>
        <v>823.77223427331887</v>
      </c>
      <c r="M206" s="765">
        <f>'2. Results'!AD218</f>
        <v>0.17136524208630602</v>
      </c>
      <c r="O206" s="246" t="s">
        <v>160</v>
      </c>
      <c r="P206" s="246"/>
      <c r="Q206" s="246"/>
    </row>
    <row r="207" spans="2:17">
      <c r="B207" s="228" t="str">
        <f>'2. Results'!B219</f>
        <v>Liberty Charter School</v>
      </c>
      <c r="C207" s="405">
        <f>'2. Results'!C219</f>
        <v>394</v>
      </c>
      <c r="D207" s="242">
        <f>'2. Results'!D219</f>
        <v>0</v>
      </c>
      <c r="E207" s="243">
        <f>'2. Results'!E219</f>
        <v>0.35971223021582732</v>
      </c>
      <c r="F207" s="753" t="str">
        <f>'2. Results'!G219</f>
        <v/>
      </c>
      <c r="G207" s="758">
        <f>'2. Results'!L219</f>
        <v>3282875</v>
      </c>
      <c r="H207" s="759">
        <f>'2. Results'!Q219</f>
        <v>2715300</v>
      </c>
      <c r="I207" s="760">
        <f>'2. Results'!R219</f>
        <v>-567575</v>
      </c>
      <c r="J207" s="759">
        <f>'2. Results'!W219</f>
        <v>8332.1700507614223</v>
      </c>
      <c r="K207" s="759">
        <f>'2. Results'!AB219</f>
        <v>6891.6243654822329</v>
      </c>
      <c r="L207" s="759">
        <f>'2. Results'!AC219</f>
        <v>-1440.5456852791879</v>
      </c>
      <c r="M207" s="765">
        <f>'2. Results'!AD219</f>
        <v>-0.20190272171592147</v>
      </c>
      <c r="O207" s="246" t="s">
        <v>150</v>
      </c>
      <c r="P207" s="246"/>
      <c r="Q207" s="246"/>
    </row>
    <row r="208" spans="2:17">
      <c r="B208" s="228" t="str">
        <f>'2. Results'!B220</f>
        <v>Academy at the Roosevelt Center</v>
      </c>
      <c r="C208" s="405">
        <f>'2. Results'!C220</f>
        <v>437</v>
      </c>
      <c r="D208" s="242">
        <f>'2. Results'!D220</f>
        <v>0</v>
      </c>
      <c r="E208" s="243">
        <f>'2. Results'!E220</f>
        <v>0.36680327868852458</v>
      </c>
      <c r="F208" s="753" t="str">
        <f>'2. Results'!G220</f>
        <v/>
      </c>
      <c r="G208" s="758">
        <f>'2. Results'!L220</f>
        <v>2502326</v>
      </c>
      <c r="H208" s="759">
        <f>'2. Results'!Q220</f>
        <v>2721999</v>
      </c>
      <c r="I208" s="760">
        <f>'2. Results'!R220</f>
        <v>219673</v>
      </c>
      <c r="J208" s="759">
        <f>'2. Results'!W220</f>
        <v>5726.1464530892454</v>
      </c>
      <c r="K208" s="759">
        <f>'2. Results'!AB220</f>
        <v>6228.8306636155603</v>
      </c>
      <c r="L208" s="759">
        <f>'2. Results'!AC220</f>
        <v>502.68421052631578</v>
      </c>
      <c r="M208" s="765">
        <f>'2. Results'!AD220</f>
        <v>9.4368834609996594E-2</v>
      </c>
      <c r="O208" s="246" t="s">
        <v>115</v>
      </c>
      <c r="P208" s="246"/>
      <c r="Q208" s="246"/>
    </row>
    <row r="209" spans="2:17">
      <c r="B209" s="228" t="str">
        <f>'2. Results'!B221</f>
        <v>Taylor's Crossing Charter School</v>
      </c>
      <c r="C209" s="405">
        <f>'2. Results'!C221</f>
        <v>384</v>
      </c>
      <c r="D209" s="242">
        <f>'2. Results'!D221</f>
        <v>0</v>
      </c>
      <c r="E209" s="243">
        <f>'2. Results'!E221</f>
        <v>0.4375</v>
      </c>
      <c r="F209" s="753" t="str">
        <f>'2. Results'!G221</f>
        <v/>
      </c>
      <c r="G209" s="758">
        <f>'2. Results'!L221</f>
        <v>3023202</v>
      </c>
      <c r="H209" s="759">
        <f>'2. Results'!Q221</f>
        <v>2598545</v>
      </c>
      <c r="I209" s="760">
        <f>'2. Results'!R221</f>
        <v>-424657</v>
      </c>
      <c r="J209" s="759">
        <f>'2. Results'!W221</f>
        <v>7872.921875</v>
      </c>
      <c r="K209" s="759">
        <f>'2. Results'!AB221</f>
        <v>6767.044270833333</v>
      </c>
      <c r="L209" s="759">
        <f>'2. Results'!AC221</f>
        <v>-1105.8776041666667</v>
      </c>
      <c r="M209" s="765">
        <f>'2. Results'!AD221</f>
        <v>-0.16149533890264081</v>
      </c>
      <c r="O209" s="246" t="s">
        <v>183</v>
      </c>
      <c r="P209" s="246"/>
      <c r="Q209" s="246"/>
    </row>
    <row r="210" spans="2:17">
      <c r="B210" s="228" t="str">
        <f>'2. Results'!B222</f>
        <v>Xavier Charter School</v>
      </c>
      <c r="C210" s="405">
        <f>'2. Results'!C222</f>
        <v>639</v>
      </c>
      <c r="D210" s="242">
        <f>'2. Results'!D222</f>
        <v>0</v>
      </c>
      <c r="E210" s="243">
        <f>'2. Results'!E222</f>
        <v>0.28235294117647058</v>
      </c>
      <c r="F210" s="753" t="str">
        <f>'2. Results'!G222</f>
        <v/>
      </c>
      <c r="G210" s="758">
        <f>'2. Results'!L222</f>
        <v>3970842</v>
      </c>
      <c r="H210" s="759">
        <f>'2. Results'!Q222</f>
        <v>3853918</v>
      </c>
      <c r="I210" s="760">
        <f>'2. Results'!R222</f>
        <v>-116924</v>
      </c>
      <c r="J210" s="759">
        <f>'2. Results'!W222</f>
        <v>6214.1502347417836</v>
      </c>
      <c r="K210" s="759">
        <f>'2. Results'!AB222</f>
        <v>6031.1705790297337</v>
      </c>
      <c r="L210" s="759">
        <f>'2. Results'!AC222</f>
        <v>-182.97965571205009</v>
      </c>
      <c r="M210" s="765">
        <f>'2. Results'!AD222</f>
        <v>-3.0949477474119875E-2</v>
      </c>
      <c r="O210" s="246" t="s">
        <v>111</v>
      </c>
      <c r="P210" s="246"/>
      <c r="Q210" s="246"/>
    </row>
    <row r="211" spans="2:17">
      <c r="B211" s="228" t="str">
        <f>'2. Results'!B223</f>
        <v>Vision Charter School</v>
      </c>
      <c r="C211" s="405">
        <f>'2. Results'!C223</f>
        <v>627</v>
      </c>
      <c r="D211" s="242">
        <f>'2. Results'!D223</f>
        <v>0</v>
      </c>
      <c r="E211" s="243">
        <f>'2. Results'!E223</f>
        <v>0.42899850523168909</v>
      </c>
      <c r="F211" s="753" t="str">
        <f>'2. Results'!G223</f>
        <v/>
      </c>
      <c r="G211" s="758">
        <f>'2. Results'!L223</f>
        <v>4319932</v>
      </c>
      <c r="H211" s="759">
        <f>'2. Results'!Q223</f>
        <v>3959006</v>
      </c>
      <c r="I211" s="760">
        <f>'2. Results'!R223</f>
        <v>-360926</v>
      </c>
      <c r="J211" s="759">
        <f>'2. Results'!W223</f>
        <v>6889.8437001594893</v>
      </c>
      <c r="K211" s="759">
        <f>'2. Results'!AB223</f>
        <v>6314.2041467304625</v>
      </c>
      <c r="L211" s="759">
        <f>'2. Results'!AC223</f>
        <v>-575.63955342902716</v>
      </c>
      <c r="M211" s="765">
        <f>'2. Results'!AD223</f>
        <v>-9.1500219163871452E-2</v>
      </c>
      <c r="O211" s="246" t="s">
        <v>140</v>
      </c>
      <c r="P211" s="246"/>
      <c r="Q211" s="246"/>
    </row>
    <row r="212" spans="2:17">
      <c r="B212" s="228" t="str">
        <f>'2. Results'!B224</f>
        <v>White Pine Charter School</v>
      </c>
      <c r="C212" s="405">
        <f>'2. Results'!C224</f>
        <v>367</v>
      </c>
      <c r="D212" s="242">
        <f>'2. Results'!D224</f>
        <v>0</v>
      </c>
      <c r="E212" s="243">
        <f>'2. Results'!E224</f>
        <v>0.30804597701149428</v>
      </c>
      <c r="F212" s="753" t="str">
        <f>'2. Results'!G224</f>
        <v/>
      </c>
      <c r="G212" s="758">
        <f>'2. Results'!L224</f>
        <v>2473369</v>
      </c>
      <c r="H212" s="759">
        <f>'2. Results'!Q224</f>
        <v>2475258</v>
      </c>
      <c r="I212" s="760">
        <f>'2. Results'!R224</f>
        <v>1889</v>
      </c>
      <c r="J212" s="759">
        <f>'2. Results'!W224</f>
        <v>6739.425068119891</v>
      </c>
      <c r="K212" s="759">
        <f>'2. Results'!AB224</f>
        <v>6744.5722070844686</v>
      </c>
      <c r="L212" s="759">
        <f>'2. Results'!AC224</f>
        <v>5.1471389645776568</v>
      </c>
      <c r="M212" s="765">
        <f>'2. Results'!AD224</f>
        <v>8.5212919523637673E-4</v>
      </c>
      <c r="O212" s="246" t="s">
        <v>179</v>
      </c>
      <c r="P212" s="246"/>
      <c r="Q212" s="246"/>
    </row>
    <row r="213" spans="2:17">
      <c r="B213" s="228" t="str">
        <f>'2. Results'!B225</f>
        <v>North Valley Academy</v>
      </c>
      <c r="C213" s="405">
        <f>'2. Results'!C225</f>
        <v>223</v>
      </c>
      <c r="D213" s="242">
        <f>'2. Results'!D225</f>
        <v>0</v>
      </c>
      <c r="E213" s="243">
        <f>'2. Results'!E225</f>
        <v>0.5761316872427984</v>
      </c>
      <c r="F213" s="753" t="str">
        <f>'2. Results'!G225</f>
        <v>yes</v>
      </c>
      <c r="G213" s="758">
        <f>'2. Results'!L225</f>
        <v>1969037</v>
      </c>
      <c r="H213" s="759">
        <f>'2. Results'!Q225</f>
        <v>1669362</v>
      </c>
      <c r="I213" s="760">
        <f>'2. Results'!R225</f>
        <v>-299675</v>
      </c>
      <c r="J213" s="759">
        <f>'2. Results'!W225</f>
        <v>8829.7623318385649</v>
      </c>
      <c r="K213" s="759">
        <f>'2. Results'!AB225</f>
        <v>7485.9282511210768</v>
      </c>
      <c r="L213" s="759">
        <f>'2. Results'!AC225</f>
        <v>-1343.8340807174889</v>
      </c>
      <c r="M213" s="765">
        <f>'2. Results'!AD225</f>
        <v>-0.18749784925717253</v>
      </c>
      <c r="O213" s="246" t="s">
        <v>109</v>
      </c>
      <c r="P213" s="246"/>
      <c r="Q213" s="246"/>
    </row>
    <row r="214" spans="2:17">
      <c r="B214" s="228" t="str">
        <f>'2. Results'!B226</f>
        <v>iSucceed Virtual Charter School</v>
      </c>
      <c r="C214" s="405">
        <f>'2. Results'!C226</f>
        <v>449</v>
      </c>
      <c r="D214" s="242">
        <f>'2. Results'!D226</f>
        <v>0</v>
      </c>
      <c r="E214" s="243">
        <f>'2. Results'!E226</f>
        <v>0.46889952153110048</v>
      </c>
      <c r="F214" s="753" t="str">
        <f>'2. Results'!G226</f>
        <v/>
      </c>
      <c r="G214" s="758">
        <f>'2. Results'!L226</f>
        <v>2247550</v>
      </c>
      <c r="H214" s="759">
        <f>'2. Results'!Q226</f>
        <v>2593284</v>
      </c>
      <c r="I214" s="760">
        <f>'2. Results'!R226</f>
        <v>345734</v>
      </c>
      <c r="J214" s="759">
        <f>'2. Results'!W226</f>
        <v>5005.6792873051227</v>
      </c>
      <c r="K214" s="759">
        <f>'2. Results'!AB226</f>
        <v>5775.6881959910916</v>
      </c>
      <c r="L214" s="759">
        <f>'2. Results'!AC226</f>
        <v>770.00890868596878</v>
      </c>
      <c r="M214" s="765">
        <f>'2. Results'!AD226</f>
        <v>0.1619029333533136</v>
      </c>
      <c r="O214" s="246" t="s">
        <v>187</v>
      </c>
      <c r="P214" s="246"/>
      <c r="Q214" s="246"/>
    </row>
    <row r="215" spans="2:17">
      <c r="B215" s="228" t="str">
        <f>'2. Results'!B227</f>
        <v>Idaho Science &amp; Tech. Charter Sch</v>
      </c>
      <c r="C215" s="405">
        <f>'2. Results'!C227</f>
        <v>262</v>
      </c>
      <c r="D215" s="242">
        <f>'2. Results'!D227</f>
        <v>0</v>
      </c>
      <c r="E215" s="243">
        <f>'2. Results'!E227</f>
        <v>0.38695652173913042</v>
      </c>
      <c r="F215" s="753" t="str">
        <f>'2. Results'!G227</f>
        <v>yes</v>
      </c>
      <c r="G215" s="758">
        <f>'2. Results'!L227</f>
        <v>2026607</v>
      </c>
      <c r="H215" s="759">
        <f>'2. Results'!Q227</f>
        <v>1600235</v>
      </c>
      <c r="I215" s="760">
        <f>'2. Results'!R227</f>
        <v>-426372</v>
      </c>
      <c r="J215" s="759">
        <f>'2. Results'!W227</f>
        <v>7735.1412213740459</v>
      </c>
      <c r="K215" s="759">
        <f>'2. Results'!AB227</f>
        <v>6107.7671755725196</v>
      </c>
      <c r="L215" s="759">
        <f>'2. Results'!AC227</f>
        <v>-1627.3740458015268</v>
      </c>
      <c r="M215" s="765">
        <f>'2. Results'!AD227</f>
        <v>-0.22749740687147046</v>
      </c>
      <c r="O215" s="246" t="s">
        <v>123</v>
      </c>
      <c r="P215" s="246"/>
      <c r="Q215" s="246"/>
    </row>
    <row r="216" spans="2:17">
      <c r="B216" s="228" t="str">
        <f>'2. Results'!B228</f>
        <v>Idaho Connects Online School</v>
      </c>
      <c r="C216" s="405">
        <f>'2. Results'!C228</f>
        <v>240</v>
      </c>
      <c r="D216" s="242">
        <f>'2. Results'!D228</f>
        <v>0</v>
      </c>
      <c r="E216" s="243">
        <f>'2. Results'!E228</f>
        <v>0</v>
      </c>
      <c r="F216" s="753" t="str">
        <f>'2. Results'!G228</f>
        <v>yes</v>
      </c>
      <c r="G216" s="758">
        <f>'2. Results'!L228</f>
        <v>1794821</v>
      </c>
      <c r="H216" s="759">
        <f>'2. Results'!Q228</f>
        <v>1370906</v>
      </c>
      <c r="I216" s="760">
        <f>'2. Results'!R228</f>
        <v>-423915</v>
      </c>
      <c r="J216" s="759">
        <f>'2. Results'!W228</f>
        <v>7478.4208333333336</v>
      </c>
      <c r="K216" s="759">
        <f>'2. Results'!AB228</f>
        <v>5712.1083333333336</v>
      </c>
      <c r="L216" s="759">
        <f>'2. Results'!AC228</f>
        <v>-1766.3125</v>
      </c>
      <c r="M216" s="765">
        <f>'2. Results'!AD228</f>
        <v>-0.2422156894675043</v>
      </c>
      <c r="O216" s="246" t="s">
        <v>255</v>
      </c>
      <c r="P216" s="246"/>
      <c r="Q216" s="246"/>
    </row>
    <row r="217" spans="2:17">
      <c r="B217" s="228" t="str">
        <f>'2. Results'!B229</f>
        <v>Kootenai Bridge Academy</v>
      </c>
      <c r="C217" s="405">
        <f>'2. Results'!C229</f>
        <v>244</v>
      </c>
      <c r="D217" s="242">
        <f>'2. Results'!D229</f>
        <v>0</v>
      </c>
      <c r="E217" s="243">
        <f>'2. Results'!E229</f>
        <v>0</v>
      </c>
      <c r="F217" s="753" t="str">
        <f>'2. Results'!G229</f>
        <v>yes</v>
      </c>
      <c r="G217" s="758">
        <f>'2. Results'!L229</f>
        <v>1590342</v>
      </c>
      <c r="H217" s="759">
        <f>'2. Results'!Q229</f>
        <v>1400972</v>
      </c>
      <c r="I217" s="760">
        <f>'2. Results'!R229</f>
        <v>-189370</v>
      </c>
      <c r="J217" s="759">
        <f>'2. Results'!W229</f>
        <v>6517.7950819672133</v>
      </c>
      <c r="K217" s="759">
        <f>'2. Results'!AB229</f>
        <v>5741.688524590164</v>
      </c>
      <c r="L217" s="759">
        <f>'2. Results'!AC229</f>
        <v>-776.10655737704917</v>
      </c>
      <c r="M217" s="765">
        <f>'2. Results'!AD229</f>
        <v>-0.12315033874959842</v>
      </c>
      <c r="O217" s="246" t="s">
        <v>231</v>
      </c>
      <c r="P217" s="246"/>
      <c r="Q217" s="246"/>
    </row>
    <row r="218" spans="2:17">
      <c r="B218" s="228" t="str">
        <f>'2. Results'!B230</f>
        <v>Palouse Prairie Charter School</v>
      </c>
      <c r="C218" s="405">
        <f>'2. Results'!C230</f>
        <v>147</v>
      </c>
      <c r="D218" s="242">
        <f>'2. Results'!D230</f>
        <v>0</v>
      </c>
      <c r="E218" s="243">
        <f>'2. Results'!E230</f>
        <v>0.30857142857142855</v>
      </c>
      <c r="F218" s="753" t="str">
        <f>'2. Results'!G230</f>
        <v>yes</v>
      </c>
      <c r="G218" s="758">
        <f>'2. Results'!L230</f>
        <v>1184769</v>
      </c>
      <c r="H218" s="759">
        <f>'2. Results'!Q230</f>
        <v>1084835</v>
      </c>
      <c r="I218" s="760">
        <f>'2. Results'!R230</f>
        <v>-99934</v>
      </c>
      <c r="J218" s="759">
        <f>'2. Results'!W230</f>
        <v>8059.6530612244896</v>
      </c>
      <c r="K218" s="759">
        <f>'2. Results'!AB230</f>
        <v>7379.8299319727885</v>
      </c>
      <c r="L218" s="759">
        <f>'2. Results'!AC230</f>
        <v>-679.82312925170072</v>
      </c>
      <c r="M218" s="765">
        <f>'2. Results'!AD230</f>
        <v>-0.10299511789907852</v>
      </c>
      <c r="O218" s="246" t="s">
        <v>208</v>
      </c>
      <c r="P218" s="246"/>
      <c r="Q218" s="246"/>
    </row>
    <row r="219" spans="2:17">
      <c r="B219" s="228" t="str">
        <f>'2. Results'!B231</f>
        <v>The Village Charter School</v>
      </c>
      <c r="C219" s="405">
        <f>'2. Results'!C231</f>
        <v>276</v>
      </c>
      <c r="D219" s="242">
        <f>'2. Results'!D231</f>
        <v>0</v>
      </c>
      <c r="E219" s="243">
        <f>'2. Results'!E231</f>
        <v>0.14613180515759314</v>
      </c>
      <c r="F219" s="753" t="str">
        <f>'2. Results'!G231</f>
        <v>yes</v>
      </c>
      <c r="G219" s="758">
        <f>'2. Results'!L231</f>
        <v>1860661</v>
      </c>
      <c r="H219" s="759">
        <f>'2. Results'!Q231</f>
        <v>1959427</v>
      </c>
      <c r="I219" s="760">
        <f>'2. Results'!R231</f>
        <v>98766</v>
      </c>
      <c r="J219" s="759">
        <f>'2. Results'!W231</f>
        <v>6741.5253623188401</v>
      </c>
      <c r="K219" s="759">
        <f>'2. Results'!AB231</f>
        <v>7099.3731884057979</v>
      </c>
      <c r="L219" s="759">
        <f>'2. Results'!AC231</f>
        <v>357.8478260869565</v>
      </c>
      <c r="M219" s="765">
        <f>'2. Results'!AD231</f>
        <v>6.3350767205846703E-2</v>
      </c>
      <c r="O219" s="246" t="s">
        <v>241</v>
      </c>
      <c r="P219" s="246"/>
      <c r="Q219" s="246"/>
    </row>
    <row r="220" spans="2:17">
      <c r="B220" s="228" t="str">
        <f>'2. Results'!B232</f>
        <v>Monticello Montessori</v>
      </c>
      <c r="C220" s="405">
        <f>'2. Results'!C232</f>
        <v>177</v>
      </c>
      <c r="D220" s="242">
        <f>'2. Results'!D232</f>
        <v>0</v>
      </c>
      <c r="E220" s="243">
        <f>'2. Results'!E232</f>
        <v>0.54450261780104714</v>
      </c>
      <c r="F220" s="753" t="str">
        <f>'2. Results'!G232</f>
        <v>yes</v>
      </c>
      <c r="G220" s="758">
        <f>'2. Results'!L232</f>
        <v>1315069</v>
      </c>
      <c r="H220" s="759">
        <f>'2. Results'!Q232</f>
        <v>1325027</v>
      </c>
      <c r="I220" s="760">
        <f>'2. Results'!R232</f>
        <v>9958</v>
      </c>
      <c r="J220" s="759">
        <f>'2. Results'!W232</f>
        <v>7429.7683615819215</v>
      </c>
      <c r="K220" s="759">
        <f>'2. Results'!AB232</f>
        <v>7486.0282485875705</v>
      </c>
      <c r="L220" s="759">
        <f>'2. Results'!AC232</f>
        <v>56.259887005649716</v>
      </c>
      <c r="M220" s="765">
        <f>'2. Results'!AD232</f>
        <v>9.5245564835467547E-3</v>
      </c>
      <c r="O220" s="246" t="s">
        <v>137</v>
      </c>
      <c r="P220" s="246"/>
      <c r="Q220" s="246"/>
    </row>
    <row r="221" spans="2:17">
      <c r="B221" s="228" t="str">
        <f>'2. Results'!B233</f>
        <v>Sage International Charter</v>
      </c>
      <c r="C221" s="405">
        <f>'2. Results'!C233</f>
        <v>854</v>
      </c>
      <c r="D221" s="242">
        <f>'2. Results'!D233</f>
        <v>0</v>
      </c>
      <c r="E221" s="243">
        <f>'2. Results'!E233</f>
        <v>0.17647058823529413</v>
      </c>
      <c r="F221" s="753" t="str">
        <f>'2. Results'!G233</f>
        <v/>
      </c>
      <c r="G221" s="758">
        <f>'2. Results'!L233</f>
        <v>6012583</v>
      </c>
      <c r="H221" s="759">
        <f>'2. Results'!Q233</f>
        <v>6016410</v>
      </c>
      <c r="I221" s="760">
        <f>'2. Results'!R233</f>
        <v>3827</v>
      </c>
      <c r="J221" s="759">
        <f>'2. Results'!W233</f>
        <v>7040.4953161592512</v>
      </c>
      <c r="K221" s="759">
        <f>'2. Results'!AB233</f>
        <v>7044.9765807962531</v>
      </c>
      <c r="L221" s="759">
        <f>'2. Results'!AC233</f>
        <v>4.4812646370023419</v>
      </c>
      <c r="M221" s="765">
        <f>'2. Results'!AD233</f>
        <v>7.8138159782021688E-4</v>
      </c>
      <c r="O221" s="246" t="s">
        <v>214</v>
      </c>
      <c r="P221" s="246"/>
      <c r="Q221" s="246"/>
    </row>
    <row r="222" spans="2:17">
      <c r="B222" s="228" t="str">
        <f>'2. Results'!B234</f>
        <v>Another Choice Charter School</v>
      </c>
      <c r="C222" s="405">
        <f>'2. Results'!C234</f>
        <v>403</v>
      </c>
      <c r="D222" s="242">
        <f>'2. Results'!D234</f>
        <v>0</v>
      </c>
      <c r="E222" s="243">
        <f>'2. Results'!E234</f>
        <v>0.56399999999999995</v>
      </c>
      <c r="F222" s="753" t="str">
        <f>'2. Results'!G234</f>
        <v/>
      </c>
      <c r="G222" s="758">
        <f>'2. Results'!L234</f>
        <v>3573644</v>
      </c>
      <c r="H222" s="759">
        <f>'2. Results'!Q234</f>
        <v>3055244</v>
      </c>
      <c r="I222" s="760">
        <f>'2. Results'!R234</f>
        <v>-518400</v>
      </c>
      <c r="J222" s="759">
        <f>'2. Results'!W234</f>
        <v>8867.6029776674932</v>
      </c>
      <c r="K222" s="759">
        <f>'2. Results'!AB234</f>
        <v>7581.2506203473949</v>
      </c>
      <c r="L222" s="759">
        <f>'2. Results'!AC234</f>
        <v>-1286.3523573200991</v>
      </c>
      <c r="M222" s="765">
        <f>'2. Results'!AD234</f>
        <v>-0.18806935057302379</v>
      </c>
      <c r="O222" s="246" t="s">
        <v>176</v>
      </c>
      <c r="P222" s="246"/>
      <c r="Q222" s="246"/>
    </row>
    <row r="223" spans="2:17">
      <c r="B223" s="228" t="str">
        <f>'2. Results'!B235</f>
        <v>Blackfoot Charter Comm. Learning Ctr</v>
      </c>
      <c r="C223" s="405">
        <f>'2. Results'!C235</f>
        <v>416</v>
      </c>
      <c r="D223" s="242">
        <f>'2. Results'!D235</f>
        <v>0</v>
      </c>
      <c r="E223" s="243">
        <f>'2. Results'!E235</f>
        <v>0.48063380281690143</v>
      </c>
      <c r="F223" s="753" t="str">
        <f>'2. Results'!G235</f>
        <v/>
      </c>
      <c r="G223" s="758">
        <f>'2. Results'!L235</f>
        <v>2293798</v>
      </c>
      <c r="H223" s="759">
        <f>'2. Results'!Q235</f>
        <v>2703734</v>
      </c>
      <c r="I223" s="760">
        <f>'2. Results'!R235</f>
        <v>409936</v>
      </c>
      <c r="J223" s="759">
        <f>'2. Results'!W235</f>
        <v>5513.9375</v>
      </c>
      <c r="K223" s="759">
        <f>'2. Results'!AB235</f>
        <v>6499.3605769230762</v>
      </c>
      <c r="L223" s="759">
        <f>'2. Results'!AC235</f>
        <v>985.42307692307691</v>
      </c>
      <c r="M223" s="765">
        <f>'2. Results'!AD235</f>
        <v>0.19302596604566954</v>
      </c>
      <c r="O223" s="246" t="s">
        <v>209</v>
      </c>
      <c r="P223" s="246"/>
      <c r="Q223" s="246"/>
    </row>
    <row r="224" spans="2:17">
      <c r="B224" s="228" t="str">
        <f>'2. Results'!B236</f>
        <v>Legacy Charter School</v>
      </c>
      <c r="C224" s="405">
        <f>'2. Results'!C236</f>
        <v>276</v>
      </c>
      <c r="D224" s="242">
        <f>'2. Results'!D236</f>
        <v>0</v>
      </c>
      <c r="E224" s="243">
        <f>'2. Results'!E236</f>
        <v>0.38305084745762713</v>
      </c>
      <c r="F224" s="753" t="str">
        <f>'2. Results'!G236</f>
        <v>yes</v>
      </c>
      <c r="G224" s="758">
        <f>'2. Results'!L236</f>
        <v>1782159</v>
      </c>
      <c r="H224" s="759">
        <f>'2. Results'!Q236</f>
        <v>1727171</v>
      </c>
      <c r="I224" s="760">
        <f>'2. Results'!R236</f>
        <v>-54988</v>
      </c>
      <c r="J224" s="759">
        <f>'2. Results'!W236</f>
        <v>6457.097826086956</v>
      </c>
      <c r="K224" s="759">
        <f>'2. Results'!AB236</f>
        <v>6257.865942028985</v>
      </c>
      <c r="L224" s="759">
        <f>'2. Results'!AC236</f>
        <v>-199.231884057971</v>
      </c>
      <c r="M224" s="765">
        <f>'2. Results'!AD236</f>
        <v>-3.3397389333339814E-2</v>
      </c>
      <c r="O224" s="246" t="s">
        <v>253</v>
      </c>
      <c r="P224" s="246"/>
      <c r="Q224" s="246"/>
    </row>
    <row r="225" spans="2:17">
      <c r="B225" s="228" t="str">
        <f>'2. Results'!B237</f>
        <v>Heritage Academy</v>
      </c>
      <c r="C225" s="405">
        <f>'2. Results'!C237</f>
        <v>157</v>
      </c>
      <c r="D225" s="242">
        <f>'2. Results'!D237</f>
        <v>0</v>
      </c>
      <c r="E225" s="243">
        <f>'2. Results'!E237</f>
        <v>0.9101123595505618</v>
      </c>
      <c r="F225" s="753" t="str">
        <f>'2. Results'!G237</f>
        <v>yes</v>
      </c>
      <c r="G225" s="758">
        <f>'2. Results'!L237</f>
        <v>1408882</v>
      </c>
      <c r="H225" s="759">
        <f>'2. Results'!Q237</f>
        <v>1216288</v>
      </c>
      <c r="I225" s="760">
        <f>'2. Results'!R237</f>
        <v>-192594</v>
      </c>
      <c r="J225" s="759">
        <f>'2. Results'!W237</f>
        <v>8973.7707006369437</v>
      </c>
      <c r="K225" s="759">
        <f>'2. Results'!AB237</f>
        <v>7747.0573248407636</v>
      </c>
      <c r="L225" s="759">
        <f>'2. Results'!AC237</f>
        <v>-1226.7133757961783</v>
      </c>
      <c r="M225" s="765">
        <f>'2. Results'!AD237</f>
        <v>-0.17266252837455487</v>
      </c>
      <c r="O225" s="246" t="s">
        <v>166</v>
      </c>
      <c r="P225" s="246"/>
      <c r="Q225" s="246"/>
    </row>
    <row r="226" spans="2:17">
      <c r="B226" s="228" t="str">
        <f>'2. Results'!B238</f>
        <v>N. Idaho STEM Charter</v>
      </c>
      <c r="C226" s="405">
        <f>'2. Results'!C238</f>
        <v>387</v>
      </c>
      <c r="D226" s="242">
        <f>'2. Results'!D238</f>
        <v>0</v>
      </c>
      <c r="E226" s="243">
        <f>'2. Results'!E238</f>
        <v>0</v>
      </c>
      <c r="F226" s="753" t="str">
        <f>'2. Results'!G238</f>
        <v/>
      </c>
      <c r="G226" s="758">
        <f>'2. Results'!L238</f>
        <v>2501941</v>
      </c>
      <c r="H226" s="759">
        <f>'2. Results'!Q238</f>
        <v>2548731</v>
      </c>
      <c r="I226" s="760">
        <f>'2. Results'!R238</f>
        <v>46790</v>
      </c>
      <c r="J226" s="759">
        <f>'2. Results'!W238</f>
        <v>6464.9638242894052</v>
      </c>
      <c r="K226" s="759">
        <f>'2. Results'!AB238</f>
        <v>6585.8682170542634</v>
      </c>
      <c r="L226" s="759">
        <f>'2. Results'!AC238</f>
        <v>120.90439276485787</v>
      </c>
      <c r="M226" s="765">
        <f>'2. Results'!AD238</f>
        <v>2.1061084346514478E-2</v>
      </c>
      <c r="O226" s="246" t="s">
        <v>136</v>
      </c>
      <c r="P226" s="246"/>
      <c r="Q226" s="246"/>
    </row>
    <row r="227" spans="2:17">
      <c r="B227" s="228" t="str">
        <f>'2. Results'!B239</f>
        <v>Heritage Community Charter Sch</v>
      </c>
      <c r="C227" s="405">
        <f>'2. Results'!C239</f>
        <v>461</v>
      </c>
      <c r="D227" s="242">
        <f>'2. Results'!D239</f>
        <v>0</v>
      </c>
      <c r="E227" s="243">
        <f>'2. Results'!E239</f>
        <v>0.71296296296296291</v>
      </c>
      <c r="F227" s="753" t="str">
        <f>'2. Results'!G239</f>
        <v/>
      </c>
      <c r="G227" s="758">
        <f>'2. Results'!L239</f>
        <v>3121670</v>
      </c>
      <c r="H227" s="759">
        <f>'2. Results'!Q239</f>
        <v>3209337</v>
      </c>
      <c r="I227" s="760">
        <f>'2. Results'!R239</f>
        <v>87667</v>
      </c>
      <c r="J227" s="759">
        <f>'2. Results'!W239</f>
        <v>6771.5184381778745</v>
      </c>
      <c r="K227" s="759">
        <f>'2. Results'!AB239</f>
        <v>6961.6854663774411</v>
      </c>
      <c r="L227" s="759">
        <f>'2. Results'!AC239</f>
        <v>190.16702819956615</v>
      </c>
      <c r="M227" s="765">
        <f>'2. Results'!AD239</f>
        <v>3.3389333253097675E-2</v>
      </c>
      <c r="O227" s="246" t="s">
        <v>222</v>
      </c>
      <c r="P227" s="246"/>
      <c r="Q227" s="246"/>
    </row>
    <row r="228" spans="2:17">
      <c r="B228" s="228" t="str">
        <f>'2. Results'!B240</f>
        <v>American Heritage Charter School</v>
      </c>
      <c r="C228" s="405">
        <f>'2. Results'!C240</f>
        <v>236</v>
      </c>
      <c r="D228" s="242">
        <f>'2. Results'!D240</f>
        <v>0</v>
      </c>
      <c r="E228" s="243">
        <f>'2. Results'!E240</f>
        <v>0.2857142857142857</v>
      </c>
      <c r="F228" s="753" t="str">
        <f>'2. Results'!G240</f>
        <v>yes</v>
      </c>
      <c r="G228" s="758">
        <f>'2. Results'!L240</f>
        <v>1664857</v>
      </c>
      <c r="H228" s="759">
        <f>'2. Results'!Q240</f>
        <v>1604191</v>
      </c>
      <c r="I228" s="760">
        <f>'2. Results'!R240</f>
        <v>-60666</v>
      </c>
      <c r="J228" s="759">
        <f>'2. Results'!W240</f>
        <v>7054.4788135593217</v>
      </c>
      <c r="K228" s="759">
        <f>'2. Results'!AB240</f>
        <v>6797.4194915254238</v>
      </c>
      <c r="L228" s="759">
        <f>'2. Results'!AC240</f>
        <v>-257.0593220338983</v>
      </c>
      <c r="M228" s="765">
        <f>'2. Results'!AD240</f>
        <v>-4.2390752937921085E-2</v>
      </c>
      <c r="O228" s="246" t="s">
        <v>233</v>
      </c>
      <c r="P228" s="246"/>
      <c r="Q228" s="246"/>
    </row>
    <row r="229" spans="2:17">
      <c r="B229" s="228" t="str">
        <f>'2. Results'!B241</f>
        <v>Chief Tahgee Elementary Academy</v>
      </c>
      <c r="C229" s="405">
        <f>'2. Results'!C241</f>
        <v>79</v>
      </c>
      <c r="D229" s="242">
        <f>'2. Results'!D241</f>
        <v>0</v>
      </c>
      <c r="E229" s="243">
        <f>'2. Results'!E241</f>
        <v>0.90476190476190477</v>
      </c>
      <c r="F229" s="753" t="str">
        <f>'2. Results'!G241</f>
        <v>yes</v>
      </c>
      <c r="G229" s="758">
        <f>'2. Results'!L241</f>
        <v>2099216</v>
      </c>
      <c r="H229" s="759">
        <f>'2. Results'!Q241</f>
        <v>1853209</v>
      </c>
      <c r="I229" s="760">
        <f>'2. Results'!R241</f>
        <v>-246007</v>
      </c>
      <c r="J229" s="759">
        <f>'2. Results'!W241</f>
        <v>26572.354430379746</v>
      </c>
      <c r="K229" s="759">
        <f>'2. Results'!AB241</f>
        <v>23458.341772151896</v>
      </c>
      <c r="L229" s="759">
        <f>'2. Results'!AC241</f>
        <v>-3114.0126582278481</v>
      </c>
      <c r="M229" s="765">
        <f>'2. Results'!AD241</f>
        <v>-0.33721207568687872</v>
      </c>
      <c r="O229" s="246" t="s">
        <v>206</v>
      </c>
      <c r="P229" s="246"/>
      <c r="Q229" s="246"/>
    </row>
    <row r="230" spans="2:17">
      <c r="B230" s="228" t="str">
        <f>'2. Results'!B242</f>
        <v>Bingham Academy</v>
      </c>
      <c r="C230" s="405">
        <f>'2. Results'!C242</f>
        <v>79</v>
      </c>
      <c r="D230" s="242">
        <f>'2. Results'!D242</f>
        <v>0</v>
      </c>
      <c r="E230" s="243">
        <f>'2. Results'!E242</f>
        <v>0.58888888888888891</v>
      </c>
      <c r="F230" s="753" t="str">
        <f>'2. Results'!G242</f>
        <v>yes</v>
      </c>
      <c r="G230" s="758">
        <f>'2. Results'!L242</f>
        <v>981698</v>
      </c>
      <c r="H230" s="759">
        <f>'2. Results'!Q242</f>
        <v>671393</v>
      </c>
      <c r="I230" s="760">
        <f>'2. Results'!R242</f>
        <v>-310305</v>
      </c>
      <c r="J230" s="759">
        <f>'2. Results'!W242</f>
        <v>12426.556962025317</v>
      </c>
      <c r="K230" s="759">
        <f>'2. Results'!AB242</f>
        <v>8498.6455696202538</v>
      </c>
      <c r="L230" s="759">
        <f>'2. Results'!AC242</f>
        <v>-3927.9113924050635</v>
      </c>
      <c r="M230" s="765">
        <f>'2. Results'!AD242</f>
        <v>-0.41548003036717773</v>
      </c>
      <c r="O230" s="246" t="s">
        <v>219</v>
      </c>
      <c r="P230" s="246"/>
      <c r="Q230" s="246"/>
    </row>
    <row r="231" spans="2:17">
      <c r="B231" s="228" t="str">
        <f>'2. Results'!B243</f>
        <v>Upper Carmen Charter School</v>
      </c>
      <c r="C231" s="405">
        <f>'2. Results'!C243</f>
        <v>94</v>
      </c>
      <c r="D231" s="242">
        <f>'2. Results'!D243</f>
        <v>0</v>
      </c>
      <c r="E231" s="243">
        <f>'2. Results'!E243</f>
        <v>0</v>
      </c>
      <c r="F231" s="753" t="str">
        <f>'2. Results'!G243</f>
        <v>yes</v>
      </c>
      <c r="G231" s="758">
        <f>'2. Results'!L243</f>
        <v>858259</v>
      </c>
      <c r="H231" s="759">
        <f>'2. Results'!Q243</f>
        <v>582902</v>
      </c>
      <c r="I231" s="760">
        <f>'2. Results'!R243</f>
        <v>-275357</v>
      </c>
      <c r="J231" s="759">
        <f>'2. Results'!W243</f>
        <v>9130.4148936170222</v>
      </c>
      <c r="K231" s="759">
        <f>'2. Results'!AB243</f>
        <v>6201.0851063829787</v>
      </c>
      <c r="L231" s="759">
        <f>'2. Results'!AC243</f>
        <v>-2929.3297872340427</v>
      </c>
      <c r="M231" s="765">
        <f>'2. Results'!AD243</f>
        <v>-0.33480863440215652</v>
      </c>
      <c r="O231" s="246" t="s">
        <v>156</v>
      </c>
      <c r="P231" s="246"/>
      <c r="Q231" s="246"/>
    </row>
    <row r="232" spans="2:17">
      <c r="B232" s="228" t="str">
        <f>'2. Results'!B244</f>
        <v>Forrest M. Bird Charter School</v>
      </c>
      <c r="C232" s="405">
        <f>'2. Results'!C244</f>
        <v>339</v>
      </c>
      <c r="D232" s="242">
        <f>'2. Results'!D244</f>
        <v>0</v>
      </c>
      <c r="E232" s="243">
        <f>'2. Results'!E244</f>
        <v>0.49315068493150682</v>
      </c>
      <c r="F232" s="753" t="str">
        <f>'2. Results'!G244</f>
        <v/>
      </c>
      <c r="G232" s="758">
        <f>'2. Results'!L244</f>
        <v>4738096</v>
      </c>
      <c r="H232" s="759">
        <f>'2. Results'!Q244</f>
        <v>4161384</v>
      </c>
      <c r="I232" s="760">
        <f>'2. Results'!R244</f>
        <v>-576712</v>
      </c>
      <c r="J232" s="759">
        <f>'2. Results'!W244</f>
        <v>13976.684365781712</v>
      </c>
      <c r="K232" s="759">
        <f>'2. Results'!AB244</f>
        <v>12275.469026548672</v>
      </c>
      <c r="L232" s="759">
        <f>'2. Results'!AC244</f>
        <v>-1701.2153392330383</v>
      </c>
      <c r="M232" s="765">
        <f>'2. Results'!AD244</f>
        <v>-0.23539015504325261</v>
      </c>
      <c r="O232" s="246" t="s">
        <v>120</v>
      </c>
      <c r="P232" s="246"/>
      <c r="Q232" s="246"/>
    </row>
    <row r="233" spans="2:17">
      <c r="B233" s="228" t="str">
        <f>'2. Results'!B245</f>
        <v>Syringa Mountain School</v>
      </c>
      <c r="C233" s="405">
        <f>'2. Results'!C245</f>
        <v>118</v>
      </c>
      <c r="D233" s="242">
        <f>'2. Results'!D245</f>
        <v>0</v>
      </c>
      <c r="E233" s="243">
        <f>'2. Results'!E245</f>
        <v>0.31538461538461537</v>
      </c>
      <c r="F233" s="753" t="str">
        <f>'2. Results'!G245</f>
        <v>yes</v>
      </c>
      <c r="G233" s="758">
        <f>'2. Results'!L245</f>
        <v>1176229</v>
      </c>
      <c r="H233" s="759">
        <f>'2. Results'!Q245</f>
        <v>1143099</v>
      </c>
      <c r="I233" s="760">
        <f>'2. Results'!R245</f>
        <v>-33130</v>
      </c>
      <c r="J233" s="759">
        <f>'2. Results'!W245</f>
        <v>9968.0423728813548</v>
      </c>
      <c r="K233" s="759">
        <f>'2. Results'!AB245</f>
        <v>9687.2796610169498</v>
      </c>
      <c r="L233" s="759">
        <f>'2. Results'!AC245</f>
        <v>-280.76271186440675</v>
      </c>
      <c r="M233" s="765">
        <f>'2. Results'!AD245</f>
        <v>-4.5942614027959405E-2</v>
      </c>
      <c r="O233" s="246" t="s">
        <v>164</v>
      </c>
      <c r="P233" s="246"/>
      <c r="Q233" s="246"/>
    </row>
    <row r="234" spans="2:17">
      <c r="B234" s="228" t="str">
        <f>'2. Results'!B246</f>
        <v>Idaho College &amp; Career Readiness Acad</v>
      </c>
      <c r="C234" s="405">
        <f>'2. Results'!C246</f>
        <v>59</v>
      </c>
      <c r="D234" s="242">
        <f>'2. Results'!D246</f>
        <v>0</v>
      </c>
      <c r="E234" s="243">
        <f>'2. Results'!E246</f>
        <v>0</v>
      </c>
      <c r="F234" s="753" t="str">
        <f>'2. Results'!G246</f>
        <v>yes</v>
      </c>
      <c r="G234" s="758">
        <f>'2. Results'!L246</f>
        <v>569090</v>
      </c>
      <c r="H234" s="759">
        <f>'2. Results'!Q246</f>
        <v>340919</v>
      </c>
      <c r="I234" s="760">
        <f>'2. Results'!R246</f>
        <v>-228171</v>
      </c>
      <c r="J234" s="759">
        <f>'2. Results'!W246</f>
        <v>9645.5932203389839</v>
      </c>
      <c r="K234" s="759">
        <f>'2. Results'!AB246</f>
        <v>5778.2881355932204</v>
      </c>
      <c r="L234" s="759">
        <f>'2. Results'!AC246</f>
        <v>-3867.3050847457625</v>
      </c>
      <c r="M234" s="765">
        <f>'2. Results'!AD246</f>
        <v>-0.41170866376160448</v>
      </c>
      <c r="O234" s="246" t="s">
        <v>151</v>
      </c>
      <c r="P234" s="246"/>
      <c r="Q234" s="246"/>
    </row>
    <row r="235" spans="2:17">
      <c r="B235" s="228" t="str">
        <f>'2. Results'!B247</f>
        <v>Idaho Distance Education Acad.</v>
      </c>
      <c r="C235" s="405">
        <f>'2. Results'!C247</f>
        <v>598</v>
      </c>
      <c r="D235" s="242">
        <f>'2. Results'!D247</f>
        <v>0</v>
      </c>
      <c r="E235" s="243">
        <f>'2. Results'!E247</f>
        <v>0.50928792569659442</v>
      </c>
      <c r="F235" s="753" t="str">
        <f>'2. Results'!G247</f>
        <v/>
      </c>
      <c r="G235" s="758">
        <f>'2. Results'!L247</f>
        <v>4107172</v>
      </c>
      <c r="H235" s="759">
        <f>'2. Results'!Q247</f>
        <v>3951761</v>
      </c>
      <c r="I235" s="760">
        <f>'2. Results'!R247</f>
        <v>-155411</v>
      </c>
      <c r="J235" s="759">
        <f>'2. Results'!W247</f>
        <v>6868.1806020066897</v>
      </c>
      <c r="K235" s="759">
        <f>'2. Results'!AB247</f>
        <v>6608.2959866220745</v>
      </c>
      <c r="L235" s="759">
        <f>'2. Results'!AC247</f>
        <v>-259.88461538461536</v>
      </c>
      <c r="M235" s="765">
        <f>'2. Results'!AD247</f>
        <v>-4.2668169739207215E-2</v>
      </c>
      <c r="O235" s="246" t="s">
        <v>234</v>
      </c>
      <c r="P235" s="246"/>
      <c r="Q235" s="246"/>
    </row>
    <row r="236" spans="2:17">
      <c r="B236" s="228" t="str">
        <f>'2. Results'!B248</f>
        <v>Coeur d' Alene Charter Academy</v>
      </c>
      <c r="C236" s="405">
        <f>'2. Results'!C248</f>
        <v>721</v>
      </c>
      <c r="D236" s="242">
        <f>'2. Results'!D248</f>
        <v>0</v>
      </c>
      <c r="E236" s="243">
        <f>'2. Results'!E248</f>
        <v>0</v>
      </c>
      <c r="F236" s="753" t="str">
        <f>'2. Results'!G248</f>
        <v/>
      </c>
      <c r="G236" s="758">
        <f>'2. Results'!L248</f>
        <v>4673114</v>
      </c>
      <c r="H236" s="759">
        <f>'2. Results'!Q248</f>
        <v>4403583</v>
      </c>
      <c r="I236" s="760">
        <f>'2. Results'!R248</f>
        <v>-269531</v>
      </c>
      <c r="J236" s="759">
        <f>'2. Results'!W248</f>
        <v>6481.4341192787797</v>
      </c>
      <c r="K236" s="759">
        <f>'2. Results'!AB248</f>
        <v>6107.6047156726772</v>
      </c>
      <c r="L236" s="759">
        <f>'2. Results'!AC248</f>
        <v>-373.82940360610263</v>
      </c>
      <c r="M236" s="765">
        <f>'2. Results'!AD248</f>
        <v>-6.3362747976680484E-2</v>
      </c>
      <c r="O236" s="246" t="s">
        <v>177</v>
      </c>
      <c r="P236" s="246"/>
      <c r="Q236" s="246"/>
    </row>
    <row r="237" spans="2:17">
      <c r="B237" s="228" t="str">
        <f>'2. Results'!B249</f>
        <v>North Star Charter School</v>
      </c>
      <c r="C237" s="405">
        <f>'2. Results'!C249</f>
        <v>883</v>
      </c>
      <c r="D237" s="242">
        <f>'2. Results'!D249</f>
        <v>0</v>
      </c>
      <c r="E237" s="243">
        <f>'2. Results'!E249</f>
        <v>0</v>
      </c>
      <c r="F237" s="753" t="str">
        <f>'2. Results'!G249</f>
        <v/>
      </c>
      <c r="G237" s="758">
        <f>'2. Results'!L249</f>
        <v>5538613</v>
      </c>
      <c r="H237" s="759">
        <f>'2. Results'!Q249</f>
        <v>5317918</v>
      </c>
      <c r="I237" s="760">
        <f>'2. Results'!R249</f>
        <v>-220695</v>
      </c>
      <c r="J237" s="759">
        <f>'2. Results'!W249</f>
        <v>6272.4949037372598</v>
      </c>
      <c r="K237" s="759">
        <f>'2. Results'!AB249</f>
        <v>6022.5571913929789</v>
      </c>
      <c r="L237" s="759">
        <f>'2. Results'!AC249</f>
        <v>-249.93771234428087</v>
      </c>
      <c r="M237" s="765">
        <f>'2. Results'!AD249</f>
        <v>-4.1539429283871873E-2</v>
      </c>
      <c r="O237" s="246" t="s">
        <v>131</v>
      </c>
      <c r="P237" s="246"/>
      <c r="Q237" s="246"/>
    </row>
    <row r="238" spans="2:17">
      <c r="B238" s="232" t="str">
        <f>'2. Results'!B250</f>
        <v>COSSA  Academy</v>
      </c>
      <c r="C238" s="406">
        <f>'2. Results'!C250</f>
        <v>128</v>
      </c>
      <c r="D238" s="244">
        <f>'2. Results'!D250</f>
        <v>0</v>
      </c>
      <c r="E238" s="245">
        <f>'2. Results'!E250</f>
        <v>0</v>
      </c>
      <c r="F238" s="754" t="str">
        <f>'2. Results'!G250</f>
        <v>yes</v>
      </c>
      <c r="G238" s="761">
        <f>'2. Results'!L250</f>
        <v>1101208</v>
      </c>
      <c r="H238" s="762">
        <f>'2. Results'!Q250</f>
        <v>801169</v>
      </c>
      <c r="I238" s="763">
        <f>'2. Results'!R250</f>
        <v>-300039</v>
      </c>
      <c r="J238" s="762">
        <f>'2. Results'!W250</f>
        <v>8603.1875</v>
      </c>
      <c r="K238" s="762">
        <f>'2. Results'!AB250</f>
        <v>6259.1328125</v>
      </c>
      <c r="L238" s="762">
        <f>'2. Results'!AC250</f>
        <v>-2344.0546875</v>
      </c>
      <c r="M238" s="766">
        <f>'2. Results'!AD250</f>
        <v>-0.29784477752398081</v>
      </c>
      <c r="O238" s="246" t="s">
        <v>232</v>
      </c>
      <c r="P238" s="246"/>
      <c r="Q238" s="246"/>
    </row>
    <row r="239" spans="2:17">
      <c r="C239" s="226"/>
      <c r="D239" s="197"/>
      <c r="E239" s="225"/>
      <c r="F239" s="225"/>
      <c r="G239" s="225"/>
      <c r="H239" s="223"/>
      <c r="I239" s="223"/>
      <c r="J239" s="222"/>
      <c r="K239" s="198"/>
    </row>
    <row r="240" spans="2:17">
      <c r="C240" s="226"/>
      <c r="D240" s="197"/>
      <c r="E240" s="225"/>
      <c r="F240" s="225"/>
      <c r="G240" s="225"/>
      <c r="H240" s="223"/>
      <c r="I240" s="223"/>
      <c r="J240" s="222"/>
      <c r="K240" s="198"/>
    </row>
    <row r="241" spans="3:11">
      <c r="C241" s="226"/>
      <c r="D241" s="197"/>
      <c r="E241" s="225"/>
      <c r="F241" s="225"/>
      <c r="G241" s="225"/>
      <c r="H241" s="223"/>
      <c r="I241" s="223"/>
      <c r="J241" s="222"/>
      <c r="K241" s="198"/>
    </row>
    <row r="242" spans="3:11">
      <c r="C242" s="226"/>
      <c r="D242" s="197"/>
      <c r="E242" s="225"/>
      <c r="F242" s="225"/>
      <c r="G242" s="225"/>
      <c r="H242" s="223"/>
      <c r="I242" s="223"/>
      <c r="J242" s="222"/>
      <c r="K242" s="198"/>
    </row>
    <row r="243" spans="3:11">
      <c r="C243" s="226"/>
      <c r="D243" s="197"/>
      <c r="E243" s="225"/>
      <c r="F243" s="225"/>
      <c r="G243" s="225"/>
      <c r="H243" s="223"/>
      <c r="I243" s="223"/>
      <c r="J243" s="222"/>
      <c r="K243" s="198"/>
    </row>
  </sheetData>
  <autoFilter ref="B84:M238"/>
  <sortState ref="R22:R185">
    <sortCondition ref="R22:R185"/>
  </sortState>
  <mergeCells count="8">
    <mergeCell ref="F5:H5"/>
    <mergeCell ref="G83:I83"/>
    <mergeCell ref="J83:M83"/>
    <mergeCell ref="C5:E5"/>
    <mergeCell ref="I5:L5"/>
    <mergeCell ref="C83:F83"/>
    <mergeCell ref="B69:F69"/>
    <mergeCell ref="B73:E73"/>
  </mergeCells>
  <dataValidations count="1">
    <dataValidation type="list" allowBlank="1" showInputMessage="1" showErrorMessage="1" sqref="B7:B11">
      <formula1>$O$85:$O$238</formula1>
    </dataValidation>
  </dataValidation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About</vt:lpstr>
      <vt:lpstr>1. Simulator Input</vt:lpstr>
      <vt:lpstr>Results re-formatted</vt:lpstr>
      <vt:lpstr>2. Results</vt:lpstr>
      <vt:lpstr>Idaho Data</vt:lpstr>
      <vt:lpstr>Notes</vt:lpstr>
      <vt:lpstr>PPT Slide 27</vt:lpstr>
      <vt:lpstr>In District Charter Adjust</vt:lpstr>
      <vt:lpstr>Results SBB Funding</vt:lpstr>
      <vt:lpstr>Graph Data all $</vt:lpstr>
      <vt:lpstr>Graphics for PPT</vt:lpstr>
      <vt:lpstr>PPT Slide 21</vt:lpstr>
      <vt:lpstr>Graph Data SBB $ only</vt:lpstr>
      <vt:lpstr>Student Achievement 15-16</vt:lpstr>
      <vt:lpstr>Levy Data 15-16</vt:lpstr>
      <vt:lpstr>Grade Enroll 15-16</vt:lpstr>
      <vt:lpstr>Title I Enroll 15-16</vt:lpstr>
      <vt:lpstr>Title I Enroll 16-17</vt:lpstr>
      <vt:lpstr>ELL Enroll 15-16</vt:lpstr>
      <vt:lpstr>SPED enroll 2015-16</vt:lpstr>
      <vt:lpstr>G&amp;T 15-16</vt:lpstr>
      <vt:lpstr>Sources</vt:lpstr>
      <vt:lpstr>'Results re-formatted'!Print_Area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dc:creator>
  <cp:lastModifiedBy>Marc Carignan</cp:lastModifiedBy>
  <cp:lastPrinted>2017-01-12T14:48:20Z</cp:lastPrinted>
  <dcterms:created xsi:type="dcterms:W3CDTF">2016-12-01T14:26:22Z</dcterms:created>
  <dcterms:modified xsi:type="dcterms:W3CDTF">2017-09-22T19:52:00Z</dcterms:modified>
</cp:coreProperties>
</file>